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7. 15 มี.ค. 66\"/>
    </mc:Choice>
  </mc:AlternateContent>
  <xr:revisionPtr revIDLastSave="0" documentId="13_ncr:1_{2BCA47EF-56B1-46CF-8E01-27DC164D4CB6}" xr6:coauthVersionLast="37" xr6:coauthVersionMax="45" xr10:uidLastSave="{00000000-0000-0000-0000-000000000000}"/>
  <bookViews>
    <workbookView xWindow="0" yWindow="0" windowWidth="24000" windowHeight="9225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Area" localSheetId="1">กำแพงเพชร!$A$1:$P$828</definedName>
    <definedName name="_xlnm.Print_Area" localSheetId="2">เชียงราย!$A$1:$P$828</definedName>
    <definedName name="_xlnm.Print_Area" localSheetId="4">ตาก!$A$1:$P$828</definedName>
    <definedName name="_xlnm.Print_Area" localSheetId="5">นครสวรรค์!$A$1:$P$828</definedName>
    <definedName name="_xlnm.Print_Area" localSheetId="6">น่าน!$A$1:$P$828</definedName>
    <definedName name="_xlnm.Print_Area" localSheetId="7">พะเยา!$A$1:$P$828</definedName>
    <definedName name="_xlnm.Print_Area" localSheetId="8">พิจิตร!$A$1:$P$828</definedName>
    <definedName name="_xlnm.Print_Area" localSheetId="9">พิษณุโลก!$A$1:$P$828</definedName>
    <definedName name="_xlnm.Print_Area" localSheetId="10">เพชรบูรณ์!$A$1:$P$828</definedName>
    <definedName name="_xlnm.Print_Area" localSheetId="11">แพร่!$A$1:$P$828</definedName>
    <definedName name="_xlnm.Print_Area" localSheetId="12">แม่ฮ่องสอน!$A$1:$P$828</definedName>
    <definedName name="_xlnm.Print_Area" localSheetId="0">รวมเหนือ!$A$1:$P$828</definedName>
    <definedName name="_xlnm.Print_Area" localSheetId="13">ลำปาง!$A$1:$P$828</definedName>
    <definedName name="_xlnm.Print_Area" localSheetId="14">ลำพูน!$A$1:$P$828</definedName>
    <definedName name="_xlnm.Print_Area" localSheetId="15">สุโขทัย!$A$1:$P$828</definedName>
    <definedName name="_xlnm.Print_Area" localSheetId="16">อุตรดิตถ์!$A$1:$P$828</definedName>
    <definedName name="_xlnm.Print_Area" localSheetId="17">อุทัยธานี!$A$1:$P$828</definedName>
    <definedName name="_xlnm.Print_Titles" localSheetId="1">กำแพงเพชร!$1:$6</definedName>
    <definedName name="_xlnm.Print_Titles" localSheetId="2">เชียงราย!$1:$6</definedName>
    <definedName name="_xlnm.Print_Titles" localSheetId="3">เชียงใหม่!$1:$6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79021"/>
</workbook>
</file>

<file path=xl/calcChain.xml><?xml version="1.0" encoding="utf-8"?>
<calcChain xmlns="http://schemas.openxmlformats.org/spreadsheetml/2006/main">
  <c r="J828" i="18" l="1"/>
  <c r="I828" i="18"/>
  <c r="J827" i="18"/>
  <c r="I827" i="18"/>
  <c r="J826" i="18"/>
  <c r="I826" i="18"/>
  <c r="J825" i="18"/>
  <c r="I825" i="18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O815" i="18"/>
  <c r="N815" i="18"/>
  <c r="M815" i="18"/>
  <c r="L815" i="18"/>
  <c r="P810" i="18"/>
  <c r="O810" i="18"/>
  <c r="N810" i="18"/>
  <c r="P809" i="18"/>
  <c r="O809" i="18"/>
  <c r="O808" i="18"/>
  <c r="N808" i="18"/>
  <c r="M808" i="18"/>
  <c r="P808" i="18" s="1"/>
  <c r="L808" i="18"/>
  <c r="N807" i="18"/>
  <c r="N805" i="18" s="1"/>
  <c r="M807" i="18"/>
  <c r="P807" i="18" s="1"/>
  <c r="L807" i="18"/>
  <c r="O807" i="18" s="1"/>
  <c r="N806" i="18"/>
  <c r="M806" i="18"/>
  <c r="P806" i="18" s="1"/>
  <c r="L806" i="18"/>
  <c r="K804" i="18"/>
  <c r="J804" i="18"/>
  <c r="K802" i="18"/>
  <c r="J801" i="18"/>
  <c r="J800" i="18"/>
  <c r="J785" i="18" s="1"/>
  <c r="I800" i="18"/>
  <c r="P798" i="18"/>
  <c r="O798" i="18"/>
  <c r="P797" i="18"/>
  <c r="O797" i="18"/>
  <c r="P796" i="18"/>
  <c r="O796" i="18"/>
  <c r="N796" i="18"/>
  <c r="M796" i="18"/>
  <c r="L796" i="18"/>
  <c r="P791" i="18"/>
  <c r="N791" i="18"/>
  <c r="N788" i="18" s="1"/>
  <c r="N786" i="18" s="1"/>
  <c r="L791" i="18"/>
  <c r="L789" i="18" s="1"/>
  <c r="O789" i="18" s="1"/>
  <c r="P790" i="18"/>
  <c r="O790" i="18"/>
  <c r="M789" i="18"/>
  <c r="P789" i="18" s="1"/>
  <c r="M788" i="18"/>
  <c r="P788" i="18" s="1"/>
  <c r="N787" i="18"/>
  <c r="M787" i="18"/>
  <c r="P787" i="18" s="1"/>
  <c r="L787" i="18"/>
  <c r="P782" i="18"/>
  <c r="O782" i="18"/>
  <c r="P781" i="18"/>
  <c r="O781" i="18"/>
  <c r="P780" i="18"/>
  <c r="N780" i="18"/>
  <c r="M780" i="18"/>
  <c r="L780" i="18"/>
  <c r="O780" i="18" s="1"/>
  <c r="P775" i="18"/>
  <c r="O775" i="18"/>
  <c r="N775" i="18"/>
  <c r="P774" i="18"/>
  <c r="O774" i="18"/>
  <c r="P773" i="18"/>
  <c r="O773" i="18"/>
  <c r="N773" i="18"/>
  <c r="M773" i="18"/>
  <c r="L773" i="18"/>
  <c r="O772" i="18"/>
  <c r="N772" i="18"/>
  <c r="M772" i="18"/>
  <c r="P772" i="18" s="1"/>
  <c r="L772" i="18"/>
  <c r="N771" i="18"/>
  <c r="N770" i="18" s="1"/>
  <c r="M771" i="18"/>
  <c r="L771" i="18"/>
  <c r="O771" i="18" s="1"/>
  <c r="L770" i="18"/>
  <c r="O770" i="18" s="1"/>
  <c r="K769" i="18"/>
  <c r="J769" i="18"/>
  <c r="P766" i="18"/>
  <c r="O766" i="18"/>
  <c r="P765" i="18"/>
  <c r="O765" i="18"/>
  <c r="P764" i="18"/>
  <c r="N764" i="18"/>
  <c r="M764" i="18"/>
  <c r="L764" i="18"/>
  <c r="O764" i="18" s="1"/>
  <c r="P759" i="18"/>
  <c r="O759" i="18"/>
  <c r="N759" i="18"/>
  <c r="P758" i="18"/>
  <c r="O758" i="18"/>
  <c r="P757" i="18"/>
  <c r="O757" i="18"/>
  <c r="N757" i="18"/>
  <c r="M757" i="18"/>
  <c r="L757" i="18"/>
  <c r="O756" i="18"/>
  <c r="N756" i="18"/>
  <c r="M756" i="18"/>
  <c r="P756" i="18" s="1"/>
  <c r="L756" i="18"/>
  <c r="N755" i="18"/>
  <c r="N754" i="18" s="1"/>
  <c r="M755" i="18"/>
  <c r="L755" i="18"/>
  <c r="O755" i="18" s="1"/>
  <c r="L754" i="18"/>
  <c r="O754" i="18" s="1"/>
  <c r="K753" i="18"/>
  <c r="J753" i="18"/>
  <c r="P749" i="18"/>
  <c r="O749" i="18"/>
  <c r="P748" i="18"/>
  <c r="O748" i="18"/>
  <c r="P747" i="18"/>
  <c r="N747" i="18"/>
  <c r="M747" i="18"/>
  <c r="L747" i="18"/>
  <c r="O747" i="18" s="1"/>
  <c r="P742" i="18"/>
  <c r="O742" i="18"/>
  <c r="N742" i="18"/>
  <c r="P741" i="18"/>
  <c r="O741" i="18"/>
  <c r="P740" i="18"/>
  <c r="O740" i="18"/>
  <c r="N740" i="18"/>
  <c r="M740" i="18"/>
  <c r="L740" i="18"/>
  <c r="O739" i="18"/>
  <c r="N739" i="18"/>
  <c r="M739" i="18"/>
  <c r="P739" i="18" s="1"/>
  <c r="L739" i="18"/>
  <c r="N738" i="18"/>
  <c r="N737" i="18" s="1"/>
  <c r="M738" i="18"/>
  <c r="L738" i="18"/>
  <c r="O738" i="18" s="1"/>
  <c r="L737" i="18"/>
  <c r="O737" i="18" s="1"/>
  <c r="K736" i="18"/>
  <c r="J736" i="18"/>
  <c r="J729" i="18"/>
  <c r="I729" i="18"/>
  <c r="K729" i="18" s="1"/>
  <c r="J728" i="18"/>
  <c r="I728" i="18"/>
  <c r="J727" i="18"/>
  <c r="J726" i="18"/>
  <c r="I726" i="18"/>
  <c r="J725" i="18"/>
  <c r="I725" i="18"/>
  <c r="J724" i="18"/>
  <c r="J723" i="18"/>
  <c r="I723" i="18"/>
  <c r="I722" i="18"/>
  <c r="I721" i="18"/>
  <c r="J720" i="18"/>
  <c r="I720" i="18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J699" i="18"/>
  <c r="I699" i="18"/>
  <c r="P697" i="18"/>
  <c r="O697" i="18"/>
  <c r="P696" i="18"/>
  <c r="O696" i="18"/>
  <c r="P695" i="18"/>
  <c r="N695" i="18"/>
  <c r="M695" i="18"/>
  <c r="L695" i="18"/>
  <c r="O695" i="18" s="1"/>
  <c r="P690" i="18"/>
  <c r="N690" i="18"/>
  <c r="L690" i="18"/>
  <c r="L688" i="18" s="1"/>
  <c r="N688" i="18"/>
  <c r="M688" i="18"/>
  <c r="P688" i="18" s="1"/>
  <c r="N687" i="18"/>
  <c r="M687" i="18"/>
  <c r="P687" i="18" s="1"/>
  <c r="N686" i="18"/>
  <c r="N685" i="18" s="1"/>
  <c r="M686" i="18"/>
  <c r="P686" i="18" s="1"/>
  <c r="L686" i="18"/>
  <c r="J679" i="18"/>
  <c r="J678" i="18" s="1"/>
  <c r="I678" i="18"/>
  <c r="K678" i="18" s="1"/>
  <c r="J675" i="18"/>
  <c r="J669" i="18" s="1"/>
  <c r="I671" i="18"/>
  <c r="K671" i="18" s="1"/>
  <c r="I670" i="18"/>
  <c r="K670" i="18" s="1"/>
  <c r="I669" i="18"/>
  <c r="K675" i="18" s="1"/>
  <c r="P667" i="18"/>
  <c r="O667" i="18"/>
  <c r="P666" i="18"/>
  <c r="O666" i="18"/>
  <c r="N665" i="18"/>
  <c r="M665" i="18"/>
  <c r="P665" i="18" s="1"/>
  <c r="L665" i="18"/>
  <c r="O665" i="18" s="1"/>
  <c r="P660" i="18"/>
  <c r="N660" i="18"/>
  <c r="L660" i="18"/>
  <c r="O660" i="18" s="1"/>
  <c r="P659" i="18"/>
  <c r="O659" i="18"/>
  <c r="P658" i="18"/>
  <c r="N658" i="18"/>
  <c r="M658" i="18"/>
  <c r="L658" i="18"/>
  <c r="O658" i="18" s="1"/>
  <c r="P657" i="18"/>
  <c r="N657" i="18"/>
  <c r="M657" i="18"/>
  <c r="P656" i="18"/>
  <c r="O656" i="18"/>
  <c r="N656" i="18"/>
  <c r="M656" i="18"/>
  <c r="L656" i="18"/>
  <c r="N655" i="18"/>
  <c r="M655" i="18"/>
  <c r="P655" i="18" s="1"/>
  <c r="K652" i="18"/>
  <c r="J652" i="18"/>
  <c r="J651" i="18"/>
  <c r="J628" i="18" s="1"/>
  <c r="I651" i="18"/>
  <c r="I628" i="18" s="1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O641" i="18" s="1"/>
  <c r="P640" i="18"/>
  <c r="O640" i="18"/>
  <c r="N639" i="18"/>
  <c r="M639" i="18"/>
  <c r="P639" i="18" s="1"/>
  <c r="P634" i="18"/>
  <c r="N634" i="18"/>
  <c r="N631" i="18" s="1"/>
  <c r="N629" i="18" s="1"/>
  <c r="L634" i="18"/>
  <c r="P633" i="18"/>
  <c r="O633" i="18"/>
  <c r="N632" i="18"/>
  <c r="M632" i="18"/>
  <c r="P632" i="18" s="1"/>
  <c r="P631" i="18"/>
  <c r="M631" i="18"/>
  <c r="M629" i="18" s="1"/>
  <c r="P630" i="18"/>
  <c r="O630" i="18"/>
  <c r="N630" i="18"/>
  <c r="M630" i="18"/>
  <c r="L630" i="18"/>
  <c r="P629" i="18"/>
  <c r="J621" i="18"/>
  <c r="I621" i="18"/>
  <c r="K621" i="18" s="1"/>
  <c r="J620" i="18"/>
  <c r="I620" i="18"/>
  <c r="K613" i="18"/>
  <c r="J613" i="18"/>
  <c r="K612" i="18"/>
  <c r="J612" i="18"/>
  <c r="K611" i="18"/>
  <c r="J611" i="18"/>
  <c r="J604" i="18"/>
  <c r="J594" i="18" s="1"/>
  <c r="J603" i="18"/>
  <c r="J596" i="18"/>
  <c r="J595" i="18"/>
  <c r="J593" i="18" s="1"/>
  <c r="J592" i="18" s="1"/>
  <c r="I594" i="18"/>
  <c r="I593" i="18"/>
  <c r="K593" i="18" s="1"/>
  <c r="J583" i="18"/>
  <c r="J582" i="18"/>
  <c r="J577" i="18"/>
  <c r="I577" i="18"/>
  <c r="K577" i="18" s="1"/>
  <c r="J576" i="18"/>
  <c r="I576" i="18"/>
  <c r="K576" i="18" s="1"/>
  <c r="J569" i="18"/>
  <c r="I569" i="18"/>
  <c r="J568" i="18"/>
  <c r="I568" i="18"/>
  <c r="K568" i="18" s="1"/>
  <c r="J561" i="18"/>
  <c r="I561" i="18"/>
  <c r="K561" i="18" s="1"/>
  <c r="J560" i="18"/>
  <c r="I560" i="18"/>
  <c r="K560" i="18" s="1"/>
  <c r="J559" i="18"/>
  <c r="J543" i="18" s="1"/>
  <c r="P557" i="18"/>
  <c r="L557" i="18"/>
  <c r="O557" i="18" s="1"/>
  <c r="P556" i="18"/>
  <c r="O556" i="18"/>
  <c r="P555" i="18"/>
  <c r="N555" i="18"/>
  <c r="M555" i="18"/>
  <c r="P549" i="18"/>
  <c r="N549" i="18"/>
  <c r="L549" i="18"/>
  <c r="L547" i="18" s="1"/>
  <c r="O547" i="18" s="1"/>
  <c r="P548" i="18"/>
  <c r="O548" i="18"/>
  <c r="P547" i="18"/>
  <c r="N547" i="18"/>
  <c r="M547" i="18"/>
  <c r="N546" i="18"/>
  <c r="M546" i="18"/>
  <c r="P546" i="18" s="1"/>
  <c r="N545" i="18"/>
  <c r="N544" i="18" s="1"/>
  <c r="M545" i="18"/>
  <c r="P545" i="18" s="1"/>
  <c r="L545" i="18"/>
  <c r="M544" i="18"/>
  <c r="P544" i="18" s="1"/>
  <c r="I542" i="18"/>
  <c r="K542" i="18" s="1"/>
  <c r="I541" i="18"/>
  <c r="K541" i="18" s="1"/>
  <c r="I540" i="18"/>
  <c r="K540" i="18" s="1"/>
  <c r="I539" i="18"/>
  <c r="K539" i="18" s="1"/>
  <c r="I538" i="18"/>
  <c r="K538" i="18" s="1"/>
  <c r="I537" i="18"/>
  <c r="I522" i="18" s="1"/>
  <c r="P535" i="18"/>
  <c r="L535" i="18"/>
  <c r="O535" i="18" s="1"/>
  <c r="P534" i="18"/>
  <c r="O534" i="18"/>
  <c r="N533" i="18"/>
  <c r="M533" i="18"/>
  <c r="P533" i="18" s="1"/>
  <c r="P528" i="18"/>
  <c r="N528" i="18"/>
  <c r="N525" i="18" s="1"/>
  <c r="N523" i="18" s="1"/>
  <c r="L528" i="18"/>
  <c r="O528" i="18" s="1"/>
  <c r="P527" i="18"/>
  <c r="O527" i="18"/>
  <c r="N526" i="18"/>
  <c r="M526" i="18"/>
  <c r="P526" i="18" s="1"/>
  <c r="M525" i="18"/>
  <c r="P525" i="18" s="1"/>
  <c r="P524" i="18"/>
  <c r="N524" i="18"/>
  <c r="M524" i="18"/>
  <c r="M523" i="18" s="1"/>
  <c r="P523" i="18" s="1"/>
  <c r="L524" i="18"/>
  <c r="K517" i="18"/>
  <c r="J517" i="18"/>
  <c r="K516" i="18"/>
  <c r="P514" i="18"/>
  <c r="O514" i="18"/>
  <c r="P513" i="18"/>
  <c r="O513" i="18"/>
  <c r="N512" i="18"/>
  <c r="M512" i="18"/>
  <c r="P512" i="18" s="1"/>
  <c r="L512" i="18"/>
  <c r="O512" i="18" s="1"/>
  <c r="P507" i="18"/>
  <c r="O507" i="18"/>
  <c r="N507" i="18"/>
  <c r="N504" i="18" s="1"/>
  <c r="P506" i="18"/>
  <c r="O506" i="18"/>
  <c r="P505" i="18"/>
  <c r="M505" i="18"/>
  <c r="L505" i="18"/>
  <c r="O505" i="18" s="1"/>
  <c r="P504" i="18"/>
  <c r="O504" i="18"/>
  <c r="M504" i="18"/>
  <c r="L504" i="18"/>
  <c r="L502" i="18" s="1"/>
  <c r="P503" i="18"/>
  <c r="O503" i="18"/>
  <c r="N503" i="18"/>
  <c r="N502" i="18" s="1"/>
  <c r="M503" i="18"/>
  <c r="L503" i="18"/>
  <c r="O502" i="18"/>
  <c r="M502" i="18"/>
  <c r="P502" i="18" s="1"/>
  <c r="K501" i="18"/>
  <c r="J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P478" i="18"/>
  <c r="O478" i="18"/>
  <c r="N477" i="18"/>
  <c r="M477" i="18"/>
  <c r="P477" i="18" s="1"/>
  <c r="P472" i="18"/>
  <c r="N472" i="18"/>
  <c r="L472" i="18"/>
  <c r="O472" i="18" s="1"/>
  <c r="P471" i="18"/>
  <c r="O471" i="18"/>
  <c r="P470" i="18"/>
  <c r="N470" i="18"/>
  <c r="M470" i="18"/>
  <c r="L470" i="18"/>
  <c r="O470" i="18" s="1"/>
  <c r="P469" i="18"/>
  <c r="N469" i="18"/>
  <c r="M469" i="18"/>
  <c r="P468" i="18"/>
  <c r="O468" i="18"/>
  <c r="N468" i="18"/>
  <c r="N467" i="18" s="1"/>
  <c r="M468" i="18"/>
  <c r="L468" i="18"/>
  <c r="M467" i="18"/>
  <c r="P467" i="18" s="1"/>
  <c r="J466" i="18"/>
  <c r="I466" i="18"/>
  <c r="K466" i="18" s="1"/>
  <c r="J465" i="18"/>
  <c r="I465" i="18"/>
  <c r="I464" i="18"/>
  <c r="I463" i="18"/>
  <c r="I462" i="18"/>
  <c r="I443" i="18" s="1"/>
  <c r="K443" i="18" s="1"/>
  <c r="I460" i="18"/>
  <c r="I442" i="18" s="1"/>
  <c r="K442" i="18" s="1"/>
  <c r="K458" i="18"/>
  <c r="P456" i="18"/>
  <c r="L456" i="18"/>
  <c r="O456" i="18" s="1"/>
  <c r="P455" i="18"/>
  <c r="O455" i="18"/>
  <c r="N454" i="18"/>
  <c r="M454" i="18"/>
  <c r="P454" i="18" s="1"/>
  <c r="P449" i="18"/>
  <c r="N449" i="18"/>
  <c r="N446" i="18" s="1"/>
  <c r="N444" i="18" s="1"/>
  <c r="L449" i="18"/>
  <c r="P448" i="18"/>
  <c r="O448" i="18"/>
  <c r="N447" i="18"/>
  <c r="M447" i="18"/>
  <c r="P447" i="18" s="1"/>
  <c r="P446" i="18"/>
  <c r="M446" i="18"/>
  <c r="M444" i="18" s="1"/>
  <c r="P445" i="18"/>
  <c r="O445" i="18"/>
  <c r="N445" i="18"/>
  <c r="M445" i="18"/>
  <c r="L445" i="18"/>
  <c r="P444" i="18"/>
  <c r="J443" i="18"/>
  <c r="J442" i="18"/>
  <c r="I441" i="18"/>
  <c r="K441" i="18" s="1"/>
  <c r="I440" i="18"/>
  <c r="K440" i="18" s="1"/>
  <c r="I439" i="18"/>
  <c r="K439" i="18" s="1"/>
  <c r="I438" i="18"/>
  <c r="I437" i="18"/>
  <c r="K437" i="18" s="1"/>
  <c r="I435" i="18"/>
  <c r="K435" i="18" s="1"/>
  <c r="J434" i="18"/>
  <c r="J418" i="18" s="1"/>
  <c r="P431" i="18"/>
  <c r="L431" i="18"/>
  <c r="O431" i="18" s="1"/>
  <c r="P430" i="18"/>
  <c r="O430" i="18"/>
  <c r="N429" i="18"/>
  <c r="M429" i="18"/>
  <c r="P429" i="18" s="1"/>
  <c r="P424" i="18"/>
  <c r="N424" i="18"/>
  <c r="N421" i="18" s="1"/>
  <c r="N419" i="18" s="1"/>
  <c r="L424" i="18"/>
  <c r="P423" i="18"/>
  <c r="O423" i="18"/>
  <c r="N422" i="18"/>
  <c r="M422" i="18"/>
  <c r="P422" i="18" s="1"/>
  <c r="P421" i="18"/>
  <c r="M421" i="18"/>
  <c r="M419" i="18" s="1"/>
  <c r="P420" i="18"/>
  <c r="O420" i="18"/>
  <c r="N420" i="18"/>
  <c r="M420" i="18"/>
  <c r="L420" i="18"/>
  <c r="K413" i="18"/>
  <c r="K412" i="18"/>
  <c r="N410" i="18"/>
  <c r="N408" i="18" s="1"/>
  <c r="M410" i="18"/>
  <c r="P410" i="18" s="1"/>
  <c r="L410" i="18"/>
  <c r="O410" i="18" s="1"/>
  <c r="P409" i="18"/>
  <c r="O409" i="18"/>
  <c r="N407" i="18"/>
  <c r="N405" i="18" s="1"/>
  <c r="M407" i="18"/>
  <c r="P407" i="18" s="1"/>
  <c r="L407" i="18"/>
  <c r="L405" i="18" s="1"/>
  <c r="O405" i="18" s="1"/>
  <c r="P406" i="18"/>
  <c r="O406" i="18"/>
  <c r="O403" i="18"/>
  <c r="N403" i="18"/>
  <c r="M403" i="18"/>
  <c r="L403" i="18"/>
  <c r="J401" i="18"/>
  <c r="I401" i="18"/>
  <c r="K401" i="18" s="1"/>
  <c r="K400" i="18"/>
  <c r="K399" i="18"/>
  <c r="N397" i="18"/>
  <c r="M397" i="18"/>
  <c r="P397" i="18" s="1"/>
  <c r="L397" i="18"/>
  <c r="P396" i="18"/>
  <c r="O396" i="18"/>
  <c r="N394" i="18"/>
  <c r="N392" i="18" s="1"/>
  <c r="M394" i="18"/>
  <c r="P394" i="18" s="1"/>
  <c r="L394" i="18"/>
  <c r="P393" i="18"/>
  <c r="O393" i="18"/>
  <c r="P390" i="18"/>
  <c r="O390" i="18"/>
  <c r="N390" i="18"/>
  <c r="M390" i="18"/>
  <c r="L390" i="18"/>
  <c r="J388" i="18"/>
  <c r="I388" i="18"/>
  <c r="K388" i="18" s="1"/>
  <c r="J385" i="18"/>
  <c r="I385" i="18"/>
  <c r="K382" i="18"/>
  <c r="J382" i="18"/>
  <c r="J381" i="18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N351" i="18" s="1"/>
  <c r="M353" i="18"/>
  <c r="M351" i="18" s="1"/>
  <c r="L353" i="18"/>
  <c r="P352" i="18"/>
  <c r="O352" i="18"/>
  <c r="N350" i="18"/>
  <c r="N348" i="18" s="1"/>
  <c r="M350" i="18"/>
  <c r="M348" i="18" s="1"/>
  <c r="L350" i="18"/>
  <c r="P349" i="18"/>
  <c r="O349" i="18"/>
  <c r="P346" i="18"/>
  <c r="O346" i="18"/>
  <c r="N346" i="18"/>
  <c r="M346" i="18"/>
  <c r="L346" i="18"/>
  <c r="J343" i="18"/>
  <c r="J342" i="18"/>
  <c r="J341" i="18"/>
  <c r="J340" i="18"/>
  <c r="I340" i="18"/>
  <c r="J338" i="18"/>
  <c r="I338" i="18"/>
  <c r="N336" i="18"/>
  <c r="N334" i="18" s="1"/>
  <c r="M336" i="18"/>
  <c r="L336" i="18"/>
  <c r="O336" i="18" s="1"/>
  <c r="P335" i="18"/>
  <c r="O335" i="18"/>
  <c r="N333" i="18"/>
  <c r="M333" i="18"/>
  <c r="M331" i="18" s="1"/>
  <c r="L333" i="18"/>
  <c r="P332" i="18"/>
  <c r="O332" i="18"/>
  <c r="P329" i="18"/>
  <c r="O329" i="18"/>
  <c r="N329" i="18"/>
  <c r="M329" i="18"/>
  <c r="L329" i="18"/>
  <c r="I327" i="18"/>
  <c r="I325" i="18"/>
  <c r="K325" i="18" s="1"/>
  <c r="N323" i="18"/>
  <c r="N321" i="18" s="1"/>
  <c r="M323" i="18"/>
  <c r="L323" i="18"/>
  <c r="L321" i="18" s="1"/>
  <c r="O321" i="18" s="1"/>
  <c r="P322" i="18"/>
  <c r="O322" i="18"/>
  <c r="N320" i="18"/>
  <c r="N318" i="18" s="1"/>
  <c r="M320" i="18"/>
  <c r="L320" i="18"/>
  <c r="L318" i="18" s="1"/>
  <c r="P319" i="18"/>
  <c r="O319" i="18"/>
  <c r="N316" i="18"/>
  <c r="M316" i="18"/>
  <c r="P316" i="18" s="1"/>
  <c r="L316" i="18"/>
  <c r="J314" i="18"/>
  <c r="I312" i="18"/>
  <c r="K312" i="18" s="1"/>
  <c r="I311" i="18"/>
  <c r="K311" i="18" s="1"/>
  <c r="I310" i="18"/>
  <c r="K310" i="18" s="1"/>
  <c r="I309" i="18"/>
  <c r="N306" i="18"/>
  <c r="N304" i="18" s="1"/>
  <c r="M306" i="18"/>
  <c r="P306" i="18" s="1"/>
  <c r="L306" i="18"/>
  <c r="O306" i="18" s="1"/>
  <c r="P305" i="18"/>
  <c r="O305" i="18"/>
  <c r="N303" i="18"/>
  <c r="N301" i="18" s="1"/>
  <c r="M303" i="18"/>
  <c r="M301" i="18" s="1"/>
  <c r="L303" i="18"/>
  <c r="L301" i="18" s="1"/>
  <c r="P302" i="18"/>
  <c r="O302" i="18"/>
  <c r="P299" i="18"/>
  <c r="O299" i="18"/>
  <c r="N299" i="18"/>
  <c r="M299" i="18"/>
  <c r="L299" i="18"/>
  <c r="J297" i="18"/>
  <c r="I294" i="18"/>
  <c r="K294" i="18" s="1"/>
  <c r="I293" i="18"/>
  <c r="K293" i="18" s="1"/>
  <c r="I291" i="18"/>
  <c r="K291" i="18" s="1"/>
  <c r="I290" i="18"/>
  <c r="K290" i="18" s="1"/>
  <c r="I288" i="18"/>
  <c r="I275" i="18" s="1"/>
  <c r="I287" i="18"/>
  <c r="K287" i="18" s="1"/>
  <c r="N285" i="18"/>
  <c r="N283" i="18" s="1"/>
  <c r="M285" i="18"/>
  <c r="P285" i="18" s="1"/>
  <c r="L285" i="18"/>
  <c r="O285" i="18" s="1"/>
  <c r="P284" i="18"/>
  <c r="O284" i="18"/>
  <c r="N282" i="18"/>
  <c r="N280" i="18" s="1"/>
  <c r="M282" i="18"/>
  <c r="M280" i="18" s="1"/>
  <c r="L282" i="18"/>
  <c r="L280" i="18" s="1"/>
  <c r="P281" i="18"/>
  <c r="O281" i="18"/>
  <c r="O278" i="18"/>
  <c r="N278" i="18"/>
  <c r="M278" i="18"/>
  <c r="L278" i="18"/>
  <c r="J276" i="18"/>
  <c r="I271" i="18"/>
  <c r="K271" i="18" s="1"/>
  <c r="N269" i="18"/>
  <c r="N267" i="18" s="1"/>
  <c r="M269" i="18"/>
  <c r="L269" i="18"/>
  <c r="L267" i="18" s="1"/>
  <c r="O267" i="18" s="1"/>
  <c r="P268" i="18"/>
  <c r="O268" i="18"/>
  <c r="N266" i="18"/>
  <c r="M266" i="18"/>
  <c r="L266" i="18"/>
  <c r="P265" i="18"/>
  <c r="O265" i="18"/>
  <c r="P262" i="18"/>
  <c r="N262" i="18"/>
  <c r="M262" i="18"/>
  <c r="L262" i="18"/>
  <c r="J260" i="18"/>
  <c r="K258" i="18"/>
  <c r="K257" i="18"/>
  <c r="I255" i="18"/>
  <c r="L253" i="18"/>
  <c r="L252" i="18"/>
  <c r="L251" i="18"/>
  <c r="L250" i="18"/>
  <c r="P249" i="18"/>
  <c r="N249" i="18"/>
  <c r="J248" i="18"/>
  <c r="J226" i="18" s="1"/>
  <c r="J180" i="18" s="1"/>
  <c r="K247" i="18"/>
  <c r="K246" i="18"/>
  <c r="I244" i="18"/>
  <c r="K244" i="18" s="1"/>
  <c r="L242" i="18"/>
  <c r="L241" i="18"/>
  <c r="L240" i="18"/>
  <c r="L239" i="18"/>
  <c r="P238" i="18"/>
  <c r="N238" i="18"/>
  <c r="N227" i="18" s="1"/>
  <c r="J237" i="18"/>
  <c r="K236" i="18"/>
  <c r="J236" i="18"/>
  <c r="I236" i="18"/>
  <c r="K235" i="18"/>
  <c r="J235" i="18"/>
  <c r="I235" i="18"/>
  <c r="J233" i="18"/>
  <c r="N231" i="18"/>
  <c r="N230" i="18"/>
  <c r="N229" i="18"/>
  <c r="N228" i="18"/>
  <c r="I225" i="18"/>
  <c r="K225" i="18" s="1"/>
  <c r="I224" i="18"/>
  <c r="K224" i="18" s="1"/>
  <c r="I223" i="18"/>
  <c r="K223" i="18" s="1"/>
  <c r="L220" i="18"/>
  <c r="L219" i="18"/>
  <c r="L218" i="18"/>
  <c r="P217" i="18"/>
  <c r="N217" i="18"/>
  <c r="J216" i="18"/>
  <c r="I215" i="18"/>
  <c r="K215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L202" i="18"/>
  <c r="L201" i="18"/>
  <c r="L200" i="18"/>
  <c r="L199" i="18"/>
  <c r="P198" i="18"/>
  <c r="N198" i="18"/>
  <c r="J197" i="18"/>
  <c r="J194" i="18"/>
  <c r="I193" i="18"/>
  <c r="K193" i="18" s="1"/>
  <c r="P191" i="18"/>
  <c r="L191" i="18"/>
  <c r="O191" i="18" s="1"/>
  <c r="J190" i="18"/>
  <c r="N189" i="18"/>
  <c r="N187" i="18" s="1"/>
  <c r="M189" i="18"/>
  <c r="L189" i="18"/>
  <c r="O189" i="18" s="1"/>
  <c r="P188" i="18"/>
  <c r="O188" i="18"/>
  <c r="N186" i="18"/>
  <c r="M186" i="18"/>
  <c r="L186" i="18"/>
  <c r="P185" i="18"/>
  <c r="O185" i="18"/>
  <c r="P182" i="18"/>
  <c r="N182" i="18"/>
  <c r="M182" i="18"/>
  <c r="L182" i="18"/>
  <c r="J177" i="18"/>
  <c r="I176" i="18"/>
  <c r="K176" i="18" s="1"/>
  <c r="J174" i="18"/>
  <c r="N173" i="18"/>
  <c r="N171" i="18" s="1"/>
  <c r="M173" i="18"/>
  <c r="L173" i="18"/>
  <c r="O173" i="18" s="1"/>
  <c r="P172" i="18"/>
  <c r="O172" i="18"/>
  <c r="N170" i="18"/>
  <c r="N168" i="18" s="1"/>
  <c r="M170" i="18"/>
  <c r="L170" i="18"/>
  <c r="P169" i="18"/>
  <c r="O169" i="18"/>
  <c r="P166" i="18"/>
  <c r="N166" i="18"/>
  <c r="M166" i="18"/>
  <c r="L166" i="18"/>
  <c r="J164" i="18"/>
  <c r="I159" i="18"/>
  <c r="K159" i="18" s="1"/>
  <c r="N157" i="18"/>
  <c r="N155" i="18" s="1"/>
  <c r="M157" i="18"/>
  <c r="L157" i="18"/>
  <c r="O157" i="18" s="1"/>
  <c r="P156" i="18"/>
  <c r="O156" i="18"/>
  <c r="N154" i="18"/>
  <c r="M154" i="18"/>
  <c r="L154" i="18"/>
  <c r="L152" i="18" s="1"/>
  <c r="P153" i="18"/>
  <c r="O153" i="18"/>
  <c r="P150" i="18"/>
  <c r="N150" i="18"/>
  <c r="M150" i="18"/>
  <c r="L150" i="18"/>
  <c r="J148" i="18"/>
  <c r="I146" i="18"/>
  <c r="I145" i="18"/>
  <c r="I144" i="18"/>
  <c r="K144" i="18" s="1"/>
  <c r="N140" i="18"/>
  <c r="N138" i="18" s="1"/>
  <c r="M140" i="18"/>
  <c r="L140" i="18"/>
  <c r="P139" i="18"/>
  <c r="O139" i="18"/>
  <c r="N137" i="18"/>
  <c r="N135" i="18" s="1"/>
  <c r="M137" i="18"/>
  <c r="L137" i="18"/>
  <c r="P136" i="18"/>
  <c r="O136" i="18"/>
  <c r="O133" i="18"/>
  <c r="N133" i="18"/>
  <c r="M133" i="18"/>
  <c r="L133" i="18"/>
  <c r="J130" i="18"/>
  <c r="N127" i="18"/>
  <c r="N125" i="18" s="1"/>
  <c r="M127" i="18"/>
  <c r="L127" i="18"/>
  <c r="O127" i="18" s="1"/>
  <c r="P126" i="18"/>
  <c r="O126" i="18"/>
  <c r="N124" i="18"/>
  <c r="M124" i="18"/>
  <c r="L124" i="18"/>
  <c r="P123" i="18"/>
  <c r="O123" i="18"/>
  <c r="P120" i="18"/>
  <c r="N120" i="18"/>
  <c r="M120" i="18"/>
  <c r="L120" i="18"/>
  <c r="I116" i="18"/>
  <c r="I115" i="18"/>
  <c r="K115" i="18" s="1"/>
  <c r="I114" i="18"/>
  <c r="K114" i="18" s="1"/>
  <c r="I113" i="18"/>
  <c r="K113" i="18" s="1"/>
  <c r="J112" i="18"/>
  <c r="J111" i="18"/>
  <c r="I111" i="18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J87" i="18" s="1"/>
  <c r="I99" i="18"/>
  <c r="K99" i="18" s="1"/>
  <c r="J98" i="18"/>
  <c r="I98" i="18"/>
  <c r="I86" i="18" s="1"/>
  <c r="K86" i="18" s="1"/>
  <c r="N96" i="18"/>
  <c r="N94" i="18" s="1"/>
  <c r="M96" i="18"/>
  <c r="L96" i="18"/>
  <c r="O96" i="18" s="1"/>
  <c r="P95" i="18"/>
  <c r="O95" i="18"/>
  <c r="N93" i="18"/>
  <c r="N91" i="18" s="1"/>
  <c r="M93" i="18"/>
  <c r="L93" i="18"/>
  <c r="L91" i="18" s="1"/>
  <c r="P92" i="18"/>
  <c r="O92" i="18"/>
  <c r="P89" i="18"/>
  <c r="N89" i="18"/>
  <c r="M89" i="18"/>
  <c r="L89" i="18"/>
  <c r="J86" i="18"/>
  <c r="I84" i="18"/>
  <c r="K84" i="18" s="1"/>
  <c r="I83" i="18"/>
  <c r="K83" i="18" s="1"/>
  <c r="I82" i="18"/>
  <c r="K82" i="18" s="1"/>
  <c r="I81" i="18"/>
  <c r="K81" i="18" s="1"/>
  <c r="I80" i="18"/>
  <c r="I79" i="18"/>
  <c r="K79" i="18" s="1"/>
  <c r="I78" i="18"/>
  <c r="K78" i="18" s="1"/>
  <c r="J77" i="18"/>
  <c r="J76" i="18"/>
  <c r="J64" i="18" s="1"/>
  <c r="N74" i="18"/>
  <c r="N72" i="18" s="1"/>
  <c r="M74" i="18"/>
  <c r="P74" i="18" s="1"/>
  <c r="L74" i="18"/>
  <c r="P73" i="18"/>
  <c r="O73" i="18"/>
  <c r="N71" i="18"/>
  <c r="N69" i="18" s="1"/>
  <c r="M71" i="18"/>
  <c r="M69" i="18" s="1"/>
  <c r="L71" i="18"/>
  <c r="P70" i="18"/>
  <c r="O70" i="18"/>
  <c r="O67" i="18"/>
  <c r="N67" i="18"/>
  <c r="M67" i="18"/>
  <c r="L67" i="18"/>
  <c r="J65" i="18"/>
  <c r="N61" i="18"/>
  <c r="N59" i="18" s="1"/>
  <c r="M61" i="18"/>
  <c r="L61" i="18"/>
  <c r="P60" i="18"/>
  <c r="O60" i="18"/>
  <c r="N58" i="18"/>
  <c r="M58" i="18"/>
  <c r="L58" i="18"/>
  <c r="P57" i="18"/>
  <c r="O57" i="18"/>
  <c r="P54" i="18"/>
  <c r="N54" i="18"/>
  <c r="M54" i="18"/>
  <c r="L54" i="18"/>
  <c r="N49" i="18"/>
  <c r="M49" i="18"/>
  <c r="P49" i="18" s="1"/>
  <c r="L49" i="18"/>
  <c r="P48" i="18"/>
  <c r="O48" i="18"/>
  <c r="N46" i="18"/>
  <c r="N44" i="18" s="1"/>
  <c r="M46" i="18"/>
  <c r="M44" i="18" s="1"/>
  <c r="L46" i="18"/>
  <c r="P45" i="18"/>
  <c r="O45" i="18"/>
  <c r="O42" i="18"/>
  <c r="N42" i="18"/>
  <c r="M42" i="18"/>
  <c r="L42" i="18"/>
  <c r="N36" i="18"/>
  <c r="N30" i="18" s="1"/>
  <c r="N28" i="18" s="1"/>
  <c r="M36" i="18"/>
  <c r="P36" i="18" s="1"/>
  <c r="N35" i="18"/>
  <c r="M35" i="18"/>
  <c r="L35" i="18"/>
  <c r="O35" i="18" s="1"/>
  <c r="N34" i="18"/>
  <c r="N33" i="18"/>
  <c r="M33" i="18"/>
  <c r="M31" i="18" s="1"/>
  <c r="P31" i="18" s="1"/>
  <c r="P32" i="18"/>
  <c r="N32" i="18"/>
  <c r="N29" i="18" s="1"/>
  <c r="M32" i="18"/>
  <c r="L32" i="18"/>
  <c r="N31" i="18"/>
  <c r="O25" i="18"/>
  <c r="N25" i="18"/>
  <c r="M25" i="18"/>
  <c r="M15" i="18" s="1"/>
  <c r="L25" i="18"/>
  <c r="P22" i="18"/>
  <c r="O22" i="18"/>
  <c r="N22" i="18"/>
  <c r="N19" i="18" s="1"/>
  <c r="M22" i="18"/>
  <c r="L22" i="18"/>
  <c r="L19" i="18"/>
  <c r="O19" i="18" s="1"/>
  <c r="N15" i="18"/>
  <c r="M12" i="18"/>
  <c r="P12" i="18" s="1"/>
  <c r="L12" i="18"/>
  <c r="O12" i="18" s="1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P815" i="17"/>
  <c r="N815" i="17"/>
  <c r="M815" i="17"/>
  <c r="L815" i="17"/>
  <c r="O815" i="17" s="1"/>
  <c r="P810" i="17"/>
  <c r="O810" i="17"/>
  <c r="N810" i="17"/>
  <c r="P809" i="17"/>
  <c r="O809" i="17"/>
  <c r="P808" i="17"/>
  <c r="O808" i="17"/>
  <c r="N808" i="17"/>
  <c r="M808" i="17"/>
  <c r="L808" i="17"/>
  <c r="O807" i="17"/>
  <c r="N807" i="17"/>
  <c r="M807" i="17"/>
  <c r="P807" i="17" s="1"/>
  <c r="L807" i="17"/>
  <c r="N806" i="17"/>
  <c r="M806" i="17"/>
  <c r="L806" i="17"/>
  <c r="K804" i="17"/>
  <c r="J804" i="17"/>
  <c r="J803" i="17"/>
  <c r="I803" i="17"/>
  <c r="K803" i="17" s="1"/>
  <c r="J802" i="17"/>
  <c r="J801" i="17"/>
  <c r="I801" i="17"/>
  <c r="J800" i="17"/>
  <c r="P798" i="17"/>
  <c r="O798" i="17"/>
  <c r="P797" i="17"/>
  <c r="O797" i="17"/>
  <c r="N796" i="17"/>
  <c r="M796" i="17"/>
  <c r="P796" i="17" s="1"/>
  <c r="L796" i="17"/>
  <c r="O796" i="17" s="1"/>
  <c r="P791" i="17"/>
  <c r="N791" i="17"/>
  <c r="N788" i="17" s="1"/>
  <c r="L791" i="17"/>
  <c r="O791" i="17" s="1"/>
  <c r="P790" i="17"/>
  <c r="O790" i="17"/>
  <c r="N789" i="17"/>
  <c r="M789" i="17"/>
  <c r="P789" i="17" s="1"/>
  <c r="P788" i="17"/>
  <c r="M788" i="17"/>
  <c r="P787" i="17"/>
  <c r="O787" i="17"/>
  <c r="N787" i="17"/>
  <c r="M787" i="17"/>
  <c r="L787" i="17"/>
  <c r="P786" i="17"/>
  <c r="N786" i="17"/>
  <c r="M786" i="17"/>
  <c r="P782" i="17"/>
  <c r="O782" i="17"/>
  <c r="P781" i="17"/>
  <c r="O781" i="17"/>
  <c r="P780" i="17"/>
  <c r="O780" i="17"/>
  <c r="N780" i="17"/>
  <c r="M780" i="17"/>
  <c r="L780" i="17"/>
  <c r="P775" i="17"/>
  <c r="O775" i="17"/>
  <c r="N775" i="17"/>
  <c r="P774" i="17"/>
  <c r="O774" i="17"/>
  <c r="M773" i="17"/>
  <c r="P773" i="17" s="1"/>
  <c r="L773" i="17"/>
  <c r="O773" i="17" s="1"/>
  <c r="M772" i="17"/>
  <c r="P772" i="17" s="1"/>
  <c r="L772" i="17"/>
  <c r="O772" i="17" s="1"/>
  <c r="P771" i="17"/>
  <c r="N771" i="17"/>
  <c r="M771" i="17"/>
  <c r="M770" i="17" s="1"/>
  <c r="P770" i="17" s="1"/>
  <c r="L771" i="17"/>
  <c r="O771" i="17" s="1"/>
  <c r="K769" i="17"/>
  <c r="J769" i="17"/>
  <c r="P766" i="17"/>
  <c r="O766" i="17"/>
  <c r="P765" i="17"/>
  <c r="O765" i="17"/>
  <c r="P764" i="17"/>
  <c r="O764" i="17"/>
  <c r="N764" i="17"/>
  <c r="M764" i="17"/>
  <c r="L764" i="17"/>
  <c r="P759" i="17"/>
  <c r="O759" i="17"/>
  <c r="N759" i="17"/>
  <c r="P758" i="17"/>
  <c r="O758" i="17"/>
  <c r="M757" i="17"/>
  <c r="P757" i="17" s="1"/>
  <c r="L757" i="17"/>
  <c r="O757" i="17" s="1"/>
  <c r="M756" i="17"/>
  <c r="P756" i="17" s="1"/>
  <c r="L756" i="17"/>
  <c r="O756" i="17" s="1"/>
  <c r="P755" i="17"/>
  <c r="N755" i="17"/>
  <c r="M755" i="17"/>
  <c r="M754" i="17" s="1"/>
  <c r="P754" i="17" s="1"/>
  <c r="L755" i="17"/>
  <c r="O755" i="17" s="1"/>
  <c r="K753" i="17"/>
  <c r="J753" i="17"/>
  <c r="P749" i="17"/>
  <c r="O749" i="17"/>
  <c r="P748" i="17"/>
  <c r="O748" i="17"/>
  <c r="P747" i="17"/>
  <c r="O747" i="17"/>
  <c r="N747" i="17"/>
  <c r="M747" i="17"/>
  <c r="L747" i="17"/>
  <c r="P742" i="17"/>
  <c r="O742" i="17"/>
  <c r="N742" i="17"/>
  <c r="N739" i="17" s="1"/>
  <c r="N737" i="17" s="1"/>
  <c r="P741" i="17"/>
  <c r="O741" i="17"/>
  <c r="M740" i="17"/>
  <c r="P740" i="17" s="1"/>
  <c r="L740" i="17"/>
  <c r="O740" i="17" s="1"/>
  <c r="M739" i="17"/>
  <c r="P739" i="17" s="1"/>
  <c r="L739" i="17"/>
  <c r="O739" i="17" s="1"/>
  <c r="P738" i="17"/>
  <c r="N738" i="17"/>
  <c r="M738" i="17"/>
  <c r="M737" i="17" s="1"/>
  <c r="P737" i="17" s="1"/>
  <c r="L738" i="17"/>
  <c r="K736" i="17"/>
  <c r="J736" i="17"/>
  <c r="J729" i="17"/>
  <c r="I729" i="17"/>
  <c r="K729" i="17" s="1"/>
  <c r="J728" i="17"/>
  <c r="I728" i="17"/>
  <c r="K728" i="17" s="1"/>
  <c r="J727" i="17"/>
  <c r="J726" i="17"/>
  <c r="I726" i="17"/>
  <c r="K726" i="17" s="1"/>
  <c r="J725" i="17"/>
  <c r="I725" i="17"/>
  <c r="K725" i="17" s="1"/>
  <c r="J724" i="17"/>
  <c r="J723" i="17"/>
  <c r="I723" i="17"/>
  <c r="K723" i="17" s="1"/>
  <c r="I722" i="17"/>
  <c r="K722" i="17" s="1"/>
  <c r="I721" i="17"/>
  <c r="K721" i="17" s="1"/>
  <c r="J720" i="17"/>
  <c r="I720" i="17"/>
  <c r="K720" i="17" s="1"/>
  <c r="J719" i="17"/>
  <c r="J718" i="17"/>
  <c r="J708" i="17"/>
  <c r="I708" i="17"/>
  <c r="K708" i="17" s="1"/>
  <c r="I707" i="17"/>
  <c r="I704" i="17"/>
  <c r="J701" i="17"/>
  <c r="I701" i="17"/>
  <c r="K701" i="17" s="1"/>
  <c r="J700" i="17"/>
  <c r="I700" i="17"/>
  <c r="K700" i="17" s="1"/>
  <c r="J699" i="17"/>
  <c r="I699" i="17"/>
  <c r="K699" i="17" s="1"/>
  <c r="P697" i="17"/>
  <c r="O697" i="17"/>
  <c r="P696" i="17"/>
  <c r="O696" i="17"/>
  <c r="P695" i="17"/>
  <c r="O695" i="17"/>
  <c r="N695" i="17"/>
  <c r="M695" i="17"/>
  <c r="L695" i="17"/>
  <c r="P690" i="17"/>
  <c r="N690" i="17"/>
  <c r="L690" i="17"/>
  <c r="O690" i="17" s="1"/>
  <c r="M688" i="17"/>
  <c r="P688" i="17" s="1"/>
  <c r="P687" i="17"/>
  <c r="M687" i="17"/>
  <c r="P686" i="17"/>
  <c r="O686" i="17"/>
  <c r="N686" i="17"/>
  <c r="M686" i="17"/>
  <c r="L686" i="17"/>
  <c r="P685" i="17"/>
  <c r="M685" i="17"/>
  <c r="J679" i="17"/>
  <c r="J678" i="17"/>
  <c r="I678" i="17"/>
  <c r="K678" i="17" s="1"/>
  <c r="J675" i="17"/>
  <c r="I671" i="17"/>
  <c r="K671" i="17" s="1"/>
  <c r="I670" i="17"/>
  <c r="K670" i="17" s="1"/>
  <c r="J669" i="17"/>
  <c r="J654" i="17" s="1"/>
  <c r="I669" i="17"/>
  <c r="K669" i="17" s="1"/>
  <c r="P667" i="17"/>
  <c r="O667" i="17"/>
  <c r="P666" i="17"/>
  <c r="O666" i="17"/>
  <c r="P665" i="17"/>
  <c r="O665" i="17"/>
  <c r="N665" i="17"/>
  <c r="M665" i="17"/>
  <c r="L665" i="17"/>
  <c r="P660" i="17"/>
  <c r="N660" i="17"/>
  <c r="L660" i="17"/>
  <c r="L657" i="17" s="1"/>
  <c r="P659" i="17"/>
  <c r="O659" i="17"/>
  <c r="P658" i="17"/>
  <c r="N658" i="17"/>
  <c r="M658" i="17"/>
  <c r="L658" i="17"/>
  <c r="N657" i="17"/>
  <c r="M657" i="17"/>
  <c r="P657" i="17" s="1"/>
  <c r="N656" i="17"/>
  <c r="N655" i="17" s="1"/>
  <c r="M656" i="17"/>
  <c r="P656" i="17" s="1"/>
  <c r="L656" i="17"/>
  <c r="M655" i="17"/>
  <c r="P655" i="17" s="1"/>
  <c r="K652" i="17"/>
  <c r="J652" i="17"/>
  <c r="J651" i="17"/>
  <c r="J628" i="17" s="1"/>
  <c r="I651" i="17"/>
  <c r="I628" i="17" s="1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P640" i="17"/>
  <c r="O640" i="17"/>
  <c r="N639" i="17"/>
  <c r="M639" i="17"/>
  <c r="P639" i="17" s="1"/>
  <c r="P634" i="17"/>
  <c r="N634" i="17"/>
  <c r="L634" i="17"/>
  <c r="P633" i="17"/>
  <c r="O633" i="17"/>
  <c r="P632" i="17"/>
  <c r="N632" i="17"/>
  <c r="M632" i="17"/>
  <c r="L632" i="17"/>
  <c r="O632" i="17" s="1"/>
  <c r="P631" i="17"/>
  <c r="N631" i="17"/>
  <c r="M631" i="17"/>
  <c r="P630" i="17"/>
  <c r="O630" i="17"/>
  <c r="N630" i="17"/>
  <c r="N629" i="17" s="1"/>
  <c r="M630" i="17"/>
  <c r="L630" i="17"/>
  <c r="M629" i="17"/>
  <c r="P629" i="17" s="1"/>
  <c r="J621" i="17"/>
  <c r="I621" i="17"/>
  <c r="K621" i="17" s="1"/>
  <c r="J620" i="17"/>
  <c r="I620" i="17"/>
  <c r="K620" i="17" s="1"/>
  <c r="K613" i="17"/>
  <c r="J613" i="17"/>
  <c r="K612" i="17"/>
  <c r="J612" i="17"/>
  <c r="K611" i="17"/>
  <c r="J611" i="17"/>
  <c r="J604" i="17"/>
  <c r="J594" i="17" s="1"/>
  <c r="J603" i="17"/>
  <c r="J593" i="17" s="1"/>
  <c r="J596" i="17"/>
  <c r="J595" i="17"/>
  <c r="I594" i="17"/>
  <c r="I593" i="17"/>
  <c r="I592" i="17" s="1"/>
  <c r="J583" i="17"/>
  <c r="J577" i="17" s="1"/>
  <c r="J582" i="17"/>
  <c r="I577" i="17"/>
  <c r="J576" i="17"/>
  <c r="J559" i="17" s="1"/>
  <c r="I576" i="17"/>
  <c r="K576" i="17" s="1"/>
  <c r="J569" i="17"/>
  <c r="I569" i="17"/>
  <c r="K569" i="17" s="1"/>
  <c r="J568" i="17"/>
  <c r="I568" i="17"/>
  <c r="J561" i="17"/>
  <c r="I561" i="17"/>
  <c r="K561" i="17" s="1"/>
  <c r="J560" i="17"/>
  <c r="I560" i="17"/>
  <c r="P557" i="17"/>
  <c r="L557" i="17"/>
  <c r="L555" i="17" s="1"/>
  <c r="O555" i="17" s="1"/>
  <c r="P556" i="17"/>
  <c r="O556" i="17"/>
  <c r="P555" i="17"/>
  <c r="N555" i="17"/>
  <c r="N545" i="17" s="1"/>
  <c r="N544" i="17" s="1"/>
  <c r="M555" i="17"/>
  <c r="P549" i="17"/>
  <c r="N549" i="17"/>
  <c r="N547" i="17" s="1"/>
  <c r="L549" i="17"/>
  <c r="P548" i="17"/>
  <c r="O548" i="17"/>
  <c r="M547" i="17"/>
  <c r="P547" i="17" s="1"/>
  <c r="N546" i="17"/>
  <c r="M546" i="17"/>
  <c r="P546" i="17" s="1"/>
  <c r="M545" i="17"/>
  <c r="L545" i="17"/>
  <c r="O545" i="17" s="1"/>
  <c r="J543" i="17"/>
  <c r="I542" i="17"/>
  <c r="K542" i="17" s="1"/>
  <c r="I541" i="17"/>
  <c r="K541" i="17" s="1"/>
  <c r="I540" i="17"/>
  <c r="K540" i="17" s="1"/>
  <c r="I539" i="17"/>
  <c r="K539" i="17" s="1"/>
  <c r="I538" i="17"/>
  <c r="I537" i="17"/>
  <c r="K537" i="17" s="1"/>
  <c r="P535" i="17"/>
  <c r="L535" i="17"/>
  <c r="O535" i="17" s="1"/>
  <c r="P534" i="17"/>
  <c r="O534" i="17"/>
  <c r="N533" i="17"/>
  <c r="M533" i="17"/>
  <c r="P533" i="17" s="1"/>
  <c r="P528" i="17"/>
  <c r="N528" i="17"/>
  <c r="L528" i="17"/>
  <c r="O528" i="17" s="1"/>
  <c r="P527" i="17"/>
  <c r="O527" i="17"/>
  <c r="N526" i="17"/>
  <c r="M526" i="17"/>
  <c r="P526" i="17" s="1"/>
  <c r="P525" i="17"/>
  <c r="N525" i="17"/>
  <c r="M525" i="17"/>
  <c r="P524" i="17"/>
  <c r="O524" i="17"/>
  <c r="N524" i="17"/>
  <c r="M524" i="17"/>
  <c r="L524" i="17"/>
  <c r="P523" i="17"/>
  <c r="N523" i="17"/>
  <c r="M523" i="17"/>
  <c r="K517" i="17"/>
  <c r="J517" i="17"/>
  <c r="K516" i="17"/>
  <c r="P514" i="17"/>
  <c r="O514" i="17"/>
  <c r="P513" i="17"/>
  <c r="O513" i="17"/>
  <c r="N512" i="17"/>
  <c r="M512" i="17"/>
  <c r="P512" i="17" s="1"/>
  <c r="L512" i="17"/>
  <c r="O512" i="17" s="1"/>
  <c r="P507" i="17"/>
  <c r="O507" i="17"/>
  <c r="N507" i="17"/>
  <c r="N505" i="17" s="1"/>
  <c r="P506" i="17"/>
  <c r="O506" i="17"/>
  <c r="P505" i="17"/>
  <c r="O505" i="17"/>
  <c r="M505" i="17"/>
  <c r="L505" i="17"/>
  <c r="P504" i="17"/>
  <c r="O504" i="17"/>
  <c r="N504" i="17"/>
  <c r="M504" i="17"/>
  <c r="L504" i="17"/>
  <c r="O503" i="17"/>
  <c r="N503" i="17"/>
  <c r="M503" i="17"/>
  <c r="P503" i="17" s="1"/>
  <c r="L503" i="17"/>
  <c r="N502" i="17"/>
  <c r="M502" i="17"/>
  <c r="P502" i="17" s="1"/>
  <c r="L502" i="17"/>
  <c r="O502" i="17" s="1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O479" i="17" s="1"/>
  <c r="P478" i="17"/>
  <c r="O478" i="17"/>
  <c r="P477" i="17"/>
  <c r="N477" i="17"/>
  <c r="M477" i="17"/>
  <c r="P472" i="17"/>
  <c r="N472" i="17"/>
  <c r="L472" i="17"/>
  <c r="L470" i="17" s="1"/>
  <c r="O470" i="17" s="1"/>
  <c r="P471" i="17"/>
  <c r="O471" i="17"/>
  <c r="P470" i="17"/>
  <c r="N470" i="17"/>
  <c r="M470" i="17"/>
  <c r="P469" i="17"/>
  <c r="N469" i="17"/>
  <c r="M469" i="17"/>
  <c r="O468" i="17"/>
  <c r="N468" i="17"/>
  <c r="M468" i="17"/>
  <c r="P468" i="17" s="1"/>
  <c r="L468" i="17"/>
  <c r="M467" i="17"/>
  <c r="P467" i="17" s="1"/>
  <c r="J466" i="17"/>
  <c r="I466" i="17"/>
  <c r="K466" i="17" s="1"/>
  <c r="J465" i="17"/>
  <c r="I465" i="17"/>
  <c r="K465" i="17" s="1"/>
  <c r="I464" i="17"/>
  <c r="I463" i="17"/>
  <c r="I462" i="17"/>
  <c r="I460" i="17"/>
  <c r="K458" i="17"/>
  <c r="P456" i="17"/>
  <c r="L456" i="17"/>
  <c r="O456" i="17" s="1"/>
  <c r="P455" i="17"/>
  <c r="O455" i="17"/>
  <c r="N454" i="17"/>
  <c r="M454" i="17"/>
  <c r="P454" i="17" s="1"/>
  <c r="P449" i="17"/>
  <c r="N449" i="17"/>
  <c r="L449" i="17"/>
  <c r="P448" i="17"/>
  <c r="O448" i="17"/>
  <c r="P447" i="17"/>
  <c r="N447" i="17"/>
  <c r="M447" i="17"/>
  <c r="L447" i="17"/>
  <c r="O447" i="17" s="1"/>
  <c r="P446" i="17"/>
  <c r="N446" i="17"/>
  <c r="M446" i="17"/>
  <c r="P445" i="17"/>
  <c r="O445" i="17"/>
  <c r="N445" i="17"/>
  <c r="M445" i="17"/>
  <c r="L445" i="17"/>
  <c r="N444" i="17"/>
  <c r="M444" i="17"/>
  <c r="P444" i="17" s="1"/>
  <c r="J443" i="17"/>
  <c r="J442" i="17"/>
  <c r="I441" i="17"/>
  <c r="K441" i="17" s="1"/>
  <c r="I440" i="17"/>
  <c r="K440" i="17" s="1"/>
  <c r="I439" i="17"/>
  <c r="I438" i="17"/>
  <c r="K438" i="17" s="1"/>
  <c r="I437" i="17"/>
  <c r="K437" i="17" s="1"/>
  <c r="I435" i="17"/>
  <c r="K435" i="17" s="1"/>
  <c r="J434" i="17"/>
  <c r="P431" i="17"/>
  <c r="L431" i="17"/>
  <c r="P430" i="17"/>
  <c r="O430" i="17"/>
  <c r="N429" i="17"/>
  <c r="M429" i="17"/>
  <c r="P429" i="17" s="1"/>
  <c r="P424" i="17"/>
  <c r="N424" i="17"/>
  <c r="N421" i="17" s="1"/>
  <c r="L424" i="17"/>
  <c r="O424" i="17" s="1"/>
  <c r="P423" i="17"/>
  <c r="O423" i="17"/>
  <c r="N422" i="17"/>
  <c r="M422" i="17"/>
  <c r="P422" i="17" s="1"/>
  <c r="P421" i="17"/>
  <c r="M421" i="17"/>
  <c r="P420" i="17"/>
  <c r="O420" i="17"/>
  <c r="N420" i="17"/>
  <c r="M420" i="17"/>
  <c r="L420" i="17"/>
  <c r="M419" i="17"/>
  <c r="J418" i="17"/>
  <c r="K413" i="17"/>
  <c r="K412" i="17"/>
  <c r="N410" i="17"/>
  <c r="N408" i="17" s="1"/>
  <c r="M410" i="17"/>
  <c r="M408" i="17" s="1"/>
  <c r="P408" i="17" s="1"/>
  <c r="L410" i="17"/>
  <c r="O410" i="17" s="1"/>
  <c r="P409" i="17"/>
  <c r="O409" i="17"/>
  <c r="N407" i="17"/>
  <c r="M407" i="17"/>
  <c r="M405" i="17" s="1"/>
  <c r="P405" i="17" s="1"/>
  <c r="L407" i="17"/>
  <c r="O407" i="17" s="1"/>
  <c r="P406" i="17"/>
  <c r="O406" i="17"/>
  <c r="O403" i="17"/>
  <c r="N403" i="17"/>
  <c r="M403" i="17"/>
  <c r="P403" i="17" s="1"/>
  <c r="L403" i="17"/>
  <c r="K401" i="17"/>
  <c r="J401" i="17"/>
  <c r="I401" i="17"/>
  <c r="K400" i="17"/>
  <c r="K399" i="17"/>
  <c r="N397" i="17"/>
  <c r="N395" i="17" s="1"/>
  <c r="M397" i="17"/>
  <c r="P397" i="17" s="1"/>
  <c r="L397" i="17"/>
  <c r="O397" i="17" s="1"/>
  <c r="P396" i="17"/>
  <c r="O396" i="17"/>
  <c r="N394" i="17"/>
  <c r="N392" i="17" s="1"/>
  <c r="M394" i="17"/>
  <c r="P394" i="17" s="1"/>
  <c r="L394" i="17"/>
  <c r="P393" i="17"/>
  <c r="O393" i="17"/>
  <c r="P390" i="17"/>
  <c r="O390" i="17"/>
  <c r="N390" i="17"/>
  <c r="M390" i="17"/>
  <c r="L390" i="17"/>
  <c r="J388" i="17"/>
  <c r="I388" i="17"/>
  <c r="K388" i="17" s="1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N351" i="17" s="1"/>
  <c r="M353" i="17"/>
  <c r="M351" i="17" s="1"/>
  <c r="L353" i="17"/>
  <c r="L351" i="17" s="1"/>
  <c r="P352" i="17"/>
  <c r="O352" i="17"/>
  <c r="N350" i="17"/>
  <c r="M350" i="17"/>
  <c r="L350" i="17"/>
  <c r="L348" i="17" s="1"/>
  <c r="P349" i="17"/>
  <c r="O349" i="17"/>
  <c r="P346" i="17"/>
  <c r="O346" i="17"/>
  <c r="N346" i="17"/>
  <c r="M346" i="17"/>
  <c r="L346" i="17"/>
  <c r="J343" i="17"/>
  <c r="J342" i="17"/>
  <c r="J341" i="17"/>
  <c r="J340" i="17"/>
  <c r="I340" i="17"/>
  <c r="J338" i="17"/>
  <c r="I338" i="17"/>
  <c r="N336" i="17"/>
  <c r="M336" i="17"/>
  <c r="M334" i="17" s="1"/>
  <c r="P334" i="17" s="1"/>
  <c r="L336" i="17"/>
  <c r="O336" i="17" s="1"/>
  <c r="P335" i="17"/>
  <c r="O335" i="17"/>
  <c r="N333" i="17"/>
  <c r="N331" i="17" s="1"/>
  <c r="M333" i="17"/>
  <c r="L333" i="17"/>
  <c r="L331" i="17" s="1"/>
  <c r="P332" i="17"/>
  <c r="O332" i="17"/>
  <c r="P329" i="17"/>
  <c r="O329" i="17"/>
  <c r="N329" i="17"/>
  <c r="M329" i="17"/>
  <c r="L329" i="17"/>
  <c r="I327" i="17"/>
  <c r="I325" i="17"/>
  <c r="I314" i="17" s="1"/>
  <c r="K314" i="17" s="1"/>
  <c r="N323" i="17"/>
  <c r="N321" i="17" s="1"/>
  <c r="M323" i="17"/>
  <c r="P323" i="17" s="1"/>
  <c r="L323" i="17"/>
  <c r="P322" i="17"/>
  <c r="O322" i="17"/>
  <c r="N320" i="17"/>
  <c r="M320" i="17"/>
  <c r="P320" i="17" s="1"/>
  <c r="L320" i="17"/>
  <c r="O320" i="17" s="1"/>
  <c r="P319" i="17"/>
  <c r="O319" i="17"/>
  <c r="P316" i="17"/>
  <c r="N316" i="17"/>
  <c r="M316" i="17"/>
  <c r="L316" i="17"/>
  <c r="O316" i="17" s="1"/>
  <c r="J314" i="17"/>
  <c r="I312" i="17"/>
  <c r="K312" i="17" s="1"/>
  <c r="I311" i="17"/>
  <c r="K311" i="17" s="1"/>
  <c r="I310" i="17"/>
  <c r="K310" i="17" s="1"/>
  <c r="I309" i="17"/>
  <c r="K309" i="17" s="1"/>
  <c r="N306" i="17"/>
  <c r="M306" i="17"/>
  <c r="L306" i="17"/>
  <c r="O306" i="17" s="1"/>
  <c r="P305" i="17"/>
  <c r="O305" i="17"/>
  <c r="N303" i="17"/>
  <c r="N301" i="17" s="1"/>
  <c r="M303" i="17"/>
  <c r="L303" i="17"/>
  <c r="P302" i="17"/>
  <c r="O302" i="17"/>
  <c r="N299" i="17"/>
  <c r="M299" i="17"/>
  <c r="P299" i="17" s="1"/>
  <c r="L299" i="17"/>
  <c r="J297" i="17"/>
  <c r="I294" i="17"/>
  <c r="K294" i="17" s="1"/>
  <c r="I293" i="17"/>
  <c r="K293" i="17" s="1"/>
  <c r="I291" i="17"/>
  <c r="K291" i="17" s="1"/>
  <c r="I290" i="17"/>
  <c r="K290" i="17" s="1"/>
  <c r="I288" i="17"/>
  <c r="I275" i="17" s="1"/>
  <c r="I287" i="17"/>
  <c r="K287" i="17" s="1"/>
  <c r="N285" i="17"/>
  <c r="N283" i="17" s="1"/>
  <c r="M285" i="17"/>
  <c r="L285" i="17"/>
  <c r="L283" i="17" s="1"/>
  <c r="O283" i="17" s="1"/>
  <c r="P284" i="17"/>
  <c r="O284" i="17"/>
  <c r="N282" i="17"/>
  <c r="M282" i="17"/>
  <c r="M280" i="17" s="1"/>
  <c r="L282" i="17"/>
  <c r="L280" i="17" s="1"/>
  <c r="P281" i="17"/>
  <c r="O281" i="17"/>
  <c r="P278" i="17"/>
  <c r="O278" i="17"/>
  <c r="N278" i="17"/>
  <c r="M278" i="17"/>
  <c r="L278" i="17"/>
  <c r="J276" i="17"/>
  <c r="I271" i="17"/>
  <c r="K271" i="17" s="1"/>
  <c r="N269" i="17"/>
  <c r="N267" i="17" s="1"/>
  <c r="M269" i="17"/>
  <c r="M267" i="17" s="1"/>
  <c r="P267" i="17" s="1"/>
  <c r="L269" i="17"/>
  <c r="O269" i="17" s="1"/>
  <c r="P268" i="17"/>
  <c r="O268" i="17"/>
  <c r="N266" i="17"/>
  <c r="N264" i="17" s="1"/>
  <c r="M266" i="17"/>
  <c r="L266" i="17"/>
  <c r="L264" i="17" s="1"/>
  <c r="P265" i="17"/>
  <c r="O265" i="17"/>
  <c r="O262" i="17"/>
  <c r="N262" i="17"/>
  <c r="M262" i="17"/>
  <c r="P262" i="17" s="1"/>
  <c r="L262" i="17"/>
  <c r="J260" i="17"/>
  <c r="K258" i="17"/>
  <c r="K257" i="17"/>
  <c r="I255" i="17"/>
  <c r="I248" i="17" s="1"/>
  <c r="K248" i="17" s="1"/>
  <c r="L253" i="17"/>
  <c r="L252" i="17"/>
  <c r="L251" i="17"/>
  <c r="L250" i="17"/>
  <c r="P249" i="17"/>
  <c r="N249" i="17"/>
  <c r="J248" i="17"/>
  <c r="K247" i="17"/>
  <c r="K246" i="17"/>
  <c r="I244" i="17"/>
  <c r="L242" i="17"/>
  <c r="L241" i="17"/>
  <c r="L240" i="17"/>
  <c r="L239" i="17"/>
  <c r="P238" i="17"/>
  <c r="N238" i="17"/>
  <c r="N227" i="17" s="1"/>
  <c r="J237" i="17"/>
  <c r="K236" i="17"/>
  <c r="J236" i="17"/>
  <c r="I236" i="17"/>
  <c r="K235" i="17"/>
  <c r="J235" i="17"/>
  <c r="I235" i="17"/>
  <c r="J233" i="17"/>
  <c r="N231" i="17"/>
  <c r="N230" i="17"/>
  <c r="N229" i="17"/>
  <c r="N228" i="17"/>
  <c r="J226" i="17"/>
  <c r="I225" i="17"/>
  <c r="K225" i="17" s="1"/>
  <c r="I224" i="17"/>
  <c r="I216" i="17" s="1"/>
  <c r="K216" i="17" s="1"/>
  <c r="I223" i="17"/>
  <c r="K223" i="17" s="1"/>
  <c r="L220" i="17"/>
  <c r="L219" i="17"/>
  <c r="L218" i="17"/>
  <c r="P217" i="17"/>
  <c r="N217" i="17"/>
  <c r="J216" i="17"/>
  <c r="I215" i="17"/>
  <c r="I208" i="17" s="1"/>
  <c r="K208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I197" i="17" s="1"/>
  <c r="K197" i="17" s="1"/>
  <c r="L202" i="17"/>
  <c r="L201" i="17"/>
  <c r="L200" i="17"/>
  <c r="L199" i="17"/>
  <c r="P198" i="17"/>
  <c r="N198" i="17"/>
  <c r="J197" i="17"/>
  <c r="J194" i="17"/>
  <c r="I193" i="17"/>
  <c r="I190" i="17" s="1"/>
  <c r="K190" i="17" s="1"/>
  <c r="P191" i="17"/>
  <c r="L191" i="17"/>
  <c r="O191" i="17" s="1"/>
  <c r="J190" i="17"/>
  <c r="N189" i="17"/>
  <c r="N187" i="17" s="1"/>
  <c r="M189" i="17"/>
  <c r="P189" i="17" s="1"/>
  <c r="L189" i="17"/>
  <c r="O189" i="17" s="1"/>
  <c r="P188" i="17"/>
  <c r="O188" i="17"/>
  <c r="N186" i="17"/>
  <c r="M186" i="17"/>
  <c r="M184" i="17" s="1"/>
  <c r="L186" i="17"/>
  <c r="L184" i="17" s="1"/>
  <c r="P185" i="17"/>
  <c r="O185" i="17"/>
  <c r="N182" i="17"/>
  <c r="M182" i="17"/>
  <c r="L182" i="17"/>
  <c r="O182" i="17" s="1"/>
  <c r="J180" i="17"/>
  <c r="J177" i="17"/>
  <c r="I176" i="17"/>
  <c r="K176" i="17" s="1"/>
  <c r="J174" i="17"/>
  <c r="N173" i="17"/>
  <c r="N171" i="17" s="1"/>
  <c r="M173" i="17"/>
  <c r="P173" i="17" s="1"/>
  <c r="L173" i="17"/>
  <c r="O173" i="17" s="1"/>
  <c r="P172" i="17"/>
  <c r="O172" i="17"/>
  <c r="N170" i="17"/>
  <c r="N168" i="17" s="1"/>
  <c r="M170" i="17"/>
  <c r="L170" i="17"/>
  <c r="P169" i="17"/>
  <c r="O169" i="17"/>
  <c r="N166" i="17"/>
  <c r="M166" i="17"/>
  <c r="L166" i="17"/>
  <c r="J164" i="17"/>
  <c r="I159" i="17"/>
  <c r="K159" i="17" s="1"/>
  <c r="N157" i="17"/>
  <c r="N155" i="17" s="1"/>
  <c r="M157" i="17"/>
  <c r="P157" i="17" s="1"/>
  <c r="L157" i="17"/>
  <c r="L155" i="17" s="1"/>
  <c r="O155" i="17" s="1"/>
  <c r="P156" i="17"/>
  <c r="O156" i="17"/>
  <c r="N154" i="17"/>
  <c r="M154" i="17"/>
  <c r="P154" i="17" s="1"/>
  <c r="L154" i="17"/>
  <c r="P153" i="17"/>
  <c r="O153" i="17"/>
  <c r="O150" i="17"/>
  <c r="N150" i="17"/>
  <c r="M150" i="17"/>
  <c r="P150" i="17" s="1"/>
  <c r="L150" i="17"/>
  <c r="J148" i="17"/>
  <c r="I146" i="17"/>
  <c r="I130" i="17" s="1"/>
  <c r="K130" i="17" s="1"/>
  <c r="I145" i="17"/>
  <c r="K145" i="17" s="1"/>
  <c r="I144" i="17"/>
  <c r="N140" i="17"/>
  <c r="N138" i="17" s="1"/>
  <c r="M140" i="17"/>
  <c r="P140" i="17" s="1"/>
  <c r="L140" i="17"/>
  <c r="O140" i="17" s="1"/>
  <c r="P139" i="17"/>
  <c r="O139" i="17"/>
  <c r="N137" i="17"/>
  <c r="M137" i="17"/>
  <c r="M135" i="17" s="1"/>
  <c r="P135" i="17" s="1"/>
  <c r="L137" i="17"/>
  <c r="O137" i="17" s="1"/>
  <c r="P136" i="17"/>
  <c r="O136" i="17"/>
  <c r="P133" i="17"/>
  <c r="O133" i="17"/>
  <c r="N133" i="17"/>
  <c r="M133" i="17"/>
  <c r="L133" i="17"/>
  <c r="J130" i="17"/>
  <c r="N127" i="17"/>
  <c r="N125" i="17" s="1"/>
  <c r="M127" i="17"/>
  <c r="P127" i="17" s="1"/>
  <c r="L127" i="17"/>
  <c r="P126" i="17"/>
  <c r="O126" i="17"/>
  <c r="N124" i="17"/>
  <c r="N122" i="17" s="1"/>
  <c r="M124" i="17"/>
  <c r="P124" i="17" s="1"/>
  <c r="L124" i="17"/>
  <c r="P123" i="17"/>
  <c r="O123" i="17"/>
  <c r="O120" i="17"/>
  <c r="N120" i="17"/>
  <c r="M120" i="17"/>
  <c r="P120" i="17" s="1"/>
  <c r="L120" i="17"/>
  <c r="I116" i="17"/>
  <c r="I115" i="17"/>
  <c r="K115" i="17" s="1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J99" i="17"/>
  <c r="I99" i="17"/>
  <c r="K99" i="17" s="1"/>
  <c r="J98" i="17"/>
  <c r="J86" i="17" s="1"/>
  <c r="I98" i="17"/>
  <c r="I86" i="17" s="1"/>
  <c r="K86" i="17" s="1"/>
  <c r="N96" i="17"/>
  <c r="N94" i="17" s="1"/>
  <c r="M96" i="17"/>
  <c r="P96" i="17" s="1"/>
  <c r="L96" i="17"/>
  <c r="O96" i="17" s="1"/>
  <c r="P95" i="17"/>
  <c r="O95" i="17"/>
  <c r="N93" i="17"/>
  <c r="M93" i="17"/>
  <c r="M91" i="17" s="1"/>
  <c r="L93" i="17"/>
  <c r="L91" i="17" s="1"/>
  <c r="P92" i="17"/>
  <c r="O92" i="17"/>
  <c r="N89" i="17"/>
  <c r="M89" i="17"/>
  <c r="L89" i="17"/>
  <c r="O89" i="17" s="1"/>
  <c r="J87" i="17"/>
  <c r="I84" i="17"/>
  <c r="K84" i="17" s="1"/>
  <c r="I83" i="17"/>
  <c r="K83" i="17" s="1"/>
  <c r="I82" i="17"/>
  <c r="K82" i="17" s="1"/>
  <c r="I81" i="17"/>
  <c r="K81" i="17" s="1"/>
  <c r="I80" i="17"/>
  <c r="I79" i="17"/>
  <c r="I78" i="17"/>
  <c r="K78" i="17" s="1"/>
  <c r="J77" i="17"/>
  <c r="J76" i="17"/>
  <c r="J64" i="17" s="1"/>
  <c r="N74" i="17"/>
  <c r="N72" i="17" s="1"/>
  <c r="M74" i="17"/>
  <c r="P74" i="17" s="1"/>
  <c r="L74" i="17"/>
  <c r="O74" i="17" s="1"/>
  <c r="P73" i="17"/>
  <c r="O73" i="17"/>
  <c r="N71" i="17"/>
  <c r="N69" i="17" s="1"/>
  <c r="M71" i="17"/>
  <c r="P71" i="17" s="1"/>
  <c r="L71" i="17"/>
  <c r="O71" i="17" s="1"/>
  <c r="P70" i="17"/>
  <c r="O70" i="17"/>
  <c r="P67" i="17"/>
  <c r="N67" i="17"/>
  <c r="M67" i="17"/>
  <c r="L67" i="17"/>
  <c r="O67" i="17" s="1"/>
  <c r="J65" i="17"/>
  <c r="N61" i="17"/>
  <c r="N59" i="17" s="1"/>
  <c r="M61" i="17"/>
  <c r="M59" i="17" s="1"/>
  <c r="L61" i="17"/>
  <c r="L59" i="17" s="1"/>
  <c r="P60" i="17"/>
  <c r="O60" i="17"/>
  <c r="N58" i="17"/>
  <c r="M58" i="17"/>
  <c r="M56" i="17" s="1"/>
  <c r="L58" i="17"/>
  <c r="L56" i="17" s="1"/>
  <c r="P57" i="17"/>
  <c r="O57" i="17"/>
  <c r="N54" i="17"/>
  <c r="M54" i="17"/>
  <c r="P54" i="17" s="1"/>
  <c r="L54" i="17"/>
  <c r="O54" i="17" s="1"/>
  <c r="N49" i="17"/>
  <c r="N47" i="17" s="1"/>
  <c r="M49" i="17"/>
  <c r="P49" i="17" s="1"/>
  <c r="L49" i="17"/>
  <c r="O49" i="17" s="1"/>
  <c r="P48" i="17"/>
  <c r="O48" i="17"/>
  <c r="N46" i="17"/>
  <c r="N44" i="17" s="1"/>
  <c r="M46" i="17"/>
  <c r="M44" i="17" s="1"/>
  <c r="L46" i="17"/>
  <c r="L44" i="17" s="1"/>
  <c r="P45" i="17"/>
  <c r="O45" i="17"/>
  <c r="P42" i="17"/>
  <c r="N42" i="17"/>
  <c r="M42" i="17"/>
  <c r="L42" i="17"/>
  <c r="O42" i="17" s="1"/>
  <c r="N36" i="17"/>
  <c r="M36" i="17"/>
  <c r="P36" i="17" s="1"/>
  <c r="N35" i="17"/>
  <c r="N34" i="17" s="1"/>
  <c r="M35" i="17"/>
  <c r="P35" i="17" s="1"/>
  <c r="L35" i="17"/>
  <c r="O35" i="17" s="1"/>
  <c r="P34" i="17"/>
  <c r="M34" i="17"/>
  <c r="P33" i="17"/>
  <c r="N33" i="17"/>
  <c r="M33" i="17"/>
  <c r="P32" i="17"/>
  <c r="O32" i="17"/>
  <c r="N32" i="17"/>
  <c r="M32" i="17"/>
  <c r="L32" i="17"/>
  <c r="P31" i="17"/>
  <c r="N31" i="17"/>
  <c r="M31" i="17"/>
  <c r="N30" i="17"/>
  <c r="M30" i="17"/>
  <c r="P30" i="17" s="1"/>
  <c r="N29" i="17"/>
  <c r="N28" i="17" s="1"/>
  <c r="M29" i="17"/>
  <c r="P29" i="17" s="1"/>
  <c r="P28" i="17"/>
  <c r="M28" i="17"/>
  <c r="P25" i="17"/>
  <c r="O25" i="17"/>
  <c r="N25" i="17"/>
  <c r="N19" i="17" s="1"/>
  <c r="M25" i="17"/>
  <c r="L25" i="17"/>
  <c r="N22" i="17"/>
  <c r="M22" i="17"/>
  <c r="L22" i="17"/>
  <c r="N15" i="17"/>
  <c r="M15" i="17"/>
  <c r="P15" i="17" s="1"/>
  <c r="N12" i="17"/>
  <c r="N9" i="17"/>
  <c r="J828" i="16"/>
  <c r="I828" i="16"/>
  <c r="J827" i="16"/>
  <c r="I827" i="16"/>
  <c r="J826" i="16"/>
  <c r="I826" i="16"/>
  <c r="J825" i="16"/>
  <c r="I825" i="16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O815" i="16"/>
  <c r="N815" i="16"/>
  <c r="M815" i="16"/>
  <c r="L815" i="16"/>
  <c r="P810" i="16"/>
  <c r="O810" i="16"/>
  <c r="N810" i="16"/>
  <c r="N807" i="16" s="1"/>
  <c r="N805" i="16" s="1"/>
  <c r="P809" i="16"/>
  <c r="O809" i="16"/>
  <c r="O808" i="16"/>
  <c r="N808" i="16"/>
  <c r="M808" i="16"/>
  <c r="P808" i="16" s="1"/>
  <c r="L808" i="16"/>
  <c r="M807" i="16"/>
  <c r="P807" i="16" s="1"/>
  <c r="L807" i="16"/>
  <c r="O807" i="16" s="1"/>
  <c r="N806" i="16"/>
  <c r="M806" i="16"/>
  <c r="P806" i="16" s="1"/>
  <c r="L806" i="16"/>
  <c r="K804" i="16"/>
  <c r="J804" i="16"/>
  <c r="K802" i="16"/>
  <c r="J801" i="16"/>
  <c r="J800" i="16"/>
  <c r="J785" i="16" s="1"/>
  <c r="I800" i="16"/>
  <c r="P798" i="16"/>
  <c r="O798" i="16"/>
  <c r="P797" i="16"/>
  <c r="O797" i="16"/>
  <c r="P796" i="16"/>
  <c r="O796" i="16"/>
  <c r="N796" i="16"/>
  <c r="M796" i="16"/>
  <c r="L796" i="16"/>
  <c r="P791" i="16"/>
  <c r="N791" i="16"/>
  <c r="N788" i="16" s="1"/>
  <c r="N786" i="16" s="1"/>
  <c r="L791" i="16"/>
  <c r="L789" i="16" s="1"/>
  <c r="O789" i="16" s="1"/>
  <c r="P790" i="16"/>
  <c r="O790" i="16"/>
  <c r="M789" i="16"/>
  <c r="P789" i="16" s="1"/>
  <c r="M788" i="16"/>
  <c r="P788" i="16" s="1"/>
  <c r="N787" i="16"/>
  <c r="M787" i="16"/>
  <c r="P787" i="16" s="1"/>
  <c r="L787" i="16"/>
  <c r="P782" i="16"/>
  <c r="O782" i="16"/>
  <c r="P781" i="16"/>
  <c r="O781" i="16"/>
  <c r="P780" i="16"/>
  <c r="N780" i="16"/>
  <c r="M780" i="16"/>
  <c r="L780" i="16"/>
  <c r="O780" i="16" s="1"/>
  <c r="P775" i="16"/>
  <c r="O775" i="16"/>
  <c r="N775" i="16"/>
  <c r="P774" i="16"/>
  <c r="O774" i="16"/>
  <c r="O773" i="16"/>
  <c r="N773" i="16"/>
  <c r="M773" i="16"/>
  <c r="P773" i="16" s="1"/>
  <c r="L773" i="16"/>
  <c r="N772" i="16"/>
  <c r="M772" i="16"/>
  <c r="P772" i="16" s="1"/>
  <c r="L772" i="16"/>
  <c r="O772" i="16" s="1"/>
  <c r="N771" i="16"/>
  <c r="N770" i="16" s="1"/>
  <c r="M771" i="16"/>
  <c r="L771" i="16"/>
  <c r="O771" i="16" s="1"/>
  <c r="L770" i="16"/>
  <c r="O770" i="16" s="1"/>
  <c r="K769" i="16"/>
  <c r="J769" i="16"/>
  <c r="P766" i="16"/>
  <c r="O766" i="16"/>
  <c r="P765" i="16"/>
  <c r="O765" i="16"/>
  <c r="P764" i="16"/>
  <c r="O764" i="16"/>
  <c r="N764" i="16"/>
  <c r="M764" i="16"/>
  <c r="L764" i="16"/>
  <c r="P759" i="16"/>
  <c r="O759" i="16"/>
  <c r="N759" i="16"/>
  <c r="P758" i="16"/>
  <c r="O758" i="16"/>
  <c r="O757" i="16"/>
  <c r="N757" i="16"/>
  <c r="M757" i="16"/>
  <c r="P757" i="16" s="1"/>
  <c r="L757" i="16"/>
  <c r="N756" i="16"/>
  <c r="N754" i="16" s="1"/>
  <c r="M756" i="16"/>
  <c r="P756" i="16" s="1"/>
  <c r="L756" i="16"/>
  <c r="O756" i="16" s="1"/>
  <c r="N755" i="16"/>
  <c r="M755" i="16"/>
  <c r="L755" i="16"/>
  <c r="O755" i="16" s="1"/>
  <c r="L754" i="16"/>
  <c r="O754" i="16" s="1"/>
  <c r="K753" i="16"/>
  <c r="J753" i="16"/>
  <c r="P749" i="16"/>
  <c r="O749" i="16"/>
  <c r="P748" i="16"/>
  <c r="O748" i="16"/>
  <c r="P747" i="16"/>
  <c r="O747" i="16"/>
  <c r="N747" i="16"/>
  <c r="M747" i="16"/>
  <c r="L747" i="16"/>
  <c r="P742" i="16"/>
  <c r="O742" i="16"/>
  <c r="N742" i="16"/>
  <c r="P741" i="16"/>
  <c r="O741" i="16"/>
  <c r="O740" i="16"/>
  <c r="N740" i="16"/>
  <c r="M740" i="16"/>
  <c r="P740" i="16" s="1"/>
  <c r="L740" i="16"/>
  <c r="N739" i="16"/>
  <c r="N737" i="16" s="1"/>
  <c r="M739" i="16"/>
  <c r="P739" i="16" s="1"/>
  <c r="L739" i="16"/>
  <c r="O739" i="16" s="1"/>
  <c r="N738" i="16"/>
  <c r="M738" i="16"/>
  <c r="L738" i="16"/>
  <c r="O738" i="16" s="1"/>
  <c r="L737" i="16"/>
  <c r="O737" i="16" s="1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J724" i="16"/>
  <c r="J723" i="16"/>
  <c r="I723" i="16"/>
  <c r="I722" i="16"/>
  <c r="I721" i="16"/>
  <c r="J720" i="16"/>
  <c r="I720" i="16"/>
  <c r="J719" i="16"/>
  <c r="J718" i="16"/>
  <c r="J708" i="16"/>
  <c r="I708" i="16"/>
  <c r="K708" i="16" s="1"/>
  <c r="I707" i="16"/>
  <c r="I704" i="16"/>
  <c r="J701" i="16"/>
  <c r="I701" i="16"/>
  <c r="J700" i="16"/>
  <c r="I700" i="16"/>
  <c r="K700" i="16" s="1"/>
  <c r="J699" i="16"/>
  <c r="I699" i="16"/>
  <c r="K699" i="16" s="1"/>
  <c r="P697" i="16"/>
  <c r="O697" i="16"/>
  <c r="P696" i="16"/>
  <c r="O696" i="16"/>
  <c r="P695" i="16"/>
  <c r="O695" i="16"/>
  <c r="N695" i="16"/>
  <c r="M695" i="16"/>
  <c r="L695" i="16"/>
  <c r="P690" i="16"/>
  <c r="N690" i="16"/>
  <c r="N687" i="16" s="1"/>
  <c r="N685" i="16" s="1"/>
  <c r="L690" i="16"/>
  <c r="O690" i="16" s="1"/>
  <c r="N688" i="16"/>
  <c r="M688" i="16"/>
  <c r="P688" i="16" s="1"/>
  <c r="M687" i="16"/>
  <c r="P686" i="16"/>
  <c r="N686" i="16"/>
  <c r="M686" i="16"/>
  <c r="L686" i="16"/>
  <c r="J679" i="16"/>
  <c r="J678" i="16" s="1"/>
  <c r="I678" i="16"/>
  <c r="K678" i="16" s="1"/>
  <c r="J675" i="16"/>
  <c r="I671" i="16"/>
  <c r="K671" i="16" s="1"/>
  <c r="I670" i="16"/>
  <c r="K670" i="16" s="1"/>
  <c r="J669" i="16"/>
  <c r="J654" i="16" s="1"/>
  <c r="I669" i="16"/>
  <c r="K673" i="16" s="1"/>
  <c r="P667" i="16"/>
  <c r="O667" i="16"/>
  <c r="P666" i="16"/>
  <c r="O666" i="16"/>
  <c r="P665" i="16"/>
  <c r="N665" i="16"/>
  <c r="M665" i="16"/>
  <c r="L665" i="16"/>
  <c r="O665" i="16" s="1"/>
  <c r="P660" i="16"/>
  <c r="N660" i="16"/>
  <c r="L660" i="16"/>
  <c r="L658" i="16" s="1"/>
  <c r="O658" i="16" s="1"/>
  <c r="P659" i="16"/>
  <c r="O659" i="16"/>
  <c r="P658" i="16"/>
  <c r="N658" i="16"/>
  <c r="M658" i="16"/>
  <c r="P657" i="16"/>
  <c r="M657" i="16"/>
  <c r="M655" i="16" s="1"/>
  <c r="P655" i="16" s="1"/>
  <c r="O656" i="16"/>
  <c r="N656" i="16"/>
  <c r="M656" i="16"/>
  <c r="P656" i="16" s="1"/>
  <c r="L656" i="16"/>
  <c r="K652" i="16"/>
  <c r="J652" i="16"/>
  <c r="J651" i="16"/>
  <c r="I651" i="16"/>
  <c r="I628" i="16" s="1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L639" i="16" s="1"/>
  <c r="O639" i="16" s="1"/>
  <c r="P640" i="16"/>
  <c r="O640" i="16"/>
  <c r="N639" i="16"/>
  <c r="M639" i="16"/>
  <c r="P639" i="16" s="1"/>
  <c r="P634" i="16"/>
  <c r="N634" i="16"/>
  <c r="L634" i="16"/>
  <c r="P633" i="16"/>
  <c r="O633" i="16"/>
  <c r="N632" i="16"/>
  <c r="M632" i="16"/>
  <c r="P632" i="16" s="1"/>
  <c r="P631" i="16"/>
  <c r="N631" i="16"/>
  <c r="M631" i="16"/>
  <c r="P630" i="16"/>
  <c r="O630" i="16"/>
  <c r="N630" i="16"/>
  <c r="N629" i="16" s="1"/>
  <c r="M630" i="16"/>
  <c r="L630" i="16"/>
  <c r="P629" i="16"/>
  <c r="M629" i="16"/>
  <c r="J621" i="16"/>
  <c r="I621" i="16"/>
  <c r="J620" i="16"/>
  <c r="I620" i="16"/>
  <c r="K620" i="16" s="1"/>
  <c r="K613" i="16"/>
  <c r="J613" i="16"/>
  <c r="K612" i="16"/>
  <c r="J612" i="16"/>
  <c r="K611" i="16"/>
  <c r="J611" i="16"/>
  <c r="J604" i="16"/>
  <c r="J603" i="16"/>
  <c r="J593" i="16" s="1"/>
  <c r="J596" i="16"/>
  <c r="J595" i="16"/>
  <c r="J594" i="16"/>
  <c r="I594" i="16"/>
  <c r="K594" i="16" s="1"/>
  <c r="I593" i="16"/>
  <c r="I592" i="16" s="1"/>
  <c r="J583" i="16"/>
  <c r="J582" i="16"/>
  <c r="J577" i="16"/>
  <c r="I577" i="16"/>
  <c r="K577" i="16" s="1"/>
  <c r="J576" i="16"/>
  <c r="I576" i="16"/>
  <c r="K576" i="16" s="1"/>
  <c r="J569" i="16"/>
  <c r="I569" i="16"/>
  <c r="K569" i="16" s="1"/>
  <c r="J568" i="16"/>
  <c r="I568" i="16"/>
  <c r="J561" i="16"/>
  <c r="I561" i="16"/>
  <c r="J560" i="16"/>
  <c r="I560" i="16"/>
  <c r="J559" i="16"/>
  <c r="J543" i="16" s="1"/>
  <c r="P557" i="16"/>
  <c r="L557" i="16"/>
  <c r="O557" i="16" s="1"/>
  <c r="P556" i="16"/>
  <c r="O556" i="16"/>
  <c r="P555" i="16"/>
  <c r="N555" i="16"/>
  <c r="M555" i="16"/>
  <c r="P549" i="16"/>
  <c r="N549" i="16"/>
  <c r="L549" i="16"/>
  <c r="O549" i="16" s="1"/>
  <c r="P548" i="16"/>
  <c r="O548" i="16"/>
  <c r="P547" i="16"/>
  <c r="N547" i="16"/>
  <c r="M547" i="16"/>
  <c r="N546" i="16"/>
  <c r="M546" i="16"/>
  <c r="P546" i="16" s="1"/>
  <c r="N545" i="16"/>
  <c r="N544" i="16" s="1"/>
  <c r="M545" i="16"/>
  <c r="P545" i="16" s="1"/>
  <c r="L545" i="16"/>
  <c r="O545" i="16" s="1"/>
  <c r="M544" i="16"/>
  <c r="P544" i="16" s="1"/>
  <c r="I542" i="16"/>
  <c r="K542" i="16" s="1"/>
  <c r="I541" i="16"/>
  <c r="K541" i="16" s="1"/>
  <c r="I540" i="16"/>
  <c r="K540" i="16" s="1"/>
  <c r="I539" i="16"/>
  <c r="I538" i="16"/>
  <c r="K538" i="16" s="1"/>
  <c r="I537" i="16"/>
  <c r="I522" i="16" s="1"/>
  <c r="K522" i="16" s="1"/>
  <c r="P535" i="16"/>
  <c r="L535" i="16"/>
  <c r="O535" i="16" s="1"/>
  <c r="P534" i="16"/>
  <c r="O534" i="16"/>
  <c r="N533" i="16"/>
  <c r="M533" i="16"/>
  <c r="P533" i="16" s="1"/>
  <c r="P528" i="16"/>
  <c r="N528" i="16"/>
  <c r="N525" i="16" s="1"/>
  <c r="N523" i="16" s="1"/>
  <c r="L528" i="16"/>
  <c r="L526" i="16" s="1"/>
  <c r="O526" i="16" s="1"/>
  <c r="P527" i="16"/>
  <c r="O527" i="16"/>
  <c r="M526" i="16"/>
  <c r="P526" i="16" s="1"/>
  <c r="M525" i="16"/>
  <c r="P524" i="16"/>
  <c r="N524" i="16"/>
  <c r="M524" i="16"/>
  <c r="L524" i="16"/>
  <c r="K517" i="16"/>
  <c r="J517" i="16"/>
  <c r="K516" i="16"/>
  <c r="P514" i="16"/>
  <c r="O514" i="16"/>
  <c r="P513" i="16"/>
  <c r="O513" i="16"/>
  <c r="N512" i="16"/>
  <c r="M512" i="16"/>
  <c r="P512" i="16" s="1"/>
  <c r="L512" i="16"/>
  <c r="O512" i="16" s="1"/>
  <c r="P507" i="16"/>
  <c r="O507" i="16"/>
  <c r="N507" i="16"/>
  <c r="P506" i="16"/>
  <c r="O506" i="16"/>
  <c r="N505" i="16"/>
  <c r="M505" i="16"/>
  <c r="P505" i="16" s="1"/>
  <c r="L505" i="16"/>
  <c r="O505" i="16" s="1"/>
  <c r="P504" i="16"/>
  <c r="N504" i="16"/>
  <c r="N502" i="16" s="1"/>
  <c r="M504" i="16"/>
  <c r="L504" i="16"/>
  <c r="O504" i="16" s="1"/>
  <c r="P503" i="16"/>
  <c r="O503" i="16"/>
  <c r="N503" i="16"/>
  <c r="M503" i="16"/>
  <c r="M502" i="16" s="1"/>
  <c r="P502" i="16" s="1"/>
  <c r="L503" i="16"/>
  <c r="O502" i="16"/>
  <c r="L502" i="16"/>
  <c r="K501" i="16"/>
  <c r="J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P478" i="16"/>
  <c r="O478" i="16"/>
  <c r="N477" i="16"/>
  <c r="M477" i="16"/>
  <c r="P477" i="16" s="1"/>
  <c r="P472" i="16"/>
  <c r="N472" i="16"/>
  <c r="L472" i="16"/>
  <c r="P471" i="16"/>
  <c r="O471" i="16"/>
  <c r="N470" i="16"/>
  <c r="M470" i="16"/>
  <c r="P470" i="16" s="1"/>
  <c r="P469" i="16"/>
  <c r="N469" i="16"/>
  <c r="N467" i="16" s="1"/>
  <c r="M469" i="16"/>
  <c r="P468" i="16"/>
  <c r="O468" i="16"/>
  <c r="N468" i="16"/>
  <c r="M468" i="16"/>
  <c r="M467" i="16" s="1"/>
  <c r="P467" i="16" s="1"/>
  <c r="L468" i="16"/>
  <c r="J466" i="16"/>
  <c r="I466" i="16"/>
  <c r="K466" i="16" s="1"/>
  <c r="J465" i="16"/>
  <c r="I465" i="16"/>
  <c r="K465" i="16" s="1"/>
  <c r="I464" i="16"/>
  <c r="I463" i="16"/>
  <c r="I462" i="16"/>
  <c r="K462" i="16" s="1"/>
  <c r="I460" i="16"/>
  <c r="K460" i="16" s="1"/>
  <c r="K458" i="16"/>
  <c r="P456" i="16"/>
  <c r="L456" i="16"/>
  <c r="L454" i="16" s="1"/>
  <c r="O454" i="16" s="1"/>
  <c r="P455" i="16"/>
  <c r="O455" i="16"/>
  <c r="N454" i="16"/>
  <c r="M454" i="16"/>
  <c r="P454" i="16" s="1"/>
  <c r="P449" i="16"/>
  <c r="N449" i="16"/>
  <c r="L449" i="16"/>
  <c r="P448" i="16"/>
  <c r="O448" i="16"/>
  <c r="N447" i="16"/>
  <c r="M447" i="16"/>
  <c r="P447" i="16" s="1"/>
  <c r="N446" i="16"/>
  <c r="M446" i="16"/>
  <c r="P446" i="16" s="1"/>
  <c r="P445" i="16"/>
  <c r="N445" i="16"/>
  <c r="N444" i="16" s="1"/>
  <c r="M445" i="16"/>
  <c r="L445" i="16"/>
  <c r="O445" i="16" s="1"/>
  <c r="P444" i="16"/>
  <c r="M444" i="16"/>
  <c r="J443" i="16"/>
  <c r="J442" i="16"/>
  <c r="I441" i="16"/>
  <c r="K441" i="16" s="1"/>
  <c r="I440" i="16"/>
  <c r="K440" i="16" s="1"/>
  <c r="I439" i="16"/>
  <c r="I438" i="16"/>
  <c r="I437" i="16"/>
  <c r="K437" i="16" s="1"/>
  <c r="I435" i="16"/>
  <c r="K435" i="16" s="1"/>
  <c r="J434" i="16"/>
  <c r="J418" i="16" s="1"/>
  <c r="P431" i="16"/>
  <c r="L431" i="16"/>
  <c r="L429" i="16" s="1"/>
  <c r="O429" i="16" s="1"/>
  <c r="P430" i="16"/>
  <c r="O430" i="16"/>
  <c r="N429" i="16"/>
  <c r="M429" i="16"/>
  <c r="P429" i="16" s="1"/>
  <c r="P424" i="16"/>
  <c r="N424" i="16"/>
  <c r="L424" i="16"/>
  <c r="P423" i="16"/>
  <c r="O423" i="16"/>
  <c r="N422" i="16"/>
  <c r="M422" i="16"/>
  <c r="P422" i="16" s="1"/>
  <c r="N421" i="16"/>
  <c r="M421" i="16"/>
  <c r="P421" i="16" s="1"/>
  <c r="P420" i="16"/>
  <c r="N420" i="16"/>
  <c r="N419" i="16" s="1"/>
  <c r="M420" i="16"/>
  <c r="L420" i="16"/>
  <c r="O420" i="16" s="1"/>
  <c r="P419" i="16"/>
  <c r="M419" i="16"/>
  <c r="K413" i="16"/>
  <c r="K412" i="16"/>
  <c r="N410" i="16"/>
  <c r="N408" i="16" s="1"/>
  <c r="M410" i="16"/>
  <c r="M408" i="16" s="1"/>
  <c r="P408" i="16" s="1"/>
  <c r="L410" i="16"/>
  <c r="L408" i="16" s="1"/>
  <c r="O408" i="16" s="1"/>
  <c r="P409" i="16"/>
  <c r="O409" i="16"/>
  <c r="N407" i="16"/>
  <c r="N405" i="16" s="1"/>
  <c r="M407" i="16"/>
  <c r="M405" i="16" s="1"/>
  <c r="P405" i="16" s="1"/>
  <c r="L407" i="16"/>
  <c r="O407" i="16" s="1"/>
  <c r="P406" i="16"/>
  <c r="O406" i="16"/>
  <c r="O403" i="16"/>
  <c r="N403" i="16"/>
  <c r="M403" i="16"/>
  <c r="P403" i="16" s="1"/>
  <c r="L403" i="16"/>
  <c r="K401" i="16"/>
  <c r="J401" i="16"/>
  <c r="I401" i="16"/>
  <c r="K400" i="16"/>
  <c r="K399" i="16"/>
  <c r="N397" i="16"/>
  <c r="N395" i="16" s="1"/>
  <c r="M397" i="16"/>
  <c r="P397" i="16" s="1"/>
  <c r="L397" i="16"/>
  <c r="P396" i="16"/>
  <c r="O396" i="16"/>
  <c r="N394" i="16"/>
  <c r="N392" i="16" s="1"/>
  <c r="M394" i="16"/>
  <c r="P394" i="16" s="1"/>
  <c r="L394" i="16"/>
  <c r="P393" i="16"/>
  <c r="O393" i="16"/>
  <c r="N390" i="16"/>
  <c r="M390" i="16"/>
  <c r="P390" i="16" s="1"/>
  <c r="L390" i="16"/>
  <c r="O390" i="16" s="1"/>
  <c r="J388" i="16"/>
  <c r="I388" i="16"/>
  <c r="K388" i="16" s="1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N351" i="16" s="1"/>
  <c r="M353" i="16"/>
  <c r="M351" i="16" s="1"/>
  <c r="L353" i="16"/>
  <c r="P352" i="16"/>
  <c r="O352" i="16"/>
  <c r="N350" i="16"/>
  <c r="M350" i="16"/>
  <c r="L350" i="16"/>
  <c r="P349" i="16"/>
  <c r="O349" i="16"/>
  <c r="N346" i="16"/>
  <c r="M346" i="16"/>
  <c r="P346" i="16" s="1"/>
  <c r="L346" i="16"/>
  <c r="O346" i="16" s="1"/>
  <c r="J343" i="16"/>
  <c r="J342" i="16"/>
  <c r="J341" i="16"/>
  <c r="J340" i="16"/>
  <c r="I340" i="16"/>
  <c r="J338" i="16"/>
  <c r="I338" i="16"/>
  <c r="N336" i="16"/>
  <c r="N334" i="16" s="1"/>
  <c r="M336" i="16"/>
  <c r="P336" i="16" s="1"/>
  <c r="L336" i="16"/>
  <c r="P335" i="16"/>
  <c r="O335" i="16"/>
  <c r="N333" i="16"/>
  <c r="N331" i="16" s="1"/>
  <c r="M333" i="16"/>
  <c r="L333" i="16"/>
  <c r="P332" i="16"/>
  <c r="O332" i="16"/>
  <c r="N329" i="16"/>
  <c r="M329" i="16"/>
  <c r="P329" i="16" s="1"/>
  <c r="L329" i="16"/>
  <c r="O329" i="16" s="1"/>
  <c r="I327" i="16"/>
  <c r="I325" i="16"/>
  <c r="K325" i="16" s="1"/>
  <c r="N323" i="16"/>
  <c r="N321" i="16" s="1"/>
  <c r="M323" i="16"/>
  <c r="L323" i="16"/>
  <c r="O323" i="16" s="1"/>
  <c r="P322" i="16"/>
  <c r="O322" i="16"/>
  <c r="N320" i="16"/>
  <c r="N318" i="16" s="1"/>
  <c r="M320" i="16"/>
  <c r="P320" i="16" s="1"/>
  <c r="L320" i="16"/>
  <c r="O320" i="16" s="1"/>
  <c r="P319" i="16"/>
  <c r="O319" i="16"/>
  <c r="O316" i="16"/>
  <c r="N316" i="16"/>
  <c r="M316" i="16"/>
  <c r="L316" i="16"/>
  <c r="J314" i="16"/>
  <c r="I312" i="16"/>
  <c r="K312" i="16" s="1"/>
  <c r="I311" i="16"/>
  <c r="K311" i="16" s="1"/>
  <c r="I310" i="16"/>
  <c r="K310" i="16" s="1"/>
  <c r="I309" i="16"/>
  <c r="K309" i="16" s="1"/>
  <c r="N306" i="16"/>
  <c r="N304" i="16" s="1"/>
  <c r="M306" i="16"/>
  <c r="M304" i="16" s="1"/>
  <c r="P304" i="16" s="1"/>
  <c r="L306" i="16"/>
  <c r="O306" i="16" s="1"/>
  <c r="P305" i="16"/>
  <c r="O305" i="16"/>
  <c r="N303" i="16"/>
  <c r="M303" i="16"/>
  <c r="M301" i="16" s="1"/>
  <c r="L303" i="16"/>
  <c r="L301" i="16" s="1"/>
  <c r="P302" i="16"/>
  <c r="O302" i="16"/>
  <c r="P299" i="16"/>
  <c r="O299" i="16"/>
  <c r="N299" i="16"/>
  <c r="M299" i="16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I275" i="16" s="1"/>
  <c r="I287" i="16"/>
  <c r="K287" i="16" s="1"/>
  <c r="N285" i="16"/>
  <c r="N283" i="16" s="1"/>
  <c r="M285" i="16"/>
  <c r="P285" i="16" s="1"/>
  <c r="L285" i="16"/>
  <c r="O285" i="16" s="1"/>
  <c r="P284" i="16"/>
  <c r="O284" i="16"/>
  <c r="N282" i="16"/>
  <c r="M282" i="16"/>
  <c r="M280" i="16" s="1"/>
  <c r="L282" i="16"/>
  <c r="L280" i="16" s="1"/>
  <c r="P281" i="16"/>
  <c r="O281" i="16"/>
  <c r="P278" i="16"/>
  <c r="N278" i="16"/>
  <c r="M278" i="16"/>
  <c r="L278" i="16"/>
  <c r="J276" i="16"/>
  <c r="I271" i="16"/>
  <c r="I260" i="16" s="1"/>
  <c r="K260" i="16" s="1"/>
  <c r="N269" i="16"/>
  <c r="N267" i="16" s="1"/>
  <c r="M269" i="16"/>
  <c r="P269" i="16" s="1"/>
  <c r="L269" i="16"/>
  <c r="P268" i="16"/>
  <c r="O268" i="16"/>
  <c r="N266" i="16"/>
  <c r="N264" i="16" s="1"/>
  <c r="M266" i="16"/>
  <c r="M264" i="16" s="1"/>
  <c r="L266" i="16"/>
  <c r="P265" i="16"/>
  <c r="O265" i="16"/>
  <c r="P262" i="16"/>
  <c r="O262" i="16"/>
  <c r="N262" i="16"/>
  <c r="M262" i="16"/>
  <c r="L262" i="16"/>
  <c r="J260" i="16"/>
  <c r="K258" i="16"/>
  <c r="K257" i="16"/>
  <c r="I255" i="16"/>
  <c r="I248" i="16" s="1"/>
  <c r="K248" i="16" s="1"/>
  <c r="L253" i="16"/>
  <c r="L252" i="16"/>
  <c r="L251" i="16"/>
  <c r="L250" i="16"/>
  <c r="P249" i="16"/>
  <c r="N249" i="16"/>
  <c r="J248" i="16"/>
  <c r="K247" i="16"/>
  <c r="K246" i="16"/>
  <c r="I244" i="16"/>
  <c r="K244" i="16" s="1"/>
  <c r="L242" i="16"/>
  <c r="L241" i="16"/>
  <c r="L240" i="16"/>
  <c r="L239" i="16"/>
  <c r="P238" i="16"/>
  <c r="N238" i="16"/>
  <c r="N227" i="16" s="1"/>
  <c r="J237" i="16"/>
  <c r="J226" i="16" s="1"/>
  <c r="J180" i="16" s="1"/>
  <c r="K236" i="16"/>
  <c r="J236" i="16"/>
  <c r="I236" i="16"/>
  <c r="J235" i="16"/>
  <c r="I235" i="16"/>
  <c r="K235" i="16" s="1"/>
  <c r="J233" i="16"/>
  <c r="N231" i="16"/>
  <c r="N230" i="16"/>
  <c r="N229" i="16"/>
  <c r="N228" i="16"/>
  <c r="I225" i="16"/>
  <c r="K225" i="16" s="1"/>
  <c r="I224" i="16"/>
  <c r="I216" i="16" s="1"/>
  <c r="K216" i="16" s="1"/>
  <c r="I223" i="16"/>
  <c r="K223" i="16" s="1"/>
  <c r="L220" i="16"/>
  <c r="L219" i="16"/>
  <c r="L218" i="16"/>
  <c r="P217" i="16"/>
  <c r="N217" i="16"/>
  <c r="J216" i="16"/>
  <c r="I215" i="16"/>
  <c r="I208" i="16" s="1"/>
  <c r="K208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K204" i="16" s="1"/>
  <c r="L202" i="16"/>
  <c r="L201" i="16"/>
  <c r="L200" i="16"/>
  <c r="L199" i="16"/>
  <c r="P198" i="16"/>
  <c r="N198" i="16"/>
  <c r="J197" i="16"/>
  <c r="J194" i="16"/>
  <c r="I193" i="16"/>
  <c r="K193" i="16" s="1"/>
  <c r="P191" i="16"/>
  <c r="L191" i="16"/>
  <c r="O191" i="16" s="1"/>
  <c r="J190" i="16"/>
  <c r="N189" i="16"/>
  <c r="N187" i="16" s="1"/>
  <c r="M189" i="16"/>
  <c r="M187" i="16" s="1"/>
  <c r="P187" i="16" s="1"/>
  <c r="L189" i="16"/>
  <c r="L187" i="16" s="1"/>
  <c r="O187" i="16" s="1"/>
  <c r="P188" i="16"/>
  <c r="O188" i="16"/>
  <c r="N186" i="16"/>
  <c r="M186" i="16"/>
  <c r="M184" i="16" s="1"/>
  <c r="L186" i="16"/>
  <c r="L184" i="16" s="1"/>
  <c r="P185" i="16"/>
  <c r="O185" i="16"/>
  <c r="O182" i="16"/>
  <c r="N182" i="16"/>
  <c r="M182" i="16"/>
  <c r="L182" i="16"/>
  <c r="J177" i="16"/>
  <c r="J164" i="16" s="1"/>
  <c r="I176" i="16"/>
  <c r="K176" i="16" s="1"/>
  <c r="J174" i="16"/>
  <c r="N173" i="16"/>
  <c r="N171" i="16" s="1"/>
  <c r="M173" i="16"/>
  <c r="M171" i="16" s="1"/>
  <c r="P171" i="16" s="1"/>
  <c r="L173" i="16"/>
  <c r="L171" i="16" s="1"/>
  <c r="O171" i="16" s="1"/>
  <c r="P172" i="16"/>
  <c r="O172" i="16"/>
  <c r="N170" i="16"/>
  <c r="M170" i="16"/>
  <c r="M168" i="16" s="1"/>
  <c r="L170" i="16"/>
  <c r="L168" i="16" s="1"/>
  <c r="P169" i="16"/>
  <c r="O169" i="16"/>
  <c r="O166" i="16"/>
  <c r="N166" i="16"/>
  <c r="M166" i="16"/>
  <c r="L166" i="16"/>
  <c r="I159" i="16"/>
  <c r="I148" i="16" s="1"/>
  <c r="N157" i="16"/>
  <c r="N155" i="16" s="1"/>
  <c r="M157" i="16"/>
  <c r="P157" i="16" s="1"/>
  <c r="L157" i="16"/>
  <c r="P156" i="16"/>
  <c r="O156" i="16"/>
  <c r="N154" i="16"/>
  <c r="N152" i="16" s="1"/>
  <c r="M154" i="16"/>
  <c r="M152" i="16" s="1"/>
  <c r="L154" i="16"/>
  <c r="P153" i="16"/>
  <c r="O153" i="16"/>
  <c r="P150" i="16"/>
  <c r="O150" i="16"/>
  <c r="N150" i="16"/>
  <c r="M150" i="16"/>
  <c r="L150" i="16"/>
  <c r="J148" i="16"/>
  <c r="I146" i="16"/>
  <c r="I130" i="16" s="1"/>
  <c r="K130" i="16" s="1"/>
  <c r="I145" i="16"/>
  <c r="I143" i="16" s="1"/>
  <c r="I144" i="16"/>
  <c r="K144" i="16" s="1"/>
  <c r="N140" i="16"/>
  <c r="N138" i="16" s="1"/>
  <c r="M140" i="16"/>
  <c r="M138" i="16" s="1"/>
  <c r="P138" i="16" s="1"/>
  <c r="L140" i="16"/>
  <c r="L138" i="16" s="1"/>
  <c r="O138" i="16" s="1"/>
  <c r="P139" i="16"/>
  <c r="O139" i="16"/>
  <c r="N137" i="16"/>
  <c r="N135" i="16" s="1"/>
  <c r="M137" i="16"/>
  <c r="M135" i="16" s="1"/>
  <c r="P135" i="16" s="1"/>
  <c r="L137" i="16"/>
  <c r="L135" i="16" s="1"/>
  <c r="O135" i="16" s="1"/>
  <c r="P136" i="16"/>
  <c r="O136" i="16"/>
  <c r="N133" i="16"/>
  <c r="M133" i="16"/>
  <c r="P133" i="16" s="1"/>
  <c r="L133" i="16"/>
  <c r="J130" i="16"/>
  <c r="N127" i="16"/>
  <c r="N125" i="16" s="1"/>
  <c r="M127" i="16"/>
  <c r="L127" i="16"/>
  <c r="P126" i="16"/>
  <c r="O126" i="16"/>
  <c r="N124" i="16"/>
  <c r="N122" i="16" s="1"/>
  <c r="M124" i="16"/>
  <c r="P124" i="16" s="1"/>
  <c r="L124" i="16"/>
  <c r="P123" i="16"/>
  <c r="O123" i="16"/>
  <c r="P120" i="16"/>
  <c r="O120" i="16"/>
  <c r="N120" i="16"/>
  <c r="M120" i="16"/>
  <c r="L120" i="16"/>
  <c r="J118" i="16"/>
  <c r="K118" i="16" s="1"/>
  <c r="I116" i="16"/>
  <c r="K116" i="16" s="1"/>
  <c r="I115" i="16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I99" i="16"/>
  <c r="K99" i="16" s="1"/>
  <c r="J98" i="16"/>
  <c r="J86" i="16" s="1"/>
  <c r="I98" i="16"/>
  <c r="I86" i="16" s="1"/>
  <c r="N96" i="16"/>
  <c r="N94" i="16" s="1"/>
  <c r="M96" i="16"/>
  <c r="P96" i="16" s="1"/>
  <c r="L96" i="16"/>
  <c r="P95" i="16"/>
  <c r="O95" i="16"/>
  <c r="N93" i="16"/>
  <c r="N91" i="16" s="1"/>
  <c r="M93" i="16"/>
  <c r="L93" i="16"/>
  <c r="P92" i="16"/>
  <c r="O92" i="16"/>
  <c r="P89" i="16"/>
  <c r="O89" i="16"/>
  <c r="N89" i="16"/>
  <c r="M89" i="16"/>
  <c r="L89" i="16"/>
  <c r="J87" i="16"/>
  <c r="I84" i="16"/>
  <c r="K84" i="16" s="1"/>
  <c r="I83" i="16"/>
  <c r="K83" i="16" s="1"/>
  <c r="I82" i="16"/>
  <c r="K82" i="16" s="1"/>
  <c r="I81" i="16"/>
  <c r="I80" i="16"/>
  <c r="K80" i="16" s="1"/>
  <c r="I79" i="16"/>
  <c r="K79" i="16" s="1"/>
  <c r="I78" i="16"/>
  <c r="K78" i="16" s="1"/>
  <c r="J77" i="16"/>
  <c r="J65" i="16" s="1"/>
  <c r="J76" i="16"/>
  <c r="N74" i="16"/>
  <c r="N72" i="16" s="1"/>
  <c r="M74" i="16"/>
  <c r="P74" i="16" s="1"/>
  <c r="L74" i="16"/>
  <c r="L72" i="16" s="1"/>
  <c r="O72" i="16" s="1"/>
  <c r="P73" i="16"/>
  <c r="O73" i="16"/>
  <c r="N71" i="16"/>
  <c r="M71" i="16"/>
  <c r="M69" i="16" s="1"/>
  <c r="L71" i="16"/>
  <c r="P70" i="16"/>
  <c r="O70" i="16"/>
  <c r="P67" i="16"/>
  <c r="O67" i="16"/>
  <c r="N67" i="16"/>
  <c r="M67" i="16"/>
  <c r="L67" i="16"/>
  <c r="J64" i="16"/>
  <c r="N61" i="16"/>
  <c r="M61" i="16"/>
  <c r="P61" i="16" s="1"/>
  <c r="L61" i="16"/>
  <c r="L59" i="16" s="1"/>
  <c r="O59" i="16" s="1"/>
  <c r="P60" i="16"/>
  <c r="O60" i="16"/>
  <c r="N58" i="16"/>
  <c r="N56" i="16" s="1"/>
  <c r="M58" i="16"/>
  <c r="M56" i="16" s="1"/>
  <c r="L58" i="16"/>
  <c r="P57" i="16"/>
  <c r="O57" i="16"/>
  <c r="N54" i="16"/>
  <c r="M54" i="16"/>
  <c r="L54" i="16"/>
  <c r="O54" i="16" s="1"/>
  <c r="N49" i="16"/>
  <c r="N47" i="16" s="1"/>
  <c r="M49" i="16"/>
  <c r="P49" i="16" s="1"/>
  <c r="L49" i="16"/>
  <c r="O49" i="16" s="1"/>
  <c r="P48" i="16"/>
  <c r="O48" i="16"/>
  <c r="N46" i="16"/>
  <c r="M46" i="16"/>
  <c r="M44" i="16" s="1"/>
  <c r="L46" i="16"/>
  <c r="L44" i="16" s="1"/>
  <c r="P45" i="16"/>
  <c r="O45" i="16"/>
  <c r="P42" i="16"/>
  <c r="O42" i="16"/>
  <c r="N42" i="16"/>
  <c r="M42" i="16"/>
  <c r="L42" i="16"/>
  <c r="N36" i="16"/>
  <c r="M36" i="16"/>
  <c r="P36" i="16" s="1"/>
  <c r="P35" i="16"/>
  <c r="N35" i="16"/>
  <c r="M35" i="16"/>
  <c r="L35" i="16"/>
  <c r="N34" i="16"/>
  <c r="P33" i="16"/>
  <c r="N33" i="16"/>
  <c r="N30" i="16" s="1"/>
  <c r="M33" i="16"/>
  <c r="O32" i="16"/>
  <c r="N32" i="16"/>
  <c r="N29" i="16" s="1"/>
  <c r="N28" i="16" s="1"/>
  <c r="M32" i="16"/>
  <c r="M31" i="16" s="1"/>
  <c r="P31" i="16" s="1"/>
  <c r="L32" i="16"/>
  <c r="N31" i="16"/>
  <c r="O25" i="16"/>
  <c r="N25" i="16"/>
  <c r="N15" i="16" s="1"/>
  <c r="M25" i="16"/>
  <c r="L25" i="16"/>
  <c r="P22" i="16"/>
  <c r="N22" i="16"/>
  <c r="M22" i="16"/>
  <c r="L22" i="16"/>
  <c r="N19" i="16"/>
  <c r="M19" i="16"/>
  <c r="L15" i="16"/>
  <c r="N12" i="16"/>
  <c r="N9" i="16" s="1"/>
  <c r="M12" i="16"/>
  <c r="J828" i="15"/>
  <c r="I828" i="15"/>
  <c r="J827" i="15"/>
  <c r="I827" i="15"/>
  <c r="J826" i="15"/>
  <c r="I826" i="15"/>
  <c r="J825" i="15"/>
  <c r="I825" i="15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O815" i="15"/>
  <c r="N815" i="15"/>
  <c r="M815" i="15"/>
  <c r="L815" i="15"/>
  <c r="P810" i="15"/>
  <c r="O810" i="15"/>
  <c r="N810" i="15"/>
  <c r="N807" i="15" s="1"/>
  <c r="N805" i="15" s="1"/>
  <c r="P809" i="15"/>
  <c r="O809" i="15"/>
  <c r="N808" i="15"/>
  <c r="M808" i="15"/>
  <c r="P808" i="15" s="1"/>
  <c r="L808" i="15"/>
  <c r="O808" i="15" s="1"/>
  <c r="M807" i="15"/>
  <c r="P807" i="15" s="1"/>
  <c r="L807" i="15"/>
  <c r="O807" i="15" s="1"/>
  <c r="N806" i="15"/>
  <c r="M806" i="15"/>
  <c r="P806" i="15" s="1"/>
  <c r="L806" i="15"/>
  <c r="K804" i="15"/>
  <c r="J804" i="15"/>
  <c r="K802" i="15"/>
  <c r="J801" i="15"/>
  <c r="J800" i="15"/>
  <c r="J785" i="15" s="1"/>
  <c r="I800" i="15"/>
  <c r="P798" i="15"/>
  <c r="O798" i="15"/>
  <c r="P797" i="15"/>
  <c r="O797" i="15"/>
  <c r="O796" i="15"/>
  <c r="N796" i="15"/>
  <c r="M796" i="15"/>
  <c r="P796" i="15" s="1"/>
  <c r="L796" i="15"/>
  <c r="P791" i="15"/>
  <c r="N791" i="15"/>
  <c r="N788" i="15" s="1"/>
  <c r="N786" i="15" s="1"/>
  <c r="L791" i="15"/>
  <c r="L789" i="15" s="1"/>
  <c r="O789" i="15" s="1"/>
  <c r="P790" i="15"/>
  <c r="O790" i="15"/>
  <c r="N789" i="15"/>
  <c r="M789" i="15"/>
  <c r="P789" i="15" s="1"/>
  <c r="M788" i="15"/>
  <c r="L788" i="15"/>
  <c r="O788" i="15" s="1"/>
  <c r="P787" i="15"/>
  <c r="N787" i="15"/>
  <c r="M787" i="15"/>
  <c r="L787" i="15"/>
  <c r="P782" i="15"/>
  <c r="O782" i="15"/>
  <c r="P781" i="15"/>
  <c r="O781" i="15"/>
  <c r="P780" i="15"/>
  <c r="O780" i="15"/>
  <c r="N780" i="15"/>
  <c r="M780" i="15"/>
  <c r="L780" i="15"/>
  <c r="P775" i="15"/>
  <c r="O775" i="15"/>
  <c r="N775" i="15"/>
  <c r="N773" i="15" s="1"/>
  <c r="P774" i="15"/>
  <c r="O774" i="15"/>
  <c r="O773" i="15"/>
  <c r="M773" i="15"/>
  <c r="P773" i="15" s="1"/>
  <c r="L773" i="15"/>
  <c r="N772" i="15"/>
  <c r="N770" i="15" s="1"/>
  <c r="M772" i="15"/>
  <c r="P772" i="15" s="1"/>
  <c r="L772" i="15"/>
  <c r="O772" i="15" s="1"/>
  <c r="N771" i="15"/>
  <c r="M771" i="15"/>
  <c r="L771" i="15"/>
  <c r="O771" i="15" s="1"/>
  <c r="L770" i="15"/>
  <c r="O770" i="15" s="1"/>
  <c r="K769" i="15"/>
  <c r="J769" i="15"/>
  <c r="P766" i="15"/>
  <c r="O766" i="15"/>
  <c r="P765" i="15"/>
  <c r="O765" i="15"/>
  <c r="P764" i="15"/>
  <c r="O764" i="15"/>
  <c r="N764" i="15"/>
  <c r="M764" i="15"/>
  <c r="L764" i="15"/>
  <c r="P759" i="15"/>
  <c r="O759" i="15"/>
  <c r="N759" i="15"/>
  <c r="N757" i="15" s="1"/>
  <c r="P758" i="15"/>
  <c r="O758" i="15"/>
  <c r="O757" i="15"/>
  <c r="M757" i="15"/>
  <c r="P757" i="15" s="1"/>
  <c r="L757" i="15"/>
  <c r="N756" i="15"/>
  <c r="N754" i="15" s="1"/>
  <c r="M756" i="15"/>
  <c r="P756" i="15" s="1"/>
  <c r="L756" i="15"/>
  <c r="O756" i="15" s="1"/>
  <c r="N755" i="15"/>
  <c r="M755" i="15"/>
  <c r="L755" i="15"/>
  <c r="O755" i="15" s="1"/>
  <c r="L754" i="15"/>
  <c r="O754" i="15" s="1"/>
  <c r="K753" i="15"/>
  <c r="J753" i="15"/>
  <c r="P749" i="15"/>
  <c r="O749" i="15"/>
  <c r="P748" i="15"/>
  <c r="O748" i="15"/>
  <c r="O747" i="15"/>
  <c r="N747" i="15"/>
  <c r="M747" i="15"/>
  <c r="P747" i="15" s="1"/>
  <c r="L747" i="15"/>
  <c r="P742" i="15"/>
  <c r="O742" i="15"/>
  <c r="N742" i="15"/>
  <c r="N740" i="15" s="1"/>
  <c r="P741" i="15"/>
  <c r="O741" i="15"/>
  <c r="O740" i="15"/>
  <c r="M740" i="15"/>
  <c r="P740" i="15" s="1"/>
  <c r="L740" i="15"/>
  <c r="N739" i="15"/>
  <c r="N737" i="15" s="1"/>
  <c r="M739" i="15"/>
  <c r="P739" i="15" s="1"/>
  <c r="L739" i="15"/>
  <c r="O739" i="15" s="1"/>
  <c r="N738" i="15"/>
  <c r="M738" i="15"/>
  <c r="L738" i="15"/>
  <c r="O738" i="15" s="1"/>
  <c r="L737" i="15"/>
  <c r="O737" i="15" s="1"/>
  <c r="K736" i="15"/>
  <c r="J736" i="15"/>
  <c r="J729" i="15"/>
  <c r="I729" i="15"/>
  <c r="K729" i="15" s="1"/>
  <c r="J728" i="15"/>
  <c r="I728" i="15"/>
  <c r="J727" i="15"/>
  <c r="J726" i="15"/>
  <c r="I726" i="15"/>
  <c r="J725" i="15"/>
  <c r="I725" i="15"/>
  <c r="J724" i="15"/>
  <c r="J723" i="15"/>
  <c r="I723" i="15"/>
  <c r="I722" i="15"/>
  <c r="I721" i="15"/>
  <c r="J720" i="15"/>
  <c r="I720" i="15"/>
  <c r="J719" i="15"/>
  <c r="J718" i="15"/>
  <c r="J708" i="15"/>
  <c r="I708" i="15"/>
  <c r="I707" i="15"/>
  <c r="I704" i="15"/>
  <c r="J701" i="15"/>
  <c r="I701" i="15"/>
  <c r="J700" i="15"/>
  <c r="I700" i="15"/>
  <c r="J699" i="15"/>
  <c r="I699" i="15"/>
  <c r="K699" i="15" s="1"/>
  <c r="P697" i="15"/>
  <c r="O697" i="15"/>
  <c r="P696" i="15"/>
  <c r="O696" i="15"/>
  <c r="O695" i="15"/>
  <c r="N695" i="15"/>
  <c r="M695" i="15"/>
  <c r="P695" i="15" s="1"/>
  <c r="L695" i="15"/>
  <c r="P690" i="15"/>
  <c r="N690" i="15"/>
  <c r="N687" i="15" s="1"/>
  <c r="N685" i="15" s="1"/>
  <c r="L690" i="15"/>
  <c r="O690" i="15" s="1"/>
  <c r="P688" i="15"/>
  <c r="N688" i="15"/>
  <c r="M688" i="15"/>
  <c r="M687" i="15"/>
  <c r="P686" i="15"/>
  <c r="N686" i="15"/>
  <c r="M686" i="15"/>
  <c r="L686" i="15"/>
  <c r="J679" i="15"/>
  <c r="J678" i="15" s="1"/>
  <c r="I678" i="15"/>
  <c r="K678" i="15" s="1"/>
  <c r="J675" i="15"/>
  <c r="I671" i="15"/>
  <c r="K671" i="15" s="1"/>
  <c r="I670" i="15"/>
  <c r="K670" i="15" s="1"/>
  <c r="J669" i="15"/>
  <c r="I669" i="15"/>
  <c r="K673" i="15" s="1"/>
  <c r="P667" i="15"/>
  <c r="O667" i="15"/>
  <c r="P666" i="15"/>
  <c r="O666" i="15"/>
  <c r="P665" i="15"/>
  <c r="N665" i="15"/>
  <c r="M665" i="15"/>
  <c r="L665" i="15"/>
  <c r="O665" i="15" s="1"/>
  <c r="P660" i="15"/>
  <c r="N660" i="15"/>
  <c r="N657" i="15" s="1"/>
  <c r="N655" i="15" s="1"/>
  <c r="L660" i="15"/>
  <c r="O660" i="15" s="1"/>
  <c r="P659" i="15"/>
  <c r="O659" i="15"/>
  <c r="N658" i="15"/>
  <c r="M658" i="15"/>
  <c r="P658" i="15" s="1"/>
  <c r="P657" i="15"/>
  <c r="M657" i="15"/>
  <c r="M655" i="15" s="1"/>
  <c r="P655" i="15" s="1"/>
  <c r="P656" i="15"/>
  <c r="O656" i="15"/>
  <c r="N656" i="15"/>
  <c r="M656" i="15"/>
  <c r="L656" i="15"/>
  <c r="J654" i="15"/>
  <c r="I654" i="15"/>
  <c r="K654" i="15" s="1"/>
  <c r="K652" i="15"/>
  <c r="J652" i="15"/>
  <c r="J651" i="15"/>
  <c r="J628" i="15" s="1"/>
  <c r="I651" i="15"/>
  <c r="K651" i="15" s="1"/>
  <c r="K650" i="15"/>
  <c r="J650" i="15"/>
  <c r="J649" i="15"/>
  <c r="I649" i="15"/>
  <c r="K649" i="15" s="1"/>
  <c r="K648" i="15"/>
  <c r="J648" i="15"/>
  <c r="J647" i="15"/>
  <c r="I647" i="15"/>
  <c r="K647" i="15" s="1"/>
  <c r="K646" i="15"/>
  <c r="J646" i="15"/>
  <c r="K645" i="15"/>
  <c r="J645" i="15"/>
  <c r="I644" i="15"/>
  <c r="K644" i="15" s="1"/>
  <c r="I643" i="15"/>
  <c r="K643" i="15" s="1"/>
  <c r="P641" i="15"/>
  <c r="L641" i="15"/>
  <c r="O641" i="15" s="1"/>
  <c r="P640" i="15"/>
  <c r="O640" i="15"/>
  <c r="P639" i="15"/>
  <c r="N639" i="15"/>
  <c r="M639" i="15"/>
  <c r="L639" i="15"/>
  <c r="O639" i="15" s="1"/>
  <c r="P634" i="15"/>
  <c r="N634" i="15"/>
  <c r="L634" i="15"/>
  <c r="P633" i="15"/>
  <c r="O633" i="15"/>
  <c r="N632" i="15"/>
  <c r="M632" i="15"/>
  <c r="P632" i="15" s="1"/>
  <c r="N631" i="15"/>
  <c r="M631" i="15"/>
  <c r="P631" i="15" s="1"/>
  <c r="N630" i="15"/>
  <c r="N629" i="15" s="1"/>
  <c r="M630" i="15"/>
  <c r="P630" i="15" s="1"/>
  <c r="L630" i="15"/>
  <c r="O630" i="15" s="1"/>
  <c r="P629" i="15"/>
  <c r="M629" i="15"/>
  <c r="J621" i="15"/>
  <c r="I621" i="15"/>
  <c r="K621" i="15" s="1"/>
  <c r="J620" i="15"/>
  <c r="I620" i="15"/>
  <c r="K613" i="15"/>
  <c r="J613" i="15"/>
  <c r="K612" i="15"/>
  <c r="J612" i="15"/>
  <c r="K611" i="15"/>
  <c r="J611" i="15"/>
  <c r="J604" i="15"/>
  <c r="J603" i="15"/>
  <c r="J596" i="15"/>
  <c r="J594" i="15" s="1"/>
  <c r="J595" i="15"/>
  <c r="J593" i="15" s="1"/>
  <c r="I594" i="15"/>
  <c r="I593" i="15"/>
  <c r="I592" i="15" s="1"/>
  <c r="J583" i="15"/>
  <c r="J582" i="15"/>
  <c r="J577" i="15"/>
  <c r="I577" i="15"/>
  <c r="J576" i="15"/>
  <c r="I576" i="15"/>
  <c r="K576" i="15" s="1"/>
  <c r="J569" i="15"/>
  <c r="I569" i="15"/>
  <c r="J568" i="15"/>
  <c r="I568" i="15"/>
  <c r="K568" i="15" s="1"/>
  <c r="J561" i="15"/>
  <c r="I561" i="15"/>
  <c r="J560" i="15"/>
  <c r="I560" i="15"/>
  <c r="K560" i="15" s="1"/>
  <c r="J559" i="15"/>
  <c r="P557" i="15"/>
  <c r="L557" i="15"/>
  <c r="O557" i="15" s="1"/>
  <c r="P556" i="15"/>
  <c r="O556" i="15"/>
  <c r="P555" i="15"/>
  <c r="N555" i="15"/>
  <c r="M555" i="15"/>
  <c r="P549" i="15"/>
  <c r="N549" i="15"/>
  <c r="L549" i="15"/>
  <c r="P548" i="15"/>
  <c r="O548" i="15"/>
  <c r="P547" i="15"/>
  <c r="N547" i="15"/>
  <c r="M547" i="15"/>
  <c r="N546" i="15"/>
  <c r="M546" i="15"/>
  <c r="P546" i="15" s="1"/>
  <c r="N545" i="15"/>
  <c r="N544" i="15" s="1"/>
  <c r="M545" i="15"/>
  <c r="P545" i="15" s="1"/>
  <c r="L545" i="15"/>
  <c r="O545" i="15" s="1"/>
  <c r="M544" i="15"/>
  <c r="P544" i="15" s="1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K537" i="15" s="1"/>
  <c r="P535" i="15"/>
  <c r="L535" i="15"/>
  <c r="L533" i="15" s="1"/>
  <c r="O533" i="15" s="1"/>
  <c r="P534" i="15"/>
  <c r="O534" i="15"/>
  <c r="N533" i="15"/>
  <c r="M533" i="15"/>
  <c r="P533" i="15" s="1"/>
  <c r="P528" i="15"/>
  <c r="N528" i="15"/>
  <c r="N525" i="15" s="1"/>
  <c r="N523" i="15" s="1"/>
  <c r="L528" i="15"/>
  <c r="L526" i="15" s="1"/>
  <c r="O526" i="15" s="1"/>
  <c r="P527" i="15"/>
  <c r="O527" i="15"/>
  <c r="N526" i="15"/>
  <c r="M526" i="15"/>
  <c r="P526" i="15" s="1"/>
  <c r="M525" i="15"/>
  <c r="P524" i="15"/>
  <c r="N524" i="15"/>
  <c r="M524" i="15"/>
  <c r="L524" i="15"/>
  <c r="K517" i="15"/>
  <c r="J517" i="15"/>
  <c r="K516" i="15"/>
  <c r="P514" i="15"/>
  <c r="O514" i="15"/>
  <c r="P513" i="15"/>
  <c r="O513" i="15"/>
  <c r="N512" i="15"/>
  <c r="M512" i="15"/>
  <c r="P512" i="15" s="1"/>
  <c r="L512" i="15"/>
  <c r="O512" i="15" s="1"/>
  <c r="P507" i="15"/>
  <c r="O507" i="15"/>
  <c r="N507" i="15"/>
  <c r="P506" i="15"/>
  <c r="O506" i="15"/>
  <c r="N505" i="15"/>
  <c r="M505" i="15"/>
  <c r="P505" i="15" s="1"/>
  <c r="L505" i="15"/>
  <c r="O505" i="15" s="1"/>
  <c r="P504" i="15"/>
  <c r="N504" i="15"/>
  <c r="M504" i="15"/>
  <c r="L504" i="15"/>
  <c r="O504" i="15" s="1"/>
  <c r="P503" i="15"/>
  <c r="O503" i="15"/>
  <c r="N503" i="15"/>
  <c r="M503" i="15"/>
  <c r="L503" i="15"/>
  <c r="O502" i="15"/>
  <c r="N502" i="15"/>
  <c r="M502" i="15"/>
  <c r="P502" i="15" s="1"/>
  <c r="L502" i="15"/>
  <c r="K501" i="15"/>
  <c r="J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P478" i="15"/>
  <c r="O478" i="15"/>
  <c r="N477" i="15"/>
  <c r="M477" i="15"/>
  <c r="P477" i="15" s="1"/>
  <c r="P472" i="15"/>
  <c r="N472" i="15"/>
  <c r="N469" i="15" s="1"/>
  <c r="N467" i="15" s="1"/>
  <c r="L472" i="15"/>
  <c r="O472" i="15" s="1"/>
  <c r="P471" i="15"/>
  <c r="O471" i="15"/>
  <c r="N470" i="15"/>
  <c r="M470" i="15"/>
  <c r="P470" i="15" s="1"/>
  <c r="M469" i="15"/>
  <c r="P469" i="15" s="1"/>
  <c r="P468" i="15"/>
  <c r="N468" i="15"/>
  <c r="M468" i="15"/>
  <c r="L468" i="15"/>
  <c r="O468" i="15" s="1"/>
  <c r="M467" i="15"/>
  <c r="P467" i="15" s="1"/>
  <c r="J466" i="15"/>
  <c r="I466" i="15"/>
  <c r="K466" i="15" s="1"/>
  <c r="J465" i="15"/>
  <c r="I465" i="15"/>
  <c r="I464" i="15"/>
  <c r="I463" i="15"/>
  <c r="I462" i="15"/>
  <c r="I443" i="15" s="1"/>
  <c r="K443" i="15" s="1"/>
  <c r="I460" i="15"/>
  <c r="K460" i="15" s="1"/>
  <c r="K458" i="15"/>
  <c r="P456" i="15"/>
  <c r="L456" i="15"/>
  <c r="O456" i="15" s="1"/>
  <c r="P455" i="15"/>
  <c r="O455" i="15"/>
  <c r="N454" i="15"/>
  <c r="M454" i="15"/>
  <c r="P454" i="15" s="1"/>
  <c r="P449" i="15"/>
  <c r="N449" i="15"/>
  <c r="L449" i="15"/>
  <c r="P448" i="15"/>
  <c r="O448" i="15"/>
  <c r="N447" i="15"/>
  <c r="M447" i="15"/>
  <c r="P447" i="15" s="1"/>
  <c r="N446" i="15"/>
  <c r="M446" i="15"/>
  <c r="P446" i="15" s="1"/>
  <c r="N445" i="15"/>
  <c r="M445" i="15"/>
  <c r="P445" i="15" s="1"/>
  <c r="L445" i="15"/>
  <c r="O445" i="15" s="1"/>
  <c r="N444" i="15"/>
  <c r="J443" i="15"/>
  <c r="J442" i="15"/>
  <c r="I441" i="15"/>
  <c r="K441" i="15" s="1"/>
  <c r="I440" i="15"/>
  <c r="K440" i="15" s="1"/>
  <c r="I439" i="15"/>
  <c r="K439" i="15" s="1"/>
  <c r="I438" i="15"/>
  <c r="I437" i="15"/>
  <c r="K437" i="15" s="1"/>
  <c r="I435" i="15"/>
  <c r="K435" i="15" s="1"/>
  <c r="J434" i="15"/>
  <c r="J418" i="15" s="1"/>
  <c r="P431" i="15"/>
  <c r="L431" i="15"/>
  <c r="O431" i="15" s="1"/>
  <c r="P430" i="15"/>
  <c r="O430" i="15"/>
  <c r="P429" i="15"/>
  <c r="N429" i="15"/>
  <c r="M429" i="15"/>
  <c r="P424" i="15"/>
  <c r="N424" i="15"/>
  <c r="L424" i="15"/>
  <c r="P423" i="15"/>
  <c r="O423" i="15"/>
  <c r="N422" i="15"/>
  <c r="M422" i="15"/>
  <c r="P422" i="15" s="1"/>
  <c r="N421" i="15"/>
  <c r="M421" i="15"/>
  <c r="P421" i="15" s="1"/>
  <c r="N420" i="15"/>
  <c r="M420" i="15"/>
  <c r="P420" i="15" s="1"/>
  <c r="L420" i="15"/>
  <c r="O420" i="15" s="1"/>
  <c r="N419" i="15"/>
  <c r="K413" i="15"/>
  <c r="K412" i="15"/>
  <c r="N410" i="15"/>
  <c r="N408" i="15" s="1"/>
  <c r="M410" i="15"/>
  <c r="P410" i="15" s="1"/>
  <c r="L410" i="15"/>
  <c r="O410" i="15" s="1"/>
  <c r="P409" i="15"/>
  <c r="O409" i="15"/>
  <c r="N407" i="15"/>
  <c r="M407" i="15"/>
  <c r="L407" i="15"/>
  <c r="O407" i="15" s="1"/>
  <c r="P406" i="15"/>
  <c r="O406" i="15"/>
  <c r="O403" i="15"/>
  <c r="N403" i="15"/>
  <c r="M403" i="15"/>
  <c r="L403" i="15"/>
  <c r="J401" i="15"/>
  <c r="I401" i="15"/>
  <c r="K401" i="15" s="1"/>
  <c r="K400" i="15"/>
  <c r="K399" i="15"/>
  <c r="N397" i="15"/>
  <c r="N395" i="15" s="1"/>
  <c r="M397" i="15"/>
  <c r="P397" i="15" s="1"/>
  <c r="L397" i="15"/>
  <c r="P396" i="15"/>
  <c r="O396" i="15"/>
  <c r="N394" i="15"/>
  <c r="N392" i="15" s="1"/>
  <c r="M394" i="15"/>
  <c r="P394" i="15" s="1"/>
  <c r="L394" i="15"/>
  <c r="P393" i="15"/>
  <c r="O393" i="15"/>
  <c r="N390" i="15"/>
  <c r="M390" i="15"/>
  <c r="P390" i="15" s="1"/>
  <c r="L390" i="15"/>
  <c r="K388" i="15"/>
  <c r="J388" i="15"/>
  <c r="I388" i="15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P353" i="15" s="1"/>
  <c r="L353" i="15"/>
  <c r="P352" i="15"/>
  <c r="O352" i="15"/>
  <c r="N350" i="15"/>
  <c r="N348" i="15" s="1"/>
  <c r="M350" i="15"/>
  <c r="L350" i="15"/>
  <c r="P349" i="15"/>
  <c r="O349" i="15"/>
  <c r="N346" i="15"/>
  <c r="M346" i="15"/>
  <c r="P346" i="15" s="1"/>
  <c r="L346" i="15"/>
  <c r="J343" i="15"/>
  <c r="J342" i="15"/>
  <c r="J341" i="15"/>
  <c r="J340" i="15"/>
  <c r="I340" i="15"/>
  <c r="J338" i="15"/>
  <c r="I338" i="15"/>
  <c r="N336" i="15"/>
  <c r="N334" i="15" s="1"/>
  <c r="M336" i="15"/>
  <c r="P336" i="15" s="1"/>
  <c r="L336" i="15"/>
  <c r="P335" i="15"/>
  <c r="O335" i="15"/>
  <c r="N333" i="15"/>
  <c r="N331" i="15" s="1"/>
  <c r="M333" i="15"/>
  <c r="L333" i="15"/>
  <c r="P332" i="15"/>
  <c r="O332" i="15"/>
  <c r="N329" i="15"/>
  <c r="M329" i="15"/>
  <c r="P329" i="15" s="1"/>
  <c r="L329" i="15"/>
  <c r="I327" i="15"/>
  <c r="I325" i="15"/>
  <c r="K325" i="15" s="1"/>
  <c r="N323" i="15"/>
  <c r="N321" i="15" s="1"/>
  <c r="M323" i="15"/>
  <c r="P323" i="15" s="1"/>
  <c r="L323" i="15"/>
  <c r="O323" i="15" s="1"/>
  <c r="P322" i="15"/>
  <c r="O322" i="15"/>
  <c r="N320" i="15"/>
  <c r="N318" i="15" s="1"/>
  <c r="M320" i="15"/>
  <c r="P320" i="15" s="1"/>
  <c r="L320" i="15"/>
  <c r="O320" i="15" s="1"/>
  <c r="P319" i="15"/>
  <c r="O319" i="15"/>
  <c r="O316" i="15"/>
  <c r="N316" i="15"/>
  <c r="M316" i="15"/>
  <c r="P316" i="15" s="1"/>
  <c r="L316" i="15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P306" i="15" s="1"/>
  <c r="L306" i="15"/>
  <c r="O306" i="15" s="1"/>
  <c r="P305" i="15"/>
  <c r="O305" i="15"/>
  <c r="N303" i="15"/>
  <c r="N301" i="15" s="1"/>
  <c r="M303" i="15"/>
  <c r="L303" i="15"/>
  <c r="O303" i="15" s="1"/>
  <c r="P302" i="15"/>
  <c r="O302" i="15"/>
  <c r="P299" i="15"/>
  <c r="O299" i="15"/>
  <c r="N299" i="15"/>
  <c r="M299" i="15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K288" i="15" s="1"/>
  <c r="I287" i="15"/>
  <c r="K287" i="15" s="1"/>
  <c r="N285" i="15"/>
  <c r="N283" i="15" s="1"/>
  <c r="M285" i="15"/>
  <c r="P285" i="15" s="1"/>
  <c r="L285" i="15"/>
  <c r="O285" i="15" s="1"/>
  <c r="P284" i="15"/>
  <c r="O284" i="15"/>
  <c r="N282" i="15"/>
  <c r="N280" i="15" s="1"/>
  <c r="M282" i="15"/>
  <c r="P282" i="15" s="1"/>
  <c r="L282" i="15"/>
  <c r="O282" i="15" s="1"/>
  <c r="P281" i="15"/>
  <c r="O281" i="15"/>
  <c r="P278" i="15"/>
  <c r="N278" i="15"/>
  <c r="M278" i="15"/>
  <c r="L278" i="15"/>
  <c r="O278" i="15" s="1"/>
  <c r="J276" i="15"/>
  <c r="I271" i="15"/>
  <c r="K271" i="15" s="1"/>
  <c r="N269" i="15"/>
  <c r="N267" i="15" s="1"/>
  <c r="M269" i="15"/>
  <c r="P269" i="15" s="1"/>
  <c r="L269" i="15"/>
  <c r="O269" i="15" s="1"/>
  <c r="P268" i="15"/>
  <c r="O268" i="15"/>
  <c r="N266" i="15"/>
  <c r="M266" i="15"/>
  <c r="L266" i="15"/>
  <c r="L264" i="15" s="1"/>
  <c r="P265" i="15"/>
  <c r="O265" i="15"/>
  <c r="P262" i="15"/>
  <c r="O262" i="15"/>
  <c r="N262" i="15"/>
  <c r="M262" i="15"/>
  <c r="L262" i="15"/>
  <c r="J260" i="15"/>
  <c r="K258" i="15"/>
  <c r="K257" i="15"/>
  <c r="I255" i="15"/>
  <c r="K255" i="15" s="1"/>
  <c r="L253" i="15"/>
  <c r="L252" i="15"/>
  <c r="L251" i="15"/>
  <c r="L250" i="15"/>
  <c r="P249" i="15"/>
  <c r="N249" i="15"/>
  <c r="N227" i="15" s="1"/>
  <c r="J248" i="15"/>
  <c r="K247" i="15"/>
  <c r="K246" i="15"/>
  <c r="I244" i="15"/>
  <c r="L242" i="15"/>
  <c r="L241" i="15"/>
  <c r="L240" i="15"/>
  <c r="L239" i="15"/>
  <c r="P238" i="15"/>
  <c r="N238" i="15"/>
  <c r="J237" i="15"/>
  <c r="J226" i="15" s="1"/>
  <c r="J180" i="15" s="1"/>
  <c r="K236" i="15"/>
  <c r="J236" i="15"/>
  <c r="I236" i="15"/>
  <c r="K235" i="15"/>
  <c r="J235" i="15"/>
  <c r="I235" i="15"/>
  <c r="J233" i="15"/>
  <c r="N231" i="15"/>
  <c r="N230" i="15"/>
  <c r="N229" i="15"/>
  <c r="N228" i="15"/>
  <c r="I225" i="15"/>
  <c r="K225" i="15" s="1"/>
  <c r="I224" i="15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I197" i="15" s="1"/>
  <c r="K197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L189" i="15"/>
  <c r="P188" i="15"/>
  <c r="O188" i="15"/>
  <c r="N186" i="15"/>
  <c r="N184" i="15" s="1"/>
  <c r="M186" i="15"/>
  <c r="M184" i="15" s="1"/>
  <c r="L186" i="15"/>
  <c r="L184" i="15" s="1"/>
  <c r="P185" i="15"/>
  <c r="O185" i="15"/>
  <c r="P182" i="15"/>
  <c r="O182" i="15"/>
  <c r="N182" i="15"/>
  <c r="M182" i="15"/>
  <c r="L182" i="15"/>
  <c r="J177" i="15"/>
  <c r="J164" i="15" s="1"/>
  <c r="I176" i="15"/>
  <c r="I174" i="15" s="1"/>
  <c r="J174" i="15"/>
  <c r="N173" i="15"/>
  <c r="N171" i="15" s="1"/>
  <c r="M173" i="15"/>
  <c r="M171" i="15" s="1"/>
  <c r="P171" i="15" s="1"/>
  <c r="L173" i="15"/>
  <c r="P172" i="15"/>
  <c r="O172" i="15"/>
  <c r="N170" i="15"/>
  <c r="N168" i="15" s="1"/>
  <c r="M170" i="15"/>
  <c r="M168" i="15" s="1"/>
  <c r="L170" i="15"/>
  <c r="L168" i="15" s="1"/>
  <c r="P169" i="15"/>
  <c r="O169" i="15"/>
  <c r="P166" i="15"/>
  <c r="O166" i="15"/>
  <c r="N166" i="15"/>
  <c r="M166" i="15"/>
  <c r="L166" i="15"/>
  <c r="I159" i="15"/>
  <c r="K159" i="15" s="1"/>
  <c r="N157" i="15"/>
  <c r="N155" i="15" s="1"/>
  <c r="M157" i="15"/>
  <c r="P157" i="15" s="1"/>
  <c r="L157" i="15"/>
  <c r="O157" i="15" s="1"/>
  <c r="P156" i="15"/>
  <c r="O156" i="15"/>
  <c r="N154" i="15"/>
  <c r="M154" i="15"/>
  <c r="M152" i="15" s="1"/>
  <c r="L154" i="15"/>
  <c r="P153" i="15"/>
  <c r="O153" i="15"/>
  <c r="P150" i="15"/>
  <c r="O150" i="15"/>
  <c r="N150" i="15"/>
  <c r="M150" i="15"/>
  <c r="L150" i="15"/>
  <c r="J148" i="15"/>
  <c r="I146" i="15"/>
  <c r="K146" i="15" s="1"/>
  <c r="I145" i="15"/>
  <c r="I144" i="15"/>
  <c r="N140" i="15"/>
  <c r="N138" i="15" s="1"/>
  <c r="M140" i="15"/>
  <c r="M138" i="15" s="1"/>
  <c r="P138" i="15" s="1"/>
  <c r="L140" i="15"/>
  <c r="L138" i="15" s="1"/>
  <c r="O138" i="15" s="1"/>
  <c r="P139" i="15"/>
  <c r="O139" i="15"/>
  <c r="N137" i="15"/>
  <c r="M137" i="15"/>
  <c r="M135" i="15" s="1"/>
  <c r="P135" i="15" s="1"/>
  <c r="L137" i="15"/>
  <c r="O137" i="15" s="1"/>
  <c r="P136" i="15"/>
  <c r="O136" i="15"/>
  <c r="O133" i="15"/>
  <c r="N133" i="15"/>
  <c r="M133" i="15"/>
  <c r="P133" i="15" s="1"/>
  <c r="L133" i="15"/>
  <c r="J130" i="15"/>
  <c r="N127" i="15"/>
  <c r="N125" i="15" s="1"/>
  <c r="M127" i="15"/>
  <c r="P127" i="15" s="1"/>
  <c r="L127" i="15"/>
  <c r="O127" i="15" s="1"/>
  <c r="P126" i="15"/>
  <c r="O126" i="15"/>
  <c r="N124" i="15"/>
  <c r="N122" i="15" s="1"/>
  <c r="M124" i="15"/>
  <c r="P124" i="15" s="1"/>
  <c r="L124" i="15"/>
  <c r="O124" i="15" s="1"/>
  <c r="P123" i="15"/>
  <c r="O123" i="15"/>
  <c r="P120" i="15"/>
  <c r="N120" i="15"/>
  <c r="M120" i="15"/>
  <c r="L120" i="15"/>
  <c r="J118" i="15"/>
  <c r="K118" i="15" s="1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I99" i="15"/>
  <c r="I87" i="15" s="1"/>
  <c r="J98" i="15"/>
  <c r="J86" i="15" s="1"/>
  <c r="I98" i="15"/>
  <c r="I86" i="15" s="1"/>
  <c r="K86" i="15" s="1"/>
  <c r="N96" i="15"/>
  <c r="N94" i="15" s="1"/>
  <c r="M96" i="15"/>
  <c r="M94" i="15" s="1"/>
  <c r="P94" i="15" s="1"/>
  <c r="L96" i="15"/>
  <c r="O96" i="15" s="1"/>
  <c r="P95" i="15"/>
  <c r="O95" i="15"/>
  <c r="N93" i="15"/>
  <c r="N91" i="15" s="1"/>
  <c r="M93" i="15"/>
  <c r="L93" i="15"/>
  <c r="P92" i="15"/>
  <c r="O92" i="15"/>
  <c r="P89" i="15"/>
  <c r="N89" i="15"/>
  <c r="M89" i="15"/>
  <c r="L89" i="15"/>
  <c r="J87" i="15"/>
  <c r="I84" i="15"/>
  <c r="K84" i="15" s="1"/>
  <c r="I83" i="15"/>
  <c r="K83" i="15" s="1"/>
  <c r="I82" i="15"/>
  <c r="K82" i="15" s="1"/>
  <c r="I81" i="15"/>
  <c r="I80" i="15"/>
  <c r="K80" i="15" s="1"/>
  <c r="I79" i="15"/>
  <c r="K79" i="15" s="1"/>
  <c r="I78" i="15"/>
  <c r="J77" i="15"/>
  <c r="J76" i="15"/>
  <c r="J64" i="15" s="1"/>
  <c r="N74" i="15"/>
  <c r="M74" i="15"/>
  <c r="P74" i="15" s="1"/>
  <c r="L74" i="15"/>
  <c r="L72" i="15" s="1"/>
  <c r="O72" i="15" s="1"/>
  <c r="P73" i="15"/>
  <c r="O73" i="15"/>
  <c r="N71" i="15"/>
  <c r="M71" i="15"/>
  <c r="M69" i="15" s="1"/>
  <c r="L71" i="15"/>
  <c r="L69" i="15" s="1"/>
  <c r="P70" i="15"/>
  <c r="O70" i="15"/>
  <c r="P67" i="15"/>
  <c r="O67" i="15"/>
  <c r="N67" i="15"/>
  <c r="M67" i="15"/>
  <c r="L67" i="15"/>
  <c r="J65" i="15"/>
  <c r="N61" i="15"/>
  <c r="N59" i="15" s="1"/>
  <c r="M61" i="15"/>
  <c r="M59" i="15" s="1"/>
  <c r="L61" i="15"/>
  <c r="L59" i="15" s="1"/>
  <c r="P60" i="15"/>
  <c r="O60" i="15"/>
  <c r="N58" i="15"/>
  <c r="M58" i="15"/>
  <c r="L58" i="15"/>
  <c r="L56" i="15" s="1"/>
  <c r="P57" i="15"/>
  <c r="O57" i="15"/>
  <c r="N54" i="15"/>
  <c r="M54" i="15"/>
  <c r="P54" i="15" s="1"/>
  <c r="L54" i="15"/>
  <c r="O54" i="15" s="1"/>
  <c r="N49" i="15"/>
  <c r="M49" i="15"/>
  <c r="L49" i="15"/>
  <c r="L47" i="15" s="1"/>
  <c r="O47" i="15" s="1"/>
  <c r="P48" i="15"/>
  <c r="O48" i="15"/>
  <c r="N46" i="15"/>
  <c r="N44" i="15" s="1"/>
  <c r="M46" i="15"/>
  <c r="L46" i="15"/>
  <c r="L44" i="15" s="1"/>
  <c r="P45" i="15"/>
  <c r="O45" i="15"/>
  <c r="P42" i="15"/>
  <c r="O42" i="15"/>
  <c r="N42" i="15"/>
  <c r="M42" i="15"/>
  <c r="L42" i="15"/>
  <c r="N36" i="15"/>
  <c r="M36" i="15"/>
  <c r="P36" i="15" s="1"/>
  <c r="N35" i="15"/>
  <c r="M35" i="15"/>
  <c r="M34" i="15" s="1"/>
  <c r="P34" i="15" s="1"/>
  <c r="L35" i="15"/>
  <c r="O35" i="15" s="1"/>
  <c r="P33" i="15"/>
  <c r="N33" i="15"/>
  <c r="M33" i="15"/>
  <c r="O32" i="15"/>
  <c r="N32" i="15"/>
  <c r="N29" i="15" s="1"/>
  <c r="N28" i="15" s="1"/>
  <c r="M32" i="15"/>
  <c r="P32" i="15" s="1"/>
  <c r="L32" i="15"/>
  <c r="N30" i="15"/>
  <c r="M30" i="15"/>
  <c r="P30" i="15" s="1"/>
  <c r="L29" i="15"/>
  <c r="O29" i="15" s="1"/>
  <c r="P25" i="15"/>
  <c r="O25" i="15"/>
  <c r="N25" i="15"/>
  <c r="N15" i="15" s="1"/>
  <c r="M25" i="15"/>
  <c r="L25" i="15"/>
  <c r="P22" i="15"/>
  <c r="N22" i="15"/>
  <c r="M22" i="15"/>
  <c r="L22" i="15"/>
  <c r="N19" i="15"/>
  <c r="L15" i="15"/>
  <c r="O15" i="15" s="1"/>
  <c r="J828" i="14"/>
  <c r="I828" i="14"/>
  <c r="J827" i="14"/>
  <c r="I827" i="14"/>
  <c r="J826" i="14"/>
  <c r="I826" i="14"/>
  <c r="K826" i="14" s="1"/>
  <c r="J825" i="14"/>
  <c r="I825" i="14"/>
  <c r="K825" i="14" s="1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O815" i="14"/>
  <c r="N815" i="14"/>
  <c r="M815" i="14"/>
  <c r="L815" i="14"/>
  <c r="P810" i="14"/>
  <c r="O810" i="14"/>
  <c r="N810" i="14"/>
  <c r="P809" i="14"/>
  <c r="O809" i="14"/>
  <c r="O808" i="14"/>
  <c r="N808" i="14"/>
  <c r="M808" i="14"/>
  <c r="P808" i="14" s="1"/>
  <c r="L808" i="14"/>
  <c r="N807" i="14"/>
  <c r="N805" i="14" s="1"/>
  <c r="M807" i="14"/>
  <c r="P807" i="14" s="1"/>
  <c r="L807" i="14"/>
  <c r="O807" i="14" s="1"/>
  <c r="N806" i="14"/>
  <c r="M806" i="14"/>
  <c r="L806" i="14"/>
  <c r="O806" i="14" s="1"/>
  <c r="L805" i="14"/>
  <c r="O805" i="14" s="1"/>
  <c r="K804" i="14"/>
  <c r="J804" i="14"/>
  <c r="J803" i="14"/>
  <c r="I803" i="14"/>
  <c r="K803" i="14" s="1"/>
  <c r="J802" i="14"/>
  <c r="J801" i="14"/>
  <c r="I801" i="14"/>
  <c r="J800" i="14"/>
  <c r="P798" i="14"/>
  <c r="O798" i="14"/>
  <c r="P797" i="14"/>
  <c r="O797" i="14"/>
  <c r="N796" i="14"/>
  <c r="M796" i="14"/>
  <c r="P796" i="14" s="1"/>
  <c r="L796" i="14"/>
  <c r="O796" i="14" s="1"/>
  <c r="P791" i="14"/>
  <c r="N791" i="14"/>
  <c r="L791" i="14"/>
  <c r="O791" i="14" s="1"/>
  <c r="P790" i="14"/>
  <c r="O790" i="14"/>
  <c r="P789" i="14"/>
  <c r="N789" i="14"/>
  <c r="M789" i="14"/>
  <c r="L789" i="14"/>
  <c r="O789" i="14" s="1"/>
  <c r="P788" i="14"/>
  <c r="N788" i="14"/>
  <c r="M788" i="14"/>
  <c r="P787" i="14"/>
  <c r="O787" i="14"/>
  <c r="N787" i="14"/>
  <c r="M787" i="14"/>
  <c r="L787" i="14"/>
  <c r="N786" i="14"/>
  <c r="M786" i="14"/>
  <c r="P786" i="14" s="1"/>
  <c r="P782" i="14"/>
  <c r="O782" i="14"/>
  <c r="P781" i="14"/>
  <c r="O781" i="14"/>
  <c r="O780" i="14"/>
  <c r="N780" i="14"/>
  <c r="M780" i="14"/>
  <c r="P780" i="14" s="1"/>
  <c r="L780" i="14"/>
  <c r="P775" i="14"/>
  <c r="O775" i="14"/>
  <c r="N775" i="14"/>
  <c r="P774" i="14"/>
  <c r="O774" i="14"/>
  <c r="M773" i="14"/>
  <c r="P773" i="14" s="1"/>
  <c r="L773" i="14"/>
  <c r="O773" i="14" s="1"/>
  <c r="P772" i="14"/>
  <c r="M772" i="14"/>
  <c r="L772" i="14"/>
  <c r="P771" i="14"/>
  <c r="O771" i="14"/>
  <c r="N771" i="14"/>
  <c r="M771" i="14"/>
  <c r="L771" i="14"/>
  <c r="P770" i="14"/>
  <c r="M770" i="14"/>
  <c r="K769" i="14"/>
  <c r="J769" i="14"/>
  <c r="P766" i="14"/>
  <c r="O766" i="14"/>
  <c r="P765" i="14"/>
  <c r="O765" i="14"/>
  <c r="O764" i="14"/>
  <c r="N764" i="14"/>
  <c r="M764" i="14"/>
  <c r="P764" i="14" s="1"/>
  <c r="L764" i="14"/>
  <c r="P759" i="14"/>
  <c r="O759" i="14"/>
  <c r="N759" i="14"/>
  <c r="P758" i="14"/>
  <c r="O758" i="14"/>
  <c r="M757" i="14"/>
  <c r="P757" i="14" s="1"/>
  <c r="L757" i="14"/>
  <c r="O757" i="14" s="1"/>
  <c r="P756" i="14"/>
  <c r="M756" i="14"/>
  <c r="L756" i="14"/>
  <c r="O756" i="14" s="1"/>
  <c r="P755" i="14"/>
  <c r="O755" i="14"/>
  <c r="N755" i="14"/>
  <c r="M755" i="14"/>
  <c r="L755" i="14"/>
  <c r="P754" i="14"/>
  <c r="M754" i="14"/>
  <c r="K753" i="14"/>
  <c r="J753" i="14"/>
  <c r="P749" i="14"/>
  <c r="O749" i="14"/>
  <c r="P748" i="14"/>
  <c r="O748" i="14"/>
  <c r="O747" i="14"/>
  <c r="N747" i="14"/>
  <c r="M747" i="14"/>
  <c r="P747" i="14" s="1"/>
  <c r="L747" i="14"/>
  <c r="P742" i="14"/>
  <c r="O742" i="14"/>
  <c r="N742" i="14"/>
  <c r="P741" i="14"/>
  <c r="O741" i="14"/>
  <c r="M740" i="14"/>
  <c r="P740" i="14" s="1"/>
  <c r="L740" i="14"/>
  <c r="O740" i="14" s="1"/>
  <c r="P739" i="14"/>
  <c r="M739" i="14"/>
  <c r="L739" i="14"/>
  <c r="P738" i="14"/>
  <c r="O738" i="14"/>
  <c r="N738" i="14"/>
  <c r="M738" i="14"/>
  <c r="L738" i="14"/>
  <c r="P737" i="14"/>
  <c r="M737" i="14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O695" i="14"/>
  <c r="N695" i="14"/>
  <c r="M695" i="14"/>
  <c r="P695" i="14" s="1"/>
  <c r="L695" i="14"/>
  <c r="P690" i="14"/>
  <c r="N690" i="14"/>
  <c r="L690" i="14"/>
  <c r="L688" i="14" s="1"/>
  <c r="O688" i="14" s="1"/>
  <c r="P688" i="14"/>
  <c r="M688" i="14"/>
  <c r="P687" i="14"/>
  <c r="M687" i="14"/>
  <c r="P686" i="14"/>
  <c r="O686" i="14"/>
  <c r="N686" i="14"/>
  <c r="M686" i="14"/>
  <c r="L686" i="14"/>
  <c r="M685" i="14"/>
  <c r="P685" i="14" s="1"/>
  <c r="J679" i="14"/>
  <c r="J678" i="14"/>
  <c r="I678" i="14"/>
  <c r="K678" i="14" s="1"/>
  <c r="J675" i="14"/>
  <c r="I671" i="14"/>
  <c r="K671" i="14" s="1"/>
  <c r="I670" i="14"/>
  <c r="K670" i="14" s="1"/>
  <c r="J669" i="14"/>
  <c r="J654" i="14" s="1"/>
  <c r="I669" i="14"/>
  <c r="P667" i="14"/>
  <c r="O667" i="14"/>
  <c r="P666" i="14"/>
  <c r="O666" i="14"/>
  <c r="P665" i="14"/>
  <c r="O665" i="14"/>
  <c r="N665" i="14"/>
  <c r="M665" i="14"/>
  <c r="L665" i="14"/>
  <c r="P660" i="14"/>
  <c r="N660" i="14"/>
  <c r="L660" i="14"/>
  <c r="L658" i="14" s="1"/>
  <c r="O658" i="14" s="1"/>
  <c r="P659" i="14"/>
  <c r="O659" i="14"/>
  <c r="N658" i="14"/>
  <c r="M658" i="14"/>
  <c r="P658" i="14" s="1"/>
  <c r="N657" i="14"/>
  <c r="N655" i="14" s="1"/>
  <c r="M657" i="14"/>
  <c r="P657" i="14" s="1"/>
  <c r="N656" i="14"/>
  <c r="M656" i="14"/>
  <c r="L656" i="14"/>
  <c r="O656" i="14" s="1"/>
  <c r="K652" i="14"/>
  <c r="J652" i="14"/>
  <c r="J651" i="14"/>
  <c r="J628" i="14" s="1"/>
  <c r="I651" i="14"/>
  <c r="I628" i="14" s="1"/>
  <c r="K650" i="14"/>
  <c r="J650" i="14"/>
  <c r="J649" i="14"/>
  <c r="I649" i="14"/>
  <c r="K648" i="14"/>
  <c r="J648" i="14"/>
  <c r="J647" i="14"/>
  <c r="I647" i="14"/>
  <c r="K646" i="14"/>
  <c r="J646" i="14"/>
  <c r="K645" i="14"/>
  <c r="J645" i="14"/>
  <c r="I644" i="14"/>
  <c r="K644" i="14" s="1"/>
  <c r="I643" i="14"/>
  <c r="K643" i="14" s="1"/>
  <c r="P641" i="14"/>
  <c r="L641" i="14"/>
  <c r="O641" i="14" s="1"/>
  <c r="P640" i="14"/>
  <c r="O640" i="14"/>
  <c r="P639" i="14"/>
  <c r="N639" i="14"/>
  <c r="M639" i="14"/>
  <c r="P634" i="14"/>
  <c r="N634" i="14"/>
  <c r="L634" i="14"/>
  <c r="O634" i="14" s="1"/>
  <c r="P633" i="14"/>
  <c r="O633" i="14"/>
  <c r="P632" i="14"/>
  <c r="N632" i="14"/>
  <c r="M632" i="14"/>
  <c r="P631" i="14"/>
  <c r="N631" i="14"/>
  <c r="M631" i="14"/>
  <c r="O630" i="14"/>
  <c r="N630" i="14"/>
  <c r="N629" i="14" s="1"/>
  <c r="M630" i="14"/>
  <c r="P630" i="14" s="1"/>
  <c r="L630" i="14"/>
  <c r="M629" i="14"/>
  <c r="P629" i="14" s="1"/>
  <c r="J621" i="14"/>
  <c r="I621" i="14"/>
  <c r="J620" i="14"/>
  <c r="I620" i="14"/>
  <c r="K620" i="14" s="1"/>
  <c r="K613" i="14"/>
  <c r="J613" i="14"/>
  <c r="K612" i="14"/>
  <c r="J612" i="14"/>
  <c r="K611" i="14"/>
  <c r="J611" i="14"/>
  <c r="J604" i="14"/>
  <c r="J594" i="14" s="1"/>
  <c r="J603" i="14"/>
  <c r="J593" i="14" s="1"/>
  <c r="J592" i="14" s="1"/>
  <c r="J596" i="14"/>
  <c r="J595" i="14"/>
  <c r="I594" i="14"/>
  <c r="K594" i="14" s="1"/>
  <c r="I593" i="14"/>
  <c r="K593" i="14" s="1"/>
  <c r="J583" i="14"/>
  <c r="J577" i="14" s="1"/>
  <c r="J582" i="14"/>
  <c r="I577" i="14"/>
  <c r="K577" i="14" s="1"/>
  <c r="J576" i="14"/>
  <c r="J559" i="14" s="1"/>
  <c r="I576" i="14"/>
  <c r="I559" i="14" s="1"/>
  <c r="I543" i="14" s="1"/>
  <c r="J569" i="14"/>
  <c r="I569" i="14"/>
  <c r="J568" i="14"/>
  <c r="I568" i="14"/>
  <c r="K568" i="14" s="1"/>
  <c r="J561" i="14"/>
  <c r="I561" i="14"/>
  <c r="J560" i="14"/>
  <c r="I560" i="14"/>
  <c r="P557" i="14"/>
  <c r="L557" i="14"/>
  <c r="O557" i="14" s="1"/>
  <c r="P556" i="14"/>
  <c r="O556" i="14"/>
  <c r="N555" i="14"/>
  <c r="N545" i="14" s="1"/>
  <c r="M555" i="14"/>
  <c r="P555" i="14" s="1"/>
  <c r="P549" i="14"/>
  <c r="N549" i="14"/>
  <c r="N546" i="14" s="1"/>
  <c r="L549" i="14"/>
  <c r="P548" i="14"/>
  <c r="O548" i="14"/>
  <c r="M547" i="14"/>
  <c r="P547" i="14" s="1"/>
  <c r="M546" i="14"/>
  <c r="P545" i="14"/>
  <c r="M545" i="14"/>
  <c r="L545" i="14"/>
  <c r="J543" i="14"/>
  <c r="I542" i="14"/>
  <c r="K542" i="14" s="1"/>
  <c r="I541" i="14"/>
  <c r="K541" i="14" s="1"/>
  <c r="I540" i="14"/>
  <c r="K540" i="14" s="1"/>
  <c r="I539" i="14"/>
  <c r="K539" i="14" s="1"/>
  <c r="I538" i="14"/>
  <c r="I537" i="14"/>
  <c r="K537" i="14" s="1"/>
  <c r="P535" i="14"/>
  <c r="L535" i="14"/>
  <c r="L533" i="14" s="1"/>
  <c r="O533" i="14" s="1"/>
  <c r="P534" i="14"/>
  <c r="O534" i="14"/>
  <c r="N533" i="14"/>
  <c r="M533" i="14"/>
  <c r="P533" i="14" s="1"/>
  <c r="P528" i="14"/>
  <c r="N528" i="14"/>
  <c r="N525" i="14" s="1"/>
  <c r="L528" i="14"/>
  <c r="O528" i="14" s="1"/>
  <c r="P527" i="14"/>
  <c r="O527" i="14"/>
  <c r="P526" i="14"/>
  <c r="N526" i="14"/>
  <c r="M526" i="14"/>
  <c r="L526" i="14"/>
  <c r="O526" i="14" s="1"/>
  <c r="P525" i="14"/>
  <c r="M525" i="14"/>
  <c r="P524" i="14"/>
  <c r="O524" i="14"/>
  <c r="N524" i="14"/>
  <c r="M524" i="14"/>
  <c r="L524" i="14"/>
  <c r="N523" i="14"/>
  <c r="M523" i="14"/>
  <c r="P523" i="14" s="1"/>
  <c r="K517" i="14"/>
  <c r="J517" i="14"/>
  <c r="K516" i="14"/>
  <c r="P514" i="14"/>
  <c r="O514" i="14"/>
  <c r="P513" i="14"/>
  <c r="O513" i="14"/>
  <c r="P512" i="14"/>
  <c r="N512" i="14"/>
  <c r="M512" i="14"/>
  <c r="L512" i="14"/>
  <c r="O512" i="14" s="1"/>
  <c r="P507" i="14"/>
  <c r="O507" i="14"/>
  <c r="N507" i="14"/>
  <c r="P506" i="14"/>
  <c r="O506" i="14"/>
  <c r="P505" i="14"/>
  <c r="O505" i="14"/>
  <c r="N505" i="14"/>
  <c r="M505" i="14"/>
  <c r="L505" i="14"/>
  <c r="O504" i="14"/>
  <c r="N504" i="14"/>
  <c r="M504" i="14"/>
  <c r="P504" i="14" s="1"/>
  <c r="L504" i="14"/>
  <c r="N503" i="14"/>
  <c r="M503" i="14"/>
  <c r="L503" i="14"/>
  <c r="O503" i="14" s="1"/>
  <c r="L502" i="14"/>
  <c r="O502" i="14" s="1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O479" i="14" s="1"/>
  <c r="P478" i="14"/>
  <c r="O478" i="14"/>
  <c r="P477" i="14"/>
  <c r="N477" i="14"/>
  <c r="M477" i="14"/>
  <c r="P472" i="14"/>
  <c r="N472" i="14"/>
  <c r="L472" i="14"/>
  <c r="O472" i="14" s="1"/>
  <c r="P471" i="14"/>
  <c r="O471" i="14"/>
  <c r="P470" i="14"/>
  <c r="N470" i="14"/>
  <c r="M470" i="14"/>
  <c r="N469" i="14"/>
  <c r="M469" i="14"/>
  <c r="P469" i="14" s="1"/>
  <c r="N468" i="14"/>
  <c r="N467" i="14" s="1"/>
  <c r="M468" i="14"/>
  <c r="P468" i="14" s="1"/>
  <c r="L468" i="14"/>
  <c r="O468" i="14" s="1"/>
  <c r="M467" i="14"/>
  <c r="P467" i="14" s="1"/>
  <c r="J466" i="14"/>
  <c r="I466" i="14"/>
  <c r="K466" i="14" s="1"/>
  <c r="J465" i="14"/>
  <c r="I465" i="14"/>
  <c r="I464" i="14"/>
  <c r="I463" i="14"/>
  <c r="I462" i="14"/>
  <c r="K462" i="14" s="1"/>
  <c r="I460" i="14"/>
  <c r="I442" i="14" s="1"/>
  <c r="K442" i="14" s="1"/>
  <c r="K458" i="14"/>
  <c r="P456" i="14"/>
  <c r="L456" i="14"/>
  <c r="O456" i="14" s="1"/>
  <c r="P455" i="14"/>
  <c r="O455" i="14"/>
  <c r="P454" i="14"/>
  <c r="N454" i="14"/>
  <c r="M454" i="14"/>
  <c r="L454" i="14"/>
  <c r="O454" i="14" s="1"/>
  <c r="P449" i="14"/>
  <c r="N449" i="14"/>
  <c r="L449" i="14"/>
  <c r="O449" i="14" s="1"/>
  <c r="P448" i="14"/>
  <c r="O448" i="14"/>
  <c r="P447" i="14"/>
  <c r="N447" i="14"/>
  <c r="M447" i="14"/>
  <c r="L447" i="14"/>
  <c r="O447" i="14" s="1"/>
  <c r="P446" i="14"/>
  <c r="N446" i="14"/>
  <c r="M446" i="14"/>
  <c r="O445" i="14"/>
  <c r="N445" i="14"/>
  <c r="N444" i="14" s="1"/>
  <c r="M445" i="14"/>
  <c r="P445" i="14" s="1"/>
  <c r="L445" i="14"/>
  <c r="M444" i="14"/>
  <c r="P444" i="14" s="1"/>
  <c r="J443" i="14"/>
  <c r="J442" i="14"/>
  <c r="I441" i="14"/>
  <c r="K441" i="14" s="1"/>
  <c r="I440" i="14"/>
  <c r="I439" i="14"/>
  <c r="K439" i="14" s="1"/>
  <c r="I438" i="14"/>
  <c r="K438" i="14" s="1"/>
  <c r="I437" i="14"/>
  <c r="K437" i="14" s="1"/>
  <c r="I435" i="14"/>
  <c r="I433" i="14" s="1"/>
  <c r="I417" i="14" s="1"/>
  <c r="J434" i="14"/>
  <c r="P431" i="14"/>
  <c r="L431" i="14"/>
  <c r="O431" i="14" s="1"/>
  <c r="P430" i="14"/>
  <c r="O430" i="14"/>
  <c r="N429" i="14"/>
  <c r="M429" i="14"/>
  <c r="P429" i="14" s="1"/>
  <c r="P424" i="14"/>
  <c r="N424" i="14"/>
  <c r="L424" i="14"/>
  <c r="O424" i="14" s="1"/>
  <c r="P423" i="14"/>
  <c r="O423" i="14"/>
  <c r="P422" i="14"/>
  <c r="N422" i="14"/>
  <c r="M422" i="14"/>
  <c r="P421" i="14"/>
  <c r="N421" i="14"/>
  <c r="M421" i="14"/>
  <c r="O420" i="14"/>
  <c r="N420" i="14"/>
  <c r="M420" i="14"/>
  <c r="P420" i="14" s="1"/>
  <c r="L420" i="14"/>
  <c r="N419" i="14"/>
  <c r="M419" i="14"/>
  <c r="P419" i="14" s="1"/>
  <c r="J418" i="14"/>
  <c r="K413" i="14"/>
  <c r="K412" i="14"/>
  <c r="N410" i="14"/>
  <c r="N408" i="14" s="1"/>
  <c r="M410" i="14"/>
  <c r="L410" i="14"/>
  <c r="O410" i="14" s="1"/>
  <c r="P409" i="14"/>
  <c r="O409" i="14"/>
  <c r="N407" i="14"/>
  <c r="M407" i="14"/>
  <c r="L407" i="14"/>
  <c r="O407" i="14" s="1"/>
  <c r="P406" i="14"/>
  <c r="O406" i="14"/>
  <c r="N403" i="14"/>
  <c r="M403" i="14"/>
  <c r="L403" i="14"/>
  <c r="O403" i="14" s="1"/>
  <c r="K401" i="14"/>
  <c r="J401" i="14"/>
  <c r="I401" i="14"/>
  <c r="K400" i="14"/>
  <c r="K399" i="14"/>
  <c r="N397" i="14"/>
  <c r="N395" i="14" s="1"/>
  <c r="M397" i="14"/>
  <c r="P397" i="14" s="1"/>
  <c r="L397" i="14"/>
  <c r="L395" i="14" s="1"/>
  <c r="O395" i="14" s="1"/>
  <c r="P396" i="14"/>
  <c r="O396" i="14"/>
  <c r="N394" i="14"/>
  <c r="M394" i="14"/>
  <c r="L394" i="14"/>
  <c r="O394" i="14" s="1"/>
  <c r="P393" i="14"/>
  <c r="O393" i="14"/>
  <c r="O390" i="14"/>
  <c r="N390" i="14"/>
  <c r="M390" i="14"/>
  <c r="P390" i="14" s="1"/>
  <c r="L390" i="14"/>
  <c r="K388" i="14"/>
  <c r="J388" i="14"/>
  <c r="I388" i="14"/>
  <c r="J385" i="14"/>
  <c r="I385" i="14"/>
  <c r="K385" i="14" s="1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M351" i="14" s="1"/>
  <c r="L353" i="14"/>
  <c r="P352" i="14"/>
  <c r="O352" i="14"/>
  <c r="N350" i="14"/>
  <c r="N348" i="14" s="1"/>
  <c r="M350" i="14"/>
  <c r="L350" i="14"/>
  <c r="L348" i="14" s="1"/>
  <c r="P349" i="14"/>
  <c r="O349" i="14"/>
  <c r="O346" i="14"/>
  <c r="N346" i="14"/>
  <c r="M346" i="14"/>
  <c r="P346" i="14" s="1"/>
  <c r="L346" i="14"/>
  <c r="J343" i="14"/>
  <c r="J342" i="14"/>
  <c r="J341" i="14"/>
  <c r="J340" i="14"/>
  <c r="I340" i="14"/>
  <c r="J338" i="14"/>
  <c r="I338" i="14"/>
  <c r="N336" i="14"/>
  <c r="N334" i="14" s="1"/>
  <c r="M336" i="14"/>
  <c r="P336" i="14" s="1"/>
  <c r="L336" i="14"/>
  <c r="O336" i="14" s="1"/>
  <c r="P335" i="14"/>
  <c r="O335" i="14"/>
  <c r="N333" i="14"/>
  <c r="M333" i="14"/>
  <c r="M331" i="14" s="1"/>
  <c r="L333" i="14"/>
  <c r="L331" i="14" s="1"/>
  <c r="P332" i="14"/>
  <c r="O332" i="14"/>
  <c r="O329" i="14"/>
  <c r="N329" i="14"/>
  <c r="M329" i="14"/>
  <c r="P329" i="14" s="1"/>
  <c r="L329" i="14"/>
  <c r="I327" i="14"/>
  <c r="I325" i="14"/>
  <c r="K325" i="14" s="1"/>
  <c r="N323" i="14"/>
  <c r="N321" i="14" s="1"/>
  <c r="M323" i="14"/>
  <c r="P323" i="14" s="1"/>
  <c r="L323" i="14"/>
  <c r="P322" i="14"/>
  <c r="O322" i="14"/>
  <c r="N320" i="14"/>
  <c r="N318" i="14" s="1"/>
  <c r="M320" i="14"/>
  <c r="P320" i="14" s="1"/>
  <c r="L320" i="14"/>
  <c r="O320" i="14" s="1"/>
  <c r="P319" i="14"/>
  <c r="O319" i="14"/>
  <c r="P316" i="14"/>
  <c r="N316" i="14"/>
  <c r="M316" i="14"/>
  <c r="L316" i="14"/>
  <c r="O316" i="14" s="1"/>
  <c r="J314" i="14"/>
  <c r="I312" i="14"/>
  <c r="K312" i="14" s="1"/>
  <c r="I311" i="14"/>
  <c r="K311" i="14" s="1"/>
  <c r="I310" i="14"/>
  <c r="K310" i="14" s="1"/>
  <c r="I309" i="14"/>
  <c r="K309" i="14" s="1"/>
  <c r="N306" i="14"/>
  <c r="N304" i="14" s="1"/>
  <c r="M306" i="14"/>
  <c r="L306" i="14"/>
  <c r="L304" i="14" s="1"/>
  <c r="O304" i="14" s="1"/>
  <c r="P305" i="14"/>
  <c r="O305" i="14"/>
  <c r="N303" i="14"/>
  <c r="M303" i="14"/>
  <c r="L303" i="14"/>
  <c r="O303" i="14" s="1"/>
  <c r="P302" i="14"/>
  <c r="O302" i="14"/>
  <c r="N299" i="14"/>
  <c r="M299" i="14"/>
  <c r="L299" i="14"/>
  <c r="O299" i="14" s="1"/>
  <c r="J297" i="14"/>
  <c r="I294" i="14"/>
  <c r="K294" i="14" s="1"/>
  <c r="I293" i="14"/>
  <c r="K293" i="14" s="1"/>
  <c r="I291" i="14"/>
  <c r="K291" i="14" s="1"/>
  <c r="I290" i="14"/>
  <c r="K290" i="14" s="1"/>
  <c r="I288" i="14"/>
  <c r="I287" i="14"/>
  <c r="I276" i="14" s="1"/>
  <c r="K276" i="14" s="1"/>
  <c r="N285" i="14"/>
  <c r="N283" i="14" s="1"/>
  <c r="M285" i="14"/>
  <c r="P285" i="14" s="1"/>
  <c r="L285" i="14"/>
  <c r="L283" i="14" s="1"/>
  <c r="O283" i="14" s="1"/>
  <c r="P284" i="14"/>
  <c r="O284" i="14"/>
  <c r="N282" i="14"/>
  <c r="M282" i="14"/>
  <c r="L282" i="14"/>
  <c r="L280" i="14" s="1"/>
  <c r="P281" i="14"/>
  <c r="O281" i="14"/>
  <c r="O278" i="14"/>
  <c r="N278" i="14"/>
  <c r="M278" i="14"/>
  <c r="L278" i="14"/>
  <c r="J276" i="14"/>
  <c r="I271" i="14"/>
  <c r="K271" i="14" s="1"/>
  <c r="N269" i="14"/>
  <c r="M269" i="14"/>
  <c r="L269" i="14"/>
  <c r="O269" i="14" s="1"/>
  <c r="P268" i="14"/>
  <c r="O268" i="14"/>
  <c r="N266" i="14"/>
  <c r="N264" i="14" s="1"/>
  <c r="M266" i="14"/>
  <c r="L266" i="14"/>
  <c r="P265" i="14"/>
  <c r="O265" i="14"/>
  <c r="P262" i="14"/>
  <c r="N262" i="14"/>
  <c r="M262" i="14"/>
  <c r="L262" i="14"/>
  <c r="J260" i="14"/>
  <c r="K258" i="14"/>
  <c r="K257" i="14"/>
  <c r="I255" i="14"/>
  <c r="L253" i="14"/>
  <c r="L252" i="14"/>
  <c r="L251" i="14"/>
  <c r="L250" i="14"/>
  <c r="P249" i="14"/>
  <c r="N249" i="14"/>
  <c r="J248" i="14"/>
  <c r="K247" i="14"/>
  <c r="K246" i="14"/>
  <c r="I244" i="14"/>
  <c r="I237" i="14" s="1"/>
  <c r="L242" i="14"/>
  <c r="L241" i="14"/>
  <c r="L240" i="14"/>
  <c r="L239" i="14"/>
  <c r="P238" i="14"/>
  <c r="N238" i="14"/>
  <c r="J237" i="14"/>
  <c r="J226" i="14" s="1"/>
  <c r="J180" i="14" s="1"/>
  <c r="J236" i="14"/>
  <c r="I236" i="14"/>
  <c r="K236" i="14" s="1"/>
  <c r="J235" i="14"/>
  <c r="I235" i="14"/>
  <c r="K235" i="14" s="1"/>
  <c r="J233" i="14"/>
  <c r="N231" i="14"/>
  <c r="N230" i="14"/>
  <c r="N229" i="14"/>
  <c r="N228" i="14"/>
  <c r="N227" i="14"/>
  <c r="I225" i="14"/>
  <c r="K225" i="14" s="1"/>
  <c r="I224" i="14"/>
  <c r="K224" i="14" s="1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K204" i="14" s="1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N187" i="14" s="1"/>
  <c r="M189" i="14"/>
  <c r="M187" i="14" s="1"/>
  <c r="P187" i="14" s="1"/>
  <c r="L189" i="14"/>
  <c r="L187" i="14" s="1"/>
  <c r="O187" i="14" s="1"/>
  <c r="P188" i="14"/>
  <c r="O188" i="14"/>
  <c r="N186" i="14"/>
  <c r="M186" i="14"/>
  <c r="M184" i="14" s="1"/>
  <c r="L186" i="14"/>
  <c r="P185" i="14"/>
  <c r="O185" i="14"/>
  <c r="P182" i="14"/>
  <c r="O182" i="14"/>
  <c r="N182" i="14"/>
  <c r="M182" i="14"/>
  <c r="L182" i="14"/>
  <c r="J177" i="14"/>
  <c r="J164" i="14" s="1"/>
  <c r="I176" i="14"/>
  <c r="I174" i="14" s="1"/>
  <c r="K174" i="14" s="1"/>
  <c r="J174" i="14"/>
  <c r="N173" i="14"/>
  <c r="N171" i="14" s="1"/>
  <c r="M173" i="14"/>
  <c r="M171" i="14" s="1"/>
  <c r="P171" i="14" s="1"/>
  <c r="L173" i="14"/>
  <c r="O173" i="14" s="1"/>
  <c r="P172" i="14"/>
  <c r="O172" i="14"/>
  <c r="N170" i="14"/>
  <c r="N168" i="14" s="1"/>
  <c r="M170" i="14"/>
  <c r="M168" i="14" s="1"/>
  <c r="L170" i="14"/>
  <c r="P169" i="14"/>
  <c r="O169" i="14"/>
  <c r="P166" i="14"/>
  <c r="O166" i="14"/>
  <c r="N166" i="14"/>
  <c r="M166" i="14"/>
  <c r="L166" i="14"/>
  <c r="I159" i="14"/>
  <c r="K159" i="14" s="1"/>
  <c r="N157" i="14"/>
  <c r="N155" i="14" s="1"/>
  <c r="M157" i="14"/>
  <c r="L157" i="14"/>
  <c r="O157" i="14" s="1"/>
  <c r="P156" i="14"/>
  <c r="O156" i="14"/>
  <c r="N154" i="14"/>
  <c r="N152" i="14" s="1"/>
  <c r="M154" i="14"/>
  <c r="L154" i="14"/>
  <c r="O154" i="14" s="1"/>
  <c r="P153" i="14"/>
  <c r="O153" i="14"/>
  <c r="P150" i="14"/>
  <c r="N150" i="14"/>
  <c r="M150" i="14"/>
  <c r="L150" i="14"/>
  <c r="J148" i="14"/>
  <c r="I146" i="14"/>
  <c r="K146" i="14" s="1"/>
  <c r="I145" i="14"/>
  <c r="I144" i="14"/>
  <c r="N140" i="14"/>
  <c r="N138" i="14" s="1"/>
  <c r="M140" i="14"/>
  <c r="P140" i="14" s="1"/>
  <c r="L140" i="14"/>
  <c r="L138" i="14" s="1"/>
  <c r="O138" i="14" s="1"/>
  <c r="P139" i="14"/>
  <c r="O139" i="14"/>
  <c r="N137" i="14"/>
  <c r="N135" i="14" s="1"/>
  <c r="M137" i="14"/>
  <c r="M135" i="14" s="1"/>
  <c r="P135" i="14" s="1"/>
  <c r="L137" i="14"/>
  <c r="L135" i="14" s="1"/>
  <c r="O135" i="14" s="1"/>
  <c r="P136" i="14"/>
  <c r="O136" i="14"/>
  <c r="O133" i="14"/>
  <c r="N133" i="14"/>
  <c r="M133" i="14"/>
  <c r="L133" i="14"/>
  <c r="J130" i="14"/>
  <c r="N127" i="14"/>
  <c r="N125" i="14" s="1"/>
  <c r="M127" i="14"/>
  <c r="L127" i="14"/>
  <c r="O127" i="14" s="1"/>
  <c r="P126" i="14"/>
  <c r="O126" i="14"/>
  <c r="N124" i="14"/>
  <c r="N122" i="14" s="1"/>
  <c r="M124" i="14"/>
  <c r="L124" i="14"/>
  <c r="O124" i="14" s="1"/>
  <c r="P123" i="14"/>
  <c r="O123" i="14"/>
  <c r="P120" i="14"/>
  <c r="N120" i="14"/>
  <c r="M120" i="14"/>
  <c r="L120" i="14"/>
  <c r="K118" i="14"/>
  <c r="J118" i="14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K99" i="14" s="1"/>
  <c r="J98" i="14"/>
  <c r="J86" i="14" s="1"/>
  <c r="I98" i="14"/>
  <c r="I86" i="14" s="1"/>
  <c r="K86" i="14" s="1"/>
  <c r="N96" i="14"/>
  <c r="N94" i="14" s="1"/>
  <c r="M96" i="14"/>
  <c r="L96" i="14"/>
  <c r="O96" i="14" s="1"/>
  <c r="P95" i="14"/>
  <c r="O95" i="14"/>
  <c r="N93" i="14"/>
  <c r="N91" i="14" s="1"/>
  <c r="M93" i="14"/>
  <c r="L93" i="14"/>
  <c r="P92" i="14"/>
  <c r="O92" i="14"/>
  <c r="P89" i="14"/>
  <c r="N89" i="14"/>
  <c r="M89" i="14"/>
  <c r="L89" i="14"/>
  <c r="J87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K79" i="14" s="1"/>
  <c r="I78" i="14"/>
  <c r="K78" i="14" s="1"/>
  <c r="J77" i="14"/>
  <c r="J76" i="14"/>
  <c r="J64" i="14" s="1"/>
  <c r="N74" i="14"/>
  <c r="N72" i="14" s="1"/>
  <c r="M74" i="14"/>
  <c r="M72" i="14" s="1"/>
  <c r="P72" i="14" s="1"/>
  <c r="L74" i="14"/>
  <c r="P73" i="14"/>
  <c r="O73" i="14"/>
  <c r="N71" i="14"/>
  <c r="M71" i="14"/>
  <c r="M69" i="14" s="1"/>
  <c r="P69" i="14" s="1"/>
  <c r="L71" i="14"/>
  <c r="P70" i="14"/>
  <c r="O70" i="14"/>
  <c r="P67" i="14"/>
  <c r="O67" i="14"/>
  <c r="N67" i="14"/>
  <c r="M67" i="14"/>
  <c r="L67" i="14"/>
  <c r="J65" i="14"/>
  <c r="N61" i="14"/>
  <c r="N59" i="14" s="1"/>
  <c r="M61" i="14"/>
  <c r="L61" i="14"/>
  <c r="L59" i="14" s="1"/>
  <c r="O59" i="14" s="1"/>
  <c r="P60" i="14"/>
  <c r="O60" i="14"/>
  <c r="N58" i="14"/>
  <c r="N56" i="14" s="1"/>
  <c r="M58" i="14"/>
  <c r="L58" i="14"/>
  <c r="P57" i="14"/>
  <c r="O57" i="14"/>
  <c r="N54" i="14"/>
  <c r="M54" i="14"/>
  <c r="P54" i="14" s="1"/>
  <c r="L54" i="14"/>
  <c r="N49" i="14"/>
  <c r="N47" i="14" s="1"/>
  <c r="M49" i="14"/>
  <c r="P49" i="14" s="1"/>
  <c r="L49" i="14"/>
  <c r="P48" i="14"/>
  <c r="O48" i="14"/>
  <c r="N46" i="14"/>
  <c r="M46" i="14"/>
  <c r="L46" i="14"/>
  <c r="P45" i="14"/>
  <c r="O45" i="14"/>
  <c r="P42" i="14"/>
  <c r="O42" i="14"/>
  <c r="N42" i="14"/>
  <c r="M42" i="14"/>
  <c r="L42" i="14"/>
  <c r="N36" i="14"/>
  <c r="N30" i="14" s="1"/>
  <c r="M36" i="14"/>
  <c r="P36" i="14" s="1"/>
  <c r="N35" i="14"/>
  <c r="M35" i="14"/>
  <c r="L35" i="14"/>
  <c r="O35" i="14" s="1"/>
  <c r="P33" i="14"/>
  <c r="N33" i="14"/>
  <c r="M33" i="14"/>
  <c r="P32" i="14"/>
  <c r="O32" i="14"/>
  <c r="N32" i="14"/>
  <c r="M32" i="14"/>
  <c r="L32" i="14"/>
  <c r="M31" i="14"/>
  <c r="P31" i="14" s="1"/>
  <c r="M30" i="14"/>
  <c r="P30" i="14" s="1"/>
  <c r="M29" i="14"/>
  <c r="L29" i="14"/>
  <c r="O29" i="14" s="1"/>
  <c r="P25" i="14"/>
  <c r="O25" i="14"/>
  <c r="N25" i="14"/>
  <c r="N15" i="14" s="1"/>
  <c r="M25" i="14"/>
  <c r="L25" i="14"/>
  <c r="N22" i="14"/>
  <c r="M22" i="14"/>
  <c r="L22" i="14"/>
  <c r="N19" i="14"/>
  <c r="M15" i="14"/>
  <c r="L15" i="14"/>
  <c r="O15" i="14" s="1"/>
  <c r="N12" i="14"/>
  <c r="N9" i="14" s="1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P817" i="13"/>
  <c r="O817" i="13"/>
  <c r="P816" i="13"/>
  <c r="O816" i="13"/>
  <c r="O815" i="13"/>
  <c r="N815" i="13"/>
  <c r="M815" i="13"/>
  <c r="P815" i="13" s="1"/>
  <c r="L815" i="13"/>
  <c r="P810" i="13"/>
  <c r="O810" i="13"/>
  <c r="N810" i="13"/>
  <c r="P809" i="13"/>
  <c r="O809" i="13"/>
  <c r="O808" i="13"/>
  <c r="M808" i="13"/>
  <c r="P808" i="13" s="1"/>
  <c r="L808" i="13"/>
  <c r="M807" i="13"/>
  <c r="P807" i="13" s="1"/>
  <c r="L807" i="13"/>
  <c r="O806" i="13"/>
  <c r="N806" i="13"/>
  <c r="M806" i="13"/>
  <c r="P806" i="13" s="1"/>
  <c r="L806" i="13"/>
  <c r="P805" i="13"/>
  <c r="M805" i="13"/>
  <c r="K804" i="13"/>
  <c r="J804" i="13"/>
  <c r="K802" i="13"/>
  <c r="J801" i="13"/>
  <c r="J800" i="13"/>
  <c r="I800" i="13"/>
  <c r="K800" i="13" s="1"/>
  <c r="P798" i="13"/>
  <c r="O798" i="13"/>
  <c r="P797" i="13"/>
  <c r="O797" i="13"/>
  <c r="P796" i="13"/>
  <c r="N796" i="13"/>
  <c r="M796" i="13"/>
  <c r="L796" i="13"/>
  <c r="O796" i="13" s="1"/>
  <c r="P791" i="13"/>
  <c r="N791" i="13"/>
  <c r="L791" i="13"/>
  <c r="L788" i="13" s="1"/>
  <c r="P790" i="13"/>
  <c r="O790" i="13"/>
  <c r="N789" i="13"/>
  <c r="M789" i="13"/>
  <c r="P789" i="13" s="1"/>
  <c r="N788" i="13"/>
  <c r="M788" i="13"/>
  <c r="P788" i="13" s="1"/>
  <c r="N787" i="13"/>
  <c r="N786" i="13" s="1"/>
  <c r="M787" i="13"/>
  <c r="P787" i="13" s="1"/>
  <c r="L787" i="13"/>
  <c r="O787" i="13" s="1"/>
  <c r="P786" i="13"/>
  <c r="M786" i="13"/>
  <c r="J785" i="13"/>
  <c r="I785" i="13"/>
  <c r="K785" i="13" s="1"/>
  <c r="P782" i="13"/>
  <c r="O782" i="13"/>
  <c r="P781" i="13"/>
  <c r="O781" i="13"/>
  <c r="P780" i="13"/>
  <c r="N780" i="13"/>
  <c r="M780" i="13"/>
  <c r="L780" i="13"/>
  <c r="O780" i="13" s="1"/>
  <c r="P775" i="13"/>
  <c r="O775" i="13"/>
  <c r="N775" i="13"/>
  <c r="N772" i="13" s="1"/>
  <c r="N770" i="13" s="1"/>
  <c r="P774" i="13"/>
  <c r="O774" i="13"/>
  <c r="P773" i="13"/>
  <c r="N773" i="13"/>
  <c r="M773" i="13"/>
  <c r="L773" i="13"/>
  <c r="O773" i="13" s="1"/>
  <c r="O772" i="13"/>
  <c r="M772" i="13"/>
  <c r="L772" i="13"/>
  <c r="N771" i="13"/>
  <c r="M771" i="13"/>
  <c r="P771" i="13" s="1"/>
  <c r="L771" i="13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N756" i="13" s="1"/>
  <c r="N754" i="13" s="1"/>
  <c r="P758" i="13"/>
  <c r="O758" i="13"/>
  <c r="P757" i="13"/>
  <c r="N757" i="13"/>
  <c r="M757" i="13"/>
  <c r="L757" i="13"/>
  <c r="O757" i="13" s="1"/>
  <c r="O756" i="13"/>
  <c r="M756" i="13"/>
  <c r="L756" i="13"/>
  <c r="N755" i="13"/>
  <c r="M755" i="13"/>
  <c r="P755" i="13" s="1"/>
  <c r="L755" i="13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N739" i="13" s="1"/>
  <c r="N737" i="13" s="1"/>
  <c r="P741" i="13"/>
  <c r="O741" i="13"/>
  <c r="P740" i="13"/>
  <c r="N740" i="13"/>
  <c r="M740" i="13"/>
  <c r="L740" i="13"/>
  <c r="O740" i="13" s="1"/>
  <c r="O739" i="13"/>
  <c r="M739" i="13"/>
  <c r="L739" i="13"/>
  <c r="P738" i="13"/>
  <c r="N738" i="13"/>
  <c r="M738" i="13"/>
  <c r="L738" i="13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K725" i="13" s="1"/>
  <c r="J724" i="13"/>
  <c r="J723" i="13"/>
  <c r="I723" i="13"/>
  <c r="K723" i="13" s="1"/>
  <c r="I722" i="13"/>
  <c r="K722" i="13" s="1"/>
  <c r="I721" i="13"/>
  <c r="K721" i="13" s="1"/>
  <c r="J720" i="13"/>
  <c r="I720" i="13"/>
  <c r="K720" i="13" s="1"/>
  <c r="J719" i="13"/>
  <c r="J718" i="13"/>
  <c r="J708" i="13"/>
  <c r="I708" i="13"/>
  <c r="K708" i="13" s="1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P690" i="13"/>
  <c r="N690" i="13"/>
  <c r="N688" i="13" s="1"/>
  <c r="L690" i="13"/>
  <c r="L688" i="13" s="1"/>
  <c r="O688" i="13" s="1"/>
  <c r="M688" i="13"/>
  <c r="P688" i="13" s="1"/>
  <c r="N687" i="13"/>
  <c r="M687" i="13"/>
  <c r="P687" i="13" s="1"/>
  <c r="N686" i="13"/>
  <c r="N685" i="13" s="1"/>
  <c r="M686" i="13"/>
  <c r="P686" i="13" s="1"/>
  <c r="L686" i="13"/>
  <c r="O686" i="13" s="1"/>
  <c r="P685" i="13"/>
  <c r="M685" i="13"/>
  <c r="J679" i="13"/>
  <c r="J678" i="13"/>
  <c r="I678" i="13"/>
  <c r="K678" i="13" s="1"/>
  <c r="J675" i="13"/>
  <c r="J669" i="13" s="1"/>
  <c r="J654" i="13" s="1"/>
  <c r="I671" i="13"/>
  <c r="K671" i="13" s="1"/>
  <c r="I670" i="13"/>
  <c r="K670" i="13" s="1"/>
  <c r="I669" i="13"/>
  <c r="K674" i="13" s="1"/>
  <c r="P667" i="13"/>
  <c r="O667" i="13"/>
  <c r="P666" i="13"/>
  <c r="O666" i="13"/>
  <c r="N665" i="13"/>
  <c r="M665" i="13"/>
  <c r="P665" i="13" s="1"/>
  <c r="L665" i="13"/>
  <c r="O665" i="13" s="1"/>
  <c r="P660" i="13"/>
  <c r="N660" i="13"/>
  <c r="L660" i="13"/>
  <c r="O660" i="13" s="1"/>
  <c r="P659" i="13"/>
  <c r="O659" i="13"/>
  <c r="P658" i="13"/>
  <c r="N658" i="13"/>
  <c r="M658" i="13"/>
  <c r="N657" i="13"/>
  <c r="M657" i="13"/>
  <c r="P657" i="13" s="1"/>
  <c r="P656" i="13"/>
  <c r="N656" i="13"/>
  <c r="N655" i="13" s="1"/>
  <c r="M656" i="13"/>
  <c r="L656" i="13"/>
  <c r="O656" i="13" s="1"/>
  <c r="M655" i="13"/>
  <c r="P655" i="13" s="1"/>
  <c r="K652" i="13"/>
  <c r="J652" i="13"/>
  <c r="J651" i="13"/>
  <c r="J628" i="13" s="1"/>
  <c r="I651" i="13"/>
  <c r="K651" i="13" s="1"/>
  <c r="K650" i="13"/>
  <c r="J650" i="13"/>
  <c r="J649" i="13"/>
  <c r="I649" i="13"/>
  <c r="K649" i="13" s="1"/>
  <c r="K648" i="13"/>
  <c r="J648" i="13"/>
  <c r="J647" i="13"/>
  <c r="I647" i="13"/>
  <c r="K647" i="13" s="1"/>
  <c r="K646" i="13"/>
  <c r="J646" i="13"/>
  <c r="K645" i="13"/>
  <c r="J645" i="13"/>
  <c r="I644" i="13"/>
  <c r="K644" i="13" s="1"/>
  <c r="I643" i="13"/>
  <c r="K643" i="13" s="1"/>
  <c r="P641" i="13"/>
  <c r="L641" i="13"/>
  <c r="P640" i="13"/>
  <c r="O640" i="13"/>
  <c r="N639" i="13"/>
  <c r="M639" i="13"/>
  <c r="P639" i="13" s="1"/>
  <c r="P634" i="13"/>
  <c r="N634" i="13"/>
  <c r="L634" i="13"/>
  <c r="O634" i="13" s="1"/>
  <c r="P633" i="13"/>
  <c r="O633" i="13"/>
  <c r="N632" i="13"/>
  <c r="M632" i="13"/>
  <c r="P632" i="13" s="1"/>
  <c r="N631" i="13"/>
  <c r="N629" i="13" s="1"/>
  <c r="M631" i="13"/>
  <c r="P631" i="13" s="1"/>
  <c r="P630" i="13"/>
  <c r="N630" i="13"/>
  <c r="M630" i="13"/>
  <c r="M629" i="13" s="1"/>
  <c r="P629" i="13" s="1"/>
  <c r="L630" i="13"/>
  <c r="O630" i="13" s="1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5" i="13"/>
  <c r="J594" i="13"/>
  <c r="I594" i="13"/>
  <c r="K594" i="13" s="1"/>
  <c r="J593" i="13"/>
  <c r="I593" i="13"/>
  <c r="I592" i="13" s="1"/>
  <c r="K592" i="13" s="1"/>
  <c r="J592" i="13"/>
  <c r="J583" i="13"/>
  <c r="J582" i="13"/>
  <c r="J576" i="13" s="1"/>
  <c r="J559" i="13" s="1"/>
  <c r="J543" i="13" s="1"/>
  <c r="J577" i="13"/>
  <c r="I577" i="13"/>
  <c r="K577" i="13" s="1"/>
  <c r="I576" i="13"/>
  <c r="K576" i="13" s="1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O557" i="13" s="1"/>
  <c r="P556" i="13"/>
  <c r="O556" i="13"/>
  <c r="P555" i="13"/>
  <c r="N555" i="13"/>
  <c r="M555" i="13"/>
  <c r="P549" i="13"/>
  <c r="N549" i="13"/>
  <c r="L549" i="13"/>
  <c r="O549" i="13" s="1"/>
  <c r="P548" i="13"/>
  <c r="O548" i="13"/>
  <c r="N547" i="13"/>
  <c r="M547" i="13"/>
  <c r="P547" i="13" s="1"/>
  <c r="P546" i="13"/>
  <c r="N546" i="13"/>
  <c r="N544" i="13" s="1"/>
  <c r="M546" i="13"/>
  <c r="O545" i="13"/>
  <c r="N545" i="13"/>
  <c r="M545" i="13"/>
  <c r="L545" i="13"/>
  <c r="I542" i="13"/>
  <c r="K542" i="13" s="1"/>
  <c r="I541" i="13"/>
  <c r="K541" i="13" s="1"/>
  <c r="I540" i="13"/>
  <c r="K540" i="13" s="1"/>
  <c r="I539" i="13"/>
  <c r="K539" i="13" s="1"/>
  <c r="I538" i="13"/>
  <c r="I537" i="13"/>
  <c r="I522" i="13" s="1"/>
  <c r="K522" i="13" s="1"/>
  <c r="P535" i="13"/>
  <c r="L535" i="13"/>
  <c r="L533" i="13" s="1"/>
  <c r="O533" i="13" s="1"/>
  <c r="P534" i="13"/>
  <c r="O534" i="13"/>
  <c r="P533" i="13"/>
  <c r="N533" i="13"/>
  <c r="M533" i="13"/>
  <c r="P528" i="13"/>
  <c r="N528" i="13"/>
  <c r="L528" i="13"/>
  <c r="P527" i="13"/>
  <c r="O527" i="13"/>
  <c r="N526" i="13"/>
  <c r="M526" i="13"/>
  <c r="P526" i="13" s="1"/>
  <c r="N525" i="13"/>
  <c r="M525" i="13"/>
  <c r="P525" i="13" s="1"/>
  <c r="N524" i="13"/>
  <c r="N523" i="13" s="1"/>
  <c r="M524" i="13"/>
  <c r="P524" i="13" s="1"/>
  <c r="L524" i="13"/>
  <c r="O524" i="13" s="1"/>
  <c r="P523" i="13"/>
  <c r="M523" i="13"/>
  <c r="K517" i="13"/>
  <c r="J517" i="13"/>
  <c r="J501" i="13" s="1"/>
  <c r="K516" i="13"/>
  <c r="P514" i="13"/>
  <c r="O514" i="13"/>
  <c r="P513" i="13"/>
  <c r="O513" i="13"/>
  <c r="O512" i="13"/>
  <c r="N512" i="13"/>
  <c r="M512" i="13"/>
  <c r="P512" i="13" s="1"/>
  <c r="L512" i="13"/>
  <c r="P507" i="13"/>
  <c r="O507" i="13"/>
  <c r="N507" i="13"/>
  <c r="N504" i="13" s="1"/>
  <c r="P506" i="13"/>
  <c r="O506" i="13"/>
  <c r="O505" i="13"/>
  <c r="N505" i="13"/>
  <c r="M505" i="13"/>
  <c r="P505" i="13" s="1"/>
  <c r="L505" i="13"/>
  <c r="P504" i="13"/>
  <c r="M504" i="13"/>
  <c r="M502" i="13" s="1"/>
  <c r="P502" i="13" s="1"/>
  <c r="L504" i="13"/>
  <c r="O504" i="13" s="1"/>
  <c r="O503" i="13"/>
  <c r="N503" i="13"/>
  <c r="M503" i="13"/>
  <c r="P503" i="13" s="1"/>
  <c r="L503" i="13"/>
  <c r="L502" i="13" s="1"/>
  <c r="O502" i="13" s="1"/>
  <c r="N502" i="13"/>
  <c r="K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P478" i="13"/>
  <c r="O478" i="13"/>
  <c r="N477" i="13"/>
  <c r="M477" i="13"/>
  <c r="P477" i="13" s="1"/>
  <c r="P472" i="13"/>
  <c r="N472" i="13"/>
  <c r="N469" i="13" s="1"/>
  <c r="L472" i="13"/>
  <c r="O472" i="13" s="1"/>
  <c r="P471" i="13"/>
  <c r="O471" i="13"/>
  <c r="N470" i="13"/>
  <c r="M470" i="13"/>
  <c r="P470" i="13" s="1"/>
  <c r="P469" i="13"/>
  <c r="M469" i="13"/>
  <c r="M467" i="13" s="1"/>
  <c r="P467" i="13" s="1"/>
  <c r="P468" i="13"/>
  <c r="O468" i="13"/>
  <c r="N468" i="13"/>
  <c r="M468" i="13"/>
  <c r="L468" i="13"/>
  <c r="N467" i="13"/>
  <c r="J466" i="13"/>
  <c r="I466" i="13"/>
  <c r="K466" i="13" s="1"/>
  <c r="J465" i="13"/>
  <c r="I465" i="13"/>
  <c r="K465" i="13" s="1"/>
  <c r="I464" i="13"/>
  <c r="I463" i="13"/>
  <c r="I462" i="13"/>
  <c r="K462" i="13" s="1"/>
  <c r="I460" i="13"/>
  <c r="I442" i="13" s="1"/>
  <c r="K442" i="13" s="1"/>
  <c r="K458" i="13"/>
  <c r="P456" i="13"/>
  <c r="L456" i="13"/>
  <c r="P455" i="13"/>
  <c r="O455" i="13"/>
  <c r="N454" i="13"/>
  <c r="M454" i="13"/>
  <c r="P454" i="13" s="1"/>
  <c r="P449" i="13"/>
  <c r="N449" i="13"/>
  <c r="L449" i="13"/>
  <c r="O449" i="13" s="1"/>
  <c r="P448" i="13"/>
  <c r="O448" i="13"/>
  <c r="N447" i="13"/>
  <c r="M447" i="13"/>
  <c r="P447" i="13" s="1"/>
  <c r="N446" i="13"/>
  <c r="N444" i="13" s="1"/>
  <c r="M446" i="13"/>
  <c r="P446" i="13" s="1"/>
  <c r="P445" i="13"/>
  <c r="N445" i="13"/>
  <c r="M445" i="13"/>
  <c r="M444" i="13" s="1"/>
  <c r="P444" i="13" s="1"/>
  <c r="L445" i="13"/>
  <c r="O445" i="13" s="1"/>
  <c r="J443" i="13"/>
  <c r="J442" i="13"/>
  <c r="I441" i="13"/>
  <c r="K441" i="13" s="1"/>
  <c r="I440" i="13"/>
  <c r="K440" i="13" s="1"/>
  <c r="I439" i="13"/>
  <c r="K439" i="13" s="1"/>
  <c r="I438" i="13"/>
  <c r="K438" i="13" s="1"/>
  <c r="I437" i="13"/>
  <c r="K437" i="13" s="1"/>
  <c r="I435" i="13"/>
  <c r="K435" i="13" s="1"/>
  <c r="J434" i="13"/>
  <c r="P431" i="13"/>
  <c r="L431" i="13"/>
  <c r="P430" i="13"/>
  <c r="O430" i="13"/>
  <c r="P429" i="13"/>
  <c r="N429" i="13"/>
  <c r="M429" i="13"/>
  <c r="P424" i="13"/>
  <c r="N424" i="13"/>
  <c r="L424" i="13"/>
  <c r="P423" i="13"/>
  <c r="O423" i="13"/>
  <c r="N422" i="13"/>
  <c r="M422" i="13"/>
  <c r="P422" i="13" s="1"/>
  <c r="N421" i="13"/>
  <c r="N419" i="13" s="1"/>
  <c r="M421" i="13"/>
  <c r="P421" i="13" s="1"/>
  <c r="N420" i="13"/>
  <c r="M420" i="13"/>
  <c r="M419" i="13" s="1"/>
  <c r="L420" i="13"/>
  <c r="O420" i="13" s="1"/>
  <c r="J418" i="13"/>
  <c r="K413" i="13"/>
  <c r="K412" i="13"/>
  <c r="N410" i="13"/>
  <c r="N408" i="13" s="1"/>
  <c r="M410" i="13"/>
  <c r="P410" i="13" s="1"/>
  <c r="L410" i="13"/>
  <c r="L408" i="13" s="1"/>
  <c r="O408" i="13" s="1"/>
  <c r="P409" i="13"/>
  <c r="O409" i="13"/>
  <c r="N407" i="13"/>
  <c r="N405" i="13" s="1"/>
  <c r="M407" i="13"/>
  <c r="P407" i="13" s="1"/>
  <c r="L407" i="13"/>
  <c r="L405" i="13" s="1"/>
  <c r="O405" i="13" s="1"/>
  <c r="P406" i="13"/>
  <c r="O406" i="13"/>
  <c r="P403" i="13"/>
  <c r="N403" i="13"/>
  <c r="M403" i="13"/>
  <c r="L403" i="13"/>
  <c r="O403" i="13" s="1"/>
  <c r="J401" i="13"/>
  <c r="I401" i="13"/>
  <c r="K401" i="13" s="1"/>
  <c r="K400" i="13"/>
  <c r="K399" i="13"/>
  <c r="N397" i="13"/>
  <c r="N395" i="13" s="1"/>
  <c r="M397" i="13"/>
  <c r="P397" i="13" s="1"/>
  <c r="L397" i="13"/>
  <c r="O397" i="13" s="1"/>
  <c r="P396" i="13"/>
  <c r="O396" i="13"/>
  <c r="N394" i="13"/>
  <c r="M394" i="13"/>
  <c r="P394" i="13" s="1"/>
  <c r="L394" i="13"/>
  <c r="O394" i="13" s="1"/>
  <c r="P393" i="13"/>
  <c r="O393" i="13"/>
  <c r="N390" i="13"/>
  <c r="M390" i="13"/>
  <c r="L390" i="13"/>
  <c r="O390" i="13" s="1"/>
  <c r="J388" i="13"/>
  <c r="I388" i="13"/>
  <c r="K388" i="13" s="1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L353" i="13"/>
  <c r="L351" i="13" s="1"/>
  <c r="P352" i="13"/>
  <c r="O352" i="13"/>
  <c r="N350" i="13"/>
  <c r="M350" i="13"/>
  <c r="L350" i="13"/>
  <c r="L348" i="13" s="1"/>
  <c r="P349" i="13"/>
  <c r="O349" i="13"/>
  <c r="N346" i="13"/>
  <c r="M346" i="13"/>
  <c r="P346" i="13" s="1"/>
  <c r="L346" i="13"/>
  <c r="J343" i="13"/>
  <c r="J342" i="13"/>
  <c r="J341" i="13"/>
  <c r="J340" i="13"/>
  <c r="I340" i="13"/>
  <c r="J338" i="13"/>
  <c r="I338" i="13"/>
  <c r="N336" i="13"/>
  <c r="N334" i="13" s="1"/>
  <c r="M336" i="13"/>
  <c r="L336" i="13"/>
  <c r="P335" i="13"/>
  <c r="O335" i="13"/>
  <c r="N333" i="13"/>
  <c r="M333" i="13"/>
  <c r="L333" i="13"/>
  <c r="L331" i="13" s="1"/>
  <c r="P332" i="13"/>
  <c r="O332" i="13"/>
  <c r="P329" i="13"/>
  <c r="N329" i="13"/>
  <c r="M329" i="13"/>
  <c r="L329" i="13"/>
  <c r="O329" i="13" s="1"/>
  <c r="I327" i="13"/>
  <c r="I325" i="13"/>
  <c r="I314" i="13" s="1"/>
  <c r="K314" i="13" s="1"/>
  <c r="N323" i="13"/>
  <c r="N321" i="13" s="1"/>
  <c r="M323" i="13"/>
  <c r="M321" i="13" s="1"/>
  <c r="P321" i="13" s="1"/>
  <c r="L323" i="13"/>
  <c r="L321" i="13" s="1"/>
  <c r="O321" i="13" s="1"/>
  <c r="P322" i="13"/>
  <c r="O322" i="13"/>
  <c r="N320" i="13"/>
  <c r="N318" i="13" s="1"/>
  <c r="M320" i="13"/>
  <c r="M318" i="13" s="1"/>
  <c r="P318" i="13" s="1"/>
  <c r="L320" i="13"/>
  <c r="L318" i="13" s="1"/>
  <c r="O318" i="13" s="1"/>
  <c r="P319" i="13"/>
  <c r="O319" i="13"/>
  <c r="P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P306" i="13" s="1"/>
  <c r="L306" i="13"/>
  <c r="O306" i="13" s="1"/>
  <c r="P305" i="13"/>
  <c r="O305" i="13"/>
  <c r="N303" i="13"/>
  <c r="N301" i="13" s="1"/>
  <c r="M303" i="13"/>
  <c r="P303" i="13" s="1"/>
  <c r="L303" i="13"/>
  <c r="L301" i="13" s="1"/>
  <c r="O301" i="13" s="1"/>
  <c r="P302" i="13"/>
  <c r="O302" i="13"/>
  <c r="N299" i="13"/>
  <c r="M299" i="13"/>
  <c r="P299" i="13" s="1"/>
  <c r="L299" i="13"/>
  <c r="O299" i="13" s="1"/>
  <c r="J297" i="13"/>
  <c r="I294" i="13"/>
  <c r="K294" i="13" s="1"/>
  <c r="I293" i="13"/>
  <c r="K293" i="13" s="1"/>
  <c r="I291" i="13"/>
  <c r="K291" i="13" s="1"/>
  <c r="I290" i="13"/>
  <c r="K290" i="13" s="1"/>
  <c r="I288" i="13"/>
  <c r="K288" i="13" s="1"/>
  <c r="I287" i="13"/>
  <c r="I276" i="13" s="1"/>
  <c r="K276" i="13" s="1"/>
  <c r="N285" i="13"/>
  <c r="N283" i="13" s="1"/>
  <c r="M285" i="13"/>
  <c r="L285" i="13"/>
  <c r="L283" i="13" s="1"/>
  <c r="O283" i="13" s="1"/>
  <c r="P284" i="13"/>
  <c r="O284" i="13"/>
  <c r="N282" i="13"/>
  <c r="M282" i="13"/>
  <c r="P282" i="13" s="1"/>
  <c r="L282" i="13"/>
  <c r="P281" i="13"/>
  <c r="O281" i="13"/>
  <c r="O278" i="13"/>
  <c r="N278" i="13"/>
  <c r="M278" i="13"/>
  <c r="P278" i="13" s="1"/>
  <c r="L278" i="13"/>
  <c r="J276" i="13"/>
  <c r="I271" i="13"/>
  <c r="K271" i="13" s="1"/>
  <c r="N269" i="13"/>
  <c r="N267" i="13" s="1"/>
  <c r="M269" i="13"/>
  <c r="L269" i="13"/>
  <c r="L267" i="13" s="1"/>
  <c r="O267" i="13" s="1"/>
  <c r="P268" i="13"/>
  <c r="O268" i="13"/>
  <c r="N266" i="13"/>
  <c r="N264" i="13" s="1"/>
  <c r="M266" i="13"/>
  <c r="M264" i="13" s="1"/>
  <c r="L266" i="13"/>
  <c r="L264" i="13" s="1"/>
  <c r="P265" i="13"/>
  <c r="O265" i="13"/>
  <c r="O262" i="13"/>
  <c r="N262" i="13"/>
  <c r="M262" i="13"/>
  <c r="P262" i="13" s="1"/>
  <c r="L262" i="13"/>
  <c r="J260" i="13"/>
  <c r="K258" i="13"/>
  <c r="K257" i="13"/>
  <c r="I255" i="13"/>
  <c r="I248" i="13" s="1"/>
  <c r="K248" i="13" s="1"/>
  <c r="L253" i="13"/>
  <c r="L252" i="13"/>
  <c r="L251" i="13"/>
  <c r="L250" i="13"/>
  <c r="P249" i="13"/>
  <c r="N249" i="13"/>
  <c r="J248" i="13"/>
  <c r="K247" i="13"/>
  <c r="K246" i="13"/>
  <c r="I244" i="13"/>
  <c r="L242" i="13"/>
  <c r="L241" i="13"/>
  <c r="L240" i="13"/>
  <c r="L239" i="13"/>
  <c r="P238" i="13"/>
  <c r="N238" i="13"/>
  <c r="J237" i="13"/>
  <c r="J226" i="13" s="1"/>
  <c r="J180" i="13" s="1"/>
  <c r="K236" i="13"/>
  <c r="J236" i="13"/>
  <c r="I236" i="13"/>
  <c r="J235" i="13"/>
  <c r="I235" i="13"/>
  <c r="K235" i="13" s="1"/>
  <c r="J233" i="13"/>
  <c r="N231" i="13"/>
  <c r="N230" i="13"/>
  <c r="N229" i="13"/>
  <c r="N228" i="13"/>
  <c r="I225" i="13"/>
  <c r="I224" i="13"/>
  <c r="K224" i="13" s="1"/>
  <c r="I223" i="13"/>
  <c r="K223" i="13" s="1"/>
  <c r="L220" i="13"/>
  <c r="L219" i="13"/>
  <c r="L218" i="13"/>
  <c r="P217" i="13"/>
  <c r="N217" i="13"/>
  <c r="J216" i="13"/>
  <c r="I215" i="13"/>
  <c r="I208" i="13" s="1"/>
  <c r="K208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I197" i="13" s="1"/>
  <c r="K197" i="13" s="1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M187" i="13" s="1"/>
  <c r="P187" i="13" s="1"/>
  <c r="L189" i="13"/>
  <c r="L187" i="13" s="1"/>
  <c r="O187" i="13" s="1"/>
  <c r="P188" i="13"/>
  <c r="O188" i="13"/>
  <c r="N186" i="13"/>
  <c r="N184" i="13" s="1"/>
  <c r="M186" i="13"/>
  <c r="L186" i="13"/>
  <c r="L184" i="13" s="1"/>
  <c r="P185" i="13"/>
  <c r="O185" i="13"/>
  <c r="N182" i="13"/>
  <c r="M182" i="13"/>
  <c r="L182" i="13"/>
  <c r="O182" i="13" s="1"/>
  <c r="J177" i="13"/>
  <c r="I176" i="13"/>
  <c r="I174" i="13" s="1"/>
  <c r="I164" i="13" s="1"/>
  <c r="J174" i="13"/>
  <c r="J164" i="13" s="1"/>
  <c r="N173" i="13"/>
  <c r="N171" i="13" s="1"/>
  <c r="M173" i="13"/>
  <c r="M171" i="13" s="1"/>
  <c r="P171" i="13" s="1"/>
  <c r="L173" i="13"/>
  <c r="L171" i="13" s="1"/>
  <c r="O171" i="13" s="1"/>
  <c r="P172" i="13"/>
  <c r="O172" i="13"/>
  <c r="N170" i="13"/>
  <c r="N168" i="13" s="1"/>
  <c r="M170" i="13"/>
  <c r="L170" i="13"/>
  <c r="L168" i="13" s="1"/>
  <c r="P169" i="13"/>
  <c r="O169" i="13"/>
  <c r="N166" i="13"/>
  <c r="M166" i="13"/>
  <c r="L166" i="13"/>
  <c r="O166" i="13" s="1"/>
  <c r="I159" i="13"/>
  <c r="K159" i="13" s="1"/>
  <c r="N157" i="13"/>
  <c r="M157" i="13"/>
  <c r="P157" i="13" s="1"/>
  <c r="L157" i="13"/>
  <c r="L155" i="13" s="1"/>
  <c r="O155" i="13" s="1"/>
  <c r="P156" i="13"/>
  <c r="O156" i="13"/>
  <c r="N154" i="13"/>
  <c r="N152" i="13" s="1"/>
  <c r="M154" i="13"/>
  <c r="L154" i="13"/>
  <c r="P153" i="13"/>
  <c r="O153" i="13"/>
  <c r="P150" i="13"/>
  <c r="O150" i="13"/>
  <c r="N150" i="13"/>
  <c r="M150" i="13"/>
  <c r="L150" i="13"/>
  <c r="J148" i="13"/>
  <c r="I146" i="13"/>
  <c r="K146" i="13" s="1"/>
  <c r="I145" i="13"/>
  <c r="I143" i="13" s="1"/>
  <c r="I144" i="13"/>
  <c r="N140" i="13"/>
  <c r="N138" i="13" s="1"/>
  <c r="M140" i="13"/>
  <c r="L140" i="13"/>
  <c r="L138" i="13" s="1"/>
  <c r="O138" i="13" s="1"/>
  <c r="P139" i="13"/>
  <c r="O139" i="13"/>
  <c r="N137" i="13"/>
  <c r="N135" i="13" s="1"/>
  <c r="M137" i="13"/>
  <c r="P137" i="13" s="1"/>
  <c r="L137" i="13"/>
  <c r="P136" i="13"/>
  <c r="O136" i="13"/>
  <c r="P133" i="13"/>
  <c r="N133" i="13"/>
  <c r="M133" i="13"/>
  <c r="L133" i="13"/>
  <c r="O133" i="13" s="1"/>
  <c r="J130" i="13"/>
  <c r="N127" i="13"/>
  <c r="N125" i="13" s="1"/>
  <c r="M127" i="13"/>
  <c r="P127" i="13" s="1"/>
  <c r="L127" i="13"/>
  <c r="O127" i="13" s="1"/>
  <c r="P126" i="13"/>
  <c r="O126" i="13"/>
  <c r="N124" i="13"/>
  <c r="N122" i="13" s="1"/>
  <c r="M124" i="13"/>
  <c r="P124" i="13" s="1"/>
  <c r="L124" i="13"/>
  <c r="O124" i="13" s="1"/>
  <c r="P123" i="13"/>
  <c r="O123" i="13"/>
  <c r="O120" i="13"/>
  <c r="N120" i="13"/>
  <c r="M120" i="13"/>
  <c r="P120" i="13" s="1"/>
  <c r="L120" i="13"/>
  <c r="I116" i="13"/>
  <c r="K116" i="13" s="1"/>
  <c r="I115" i="13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J87" i="13" s="1"/>
  <c r="I99" i="13"/>
  <c r="I87" i="13" s="1"/>
  <c r="J98" i="13"/>
  <c r="I98" i="13"/>
  <c r="I86" i="13" s="1"/>
  <c r="K86" i="13" s="1"/>
  <c r="N96" i="13"/>
  <c r="N94" i="13" s="1"/>
  <c r="M96" i="13"/>
  <c r="P96" i="13" s="1"/>
  <c r="L96" i="13"/>
  <c r="L94" i="13" s="1"/>
  <c r="O94" i="13" s="1"/>
  <c r="P95" i="13"/>
  <c r="O95" i="13"/>
  <c r="N93" i="13"/>
  <c r="M93" i="13"/>
  <c r="M91" i="13" s="1"/>
  <c r="L93" i="13"/>
  <c r="L91" i="13" s="1"/>
  <c r="P92" i="13"/>
  <c r="O92" i="13"/>
  <c r="N89" i="13"/>
  <c r="M89" i="13"/>
  <c r="P89" i="13" s="1"/>
  <c r="L89" i="13"/>
  <c r="O89" i="13" s="1"/>
  <c r="J86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I78" i="13"/>
  <c r="J77" i="13"/>
  <c r="J76" i="13"/>
  <c r="J64" i="13" s="1"/>
  <c r="N74" i="13"/>
  <c r="N72" i="13" s="1"/>
  <c r="M74" i="13"/>
  <c r="P74" i="13" s="1"/>
  <c r="L74" i="13"/>
  <c r="O74" i="13" s="1"/>
  <c r="P73" i="13"/>
  <c r="O73" i="13"/>
  <c r="N71" i="13"/>
  <c r="N69" i="13" s="1"/>
  <c r="M71" i="13"/>
  <c r="P71" i="13" s="1"/>
  <c r="L71" i="13"/>
  <c r="L69" i="13" s="1"/>
  <c r="O69" i="13" s="1"/>
  <c r="P70" i="13"/>
  <c r="O70" i="13"/>
  <c r="N67" i="13"/>
  <c r="M67" i="13"/>
  <c r="L67" i="13"/>
  <c r="O67" i="13" s="1"/>
  <c r="J65" i="13"/>
  <c r="N61" i="13"/>
  <c r="N59" i="13" s="1"/>
  <c r="M61" i="13"/>
  <c r="P61" i="13" s="1"/>
  <c r="L61" i="13"/>
  <c r="O61" i="13" s="1"/>
  <c r="P60" i="13"/>
  <c r="O60" i="13"/>
  <c r="N58" i="13"/>
  <c r="M58" i="13"/>
  <c r="M56" i="13" s="1"/>
  <c r="L58" i="13"/>
  <c r="L56" i="13" s="1"/>
  <c r="P57" i="13"/>
  <c r="O57" i="13"/>
  <c r="O54" i="13"/>
  <c r="N54" i="13"/>
  <c r="M54" i="13"/>
  <c r="P54" i="13" s="1"/>
  <c r="L54" i="13"/>
  <c r="N49" i="13"/>
  <c r="N47" i="13" s="1"/>
  <c r="M49" i="13"/>
  <c r="P49" i="13" s="1"/>
  <c r="L49" i="13"/>
  <c r="L47" i="13" s="1"/>
  <c r="O47" i="13" s="1"/>
  <c r="P48" i="13"/>
  <c r="O48" i="13"/>
  <c r="N46" i="13"/>
  <c r="M46" i="13"/>
  <c r="M44" i="13" s="1"/>
  <c r="L46" i="13"/>
  <c r="L44" i="13" s="1"/>
  <c r="P45" i="13"/>
  <c r="O45" i="13"/>
  <c r="N42" i="13"/>
  <c r="M42" i="13"/>
  <c r="P42" i="13" s="1"/>
  <c r="L42" i="13"/>
  <c r="O42" i="13" s="1"/>
  <c r="N36" i="13"/>
  <c r="M36" i="13"/>
  <c r="P36" i="13" s="1"/>
  <c r="P35" i="13"/>
  <c r="N35" i="13"/>
  <c r="M35" i="13"/>
  <c r="M34" i="13" s="1"/>
  <c r="P34" i="13" s="1"/>
  <c r="L35" i="13"/>
  <c r="O35" i="13" s="1"/>
  <c r="N34" i="13"/>
  <c r="N33" i="13"/>
  <c r="M33" i="13"/>
  <c r="N32" i="13"/>
  <c r="M32" i="13"/>
  <c r="L32" i="13"/>
  <c r="N31" i="13"/>
  <c r="N30" i="13"/>
  <c r="N29" i="13"/>
  <c r="N28" i="13" s="1"/>
  <c r="M29" i="13"/>
  <c r="P29" i="13" s="1"/>
  <c r="P25" i="13"/>
  <c r="N25" i="13"/>
  <c r="M25" i="13"/>
  <c r="L25" i="13"/>
  <c r="O25" i="13" s="1"/>
  <c r="O22" i="13"/>
  <c r="N22" i="13"/>
  <c r="M22" i="13"/>
  <c r="P22" i="13" s="1"/>
  <c r="L22" i="13"/>
  <c r="L19" i="13"/>
  <c r="O19" i="13" s="1"/>
  <c r="N15" i="13"/>
  <c r="M15" i="13"/>
  <c r="P15" i="13" s="1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O815" i="12"/>
  <c r="N815" i="12"/>
  <c r="M815" i="12"/>
  <c r="L815" i="12"/>
  <c r="P810" i="12"/>
  <c r="O810" i="12"/>
  <c r="N810" i="12"/>
  <c r="N807" i="12" s="1"/>
  <c r="P809" i="12"/>
  <c r="O809" i="12"/>
  <c r="O808" i="12"/>
  <c r="N808" i="12"/>
  <c r="M808" i="12"/>
  <c r="P808" i="12" s="1"/>
  <c r="L808" i="12"/>
  <c r="M807" i="12"/>
  <c r="P807" i="12" s="1"/>
  <c r="L807" i="12"/>
  <c r="O807" i="12" s="1"/>
  <c r="N806" i="12"/>
  <c r="N805" i="12" s="1"/>
  <c r="M806" i="12"/>
  <c r="P806" i="12" s="1"/>
  <c r="L806" i="12"/>
  <c r="K804" i="12"/>
  <c r="J804" i="12"/>
  <c r="K802" i="12"/>
  <c r="J801" i="12"/>
  <c r="J800" i="12"/>
  <c r="J785" i="12" s="1"/>
  <c r="I800" i="12"/>
  <c r="P798" i="12"/>
  <c r="O798" i="12"/>
  <c r="P797" i="12"/>
  <c r="O797" i="12"/>
  <c r="P796" i="12"/>
  <c r="O796" i="12"/>
  <c r="N796" i="12"/>
  <c r="M796" i="12"/>
  <c r="L796" i="12"/>
  <c r="P791" i="12"/>
  <c r="N791" i="12"/>
  <c r="N788" i="12" s="1"/>
  <c r="N786" i="12" s="1"/>
  <c r="L791" i="12"/>
  <c r="L789" i="12" s="1"/>
  <c r="O789" i="12" s="1"/>
  <c r="P790" i="12"/>
  <c r="O790" i="12"/>
  <c r="M789" i="12"/>
  <c r="P789" i="12" s="1"/>
  <c r="M788" i="12"/>
  <c r="P788" i="12" s="1"/>
  <c r="N787" i="12"/>
  <c r="M787" i="12"/>
  <c r="P787" i="12" s="1"/>
  <c r="L787" i="12"/>
  <c r="P782" i="12"/>
  <c r="O782" i="12"/>
  <c r="P781" i="12"/>
  <c r="O781" i="12"/>
  <c r="P780" i="12"/>
  <c r="O780" i="12"/>
  <c r="N780" i="12"/>
  <c r="M780" i="12"/>
  <c r="L780" i="12"/>
  <c r="P775" i="12"/>
  <c r="O775" i="12"/>
  <c r="N775" i="12"/>
  <c r="N773" i="12" s="1"/>
  <c r="P774" i="12"/>
  <c r="O774" i="12"/>
  <c r="O773" i="12"/>
  <c r="M773" i="12"/>
  <c r="P773" i="12" s="1"/>
  <c r="L773" i="12"/>
  <c r="N772" i="12"/>
  <c r="M772" i="12"/>
  <c r="P772" i="12" s="1"/>
  <c r="L772" i="12"/>
  <c r="O772" i="12" s="1"/>
  <c r="N771" i="12"/>
  <c r="M771" i="12"/>
  <c r="L771" i="12"/>
  <c r="O771" i="12" s="1"/>
  <c r="L770" i="12"/>
  <c r="O770" i="12" s="1"/>
  <c r="K769" i="12"/>
  <c r="J769" i="12"/>
  <c r="P766" i="12"/>
  <c r="O766" i="12"/>
  <c r="P765" i="12"/>
  <c r="O765" i="12"/>
  <c r="P764" i="12"/>
  <c r="O764" i="12"/>
  <c r="N764" i="12"/>
  <c r="M764" i="12"/>
  <c r="L764" i="12"/>
  <c r="P759" i="12"/>
  <c r="O759" i="12"/>
  <c r="N759" i="12"/>
  <c r="N757" i="12" s="1"/>
  <c r="P758" i="12"/>
  <c r="O758" i="12"/>
  <c r="O757" i="12"/>
  <c r="M757" i="12"/>
  <c r="P757" i="12" s="1"/>
  <c r="L757" i="12"/>
  <c r="N756" i="12"/>
  <c r="N754" i="12" s="1"/>
  <c r="M756" i="12"/>
  <c r="P756" i="12" s="1"/>
  <c r="L756" i="12"/>
  <c r="O756" i="12" s="1"/>
  <c r="N755" i="12"/>
  <c r="M755" i="12"/>
  <c r="L755" i="12"/>
  <c r="O755" i="12" s="1"/>
  <c r="L754" i="12"/>
  <c r="O754" i="12" s="1"/>
  <c r="K753" i="12"/>
  <c r="J753" i="12"/>
  <c r="P749" i="12"/>
  <c r="O749" i="12"/>
  <c r="P748" i="12"/>
  <c r="O748" i="12"/>
  <c r="P747" i="12"/>
  <c r="O747" i="12"/>
  <c r="N747" i="12"/>
  <c r="M747" i="12"/>
  <c r="L747" i="12"/>
  <c r="P742" i="12"/>
  <c r="O742" i="12"/>
  <c r="N742" i="12"/>
  <c r="N740" i="12" s="1"/>
  <c r="P741" i="12"/>
  <c r="O741" i="12"/>
  <c r="O740" i="12"/>
  <c r="M740" i="12"/>
  <c r="P740" i="12" s="1"/>
  <c r="L740" i="12"/>
  <c r="N739" i="12"/>
  <c r="N737" i="12" s="1"/>
  <c r="M739" i="12"/>
  <c r="P739" i="12" s="1"/>
  <c r="L739" i="12"/>
  <c r="O739" i="12" s="1"/>
  <c r="N738" i="12"/>
  <c r="M738" i="12"/>
  <c r="L738" i="12"/>
  <c r="O738" i="12" s="1"/>
  <c r="L737" i="12"/>
  <c r="O737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P695" i="12"/>
  <c r="O695" i="12"/>
  <c r="N695" i="12"/>
  <c r="M695" i="12"/>
  <c r="L695" i="12"/>
  <c r="P690" i="12"/>
  <c r="N690" i="12"/>
  <c r="N687" i="12" s="1"/>
  <c r="L690" i="12"/>
  <c r="L687" i="12" s="1"/>
  <c r="O687" i="12" s="1"/>
  <c r="N688" i="12"/>
  <c r="M688" i="12"/>
  <c r="P688" i="12" s="1"/>
  <c r="M687" i="12"/>
  <c r="P686" i="12"/>
  <c r="N686" i="12"/>
  <c r="M686" i="12"/>
  <c r="L686" i="12"/>
  <c r="J679" i="12"/>
  <c r="J678" i="12" s="1"/>
  <c r="I678" i="12"/>
  <c r="K678" i="12" s="1"/>
  <c r="J675" i="12"/>
  <c r="I671" i="12"/>
  <c r="K671" i="12" s="1"/>
  <c r="I670" i="12"/>
  <c r="K670" i="12" s="1"/>
  <c r="J669" i="12"/>
  <c r="I669" i="12"/>
  <c r="K675" i="12" s="1"/>
  <c r="P667" i="12"/>
  <c r="O667" i="12"/>
  <c r="P666" i="12"/>
  <c r="O666" i="12"/>
  <c r="P665" i="12"/>
  <c r="N665" i="12"/>
  <c r="M665" i="12"/>
  <c r="L665" i="12"/>
  <c r="O665" i="12" s="1"/>
  <c r="P660" i="12"/>
  <c r="N660" i="12"/>
  <c r="L660" i="12"/>
  <c r="O660" i="12" s="1"/>
  <c r="P659" i="12"/>
  <c r="O659" i="12"/>
  <c r="P658" i="12"/>
  <c r="N658" i="12"/>
  <c r="M658" i="12"/>
  <c r="L658" i="12"/>
  <c r="O658" i="12" s="1"/>
  <c r="P657" i="12"/>
  <c r="N657" i="12"/>
  <c r="M657" i="12"/>
  <c r="O656" i="12"/>
  <c r="N656" i="12"/>
  <c r="M656" i="12"/>
  <c r="M655" i="12" s="1"/>
  <c r="P655" i="12" s="1"/>
  <c r="L656" i="12"/>
  <c r="N655" i="12"/>
  <c r="J654" i="12"/>
  <c r="K652" i="12"/>
  <c r="J652" i="12"/>
  <c r="J651" i="12"/>
  <c r="J628" i="12" s="1"/>
  <c r="I651" i="12"/>
  <c r="I628" i="12" s="1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N639" i="12"/>
  <c r="M639" i="12"/>
  <c r="P639" i="12" s="1"/>
  <c r="P634" i="12"/>
  <c r="N634" i="12"/>
  <c r="L634" i="12"/>
  <c r="P633" i="12"/>
  <c r="O633" i="12"/>
  <c r="N632" i="12"/>
  <c r="M632" i="12"/>
  <c r="P632" i="12" s="1"/>
  <c r="P631" i="12"/>
  <c r="N631" i="12"/>
  <c r="M631" i="12"/>
  <c r="M629" i="12" s="1"/>
  <c r="P629" i="12" s="1"/>
  <c r="P630" i="12"/>
  <c r="O630" i="12"/>
  <c r="N630" i="12"/>
  <c r="M630" i="12"/>
  <c r="L630" i="12"/>
  <c r="N629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594" i="12" s="1"/>
  <c r="J603" i="12"/>
  <c r="J596" i="12"/>
  <c r="J595" i="12"/>
  <c r="I594" i="12"/>
  <c r="J593" i="12"/>
  <c r="J592" i="12" s="1"/>
  <c r="I593" i="12"/>
  <c r="K593" i="12" s="1"/>
  <c r="J583" i="12"/>
  <c r="J582" i="12"/>
  <c r="J577" i="12"/>
  <c r="I577" i="12"/>
  <c r="J576" i="12"/>
  <c r="I576" i="12"/>
  <c r="K576" i="12" s="1"/>
  <c r="J569" i="12"/>
  <c r="I569" i="12"/>
  <c r="K569" i="12" s="1"/>
  <c r="J568" i="12"/>
  <c r="I568" i="12"/>
  <c r="J561" i="12"/>
  <c r="I561" i="12"/>
  <c r="J560" i="12"/>
  <c r="I560" i="12"/>
  <c r="K560" i="12" s="1"/>
  <c r="J559" i="12"/>
  <c r="P557" i="12"/>
  <c r="L557" i="12"/>
  <c r="O557" i="12" s="1"/>
  <c r="P556" i="12"/>
  <c r="O556" i="12"/>
  <c r="N555" i="12"/>
  <c r="M555" i="12"/>
  <c r="P555" i="12" s="1"/>
  <c r="N551" i="12"/>
  <c r="N549" i="12" s="1"/>
  <c r="P549" i="12"/>
  <c r="L549" i="12"/>
  <c r="P548" i="12"/>
  <c r="O548" i="12"/>
  <c r="M547" i="12"/>
  <c r="P547" i="12" s="1"/>
  <c r="P546" i="12"/>
  <c r="M546" i="12"/>
  <c r="O545" i="12"/>
  <c r="N545" i="12"/>
  <c r="M545" i="12"/>
  <c r="M544" i="12" s="1"/>
  <c r="P544" i="12" s="1"/>
  <c r="L545" i="12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P535" i="12"/>
  <c r="L535" i="12"/>
  <c r="P534" i="12"/>
  <c r="O534" i="12"/>
  <c r="P533" i="12"/>
  <c r="N533" i="12"/>
  <c r="M533" i="12"/>
  <c r="P528" i="12"/>
  <c r="N528" i="12"/>
  <c r="L528" i="12"/>
  <c r="O528" i="12" s="1"/>
  <c r="P527" i="12"/>
  <c r="O527" i="12"/>
  <c r="N526" i="12"/>
  <c r="M526" i="12"/>
  <c r="P526" i="12" s="1"/>
  <c r="N525" i="12"/>
  <c r="N523" i="12" s="1"/>
  <c r="M525" i="12"/>
  <c r="P525" i="12" s="1"/>
  <c r="N524" i="12"/>
  <c r="M524" i="12"/>
  <c r="L524" i="12"/>
  <c r="O524" i="12" s="1"/>
  <c r="K517" i="12"/>
  <c r="J517" i="12"/>
  <c r="K516" i="12"/>
  <c r="P514" i="12"/>
  <c r="O514" i="12"/>
  <c r="P513" i="12"/>
  <c r="O513" i="12"/>
  <c r="O512" i="12"/>
  <c r="N512" i="12"/>
  <c r="M512" i="12"/>
  <c r="P512" i="12" s="1"/>
  <c r="L512" i="12"/>
  <c r="P507" i="12"/>
  <c r="O507" i="12"/>
  <c r="N507" i="12"/>
  <c r="P506" i="12"/>
  <c r="O506" i="12"/>
  <c r="M505" i="12"/>
  <c r="P505" i="12" s="1"/>
  <c r="L505" i="12"/>
  <c r="O505" i="12" s="1"/>
  <c r="M504" i="12"/>
  <c r="P504" i="12" s="1"/>
  <c r="L504" i="12"/>
  <c r="P503" i="12"/>
  <c r="N503" i="12"/>
  <c r="M503" i="12"/>
  <c r="L503" i="12"/>
  <c r="O503" i="12" s="1"/>
  <c r="P502" i="12"/>
  <c r="M502" i="12"/>
  <c r="K501" i="12"/>
  <c r="J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P478" i="12"/>
  <c r="O478" i="12"/>
  <c r="N477" i="12"/>
  <c r="M477" i="12"/>
  <c r="P477" i="12" s="1"/>
  <c r="P472" i="12"/>
  <c r="N472" i="12"/>
  <c r="N469" i="12" s="1"/>
  <c r="N467" i="12" s="1"/>
  <c r="L472" i="12"/>
  <c r="P471" i="12"/>
  <c r="O471" i="12"/>
  <c r="N470" i="12"/>
  <c r="M470" i="12"/>
  <c r="P470" i="12" s="1"/>
  <c r="M469" i="12"/>
  <c r="P469" i="12" s="1"/>
  <c r="P468" i="12"/>
  <c r="N468" i="12"/>
  <c r="M468" i="12"/>
  <c r="L468" i="12"/>
  <c r="O468" i="12" s="1"/>
  <c r="P467" i="12"/>
  <c r="M467" i="12"/>
  <c r="J466" i="12"/>
  <c r="I466" i="12"/>
  <c r="J465" i="12"/>
  <c r="I465" i="12"/>
  <c r="K465" i="12" s="1"/>
  <c r="I464" i="12"/>
  <c r="I463" i="12"/>
  <c r="I462" i="12"/>
  <c r="K462" i="12" s="1"/>
  <c r="I460" i="12"/>
  <c r="K458" i="12"/>
  <c r="P456" i="12"/>
  <c r="L456" i="12"/>
  <c r="O456" i="12" s="1"/>
  <c r="P455" i="12"/>
  <c r="O455" i="12"/>
  <c r="N454" i="12"/>
  <c r="M454" i="12"/>
  <c r="P454" i="12" s="1"/>
  <c r="P449" i="12"/>
  <c r="N449" i="12"/>
  <c r="N446" i="12" s="1"/>
  <c r="N444" i="12" s="1"/>
  <c r="L449" i="12"/>
  <c r="O449" i="12" s="1"/>
  <c r="P448" i="12"/>
  <c r="O448" i="12"/>
  <c r="N447" i="12"/>
  <c r="M447" i="12"/>
  <c r="P447" i="12" s="1"/>
  <c r="M446" i="12"/>
  <c r="P445" i="12"/>
  <c r="N445" i="12"/>
  <c r="M445" i="12"/>
  <c r="L445" i="12"/>
  <c r="J443" i="12"/>
  <c r="J442" i="12"/>
  <c r="I441" i="12"/>
  <c r="K441" i="12" s="1"/>
  <c r="I440" i="12"/>
  <c r="K440" i="12" s="1"/>
  <c r="I439" i="12"/>
  <c r="K439" i="12" s="1"/>
  <c r="I438" i="12"/>
  <c r="K438" i="12" s="1"/>
  <c r="I437" i="12"/>
  <c r="K437" i="12" s="1"/>
  <c r="I435" i="12"/>
  <c r="K435" i="12" s="1"/>
  <c r="J434" i="12"/>
  <c r="P431" i="12"/>
  <c r="L431" i="12"/>
  <c r="O431" i="12" s="1"/>
  <c r="P430" i="12"/>
  <c r="O430" i="12"/>
  <c r="N429" i="12"/>
  <c r="M429" i="12"/>
  <c r="P429" i="12" s="1"/>
  <c r="P424" i="12"/>
  <c r="N424" i="12"/>
  <c r="L424" i="12"/>
  <c r="L422" i="12" s="1"/>
  <c r="P423" i="12"/>
  <c r="O423" i="12"/>
  <c r="M422" i="12"/>
  <c r="P422" i="12" s="1"/>
  <c r="M421" i="12"/>
  <c r="P420" i="12"/>
  <c r="N420" i="12"/>
  <c r="M420" i="12"/>
  <c r="L420" i="12"/>
  <c r="J418" i="12"/>
  <c r="K413" i="12"/>
  <c r="K412" i="12"/>
  <c r="N410" i="12"/>
  <c r="N408" i="12" s="1"/>
  <c r="M410" i="12"/>
  <c r="P410" i="12" s="1"/>
  <c r="L410" i="12"/>
  <c r="L408" i="12" s="1"/>
  <c r="O408" i="12" s="1"/>
  <c r="P409" i="12"/>
  <c r="O409" i="12"/>
  <c r="N407" i="12"/>
  <c r="N405" i="12" s="1"/>
  <c r="M407" i="12"/>
  <c r="M405" i="12" s="1"/>
  <c r="P405" i="12" s="1"/>
  <c r="L407" i="12"/>
  <c r="P406" i="12"/>
  <c r="O406" i="12"/>
  <c r="P403" i="12"/>
  <c r="O403" i="12"/>
  <c r="N403" i="12"/>
  <c r="M403" i="12"/>
  <c r="L403" i="12"/>
  <c r="J401" i="12"/>
  <c r="I401" i="12"/>
  <c r="K401" i="12" s="1"/>
  <c r="K400" i="12"/>
  <c r="K399" i="12"/>
  <c r="N397" i="12"/>
  <c r="N395" i="12" s="1"/>
  <c r="M397" i="12"/>
  <c r="L397" i="12"/>
  <c r="O397" i="12" s="1"/>
  <c r="P396" i="12"/>
  <c r="O396" i="12"/>
  <c r="N394" i="12"/>
  <c r="M394" i="12"/>
  <c r="L394" i="12"/>
  <c r="L392" i="12" s="1"/>
  <c r="O392" i="12" s="1"/>
  <c r="P393" i="12"/>
  <c r="O393" i="12"/>
  <c r="P390" i="12"/>
  <c r="N390" i="12"/>
  <c r="M390" i="12"/>
  <c r="L390" i="12"/>
  <c r="K388" i="12"/>
  <c r="J388" i="12"/>
  <c r="I388" i="12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L353" i="12"/>
  <c r="P352" i="12"/>
  <c r="O352" i="12"/>
  <c r="N350" i="12"/>
  <c r="M350" i="12"/>
  <c r="L350" i="12"/>
  <c r="P349" i="12"/>
  <c r="O349" i="12"/>
  <c r="N346" i="12"/>
  <c r="M346" i="12"/>
  <c r="P346" i="12" s="1"/>
  <c r="L346" i="12"/>
  <c r="J343" i="12"/>
  <c r="J342" i="12"/>
  <c r="J341" i="12"/>
  <c r="J340" i="12"/>
  <c r="I340" i="12"/>
  <c r="J338" i="12"/>
  <c r="I338" i="12"/>
  <c r="N336" i="12"/>
  <c r="N334" i="12" s="1"/>
  <c r="M336" i="12"/>
  <c r="L336" i="12"/>
  <c r="O336" i="12" s="1"/>
  <c r="P335" i="12"/>
  <c r="O335" i="12"/>
  <c r="N333" i="12"/>
  <c r="N331" i="12" s="1"/>
  <c r="M333" i="12"/>
  <c r="L333" i="12"/>
  <c r="P332" i="12"/>
  <c r="O332" i="12"/>
  <c r="N329" i="12"/>
  <c r="M329" i="12"/>
  <c r="P329" i="12" s="1"/>
  <c r="L329" i="12"/>
  <c r="I327" i="12"/>
  <c r="I325" i="12"/>
  <c r="K325" i="12" s="1"/>
  <c r="N323" i="12"/>
  <c r="N321" i="12" s="1"/>
  <c r="M323" i="12"/>
  <c r="M321" i="12" s="1"/>
  <c r="P321" i="12" s="1"/>
  <c r="L323" i="12"/>
  <c r="O323" i="12" s="1"/>
  <c r="P322" i="12"/>
  <c r="O322" i="12"/>
  <c r="N320" i="12"/>
  <c r="N318" i="12" s="1"/>
  <c r="M320" i="12"/>
  <c r="P320" i="12" s="1"/>
  <c r="L320" i="12"/>
  <c r="O320" i="12" s="1"/>
  <c r="P319" i="12"/>
  <c r="O319" i="12"/>
  <c r="N316" i="12"/>
  <c r="M316" i="12"/>
  <c r="P316" i="12" s="1"/>
  <c r="L316" i="12"/>
  <c r="O316" i="12" s="1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P306" i="12" s="1"/>
  <c r="L306" i="12"/>
  <c r="O306" i="12" s="1"/>
  <c r="P305" i="12"/>
  <c r="O305" i="12"/>
  <c r="N303" i="12"/>
  <c r="N301" i="12" s="1"/>
  <c r="M303" i="12"/>
  <c r="M301" i="12" s="1"/>
  <c r="L303" i="12"/>
  <c r="P302" i="12"/>
  <c r="O302" i="12"/>
  <c r="P299" i="12"/>
  <c r="O299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J288" i="12" s="1"/>
  <c r="I287" i="12"/>
  <c r="K287" i="12" s="1"/>
  <c r="N285" i="12"/>
  <c r="N283" i="12" s="1"/>
  <c r="M285" i="12"/>
  <c r="M283" i="12" s="1"/>
  <c r="P283" i="12" s="1"/>
  <c r="L285" i="12"/>
  <c r="L283" i="12" s="1"/>
  <c r="O283" i="12" s="1"/>
  <c r="P284" i="12"/>
  <c r="O284" i="12"/>
  <c r="N282" i="12"/>
  <c r="M282" i="12"/>
  <c r="M280" i="12" s="1"/>
  <c r="L282" i="12"/>
  <c r="L280" i="12" s="1"/>
  <c r="P281" i="12"/>
  <c r="O281" i="12"/>
  <c r="O278" i="12"/>
  <c r="N278" i="12"/>
  <c r="M278" i="12"/>
  <c r="P278" i="12" s="1"/>
  <c r="L278" i="12"/>
  <c r="J276" i="12"/>
  <c r="I271" i="12"/>
  <c r="K271" i="12" s="1"/>
  <c r="N269" i="12"/>
  <c r="N267" i="12" s="1"/>
  <c r="M269" i="12"/>
  <c r="L269" i="12"/>
  <c r="O269" i="12" s="1"/>
  <c r="P268" i="12"/>
  <c r="O268" i="12"/>
  <c r="N266" i="12"/>
  <c r="N264" i="12" s="1"/>
  <c r="M266" i="12"/>
  <c r="L266" i="12"/>
  <c r="L264" i="12" s="1"/>
  <c r="P265" i="12"/>
  <c r="O265" i="12"/>
  <c r="N262" i="12"/>
  <c r="M262" i="12"/>
  <c r="L262" i="12"/>
  <c r="O262" i="12" s="1"/>
  <c r="J260" i="12"/>
  <c r="K258" i="12"/>
  <c r="K257" i="12"/>
  <c r="I255" i="12"/>
  <c r="I248" i="12" s="1"/>
  <c r="L253" i="12"/>
  <c r="L252" i="12"/>
  <c r="L251" i="12"/>
  <c r="L250" i="12"/>
  <c r="P249" i="12"/>
  <c r="N249" i="12"/>
  <c r="J248" i="12"/>
  <c r="K247" i="12"/>
  <c r="K246" i="12"/>
  <c r="I244" i="12"/>
  <c r="L242" i="12"/>
  <c r="L241" i="12"/>
  <c r="L240" i="12"/>
  <c r="L239" i="12"/>
  <c r="P238" i="12"/>
  <c r="N238" i="12"/>
  <c r="J237" i="12"/>
  <c r="J236" i="12"/>
  <c r="I236" i="12"/>
  <c r="K236" i="12" s="1"/>
  <c r="K235" i="12"/>
  <c r="J235" i="12"/>
  <c r="I235" i="12"/>
  <c r="J233" i="12"/>
  <c r="N231" i="12"/>
  <c r="N230" i="12"/>
  <c r="N229" i="12"/>
  <c r="N228" i="12"/>
  <c r="N227" i="12"/>
  <c r="J226" i="12"/>
  <c r="I225" i="12"/>
  <c r="K225" i="12" s="1"/>
  <c r="I224" i="12"/>
  <c r="K224" i="12" s="1"/>
  <c r="I223" i="12"/>
  <c r="K223" i="12" s="1"/>
  <c r="L220" i="12"/>
  <c r="L219" i="12"/>
  <c r="L218" i="12"/>
  <c r="P217" i="12"/>
  <c r="N217" i="12"/>
  <c r="J216" i="12"/>
  <c r="I215" i="12"/>
  <c r="I208" i="12" s="1"/>
  <c r="K208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P189" i="12" s="1"/>
  <c r="L189" i="12"/>
  <c r="O189" i="12" s="1"/>
  <c r="P188" i="12"/>
  <c r="O188" i="12"/>
  <c r="N186" i="12"/>
  <c r="N184" i="12" s="1"/>
  <c r="M186" i="12"/>
  <c r="L186" i="12"/>
  <c r="P185" i="12"/>
  <c r="O185" i="12"/>
  <c r="P182" i="12"/>
  <c r="N182" i="12"/>
  <c r="M182" i="12"/>
  <c r="L182" i="12"/>
  <c r="O182" i="12" s="1"/>
  <c r="J180" i="12"/>
  <c r="J177" i="12"/>
  <c r="I176" i="12"/>
  <c r="K176" i="12" s="1"/>
  <c r="J174" i="12"/>
  <c r="J164" i="12" s="1"/>
  <c r="N173" i="12"/>
  <c r="N171" i="12" s="1"/>
  <c r="M173" i="12"/>
  <c r="P173" i="12" s="1"/>
  <c r="L173" i="12"/>
  <c r="P172" i="12"/>
  <c r="O172" i="12"/>
  <c r="N170" i="12"/>
  <c r="N168" i="12" s="1"/>
  <c r="M170" i="12"/>
  <c r="L170" i="12"/>
  <c r="P169" i="12"/>
  <c r="O169" i="12"/>
  <c r="P166" i="12"/>
  <c r="N166" i="12"/>
  <c r="M166" i="12"/>
  <c r="L166" i="12"/>
  <c r="O166" i="12" s="1"/>
  <c r="I159" i="12"/>
  <c r="K159" i="12" s="1"/>
  <c r="N157" i="12"/>
  <c r="M157" i="12"/>
  <c r="L157" i="12"/>
  <c r="O157" i="12" s="1"/>
  <c r="P156" i="12"/>
  <c r="O156" i="12"/>
  <c r="N154" i="12"/>
  <c r="N152" i="12" s="1"/>
  <c r="M154" i="12"/>
  <c r="M152" i="12" s="1"/>
  <c r="L154" i="12"/>
  <c r="P153" i="12"/>
  <c r="O153" i="12"/>
  <c r="N150" i="12"/>
  <c r="M150" i="12"/>
  <c r="L150" i="12"/>
  <c r="O150" i="12" s="1"/>
  <c r="J148" i="12"/>
  <c r="I146" i="12"/>
  <c r="I145" i="12"/>
  <c r="I143" i="12" s="1"/>
  <c r="I144" i="12"/>
  <c r="K144" i="12" s="1"/>
  <c r="N140" i="12"/>
  <c r="N138" i="12" s="1"/>
  <c r="M140" i="12"/>
  <c r="M138" i="12" s="1"/>
  <c r="L140" i="12"/>
  <c r="P139" i="12"/>
  <c r="O139" i="12"/>
  <c r="N137" i="12"/>
  <c r="N135" i="12" s="1"/>
  <c r="M137" i="12"/>
  <c r="M135" i="12" s="1"/>
  <c r="L137" i="12"/>
  <c r="P136" i="12"/>
  <c r="O136" i="12"/>
  <c r="O133" i="12"/>
  <c r="N133" i="12"/>
  <c r="M133" i="12"/>
  <c r="P133" i="12" s="1"/>
  <c r="L133" i="12"/>
  <c r="J130" i="12"/>
  <c r="N127" i="12"/>
  <c r="N125" i="12" s="1"/>
  <c r="M127" i="12"/>
  <c r="P127" i="12" s="1"/>
  <c r="L127" i="12"/>
  <c r="O127" i="12" s="1"/>
  <c r="P126" i="12"/>
  <c r="O126" i="12"/>
  <c r="N124" i="12"/>
  <c r="N122" i="12" s="1"/>
  <c r="M124" i="12"/>
  <c r="P124" i="12" s="1"/>
  <c r="L124" i="12"/>
  <c r="O124" i="12" s="1"/>
  <c r="P123" i="12"/>
  <c r="O123" i="12"/>
  <c r="P120" i="12"/>
  <c r="N120" i="12"/>
  <c r="M120" i="12"/>
  <c r="L120" i="12"/>
  <c r="O120" i="12" s="1"/>
  <c r="I116" i="12"/>
  <c r="K116" i="12" s="1"/>
  <c r="I115" i="12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J99" i="12"/>
  <c r="I99" i="12"/>
  <c r="I87" i="12" s="1"/>
  <c r="J98" i="12"/>
  <c r="J86" i="12" s="1"/>
  <c r="I98" i="12"/>
  <c r="N96" i="12"/>
  <c r="N94" i="12" s="1"/>
  <c r="M96" i="12"/>
  <c r="P96" i="12" s="1"/>
  <c r="L96" i="12"/>
  <c r="O96" i="12" s="1"/>
  <c r="P95" i="12"/>
  <c r="O95" i="12"/>
  <c r="N93" i="12"/>
  <c r="N91" i="12" s="1"/>
  <c r="M93" i="12"/>
  <c r="L93" i="12"/>
  <c r="P92" i="12"/>
  <c r="O92" i="12"/>
  <c r="P89" i="12"/>
  <c r="O89" i="12"/>
  <c r="N89" i="12"/>
  <c r="M89" i="12"/>
  <c r="L89" i="12"/>
  <c r="J87" i="12"/>
  <c r="I84" i="12"/>
  <c r="K84" i="12" s="1"/>
  <c r="I83" i="12"/>
  <c r="K83" i="12" s="1"/>
  <c r="I82" i="12"/>
  <c r="K82" i="12" s="1"/>
  <c r="I81" i="12"/>
  <c r="K81" i="12" s="1"/>
  <c r="I80" i="12"/>
  <c r="I79" i="12"/>
  <c r="I78" i="12"/>
  <c r="K78" i="12" s="1"/>
  <c r="J77" i="12"/>
  <c r="J65" i="12" s="1"/>
  <c r="J76" i="12"/>
  <c r="N74" i="12"/>
  <c r="N72" i="12" s="1"/>
  <c r="M74" i="12"/>
  <c r="P74" i="12" s="1"/>
  <c r="L74" i="12"/>
  <c r="P73" i="12"/>
  <c r="O73" i="12"/>
  <c r="N71" i="12"/>
  <c r="N69" i="12" s="1"/>
  <c r="M71" i="12"/>
  <c r="P71" i="12" s="1"/>
  <c r="L71" i="12"/>
  <c r="O71" i="12" s="1"/>
  <c r="P70" i="12"/>
  <c r="O70" i="12"/>
  <c r="P67" i="12"/>
  <c r="O67" i="12"/>
  <c r="N67" i="12"/>
  <c r="M67" i="12"/>
  <c r="L67" i="12"/>
  <c r="J64" i="12"/>
  <c r="N61" i="12"/>
  <c r="N59" i="12" s="1"/>
  <c r="M61" i="12"/>
  <c r="M59" i="12" s="1"/>
  <c r="L61" i="12"/>
  <c r="L59" i="12" s="1"/>
  <c r="P60" i="12"/>
  <c r="O60" i="12"/>
  <c r="N58" i="12"/>
  <c r="N56" i="12" s="1"/>
  <c r="M58" i="12"/>
  <c r="M56" i="12" s="1"/>
  <c r="L58" i="12"/>
  <c r="P57" i="12"/>
  <c r="O57" i="12"/>
  <c r="N54" i="12"/>
  <c r="M54" i="12"/>
  <c r="P54" i="12" s="1"/>
  <c r="L54" i="12"/>
  <c r="O54" i="12" s="1"/>
  <c r="N49" i="12"/>
  <c r="N47" i="12" s="1"/>
  <c r="M49" i="12"/>
  <c r="P49" i="12" s="1"/>
  <c r="L49" i="12"/>
  <c r="O49" i="12" s="1"/>
  <c r="P48" i="12"/>
  <c r="O48" i="12"/>
  <c r="N46" i="12"/>
  <c r="M46" i="12"/>
  <c r="L46" i="12"/>
  <c r="L44" i="12" s="1"/>
  <c r="P45" i="12"/>
  <c r="O45" i="12"/>
  <c r="O42" i="12"/>
  <c r="N42" i="12"/>
  <c r="M42" i="12"/>
  <c r="P42" i="12" s="1"/>
  <c r="L42" i="12"/>
  <c r="P36" i="12"/>
  <c r="N36" i="12"/>
  <c r="M36" i="12"/>
  <c r="P35" i="12"/>
  <c r="O35" i="12"/>
  <c r="N35" i="12"/>
  <c r="M35" i="12"/>
  <c r="M34" i="12" s="1"/>
  <c r="L35" i="12"/>
  <c r="P34" i="12"/>
  <c r="N34" i="12"/>
  <c r="N33" i="12"/>
  <c r="N30" i="12" s="1"/>
  <c r="M33" i="12"/>
  <c r="P33" i="12" s="1"/>
  <c r="O32" i="12"/>
  <c r="N32" i="12"/>
  <c r="N29" i="12" s="1"/>
  <c r="N28" i="12" s="1"/>
  <c r="M32" i="12"/>
  <c r="L32" i="12"/>
  <c r="N31" i="12"/>
  <c r="M31" i="12"/>
  <c r="P31" i="12" s="1"/>
  <c r="O29" i="12"/>
  <c r="L29" i="12"/>
  <c r="N25" i="12"/>
  <c r="N15" i="12" s="1"/>
  <c r="M25" i="12"/>
  <c r="L25" i="12"/>
  <c r="L15" i="12" s="1"/>
  <c r="P22" i="12"/>
  <c r="N22" i="12"/>
  <c r="M22" i="12"/>
  <c r="L22" i="12"/>
  <c r="N19" i="12"/>
  <c r="N12" i="12"/>
  <c r="N9" i="12" s="1"/>
  <c r="M12" i="12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N815" i="11"/>
  <c r="M815" i="11"/>
  <c r="L815" i="11"/>
  <c r="O815" i="11" s="1"/>
  <c r="P810" i="11"/>
  <c r="O810" i="11"/>
  <c r="N810" i="11"/>
  <c r="P809" i="11"/>
  <c r="O809" i="11"/>
  <c r="P808" i="11"/>
  <c r="O808" i="11"/>
  <c r="N808" i="11"/>
  <c r="M808" i="11"/>
  <c r="L808" i="11"/>
  <c r="O807" i="11"/>
  <c r="N807" i="11"/>
  <c r="N805" i="11" s="1"/>
  <c r="M807" i="11"/>
  <c r="P807" i="11" s="1"/>
  <c r="L807" i="11"/>
  <c r="N806" i="11"/>
  <c r="M806" i="11"/>
  <c r="L806" i="11"/>
  <c r="K804" i="11"/>
  <c r="J804" i="11"/>
  <c r="J803" i="11"/>
  <c r="I803" i="11"/>
  <c r="J802" i="11"/>
  <c r="J801" i="11"/>
  <c r="I801" i="11"/>
  <c r="J800" i="11"/>
  <c r="P798" i="11"/>
  <c r="O798" i="11"/>
  <c r="P797" i="11"/>
  <c r="O797" i="11"/>
  <c r="N796" i="11"/>
  <c r="M796" i="11"/>
  <c r="P796" i="11" s="1"/>
  <c r="L796" i="11"/>
  <c r="O796" i="11" s="1"/>
  <c r="P791" i="11"/>
  <c r="N791" i="11"/>
  <c r="L791" i="11"/>
  <c r="L788" i="11" s="1"/>
  <c r="P790" i="11"/>
  <c r="O790" i="11"/>
  <c r="N789" i="11"/>
  <c r="M789" i="11"/>
  <c r="P789" i="11" s="1"/>
  <c r="P788" i="11"/>
  <c r="N788" i="11"/>
  <c r="M788" i="11"/>
  <c r="P787" i="11"/>
  <c r="O787" i="11"/>
  <c r="N787" i="11"/>
  <c r="M787" i="11"/>
  <c r="M786" i="11" s="1"/>
  <c r="P786" i="11" s="1"/>
  <c r="L787" i="11"/>
  <c r="N786" i="11"/>
  <c r="P782" i="11"/>
  <c r="O782" i="11"/>
  <c r="P781" i="11"/>
  <c r="O781" i="11"/>
  <c r="P780" i="11"/>
  <c r="O780" i="11"/>
  <c r="N780" i="11"/>
  <c r="M780" i="11"/>
  <c r="L780" i="11"/>
  <c r="P775" i="11"/>
  <c r="O775" i="11"/>
  <c r="N775" i="11"/>
  <c r="P774" i="11"/>
  <c r="O774" i="11"/>
  <c r="M773" i="11"/>
  <c r="P773" i="11" s="1"/>
  <c r="L773" i="11"/>
  <c r="O773" i="11" s="1"/>
  <c r="M772" i="11"/>
  <c r="P772" i="11" s="1"/>
  <c r="L772" i="11"/>
  <c r="P771" i="11"/>
  <c r="N771" i="11"/>
  <c r="M771" i="11"/>
  <c r="L771" i="11"/>
  <c r="O771" i="11" s="1"/>
  <c r="P770" i="11"/>
  <c r="M770" i="11"/>
  <c r="K769" i="11"/>
  <c r="J769" i="11"/>
  <c r="P766" i="11"/>
  <c r="O766" i="11"/>
  <c r="P765" i="11"/>
  <c r="O765" i="11"/>
  <c r="P764" i="11"/>
  <c r="O764" i="11"/>
  <c r="N764" i="11"/>
  <c r="M764" i="11"/>
  <c r="L764" i="11"/>
  <c r="P759" i="11"/>
  <c r="O759" i="11"/>
  <c r="N759" i="11"/>
  <c r="P758" i="11"/>
  <c r="O758" i="11"/>
  <c r="M757" i="11"/>
  <c r="P757" i="11" s="1"/>
  <c r="L757" i="11"/>
  <c r="O757" i="11" s="1"/>
  <c r="M756" i="11"/>
  <c r="P756" i="11" s="1"/>
  <c r="L756" i="11"/>
  <c r="P755" i="11"/>
  <c r="N755" i="11"/>
  <c r="M755" i="11"/>
  <c r="L755" i="11"/>
  <c r="O755" i="11" s="1"/>
  <c r="P754" i="11"/>
  <c r="M754" i="11"/>
  <c r="K753" i="11"/>
  <c r="J753" i="11"/>
  <c r="P749" i="11"/>
  <c r="O749" i="11"/>
  <c r="P748" i="11"/>
  <c r="O748" i="11"/>
  <c r="P747" i="11"/>
  <c r="O747" i="11"/>
  <c r="N747" i="11"/>
  <c r="M747" i="11"/>
  <c r="L747" i="11"/>
  <c r="P742" i="11"/>
  <c r="O742" i="11"/>
  <c r="N742" i="11"/>
  <c r="P741" i="11"/>
  <c r="O741" i="11"/>
  <c r="M740" i="11"/>
  <c r="P740" i="11" s="1"/>
  <c r="L740" i="11"/>
  <c r="O740" i="11" s="1"/>
  <c r="M739" i="11"/>
  <c r="P739" i="11" s="1"/>
  <c r="L739" i="11"/>
  <c r="P738" i="11"/>
  <c r="N738" i="11"/>
  <c r="M738" i="11"/>
  <c r="L738" i="11"/>
  <c r="O738" i="11" s="1"/>
  <c r="P737" i="11"/>
  <c r="M737" i="11"/>
  <c r="K736" i="11"/>
  <c r="J736" i="11"/>
  <c r="J729" i="11"/>
  <c r="I729" i="11"/>
  <c r="K729" i="11" s="1"/>
  <c r="J728" i="11"/>
  <c r="I728" i="11"/>
  <c r="J727" i="11"/>
  <c r="J726" i="11"/>
  <c r="I726" i="11"/>
  <c r="J725" i="11"/>
  <c r="I725" i="11"/>
  <c r="K725" i="11" s="1"/>
  <c r="J724" i="11"/>
  <c r="J723" i="11"/>
  <c r="I723" i="11"/>
  <c r="K723" i="11" s="1"/>
  <c r="I722" i="11"/>
  <c r="I721" i="1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J700" i="11"/>
  <c r="I700" i="11"/>
  <c r="J699" i="11"/>
  <c r="I699" i="11"/>
  <c r="P697" i="11"/>
  <c r="O697" i="11"/>
  <c r="P696" i="11"/>
  <c r="O696" i="11"/>
  <c r="P695" i="11"/>
  <c r="O695" i="11"/>
  <c r="N695" i="11"/>
  <c r="M695" i="11"/>
  <c r="L695" i="11"/>
  <c r="P690" i="11"/>
  <c r="N690" i="11"/>
  <c r="L690" i="11"/>
  <c r="M688" i="11"/>
  <c r="P688" i="11" s="1"/>
  <c r="P687" i="11"/>
  <c r="M687" i="11"/>
  <c r="P686" i="11"/>
  <c r="O686" i="11"/>
  <c r="N686" i="11"/>
  <c r="M686" i="11"/>
  <c r="M685" i="11" s="1"/>
  <c r="P685" i="11" s="1"/>
  <c r="L686" i="11"/>
  <c r="J679" i="11"/>
  <c r="J678" i="11"/>
  <c r="I678" i="11"/>
  <c r="K678" i="11" s="1"/>
  <c r="J675" i="11"/>
  <c r="I671" i="11"/>
  <c r="K671" i="11" s="1"/>
  <c r="I670" i="11"/>
  <c r="K670" i="11" s="1"/>
  <c r="J669" i="11"/>
  <c r="J654" i="11" s="1"/>
  <c r="I669" i="11"/>
  <c r="P667" i="11"/>
  <c r="O667" i="11"/>
  <c r="P666" i="11"/>
  <c r="O666" i="11"/>
  <c r="P665" i="11"/>
  <c r="O665" i="11"/>
  <c r="N665" i="11"/>
  <c r="M665" i="11"/>
  <c r="L665" i="11"/>
  <c r="P660" i="11"/>
  <c r="N660" i="11"/>
  <c r="L660" i="11"/>
  <c r="P659" i="11"/>
  <c r="O659" i="11"/>
  <c r="N658" i="11"/>
  <c r="M658" i="11"/>
  <c r="P658" i="11" s="1"/>
  <c r="N657" i="11"/>
  <c r="N655" i="11" s="1"/>
  <c r="M657" i="11"/>
  <c r="P657" i="11" s="1"/>
  <c r="N656" i="11"/>
  <c r="M656" i="11"/>
  <c r="L656" i="11"/>
  <c r="O656" i="11" s="1"/>
  <c r="K652" i="11"/>
  <c r="J652" i="11"/>
  <c r="J651" i="11"/>
  <c r="J628" i="11" s="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O641" i="11" s="1"/>
  <c r="P640" i="11"/>
  <c r="O640" i="11"/>
  <c r="P639" i="11"/>
  <c r="N639" i="11"/>
  <c r="M639" i="11"/>
  <c r="P634" i="11"/>
  <c r="N634" i="11"/>
  <c r="N631" i="11" s="1"/>
  <c r="L634" i="11"/>
  <c r="O634" i="11" s="1"/>
  <c r="P633" i="11"/>
  <c r="O633" i="11"/>
  <c r="P632" i="11"/>
  <c r="N632" i="11"/>
  <c r="M632" i="11"/>
  <c r="P631" i="11"/>
  <c r="M631" i="11"/>
  <c r="O630" i="11"/>
  <c r="N630" i="11"/>
  <c r="N629" i="11" s="1"/>
  <c r="M630" i="11"/>
  <c r="P630" i="11" s="1"/>
  <c r="L630" i="11"/>
  <c r="M629" i="11"/>
  <c r="P629" i="11" s="1"/>
  <c r="J621" i="11"/>
  <c r="I621" i="11"/>
  <c r="J620" i="11"/>
  <c r="I620" i="11"/>
  <c r="K620" i="11" s="1"/>
  <c r="K613" i="11"/>
  <c r="J613" i="11"/>
  <c r="K612" i="11"/>
  <c r="J612" i="11"/>
  <c r="K611" i="11"/>
  <c r="J611" i="11"/>
  <c r="J604" i="11"/>
  <c r="J594" i="11" s="1"/>
  <c r="J603" i="11"/>
  <c r="J596" i="11"/>
  <c r="J595" i="11"/>
  <c r="I594" i="11"/>
  <c r="K594" i="11" s="1"/>
  <c r="I593" i="11"/>
  <c r="I592" i="11" s="1"/>
  <c r="J583" i="11"/>
  <c r="J577" i="11" s="1"/>
  <c r="J582" i="11"/>
  <c r="I577" i="11"/>
  <c r="J576" i="11"/>
  <c r="J559" i="11" s="1"/>
  <c r="I576" i="11"/>
  <c r="K576" i="11" s="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K560" i="11" s="1"/>
  <c r="P557" i="11"/>
  <c r="L557" i="11"/>
  <c r="L555" i="11" s="1"/>
  <c r="O555" i="11" s="1"/>
  <c r="P556" i="11"/>
  <c r="O556" i="11"/>
  <c r="P555" i="11"/>
  <c r="N555" i="11"/>
  <c r="N545" i="11" s="1"/>
  <c r="N544" i="11" s="1"/>
  <c r="M555" i="11"/>
  <c r="P549" i="11"/>
  <c r="N549" i="11"/>
  <c r="N546" i="11" s="1"/>
  <c r="L549" i="11"/>
  <c r="P548" i="11"/>
  <c r="O548" i="11"/>
  <c r="M547" i="11"/>
  <c r="P547" i="11" s="1"/>
  <c r="M546" i="11"/>
  <c r="M545" i="11"/>
  <c r="P545" i="11" s="1"/>
  <c r="L545" i="11"/>
  <c r="J543" i="11"/>
  <c r="I542" i="11"/>
  <c r="K542" i="11" s="1"/>
  <c r="I541" i="11"/>
  <c r="K541" i="11" s="1"/>
  <c r="I540" i="11"/>
  <c r="K540" i="11" s="1"/>
  <c r="I539" i="11"/>
  <c r="K539" i="11" s="1"/>
  <c r="I538" i="11"/>
  <c r="I537" i="11"/>
  <c r="I522" i="11" s="1"/>
  <c r="K522" i="11" s="1"/>
  <c r="P535" i="11"/>
  <c r="L535" i="11"/>
  <c r="L533" i="11" s="1"/>
  <c r="O533" i="11" s="1"/>
  <c r="P534" i="11"/>
  <c r="O534" i="11"/>
  <c r="N533" i="11"/>
  <c r="M533" i="11"/>
  <c r="P533" i="11" s="1"/>
  <c r="P528" i="11"/>
  <c r="N528" i="11"/>
  <c r="L528" i="11"/>
  <c r="O528" i="11" s="1"/>
  <c r="P527" i="11"/>
  <c r="O527" i="11"/>
  <c r="N526" i="11"/>
  <c r="M526" i="11"/>
  <c r="P526" i="11" s="1"/>
  <c r="P525" i="11"/>
  <c r="N525" i="11"/>
  <c r="M525" i="11"/>
  <c r="P524" i="11"/>
  <c r="O524" i="11"/>
  <c r="N524" i="11"/>
  <c r="M524" i="11"/>
  <c r="M523" i="11" s="1"/>
  <c r="P523" i="11" s="1"/>
  <c r="L524" i="11"/>
  <c r="N523" i="11"/>
  <c r="K517" i="11"/>
  <c r="J517" i="11"/>
  <c r="K516" i="11"/>
  <c r="P514" i="11"/>
  <c r="O514" i="11"/>
  <c r="P513" i="11"/>
  <c r="O513" i="11"/>
  <c r="N512" i="11"/>
  <c r="M512" i="11"/>
  <c r="P512" i="11" s="1"/>
  <c r="L512" i="11"/>
  <c r="O512" i="11" s="1"/>
  <c r="P507" i="11"/>
  <c r="O507" i="11"/>
  <c r="N507" i="11"/>
  <c r="N505" i="11" s="1"/>
  <c r="P506" i="11"/>
  <c r="O506" i="11"/>
  <c r="P505" i="11"/>
  <c r="O505" i="11"/>
  <c r="M505" i="11"/>
  <c r="L505" i="11"/>
  <c r="P504" i="11"/>
  <c r="O504" i="11"/>
  <c r="N504" i="11"/>
  <c r="M504" i="11"/>
  <c r="L504" i="11"/>
  <c r="O503" i="11"/>
  <c r="N503" i="11"/>
  <c r="M503" i="11"/>
  <c r="P503" i="11" s="1"/>
  <c r="L503" i="11"/>
  <c r="L502" i="11"/>
  <c r="O502" i="11" s="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L477" i="11" s="1"/>
  <c r="O477" i="11" s="1"/>
  <c r="P478" i="11"/>
  <c r="O478" i="11"/>
  <c r="P477" i="11"/>
  <c r="N477" i="11"/>
  <c r="M477" i="11"/>
  <c r="P472" i="11"/>
  <c r="N472" i="11"/>
  <c r="L472" i="11"/>
  <c r="L470" i="11" s="1"/>
  <c r="O470" i="11" s="1"/>
  <c r="P471" i="11"/>
  <c r="O471" i="11"/>
  <c r="P470" i="11"/>
  <c r="N470" i="11"/>
  <c r="M470" i="11"/>
  <c r="N469" i="11"/>
  <c r="M469" i="11"/>
  <c r="P469" i="11" s="1"/>
  <c r="N468" i="11"/>
  <c r="M468" i="11"/>
  <c r="P468" i="11" s="1"/>
  <c r="L468" i="11"/>
  <c r="O468" i="11" s="1"/>
  <c r="P467" i="11"/>
  <c r="M467" i="11"/>
  <c r="J466" i="11"/>
  <c r="I466" i="11"/>
  <c r="J465" i="11"/>
  <c r="I465" i="11"/>
  <c r="K465" i="11" s="1"/>
  <c r="I464" i="11"/>
  <c r="I463" i="11"/>
  <c r="I462" i="11"/>
  <c r="K462" i="11" s="1"/>
  <c r="I460" i="11"/>
  <c r="K458" i="11"/>
  <c r="P456" i="11"/>
  <c r="L456" i="11"/>
  <c r="P455" i="11"/>
  <c r="O455" i="11"/>
  <c r="P454" i="11"/>
  <c r="N454" i="11"/>
  <c r="M454" i="11"/>
  <c r="L454" i="11"/>
  <c r="O454" i="11" s="1"/>
  <c r="P449" i="11"/>
  <c r="N449" i="11"/>
  <c r="L449" i="11"/>
  <c r="L447" i="11" s="1"/>
  <c r="P448" i="11"/>
  <c r="O448" i="11"/>
  <c r="P447" i="11"/>
  <c r="N447" i="11"/>
  <c r="M447" i="11"/>
  <c r="M446" i="11"/>
  <c r="P446" i="11" s="1"/>
  <c r="O445" i="11"/>
  <c r="N445" i="11"/>
  <c r="M445" i="11"/>
  <c r="P445" i="11" s="1"/>
  <c r="L445" i="11"/>
  <c r="J443" i="11"/>
  <c r="J442" i="11"/>
  <c r="I441" i="11"/>
  <c r="K441" i="11" s="1"/>
  <c r="I440" i="11"/>
  <c r="K440" i="11" s="1"/>
  <c r="I439" i="11"/>
  <c r="K439" i="11" s="1"/>
  <c r="I438" i="11"/>
  <c r="K438" i="11" s="1"/>
  <c r="I437" i="11"/>
  <c r="K437" i="11" s="1"/>
  <c r="I435" i="11"/>
  <c r="K435" i="11" s="1"/>
  <c r="J434" i="11"/>
  <c r="P431" i="11"/>
  <c r="L431" i="11"/>
  <c r="O431" i="11" s="1"/>
  <c r="P430" i="11"/>
  <c r="O430" i="11"/>
  <c r="P429" i="11"/>
  <c r="N429" i="11"/>
  <c r="M429" i="11"/>
  <c r="P424" i="11"/>
  <c r="N424" i="11"/>
  <c r="L424" i="11"/>
  <c r="L422" i="11" s="1"/>
  <c r="P423" i="11"/>
  <c r="O423" i="11"/>
  <c r="P422" i="11"/>
  <c r="M422" i="11"/>
  <c r="M421" i="11"/>
  <c r="P421" i="11" s="1"/>
  <c r="O420" i="11"/>
  <c r="N420" i="11"/>
  <c r="M420" i="11"/>
  <c r="P420" i="11" s="1"/>
  <c r="L420" i="11"/>
  <c r="J418" i="11"/>
  <c r="K413" i="11"/>
  <c r="K412" i="11"/>
  <c r="N410" i="11"/>
  <c r="N408" i="11" s="1"/>
  <c r="M410" i="11"/>
  <c r="L410" i="11"/>
  <c r="O410" i="11" s="1"/>
  <c r="P409" i="11"/>
  <c r="O409" i="11"/>
  <c r="N407" i="11"/>
  <c r="M407" i="11"/>
  <c r="L407" i="11"/>
  <c r="O407" i="11" s="1"/>
  <c r="P406" i="11"/>
  <c r="O406" i="11"/>
  <c r="N403" i="11"/>
  <c r="M403" i="11"/>
  <c r="L403" i="11"/>
  <c r="O403" i="11" s="1"/>
  <c r="J401" i="11"/>
  <c r="I401" i="11"/>
  <c r="K401" i="11" s="1"/>
  <c r="K400" i="11"/>
  <c r="K399" i="11"/>
  <c r="N397" i="11"/>
  <c r="N395" i="11" s="1"/>
  <c r="M397" i="11"/>
  <c r="L397" i="11"/>
  <c r="L395" i="11" s="1"/>
  <c r="O395" i="11" s="1"/>
  <c r="P396" i="11"/>
  <c r="O396" i="11"/>
  <c r="N394" i="11"/>
  <c r="M394" i="11"/>
  <c r="M392" i="11" s="1"/>
  <c r="P392" i="11" s="1"/>
  <c r="L394" i="11"/>
  <c r="L392" i="11" s="1"/>
  <c r="O392" i="11" s="1"/>
  <c r="P393" i="11"/>
  <c r="O393" i="11"/>
  <c r="N390" i="11"/>
  <c r="M390" i="11"/>
  <c r="P390" i="11" s="1"/>
  <c r="L390" i="11"/>
  <c r="K388" i="11"/>
  <c r="J388" i="11"/>
  <c r="I388" i="1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L353" i="11"/>
  <c r="L351" i="11" s="1"/>
  <c r="P352" i="11"/>
  <c r="O352" i="11"/>
  <c r="N350" i="11"/>
  <c r="M350" i="11"/>
  <c r="M348" i="11" s="1"/>
  <c r="L350" i="11"/>
  <c r="L348" i="11" s="1"/>
  <c r="P349" i="11"/>
  <c r="O349" i="11"/>
  <c r="O346" i="11"/>
  <c r="N346" i="11"/>
  <c r="M346" i="11"/>
  <c r="P346" i="11" s="1"/>
  <c r="L346" i="11"/>
  <c r="J343" i="11"/>
  <c r="J342" i="11"/>
  <c r="J341" i="11"/>
  <c r="J340" i="11"/>
  <c r="I340" i="11"/>
  <c r="J338" i="11"/>
  <c r="I338" i="11"/>
  <c r="N336" i="11"/>
  <c r="N334" i="11" s="1"/>
  <c r="M336" i="11"/>
  <c r="P336" i="11" s="1"/>
  <c r="L336" i="11"/>
  <c r="L334" i="11" s="1"/>
  <c r="O334" i="11" s="1"/>
  <c r="P335" i="11"/>
  <c r="O335" i="11"/>
  <c r="N333" i="11"/>
  <c r="N331" i="11" s="1"/>
  <c r="M333" i="11"/>
  <c r="L333" i="11"/>
  <c r="L331" i="11" s="1"/>
  <c r="P332" i="11"/>
  <c r="O332" i="11"/>
  <c r="O329" i="11"/>
  <c r="N329" i="11"/>
  <c r="M329" i="11"/>
  <c r="P329" i="11" s="1"/>
  <c r="L329" i="11"/>
  <c r="I327" i="11"/>
  <c r="I325" i="11"/>
  <c r="I314" i="11" s="1"/>
  <c r="K314" i="11" s="1"/>
  <c r="N323" i="11"/>
  <c r="N321" i="11" s="1"/>
  <c r="M323" i="11"/>
  <c r="P323" i="11" s="1"/>
  <c r="L323" i="11"/>
  <c r="O323" i="11" s="1"/>
  <c r="P322" i="11"/>
  <c r="O322" i="11"/>
  <c r="N320" i="11"/>
  <c r="N318" i="11" s="1"/>
  <c r="M320" i="11"/>
  <c r="P320" i="11" s="1"/>
  <c r="L320" i="11"/>
  <c r="L318" i="11" s="1"/>
  <c r="O318" i="11" s="1"/>
  <c r="P319" i="11"/>
  <c r="O319" i="11"/>
  <c r="P316" i="11"/>
  <c r="O316" i="11"/>
  <c r="N316" i="11"/>
  <c r="M316" i="11"/>
  <c r="L316" i="1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P306" i="11" s="1"/>
  <c r="L306" i="11"/>
  <c r="O306" i="11" s="1"/>
  <c r="P305" i="11"/>
  <c r="O305" i="11"/>
  <c r="N303" i="11"/>
  <c r="N301" i="11" s="1"/>
  <c r="M303" i="11"/>
  <c r="L303" i="11"/>
  <c r="P302" i="11"/>
  <c r="O302" i="11"/>
  <c r="P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87" i="11"/>
  <c r="K287" i="11" s="1"/>
  <c r="N285" i="11"/>
  <c r="N283" i="11" s="1"/>
  <c r="M285" i="11"/>
  <c r="P285" i="11" s="1"/>
  <c r="L285" i="11"/>
  <c r="P284" i="11"/>
  <c r="O284" i="11"/>
  <c r="N282" i="11"/>
  <c r="N280" i="11" s="1"/>
  <c r="M282" i="11"/>
  <c r="M280" i="11" s="1"/>
  <c r="L282" i="11"/>
  <c r="P281" i="11"/>
  <c r="O281" i="11"/>
  <c r="P278" i="11"/>
  <c r="N278" i="11"/>
  <c r="M278" i="11"/>
  <c r="L278" i="11"/>
  <c r="J276" i="11"/>
  <c r="I271" i="11"/>
  <c r="I260" i="11" s="1"/>
  <c r="K260" i="11" s="1"/>
  <c r="N269" i="11"/>
  <c r="N267" i="11" s="1"/>
  <c r="M269" i="11"/>
  <c r="P269" i="11" s="1"/>
  <c r="L269" i="11"/>
  <c r="O269" i="11" s="1"/>
  <c r="P268" i="11"/>
  <c r="O268" i="11"/>
  <c r="N266" i="11"/>
  <c r="M266" i="11"/>
  <c r="M264" i="11" s="1"/>
  <c r="L266" i="11"/>
  <c r="P265" i="11"/>
  <c r="O265" i="11"/>
  <c r="P262" i="11"/>
  <c r="O262" i="11"/>
  <c r="N262" i="11"/>
  <c r="M262" i="11"/>
  <c r="L262" i="11"/>
  <c r="J260" i="11"/>
  <c r="K258" i="11"/>
  <c r="K257" i="11"/>
  <c r="I255" i="11"/>
  <c r="K255" i="11" s="1"/>
  <c r="L253" i="11"/>
  <c r="L252" i="11"/>
  <c r="L251" i="11"/>
  <c r="L250" i="11"/>
  <c r="P249" i="11"/>
  <c r="N249" i="11"/>
  <c r="J248" i="11"/>
  <c r="K247" i="11"/>
  <c r="K246" i="11"/>
  <c r="I244" i="11"/>
  <c r="K244" i="11" s="1"/>
  <c r="L242" i="11"/>
  <c r="L241" i="11"/>
  <c r="L240" i="11"/>
  <c r="L239" i="11"/>
  <c r="P238" i="11"/>
  <c r="N238" i="11"/>
  <c r="J237" i="11"/>
  <c r="J226" i="11" s="1"/>
  <c r="J180" i="11" s="1"/>
  <c r="J236" i="11"/>
  <c r="I236" i="11"/>
  <c r="K236" i="11" s="1"/>
  <c r="J235" i="11"/>
  <c r="I235" i="11"/>
  <c r="K235" i="11" s="1"/>
  <c r="J233" i="11"/>
  <c r="N231" i="11"/>
  <c r="N230" i="11"/>
  <c r="N229" i="11"/>
  <c r="N228" i="11"/>
  <c r="N227" i="11"/>
  <c r="I225" i="11"/>
  <c r="I224" i="11"/>
  <c r="K224" i="11" s="1"/>
  <c r="I223" i="11"/>
  <c r="K223" i="11" s="1"/>
  <c r="L220" i="11"/>
  <c r="L219" i="11"/>
  <c r="L218" i="11"/>
  <c r="P217" i="11"/>
  <c r="N217" i="11"/>
  <c r="J216" i="11"/>
  <c r="I215" i="11"/>
  <c r="I208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L202" i="11"/>
  <c r="L201" i="11"/>
  <c r="L200" i="11"/>
  <c r="L199" i="11"/>
  <c r="P198" i="11"/>
  <c r="N198" i="11"/>
  <c r="J197" i="11"/>
  <c r="J194" i="11"/>
  <c r="I193" i="11"/>
  <c r="I190" i="11" s="1"/>
  <c r="P191" i="11"/>
  <c r="L191" i="11"/>
  <c r="O191" i="11" s="1"/>
  <c r="J190" i="11"/>
  <c r="N189" i="11"/>
  <c r="N187" i="11" s="1"/>
  <c r="M189" i="11"/>
  <c r="P189" i="11" s="1"/>
  <c r="L189" i="11"/>
  <c r="L187" i="11" s="1"/>
  <c r="O187" i="11" s="1"/>
  <c r="P188" i="11"/>
  <c r="O188" i="11"/>
  <c r="N186" i="11"/>
  <c r="M186" i="11"/>
  <c r="M184" i="11" s="1"/>
  <c r="L186" i="11"/>
  <c r="L184" i="11" s="1"/>
  <c r="P185" i="11"/>
  <c r="O185" i="11"/>
  <c r="O182" i="11"/>
  <c r="N182" i="11"/>
  <c r="M182" i="11"/>
  <c r="P182" i="11" s="1"/>
  <c r="L182" i="11"/>
  <c r="J177" i="11"/>
  <c r="J164" i="11" s="1"/>
  <c r="I176" i="11"/>
  <c r="I174" i="11" s="1"/>
  <c r="J174" i="11"/>
  <c r="N173" i="11"/>
  <c r="N171" i="11" s="1"/>
  <c r="M173" i="11"/>
  <c r="M171" i="11" s="1"/>
  <c r="P171" i="11" s="1"/>
  <c r="L173" i="11"/>
  <c r="L171" i="11" s="1"/>
  <c r="O171" i="11" s="1"/>
  <c r="P172" i="11"/>
  <c r="O172" i="11"/>
  <c r="N170" i="11"/>
  <c r="M170" i="11"/>
  <c r="M168" i="11" s="1"/>
  <c r="L170" i="11"/>
  <c r="L168" i="11" s="1"/>
  <c r="P169" i="11"/>
  <c r="O169" i="11"/>
  <c r="O166" i="11"/>
  <c r="N166" i="11"/>
  <c r="M166" i="11"/>
  <c r="P166" i="11" s="1"/>
  <c r="L166" i="11"/>
  <c r="I159" i="11"/>
  <c r="K159" i="11" s="1"/>
  <c r="N157" i="11"/>
  <c r="N155" i="11" s="1"/>
  <c r="M157" i="11"/>
  <c r="P157" i="11" s="1"/>
  <c r="L157" i="11"/>
  <c r="O157" i="11" s="1"/>
  <c r="P156" i="11"/>
  <c r="O156" i="11"/>
  <c r="N154" i="11"/>
  <c r="M154" i="11"/>
  <c r="L154" i="11"/>
  <c r="P153" i="11"/>
  <c r="O153" i="11"/>
  <c r="P150" i="11"/>
  <c r="O150" i="11"/>
  <c r="N150" i="11"/>
  <c r="M150" i="11"/>
  <c r="L150" i="11"/>
  <c r="J148" i="11"/>
  <c r="I146" i="11"/>
  <c r="I145" i="11"/>
  <c r="K145" i="11" s="1"/>
  <c r="I144" i="11"/>
  <c r="N140" i="11"/>
  <c r="N138" i="11" s="1"/>
  <c r="M140" i="11"/>
  <c r="L140" i="11"/>
  <c r="L138" i="11" s="1"/>
  <c r="P139" i="11"/>
  <c r="O139" i="11"/>
  <c r="N137" i="11"/>
  <c r="N135" i="11" s="1"/>
  <c r="M137" i="11"/>
  <c r="M135" i="11" s="1"/>
  <c r="L137" i="11"/>
  <c r="L135" i="11" s="1"/>
  <c r="P136" i="11"/>
  <c r="O136" i="11"/>
  <c r="N133" i="11"/>
  <c r="M133" i="11"/>
  <c r="P133" i="11" s="1"/>
  <c r="L133" i="11"/>
  <c r="O133" i="11" s="1"/>
  <c r="J130" i="11"/>
  <c r="N127" i="11"/>
  <c r="M127" i="11"/>
  <c r="P127" i="11" s="1"/>
  <c r="L127" i="11"/>
  <c r="O127" i="11" s="1"/>
  <c r="P126" i="11"/>
  <c r="O126" i="11"/>
  <c r="N124" i="11"/>
  <c r="N122" i="11" s="1"/>
  <c r="M124" i="11"/>
  <c r="L124" i="11"/>
  <c r="O124" i="11" s="1"/>
  <c r="P123" i="11"/>
  <c r="O123" i="11"/>
  <c r="P120" i="11"/>
  <c r="O120" i="11"/>
  <c r="N120" i="11"/>
  <c r="M120" i="11"/>
  <c r="L120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J99" i="11"/>
  <c r="J87" i="11" s="1"/>
  <c r="I99" i="11"/>
  <c r="J98" i="11"/>
  <c r="I98" i="11"/>
  <c r="I86" i="11" s="1"/>
  <c r="N96" i="11"/>
  <c r="N94" i="11" s="1"/>
  <c r="M96" i="11"/>
  <c r="P96" i="11" s="1"/>
  <c r="L96" i="11"/>
  <c r="L94" i="11" s="1"/>
  <c r="O94" i="11" s="1"/>
  <c r="P95" i="11"/>
  <c r="O95" i="11"/>
  <c r="N93" i="11"/>
  <c r="N91" i="11" s="1"/>
  <c r="M93" i="11"/>
  <c r="M91" i="11" s="1"/>
  <c r="L93" i="11"/>
  <c r="L91" i="11" s="1"/>
  <c r="P92" i="11"/>
  <c r="O92" i="11"/>
  <c r="O89" i="11"/>
  <c r="N89" i="11"/>
  <c r="M89" i="11"/>
  <c r="P89" i="11" s="1"/>
  <c r="L89" i="11"/>
  <c r="J86" i="11"/>
  <c r="I84" i="11"/>
  <c r="K84" i="11" s="1"/>
  <c r="I83" i="11"/>
  <c r="K83" i="11" s="1"/>
  <c r="I82" i="11"/>
  <c r="K82" i="11" s="1"/>
  <c r="I81" i="11"/>
  <c r="K81" i="11" s="1"/>
  <c r="I80" i="11"/>
  <c r="I79" i="11"/>
  <c r="K79" i="11" s="1"/>
  <c r="I78" i="11"/>
  <c r="K78" i="11" s="1"/>
  <c r="J77" i="11"/>
  <c r="J65" i="11" s="1"/>
  <c r="J76" i="11"/>
  <c r="N74" i="11"/>
  <c r="N72" i="11" s="1"/>
  <c r="M74" i="11"/>
  <c r="M72" i="11" s="1"/>
  <c r="P72" i="11" s="1"/>
  <c r="L74" i="11"/>
  <c r="O74" i="11" s="1"/>
  <c r="P73" i="11"/>
  <c r="O73" i="11"/>
  <c r="N71" i="11"/>
  <c r="N69" i="11" s="1"/>
  <c r="M71" i="11"/>
  <c r="M69" i="11" s="1"/>
  <c r="L71" i="11"/>
  <c r="P70" i="11"/>
  <c r="O70" i="11"/>
  <c r="N67" i="11"/>
  <c r="M67" i="11"/>
  <c r="P67" i="11" s="1"/>
  <c r="L67" i="11"/>
  <c r="O67" i="11" s="1"/>
  <c r="J64" i="11"/>
  <c r="N61" i="11"/>
  <c r="M61" i="11"/>
  <c r="M59" i="11" s="1"/>
  <c r="L61" i="11"/>
  <c r="P60" i="11"/>
  <c r="O60" i="11"/>
  <c r="N58" i="11"/>
  <c r="M58" i="11"/>
  <c r="M56" i="11" s="1"/>
  <c r="L58" i="11"/>
  <c r="P57" i="11"/>
  <c r="O57" i="11"/>
  <c r="P54" i="11"/>
  <c r="O54" i="11"/>
  <c r="N54" i="11"/>
  <c r="M54" i="11"/>
  <c r="L54" i="11"/>
  <c r="N49" i="11"/>
  <c r="N47" i="11" s="1"/>
  <c r="M49" i="11"/>
  <c r="P49" i="11" s="1"/>
  <c r="L49" i="11"/>
  <c r="L47" i="11" s="1"/>
  <c r="O47" i="11" s="1"/>
  <c r="P48" i="11"/>
  <c r="O48" i="11"/>
  <c r="N46" i="11"/>
  <c r="N44" i="11" s="1"/>
  <c r="M46" i="11"/>
  <c r="M44" i="11" s="1"/>
  <c r="L46" i="11"/>
  <c r="L44" i="11" s="1"/>
  <c r="P45" i="11"/>
  <c r="O45" i="11"/>
  <c r="N42" i="11"/>
  <c r="M42" i="11"/>
  <c r="P42" i="11" s="1"/>
  <c r="L42" i="11"/>
  <c r="O42" i="11" s="1"/>
  <c r="P36" i="11"/>
  <c r="N36" i="11"/>
  <c r="M36" i="11"/>
  <c r="P35" i="11"/>
  <c r="O35" i="11"/>
  <c r="N35" i="11"/>
  <c r="M35" i="11"/>
  <c r="L35" i="11"/>
  <c r="N34" i="11"/>
  <c r="M34" i="11"/>
  <c r="P34" i="11" s="1"/>
  <c r="N33" i="11"/>
  <c r="M33" i="11"/>
  <c r="N32" i="11"/>
  <c r="M32" i="11"/>
  <c r="L32" i="11"/>
  <c r="N29" i="11"/>
  <c r="P25" i="11"/>
  <c r="N25" i="11"/>
  <c r="M25" i="11"/>
  <c r="L25" i="11"/>
  <c r="O25" i="11" s="1"/>
  <c r="O22" i="11"/>
  <c r="N22" i="11"/>
  <c r="M22" i="11"/>
  <c r="P22" i="11" s="1"/>
  <c r="L22" i="11"/>
  <c r="O19" i="11"/>
  <c r="L19" i="11"/>
  <c r="O15" i="11"/>
  <c r="N15" i="11"/>
  <c r="M15" i="11"/>
  <c r="P15" i="11" s="1"/>
  <c r="L15" i="11"/>
  <c r="P12" i="11"/>
  <c r="M12" i="11"/>
  <c r="M9" i="11" s="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N815" i="10"/>
  <c r="M815" i="10"/>
  <c r="L815" i="10"/>
  <c r="O815" i="10" s="1"/>
  <c r="P810" i="10"/>
  <c r="O810" i="10"/>
  <c r="N810" i="10"/>
  <c r="P809" i="10"/>
  <c r="O809" i="10"/>
  <c r="P808" i="10"/>
  <c r="O808" i="10"/>
  <c r="N808" i="10"/>
  <c r="M808" i="10"/>
  <c r="L808" i="10"/>
  <c r="O807" i="10"/>
  <c r="N807" i="10"/>
  <c r="M807" i="10"/>
  <c r="P807" i="10" s="1"/>
  <c r="L807" i="10"/>
  <c r="N806" i="10"/>
  <c r="N805" i="10" s="1"/>
  <c r="M806" i="10"/>
  <c r="P806" i="10" s="1"/>
  <c r="L806" i="10"/>
  <c r="K804" i="10"/>
  <c r="J804" i="10"/>
  <c r="J803" i="10"/>
  <c r="I803" i="10"/>
  <c r="K803" i="10" s="1"/>
  <c r="J802" i="10"/>
  <c r="J801" i="10"/>
  <c r="I801" i="10"/>
  <c r="J800" i="10"/>
  <c r="P798" i="10"/>
  <c r="O798" i="10"/>
  <c r="P797" i="10"/>
  <c r="O797" i="10"/>
  <c r="N796" i="10"/>
  <c r="M796" i="10"/>
  <c r="P796" i="10" s="1"/>
  <c r="L796" i="10"/>
  <c r="O796" i="10" s="1"/>
  <c r="P791" i="10"/>
  <c r="N791" i="10"/>
  <c r="L791" i="10"/>
  <c r="O791" i="10" s="1"/>
  <c r="P790" i="10"/>
  <c r="O790" i="10"/>
  <c r="N789" i="10"/>
  <c r="M789" i="10"/>
  <c r="P789" i="10" s="1"/>
  <c r="P788" i="10"/>
  <c r="N788" i="10"/>
  <c r="M788" i="10"/>
  <c r="P787" i="10"/>
  <c r="O787" i="10"/>
  <c r="N787" i="10"/>
  <c r="M787" i="10"/>
  <c r="L787" i="10"/>
  <c r="P786" i="10"/>
  <c r="N786" i="10"/>
  <c r="M786" i="10"/>
  <c r="P782" i="10"/>
  <c r="O782" i="10"/>
  <c r="P781" i="10"/>
  <c r="O781" i="10"/>
  <c r="P780" i="10"/>
  <c r="O780" i="10"/>
  <c r="N780" i="10"/>
  <c r="M780" i="10"/>
  <c r="L780" i="10"/>
  <c r="P775" i="10"/>
  <c r="O775" i="10"/>
  <c r="N775" i="10"/>
  <c r="N772" i="10" s="1"/>
  <c r="N770" i="10" s="1"/>
  <c r="P774" i="10"/>
  <c r="O774" i="10"/>
  <c r="N773" i="10"/>
  <c r="M773" i="10"/>
  <c r="P773" i="10" s="1"/>
  <c r="L773" i="10"/>
  <c r="O773" i="10" s="1"/>
  <c r="M772" i="10"/>
  <c r="L772" i="10"/>
  <c r="O772" i="10" s="1"/>
  <c r="P771" i="10"/>
  <c r="N771" i="10"/>
  <c r="M771" i="10"/>
  <c r="L771" i="10"/>
  <c r="K769" i="10"/>
  <c r="J769" i="10"/>
  <c r="P766" i="10"/>
  <c r="O766" i="10"/>
  <c r="P765" i="10"/>
  <c r="O765" i="10"/>
  <c r="P764" i="10"/>
  <c r="O764" i="10"/>
  <c r="N764" i="10"/>
  <c r="M764" i="10"/>
  <c r="L764" i="10"/>
  <c r="P759" i="10"/>
  <c r="O759" i="10"/>
  <c r="N759" i="10"/>
  <c r="N756" i="10" s="1"/>
  <c r="N754" i="10" s="1"/>
  <c r="P758" i="10"/>
  <c r="O758" i="10"/>
  <c r="N757" i="10"/>
  <c r="M757" i="10"/>
  <c r="P757" i="10" s="1"/>
  <c r="L757" i="10"/>
  <c r="O757" i="10" s="1"/>
  <c r="M756" i="10"/>
  <c r="L756" i="10"/>
  <c r="O756" i="10" s="1"/>
  <c r="P755" i="10"/>
  <c r="N755" i="10"/>
  <c r="M755" i="10"/>
  <c r="L755" i="10"/>
  <c r="K753" i="10"/>
  <c r="J753" i="10"/>
  <c r="P749" i="10"/>
  <c r="O749" i="10"/>
  <c r="P748" i="10"/>
  <c r="O748" i="10"/>
  <c r="P747" i="10"/>
  <c r="O747" i="10"/>
  <c r="N747" i="10"/>
  <c r="M747" i="10"/>
  <c r="L747" i="10"/>
  <c r="P742" i="10"/>
  <c r="O742" i="10"/>
  <c r="N742" i="10"/>
  <c r="N33" i="10" s="1"/>
  <c r="N30" i="10" s="1"/>
  <c r="N28" i="10" s="1"/>
  <c r="P741" i="10"/>
  <c r="O741" i="10"/>
  <c r="M740" i="10"/>
  <c r="P740" i="10" s="1"/>
  <c r="L740" i="10"/>
  <c r="O740" i="10" s="1"/>
  <c r="M739" i="10"/>
  <c r="L739" i="10"/>
  <c r="O739" i="10" s="1"/>
  <c r="P738" i="10"/>
  <c r="N738" i="10"/>
  <c r="M738" i="10"/>
  <c r="L738" i="10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P695" i="10"/>
  <c r="O695" i="10"/>
  <c r="N695" i="10"/>
  <c r="M695" i="10"/>
  <c r="L695" i="10"/>
  <c r="P690" i="10"/>
  <c r="N690" i="10"/>
  <c r="L690" i="10"/>
  <c r="L688" i="10" s="1"/>
  <c r="O688" i="10" s="1"/>
  <c r="M688" i="10"/>
  <c r="P688" i="10" s="1"/>
  <c r="P687" i="10"/>
  <c r="M687" i="10"/>
  <c r="P686" i="10"/>
  <c r="O686" i="10"/>
  <c r="N686" i="10"/>
  <c r="M686" i="10"/>
  <c r="L686" i="10"/>
  <c r="P685" i="10"/>
  <c r="M685" i="10"/>
  <c r="J679" i="10"/>
  <c r="J678" i="10"/>
  <c r="I678" i="10"/>
  <c r="K678" i="10" s="1"/>
  <c r="J675" i="10"/>
  <c r="I671" i="10"/>
  <c r="K671" i="10" s="1"/>
  <c r="I670" i="10"/>
  <c r="K670" i="10" s="1"/>
  <c r="J669" i="10"/>
  <c r="J654" i="10" s="1"/>
  <c r="I669" i="10"/>
  <c r="P667" i="10"/>
  <c r="O667" i="10"/>
  <c r="P666" i="10"/>
  <c r="O666" i="10"/>
  <c r="P665" i="10"/>
  <c r="O665" i="10"/>
  <c r="N665" i="10"/>
  <c r="M665" i="10"/>
  <c r="L665" i="10"/>
  <c r="P660" i="10"/>
  <c r="N660" i="10"/>
  <c r="L660" i="10"/>
  <c r="L658" i="10" s="1"/>
  <c r="O658" i="10" s="1"/>
  <c r="P659" i="10"/>
  <c r="O659" i="10"/>
  <c r="P658" i="10"/>
  <c r="N658" i="10"/>
  <c r="M658" i="10"/>
  <c r="N657" i="10"/>
  <c r="M657" i="10"/>
  <c r="P657" i="10" s="1"/>
  <c r="N656" i="10"/>
  <c r="M656" i="10"/>
  <c r="P656" i="10" s="1"/>
  <c r="L656" i="10"/>
  <c r="O656" i="10" s="1"/>
  <c r="M655" i="10"/>
  <c r="P655" i="10" s="1"/>
  <c r="K652" i="10"/>
  <c r="J652" i="10"/>
  <c r="J651" i="10"/>
  <c r="I651" i="10"/>
  <c r="I628" i="10" s="1"/>
  <c r="K650" i="10"/>
  <c r="J650" i="10"/>
  <c r="J649" i="10"/>
  <c r="I649" i="10"/>
  <c r="K648" i="10"/>
  <c r="J648" i="10"/>
  <c r="J647" i="10"/>
  <c r="I647" i="10"/>
  <c r="K646" i="10"/>
  <c r="J646" i="10"/>
  <c r="K645" i="10"/>
  <c r="J645" i="10"/>
  <c r="I644" i="10"/>
  <c r="K644" i="10" s="1"/>
  <c r="I643" i="10"/>
  <c r="K643" i="10" s="1"/>
  <c r="P641" i="10"/>
  <c r="L641" i="10"/>
  <c r="P640" i="10"/>
  <c r="O640" i="10"/>
  <c r="N639" i="10"/>
  <c r="M639" i="10"/>
  <c r="P639" i="10" s="1"/>
  <c r="P634" i="10"/>
  <c r="N634" i="10"/>
  <c r="L634" i="10"/>
  <c r="O634" i="10" s="1"/>
  <c r="P633" i="10"/>
  <c r="O633" i="10"/>
  <c r="P632" i="10"/>
  <c r="N632" i="10"/>
  <c r="M632" i="10"/>
  <c r="L632" i="10"/>
  <c r="O632" i="10" s="1"/>
  <c r="P631" i="10"/>
  <c r="N631" i="10"/>
  <c r="M631" i="10"/>
  <c r="P630" i="10"/>
  <c r="O630" i="10"/>
  <c r="N630" i="10"/>
  <c r="N629" i="10" s="1"/>
  <c r="M630" i="10"/>
  <c r="L630" i="10"/>
  <c r="M629" i="10"/>
  <c r="P629" i="10" s="1"/>
  <c r="J621" i="10"/>
  <c r="I621" i="10"/>
  <c r="J620" i="10"/>
  <c r="I620" i="10"/>
  <c r="K620" i="10" s="1"/>
  <c r="K613" i="10"/>
  <c r="J613" i="10"/>
  <c r="K612" i="10"/>
  <c r="J612" i="10"/>
  <c r="K611" i="10"/>
  <c r="J611" i="10"/>
  <c r="J604" i="10"/>
  <c r="J594" i="10" s="1"/>
  <c r="J603" i="10"/>
  <c r="J593" i="10" s="1"/>
  <c r="J596" i="10"/>
  <c r="J595" i="10"/>
  <c r="I594" i="10"/>
  <c r="I593" i="10"/>
  <c r="I592" i="10" s="1"/>
  <c r="K592" i="10" s="1"/>
  <c r="J592" i="10"/>
  <c r="J583" i="10"/>
  <c r="J577" i="10" s="1"/>
  <c r="J582" i="10"/>
  <c r="I577" i="10"/>
  <c r="K577" i="10" s="1"/>
  <c r="J576" i="10"/>
  <c r="J559" i="10" s="1"/>
  <c r="I576" i="10"/>
  <c r="I559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P557" i="10"/>
  <c r="L557" i="10"/>
  <c r="L555" i="10" s="1"/>
  <c r="O555" i="10" s="1"/>
  <c r="P556" i="10"/>
  <c r="O556" i="10"/>
  <c r="P555" i="10"/>
  <c r="N555" i="10"/>
  <c r="N545" i="10" s="1"/>
  <c r="N544" i="10" s="1"/>
  <c r="M555" i="10"/>
  <c r="P549" i="10"/>
  <c r="N549" i="10"/>
  <c r="N547" i="10" s="1"/>
  <c r="L549" i="10"/>
  <c r="L547" i="10" s="1"/>
  <c r="O547" i="10" s="1"/>
  <c r="P548" i="10"/>
  <c r="O548" i="10"/>
  <c r="M547" i="10"/>
  <c r="P547" i="10" s="1"/>
  <c r="N546" i="10"/>
  <c r="M546" i="10"/>
  <c r="P546" i="10" s="1"/>
  <c r="M545" i="10"/>
  <c r="L545" i="10"/>
  <c r="O545" i="10" s="1"/>
  <c r="J543" i="10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P535" i="10"/>
  <c r="L535" i="10"/>
  <c r="P534" i="10"/>
  <c r="O534" i="10"/>
  <c r="N533" i="10"/>
  <c r="M533" i="10"/>
  <c r="P533" i="10" s="1"/>
  <c r="P528" i="10"/>
  <c r="N528" i="10"/>
  <c r="L528" i="10"/>
  <c r="O528" i="10" s="1"/>
  <c r="P527" i="10"/>
  <c r="O527" i="10"/>
  <c r="N526" i="10"/>
  <c r="M526" i="10"/>
  <c r="P526" i="10" s="1"/>
  <c r="P525" i="10"/>
  <c r="N525" i="10"/>
  <c r="M525" i="10"/>
  <c r="P524" i="10"/>
  <c r="O524" i="10"/>
  <c r="N524" i="10"/>
  <c r="M524" i="10"/>
  <c r="L524" i="10"/>
  <c r="P523" i="10"/>
  <c r="N523" i="10"/>
  <c r="M523" i="10"/>
  <c r="K517" i="10"/>
  <c r="J517" i="10"/>
  <c r="J501" i="10" s="1"/>
  <c r="K516" i="10"/>
  <c r="P514" i="10"/>
  <c r="O514" i="10"/>
  <c r="P513" i="10"/>
  <c r="O513" i="10"/>
  <c r="N512" i="10"/>
  <c r="M512" i="10"/>
  <c r="P512" i="10" s="1"/>
  <c r="L512" i="10"/>
  <c r="O512" i="10" s="1"/>
  <c r="P507" i="10"/>
  <c r="O507" i="10"/>
  <c r="N507" i="10"/>
  <c r="P506" i="10"/>
  <c r="O506" i="10"/>
  <c r="P505" i="10"/>
  <c r="O505" i="10"/>
  <c r="N505" i="10"/>
  <c r="M505" i="10"/>
  <c r="L505" i="10"/>
  <c r="P504" i="10"/>
  <c r="O504" i="10"/>
  <c r="N504" i="10"/>
  <c r="M504" i="10"/>
  <c r="L504" i="10"/>
  <c r="O503" i="10"/>
  <c r="N503" i="10"/>
  <c r="M503" i="10"/>
  <c r="P503" i="10" s="1"/>
  <c r="L503" i="10"/>
  <c r="N502" i="10"/>
  <c r="M502" i="10"/>
  <c r="P502" i="10" s="1"/>
  <c r="L502" i="10"/>
  <c r="O502" i="10" s="1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O479" i="10" s="1"/>
  <c r="P478" i="10"/>
  <c r="O478" i="10"/>
  <c r="P477" i="10"/>
  <c r="N477" i="10"/>
  <c r="M477" i="10"/>
  <c r="P472" i="10"/>
  <c r="N472" i="10"/>
  <c r="L472" i="10"/>
  <c r="L470" i="10" s="1"/>
  <c r="O470" i="10" s="1"/>
  <c r="P471" i="10"/>
  <c r="O471" i="10"/>
  <c r="P470" i="10"/>
  <c r="N470" i="10"/>
  <c r="M470" i="10"/>
  <c r="P469" i="10"/>
  <c r="N469" i="10"/>
  <c r="M469" i="10"/>
  <c r="O468" i="10"/>
  <c r="N468" i="10"/>
  <c r="M468" i="10"/>
  <c r="P468" i="10" s="1"/>
  <c r="L468" i="10"/>
  <c r="J466" i="10"/>
  <c r="I466" i="10"/>
  <c r="K466" i="10" s="1"/>
  <c r="J465" i="10"/>
  <c r="I465" i="10"/>
  <c r="K465" i="10" s="1"/>
  <c r="I464" i="10"/>
  <c r="I463" i="10"/>
  <c r="I462" i="10"/>
  <c r="I460" i="10"/>
  <c r="I442" i="10" s="1"/>
  <c r="K442" i="10" s="1"/>
  <c r="K458" i="10"/>
  <c r="P456" i="10"/>
  <c r="L456" i="10"/>
  <c r="L454" i="10" s="1"/>
  <c r="O454" i="10" s="1"/>
  <c r="P455" i="10"/>
  <c r="O455" i="10"/>
  <c r="N454" i="10"/>
  <c r="M454" i="10"/>
  <c r="P454" i="10" s="1"/>
  <c r="P449" i="10"/>
  <c r="N449" i="10"/>
  <c r="L449" i="10"/>
  <c r="O449" i="10" s="1"/>
  <c r="P448" i="10"/>
  <c r="O448" i="10"/>
  <c r="P447" i="10"/>
  <c r="N447" i="10"/>
  <c r="M447" i="10"/>
  <c r="L447" i="10"/>
  <c r="O447" i="10" s="1"/>
  <c r="P446" i="10"/>
  <c r="N446" i="10"/>
  <c r="M446" i="10"/>
  <c r="P445" i="10"/>
  <c r="O445" i="10"/>
  <c r="N445" i="10"/>
  <c r="N444" i="10" s="1"/>
  <c r="M445" i="10"/>
  <c r="L445" i="10"/>
  <c r="M444" i="10"/>
  <c r="P444" i="10" s="1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K437" i="10" s="1"/>
  <c r="I435" i="10"/>
  <c r="J434" i="10"/>
  <c r="P431" i="10"/>
  <c r="L431" i="10"/>
  <c r="L429" i="10" s="1"/>
  <c r="O429" i="10" s="1"/>
  <c r="P430" i="10"/>
  <c r="O430" i="10"/>
  <c r="N429" i="10"/>
  <c r="M429" i="10"/>
  <c r="P429" i="10" s="1"/>
  <c r="P424" i="10"/>
  <c r="N424" i="10"/>
  <c r="L424" i="10"/>
  <c r="O424" i="10" s="1"/>
  <c r="P423" i="10"/>
  <c r="O423" i="10"/>
  <c r="P422" i="10"/>
  <c r="N422" i="10"/>
  <c r="M422" i="10"/>
  <c r="P421" i="10"/>
  <c r="N421" i="10"/>
  <c r="M421" i="10"/>
  <c r="P420" i="10"/>
  <c r="O420" i="10"/>
  <c r="N420" i="10"/>
  <c r="N419" i="10" s="1"/>
  <c r="M420" i="10"/>
  <c r="L420" i="10"/>
  <c r="M419" i="10"/>
  <c r="P419" i="10" s="1"/>
  <c r="J418" i="10"/>
  <c r="K413" i="10"/>
  <c r="K412" i="10"/>
  <c r="N410" i="10"/>
  <c r="N408" i="10" s="1"/>
  <c r="M410" i="10"/>
  <c r="L410" i="10"/>
  <c r="L408" i="10" s="1"/>
  <c r="O408" i="10" s="1"/>
  <c r="P409" i="10"/>
  <c r="O409" i="10"/>
  <c r="N407" i="10"/>
  <c r="N405" i="10" s="1"/>
  <c r="M407" i="10"/>
  <c r="L407" i="10"/>
  <c r="L405" i="10" s="1"/>
  <c r="O405" i="10" s="1"/>
  <c r="P406" i="10"/>
  <c r="O406" i="10"/>
  <c r="N403" i="10"/>
  <c r="M403" i="10"/>
  <c r="L403" i="10"/>
  <c r="O403" i="10" s="1"/>
  <c r="K401" i="10"/>
  <c r="J401" i="10"/>
  <c r="I401" i="10"/>
  <c r="K400" i="10"/>
  <c r="K399" i="10"/>
  <c r="N397" i="10"/>
  <c r="N395" i="10" s="1"/>
  <c r="M397" i="10"/>
  <c r="P397" i="10" s="1"/>
  <c r="L397" i="10"/>
  <c r="O397" i="10" s="1"/>
  <c r="P396" i="10"/>
  <c r="O396" i="10"/>
  <c r="N394" i="10"/>
  <c r="N392" i="10" s="1"/>
  <c r="M394" i="10"/>
  <c r="P394" i="10" s="1"/>
  <c r="L394" i="10"/>
  <c r="P393" i="10"/>
  <c r="O393" i="10"/>
  <c r="P390" i="10"/>
  <c r="O390" i="10"/>
  <c r="N390" i="10"/>
  <c r="M390" i="10"/>
  <c r="L390" i="10"/>
  <c r="J388" i="10"/>
  <c r="I388" i="10"/>
  <c r="K388" i="10" s="1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M351" i="10" s="1"/>
  <c r="L353" i="10"/>
  <c r="L351" i="10" s="1"/>
  <c r="P352" i="10"/>
  <c r="O352" i="10"/>
  <c r="N350" i="10"/>
  <c r="N348" i="10" s="1"/>
  <c r="M350" i="10"/>
  <c r="L350" i="10"/>
  <c r="L348" i="10" s="1"/>
  <c r="P349" i="10"/>
  <c r="O349" i="10"/>
  <c r="P346" i="10"/>
  <c r="O346" i="10"/>
  <c r="N346" i="10"/>
  <c r="M346" i="10"/>
  <c r="L346" i="10"/>
  <c r="J343" i="10"/>
  <c r="J342" i="10"/>
  <c r="J341" i="10"/>
  <c r="J340" i="10"/>
  <c r="I340" i="10"/>
  <c r="J338" i="10"/>
  <c r="I338" i="10"/>
  <c r="N336" i="10"/>
  <c r="N334" i="10" s="1"/>
  <c r="M336" i="10"/>
  <c r="L336" i="10"/>
  <c r="O336" i="10" s="1"/>
  <c r="P335" i="10"/>
  <c r="O335" i="10"/>
  <c r="N333" i="10"/>
  <c r="N331" i="10" s="1"/>
  <c r="M333" i="10"/>
  <c r="M331" i="10" s="1"/>
  <c r="L333" i="10"/>
  <c r="L331" i="10" s="1"/>
  <c r="P332" i="10"/>
  <c r="O332" i="10"/>
  <c r="O329" i="10"/>
  <c r="N329" i="10"/>
  <c r="M329" i="10"/>
  <c r="P329" i="10" s="1"/>
  <c r="L329" i="10"/>
  <c r="I327" i="10"/>
  <c r="I325" i="10"/>
  <c r="I314" i="10" s="1"/>
  <c r="K314" i="10" s="1"/>
  <c r="N323" i="10"/>
  <c r="M323" i="10"/>
  <c r="L323" i="10"/>
  <c r="O323" i="10" s="1"/>
  <c r="P322" i="10"/>
  <c r="O322" i="10"/>
  <c r="N320" i="10"/>
  <c r="N318" i="10" s="1"/>
  <c r="M320" i="10"/>
  <c r="P320" i="10" s="1"/>
  <c r="L320" i="10"/>
  <c r="O320" i="10" s="1"/>
  <c r="P319" i="10"/>
  <c r="O319" i="10"/>
  <c r="P316" i="10"/>
  <c r="O316" i="10"/>
  <c r="N316" i="10"/>
  <c r="M316" i="10"/>
  <c r="L316" i="10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L306" i="10"/>
  <c r="P305" i="10"/>
  <c r="O305" i="10"/>
  <c r="N303" i="10"/>
  <c r="N301" i="10" s="1"/>
  <c r="M303" i="10"/>
  <c r="L303" i="10"/>
  <c r="L301" i="10" s="1"/>
  <c r="O301" i="10" s="1"/>
  <c r="P302" i="10"/>
  <c r="O302" i="10"/>
  <c r="N299" i="10"/>
  <c r="M299" i="10"/>
  <c r="P299" i="10" s="1"/>
  <c r="L299" i="10"/>
  <c r="O299" i="10" s="1"/>
  <c r="J297" i="10"/>
  <c r="I294" i="10"/>
  <c r="K294" i="10" s="1"/>
  <c r="I293" i="10"/>
  <c r="K293" i="10" s="1"/>
  <c r="I291" i="10"/>
  <c r="K291" i="10" s="1"/>
  <c r="I290" i="10"/>
  <c r="K290" i="10" s="1"/>
  <c r="I288" i="10"/>
  <c r="I287" i="10"/>
  <c r="K287" i="10" s="1"/>
  <c r="N285" i="10"/>
  <c r="M285" i="10"/>
  <c r="M283" i="10" s="1"/>
  <c r="P283" i="10" s="1"/>
  <c r="L285" i="10"/>
  <c r="P284" i="10"/>
  <c r="O284" i="10"/>
  <c r="N282" i="10"/>
  <c r="N280" i="10" s="1"/>
  <c r="M282" i="10"/>
  <c r="L282" i="10"/>
  <c r="L280" i="10" s="1"/>
  <c r="P281" i="10"/>
  <c r="O281" i="10"/>
  <c r="N278" i="10"/>
  <c r="M278" i="10"/>
  <c r="P278" i="10" s="1"/>
  <c r="L278" i="10"/>
  <c r="O278" i="10" s="1"/>
  <c r="J276" i="10"/>
  <c r="I271" i="10"/>
  <c r="K271" i="10" s="1"/>
  <c r="N269" i="10"/>
  <c r="N267" i="10" s="1"/>
  <c r="M269" i="10"/>
  <c r="L269" i="10"/>
  <c r="L267" i="10" s="1"/>
  <c r="O267" i="10" s="1"/>
  <c r="P268" i="10"/>
  <c r="O268" i="10"/>
  <c r="N266" i="10"/>
  <c r="N264" i="10" s="1"/>
  <c r="M266" i="10"/>
  <c r="L266" i="10"/>
  <c r="P265" i="10"/>
  <c r="O265" i="10"/>
  <c r="P262" i="10"/>
  <c r="N262" i="10"/>
  <c r="M262" i="10"/>
  <c r="L262" i="10"/>
  <c r="O262" i="10" s="1"/>
  <c r="J260" i="10"/>
  <c r="K258" i="10"/>
  <c r="K257" i="10"/>
  <c r="I255" i="10"/>
  <c r="K255" i="10" s="1"/>
  <c r="L253" i="10"/>
  <c r="L252" i="10"/>
  <c r="L251" i="10"/>
  <c r="L250" i="10"/>
  <c r="P249" i="10"/>
  <c r="N249" i="10"/>
  <c r="J248" i="10"/>
  <c r="K247" i="10"/>
  <c r="K246" i="10"/>
  <c r="I244" i="10"/>
  <c r="L242" i="10"/>
  <c r="L241" i="10"/>
  <c r="L240" i="10"/>
  <c r="L239" i="10"/>
  <c r="P238" i="10"/>
  <c r="N238" i="10"/>
  <c r="J237" i="10"/>
  <c r="J226" i="10" s="1"/>
  <c r="J180" i="10" s="1"/>
  <c r="J236" i="10"/>
  <c r="I236" i="10"/>
  <c r="K236" i="10" s="1"/>
  <c r="J235" i="10"/>
  <c r="I235" i="10"/>
  <c r="K235" i="10" s="1"/>
  <c r="J233" i="10"/>
  <c r="N231" i="10"/>
  <c r="N230" i="10"/>
  <c r="N229" i="10"/>
  <c r="N228" i="10"/>
  <c r="N227" i="10"/>
  <c r="I225" i="10"/>
  <c r="I224" i="10"/>
  <c r="K224" i="10" s="1"/>
  <c r="I223" i="10"/>
  <c r="K223" i="10" s="1"/>
  <c r="L220" i="10"/>
  <c r="L219" i="10"/>
  <c r="L218" i="10"/>
  <c r="P217" i="10"/>
  <c r="N217" i="10"/>
  <c r="J216" i="10"/>
  <c r="I215" i="10"/>
  <c r="I214" i="10"/>
  <c r="K214" i="10" s="1"/>
  <c r="L212" i="10"/>
  <c r="L211" i="10"/>
  <c r="L210" i="10"/>
  <c r="P209" i="10"/>
  <c r="N209" i="10"/>
  <c r="J208" i="10"/>
  <c r="K207" i="10"/>
  <c r="K206" i="10"/>
  <c r="I204" i="10"/>
  <c r="K204" i="10" s="1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M187" i="10" s="1"/>
  <c r="P187" i="10" s="1"/>
  <c r="L189" i="10"/>
  <c r="O189" i="10" s="1"/>
  <c r="P188" i="10"/>
  <c r="O188" i="10"/>
  <c r="N186" i="10"/>
  <c r="N184" i="10" s="1"/>
  <c r="M186" i="10"/>
  <c r="M184" i="10" s="1"/>
  <c r="L186" i="10"/>
  <c r="L184" i="10" s="1"/>
  <c r="P185" i="10"/>
  <c r="O185" i="10"/>
  <c r="P182" i="10"/>
  <c r="N182" i="10"/>
  <c r="M182" i="10"/>
  <c r="L182" i="10"/>
  <c r="J177" i="10"/>
  <c r="I176" i="10"/>
  <c r="I174" i="10" s="1"/>
  <c r="K174" i="10" s="1"/>
  <c r="J174" i="10"/>
  <c r="N173" i="10"/>
  <c r="N171" i="10" s="1"/>
  <c r="M173" i="10"/>
  <c r="L173" i="10"/>
  <c r="O173" i="10" s="1"/>
  <c r="P172" i="10"/>
  <c r="O172" i="10"/>
  <c r="N170" i="10"/>
  <c r="N168" i="10" s="1"/>
  <c r="M170" i="10"/>
  <c r="M168" i="10" s="1"/>
  <c r="L170" i="10"/>
  <c r="L168" i="10" s="1"/>
  <c r="P169" i="10"/>
  <c r="O169" i="10"/>
  <c r="P166" i="10"/>
  <c r="N166" i="10"/>
  <c r="M166" i="10"/>
  <c r="L166" i="10"/>
  <c r="J164" i="10"/>
  <c r="I159" i="10"/>
  <c r="K159" i="10" s="1"/>
  <c r="N157" i="10"/>
  <c r="N155" i="10" s="1"/>
  <c r="M157" i="10"/>
  <c r="P157" i="10" s="1"/>
  <c r="L157" i="10"/>
  <c r="P156" i="10"/>
  <c r="O156" i="10"/>
  <c r="N154" i="10"/>
  <c r="M154" i="10"/>
  <c r="L154" i="10"/>
  <c r="O154" i="10" s="1"/>
  <c r="P153" i="10"/>
  <c r="O153" i="10"/>
  <c r="P150" i="10"/>
  <c r="N150" i="10"/>
  <c r="M150" i="10"/>
  <c r="L150" i="10"/>
  <c r="O150" i="10" s="1"/>
  <c r="J148" i="10"/>
  <c r="I146" i="10"/>
  <c r="K146" i="10" s="1"/>
  <c r="I145" i="10"/>
  <c r="K145" i="10" s="1"/>
  <c r="I144" i="10"/>
  <c r="N140" i="10"/>
  <c r="N138" i="10" s="1"/>
  <c r="M140" i="10"/>
  <c r="P140" i="10" s="1"/>
  <c r="L140" i="10"/>
  <c r="L138" i="10" s="1"/>
  <c r="O138" i="10" s="1"/>
  <c r="P139" i="10"/>
  <c r="O139" i="10"/>
  <c r="N137" i="10"/>
  <c r="N135" i="10" s="1"/>
  <c r="M137" i="10"/>
  <c r="P137" i="10" s="1"/>
  <c r="L137" i="10"/>
  <c r="P136" i="10"/>
  <c r="O136" i="10"/>
  <c r="O133" i="10"/>
  <c r="N133" i="10"/>
  <c r="M133" i="10"/>
  <c r="L133" i="10"/>
  <c r="J130" i="10"/>
  <c r="N127" i="10"/>
  <c r="N125" i="10" s="1"/>
  <c r="M127" i="10"/>
  <c r="P127" i="10" s="1"/>
  <c r="L127" i="10"/>
  <c r="P126" i="10"/>
  <c r="O126" i="10"/>
  <c r="N124" i="10"/>
  <c r="M124" i="10"/>
  <c r="P124" i="10" s="1"/>
  <c r="L124" i="10"/>
  <c r="O124" i="10" s="1"/>
  <c r="P123" i="10"/>
  <c r="O123" i="10"/>
  <c r="P120" i="10"/>
  <c r="N120" i="10"/>
  <c r="M120" i="10"/>
  <c r="L120" i="10"/>
  <c r="O120" i="10" s="1"/>
  <c r="I116" i="10"/>
  <c r="K116" i="10" s="1"/>
  <c r="I115" i="10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I87" i="10" s="1"/>
  <c r="J98" i="10"/>
  <c r="I98" i="10"/>
  <c r="I86" i="10" s="1"/>
  <c r="N96" i="10"/>
  <c r="N94" i="10" s="1"/>
  <c r="M96" i="10"/>
  <c r="M94" i="10" s="1"/>
  <c r="P94" i="10" s="1"/>
  <c r="L96" i="10"/>
  <c r="L94" i="10" s="1"/>
  <c r="O94" i="10" s="1"/>
  <c r="P95" i="10"/>
  <c r="O95" i="10"/>
  <c r="N93" i="10"/>
  <c r="N91" i="10" s="1"/>
  <c r="M93" i="10"/>
  <c r="M91" i="10" s="1"/>
  <c r="L93" i="10"/>
  <c r="P92" i="10"/>
  <c r="O92" i="10"/>
  <c r="P89" i="10"/>
  <c r="N89" i="10"/>
  <c r="M89" i="10"/>
  <c r="L89" i="10"/>
  <c r="J86" i="10"/>
  <c r="I84" i="10"/>
  <c r="K84" i="10" s="1"/>
  <c r="I83" i="10"/>
  <c r="K83" i="10" s="1"/>
  <c r="I82" i="10"/>
  <c r="K82" i="10" s="1"/>
  <c r="I81" i="10"/>
  <c r="I80" i="10"/>
  <c r="K80" i="10" s="1"/>
  <c r="I79" i="10"/>
  <c r="K79" i="10" s="1"/>
  <c r="I78" i="10"/>
  <c r="J77" i="10"/>
  <c r="J76" i="10"/>
  <c r="N74" i="10"/>
  <c r="N72" i="10" s="1"/>
  <c r="M74" i="10"/>
  <c r="M72" i="10" s="1"/>
  <c r="P72" i="10" s="1"/>
  <c r="L74" i="10"/>
  <c r="L72" i="10" s="1"/>
  <c r="O72" i="10" s="1"/>
  <c r="P73" i="10"/>
  <c r="O73" i="10"/>
  <c r="N71" i="10"/>
  <c r="M71" i="10"/>
  <c r="L71" i="10"/>
  <c r="L69" i="10" s="1"/>
  <c r="P70" i="10"/>
  <c r="O70" i="10"/>
  <c r="N67" i="10"/>
  <c r="M67" i="10"/>
  <c r="L67" i="10"/>
  <c r="O67" i="10" s="1"/>
  <c r="J65" i="10"/>
  <c r="J64" i="10"/>
  <c r="N61" i="10"/>
  <c r="N59" i="10" s="1"/>
  <c r="M61" i="10"/>
  <c r="M59" i="10" s="1"/>
  <c r="L61" i="10"/>
  <c r="P60" i="10"/>
  <c r="O60" i="10"/>
  <c r="N58" i="10"/>
  <c r="M58" i="10"/>
  <c r="L58" i="10"/>
  <c r="P57" i="10"/>
  <c r="O57" i="10"/>
  <c r="P54" i="10"/>
  <c r="O54" i="10"/>
  <c r="N54" i="10"/>
  <c r="M54" i="10"/>
  <c r="L54" i="10"/>
  <c r="N49" i="10"/>
  <c r="M49" i="10"/>
  <c r="L49" i="10"/>
  <c r="L47" i="10" s="1"/>
  <c r="O47" i="10" s="1"/>
  <c r="P48" i="10"/>
  <c r="O48" i="10"/>
  <c r="N46" i="10"/>
  <c r="N44" i="10" s="1"/>
  <c r="M46" i="10"/>
  <c r="L46" i="10"/>
  <c r="P45" i="10"/>
  <c r="O45" i="10"/>
  <c r="N42" i="10"/>
  <c r="M42" i="10"/>
  <c r="P42" i="10" s="1"/>
  <c r="L42" i="10"/>
  <c r="O42" i="10" s="1"/>
  <c r="P36" i="10"/>
  <c r="N36" i="10"/>
  <c r="M36" i="10"/>
  <c r="P35" i="10"/>
  <c r="O35" i="10"/>
  <c r="N35" i="10"/>
  <c r="N34" i="10" s="1"/>
  <c r="M35" i="10"/>
  <c r="L35" i="10"/>
  <c r="M34" i="10"/>
  <c r="P34" i="10" s="1"/>
  <c r="M33" i="10"/>
  <c r="N32" i="10"/>
  <c r="M32" i="10"/>
  <c r="L32" i="10"/>
  <c r="N29" i="10"/>
  <c r="N25" i="10"/>
  <c r="N19" i="10" s="1"/>
  <c r="M25" i="10"/>
  <c r="P25" i="10" s="1"/>
  <c r="L25" i="10"/>
  <c r="O25" i="10" s="1"/>
  <c r="P22" i="10"/>
  <c r="O22" i="10"/>
  <c r="N22" i="10"/>
  <c r="M22" i="10"/>
  <c r="L22" i="10"/>
  <c r="M19" i="10"/>
  <c r="P19" i="10" s="1"/>
  <c r="L19" i="10"/>
  <c r="O19" i="10" s="1"/>
  <c r="N12" i="10"/>
  <c r="M12" i="10"/>
  <c r="P12" i="10" s="1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P809" i="9"/>
  <c r="O809" i="9"/>
  <c r="P808" i="9"/>
  <c r="O808" i="9"/>
  <c r="N808" i="9"/>
  <c r="M808" i="9"/>
  <c r="L808" i="9"/>
  <c r="O807" i="9"/>
  <c r="N807" i="9"/>
  <c r="M807" i="9"/>
  <c r="P807" i="9" s="1"/>
  <c r="L807" i="9"/>
  <c r="N806" i="9"/>
  <c r="M806" i="9"/>
  <c r="L806" i="9"/>
  <c r="K804" i="9"/>
  <c r="J804" i="9"/>
  <c r="J803" i="9"/>
  <c r="I803" i="9"/>
  <c r="K803" i="9" s="1"/>
  <c r="J802" i="9"/>
  <c r="J801" i="9"/>
  <c r="I801" i="9"/>
  <c r="J800" i="9"/>
  <c r="P798" i="9"/>
  <c r="O798" i="9"/>
  <c r="P797" i="9"/>
  <c r="O797" i="9"/>
  <c r="N796" i="9"/>
  <c r="M796" i="9"/>
  <c r="P796" i="9" s="1"/>
  <c r="L796" i="9"/>
  <c r="O796" i="9" s="1"/>
  <c r="P791" i="9"/>
  <c r="N791" i="9"/>
  <c r="L791" i="9"/>
  <c r="L789" i="9" s="1"/>
  <c r="O789" i="9" s="1"/>
  <c r="P790" i="9"/>
  <c r="O790" i="9"/>
  <c r="N789" i="9"/>
  <c r="M789" i="9"/>
  <c r="P789" i="9" s="1"/>
  <c r="P788" i="9"/>
  <c r="N788" i="9"/>
  <c r="M788" i="9"/>
  <c r="P787" i="9"/>
  <c r="O787" i="9"/>
  <c r="N787" i="9"/>
  <c r="M787" i="9"/>
  <c r="M786" i="9" s="1"/>
  <c r="P786" i="9" s="1"/>
  <c r="L787" i="9"/>
  <c r="N786" i="9"/>
  <c r="P782" i="9"/>
  <c r="O782" i="9"/>
  <c r="P781" i="9"/>
  <c r="O781" i="9"/>
  <c r="P780" i="9"/>
  <c r="O780" i="9"/>
  <c r="N780" i="9"/>
  <c r="M780" i="9"/>
  <c r="L780" i="9"/>
  <c r="P775" i="9"/>
  <c r="O775" i="9"/>
  <c r="N775" i="9"/>
  <c r="P774" i="9"/>
  <c r="O774" i="9"/>
  <c r="M773" i="9"/>
  <c r="P773" i="9" s="1"/>
  <c r="L773" i="9"/>
  <c r="O773" i="9" s="1"/>
  <c r="M772" i="9"/>
  <c r="P772" i="9" s="1"/>
  <c r="L772" i="9"/>
  <c r="O772" i="9" s="1"/>
  <c r="P771" i="9"/>
  <c r="N771" i="9"/>
  <c r="M771" i="9"/>
  <c r="L771" i="9"/>
  <c r="O771" i="9" s="1"/>
  <c r="P770" i="9"/>
  <c r="M770" i="9"/>
  <c r="K769" i="9"/>
  <c r="J769" i="9"/>
  <c r="P766" i="9"/>
  <c r="O766" i="9"/>
  <c r="P765" i="9"/>
  <c r="O765" i="9"/>
  <c r="P764" i="9"/>
  <c r="O764" i="9"/>
  <c r="N764" i="9"/>
  <c r="M764" i="9"/>
  <c r="L764" i="9"/>
  <c r="P759" i="9"/>
  <c r="O759" i="9"/>
  <c r="N759" i="9"/>
  <c r="P758" i="9"/>
  <c r="O758" i="9"/>
  <c r="M757" i="9"/>
  <c r="P757" i="9" s="1"/>
  <c r="L757" i="9"/>
  <c r="O757" i="9" s="1"/>
  <c r="M756" i="9"/>
  <c r="P756" i="9" s="1"/>
  <c r="L756" i="9"/>
  <c r="O756" i="9" s="1"/>
  <c r="P755" i="9"/>
  <c r="N755" i="9"/>
  <c r="M755" i="9"/>
  <c r="L755" i="9"/>
  <c r="O755" i="9" s="1"/>
  <c r="P754" i="9"/>
  <c r="M754" i="9"/>
  <c r="K753" i="9"/>
  <c r="J753" i="9"/>
  <c r="P749" i="9"/>
  <c r="O749" i="9"/>
  <c r="P748" i="9"/>
  <c r="O748" i="9"/>
  <c r="P747" i="9"/>
  <c r="O747" i="9"/>
  <c r="N747" i="9"/>
  <c r="M747" i="9"/>
  <c r="L747" i="9"/>
  <c r="P742" i="9"/>
  <c r="O742" i="9"/>
  <c r="N742" i="9"/>
  <c r="P741" i="9"/>
  <c r="O741" i="9"/>
  <c r="M740" i="9"/>
  <c r="P740" i="9" s="1"/>
  <c r="L740" i="9"/>
  <c r="O740" i="9" s="1"/>
  <c r="M739" i="9"/>
  <c r="P739" i="9" s="1"/>
  <c r="L739" i="9"/>
  <c r="O739" i="9" s="1"/>
  <c r="P738" i="9"/>
  <c r="N738" i="9"/>
  <c r="M738" i="9"/>
  <c r="L738" i="9"/>
  <c r="O738" i="9" s="1"/>
  <c r="P737" i="9"/>
  <c r="M737" i="9"/>
  <c r="K736" i="9"/>
  <c r="J736" i="9"/>
  <c r="J729" i="9"/>
  <c r="I729" i="9"/>
  <c r="K729" i="9" s="1"/>
  <c r="J728" i="9"/>
  <c r="I728" i="9"/>
  <c r="J727" i="9"/>
  <c r="J726" i="9"/>
  <c r="I726" i="9"/>
  <c r="J725" i="9"/>
  <c r="I725" i="9"/>
  <c r="J724" i="9"/>
  <c r="J723" i="9"/>
  <c r="I723" i="9"/>
  <c r="I722" i="9"/>
  <c r="I721" i="9"/>
  <c r="J720" i="9"/>
  <c r="I720" i="9"/>
  <c r="J719" i="9"/>
  <c r="J718" i="9"/>
  <c r="J708" i="9"/>
  <c r="I708" i="9"/>
  <c r="K708" i="9" s="1"/>
  <c r="I707" i="9"/>
  <c r="I704" i="9"/>
  <c r="J701" i="9"/>
  <c r="I701" i="9"/>
  <c r="J700" i="9"/>
  <c r="I700" i="9"/>
  <c r="K700" i="9" s="1"/>
  <c r="J699" i="9"/>
  <c r="I699" i="9"/>
  <c r="P697" i="9"/>
  <c r="O697" i="9"/>
  <c r="P696" i="9"/>
  <c r="O696" i="9"/>
  <c r="P695" i="9"/>
  <c r="O695" i="9"/>
  <c r="N695" i="9"/>
  <c r="M695" i="9"/>
  <c r="L695" i="9"/>
  <c r="P690" i="9"/>
  <c r="N690" i="9"/>
  <c r="L690" i="9"/>
  <c r="M688" i="9"/>
  <c r="P688" i="9" s="1"/>
  <c r="P687" i="9"/>
  <c r="M687" i="9"/>
  <c r="P686" i="9"/>
  <c r="O686" i="9"/>
  <c r="N686" i="9"/>
  <c r="M686" i="9"/>
  <c r="M685" i="9" s="1"/>
  <c r="P685" i="9" s="1"/>
  <c r="L686" i="9"/>
  <c r="J679" i="9"/>
  <c r="J678" i="9"/>
  <c r="I678" i="9"/>
  <c r="K678" i="9" s="1"/>
  <c r="J675" i="9"/>
  <c r="I671" i="9"/>
  <c r="K671" i="9" s="1"/>
  <c r="I670" i="9"/>
  <c r="K670" i="9" s="1"/>
  <c r="J669" i="9"/>
  <c r="J654" i="9" s="1"/>
  <c r="I669" i="9"/>
  <c r="P667" i="9"/>
  <c r="O667" i="9"/>
  <c r="P666" i="9"/>
  <c r="O666" i="9"/>
  <c r="P665" i="9"/>
  <c r="O665" i="9"/>
  <c r="N665" i="9"/>
  <c r="M665" i="9"/>
  <c r="L665" i="9"/>
  <c r="P660" i="9"/>
  <c r="N660" i="9"/>
  <c r="L660" i="9"/>
  <c r="O660" i="9" s="1"/>
  <c r="P659" i="9"/>
  <c r="O659" i="9"/>
  <c r="P658" i="9"/>
  <c r="N658" i="9"/>
  <c r="M658" i="9"/>
  <c r="N657" i="9"/>
  <c r="M657" i="9"/>
  <c r="P657" i="9" s="1"/>
  <c r="N656" i="9"/>
  <c r="M656" i="9"/>
  <c r="L656" i="9"/>
  <c r="K652" i="9"/>
  <c r="J652" i="9"/>
  <c r="J651" i="9"/>
  <c r="I651" i="9"/>
  <c r="I628" i="9" s="1"/>
  <c r="K650" i="9"/>
  <c r="J650" i="9"/>
  <c r="J649" i="9"/>
  <c r="I649" i="9"/>
  <c r="K648" i="9"/>
  <c r="J648" i="9"/>
  <c r="J647" i="9"/>
  <c r="I647" i="9"/>
  <c r="K646" i="9"/>
  <c r="J646" i="9"/>
  <c r="K645" i="9"/>
  <c r="J645" i="9"/>
  <c r="I644" i="9"/>
  <c r="K644" i="9" s="1"/>
  <c r="I643" i="9"/>
  <c r="K643" i="9" s="1"/>
  <c r="P641" i="9"/>
  <c r="L641" i="9"/>
  <c r="O641" i="9" s="1"/>
  <c r="P640" i="9"/>
  <c r="O640" i="9"/>
  <c r="N639" i="9"/>
  <c r="M639" i="9"/>
  <c r="P639" i="9" s="1"/>
  <c r="P634" i="9"/>
  <c r="N634" i="9"/>
  <c r="L634" i="9"/>
  <c r="L632" i="9" s="1"/>
  <c r="O632" i="9" s="1"/>
  <c r="P633" i="9"/>
  <c r="O633" i="9"/>
  <c r="P632" i="9"/>
  <c r="N632" i="9"/>
  <c r="M632" i="9"/>
  <c r="P631" i="9"/>
  <c r="M631" i="9"/>
  <c r="P630" i="9"/>
  <c r="O630" i="9"/>
  <c r="N630" i="9"/>
  <c r="M630" i="9"/>
  <c r="L630" i="9"/>
  <c r="M629" i="9"/>
  <c r="P629" i="9" s="1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594" i="9" s="1"/>
  <c r="J603" i="9"/>
  <c r="J596" i="9"/>
  <c r="J595" i="9"/>
  <c r="I594" i="9"/>
  <c r="K594" i="9" s="1"/>
  <c r="I593" i="9"/>
  <c r="I592" i="9" s="1"/>
  <c r="J583" i="9"/>
  <c r="J577" i="9" s="1"/>
  <c r="J582" i="9"/>
  <c r="I577" i="9"/>
  <c r="J576" i="9"/>
  <c r="J559" i="9" s="1"/>
  <c r="I576" i="9"/>
  <c r="I559" i="9" s="1"/>
  <c r="I543" i="9" s="1"/>
  <c r="J569" i="9"/>
  <c r="I569" i="9"/>
  <c r="K569" i="9" s="1"/>
  <c r="J568" i="9"/>
  <c r="I568" i="9"/>
  <c r="J561" i="9"/>
  <c r="I561" i="9"/>
  <c r="K561" i="9" s="1"/>
  <c r="J560" i="9"/>
  <c r="I560" i="9"/>
  <c r="P557" i="9"/>
  <c r="L557" i="9"/>
  <c r="L555" i="9" s="1"/>
  <c r="O555" i="9" s="1"/>
  <c r="P556" i="9"/>
  <c r="O556" i="9"/>
  <c r="P555" i="9"/>
  <c r="N555" i="9"/>
  <c r="N545" i="9" s="1"/>
  <c r="N544" i="9" s="1"/>
  <c r="M555" i="9"/>
  <c r="P549" i="9"/>
  <c r="N549" i="9"/>
  <c r="N546" i="9" s="1"/>
  <c r="L549" i="9"/>
  <c r="P548" i="9"/>
  <c r="O548" i="9"/>
  <c r="N547" i="9"/>
  <c r="M547" i="9"/>
  <c r="P547" i="9" s="1"/>
  <c r="M546" i="9"/>
  <c r="P546" i="9" s="1"/>
  <c r="M545" i="9"/>
  <c r="P545" i="9" s="1"/>
  <c r="L545" i="9"/>
  <c r="I542" i="9"/>
  <c r="K542" i="9" s="1"/>
  <c r="I541" i="9"/>
  <c r="K541" i="9" s="1"/>
  <c r="I540" i="9"/>
  <c r="K540" i="9" s="1"/>
  <c r="I539" i="9"/>
  <c r="K539" i="9" s="1"/>
  <c r="I538" i="9"/>
  <c r="I537" i="9"/>
  <c r="P535" i="9"/>
  <c r="L535" i="9"/>
  <c r="L533" i="9" s="1"/>
  <c r="O533" i="9" s="1"/>
  <c r="P534" i="9"/>
  <c r="O534" i="9"/>
  <c r="N533" i="9"/>
  <c r="M533" i="9"/>
  <c r="P533" i="9" s="1"/>
  <c r="P528" i="9"/>
  <c r="N528" i="9"/>
  <c r="L528" i="9"/>
  <c r="P527" i="9"/>
  <c r="O527" i="9"/>
  <c r="N526" i="9"/>
  <c r="M526" i="9"/>
  <c r="P526" i="9" s="1"/>
  <c r="P525" i="9"/>
  <c r="N525" i="9"/>
  <c r="M525" i="9"/>
  <c r="P524" i="9"/>
  <c r="O524" i="9"/>
  <c r="N524" i="9"/>
  <c r="M524" i="9"/>
  <c r="M523" i="9" s="1"/>
  <c r="P523" i="9" s="1"/>
  <c r="L524" i="9"/>
  <c r="N523" i="9"/>
  <c r="K517" i="9"/>
  <c r="J517" i="9"/>
  <c r="K516" i="9"/>
  <c r="P514" i="9"/>
  <c r="O514" i="9"/>
  <c r="P513" i="9"/>
  <c r="O513" i="9"/>
  <c r="O512" i="9"/>
  <c r="N512" i="9"/>
  <c r="M512" i="9"/>
  <c r="P512" i="9" s="1"/>
  <c r="L512" i="9"/>
  <c r="P507" i="9"/>
  <c r="O507" i="9"/>
  <c r="N507" i="9"/>
  <c r="N505" i="9" s="1"/>
  <c r="P506" i="9"/>
  <c r="O506" i="9"/>
  <c r="O505" i="9"/>
  <c r="M505" i="9"/>
  <c r="P505" i="9" s="1"/>
  <c r="L505" i="9"/>
  <c r="P504" i="9"/>
  <c r="M504" i="9"/>
  <c r="L504" i="9"/>
  <c r="O503" i="9"/>
  <c r="N503" i="9"/>
  <c r="M503" i="9"/>
  <c r="P503" i="9" s="1"/>
  <c r="L503" i="9"/>
  <c r="M502" i="9"/>
  <c r="P502" i="9" s="1"/>
  <c r="K501" i="9"/>
  <c r="J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P477" i="9"/>
  <c r="N477" i="9"/>
  <c r="M477" i="9"/>
  <c r="P472" i="9"/>
  <c r="N472" i="9"/>
  <c r="L472" i="9"/>
  <c r="L470" i="9" s="1"/>
  <c r="O470" i="9" s="1"/>
  <c r="P471" i="9"/>
  <c r="O471" i="9"/>
  <c r="P470" i="9"/>
  <c r="N470" i="9"/>
  <c r="M470" i="9"/>
  <c r="P469" i="9"/>
  <c r="N469" i="9"/>
  <c r="M469" i="9"/>
  <c r="O468" i="9"/>
  <c r="N468" i="9"/>
  <c r="M468" i="9"/>
  <c r="L468" i="9"/>
  <c r="J466" i="9"/>
  <c r="I466" i="9"/>
  <c r="K466" i="9" s="1"/>
  <c r="J465" i="9"/>
  <c r="I465" i="9"/>
  <c r="K465" i="9" s="1"/>
  <c r="I464" i="9"/>
  <c r="I463" i="9"/>
  <c r="I462" i="9"/>
  <c r="K462" i="9" s="1"/>
  <c r="I460" i="9"/>
  <c r="I442" i="9" s="1"/>
  <c r="K442" i="9" s="1"/>
  <c r="K458" i="9"/>
  <c r="P456" i="9"/>
  <c r="L456" i="9"/>
  <c r="O456" i="9" s="1"/>
  <c r="P455" i="9"/>
  <c r="O455" i="9"/>
  <c r="N454" i="9"/>
  <c r="M454" i="9"/>
  <c r="P454" i="9" s="1"/>
  <c r="P449" i="9"/>
  <c r="N449" i="9"/>
  <c r="L449" i="9"/>
  <c r="L447" i="9" s="1"/>
  <c r="P448" i="9"/>
  <c r="O448" i="9"/>
  <c r="P447" i="9"/>
  <c r="M447" i="9"/>
  <c r="P446" i="9"/>
  <c r="M446" i="9"/>
  <c r="P445" i="9"/>
  <c r="O445" i="9"/>
  <c r="N445" i="9"/>
  <c r="M445" i="9"/>
  <c r="L445" i="9"/>
  <c r="M444" i="9"/>
  <c r="P444" i="9" s="1"/>
  <c r="J443" i="9"/>
  <c r="J442" i="9"/>
  <c r="I441" i="9"/>
  <c r="K441" i="9" s="1"/>
  <c r="I440" i="9"/>
  <c r="I439" i="9"/>
  <c r="K439" i="9" s="1"/>
  <c r="I438" i="9"/>
  <c r="K438" i="9" s="1"/>
  <c r="I437" i="9"/>
  <c r="I435" i="9"/>
  <c r="I433" i="9" s="1"/>
  <c r="I417" i="9" s="1"/>
  <c r="J434" i="9"/>
  <c r="P431" i="9"/>
  <c r="L431" i="9"/>
  <c r="O431" i="9" s="1"/>
  <c r="P430" i="9"/>
  <c r="O430" i="9"/>
  <c r="N429" i="9"/>
  <c r="M429" i="9"/>
  <c r="P429" i="9" s="1"/>
  <c r="P424" i="9"/>
  <c r="N424" i="9"/>
  <c r="L424" i="9"/>
  <c r="L422" i="9" s="1"/>
  <c r="P423" i="9"/>
  <c r="O423" i="9"/>
  <c r="P422" i="9"/>
  <c r="M422" i="9"/>
  <c r="M421" i="9"/>
  <c r="P421" i="9" s="1"/>
  <c r="P420" i="9"/>
  <c r="N420" i="9"/>
  <c r="M420" i="9"/>
  <c r="L420" i="9"/>
  <c r="J418" i="9"/>
  <c r="K413" i="9"/>
  <c r="K412" i="9"/>
  <c r="N410" i="9"/>
  <c r="N408" i="9" s="1"/>
  <c r="M410" i="9"/>
  <c r="L410" i="9"/>
  <c r="P409" i="9"/>
  <c r="O409" i="9"/>
  <c r="N407" i="9"/>
  <c r="N405" i="9" s="1"/>
  <c r="M407" i="9"/>
  <c r="L407" i="9"/>
  <c r="L405" i="9" s="1"/>
  <c r="O405" i="9" s="1"/>
  <c r="P406" i="9"/>
  <c r="O406" i="9"/>
  <c r="N403" i="9"/>
  <c r="M403" i="9"/>
  <c r="L403" i="9"/>
  <c r="O403" i="9" s="1"/>
  <c r="J401" i="9"/>
  <c r="I401" i="9"/>
  <c r="K401" i="9" s="1"/>
  <c r="K400" i="9"/>
  <c r="K399" i="9"/>
  <c r="N397" i="9"/>
  <c r="M397" i="9"/>
  <c r="L397" i="9"/>
  <c r="P396" i="9"/>
  <c r="O396" i="9"/>
  <c r="N394" i="9"/>
  <c r="N392" i="9" s="1"/>
  <c r="M394" i="9"/>
  <c r="M392" i="9" s="1"/>
  <c r="P392" i="9" s="1"/>
  <c r="L394" i="9"/>
  <c r="O394" i="9" s="1"/>
  <c r="P393" i="9"/>
  <c r="O393" i="9"/>
  <c r="P390" i="9"/>
  <c r="O390" i="9"/>
  <c r="N390" i="9"/>
  <c r="M390" i="9"/>
  <c r="L390" i="9"/>
  <c r="K388" i="9"/>
  <c r="J388" i="9"/>
  <c r="I388" i="9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N351" i="9" s="1"/>
  <c r="M353" i="9"/>
  <c r="M351" i="9" s="1"/>
  <c r="L353" i="9"/>
  <c r="P352" i="9"/>
  <c r="O352" i="9"/>
  <c r="N350" i="9"/>
  <c r="M350" i="9"/>
  <c r="L350" i="9"/>
  <c r="P349" i="9"/>
  <c r="O349" i="9"/>
  <c r="P346" i="9"/>
  <c r="N346" i="9"/>
  <c r="M346" i="9"/>
  <c r="L346" i="9"/>
  <c r="J343" i="9"/>
  <c r="J342" i="9"/>
  <c r="J341" i="9"/>
  <c r="J340" i="9"/>
  <c r="I340" i="9"/>
  <c r="J338" i="9"/>
  <c r="I338" i="9"/>
  <c r="N336" i="9"/>
  <c r="M336" i="9"/>
  <c r="M334" i="9" s="1"/>
  <c r="P334" i="9" s="1"/>
  <c r="L336" i="9"/>
  <c r="P335" i="9"/>
  <c r="O335" i="9"/>
  <c r="N333" i="9"/>
  <c r="N331" i="9" s="1"/>
  <c r="M333" i="9"/>
  <c r="L333" i="9"/>
  <c r="P332" i="9"/>
  <c r="O332" i="9"/>
  <c r="O329" i="9"/>
  <c r="N329" i="9"/>
  <c r="M329" i="9"/>
  <c r="P329" i="9" s="1"/>
  <c r="L329" i="9"/>
  <c r="I327" i="9"/>
  <c r="I325" i="9"/>
  <c r="N323" i="9"/>
  <c r="N321" i="9" s="1"/>
  <c r="M323" i="9"/>
  <c r="P323" i="9" s="1"/>
  <c r="L323" i="9"/>
  <c r="P322" i="9"/>
  <c r="O322" i="9"/>
  <c r="N320" i="9"/>
  <c r="N318" i="9" s="1"/>
  <c r="M320" i="9"/>
  <c r="L320" i="9"/>
  <c r="O320" i="9" s="1"/>
  <c r="P319" i="9"/>
  <c r="O319" i="9"/>
  <c r="P316" i="9"/>
  <c r="O316" i="9"/>
  <c r="N316" i="9"/>
  <c r="M316" i="9"/>
  <c r="L316" i="9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L306" i="9"/>
  <c r="P305" i="9"/>
  <c r="O305" i="9"/>
  <c r="N303" i="9"/>
  <c r="M303" i="9"/>
  <c r="M301" i="9" s="1"/>
  <c r="P301" i="9" s="1"/>
  <c r="L303" i="9"/>
  <c r="P302" i="9"/>
  <c r="O302" i="9"/>
  <c r="N299" i="9"/>
  <c r="M299" i="9"/>
  <c r="L299" i="9"/>
  <c r="O299" i="9" s="1"/>
  <c r="J297" i="9"/>
  <c r="I294" i="9"/>
  <c r="K294" i="9" s="1"/>
  <c r="I293" i="9"/>
  <c r="K293" i="9" s="1"/>
  <c r="I291" i="9"/>
  <c r="K291" i="9" s="1"/>
  <c r="I290" i="9"/>
  <c r="K290" i="9" s="1"/>
  <c r="I288" i="9"/>
  <c r="I275" i="9" s="1"/>
  <c r="I287" i="9"/>
  <c r="N285" i="9"/>
  <c r="M285" i="9"/>
  <c r="M283" i="9" s="1"/>
  <c r="P283" i="9" s="1"/>
  <c r="L285" i="9"/>
  <c r="P284" i="9"/>
  <c r="O284" i="9"/>
  <c r="N282" i="9"/>
  <c r="N280" i="9" s="1"/>
  <c r="M282" i="9"/>
  <c r="M280" i="9" s="1"/>
  <c r="L282" i="9"/>
  <c r="P281" i="9"/>
  <c r="O281" i="9"/>
  <c r="P278" i="9"/>
  <c r="O278" i="9"/>
  <c r="N278" i="9"/>
  <c r="M278" i="9"/>
  <c r="L278" i="9"/>
  <c r="J276" i="9"/>
  <c r="I271" i="9"/>
  <c r="N269" i="9"/>
  <c r="N267" i="9" s="1"/>
  <c r="M269" i="9"/>
  <c r="M267" i="9" s="1"/>
  <c r="P267" i="9" s="1"/>
  <c r="L269" i="9"/>
  <c r="O269" i="9" s="1"/>
  <c r="P268" i="9"/>
  <c r="O268" i="9"/>
  <c r="N266" i="9"/>
  <c r="N264" i="9" s="1"/>
  <c r="M266" i="9"/>
  <c r="M264" i="9" s="1"/>
  <c r="L266" i="9"/>
  <c r="L264" i="9" s="1"/>
  <c r="P265" i="9"/>
  <c r="O265" i="9"/>
  <c r="P262" i="9"/>
  <c r="N262" i="9"/>
  <c r="M262" i="9"/>
  <c r="L262" i="9"/>
  <c r="O262" i="9" s="1"/>
  <c r="J260" i="9"/>
  <c r="K258" i="9"/>
  <c r="K257" i="9"/>
  <c r="I255" i="9"/>
  <c r="I248" i="9" s="1"/>
  <c r="K248" i="9" s="1"/>
  <c r="L253" i="9"/>
  <c r="L252" i="9"/>
  <c r="L251" i="9"/>
  <c r="L250" i="9"/>
  <c r="P249" i="9"/>
  <c r="N249" i="9"/>
  <c r="J248" i="9"/>
  <c r="K247" i="9"/>
  <c r="K246" i="9"/>
  <c r="I244" i="9"/>
  <c r="I237" i="9" s="1"/>
  <c r="L242" i="9"/>
  <c r="L241" i="9"/>
  <c r="L240" i="9"/>
  <c r="L239" i="9"/>
  <c r="P238" i="9"/>
  <c r="N238" i="9"/>
  <c r="N227" i="9" s="1"/>
  <c r="J237" i="9"/>
  <c r="J236" i="9"/>
  <c r="I236" i="9"/>
  <c r="K236" i="9" s="1"/>
  <c r="J235" i="9"/>
  <c r="I235" i="9"/>
  <c r="K235" i="9" s="1"/>
  <c r="J233" i="9"/>
  <c r="N231" i="9"/>
  <c r="N230" i="9"/>
  <c r="N229" i="9"/>
  <c r="N228" i="9"/>
  <c r="J226" i="9"/>
  <c r="I225" i="9"/>
  <c r="K225" i="9" s="1"/>
  <c r="I224" i="9"/>
  <c r="K224" i="9" s="1"/>
  <c r="I223" i="9"/>
  <c r="K223" i="9" s="1"/>
  <c r="L220" i="9"/>
  <c r="L219" i="9"/>
  <c r="L218" i="9"/>
  <c r="P217" i="9"/>
  <c r="N217" i="9"/>
  <c r="J216" i="9"/>
  <c r="I215" i="9"/>
  <c r="I208" i="9" s="1"/>
  <c r="K208" i="9" s="1"/>
  <c r="I214" i="9"/>
  <c r="K214" i="9" s="1"/>
  <c r="L212" i="9"/>
  <c r="L211" i="9"/>
  <c r="L210" i="9"/>
  <c r="P209" i="9"/>
  <c r="N209" i="9"/>
  <c r="J208" i="9"/>
  <c r="K207" i="9"/>
  <c r="K206" i="9"/>
  <c r="I204" i="9"/>
  <c r="K204" i="9" s="1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P189" i="9" s="1"/>
  <c r="L189" i="9"/>
  <c r="O189" i="9" s="1"/>
  <c r="P188" i="9"/>
  <c r="O188" i="9"/>
  <c r="N186" i="9"/>
  <c r="N184" i="9" s="1"/>
  <c r="M186" i="9"/>
  <c r="L186" i="9"/>
  <c r="L184" i="9" s="1"/>
  <c r="P185" i="9"/>
  <c r="O185" i="9"/>
  <c r="P182" i="9"/>
  <c r="N182" i="9"/>
  <c r="M182" i="9"/>
  <c r="L182" i="9"/>
  <c r="O182" i="9" s="1"/>
  <c r="J180" i="9"/>
  <c r="J177" i="9"/>
  <c r="I176" i="9"/>
  <c r="I174" i="9" s="1"/>
  <c r="J174" i="9"/>
  <c r="J164" i="9" s="1"/>
  <c r="N173" i="9"/>
  <c r="N171" i="9" s="1"/>
  <c r="M173" i="9"/>
  <c r="P173" i="9" s="1"/>
  <c r="L173" i="9"/>
  <c r="L171" i="9" s="1"/>
  <c r="O171" i="9" s="1"/>
  <c r="P172" i="9"/>
  <c r="O172" i="9"/>
  <c r="N170" i="9"/>
  <c r="M170" i="9"/>
  <c r="L170" i="9"/>
  <c r="L168" i="9" s="1"/>
  <c r="P169" i="9"/>
  <c r="O169" i="9"/>
  <c r="N166" i="9"/>
  <c r="M166" i="9"/>
  <c r="P166" i="9" s="1"/>
  <c r="L166" i="9"/>
  <c r="O166" i="9" s="1"/>
  <c r="I159" i="9"/>
  <c r="K159" i="9" s="1"/>
  <c r="N157" i="9"/>
  <c r="M157" i="9"/>
  <c r="M155" i="9" s="1"/>
  <c r="P155" i="9" s="1"/>
  <c r="L157" i="9"/>
  <c r="O157" i="9" s="1"/>
  <c r="P156" i="9"/>
  <c r="O156" i="9"/>
  <c r="N154" i="9"/>
  <c r="N152" i="9" s="1"/>
  <c r="M154" i="9"/>
  <c r="M152" i="9" s="1"/>
  <c r="L154" i="9"/>
  <c r="P153" i="9"/>
  <c r="O153" i="9"/>
  <c r="O150" i="9"/>
  <c r="N150" i="9"/>
  <c r="M150" i="9"/>
  <c r="P150" i="9" s="1"/>
  <c r="L150" i="9"/>
  <c r="J148" i="9"/>
  <c r="I146" i="9"/>
  <c r="I130" i="9" s="1"/>
  <c r="K130" i="9" s="1"/>
  <c r="I145" i="9"/>
  <c r="I144" i="9"/>
  <c r="K144" i="9" s="1"/>
  <c r="N140" i="9"/>
  <c r="N138" i="9" s="1"/>
  <c r="M140" i="9"/>
  <c r="P140" i="9" s="1"/>
  <c r="L140" i="9"/>
  <c r="O140" i="9" s="1"/>
  <c r="P139" i="9"/>
  <c r="O139" i="9"/>
  <c r="N137" i="9"/>
  <c r="N135" i="9" s="1"/>
  <c r="M137" i="9"/>
  <c r="P137" i="9" s="1"/>
  <c r="L137" i="9"/>
  <c r="O137" i="9" s="1"/>
  <c r="P136" i="9"/>
  <c r="O136" i="9"/>
  <c r="P133" i="9"/>
  <c r="O133" i="9"/>
  <c r="N133" i="9"/>
  <c r="M133" i="9"/>
  <c r="L133" i="9"/>
  <c r="J130" i="9"/>
  <c r="N127" i="9"/>
  <c r="N125" i="9" s="1"/>
  <c r="M127" i="9"/>
  <c r="M125" i="9" s="1"/>
  <c r="P125" i="9" s="1"/>
  <c r="L127" i="9"/>
  <c r="O127" i="9" s="1"/>
  <c r="P126" i="9"/>
  <c r="O126" i="9"/>
  <c r="N124" i="9"/>
  <c r="M124" i="9"/>
  <c r="M122" i="9" s="1"/>
  <c r="P122" i="9" s="1"/>
  <c r="L124" i="9"/>
  <c r="O124" i="9" s="1"/>
  <c r="P123" i="9"/>
  <c r="O123" i="9"/>
  <c r="P120" i="9"/>
  <c r="O120" i="9"/>
  <c r="N120" i="9"/>
  <c r="M120" i="9"/>
  <c r="L120" i="9"/>
  <c r="I116" i="9"/>
  <c r="K116" i="9" s="1"/>
  <c r="I115" i="9"/>
  <c r="I114" i="9"/>
  <c r="K114" i="9" s="1"/>
  <c r="I113" i="9"/>
  <c r="K113" i="9" s="1"/>
  <c r="J112" i="9"/>
  <c r="J111" i="9"/>
  <c r="I111" i="9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K99" i="9" s="1"/>
  <c r="J98" i="9"/>
  <c r="J86" i="9" s="1"/>
  <c r="I98" i="9"/>
  <c r="K98" i="9" s="1"/>
  <c r="N96" i="9"/>
  <c r="N94" i="9" s="1"/>
  <c r="M96" i="9"/>
  <c r="P96" i="9" s="1"/>
  <c r="L96" i="9"/>
  <c r="L94" i="9" s="1"/>
  <c r="O94" i="9" s="1"/>
  <c r="P95" i="9"/>
  <c r="O95" i="9"/>
  <c r="N93" i="9"/>
  <c r="M93" i="9"/>
  <c r="M91" i="9" s="1"/>
  <c r="L93" i="9"/>
  <c r="L91" i="9" s="1"/>
  <c r="P92" i="9"/>
  <c r="O92" i="9"/>
  <c r="P89" i="9"/>
  <c r="N89" i="9"/>
  <c r="M89" i="9"/>
  <c r="L89" i="9"/>
  <c r="O89" i="9" s="1"/>
  <c r="J87" i="9"/>
  <c r="I84" i="9"/>
  <c r="K84" i="9" s="1"/>
  <c r="I83" i="9"/>
  <c r="K83" i="9" s="1"/>
  <c r="I82" i="9"/>
  <c r="I81" i="9"/>
  <c r="K81" i="9" s="1"/>
  <c r="I80" i="9"/>
  <c r="K80" i="9" s="1"/>
  <c r="I79" i="9"/>
  <c r="K79" i="9" s="1"/>
  <c r="I78" i="9"/>
  <c r="K78" i="9" s="1"/>
  <c r="J77" i="9"/>
  <c r="J76" i="9"/>
  <c r="J64" i="9" s="1"/>
  <c r="N74" i="9"/>
  <c r="M74" i="9"/>
  <c r="P74" i="9" s="1"/>
  <c r="L74" i="9"/>
  <c r="O74" i="9" s="1"/>
  <c r="P73" i="9"/>
  <c r="O73" i="9"/>
  <c r="N71" i="9"/>
  <c r="N69" i="9" s="1"/>
  <c r="M71" i="9"/>
  <c r="P71" i="9" s="1"/>
  <c r="L71" i="9"/>
  <c r="O71" i="9" s="1"/>
  <c r="P70" i="9"/>
  <c r="O70" i="9"/>
  <c r="N67" i="9"/>
  <c r="M67" i="9"/>
  <c r="L67" i="9"/>
  <c r="O67" i="9" s="1"/>
  <c r="J65" i="9"/>
  <c r="N61" i="9"/>
  <c r="N59" i="9" s="1"/>
  <c r="M61" i="9"/>
  <c r="M59" i="9" s="1"/>
  <c r="P59" i="9" s="1"/>
  <c r="L61" i="9"/>
  <c r="L59" i="9" s="1"/>
  <c r="O59" i="9" s="1"/>
  <c r="P60" i="9"/>
  <c r="O60" i="9"/>
  <c r="N58" i="9"/>
  <c r="N56" i="9" s="1"/>
  <c r="M58" i="9"/>
  <c r="M56" i="9" s="1"/>
  <c r="L58" i="9"/>
  <c r="L56" i="9" s="1"/>
  <c r="P57" i="9"/>
  <c r="O57" i="9"/>
  <c r="O54" i="9"/>
  <c r="N54" i="9"/>
  <c r="M54" i="9"/>
  <c r="P54" i="9" s="1"/>
  <c r="L54" i="9"/>
  <c r="N49" i="9"/>
  <c r="N47" i="9" s="1"/>
  <c r="M49" i="9"/>
  <c r="P49" i="9" s="1"/>
  <c r="L49" i="9"/>
  <c r="L47" i="9" s="1"/>
  <c r="O47" i="9" s="1"/>
  <c r="P48" i="9"/>
  <c r="O48" i="9"/>
  <c r="N46" i="9"/>
  <c r="N44" i="9" s="1"/>
  <c r="M46" i="9"/>
  <c r="L46" i="9"/>
  <c r="L44" i="9" s="1"/>
  <c r="P45" i="9"/>
  <c r="O45" i="9"/>
  <c r="P42" i="9"/>
  <c r="N42" i="9"/>
  <c r="M42" i="9"/>
  <c r="L42" i="9"/>
  <c r="O42" i="9" s="1"/>
  <c r="N36" i="9"/>
  <c r="N30" i="9" s="1"/>
  <c r="M36" i="9"/>
  <c r="P36" i="9" s="1"/>
  <c r="N35" i="9"/>
  <c r="N34" i="9" s="1"/>
  <c r="M35" i="9"/>
  <c r="P35" i="9" s="1"/>
  <c r="L35" i="9"/>
  <c r="O35" i="9" s="1"/>
  <c r="P33" i="9"/>
  <c r="N33" i="9"/>
  <c r="N31" i="9" s="1"/>
  <c r="M33" i="9"/>
  <c r="P32" i="9"/>
  <c r="O32" i="9"/>
  <c r="N32" i="9"/>
  <c r="M32" i="9"/>
  <c r="M31" i="9" s="1"/>
  <c r="P31" i="9" s="1"/>
  <c r="L32" i="9"/>
  <c r="M30" i="9"/>
  <c r="P30" i="9" s="1"/>
  <c r="N29" i="9"/>
  <c r="L29" i="9"/>
  <c r="O29" i="9" s="1"/>
  <c r="P25" i="9"/>
  <c r="O25" i="9"/>
  <c r="N25" i="9"/>
  <c r="M25" i="9"/>
  <c r="L25" i="9"/>
  <c r="N22" i="9"/>
  <c r="N19" i="9" s="1"/>
  <c r="M22" i="9"/>
  <c r="P22" i="9" s="1"/>
  <c r="L22" i="9"/>
  <c r="O22" i="9" s="1"/>
  <c r="N15" i="9"/>
  <c r="M15" i="9"/>
  <c r="P15" i="9" s="1"/>
  <c r="L15" i="9"/>
  <c r="O15" i="9" s="1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N815" i="8"/>
  <c r="M815" i="8"/>
  <c r="L815" i="8"/>
  <c r="O815" i="8" s="1"/>
  <c r="P810" i="8"/>
  <c r="O810" i="8"/>
  <c r="N810" i="8"/>
  <c r="P809" i="8"/>
  <c r="O809" i="8"/>
  <c r="P808" i="8"/>
  <c r="O808" i="8"/>
  <c r="N808" i="8"/>
  <c r="M808" i="8"/>
  <c r="L808" i="8"/>
  <c r="O807" i="8"/>
  <c r="N807" i="8"/>
  <c r="M807" i="8"/>
  <c r="P807" i="8" s="1"/>
  <c r="L807" i="8"/>
  <c r="N806" i="8"/>
  <c r="N805" i="8" s="1"/>
  <c r="M806" i="8"/>
  <c r="P806" i="8" s="1"/>
  <c r="L806" i="8"/>
  <c r="K804" i="8"/>
  <c r="J804" i="8"/>
  <c r="K802" i="8"/>
  <c r="J801" i="8"/>
  <c r="J800" i="8"/>
  <c r="J785" i="8" s="1"/>
  <c r="I800" i="8"/>
  <c r="P798" i="8"/>
  <c r="O798" i="8"/>
  <c r="P797" i="8"/>
  <c r="O797" i="8"/>
  <c r="P796" i="8"/>
  <c r="O796" i="8"/>
  <c r="N796" i="8"/>
  <c r="M796" i="8"/>
  <c r="L796" i="8"/>
  <c r="P791" i="8"/>
  <c r="N791" i="8"/>
  <c r="L791" i="8"/>
  <c r="L789" i="8" s="1"/>
  <c r="O789" i="8" s="1"/>
  <c r="P790" i="8"/>
  <c r="O790" i="8"/>
  <c r="P789" i="8"/>
  <c r="M789" i="8"/>
  <c r="M788" i="8"/>
  <c r="P788" i="8" s="1"/>
  <c r="L788" i="8"/>
  <c r="O788" i="8" s="1"/>
  <c r="N787" i="8"/>
  <c r="M787" i="8"/>
  <c r="P787" i="8" s="1"/>
  <c r="L787" i="8"/>
  <c r="P782" i="8"/>
  <c r="O782" i="8"/>
  <c r="P781" i="8"/>
  <c r="O781" i="8"/>
  <c r="N780" i="8"/>
  <c r="M780" i="8"/>
  <c r="P780" i="8" s="1"/>
  <c r="L780" i="8"/>
  <c r="O780" i="8" s="1"/>
  <c r="P775" i="8"/>
  <c r="O775" i="8"/>
  <c r="N775" i="8"/>
  <c r="P774" i="8"/>
  <c r="O774" i="8"/>
  <c r="P773" i="8"/>
  <c r="O773" i="8"/>
  <c r="N773" i="8"/>
  <c r="M773" i="8"/>
  <c r="L773" i="8"/>
  <c r="P772" i="8"/>
  <c r="O772" i="8"/>
  <c r="N772" i="8"/>
  <c r="M772" i="8"/>
  <c r="L772" i="8"/>
  <c r="O771" i="8"/>
  <c r="N771" i="8"/>
  <c r="M771" i="8"/>
  <c r="L771" i="8"/>
  <c r="L770" i="8"/>
  <c r="O770" i="8" s="1"/>
  <c r="K769" i="8"/>
  <c r="J769" i="8"/>
  <c r="P766" i="8"/>
  <c r="O766" i="8"/>
  <c r="P765" i="8"/>
  <c r="O765" i="8"/>
  <c r="N764" i="8"/>
  <c r="M764" i="8"/>
  <c r="P764" i="8" s="1"/>
  <c r="L764" i="8"/>
  <c r="O764" i="8" s="1"/>
  <c r="P759" i="8"/>
  <c r="O759" i="8"/>
  <c r="N759" i="8"/>
  <c r="P758" i="8"/>
  <c r="O758" i="8"/>
  <c r="P757" i="8"/>
  <c r="O757" i="8"/>
  <c r="N757" i="8"/>
  <c r="M757" i="8"/>
  <c r="L757" i="8"/>
  <c r="P756" i="8"/>
  <c r="O756" i="8"/>
  <c r="N756" i="8"/>
  <c r="M756" i="8"/>
  <c r="L756" i="8"/>
  <c r="O755" i="8"/>
  <c r="N755" i="8"/>
  <c r="N754" i="8" s="1"/>
  <c r="M755" i="8"/>
  <c r="L755" i="8"/>
  <c r="L754" i="8"/>
  <c r="O754" i="8" s="1"/>
  <c r="K753" i="8"/>
  <c r="J753" i="8"/>
  <c r="P749" i="8"/>
  <c r="O749" i="8"/>
  <c r="P748" i="8"/>
  <c r="O748" i="8"/>
  <c r="N747" i="8"/>
  <c r="M747" i="8"/>
  <c r="P747" i="8" s="1"/>
  <c r="L747" i="8"/>
  <c r="O747" i="8" s="1"/>
  <c r="P742" i="8"/>
  <c r="O742" i="8"/>
  <c r="N742" i="8"/>
  <c r="P741" i="8"/>
  <c r="O741" i="8"/>
  <c r="P740" i="8"/>
  <c r="O740" i="8"/>
  <c r="N740" i="8"/>
  <c r="M740" i="8"/>
  <c r="L740" i="8"/>
  <c r="P739" i="8"/>
  <c r="O739" i="8"/>
  <c r="N739" i="8"/>
  <c r="M739" i="8"/>
  <c r="L739" i="8"/>
  <c r="O738" i="8"/>
  <c r="N738" i="8"/>
  <c r="M738" i="8"/>
  <c r="L738" i="8"/>
  <c r="L737" i="8"/>
  <c r="O737" i="8" s="1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K701" i="8" s="1"/>
  <c r="J700" i="8"/>
  <c r="I700" i="8"/>
  <c r="J699" i="8"/>
  <c r="I699" i="8"/>
  <c r="K699" i="8" s="1"/>
  <c r="P697" i="8"/>
  <c r="O697" i="8"/>
  <c r="P696" i="8"/>
  <c r="O696" i="8"/>
  <c r="N695" i="8"/>
  <c r="M695" i="8"/>
  <c r="P695" i="8" s="1"/>
  <c r="L695" i="8"/>
  <c r="O695" i="8" s="1"/>
  <c r="P690" i="8"/>
  <c r="N690" i="8"/>
  <c r="L690" i="8"/>
  <c r="P688" i="8"/>
  <c r="N688" i="8"/>
  <c r="M688" i="8"/>
  <c r="N687" i="8"/>
  <c r="M687" i="8"/>
  <c r="P687" i="8" s="1"/>
  <c r="N686" i="8"/>
  <c r="N685" i="8" s="1"/>
  <c r="M686" i="8"/>
  <c r="L686" i="8"/>
  <c r="O686" i="8" s="1"/>
  <c r="J679" i="8"/>
  <c r="J678" i="8" s="1"/>
  <c r="I678" i="8"/>
  <c r="K678" i="8" s="1"/>
  <c r="J675" i="8"/>
  <c r="I671" i="8"/>
  <c r="K671" i="8" s="1"/>
  <c r="I670" i="8"/>
  <c r="K670" i="8" s="1"/>
  <c r="I669" i="8"/>
  <c r="I654" i="8" s="1"/>
  <c r="P667" i="8"/>
  <c r="O667" i="8"/>
  <c r="P666" i="8"/>
  <c r="O666" i="8"/>
  <c r="N665" i="8"/>
  <c r="M665" i="8"/>
  <c r="P665" i="8" s="1"/>
  <c r="L665" i="8"/>
  <c r="O665" i="8" s="1"/>
  <c r="P660" i="8"/>
  <c r="N660" i="8"/>
  <c r="L660" i="8"/>
  <c r="O660" i="8" s="1"/>
  <c r="P659" i="8"/>
  <c r="O659" i="8"/>
  <c r="N658" i="8"/>
  <c r="M658" i="8"/>
  <c r="P658" i="8" s="1"/>
  <c r="P657" i="8"/>
  <c r="N657" i="8"/>
  <c r="M657" i="8"/>
  <c r="P656" i="8"/>
  <c r="O656" i="8"/>
  <c r="N656" i="8"/>
  <c r="M656" i="8"/>
  <c r="L656" i="8"/>
  <c r="P655" i="8"/>
  <c r="N655" i="8"/>
  <c r="M655" i="8"/>
  <c r="K652" i="8"/>
  <c r="J652" i="8"/>
  <c r="J651" i="8"/>
  <c r="J628" i="8" s="1"/>
  <c r="I651" i="8"/>
  <c r="I628" i="8" s="1"/>
  <c r="K650" i="8"/>
  <c r="J650" i="8"/>
  <c r="J649" i="8"/>
  <c r="I649" i="8"/>
  <c r="K648" i="8"/>
  <c r="J648" i="8"/>
  <c r="J647" i="8"/>
  <c r="I647" i="8"/>
  <c r="K646" i="8"/>
  <c r="J646" i="8"/>
  <c r="K645" i="8"/>
  <c r="J645" i="8"/>
  <c r="I644" i="8"/>
  <c r="K644" i="8" s="1"/>
  <c r="I643" i="8"/>
  <c r="K643" i="8" s="1"/>
  <c r="P641" i="8"/>
  <c r="L641" i="8"/>
  <c r="O641" i="8" s="1"/>
  <c r="P640" i="8"/>
  <c r="O640" i="8"/>
  <c r="P639" i="8"/>
  <c r="N639" i="8"/>
  <c r="M639" i="8"/>
  <c r="P634" i="8"/>
  <c r="N634" i="8"/>
  <c r="N631" i="8" s="1"/>
  <c r="N629" i="8" s="1"/>
  <c r="L634" i="8"/>
  <c r="P633" i="8"/>
  <c r="O633" i="8"/>
  <c r="M632" i="8"/>
  <c r="P632" i="8" s="1"/>
  <c r="M631" i="8"/>
  <c r="P631" i="8" s="1"/>
  <c r="N630" i="8"/>
  <c r="M630" i="8"/>
  <c r="P630" i="8" s="1"/>
  <c r="L630" i="8"/>
  <c r="J621" i="8"/>
  <c r="I621" i="8"/>
  <c r="K621" i="8" s="1"/>
  <c r="J620" i="8"/>
  <c r="I620" i="8"/>
  <c r="K613" i="8"/>
  <c r="J613" i="8"/>
  <c r="K612" i="8"/>
  <c r="J612" i="8"/>
  <c r="K611" i="8"/>
  <c r="J611" i="8"/>
  <c r="J604" i="8"/>
  <c r="J603" i="8"/>
  <c r="J596" i="8"/>
  <c r="J594" i="8" s="1"/>
  <c r="J595" i="8"/>
  <c r="J593" i="8" s="1"/>
  <c r="J592" i="8" s="1"/>
  <c r="I594" i="8"/>
  <c r="I593" i="8"/>
  <c r="J583" i="8"/>
  <c r="J582" i="8"/>
  <c r="J576" i="8" s="1"/>
  <c r="J559" i="8" s="1"/>
  <c r="J577" i="8"/>
  <c r="I577" i="8"/>
  <c r="I576" i="8"/>
  <c r="I559" i="8" s="1"/>
  <c r="I543" i="8" s="1"/>
  <c r="J569" i="8"/>
  <c r="I569" i="8"/>
  <c r="K569" i="8" s="1"/>
  <c r="J568" i="8"/>
  <c r="I568" i="8"/>
  <c r="K568" i="8" s="1"/>
  <c r="J567" i="8"/>
  <c r="J566" i="8"/>
  <c r="J565" i="8"/>
  <c r="J564" i="8"/>
  <c r="J563" i="8"/>
  <c r="J562" i="8"/>
  <c r="J561" i="8"/>
  <c r="I561" i="8"/>
  <c r="I560" i="8"/>
  <c r="P557" i="8"/>
  <c r="L557" i="8"/>
  <c r="O557" i="8" s="1"/>
  <c r="P556" i="8"/>
  <c r="O556" i="8"/>
  <c r="N555" i="8"/>
  <c r="M555" i="8"/>
  <c r="P555" i="8" s="1"/>
  <c r="P549" i="8"/>
  <c r="N549" i="8"/>
  <c r="L549" i="8"/>
  <c r="L547" i="8" s="1"/>
  <c r="O547" i="8" s="1"/>
  <c r="P548" i="8"/>
  <c r="O548" i="8"/>
  <c r="P547" i="8"/>
  <c r="N547" i="8"/>
  <c r="M547" i="8"/>
  <c r="P546" i="8"/>
  <c r="M546" i="8"/>
  <c r="O545" i="8"/>
  <c r="N545" i="8"/>
  <c r="L545" i="8"/>
  <c r="I542" i="8"/>
  <c r="K542" i="8" s="1"/>
  <c r="I541" i="8"/>
  <c r="K541" i="8" s="1"/>
  <c r="I540" i="8"/>
  <c r="K540" i="8" s="1"/>
  <c r="I539" i="8"/>
  <c r="K539" i="8" s="1"/>
  <c r="I538" i="8"/>
  <c r="K538" i="8" s="1"/>
  <c r="I537" i="8"/>
  <c r="P535" i="8"/>
  <c r="L535" i="8"/>
  <c r="O535" i="8" s="1"/>
  <c r="P534" i="8"/>
  <c r="O534" i="8"/>
  <c r="P533" i="8"/>
  <c r="N533" i="8"/>
  <c r="M533" i="8"/>
  <c r="P528" i="8"/>
  <c r="N528" i="8"/>
  <c r="L528" i="8"/>
  <c r="L526" i="8" s="1"/>
  <c r="O526" i="8" s="1"/>
  <c r="P527" i="8"/>
  <c r="O527" i="8"/>
  <c r="P526" i="8"/>
  <c r="N526" i="8"/>
  <c r="M526" i="8"/>
  <c r="N525" i="8"/>
  <c r="M525" i="8"/>
  <c r="P525" i="8" s="1"/>
  <c r="N524" i="8"/>
  <c r="N523" i="8" s="1"/>
  <c r="M524" i="8"/>
  <c r="L524" i="8"/>
  <c r="O524" i="8" s="1"/>
  <c r="K517" i="8"/>
  <c r="J517" i="8"/>
  <c r="K516" i="8"/>
  <c r="P514" i="8"/>
  <c r="O514" i="8"/>
  <c r="P513" i="8"/>
  <c r="O513" i="8"/>
  <c r="P512" i="8"/>
  <c r="O512" i="8"/>
  <c r="N512" i="8"/>
  <c r="M512" i="8"/>
  <c r="L512" i="8"/>
  <c r="P507" i="8"/>
  <c r="O507" i="8"/>
  <c r="N507" i="8"/>
  <c r="P506" i="8"/>
  <c r="O506" i="8"/>
  <c r="M505" i="8"/>
  <c r="P505" i="8" s="1"/>
  <c r="L505" i="8"/>
  <c r="O505" i="8" s="1"/>
  <c r="M504" i="8"/>
  <c r="P504" i="8" s="1"/>
  <c r="L504" i="8"/>
  <c r="O504" i="8" s="1"/>
  <c r="P503" i="8"/>
  <c r="N503" i="8"/>
  <c r="M503" i="8"/>
  <c r="L503" i="8"/>
  <c r="O503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L477" i="8" s="1"/>
  <c r="O477" i="8" s="1"/>
  <c r="P478" i="8"/>
  <c r="O478" i="8"/>
  <c r="N477" i="8"/>
  <c r="M477" i="8"/>
  <c r="P477" i="8" s="1"/>
  <c r="P472" i="8"/>
  <c r="N472" i="8"/>
  <c r="N469" i="8" s="1"/>
  <c r="L472" i="8"/>
  <c r="O472" i="8" s="1"/>
  <c r="P471" i="8"/>
  <c r="O471" i="8"/>
  <c r="N470" i="8"/>
  <c r="M470" i="8"/>
  <c r="P470" i="8" s="1"/>
  <c r="M469" i="8"/>
  <c r="P469" i="8" s="1"/>
  <c r="P468" i="8"/>
  <c r="N468" i="8"/>
  <c r="N467" i="8" s="1"/>
  <c r="M468" i="8"/>
  <c r="L468" i="8"/>
  <c r="O468" i="8" s="1"/>
  <c r="J466" i="8"/>
  <c r="I466" i="8"/>
  <c r="K466" i="8" s="1"/>
  <c r="J465" i="8"/>
  <c r="I465" i="8"/>
  <c r="I464" i="8"/>
  <c r="I463" i="8"/>
  <c r="I462" i="8"/>
  <c r="K462" i="8" s="1"/>
  <c r="I460" i="8"/>
  <c r="I442" i="8" s="1"/>
  <c r="K442" i="8" s="1"/>
  <c r="K458" i="8"/>
  <c r="P456" i="8"/>
  <c r="L456" i="8"/>
  <c r="O456" i="8" s="1"/>
  <c r="P455" i="8"/>
  <c r="O455" i="8"/>
  <c r="P454" i="8"/>
  <c r="N454" i="8"/>
  <c r="M454" i="8"/>
  <c r="P449" i="8"/>
  <c r="N449" i="8"/>
  <c r="N446" i="8" s="1"/>
  <c r="N444" i="8" s="1"/>
  <c r="L449" i="8"/>
  <c r="P448" i="8"/>
  <c r="O448" i="8"/>
  <c r="M447" i="8"/>
  <c r="P447" i="8" s="1"/>
  <c r="M446" i="8"/>
  <c r="P446" i="8" s="1"/>
  <c r="N445" i="8"/>
  <c r="M445" i="8"/>
  <c r="P445" i="8" s="1"/>
  <c r="L445" i="8"/>
  <c r="J443" i="8"/>
  <c r="J442" i="8"/>
  <c r="I441" i="8"/>
  <c r="K441" i="8" s="1"/>
  <c r="I440" i="8"/>
  <c r="K440" i="8" s="1"/>
  <c r="I439" i="8"/>
  <c r="K439" i="8" s="1"/>
  <c r="I438" i="8"/>
  <c r="K438" i="8" s="1"/>
  <c r="I437" i="8"/>
  <c r="K437" i="8" s="1"/>
  <c r="I435" i="8"/>
  <c r="K435" i="8" s="1"/>
  <c r="J434" i="8"/>
  <c r="P431" i="8"/>
  <c r="L431" i="8"/>
  <c r="O431" i="8" s="1"/>
  <c r="P430" i="8"/>
  <c r="O430" i="8"/>
  <c r="P429" i="8"/>
  <c r="N429" i="8"/>
  <c r="M429" i="8"/>
  <c r="P424" i="8"/>
  <c r="N424" i="8"/>
  <c r="L424" i="8"/>
  <c r="P423" i="8"/>
  <c r="O423" i="8"/>
  <c r="M422" i="8"/>
  <c r="P422" i="8" s="1"/>
  <c r="M421" i="8"/>
  <c r="P421" i="8" s="1"/>
  <c r="N420" i="8"/>
  <c r="M420" i="8"/>
  <c r="P420" i="8" s="1"/>
  <c r="L420" i="8"/>
  <c r="J418" i="8"/>
  <c r="K413" i="8"/>
  <c r="K412" i="8"/>
  <c r="N410" i="8"/>
  <c r="N408" i="8" s="1"/>
  <c r="M410" i="8"/>
  <c r="L410" i="8"/>
  <c r="P409" i="8"/>
  <c r="O409" i="8"/>
  <c r="N407" i="8"/>
  <c r="M407" i="8"/>
  <c r="L407" i="8"/>
  <c r="O407" i="8" s="1"/>
  <c r="P406" i="8"/>
  <c r="O406" i="8"/>
  <c r="P403" i="8"/>
  <c r="N403" i="8"/>
  <c r="M403" i="8"/>
  <c r="L403" i="8"/>
  <c r="J401" i="8"/>
  <c r="I401" i="8"/>
  <c r="K401" i="8" s="1"/>
  <c r="K400" i="8"/>
  <c r="K399" i="8"/>
  <c r="N397" i="8"/>
  <c r="N395" i="8" s="1"/>
  <c r="M397" i="8"/>
  <c r="P397" i="8" s="1"/>
  <c r="L397" i="8"/>
  <c r="P396" i="8"/>
  <c r="O396" i="8"/>
  <c r="N394" i="8"/>
  <c r="N392" i="8" s="1"/>
  <c r="M394" i="8"/>
  <c r="P394" i="8" s="1"/>
  <c r="L394" i="8"/>
  <c r="L392" i="8" s="1"/>
  <c r="O392" i="8" s="1"/>
  <c r="P393" i="8"/>
  <c r="O393" i="8"/>
  <c r="N390" i="8"/>
  <c r="M390" i="8"/>
  <c r="P390" i="8" s="1"/>
  <c r="L390" i="8"/>
  <c r="K388" i="8"/>
  <c r="J388" i="8"/>
  <c r="I388" i="8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N351" i="8" s="1"/>
  <c r="M353" i="8"/>
  <c r="L353" i="8"/>
  <c r="L351" i="8" s="1"/>
  <c r="P352" i="8"/>
  <c r="O352" i="8"/>
  <c r="N350" i="8"/>
  <c r="N348" i="8" s="1"/>
  <c r="M350" i="8"/>
  <c r="M348" i="8" s="1"/>
  <c r="L350" i="8"/>
  <c r="L348" i="8" s="1"/>
  <c r="P349" i="8"/>
  <c r="O349" i="8"/>
  <c r="N346" i="8"/>
  <c r="M346" i="8"/>
  <c r="P346" i="8" s="1"/>
  <c r="L346" i="8"/>
  <c r="J343" i="8"/>
  <c r="J342" i="8"/>
  <c r="J341" i="8"/>
  <c r="J340" i="8"/>
  <c r="I340" i="8"/>
  <c r="J338" i="8"/>
  <c r="I338" i="8"/>
  <c r="N336" i="8"/>
  <c r="N334" i="8" s="1"/>
  <c r="M336" i="8"/>
  <c r="P336" i="8" s="1"/>
  <c r="L336" i="8"/>
  <c r="L334" i="8" s="1"/>
  <c r="O334" i="8" s="1"/>
  <c r="P335" i="8"/>
  <c r="O335" i="8"/>
  <c r="N333" i="8"/>
  <c r="N331" i="8" s="1"/>
  <c r="M333" i="8"/>
  <c r="L333" i="8"/>
  <c r="L331" i="8" s="1"/>
  <c r="P332" i="8"/>
  <c r="O332" i="8"/>
  <c r="N329" i="8"/>
  <c r="M329" i="8"/>
  <c r="P329" i="8" s="1"/>
  <c r="L329" i="8"/>
  <c r="I327" i="8"/>
  <c r="I325" i="8"/>
  <c r="K325" i="8" s="1"/>
  <c r="N323" i="8"/>
  <c r="N321" i="8" s="1"/>
  <c r="M323" i="8"/>
  <c r="M321" i="8" s="1"/>
  <c r="P321" i="8" s="1"/>
  <c r="L323" i="8"/>
  <c r="O323" i="8" s="1"/>
  <c r="P322" i="8"/>
  <c r="O322" i="8"/>
  <c r="N320" i="8"/>
  <c r="M320" i="8"/>
  <c r="P320" i="8" s="1"/>
  <c r="L320" i="8"/>
  <c r="P319" i="8"/>
  <c r="O319" i="8"/>
  <c r="O316" i="8"/>
  <c r="N316" i="8"/>
  <c r="M316" i="8"/>
  <c r="P316" i="8" s="1"/>
  <c r="L316" i="8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M304" i="8" s="1"/>
  <c r="P304" i="8" s="1"/>
  <c r="L306" i="8"/>
  <c r="O306" i="8" s="1"/>
  <c r="P305" i="8"/>
  <c r="O305" i="8"/>
  <c r="N303" i="8"/>
  <c r="N301" i="8" s="1"/>
  <c r="M303" i="8"/>
  <c r="L303" i="8"/>
  <c r="L301" i="8" s="1"/>
  <c r="P302" i="8"/>
  <c r="O302" i="8"/>
  <c r="P299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87" i="8"/>
  <c r="K287" i="8" s="1"/>
  <c r="N285" i="8"/>
  <c r="N283" i="8" s="1"/>
  <c r="M285" i="8"/>
  <c r="P285" i="8" s="1"/>
  <c r="L285" i="8"/>
  <c r="L283" i="8" s="1"/>
  <c r="O283" i="8" s="1"/>
  <c r="P284" i="8"/>
  <c r="O284" i="8"/>
  <c r="N282" i="8"/>
  <c r="M282" i="8"/>
  <c r="M280" i="8" s="1"/>
  <c r="L282" i="8"/>
  <c r="L280" i="8" s="1"/>
  <c r="P281" i="8"/>
  <c r="O281" i="8"/>
  <c r="P278" i="8"/>
  <c r="N278" i="8"/>
  <c r="M278" i="8"/>
  <c r="L278" i="8"/>
  <c r="O278" i="8" s="1"/>
  <c r="J276" i="8"/>
  <c r="I271" i="8"/>
  <c r="K271" i="8" s="1"/>
  <c r="N269" i="8"/>
  <c r="N267" i="8" s="1"/>
  <c r="M269" i="8"/>
  <c r="M267" i="8" s="1"/>
  <c r="P267" i="8" s="1"/>
  <c r="L269" i="8"/>
  <c r="O269" i="8" s="1"/>
  <c r="P268" i="8"/>
  <c r="O268" i="8"/>
  <c r="N266" i="8"/>
  <c r="M266" i="8"/>
  <c r="M264" i="8" s="1"/>
  <c r="L266" i="8"/>
  <c r="P265" i="8"/>
  <c r="O265" i="8"/>
  <c r="P262" i="8"/>
  <c r="O262" i="8"/>
  <c r="N262" i="8"/>
  <c r="M262" i="8"/>
  <c r="L262" i="8"/>
  <c r="J260" i="8"/>
  <c r="K258" i="8"/>
  <c r="K257" i="8"/>
  <c r="I255" i="8"/>
  <c r="K255" i="8" s="1"/>
  <c r="L253" i="8"/>
  <c r="L252" i="8"/>
  <c r="L251" i="8"/>
  <c r="L250" i="8"/>
  <c r="P249" i="8"/>
  <c r="N249" i="8"/>
  <c r="J248" i="8"/>
  <c r="K247" i="8"/>
  <c r="K246" i="8"/>
  <c r="I244" i="8"/>
  <c r="K244" i="8" s="1"/>
  <c r="L242" i="8"/>
  <c r="L241" i="8"/>
  <c r="L240" i="8"/>
  <c r="L239" i="8"/>
  <c r="P238" i="8"/>
  <c r="N238" i="8"/>
  <c r="J237" i="8"/>
  <c r="J236" i="8"/>
  <c r="I236" i="8"/>
  <c r="K236" i="8" s="1"/>
  <c r="J235" i="8"/>
  <c r="I235" i="8"/>
  <c r="K235" i="8" s="1"/>
  <c r="J233" i="8"/>
  <c r="N231" i="8"/>
  <c r="N230" i="8"/>
  <c r="N229" i="8"/>
  <c r="N228" i="8"/>
  <c r="N227" i="8"/>
  <c r="J226" i="8"/>
  <c r="J180" i="8" s="1"/>
  <c r="I225" i="8"/>
  <c r="I224" i="8"/>
  <c r="K224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K204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P189" i="8" s="1"/>
  <c r="L189" i="8"/>
  <c r="L187" i="8" s="1"/>
  <c r="O187" i="8" s="1"/>
  <c r="P188" i="8"/>
  <c r="O188" i="8"/>
  <c r="N186" i="8"/>
  <c r="N184" i="8" s="1"/>
  <c r="M186" i="8"/>
  <c r="L186" i="8"/>
  <c r="L184" i="8" s="1"/>
  <c r="P185" i="8"/>
  <c r="O185" i="8"/>
  <c r="P182" i="8"/>
  <c r="N182" i="8"/>
  <c r="M182" i="8"/>
  <c r="L182" i="8"/>
  <c r="J177" i="8"/>
  <c r="I176" i="8"/>
  <c r="K176" i="8" s="1"/>
  <c r="J174" i="8"/>
  <c r="J164" i="8" s="1"/>
  <c r="N173" i="8"/>
  <c r="N171" i="8" s="1"/>
  <c r="M173" i="8"/>
  <c r="P173" i="8" s="1"/>
  <c r="L173" i="8"/>
  <c r="L171" i="8" s="1"/>
  <c r="O171" i="8" s="1"/>
  <c r="P172" i="8"/>
  <c r="O172" i="8"/>
  <c r="N170" i="8"/>
  <c r="N168" i="8" s="1"/>
  <c r="M170" i="8"/>
  <c r="M168" i="8" s="1"/>
  <c r="L170" i="8"/>
  <c r="L168" i="8" s="1"/>
  <c r="P169" i="8"/>
  <c r="O169" i="8"/>
  <c r="P166" i="8"/>
  <c r="N166" i="8"/>
  <c r="M166" i="8"/>
  <c r="L166" i="8"/>
  <c r="I159" i="8"/>
  <c r="K159" i="8" s="1"/>
  <c r="N157" i="8"/>
  <c r="N155" i="8" s="1"/>
  <c r="M157" i="8"/>
  <c r="M155" i="8" s="1"/>
  <c r="P155" i="8" s="1"/>
  <c r="L157" i="8"/>
  <c r="O157" i="8" s="1"/>
  <c r="P156" i="8"/>
  <c r="O156" i="8"/>
  <c r="N154" i="8"/>
  <c r="N152" i="8" s="1"/>
  <c r="M154" i="8"/>
  <c r="M152" i="8" s="1"/>
  <c r="L154" i="8"/>
  <c r="L152" i="8" s="1"/>
  <c r="P153" i="8"/>
  <c r="O153" i="8"/>
  <c r="N150" i="8"/>
  <c r="M150" i="8"/>
  <c r="P150" i="8" s="1"/>
  <c r="L150" i="8"/>
  <c r="O150" i="8" s="1"/>
  <c r="J148" i="8"/>
  <c r="I146" i="8"/>
  <c r="K146" i="8" s="1"/>
  <c r="I145" i="8"/>
  <c r="K145" i="8" s="1"/>
  <c r="I144" i="8"/>
  <c r="K144" i="8" s="1"/>
  <c r="N140" i="8"/>
  <c r="N138" i="8" s="1"/>
  <c r="M140" i="8"/>
  <c r="P140" i="8" s="1"/>
  <c r="L140" i="8"/>
  <c r="O140" i="8" s="1"/>
  <c r="P139" i="8"/>
  <c r="O139" i="8"/>
  <c r="N137" i="8"/>
  <c r="N135" i="8" s="1"/>
  <c r="M137" i="8"/>
  <c r="P137" i="8" s="1"/>
  <c r="L137" i="8"/>
  <c r="O137" i="8" s="1"/>
  <c r="P136" i="8"/>
  <c r="O136" i="8"/>
  <c r="O133" i="8"/>
  <c r="N133" i="8"/>
  <c r="M133" i="8"/>
  <c r="L133" i="8"/>
  <c r="J130" i="8"/>
  <c r="N127" i="8"/>
  <c r="N125" i="8" s="1"/>
  <c r="M127" i="8"/>
  <c r="L127" i="8"/>
  <c r="O127" i="8" s="1"/>
  <c r="P126" i="8"/>
  <c r="O126" i="8"/>
  <c r="N124" i="8"/>
  <c r="N122" i="8" s="1"/>
  <c r="M124" i="8"/>
  <c r="L124" i="8"/>
  <c r="O124" i="8" s="1"/>
  <c r="P123" i="8"/>
  <c r="O123" i="8"/>
  <c r="P120" i="8"/>
  <c r="N120" i="8"/>
  <c r="M120" i="8"/>
  <c r="L120" i="8"/>
  <c r="O120" i="8" s="1"/>
  <c r="K118" i="8"/>
  <c r="J118" i="8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J87" i="8" s="1"/>
  <c r="I99" i="8"/>
  <c r="I87" i="8" s="1"/>
  <c r="K87" i="8" s="1"/>
  <c r="J98" i="8"/>
  <c r="I98" i="8"/>
  <c r="K98" i="8" s="1"/>
  <c r="N96" i="8"/>
  <c r="N94" i="8" s="1"/>
  <c r="M96" i="8"/>
  <c r="L96" i="8"/>
  <c r="O96" i="8" s="1"/>
  <c r="P95" i="8"/>
  <c r="O95" i="8"/>
  <c r="N93" i="8"/>
  <c r="M93" i="8"/>
  <c r="L93" i="8"/>
  <c r="P92" i="8"/>
  <c r="O92" i="8"/>
  <c r="N89" i="8"/>
  <c r="M89" i="8"/>
  <c r="L89" i="8"/>
  <c r="O89" i="8" s="1"/>
  <c r="J86" i="8"/>
  <c r="I84" i="8"/>
  <c r="K84" i="8" s="1"/>
  <c r="I83" i="8"/>
  <c r="K83" i="8" s="1"/>
  <c r="I82" i="8"/>
  <c r="K82" i="8" s="1"/>
  <c r="I81" i="8"/>
  <c r="K81" i="8" s="1"/>
  <c r="I80" i="8"/>
  <c r="K80" i="8" s="1"/>
  <c r="I79" i="8"/>
  <c r="K79" i="8" s="1"/>
  <c r="I78" i="8"/>
  <c r="K78" i="8" s="1"/>
  <c r="J77" i="8"/>
  <c r="J76" i="8"/>
  <c r="J64" i="8" s="1"/>
  <c r="N74" i="8"/>
  <c r="N72" i="8" s="1"/>
  <c r="M74" i="8"/>
  <c r="P74" i="8" s="1"/>
  <c r="L74" i="8"/>
  <c r="P73" i="8"/>
  <c r="O73" i="8"/>
  <c r="N71" i="8"/>
  <c r="M71" i="8"/>
  <c r="M69" i="8" s="1"/>
  <c r="L71" i="8"/>
  <c r="P70" i="8"/>
  <c r="O70" i="8"/>
  <c r="N67" i="8"/>
  <c r="M67" i="8"/>
  <c r="L67" i="8"/>
  <c r="O67" i="8" s="1"/>
  <c r="J65" i="8"/>
  <c r="N61" i="8"/>
  <c r="N59" i="8" s="1"/>
  <c r="M61" i="8"/>
  <c r="M59" i="8" s="1"/>
  <c r="L61" i="8"/>
  <c r="L59" i="8" s="1"/>
  <c r="P60" i="8"/>
  <c r="O60" i="8"/>
  <c r="N58" i="8"/>
  <c r="M58" i="8"/>
  <c r="M56" i="8" s="1"/>
  <c r="L58" i="8"/>
  <c r="L56" i="8" s="1"/>
  <c r="P57" i="8"/>
  <c r="O57" i="8"/>
  <c r="P54" i="8"/>
  <c r="N54" i="8"/>
  <c r="M54" i="8"/>
  <c r="L54" i="8"/>
  <c r="N49" i="8"/>
  <c r="M49" i="8"/>
  <c r="P49" i="8" s="1"/>
  <c r="L49" i="8"/>
  <c r="P48" i="8"/>
  <c r="O48" i="8"/>
  <c r="N46" i="8"/>
  <c r="M46" i="8"/>
  <c r="M44" i="8" s="1"/>
  <c r="L46" i="8"/>
  <c r="P45" i="8"/>
  <c r="O45" i="8"/>
  <c r="N42" i="8"/>
  <c r="M42" i="8"/>
  <c r="L42" i="8"/>
  <c r="O42" i="8" s="1"/>
  <c r="P36" i="8"/>
  <c r="N36" i="8"/>
  <c r="N30" i="8" s="1"/>
  <c r="M36" i="8"/>
  <c r="O35" i="8"/>
  <c r="N35" i="8"/>
  <c r="N34" i="8" s="1"/>
  <c r="M35" i="8"/>
  <c r="P35" i="8" s="1"/>
  <c r="L35" i="8"/>
  <c r="M34" i="8"/>
  <c r="P34" i="8" s="1"/>
  <c r="P33" i="8"/>
  <c r="N33" i="8"/>
  <c r="M33" i="8"/>
  <c r="P32" i="8"/>
  <c r="O32" i="8"/>
  <c r="N32" i="8"/>
  <c r="N31" i="8" s="1"/>
  <c r="M32" i="8"/>
  <c r="L32" i="8"/>
  <c r="P31" i="8"/>
  <c r="M31" i="8"/>
  <c r="M30" i="8"/>
  <c r="P30" i="8" s="1"/>
  <c r="N29" i="8"/>
  <c r="M29" i="8"/>
  <c r="P29" i="8" s="1"/>
  <c r="L29" i="8"/>
  <c r="O29" i="8" s="1"/>
  <c r="M28" i="8"/>
  <c r="P28" i="8" s="1"/>
  <c r="P25" i="8"/>
  <c r="O25" i="8"/>
  <c r="N25" i="8"/>
  <c r="M25" i="8"/>
  <c r="L25" i="8"/>
  <c r="N22" i="8"/>
  <c r="N19" i="8" s="1"/>
  <c r="M22" i="8"/>
  <c r="P22" i="8" s="1"/>
  <c r="L22" i="8"/>
  <c r="O22" i="8" s="1"/>
  <c r="N15" i="8"/>
  <c r="M15" i="8"/>
  <c r="P15" i="8" s="1"/>
  <c r="L15" i="8"/>
  <c r="O15" i="8" s="1"/>
  <c r="J828" i="7"/>
  <c r="I828" i="7"/>
  <c r="J827" i="7"/>
  <c r="I827" i="7"/>
  <c r="J826" i="7"/>
  <c r="I826" i="7"/>
  <c r="K826" i="7" s="1"/>
  <c r="J825" i="7"/>
  <c r="I825" i="7"/>
  <c r="K825" i="7" s="1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N807" i="7" s="1"/>
  <c r="N805" i="7" s="1"/>
  <c r="P809" i="7"/>
  <c r="O809" i="7"/>
  <c r="P808" i="7"/>
  <c r="N808" i="7"/>
  <c r="M808" i="7"/>
  <c r="L808" i="7"/>
  <c r="O808" i="7" s="1"/>
  <c r="O807" i="7"/>
  <c r="M807" i="7"/>
  <c r="L807" i="7"/>
  <c r="P806" i="7"/>
  <c r="N806" i="7"/>
  <c r="M806" i="7"/>
  <c r="L806" i="7"/>
  <c r="K804" i="7"/>
  <c r="J804" i="7"/>
  <c r="J803" i="7"/>
  <c r="I803" i="7"/>
  <c r="K803" i="7" s="1"/>
  <c r="J802" i="7"/>
  <c r="J801" i="7"/>
  <c r="I801" i="7"/>
  <c r="K801" i="7" s="1"/>
  <c r="J800" i="7"/>
  <c r="P798" i="7"/>
  <c r="O798" i="7"/>
  <c r="P797" i="7"/>
  <c r="O797" i="7"/>
  <c r="P796" i="7"/>
  <c r="N796" i="7"/>
  <c r="M796" i="7"/>
  <c r="L796" i="7"/>
  <c r="O796" i="7" s="1"/>
  <c r="P791" i="7"/>
  <c r="N791" i="7"/>
  <c r="N788" i="7" s="1"/>
  <c r="N786" i="7" s="1"/>
  <c r="L791" i="7"/>
  <c r="O791" i="7" s="1"/>
  <c r="P790" i="7"/>
  <c r="O790" i="7"/>
  <c r="N789" i="7"/>
  <c r="M789" i="7"/>
  <c r="P789" i="7" s="1"/>
  <c r="P788" i="7"/>
  <c r="M788" i="7"/>
  <c r="O787" i="7"/>
  <c r="N787" i="7"/>
  <c r="M787" i="7"/>
  <c r="M786" i="7" s="1"/>
  <c r="P786" i="7" s="1"/>
  <c r="L787" i="7"/>
  <c r="P782" i="7"/>
  <c r="O782" i="7"/>
  <c r="P781" i="7"/>
  <c r="O781" i="7"/>
  <c r="P780" i="7"/>
  <c r="N780" i="7"/>
  <c r="M780" i="7"/>
  <c r="L780" i="7"/>
  <c r="O780" i="7" s="1"/>
  <c r="P775" i="7"/>
  <c r="O775" i="7"/>
  <c r="N775" i="7"/>
  <c r="P774" i="7"/>
  <c r="O774" i="7"/>
  <c r="P773" i="7"/>
  <c r="N773" i="7"/>
  <c r="M773" i="7"/>
  <c r="L773" i="7"/>
  <c r="O773" i="7" s="1"/>
  <c r="O772" i="7"/>
  <c r="N772" i="7"/>
  <c r="M772" i="7"/>
  <c r="P772" i="7" s="1"/>
  <c r="L772" i="7"/>
  <c r="P771" i="7"/>
  <c r="N771" i="7"/>
  <c r="N770" i="7" s="1"/>
  <c r="M771" i="7"/>
  <c r="M770" i="7" s="1"/>
  <c r="P770" i="7" s="1"/>
  <c r="L771" i="7"/>
  <c r="O771" i="7" s="1"/>
  <c r="O770" i="7"/>
  <c r="L770" i="7"/>
  <c r="K769" i="7"/>
  <c r="J769" i="7"/>
  <c r="P766" i="7"/>
  <c r="O766" i="7"/>
  <c r="P765" i="7"/>
  <c r="O765" i="7"/>
  <c r="P764" i="7"/>
  <c r="N764" i="7"/>
  <c r="M764" i="7"/>
  <c r="L764" i="7"/>
  <c r="O764" i="7" s="1"/>
  <c r="P759" i="7"/>
  <c r="O759" i="7"/>
  <c r="N759" i="7"/>
  <c r="P758" i="7"/>
  <c r="O758" i="7"/>
  <c r="P757" i="7"/>
  <c r="N757" i="7"/>
  <c r="M757" i="7"/>
  <c r="L757" i="7"/>
  <c r="O757" i="7" s="1"/>
  <c r="O756" i="7"/>
  <c r="N756" i="7"/>
  <c r="M756" i="7"/>
  <c r="P756" i="7" s="1"/>
  <c r="L756" i="7"/>
  <c r="P755" i="7"/>
  <c r="N755" i="7"/>
  <c r="N754" i="7" s="1"/>
  <c r="M755" i="7"/>
  <c r="M754" i="7" s="1"/>
  <c r="P754" i="7" s="1"/>
  <c r="L755" i="7"/>
  <c r="O755" i="7" s="1"/>
  <c r="K753" i="7"/>
  <c r="J753" i="7"/>
  <c r="P749" i="7"/>
  <c r="O749" i="7"/>
  <c r="P748" i="7"/>
  <c r="O748" i="7"/>
  <c r="P747" i="7"/>
  <c r="N747" i="7"/>
  <c r="M747" i="7"/>
  <c r="L747" i="7"/>
  <c r="O747" i="7" s="1"/>
  <c r="P742" i="7"/>
  <c r="O742" i="7"/>
  <c r="N742" i="7"/>
  <c r="P741" i="7"/>
  <c r="O741" i="7"/>
  <c r="P740" i="7"/>
  <c r="N740" i="7"/>
  <c r="M740" i="7"/>
  <c r="L740" i="7"/>
  <c r="O740" i="7" s="1"/>
  <c r="O739" i="7"/>
  <c r="N739" i="7"/>
  <c r="M739" i="7"/>
  <c r="P739" i="7" s="1"/>
  <c r="L739" i="7"/>
  <c r="P738" i="7"/>
  <c r="N738" i="7"/>
  <c r="N737" i="7" s="1"/>
  <c r="M738" i="7"/>
  <c r="M737" i="7" s="1"/>
  <c r="P737" i="7" s="1"/>
  <c r="L738" i="7"/>
  <c r="O738" i="7" s="1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P695" i="7"/>
  <c r="N695" i="7"/>
  <c r="M695" i="7"/>
  <c r="L695" i="7"/>
  <c r="O695" i="7" s="1"/>
  <c r="P690" i="7"/>
  <c r="N690" i="7"/>
  <c r="L690" i="7"/>
  <c r="N688" i="7"/>
  <c r="M688" i="7"/>
  <c r="P688" i="7" s="1"/>
  <c r="P687" i="7"/>
  <c r="N687" i="7"/>
  <c r="M687" i="7"/>
  <c r="O686" i="7"/>
  <c r="N686" i="7"/>
  <c r="M686" i="7"/>
  <c r="M685" i="7" s="1"/>
  <c r="P685" i="7" s="1"/>
  <c r="L686" i="7"/>
  <c r="N685" i="7"/>
  <c r="J679" i="7"/>
  <c r="J678" i="7" s="1"/>
  <c r="I678" i="7"/>
  <c r="K678" i="7" s="1"/>
  <c r="J675" i="7"/>
  <c r="J669" i="7" s="1"/>
  <c r="J654" i="7" s="1"/>
  <c r="I671" i="7"/>
  <c r="K671" i="7" s="1"/>
  <c r="I670" i="7"/>
  <c r="K670" i="7" s="1"/>
  <c r="I669" i="7"/>
  <c r="P667" i="7"/>
  <c r="O667" i="7"/>
  <c r="P666" i="7"/>
  <c r="O666" i="7"/>
  <c r="O665" i="7"/>
  <c r="N665" i="7"/>
  <c r="M665" i="7"/>
  <c r="P665" i="7" s="1"/>
  <c r="L665" i="7"/>
  <c r="P660" i="7"/>
  <c r="N660" i="7"/>
  <c r="N657" i="7" s="1"/>
  <c r="L660" i="7"/>
  <c r="O660" i="7" s="1"/>
  <c r="P659" i="7"/>
  <c r="O659" i="7"/>
  <c r="P658" i="7"/>
  <c r="M658" i="7"/>
  <c r="M657" i="7"/>
  <c r="P656" i="7"/>
  <c r="N656" i="7"/>
  <c r="N655" i="7" s="1"/>
  <c r="M656" i="7"/>
  <c r="L656" i="7"/>
  <c r="K652" i="7"/>
  <c r="J652" i="7"/>
  <c r="J651" i="7"/>
  <c r="J628" i="7" s="1"/>
  <c r="I651" i="7"/>
  <c r="I628" i="7" s="1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N639" i="7"/>
  <c r="M639" i="7"/>
  <c r="P639" i="7" s="1"/>
  <c r="P634" i="7"/>
  <c r="N634" i="7"/>
  <c r="N631" i="7" s="1"/>
  <c r="L634" i="7"/>
  <c r="O634" i="7" s="1"/>
  <c r="P633" i="7"/>
  <c r="O633" i="7"/>
  <c r="P632" i="7"/>
  <c r="N632" i="7"/>
  <c r="M632" i="7"/>
  <c r="M631" i="7"/>
  <c r="P631" i="7" s="1"/>
  <c r="P630" i="7"/>
  <c r="N630" i="7"/>
  <c r="N629" i="7" s="1"/>
  <c r="M630" i="7"/>
  <c r="L630" i="7"/>
  <c r="M629" i="7"/>
  <c r="P629" i="7" s="1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5" i="7"/>
  <c r="J593" i="7" s="1"/>
  <c r="J594" i="7"/>
  <c r="I594" i="7"/>
  <c r="K594" i="7" s="1"/>
  <c r="I593" i="7"/>
  <c r="I592" i="7" s="1"/>
  <c r="J583" i="7"/>
  <c r="J577" i="7" s="1"/>
  <c r="J582" i="7"/>
  <c r="I577" i="7"/>
  <c r="J576" i="7"/>
  <c r="J559" i="7" s="1"/>
  <c r="J543" i="7" s="1"/>
  <c r="I576" i="7"/>
  <c r="I559" i="7" s="1"/>
  <c r="J569" i="7"/>
  <c r="I569" i="7"/>
  <c r="J568" i="7"/>
  <c r="I568" i="7"/>
  <c r="K568" i="7" s="1"/>
  <c r="J561" i="7"/>
  <c r="I561" i="7"/>
  <c r="J560" i="7"/>
  <c r="I560" i="7"/>
  <c r="P557" i="7"/>
  <c r="L557" i="7"/>
  <c r="O557" i="7" s="1"/>
  <c r="P556" i="7"/>
  <c r="O556" i="7"/>
  <c r="P555" i="7"/>
  <c r="N555" i="7"/>
  <c r="N545" i="7" s="1"/>
  <c r="N544" i="7" s="1"/>
  <c r="M555" i="7"/>
  <c r="P549" i="7"/>
  <c r="N549" i="7"/>
  <c r="L549" i="7"/>
  <c r="L547" i="7" s="1"/>
  <c r="O547" i="7" s="1"/>
  <c r="P548" i="7"/>
  <c r="O548" i="7"/>
  <c r="N547" i="7"/>
  <c r="M547" i="7"/>
  <c r="P547" i="7" s="1"/>
  <c r="P546" i="7"/>
  <c r="N546" i="7"/>
  <c r="M546" i="7"/>
  <c r="O545" i="7"/>
  <c r="M545" i="7"/>
  <c r="L545" i="7"/>
  <c r="I542" i="7"/>
  <c r="K542" i="7" s="1"/>
  <c r="I541" i="7"/>
  <c r="K541" i="7" s="1"/>
  <c r="I540" i="7"/>
  <c r="K540" i="7" s="1"/>
  <c r="I539" i="7"/>
  <c r="I538" i="7"/>
  <c r="K538" i="7" s="1"/>
  <c r="I537" i="7"/>
  <c r="I522" i="7" s="1"/>
  <c r="K522" i="7" s="1"/>
  <c r="P535" i="7"/>
  <c r="L535" i="7"/>
  <c r="L533" i="7" s="1"/>
  <c r="O533" i="7" s="1"/>
  <c r="P534" i="7"/>
  <c r="O534" i="7"/>
  <c r="P533" i="7"/>
  <c r="N533" i="7"/>
  <c r="M533" i="7"/>
  <c r="P528" i="7"/>
  <c r="N528" i="7"/>
  <c r="N526" i="7" s="1"/>
  <c r="L528" i="7"/>
  <c r="P527" i="7"/>
  <c r="O527" i="7"/>
  <c r="M526" i="7"/>
  <c r="P526" i="7" s="1"/>
  <c r="M525" i="7"/>
  <c r="P525" i="7" s="1"/>
  <c r="O524" i="7"/>
  <c r="N524" i="7"/>
  <c r="M524" i="7"/>
  <c r="L524" i="7"/>
  <c r="K517" i="7"/>
  <c r="J517" i="7"/>
  <c r="K516" i="7"/>
  <c r="P514" i="7"/>
  <c r="O514" i="7"/>
  <c r="P513" i="7"/>
  <c r="O513" i="7"/>
  <c r="O512" i="7"/>
  <c r="N512" i="7"/>
  <c r="M512" i="7"/>
  <c r="P512" i="7" s="1"/>
  <c r="L512" i="7"/>
  <c r="P507" i="7"/>
  <c r="O507" i="7"/>
  <c r="N507" i="7"/>
  <c r="N33" i="7" s="1"/>
  <c r="N30" i="7" s="1"/>
  <c r="P506" i="7"/>
  <c r="O506" i="7"/>
  <c r="O505" i="7"/>
  <c r="M505" i="7"/>
  <c r="P505" i="7" s="1"/>
  <c r="L505" i="7"/>
  <c r="P504" i="7"/>
  <c r="M504" i="7"/>
  <c r="L504" i="7"/>
  <c r="O504" i="7" s="1"/>
  <c r="P503" i="7"/>
  <c r="O503" i="7"/>
  <c r="N503" i="7"/>
  <c r="M503" i="7"/>
  <c r="M502" i="7" s="1"/>
  <c r="L503" i="7"/>
  <c r="P502" i="7"/>
  <c r="L502" i="7"/>
  <c r="O502" i="7" s="1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N477" i="7"/>
  <c r="M477" i="7"/>
  <c r="P477" i="7" s="1"/>
  <c r="P472" i="7"/>
  <c r="N472" i="7"/>
  <c r="L472" i="7"/>
  <c r="P471" i="7"/>
  <c r="O471" i="7"/>
  <c r="N470" i="7"/>
  <c r="M470" i="7"/>
  <c r="P470" i="7" s="1"/>
  <c r="P469" i="7"/>
  <c r="N469" i="7"/>
  <c r="N467" i="7" s="1"/>
  <c r="M469" i="7"/>
  <c r="O468" i="7"/>
  <c r="N468" i="7"/>
  <c r="M468" i="7"/>
  <c r="M467" i="7" s="1"/>
  <c r="L468" i="7"/>
  <c r="P467" i="7"/>
  <c r="J466" i="7"/>
  <c r="I466" i="7"/>
  <c r="K466" i="7" s="1"/>
  <c r="J465" i="7"/>
  <c r="I465" i="7"/>
  <c r="K465" i="7" s="1"/>
  <c r="I464" i="7"/>
  <c r="I463" i="7"/>
  <c r="I462" i="7"/>
  <c r="K462" i="7" s="1"/>
  <c r="I460" i="7"/>
  <c r="K460" i="7" s="1"/>
  <c r="K458" i="7"/>
  <c r="P456" i="7"/>
  <c r="L456" i="7"/>
  <c r="P455" i="7"/>
  <c r="O455" i="7"/>
  <c r="N454" i="7"/>
  <c r="M454" i="7"/>
  <c r="P454" i="7" s="1"/>
  <c r="P449" i="7"/>
  <c r="N449" i="7"/>
  <c r="N446" i="7" s="1"/>
  <c r="L449" i="7"/>
  <c r="O449" i="7" s="1"/>
  <c r="P448" i="7"/>
  <c r="O448" i="7"/>
  <c r="N447" i="7"/>
  <c r="M447" i="7"/>
  <c r="P447" i="7" s="1"/>
  <c r="M446" i="7"/>
  <c r="P446" i="7" s="1"/>
  <c r="N445" i="7"/>
  <c r="M445" i="7"/>
  <c r="L445" i="7"/>
  <c r="O445" i="7" s="1"/>
  <c r="J443" i="7"/>
  <c r="J442" i="7"/>
  <c r="I441" i="7"/>
  <c r="K441" i="7" s="1"/>
  <c r="I440" i="7"/>
  <c r="K440" i="7" s="1"/>
  <c r="I439" i="7"/>
  <c r="K439" i="7" s="1"/>
  <c r="I438" i="7"/>
  <c r="I437" i="7"/>
  <c r="K437" i="7" s="1"/>
  <c r="I435" i="7"/>
  <c r="J434" i="7"/>
  <c r="J418" i="7" s="1"/>
  <c r="P431" i="7"/>
  <c r="L431" i="7"/>
  <c r="P430" i="7"/>
  <c r="O430" i="7"/>
  <c r="N429" i="7"/>
  <c r="M429" i="7"/>
  <c r="P429" i="7" s="1"/>
  <c r="P424" i="7"/>
  <c r="N424" i="7"/>
  <c r="N421" i="7" s="1"/>
  <c r="L424" i="7"/>
  <c r="O424" i="7" s="1"/>
  <c r="P423" i="7"/>
  <c r="O423" i="7"/>
  <c r="N422" i="7"/>
  <c r="M422" i="7"/>
  <c r="P422" i="7" s="1"/>
  <c r="M421" i="7"/>
  <c r="P421" i="7" s="1"/>
  <c r="N420" i="7"/>
  <c r="M420" i="7"/>
  <c r="L420" i="7"/>
  <c r="O420" i="7" s="1"/>
  <c r="K413" i="7"/>
  <c r="K412" i="7"/>
  <c r="N410" i="7"/>
  <c r="N408" i="7" s="1"/>
  <c r="M410" i="7"/>
  <c r="P410" i="7" s="1"/>
  <c r="L410" i="7"/>
  <c r="O410" i="7" s="1"/>
  <c r="P409" i="7"/>
  <c r="O409" i="7"/>
  <c r="N407" i="7"/>
  <c r="M407" i="7"/>
  <c r="P407" i="7" s="1"/>
  <c r="L407" i="7"/>
  <c r="P406" i="7"/>
  <c r="O406" i="7"/>
  <c r="P403" i="7"/>
  <c r="N403" i="7"/>
  <c r="M403" i="7"/>
  <c r="L403" i="7"/>
  <c r="J401" i="7"/>
  <c r="I401" i="7"/>
  <c r="K401" i="7" s="1"/>
  <c r="K400" i="7"/>
  <c r="K399" i="7"/>
  <c r="N397" i="7"/>
  <c r="N395" i="7" s="1"/>
  <c r="M397" i="7"/>
  <c r="L397" i="7"/>
  <c r="O397" i="7" s="1"/>
  <c r="P396" i="7"/>
  <c r="O396" i="7"/>
  <c r="N394" i="7"/>
  <c r="M394" i="7"/>
  <c r="P394" i="7" s="1"/>
  <c r="L394" i="7"/>
  <c r="P393" i="7"/>
  <c r="O393" i="7"/>
  <c r="P390" i="7"/>
  <c r="N390" i="7"/>
  <c r="M390" i="7"/>
  <c r="L390" i="7"/>
  <c r="O390" i="7" s="1"/>
  <c r="J388" i="7"/>
  <c r="I388" i="7"/>
  <c r="K388" i="7" s="1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M353" i="7"/>
  <c r="L353" i="7"/>
  <c r="L351" i="7" s="1"/>
  <c r="P352" i="7"/>
  <c r="O352" i="7"/>
  <c r="N350" i="7"/>
  <c r="M350" i="7"/>
  <c r="M348" i="7" s="1"/>
  <c r="L350" i="7"/>
  <c r="P349" i="7"/>
  <c r="O349" i="7"/>
  <c r="N346" i="7"/>
  <c r="M346" i="7"/>
  <c r="L346" i="7"/>
  <c r="O346" i="7" s="1"/>
  <c r="J343" i="7"/>
  <c r="J342" i="7"/>
  <c r="J341" i="7"/>
  <c r="J340" i="7"/>
  <c r="I340" i="7"/>
  <c r="J338" i="7"/>
  <c r="I338" i="7"/>
  <c r="N336" i="7"/>
  <c r="N334" i="7" s="1"/>
  <c r="M336" i="7"/>
  <c r="P336" i="7" s="1"/>
  <c r="L336" i="7"/>
  <c r="P335" i="7"/>
  <c r="O335" i="7"/>
  <c r="N333" i="7"/>
  <c r="N331" i="7" s="1"/>
  <c r="M333" i="7"/>
  <c r="L333" i="7"/>
  <c r="P332" i="7"/>
  <c r="O332" i="7"/>
  <c r="P329" i="7"/>
  <c r="N329" i="7"/>
  <c r="M329" i="7"/>
  <c r="L329" i="7"/>
  <c r="I327" i="7"/>
  <c r="I325" i="7"/>
  <c r="K325" i="7" s="1"/>
  <c r="N323" i="7"/>
  <c r="M323" i="7"/>
  <c r="P323" i="7" s="1"/>
  <c r="L323" i="7"/>
  <c r="O323" i="7" s="1"/>
  <c r="P322" i="7"/>
  <c r="O322" i="7"/>
  <c r="N320" i="7"/>
  <c r="N318" i="7" s="1"/>
  <c r="M320" i="7"/>
  <c r="P320" i="7" s="1"/>
  <c r="L320" i="7"/>
  <c r="O320" i="7" s="1"/>
  <c r="P319" i="7"/>
  <c r="O319" i="7"/>
  <c r="P316" i="7"/>
  <c r="N316" i="7"/>
  <c r="M316" i="7"/>
  <c r="L316" i="7"/>
  <c r="O316" i="7" s="1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L306" i="7"/>
  <c r="O306" i="7" s="1"/>
  <c r="P305" i="7"/>
  <c r="O305" i="7"/>
  <c r="N303" i="7"/>
  <c r="M303" i="7"/>
  <c r="L303" i="7"/>
  <c r="O303" i="7" s="1"/>
  <c r="P302" i="7"/>
  <c r="O302" i="7"/>
  <c r="P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I287" i="7"/>
  <c r="K287" i="7" s="1"/>
  <c r="N285" i="7"/>
  <c r="N283" i="7" s="1"/>
  <c r="M285" i="7"/>
  <c r="L285" i="7"/>
  <c r="L283" i="7" s="1"/>
  <c r="O283" i="7" s="1"/>
  <c r="P284" i="7"/>
  <c r="O284" i="7"/>
  <c r="N282" i="7"/>
  <c r="M282" i="7"/>
  <c r="M280" i="7" s="1"/>
  <c r="L282" i="7"/>
  <c r="L280" i="7" s="1"/>
  <c r="P281" i="7"/>
  <c r="O281" i="7"/>
  <c r="O278" i="7"/>
  <c r="N278" i="7"/>
  <c r="M278" i="7"/>
  <c r="L278" i="7"/>
  <c r="J276" i="7"/>
  <c r="I271" i="7"/>
  <c r="K271" i="7" s="1"/>
  <c r="N269" i="7"/>
  <c r="M269" i="7"/>
  <c r="L269" i="7"/>
  <c r="O269" i="7" s="1"/>
  <c r="P268" i="7"/>
  <c r="O268" i="7"/>
  <c r="N266" i="7"/>
  <c r="M266" i="7"/>
  <c r="L266" i="7"/>
  <c r="L264" i="7" s="1"/>
  <c r="P265" i="7"/>
  <c r="O265" i="7"/>
  <c r="P262" i="7"/>
  <c r="N262" i="7"/>
  <c r="M262" i="7"/>
  <c r="L262" i="7"/>
  <c r="J260" i="7"/>
  <c r="K258" i="7"/>
  <c r="K257" i="7"/>
  <c r="I255" i="7"/>
  <c r="L253" i="7"/>
  <c r="L252" i="7"/>
  <c r="L251" i="7"/>
  <c r="L250" i="7"/>
  <c r="P249" i="7"/>
  <c r="N249" i="7"/>
  <c r="J248" i="7"/>
  <c r="K247" i="7"/>
  <c r="K246" i="7"/>
  <c r="I244" i="7"/>
  <c r="I237" i="7" s="1"/>
  <c r="K237" i="7" s="1"/>
  <c r="L242" i="7"/>
  <c r="L241" i="7"/>
  <c r="L240" i="7"/>
  <c r="L239" i="7"/>
  <c r="P238" i="7"/>
  <c r="N238" i="7"/>
  <c r="N227" i="7" s="1"/>
  <c r="J237" i="7"/>
  <c r="J226" i="7" s="1"/>
  <c r="J180" i="7" s="1"/>
  <c r="J236" i="7"/>
  <c r="K236" i="7" s="1"/>
  <c r="I236" i="7"/>
  <c r="K235" i="7"/>
  <c r="J235" i="7"/>
  <c r="I235" i="7"/>
  <c r="J233" i="7"/>
  <c r="N231" i="7"/>
  <c r="N230" i="7"/>
  <c r="N229" i="7"/>
  <c r="N228" i="7"/>
  <c r="I225" i="7"/>
  <c r="K225" i="7" s="1"/>
  <c r="I224" i="7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I197" i="7" s="1"/>
  <c r="K197" i="7" s="1"/>
  <c r="L202" i="7"/>
  <c r="L201" i="7"/>
  <c r="L200" i="7"/>
  <c r="L199" i="7"/>
  <c r="P198" i="7"/>
  <c r="N198" i="7"/>
  <c r="J197" i="7"/>
  <c r="J194" i="7"/>
  <c r="I193" i="7"/>
  <c r="P191" i="7"/>
  <c r="L191" i="7"/>
  <c r="O191" i="7" s="1"/>
  <c r="J190" i="7"/>
  <c r="N189" i="7"/>
  <c r="N187" i="7" s="1"/>
  <c r="M189" i="7"/>
  <c r="L189" i="7"/>
  <c r="O189" i="7" s="1"/>
  <c r="P188" i="7"/>
  <c r="O188" i="7"/>
  <c r="N186" i="7"/>
  <c r="M186" i="7"/>
  <c r="L186" i="7"/>
  <c r="L184" i="7" s="1"/>
  <c r="P185" i="7"/>
  <c r="O185" i="7"/>
  <c r="N182" i="7"/>
  <c r="M182" i="7"/>
  <c r="L182" i="7"/>
  <c r="O182" i="7" s="1"/>
  <c r="J177" i="7"/>
  <c r="J164" i="7" s="1"/>
  <c r="I176" i="7"/>
  <c r="J174" i="7"/>
  <c r="N173" i="7"/>
  <c r="N171" i="7" s="1"/>
  <c r="M173" i="7"/>
  <c r="L173" i="7"/>
  <c r="O173" i="7" s="1"/>
  <c r="P172" i="7"/>
  <c r="O172" i="7"/>
  <c r="N170" i="7"/>
  <c r="N168" i="7" s="1"/>
  <c r="M170" i="7"/>
  <c r="L170" i="7"/>
  <c r="L168" i="7" s="1"/>
  <c r="P169" i="7"/>
  <c r="O169" i="7"/>
  <c r="N166" i="7"/>
  <c r="M166" i="7"/>
  <c r="P166" i="7" s="1"/>
  <c r="L166" i="7"/>
  <c r="O166" i="7" s="1"/>
  <c r="I159" i="7"/>
  <c r="K159" i="7" s="1"/>
  <c r="N157" i="7"/>
  <c r="N155" i="7" s="1"/>
  <c r="M157" i="7"/>
  <c r="M155" i="7" s="1"/>
  <c r="P155" i="7" s="1"/>
  <c r="L157" i="7"/>
  <c r="O157" i="7" s="1"/>
  <c r="P156" i="7"/>
  <c r="O156" i="7"/>
  <c r="N154" i="7"/>
  <c r="N152" i="7" s="1"/>
  <c r="M154" i="7"/>
  <c r="M152" i="7" s="1"/>
  <c r="P152" i="7" s="1"/>
  <c r="L154" i="7"/>
  <c r="P153" i="7"/>
  <c r="O153" i="7"/>
  <c r="P150" i="7"/>
  <c r="N150" i="7"/>
  <c r="M150" i="7"/>
  <c r="L150" i="7"/>
  <c r="J148" i="7"/>
  <c r="I146" i="7"/>
  <c r="I130" i="7" s="1"/>
  <c r="K130" i="7" s="1"/>
  <c r="I145" i="7"/>
  <c r="I144" i="7"/>
  <c r="K144" i="7" s="1"/>
  <c r="N140" i="7"/>
  <c r="N138" i="7" s="1"/>
  <c r="M140" i="7"/>
  <c r="M138" i="7" s="1"/>
  <c r="L140" i="7"/>
  <c r="P139" i="7"/>
  <c r="O139" i="7"/>
  <c r="N137" i="7"/>
  <c r="M137" i="7"/>
  <c r="L137" i="7"/>
  <c r="P136" i="7"/>
  <c r="O136" i="7"/>
  <c r="N133" i="7"/>
  <c r="M133" i="7"/>
  <c r="L133" i="7"/>
  <c r="O133" i="7" s="1"/>
  <c r="J130" i="7"/>
  <c r="N127" i="7"/>
  <c r="N125" i="7" s="1"/>
  <c r="M127" i="7"/>
  <c r="M125" i="7" s="1"/>
  <c r="L127" i="7"/>
  <c r="L125" i="7" s="1"/>
  <c r="P126" i="7"/>
  <c r="O126" i="7"/>
  <c r="N124" i="7"/>
  <c r="N122" i="7" s="1"/>
  <c r="M124" i="7"/>
  <c r="P124" i="7" s="1"/>
  <c r="L124" i="7"/>
  <c r="O124" i="7" s="1"/>
  <c r="P123" i="7"/>
  <c r="O123" i="7"/>
  <c r="P120" i="7"/>
  <c r="O120" i="7"/>
  <c r="N120" i="7"/>
  <c r="M120" i="7"/>
  <c r="L120" i="7"/>
  <c r="K118" i="7"/>
  <c r="J118" i="7"/>
  <c r="I116" i="7"/>
  <c r="K116" i="7" s="1"/>
  <c r="I115" i="7"/>
  <c r="I114" i="7"/>
  <c r="K114" i="7" s="1"/>
  <c r="I113" i="7"/>
  <c r="K113" i="7" s="1"/>
  <c r="J112" i="7"/>
  <c r="J111" i="7"/>
  <c r="I111" i="7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I87" i="7" s="1"/>
  <c r="K87" i="7" s="1"/>
  <c r="J98" i="7"/>
  <c r="I98" i="7"/>
  <c r="I86" i="7" s="1"/>
  <c r="K86" i="7" s="1"/>
  <c r="N96" i="7"/>
  <c r="N94" i="7" s="1"/>
  <c r="M96" i="7"/>
  <c r="M94" i="7" s="1"/>
  <c r="P94" i="7" s="1"/>
  <c r="L96" i="7"/>
  <c r="O96" i="7" s="1"/>
  <c r="P95" i="7"/>
  <c r="O95" i="7"/>
  <c r="N93" i="7"/>
  <c r="M93" i="7"/>
  <c r="L93" i="7"/>
  <c r="L91" i="7" s="1"/>
  <c r="P92" i="7"/>
  <c r="O92" i="7"/>
  <c r="P89" i="7"/>
  <c r="N89" i="7"/>
  <c r="M89" i="7"/>
  <c r="L89" i="7"/>
  <c r="J87" i="7"/>
  <c r="J86" i="7"/>
  <c r="I84" i="7"/>
  <c r="K84" i="7" s="1"/>
  <c r="I83" i="7"/>
  <c r="K83" i="7" s="1"/>
  <c r="I82" i="7"/>
  <c r="K82" i="7" s="1"/>
  <c r="I81" i="7"/>
  <c r="K81" i="7" s="1"/>
  <c r="I80" i="7"/>
  <c r="K80" i="7" s="1"/>
  <c r="I79" i="7"/>
  <c r="K79" i="7" s="1"/>
  <c r="I78" i="7"/>
  <c r="J77" i="7"/>
  <c r="J76" i="7"/>
  <c r="N74" i="7"/>
  <c r="N72" i="7" s="1"/>
  <c r="M74" i="7"/>
  <c r="M72" i="7" s="1"/>
  <c r="P72" i="7" s="1"/>
  <c r="L74" i="7"/>
  <c r="O74" i="7" s="1"/>
  <c r="P73" i="7"/>
  <c r="O73" i="7"/>
  <c r="N71" i="7"/>
  <c r="N69" i="7" s="1"/>
  <c r="M71" i="7"/>
  <c r="M69" i="7" s="1"/>
  <c r="L71" i="7"/>
  <c r="P70" i="7"/>
  <c r="O70" i="7"/>
  <c r="P67" i="7"/>
  <c r="O67" i="7"/>
  <c r="N67" i="7"/>
  <c r="M67" i="7"/>
  <c r="L67" i="7"/>
  <c r="J65" i="7"/>
  <c r="J64" i="7"/>
  <c r="N61" i="7"/>
  <c r="N59" i="7" s="1"/>
  <c r="M61" i="7"/>
  <c r="L61" i="7"/>
  <c r="L59" i="7" s="1"/>
  <c r="O59" i="7" s="1"/>
  <c r="P60" i="7"/>
  <c r="O60" i="7"/>
  <c r="N58" i="7"/>
  <c r="N56" i="7" s="1"/>
  <c r="M58" i="7"/>
  <c r="L58" i="7"/>
  <c r="P57" i="7"/>
  <c r="O57" i="7"/>
  <c r="N54" i="7"/>
  <c r="M54" i="7"/>
  <c r="P54" i="7" s="1"/>
  <c r="L54" i="7"/>
  <c r="O54" i="7" s="1"/>
  <c r="N49" i="7"/>
  <c r="M49" i="7"/>
  <c r="P49" i="7" s="1"/>
  <c r="L49" i="7"/>
  <c r="O49" i="7" s="1"/>
  <c r="P48" i="7"/>
  <c r="O48" i="7"/>
  <c r="N46" i="7"/>
  <c r="M46" i="7"/>
  <c r="M44" i="7" s="1"/>
  <c r="L46" i="7"/>
  <c r="L44" i="7" s="1"/>
  <c r="P45" i="7"/>
  <c r="O45" i="7"/>
  <c r="P42" i="7"/>
  <c r="O42" i="7"/>
  <c r="N42" i="7"/>
  <c r="M42" i="7"/>
  <c r="L42" i="7"/>
  <c r="N36" i="7"/>
  <c r="N34" i="7" s="1"/>
  <c r="M36" i="7"/>
  <c r="P36" i="7" s="1"/>
  <c r="P35" i="7"/>
  <c r="N35" i="7"/>
  <c r="M35" i="7"/>
  <c r="L35" i="7"/>
  <c r="O35" i="7" s="1"/>
  <c r="M33" i="7"/>
  <c r="P33" i="7" s="1"/>
  <c r="O32" i="7"/>
  <c r="N32" i="7"/>
  <c r="N29" i="7" s="1"/>
  <c r="N28" i="7" s="1"/>
  <c r="M32" i="7"/>
  <c r="P32" i="7" s="1"/>
  <c r="L32" i="7"/>
  <c r="M29" i="7"/>
  <c r="P25" i="7"/>
  <c r="N25" i="7"/>
  <c r="N15" i="7" s="1"/>
  <c r="M25" i="7"/>
  <c r="L25" i="7"/>
  <c r="L19" i="7" s="1"/>
  <c r="O22" i="7"/>
  <c r="N22" i="7"/>
  <c r="M22" i="7"/>
  <c r="L22" i="7"/>
  <c r="N19" i="7"/>
  <c r="O12" i="7"/>
  <c r="L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P809" i="6"/>
  <c r="O809" i="6"/>
  <c r="P808" i="6"/>
  <c r="O808" i="6"/>
  <c r="N808" i="6"/>
  <c r="M808" i="6"/>
  <c r="L808" i="6"/>
  <c r="O807" i="6"/>
  <c r="N807" i="6"/>
  <c r="M807" i="6"/>
  <c r="P807" i="6" s="1"/>
  <c r="L807" i="6"/>
  <c r="N806" i="6"/>
  <c r="M806" i="6"/>
  <c r="P806" i="6" s="1"/>
  <c r="L806" i="6"/>
  <c r="N805" i="6"/>
  <c r="K804" i="6"/>
  <c r="J804" i="6"/>
  <c r="J803" i="6"/>
  <c r="I803" i="6"/>
  <c r="J802" i="6"/>
  <c r="J801" i="6"/>
  <c r="I801" i="6"/>
  <c r="K801" i="6" s="1"/>
  <c r="J800" i="6"/>
  <c r="P798" i="6"/>
  <c r="O798" i="6"/>
  <c r="P797" i="6"/>
  <c r="O797" i="6"/>
  <c r="N796" i="6"/>
  <c r="M796" i="6"/>
  <c r="P796" i="6" s="1"/>
  <c r="L796" i="6"/>
  <c r="O796" i="6" s="1"/>
  <c r="P791" i="6"/>
  <c r="N791" i="6"/>
  <c r="N788" i="6" s="1"/>
  <c r="L791" i="6"/>
  <c r="L788" i="6" s="1"/>
  <c r="O788" i="6" s="1"/>
  <c r="P790" i="6"/>
  <c r="O790" i="6"/>
  <c r="N789" i="6"/>
  <c r="M789" i="6"/>
  <c r="P789" i="6" s="1"/>
  <c r="P788" i="6"/>
  <c r="M788" i="6"/>
  <c r="P787" i="6"/>
  <c r="O787" i="6"/>
  <c r="N787" i="6"/>
  <c r="M787" i="6"/>
  <c r="M786" i="6" s="1"/>
  <c r="L787" i="6"/>
  <c r="P786" i="6"/>
  <c r="N786" i="6"/>
  <c r="P782" i="6"/>
  <c r="O782" i="6"/>
  <c r="P781" i="6"/>
  <c r="O781" i="6"/>
  <c r="P780" i="6"/>
  <c r="O780" i="6"/>
  <c r="N780" i="6"/>
  <c r="M780" i="6"/>
  <c r="L780" i="6"/>
  <c r="P775" i="6"/>
  <c r="O775" i="6"/>
  <c r="N775" i="6"/>
  <c r="P774" i="6"/>
  <c r="O774" i="6"/>
  <c r="N773" i="6"/>
  <c r="M773" i="6"/>
  <c r="P773" i="6" s="1"/>
  <c r="L773" i="6"/>
  <c r="O773" i="6" s="1"/>
  <c r="N772" i="6"/>
  <c r="M772" i="6"/>
  <c r="P772" i="6" s="1"/>
  <c r="L772" i="6"/>
  <c r="O772" i="6" s="1"/>
  <c r="P771" i="6"/>
  <c r="N771" i="6"/>
  <c r="N770" i="6" s="1"/>
  <c r="M771" i="6"/>
  <c r="M770" i="6" s="1"/>
  <c r="P770" i="6" s="1"/>
  <c r="L771" i="6"/>
  <c r="K769" i="6"/>
  <c r="J769" i="6"/>
  <c r="P766" i="6"/>
  <c r="O766" i="6"/>
  <c r="P765" i="6"/>
  <c r="O765" i="6"/>
  <c r="P764" i="6"/>
  <c r="O764" i="6"/>
  <c r="N764" i="6"/>
  <c r="M764" i="6"/>
  <c r="L764" i="6"/>
  <c r="P759" i="6"/>
  <c r="O759" i="6"/>
  <c r="N759" i="6"/>
  <c r="P758" i="6"/>
  <c r="O758" i="6"/>
  <c r="N757" i="6"/>
  <c r="M757" i="6"/>
  <c r="P757" i="6" s="1"/>
  <c r="L757" i="6"/>
  <c r="O757" i="6" s="1"/>
  <c r="N756" i="6"/>
  <c r="M756" i="6"/>
  <c r="P756" i="6" s="1"/>
  <c r="L756" i="6"/>
  <c r="O756" i="6" s="1"/>
  <c r="P755" i="6"/>
  <c r="N755" i="6"/>
  <c r="N754" i="6" s="1"/>
  <c r="M755" i="6"/>
  <c r="L755" i="6"/>
  <c r="K753" i="6"/>
  <c r="J753" i="6"/>
  <c r="P749" i="6"/>
  <c r="O749" i="6"/>
  <c r="P748" i="6"/>
  <c r="O748" i="6"/>
  <c r="P747" i="6"/>
  <c r="O747" i="6"/>
  <c r="N747" i="6"/>
  <c r="M747" i="6"/>
  <c r="L747" i="6"/>
  <c r="P742" i="6"/>
  <c r="O742" i="6"/>
  <c r="N742" i="6"/>
  <c r="P741" i="6"/>
  <c r="O741" i="6"/>
  <c r="N740" i="6"/>
  <c r="M740" i="6"/>
  <c r="P740" i="6" s="1"/>
  <c r="L740" i="6"/>
  <c r="O740" i="6" s="1"/>
  <c r="N739" i="6"/>
  <c r="M739" i="6"/>
  <c r="P739" i="6" s="1"/>
  <c r="L739" i="6"/>
  <c r="O739" i="6" s="1"/>
  <c r="P738" i="6"/>
  <c r="N738" i="6"/>
  <c r="N737" i="6" s="1"/>
  <c r="M738" i="6"/>
  <c r="M737" i="6" s="1"/>
  <c r="P737" i="6" s="1"/>
  <c r="L738" i="6"/>
  <c r="K736" i="6"/>
  <c r="J736" i="6"/>
  <c r="J729" i="6"/>
  <c r="I729" i="6"/>
  <c r="J728" i="6"/>
  <c r="I728" i="6"/>
  <c r="K728" i="6" s="1"/>
  <c r="J727" i="6"/>
  <c r="J726" i="6"/>
  <c r="I726" i="6"/>
  <c r="K726" i="6" s="1"/>
  <c r="J725" i="6"/>
  <c r="I725" i="6"/>
  <c r="J724" i="6"/>
  <c r="J723" i="6"/>
  <c r="I723" i="6"/>
  <c r="I722" i="6"/>
  <c r="I721" i="6"/>
  <c r="J720" i="6"/>
  <c r="I720" i="6"/>
  <c r="J719" i="6"/>
  <c r="J718" i="6"/>
  <c r="J708" i="6"/>
  <c r="I708" i="6"/>
  <c r="I707" i="6"/>
  <c r="I704" i="6"/>
  <c r="J701" i="6"/>
  <c r="I701" i="6"/>
  <c r="J700" i="6"/>
  <c r="I700" i="6"/>
  <c r="J699" i="6"/>
  <c r="I699" i="6"/>
  <c r="K699" i="6" s="1"/>
  <c r="P697" i="6"/>
  <c r="O697" i="6"/>
  <c r="P696" i="6"/>
  <c r="O696" i="6"/>
  <c r="P695" i="6"/>
  <c r="O695" i="6"/>
  <c r="N695" i="6"/>
  <c r="M695" i="6"/>
  <c r="L695" i="6"/>
  <c r="P690" i="6"/>
  <c r="N690" i="6"/>
  <c r="N687" i="6" s="1"/>
  <c r="N685" i="6" s="1"/>
  <c r="L690" i="6"/>
  <c r="L688" i="6" s="1"/>
  <c r="O688" i="6" s="1"/>
  <c r="N688" i="6"/>
  <c r="M688" i="6"/>
  <c r="P688" i="6" s="1"/>
  <c r="P687" i="6"/>
  <c r="M687" i="6"/>
  <c r="P686" i="6"/>
  <c r="O686" i="6"/>
  <c r="N686" i="6"/>
  <c r="M686" i="6"/>
  <c r="M685" i="6" s="1"/>
  <c r="L686" i="6"/>
  <c r="P685" i="6"/>
  <c r="J679" i="6"/>
  <c r="J678" i="6" s="1"/>
  <c r="I678" i="6"/>
  <c r="K678" i="6" s="1"/>
  <c r="J675" i="6"/>
  <c r="I671" i="6"/>
  <c r="K671" i="6" s="1"/>
  <c r="I670" i="6"/>
  <c r="K670" i="6" s="1"/>
  <c r="J669" i="6"/>
  <c r="J654" i="6" s="1"/>
  <c r="I669" i="6"/>
  <c r="K673" i="6" s="1"/>
  <c r="P667" i="6"/>
  <c r="O667" i="6"/>
  <c r="P666" i="6"/>
  <c r="O666" i="6"/>
  <c r="P665" i="6"/>
  <c r="O665" i="6"/>
  <c r="N665" i="6"/>
  <c r="M665" i="6"/>
  <c r="L665" i="6"/>
  <c r="P660" i="6"/>
  <c r="N660" i="6"/>
  <c r="N657" i="6" s="1"/>
  <c r="L660" i="6"/>
  <c r="O660" i="6" s="1"/>
  <c r="P659" i="6"/>
  <c r="O659" i="6"/>
  <c r="P658" i="6"/>
  <c r="N658" i="6"/>
  <c r="M658" i="6"/>
  <c r="M657" i="6"/>
  <c r="P657" i="6" s="1"/>
  <c r="N656" i="6"/>
  <c r="N655" i="6" s="1"/>
  <c r="M656" i="6"/>
  <c r="P656" i="6" s="1"/>
  <c r="L656" i="6"/>
  <c r="M655" i="6"/>
  <c r="P655" i="6" s="1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P640" i="6"/>
  <c r="O640" i="6"/>
  <c r="N639" i="6"/>
  <c r="M639" i="6"/>
  <c r="P639" i="6" s="1"/>
  <c r="N638" i="6"/>
  <c r="N634" i="6" s="1"/>
  <c r="P634" i="6"/>
  <c r="L634" i="6"/>
  <c r="P633" i="6"/>
  <c r="O633" i="6"/>
  <c r="M632" i="6"/>
  <c r="P632" i="6" s="1"/>
  <c r="P631" i="6"/>
  <c r="M631" i="6"/>
  <c r="P630" i="6"/>
  <c r="O630" i="6"/>
  <c r="N630" i="6"/>
  <c r="M630" i="6"/>
  <c r="M629" i="6" s="1"/>
  <c r="P629" i="6" s="1"/>
  <c r="L630" i="6"/>
  <c r="J621" i="6"/>
  <c r="I621" i="6"/>
  <c r="K621" i="6" s="1"/>
  <c r="J620" i="6"/>
  <c r="I620" i="6"/>
  <c r="K613" i="6"/>
  <c r="J613" i="6"/>
  <c r="K612" i="6"/>
  <c r="J612" i="6"/>
  <c r="K611" i="6"/>
  <c r="J611" i="6"/>
  <c r="J604" i="6"/>
  <c r="J594" i="6" s="1"/>
  <c r="J603" i="6"/>
  <c r="J596" i="6"/>
  <c r="J595" i="6"/>
  <c r="J593" i="6" s="1"/>
  <c r="J592" i="6" s="1"/>
  <c r="I594" i="6"/>
  <c r="K594" i="6" s="1"/>
  <c r="I593" i="6"/>
  <c r="J583" i="6"/>
  <c r="J582" i="6"/>
  <c r="J577" i="6"/>
  <c r="I577" i="6"/>
  <c r="J576" i="6"/>
  <c r="I576" i="6"/>
  <c r="K576" i="6" s="1"/>
  <c r="J569" i="6"/>
  <c r="I569" i="6"/>
  <c r="J568" i="6"/>
  <c r="I568" i="6"/>
  <c r="K568" i="6" s="1"/>
  <c r="J561" i="6"/>
  <c r="I561" i="6"/>
  <c r="J560" i="6"/>
  <c r="I560" i="6"/>
  <c r="K560" i="6" s="1"/>
  <c r="J559" i="6"/>
  <c r="P557" i="6"/>
  <c r="L557" i="6"/>
  <c r="O557" i="6" s="1"/>
  <c r="P556" i="6"/>
  <c r="O556" i="6"/>
  <c r="P555" i="6"/>
  <c r="N555" i="6"/>
  <c r="M555" i="6"/>
  <c r="N553" i="6"/>
  <c r="N552" i="6"/>
  <c r="P549" i="6"/>
  <c r="L549" i="6"/>
  <c r="L547" i="6" s="1"/>
  <c r="P548" i="6"/>
  <c r="O548" i="6"/>
  <c r="P547" i="6"/>
  <c r="M547" i="6"/>
  <c r="P546" i="6"/>
  <c r="M546" i="6"/>
  <c r="P545" i="6"/>
  <c r="O545" i="6"/>
  <c r="N545" i="6"/>
  <c r="M545" i="6"/>
  <c r="L545" i="6"/>
  <c r="M544" i="6"/>
  <c r="P544" i="6" s="1"/>
  <c r="I542" i="6"/>
  <c r="K542" i="6" s="1"/>
  <c r="I541" i="6"/>
  <c r="K541" i="6" s="1"/>
  <c r="I540" i="6"/>
  <c r="K540" i="6" s="1"/>
  <c r="I539" i="6"/>
  <c r="K539" i="6" s="1"/>
  <c r="I538" i="6"/>
  <c r="K538" i="6" s="1"/>
  <c r="I537" i="6"/>
  <c r="I522" i="6" s="1"/>
  <c r="K522" i="6" s="1"/>
  <c r="P535" i="6"/>
  <c r="L535" i="6"/>
  <c r="P534" i="6"/>
  <c r="O534" i="6"/>
  <c r="P533" i="6"/>
  <c r="N533" i="6"/>
  <c r="M533" i="6"/>
  <c r="P528" i="6"/>
  <c r="N528" i="6"/>
  <c r="N525" i="6" s="1"/>
  <c r="L528" i="6"/>
  <c r="L526" i="6" s="1"/>
  <c r="O526" i="6" s="1"/>
  <c r="P527" i="6"/>
  <c r="O527" i="6"/>
  <c r="P526" i="6"/>
  <c r="N526" i="6"/>
  <c r="M526" i="6"/>
  <c r="M525" i="6"/>
  <c r="P525" i="6" s="1"/>
  <c r="N524" i="6"/>
  <c r="M524" i="6"/>
  <c r="P524" i="6" s="1"/>
  <c r="L524" i="6"/>
  <c r="N523" i="6"/>
  <c r="K517" i="6"/>
  <c r="J517" i="6"/>
  <c r="J501" i="6" s="1"/>
  <c r="K516" i="6"/>
  <c r="P514" i="6"/>
  <c r="O514" i="6"/>
  <c r="P513" i="6"/>
  <c r="O513" i="6"/>
  <c r="P512" i="6"/>
  <c r="O512" i="6"/>
  <c r="N512" i="6"/>
  <c r="M512" i="6"/>
  <c r="L512" i="6"/>
  <c r="P507" i="6"/>
  <c r="O507" i="6"/>
  <c r="N507" i="6"/>
  <c r="P506" i="6"/>
  <c r="O506" i="6"/>
  <c r="N505" i="6"/>
  <c r="M505" i="6"/>
  <c r="P505" i="6" s="1"/>
  <c r="L505" i="6"/>
  <c r="O505" i="6" s="1"/>
  <c r="N504" i="6"/>
  <c r="N502" i="6" s="1"/>
  <c r="M504" i="6"/>
  <c r="P504" i="6" s="1"/>
  <c r="L504" i="6"/>
  <c r="O504" i="6" s="1"/>
  <c r="N503" i="6"/>
  <c r="M503" i="6"/>
  <c r="L503" i="6"/>
  <c r="O503" i="6" s="1"/>
  <c r="L502" i="6"/>
  <c r="O502" i="6" s="1"/>
  <c r="K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P478" i="6"/>
  <c r="O478" i="6"/>
  <c r="N477" i="6"/>
  <c r="M477" i="6"/>
  <c r="P477" i="6" s="1"/>
  <c r="N475" i="6"/>
  <c r="P472" i="6"/>
  <c r="N472" i="6"/>
  <c r="N469" i="6" s="1"/>
  <c r="L472" i="6"/>
  <c r="P471" i="6"/>
  <c r="O471" i="6"/>
  <c r="N470" i="6"/>
  <c r="M470" i="6"/>
  <c r="P470" i="6" s="1"/>
  <c r="M469" i="6"/>
  <c r="P469" i="6" s="1"/>
  <c r="N468" i="6"/>
  <c r="M468" i="6"/>
  <c r="L468" i="6"/>
  <c r="O468" i="6" s="1"/>
  <c r="J466" i="6"/>
  <c r="I466" i="6"/>
  <c r="J465" i="6"/>
  <c r="I465" i="6"/>
  <c r="K465" i="6" s="1"/>
  <c r="I464" i="6"/>
  <c r="I463" i="6"/>
  <c r="I462" i="6"/>
  <c r="K462" i="6" s="1"/>
  <c r="I460" i="6"/>
  <c r="I442" i="6" s="1"/>
  <c r="K458" i="6"/>
  <c r="P456" i="6"/>
  <c r="L456" i="6"/>
  <c r="O456" i="6" s="1"/>
  <c r="P455" i="6"/>
  <c r="O455" i="6"/>
  <c r="P454" i="6"/>
  <c r="N454" i="6"/>
  <c r="M454" i="6"/>
  <c r="N453" i="6"/>
  <c r="N449" i="6" s="1"/>
  <c r="N447" i="6" s="1"/>
  <c r="P449" i="6"/>
  <c r="L449" i="6"/>
  <c r="L447" i="6" s="1"/>
  <c r="O447" i="6" s="1"/>
  <c r="P448" i="6"/>
  <c r="O448" i="6"/>
  <c r="P447" i="6"/>
  <c r="M447" i="6"/>
  <c r="P446" i="6"/>
  <c r="N446" i="6"/>
  <c r="M446" i="6"/>
  <c r="P445" i="6"/>
  <c r="O445" i="6"/>
  <c r="N445" i="6"/>
  <c r="M445" i="6"/>
  <c r="M444" i="6" s="1"/>
  <c r="L445" i="6"/>
  <c r="J443" i="6"/>
  <c r="J442" i="6"/>
  <c r="I441" i="6"/>
  <c r="K441" i="6" s="1"/>
  <c r="I440" i="6"/>
  <c r="K440" i="6" s="1"/>
  <c r="I439" i="6"/>
  <c r="K439" i="6" s="1"/>
  <c r="I438" i="6"/>
  <c r="K438" i="6" s="1"/>
  <c r="I437" i="6"/>
  <c r="K437" i="6" s="1"/>
  <c r="I435" i="6"/>
  <c r="J434" i="6"/>
  <c r="P431" i="6"/>
  <c r="L431" i="6"/>
  <c r="O431" i="6" s="1"/>
  <c r="P430" i="6"/>
  <c r="O430" i="6"/>
  <c r="N429" i="6"/>
  <c r="M429" i="6"/>
  <c r="P429" i="6" s="1"/>
  <c r="N428" i="6"/>
  <c r="N424" i="6" s="1"/>
  <c r="P424" i="6"/>
  <c r="L424" i="6"/>
  <c r="L422" i="6" s="1"/>
  <c r="P423" i="6"/>
  <c r="O423" i="6"/>
  <c r="P422" i="6"/>
  <c r="M422" i="6"/>
  <c r="P421" i="6"/>
  <c r="M421" i="6"/>
  <c r="P420" i="6"/>
  <c r="O420" i="6"/>
  <c r="N420" i="6"/>
  <c r="M420" i="6"/>
  <c r="L420" i="6"/>
  <c r="P419" i="6"/>
  <c r="M419" i="6"/>
  <c r="J418" i="6"/>
  <c r="K413" i="6"/>
  <c r="K412" i="6"/>
  <c r="N410" i="6"/>
  <c r="N408" i="6" s="1"/>
  <c r="M410" i="6"/>
  <c r="M408" i="6" s="1"/>
  <c r="P408" i="6" s="1"/>
  <c r="L410" i="6"/>
  <c r="O410" i="6" s="1"/>
  <c r="P409" i="6"/>
  <c r="O409" i="6"/>
  <c r="N407" i="6"/>
  <c r="M407" i="6"/>
  <c r="M405" i="6" s="1"/>
  <c r="P405" i="6" s="1"/>
  <c r="L407" i="6"/>
  <c r="P406" i="6"/>
  <c r="O406" i="6"/>
  <c r="N403" i="6"/>
  <c r="M403" i="6"/>
  <c r="P403" i="6" s="1"/>
  <c r="L403" i="6"/>
  <c r="K401" i="6"/>
  <c r="J401" i="6"/>
  <c r="I401" i="6"/>
  <c r="K400" i="6"/>
  <c r="K399" i="6"/>
  <c r="N397" i="6"/>
  <c r="N395" i="6" s="1"/>
  <c r="M397" i="6"/>
  <c r="P397" i="6" s="1"/>
  <c r="L397" i="6"/>
  <c r="L395" i="6" s="1"/>
  <c r="O395" i="6" s="1"/>
  <c r="P396" i="6"/>
  <c r="O396" i="6"/>
  <c r="N394" i="6"/>
  <c r="M394" i="6"/>
  <c r="M392" i="6" s="1"/>
  <c r="P392" i="6" s="1"/>
  <c r="L394" i="6"/>
  <c r="O394" i="6" s="1"/>
  <c r="P393" i="6"/>
  <c r="O393" i="6"/>
  <c r="P390" i="6"/>
  <c r="O390" i="6"/>
  <c r="N390" i="6"/>
  <c r="M390" i="6"/>
  <c r="L390" i="6"/>
  <c r="J388" i="6"/>
  <c r="I388" i="6"/>
  <c r="K388" i="6" s="1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L353" i="6"/>
  <c r="L351" i="6" s="1"/>
  <c r="P352" i="6"/>
  <c r="O352" i="6"/>
  <c r="N350" i="6"/>
  <c r="N348" i="6" s="1"/>
  <c r="M350" i="6"/>
  <c r="L350" i="6"/>
  <c r="P349" i="6"/>
  <c r="O349" i="6"/>
  <c r="P346" i="6"/>
  <c r="O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L336" i="6"/>
  <c r="L334" i="6" s="1"/>
  <c r="O334" i="6" s="1"/>
  <c r="P335" i="6"/>
  <c r="O335" i="6"/>
  <c r="N333" i="6"/>
  <c r="M333" i="6"/>
  <c r="M331" i="6" s="1"/>
  <c r="L333" i="6"/>
  <c r="L331" i="6" s="1"/>
  <c r="P332" i="6"/>
  <c r="O332" i="6"/>
  <c r="P329" i="6"/>
  <c r="O329" i="6"/>
  <c r="N329" i="6"/>
  <c r="M329" i="6"/>
  <c r="L329" i="6"/>
  <c r="I327" i="6"/>
  <c r="I325" i="6"/>
  <c r="N323" i="6"/>
  <c r="N321" i="6" s="1"/>
  <c r="M323" i="6"/>
  <c r="P323" i="6" s="1"/>
  <c r="L323" i="6"/>
  <c r="O323" i="6" s="1"/>
  <c r="P322" i="6"/>
  <c r="O322" i="6"/>
  <c r="N320" i="6"/>
  <c r="M320" i="6"/>
  <c r="P320" i="6" s="1"/>
  <c r="L320" i="6"/>
  <c r="O320" i="6" s="1"/>
  <c r="P319" i="6"/>
  <c r="O319" i="6"/>
  <c r="N316" i="6"/>
  <c r="M316" i="6"/>
  <c r="L316" i="6"/>
  <c r="O316" i="6" s="1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M304" i="6" s="1"/>
  <c r="P304" i="6" s="1"/>
  <c r="L306" i="6"/>
  <c r="L304" i="6" s="1"/>
  <c r="O304" i="6" s="1"/>
  <c r="P305" i="6"/>
  <c r="O305" i="6"/>
  <c r="N303" i="6"/>
  <c r="M303" i="6"/>
  <c r="M301" i="6" s="1"/>
  <c r="L303" i="6"/>
  <c r="L301" i="6" s="1"/>
  <c r="P302" i="6"/>
  <c r="O302" i="6"/>
  <c r="O299" i="6"/>
  <c r="N299" i="6"/>
  <c r="M299" i="6"/>
  <c r="P299" i="6" s="1"/>
  <c r="L299" i="6"/>
  <c r="J297" i="6"/>
  <c r="I294" i="6"/>
  <c r="K294" i="6" s="1"/>
  <c r="I293" i="6"/>
  <c r="K293" i="6" s="1"/>
  <c r="I291" i="6"/>
  <c r="K291" i="6" s="1"/>
  <c r="I290" i="6"/>
  <c r="K290" i="6" s="1"/>
  <c r="I288" i="6"/>
  <c r="J288" i="6" s="1"/>
  <c r="K288" i="6" s="1"/>
  <c r="I287" i="6"/>
  <c r="K287" i="6" s="1"/>
  <c r="N285" i="6"/>
  <c r="N283" i="6" s="1"/>
  <c r="M285" i="6"/>
  <c r="M283" i="6" s="1"/>
  <c r="P283" i="6" s="1"/>
  <c r="L285" i="6"/>
  <c r="L283" i="6" s="1"/>
  <c r="O283" i="6" s="1"/>
  <c r="P284" i="6"/>
  <c r="O284" i="6"/>
  <c r="N282" i="6"/>
  <c r="N280" i="6" s="1"/>
  <c r="M282" i="6"/>
  <c r="L282" i="6"/>
  <c r="L280" i="6" s="1"/>
  <c r="P281" i="6"/>
  <c r="O281" i="6"/>
  <c r="O278" i="6"/>
  <c r="N278" i="6"/>
  <c r="M278" i="6"/>
  <c r="L278" i="6"/>
  <c r="J276" i="6"/>
  <c r="I271" i="6"/>
  <c r="K271" i="6" s="1"/>
  <c r="N269" i="6"/>
  <c r="N267" i="6" s="1"/>
  <c r="M269" i="6"/>
  <c r="L269" i="6"/>
  <c r="L267" i="6" s="1"/>
  <c r="O267" i="6" s="1"/>
  <c r="P268" i="6"/>
  <c r="O268" i="6"/>
  <c r="N266" i="6"/>
  <c r="M266" i="6"/>
  <c r="M264" i="6" s="1"/>
  <c r="L266" i="6"/>
  <c r="L264" i="6" s="1"/>
  <c r="P265" i="6"/>
  <c r="O265" i="6"/>
  <c r="O262" i="6"/>
  <c r="N262" i="6"/>
  <c r="M262" i="6"/>
  <c r="P262" i="6" s="1"/>
  <c r="L262" i="6"/>
  <c r="J260" i="6"/>
  <c r="K258" i="6"/>
  <c r="K257" i="6"/>
  <c r="I255" i="6"/>
  <c r="L253" i="6"/>
  <c r="L252" i="6"/>
  <c r="L251" i="6"/>
  <c r="L250" i="6"/>
  <c r="P249" i="6"/>
  <c r="N249" i="6"/>
  <c r="J248" i="6"/>
  <c r="J226" i="6" s="1"/>
  <c r="J180" i="6" s="1"/>
  <c r="K247" i="6"/>
  <c r="K246" i="6"/>
  <c r="I244" i="6"/>
  <c r="L242" i="6"/>
  <c r="L241" i="6"/>
  <c r="L240" i="6"/>
  <c r="L239" i="6"/>
  <c r="P238" i="6"/>
  <c r="N238" i="6"/>
  <c r="N227" i="6" s="1"/>
  <c r="J237" i="6"/>
  <c r="K236" i="6"/>
  <c r="J236" i="6"/>
  <c r="I236" i="6"/>
  <c r="K235" i="6"/>
  <c r="J235" i="6"/>
  <c r="I235" i="6"/>
  <c r="J233" i="6"/>
  <c r="N231" i="6"/>
  <c r="N230" i="6"/>
  <c r="N229" i="6"/>
  <c r="N228" i="6"/>
  <c r="I225" i="6"/>
  <c r="K225" i="6" s="1"/>
  <c r="I224" i="6"/>
  <c r="K224" i="6" s="1"/>
  <c r="I223" i="6"/>
  <c r="K223" i="6" s="1"/>
  <c r="L220" i="6"/>
  <c r="L219" i="6"/>
  <c r="L218" i="6"/>
  <c r="P217" i="6"/>
  <c r="N217" i="6"/>
  <c r="J216" i="6"/>
  <c r="I215" i="6"/>
  <c r="I214" i="6"/>
  <c r="K214" i="6" s="1"/>
  <c r="L212" i="6"/>
  <c r="L211" i="6"/>
  <c r="L210" i="6"/>
  <c r="P209" i="6"/>
  <c r="N209" i="6"/>
  <c r="J208" i="6"/>
  <c r="K207" i="6"/>
  <c r="K206" i="6"/>
  <c r="I204" i="6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P189" i="6" s="1"/>
  <c r="L189" i="6"/>
  <c r="O189" i="6" s="1"/>
  <c r="P188" i="6"/>
  <c r="O188" i="6"/>
  <c r="N186" i="6"/>
  <c r="N184" i="6" s="1"/>
  <c r="M186" i="6"/>
  <c r="L186" i="6"/>
  <c r="L184" i="6" s="1"/>
  <c r="P185" i="6"/>
  <c r="O185" i="6"/>
  <c r="N182" i="6"/>
  <c r="M182" i="6"/>
  <c r="P182" i="6" s="1"/>
  <c r="L182" i="6"/>
  <c r="O182" i="6" s="1"/>
  <c r="J177" i="6"/>
  <c r="I176" i="6"/>
  <c r="I174" i="6" s="1"/>
  <c r="J174" i="6"/>
  <c r="N173" i="6"/>
  <c r="N171" i="6" s="1"/>
  <c r="M173" i="6"/>
  <c r="P173" i="6" s="1"/>
  <c r="L173" i="6"/>
  <c r="O173" i="6" s="1"/>
  <c r="P172" i="6"/>
  <c r="O172" i="6"/>
  <c r="N170" i="6"/>
  <c r="N168" i="6" s="1"/>
  <c r="M170" i="6"/>
  <c r="L170" i="6"/>
  <c r="L168" i="6" s="1"/>
  <c r="P169" i="6"/>
  <c r="O169" i="6"/>
  <c r="P166" i="6"/>
  <c r="N166" i="6"/>
  <c r="M166" i="6"/>
  <c r="L166" i="6"/>
  <c r="O166" i="6" s="1"/>
  <c r="J164" i="6"/>
  <c r="I159" i="6"/>
  <c r="K159" i="6" s="1"/>
  <c r="N157" i="6"/>
  <c r="N155" i="6" s="1"/>
  <c r="M157" i="6"/>
  <c r="M155" i="6" s="1"/>
  <c r="P155" i="6" s="1"/>
  <c r="L157" i="6"/>
  <c r="L155" i="6" s="1"/>
  <c r="O155" i="6" s="1"/>
  <c r="P156" i="6"/>
  <c r="O156" i="6"/>
  <c r="N154" i="6"/>
  <c r="N152" i="6" s="1"/>
  <c r="M154" i="6"/>
  <c r="M152" i="6" s="1"/>
  <c r="L154" i="6"/>
  <c r="P153" i="6"/>
  <c r="O153" i="6"/>
  <c r="P150" i="6"/>
  <c r="N150" i="6"/>
  <c r="M150" i="6"/>
  <c r="L150" i="6"/>
  <c r="J148" i="6"/>
  <c r="I146" i="6"/>
  <c r="K146" i="6" s="1"/>
  <c r="I145" i="6"/>
  <c r="I144" i="6"/>
  <c r="N140" i="6"/>
  <c r="N138" i="6" s="1"/>
  <c r="M140" i="6"/>
  <c r="M138" i="6" s="1"/>
  <c r="L140" i="6"/>
  <c r="P139" i="6"/>
  <c r="O139" i="6"/>
  <c r="N137" i="6"/>
  <c r="M137" i="6"/>
  <c r="M135" i="6" s="1"/>
  <c r="L137" i="6"/>
  <c r="P136" i="6"/>
  <c r="O136" i="6"/>
  <c r="N133" i="6"/>
  <c r="M133" i="6"/>
  <c r="L133" i="6"/>
  <c r="J130" i="6"/>
  <c r="N127" i="6"/>
  <c r="N125" i="6" s="1"/>
  <c r="M127" i="6"/>
  <c r="M125" i="6" s="1"/>
  <c r="P125" i="6" s="1"/>
  <c r="L127" i="6"/>
  <c r="L125" i="6" s="1"/>
  <c r="O125" i="6" s="1"/>
  <c r="P126" i="6"/>
  <c r="O126" i="6"/>
  <c r="N124" i="6"/>
  <c r="N122" i="6" s="1"/>
  <c r="M124" i="6"/>
  <c r="M122" i="6" s="1"/>
  <c r="P122" i="6" s="1"/>
  <c r="L124" i="6"/>
  <c r="O124" i="6" s="1"/>
  <c r="P123" i="6"/>
  <c r="O123" i="6"/>
  <c r="P120" i="6"/>
  <c r="O120" i="6"/>
  <c r="N120" i="6"/>
  <c r="M120" i="6"/>
  <c r="L120" i="6"/>
  <c r="K118" i="6"/>
  <c r="J118" i="6"/>
  <c r="I116" i="6"/>
  <c r="K116" i="6" s="1"/>
  <c r="I115" i="6"/>
  <c r="K115" i="6" s="1"/>
  <c r="I114" i="6"/>
  <c r="K114" i="6" s="1"/>
  <c r="I113" i="6"/>
  <c r="K113" i="6" s="1"/>
  <c r="J112" i="6"/>
  <c r="J111" i="6"/>
  <c r="I111" i="6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J98" i="6"/>
  <c r="I98" i="6"/>
  <c r="I86" i="6" s="1"/>
  <c r="K86" i="6" s="1"/>
  <c r="N96" i="6"/>
  <c r="N94" i="6" s="1"/>
  <c r="M96" i="6"/>
  <c r="L96" i="6"/>
  <c r="O96" i="6" s="1"/>
  <c r="P95" i="6"/>
  <c r="O95" i="6"/>
  <c r="N93" i="6"/>
  <c r="M93" i="6"/>
  <c r="M91" i="6" s="1"/>
  <c r="L93" i="6"/>
  <c r="L91" i="6" s="1"/>
  <c r="P92" i="6"/>
  <c r="O92" i="6"/>
  <c r="P89" i="6"/>
  <c r="O89" i="6"/>
  <c r="N89" i="6"/>
  <c r="M89" i="6"/>
  <c r="L89" i="6"/>
  <c r="J87" i="6"/>
  <c r="J86" i="6"/>
  <c r="I84" i="6"/>
  <c r="K84" i="6" s="1"/>
  <c r="I83" i="6"/>
  <c r="I82" i="6"/>
  <c r="K82" i="6" s="1"/>
  <c r="I81" i="6"/>
  <c r="K81" i="6" s="1"/>
  <c r="I80" i="6"/>
  <c r="I79" i="6"/>
  <c r="K79" i="6" s="1"/>
  <c r="I78" i="6"/>
  <c r="K78" i="6" s="1"/>
  <c r="J77" i="6"/>
  <c r="J76" i="6"/>
  <c r="J64" i="6" s="1"/>
  <c r="N74" i="6"/>
  <c r="N72" i="6" s="1"/>
  <c r="M74" i="6"/>
  <c r="P74" i="6" s="1"/>
  <c r="L74" i="6"/>
  <c r="L72" i="6" s="1"/>
  <c r="O72" i="6" s="1"/>
  <c r="P73" i="6"/>
  <c r="O73" i="6"/>
  <c r="N71" i="6"/>
  <c r="M71" i="6"/>
  <c r="M69" i="6" s="1"/>
  <c r="L71" i="6"/>
  <c r="P70" i="6"/>
  <c r="O70" i="6"/>
  <c r="O67" i="6"/>
  <c r="N67" i="6"/>
  <c r="M67" i="6"/>
  <c r="P67" i="6" s="1"/>
  <c r="L67" i="6"/>
  <c r="J65" i="6"/>
  <c r="N61" i="6"/>
  <c r="N59" i="6" s="1"/>
  <c r="M61" i="6"/>
  <c r="M59" i="6" s="1"/>
  <c r="P59" i="6" s="1"/>
  <c r="L61" i="6"/>
  <c r="L59" i="6" s="1"/>
  <c r="O59" i="6" s="1"/>
  <c r="P60" i="6"/>
  <c r="O60" i="6"/>
  <c r="N58" i="6"/>
  <c r="N56" i="6" s="1"/>
  <c r="M58" i="6"/>
  <c r="L58" i="6"/>
  <c r="L56" i="6" s="1"/>
  <c r="P57" i="6"/>
  <c r="O57" i="6"/>
  <c r="N54" i="6"/>
  <c r="M54" i="6"/>
  <c r="P54" i="6" s="1"/>
  <c r="L54" i="6"/>
  <c r="N49" i="6"/>
  <c r="M49" i="6"/>
  <c r="M47" i="6" s="1"/>
  <c r="P47" i="6" s="1"/>
  <c r="L49" i="6"/>
  <c r="O49" i="6" s="1"/>
  <c r="P48" i="6"/>
  <c r="O48" i="6"/>
  <c r="N46" i="6"/>
  <c r="N44" i="6" s="1"/>
  <c r="M46" i="6"/>
  <c r="M44" i="6" s="1"/>
  <c r="L46" i="6"/>
  <c r="L44" i="6" s="1"/>
  <c r="P45" i="6"/>
  <c r="O45" i="6"/>
  <c r="O42" i="6"/>
  <c r="N42" i="6"/>
  <c r="M42" i="6"/>
  <c r="P42" i="6" s="1"/>
  <c r="L42" i="6"/>
  <c r="N36" i="6"/>
  <c r="M36" i="6"/>
  <c r="P36" i="6" s="1"/>
  <c r="N35" i="6"/>
  <c r="N34" i="6" s="1"/>
  <c r="M35" i="6"/>
  <c r="M34" i="6" s="1"/>
  <c r="P34" i="6" s="1"/>
  <c r="L35" i="6"/>
  <c r="O35" i="6" s="1"/>
  <c r="M33" i="6"/>
  <c r="P33" i="6" s="1"/>
  <c r="P32" i="6"/>
  <c r="N32" i="6"/>
  <c r="M32" i="6"/>
  <c r="M31" i="6" s="1"/>
  <c r="P31" i="6" s="1"/>
  <c r="L32" i="6"/>
  <c r="O32" i="6" s="1"/>
  <c r="P30" i="6"/>
  <c r="M30" i="6"/>
  <c r="O29" i="6"/>
  <c r="M29" i="6"/>
  <c r="M28" i="6" s="1"/>
  <c r="P28" i="6" s="1"/>
  <c r="L29" i="6"/>
  <c r="N25" i="6"/>
  <c r="N19" i="6" s="1"/>
  <c r="M25" i="6"/>
  <c r="P25" i="6" s="1"/>
  <c r="L25" i="6"/>
  <c r="O25" i="6" s="1"/>
  <c r="O22" i="6"/>
  <c r="N22" i="6"/>
  <c r="M22" i="6"/>
  <c r="P22" i="6" s="1"/>
  <c r="L22" i="6"/>
  <c r="L19" i="6"/>
  <c r="O19" i="6" s="1"/>
  <c r="O15" i="6"/>
  <c r="L15" i="6"/>
  <c r="P12" i="6"/>
  <c r="M12" i="6"/>
  <c r="L12" i="6"/>
  <c r="O12" i="6" s="1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P809" i="5"/>
  <c r="O809" i="5"/>
  <c r="O808" i="5"/>
  <c r="N808" i="5"/>
  <c r="M808" i="5"/>
  <c r="P808" i="5" s="1"/>
  <c r="L808" i="5"/>
  <c r="N807" i="5"/>
  <c r="N805" i="5" s="1"/>
  <c r="M807" i="5"/>
  <c r="P807" i="5" s="1"/>
  <c r="L807" i="5"/>
  <c r="O807" i="5" s="1"/>
  <c r="N806" i="5"/>
  <c r="M806" i="5"/>
  <c r="L806" i="5"/>
  <c r="O806" i="5" s="1"/>
  <c r="L805" i="5"/>
  <c r="O805" i="5" s="1"/>
  <c r="K804" i="5"/>
  <c r="J804" i="5"/>
  <c r="K802" i="5"/>
  <c r="J801" i="5"/>
  <c r="J785" i="5" s="1"/>
  <c r="J800" i="5"/>
  <c r="I800" i="5"/>
  <c r="P798" i="5"/>
  <c r="O798" i="5"/>
  <c r="P797" i="5"/>
  <c r="O797" i="5"/>
  <c r="P796" i="5"/>
  <c r="O796" i="5"/>
  <c r="N796" i="5"/>
  <c r="M796" i="5"/>
  <c r="L796" i="5"/>
  <c r="P791" i="5"/>
  <c r="N791" i="5"/>
  <c r="N789" i="5" s="1"/>
  <c r="L791" i="5"/>
  <c r="L789" i="5" s="1"/>
  <c r="O789" i="5" s="1"/>
  <c r="P790" i="5"/>
  <c r="O790" i="5"/>
  <c r="M789" i="5"/>
  <c r="P789" i="5" s="1"/>
  <c r="M788" i="5"/>
  <c r="P788" i="5" s="1"/>
  <c r="N787" i="5"/>
  <c r="M787" i="5"/>
  <c r="L787" i="5"/>
  <c r="P782" i="5"/>
  <c r="O782" i="5"/>
  <c r="P781" i="5"/>
  <c r="O781" i="5"/>
  <c r="P780" i="5"/>
  <c r="N780" i="5"/>
  <c r="M780" i="5"/>
  <c r="L780" i="5"/>
  <c r="O780" i="5" s="1"/>
  <c r="P775" i="5"/>
  <c r="O775" i="5"/>
  <c r="N775" i="5"/>
  <c r="P774" i="5"/>
  <c r="O774" i="5"/>
  <c r="P773" i="5"/>
  <c r="O773" i="5"/>
  <c r="N773" i="5"/>
  <c r="M773" i="5"/>
  <c r="L773" i="5"/>
  <c r="O772" i="5"/>
  <c r="N772" i="5"/>
  <c r="M772" i="5"/>
  <c r="P772" i="5" s="1"/>
  <c r="L772" i="5"/>
  <c r="N771" i="5"/>
  <c r="N770" i="5" s="1"/>
  <c r="M771" i="5"/>
  <c r="P771" i="5" s="1"/>
  <c r="L771" i="5"/>
  <c r="O771" i="5" s="1"/>
  <c r="M770" i="5"/>
  <c r="P770" i="5" s="1"/>
  <c r="L770" i="5"/>
  <c r="O770" i="5" s="1"/>
  <c r="K769" i="5"/>
  <c r="J769" i="5"/>
  <c r="P766" i="5"/>
  <c r="O766" i="5"/>
  <c r="P765" i="5"/>
  <c r="O765" i="5"/>
  <c r="P764" i="5"/>
  <c r="N764" i="5"/>
  <c r="M764" i="5"/>
  <c r="L764" i="5"/>
  <c r="O764" i="5" s="1"/>
  <c r="P759" i="5"/>
  <c r="O759" i="5"/>
  <c r="N759" i="5"/>
  <c r="P758" i="5"/>
  <c r="O758" i="5"/>
  <c r="P757" i="5"/>
  <c r="O757" i="5"/>
  <c r="N757" i="5"/>
  <c r="M757" i="5"/>
  <c r="L757" i="5"/>
  <c r="O756" i="5"/>
  <c r="N756" i="5"/>
  <c r="M756" i="5"/>
  <c r="P756" i="5" s="1"/>
  <c r="L756" i="5"/>
  <c r="N755" i="5"/>
  <c r="M755" i="5"/>
  <c r="L755" i="5"/>
  <c r="O755" i="5" s="1"/>
  <c r="L754" i="5"/>
  <c r="O754" i="5" s="1"/>
  <c r="K753" i="5"/>
  <c r="J753" i="5"/>
  <c r="P749" i="5"/>
  <c r="O749" i="5"/>
  <c r="P748" i="5"/>
  <c r="O748" i="5"/>
  <c r="P747" i="5"/>
  <c r="N747" i="5"/>
  <c r="M747" i="5"/>
  <c r="L747" i="5"/>
  <c r="O747" i="5" s="1"/>
  <c r="P742" i="5"/>
  <c r="O742" i="5"/>
  <c r="N742" i="5"/>
  <c r="P741" i="5"/>
  <c r="O741" i="5"/>
  <c r="P740" i="5"/>
  <c r="O740" i="5"/>
  <c r="N740" i="5"/>
  <c r="M740" i="5"/>
  <c r="L740" i="5"/>
  <c r="O739" i="5"/>
  <c r="N739" i="5"/>
  <c r="M739" i="5"/>
  <c r="P739" i="5" s="1"/>
  <c r="L739" i="5"/>
  <c r="N738" i="5"/>
  <c r="N737" i="5" s="1"/>
  <c r="M738" i="5"/>
  <c r="P738" i="5" s="1"/>
  <c r="L738" i="5"/>
  <c r="O738" i="5" s="1"/>
  <c r="M737" i="5"/>
  <c r="P737" i="5" s="1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P695" i="5"/>
  <c r="N695" i="5"/>
  <c r="M695" i="5"/>
  <c r="L695" i="5"/>
  <c r="O695" i="5" s="1"/>
  <c r="P690" i="5"/>
  <c r="N690" i="5"/>
  <c r="L690" i="5"/>
  <c r="L688" i="5" s="1"/>
  <c r="O688" i="5" s="1"/>
  <c r="N688" i="5"/>
  <c r="M688" i="5"/>
  <c r="P688" i="5" s="1"/>
  <c r="N687" i="5"/>
  <c r="N685" i="5" s="1"/>
  <c r="M687" i="5"/>
  <c r="P687" i="5" s="1"/>
  <c r="N686" i="5"/>
  <c r="M686" i="5"/>
  <c r="L686" i="5"/>
  <c r="O686" i="5" s="1"/>
  <c r="J679" i="5"/>
  <c r="J678" i="5" s="1"/>
  <c r="I678" i="5"/>
  <c r="K678" i="5" s="1"/>
  <c r="J675" i="5"/>
  <c r="J669" i="5" s="1"/>
  <c r="J654" i="5" s="1"/>
  <c r="I671" i="5"/>
  <c r="K671" i="5" s="1"/>
  <c r="I670" i="5"/>
  <c r="K670" i="5" s="1"/>
  <c r="I669" i="5"/>
  <c r="K673" i="5" s="1"/>
  <c r="P667" i="5"/>
  <c r="O667" i="5"/>
  <c r="P666" i="5"/>
  <c r="O666" i="5"/>
  <c r="N665" i="5"/>
  <c r="M665" i="5"/>
  <c r="P665" i="5" s="1"/>
  <c r="L665" i="5"/>
  <c r="O665" i="5" s="1"/>
  <c r="P660" i="5"/>
  <c r="N660" i="5"/>
  <c r="N657" i="5" s="1"/>
  <c r="L660" i="5"/>
  <c r="O660" i="5" s="1"/>
  <c r="P659" i="5"/>
  <c r="O659" i="5"/>
  <c r="P658" i="5"/>
  <c r="N658" i="5"/>
  <c r="M658" i="5"/>
  <c r="P657" i="5"/>
  <c r="M657" i="5"/>
  <c r="P656" i="5"/>
  <c r="O656" i="5"/>
  <c r="N656" i="5"/>
  <c r="M656" i="5"/>
  <c r="L656" i="5"/>
  <c r="N655" i="5"/>
  <c r="M655" i="5"/>
  <c r="P655" i="5" s="1"/>
  <c r="K652" i="5"/>
  <c r="J652" i="5"/>
  <c r="J651" i="5"/>
  <c r="I651" i="5"/>
  <c r="I628" i="5" s="1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P640" i="5"/>
  <c r="O640" i="5"/>
  <c r="N639" i="5"/>
  <c r="M639" i="5"/>
  <c r="P639" i="5" s="1"/>
  <c r="P634" i="5"/>
  <c r="N634" i="5"/>
  <c r="N631" i="5" s="1"/>
  <c r="L634" i="5"/>
  <c r="P633" i="5"/>
  <c r="O633" i="5"/>
  <c r="N632" i="5"/>
  <c r="M632" i="5"/>
  <c r="P632" i="5" s="1"/>
  <c r="M631" i="5"/>
  <c r="P630" i="5"/>
  <c r="N630" i="5"/>
  <c r="M630" i="5"/>
  <c r="L630" i="5"/>
  <c r="J621" i="5"/>
  <c r="I621" i="5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5" i="5"/>
  <c r="J593" i="5" s="1"/>
  <c r="J592" i="5" s="1"/>
  <c r="J594" i="5"/>
  <c r="I594" i="5"/>
  <c r="K594" i="5" s="1"/>
  <c r="I593" i="5"/>
  <c r="J583" i="5"/>
  <c r="J582" i="5"/>
  <c r="J577" i="5"/>
  <c r="I577" i="5"/>
  <c r="J576" i="5"/>
  <c r="I576" i="5"/>
  <c r="I559" i="5" s="1"/>
  <c r="I543" i="5" s="1"/>
  <c r="J569" i="5"/>
  <c r="I569" i="5"/>
  <c r="J568" i="5"/>
  <c r="I568" i="5"/>
  <c r="J561" i="5"/>
  <c r="I561" i="5"/>
  <c r="K561" i="5" s="1"/>
  <c r="J560" i="5"/>
  <c r="I560" i="5"/>
  <c r="J559" i="5"/>
  <c r="P557" i="5"/>
  <c r="L557" i="5"/>
  <c r="O557" i="5" s="1"/>
  <c r="P556" i="5"/>
  <c r="O556" i="5"/>
  <c r="P555" i="5"/>
  <c r="N555" i="5"/>
  <c r="M555" i="5"/>
  <c r="R553" i="5"/>
  <c r="P549" i="5"/>
  <c r="N549" i="5"/>
  <c r="L549" i="5"/>
  <c r="P548" i="5"/>
  <c r="O548" i="5"/>
  <c r="P547" i="5"/>
  <c r="N547" i="5"/>
  <c r="M547" i="5"/>
  <c r="P546" i="5"/>
  <c r="M546" i="5"/>
  <c r="P545" i="5"/>
  <c r="O545" i="5"/>
  <c r="N545" i="5"/>
  <c r="M545" i="5"/>
  <c r="L545" i="5"/>
  <c r="M544" i="5"/>
  <c r="P544" i="5" s="1"/>
  <c r="I542" i="5"/>
  <c r="K542" i="5" s="1"/>
  <c r="I541" i="5"/>
  <c r="K541" i="5" s="1"/>
  <c r="I540" i="5"/>
  <c r="K540" i="5" s="1"/>
  <c r="I539" i="5"/>
  <c r="I538" i="5"/>
  <c r="K538" i="5" s="1"/>
  <c r="I537" i="5"/>
  <c r="P535" i="5"/>
  <c r="L535" i="5"/>
  <c r="O535" i="5" s="1"/>
  <c r="P534" i="5"/>
  <c r="O534" i="5"/>
  <c r="P533" i="5"/>
  <c r="N533" i="5"/>
  <c r="M533" i="5"/>
  <c r="P528" i="5"/>
  <c r="N528" i="5"/>
  <c r="L528" i="5"/>
  <c r="O528" i="5" s="1"/>
  <c r="P527" i="5"/>
  <c r="O527" i="5"/>
  <c r="P526" i="5"/>
  <c r="N526" i="5"/>
  <c r="M526" i="5"/>
  <c r="N525" i="5"/>
  <c r="M525" i="5"/>
  <c r="P525" i="5" s="1"/>
  <c r="N524" i="5"/>
  <c r="M524" i="5"/>
  <c r="P524" i="5" s="1"/>
  <c r="L524" i="5"/>
  <c r="O524" i="5" s="1"/>
  <c r="K517" i="5"/>
  <c r="J517" i="5"/>
  <c r="J501" i="5" s="1"/>
  <c r="K516" i="5"/>
  <c r="P514" i="5"/>
  <c r="O514" i="5"/>
  <c r="P513" i="5"/>
  <c r="O513" i="5"/>
  <c r="P512" i="5"/>
  <c r="O512" i="5"/>
  <c r="N512" i="5"/>
  <c r="M512" i="5"/>
  <c r="L512" i="5"/>
  <c r="P507" i="5"/>
  <c r="O507" i="5"/>
  <c r="N507" i="5"/>
  <c r="N504" i="5" s="1"/>
  <c r="P506" i="5"/>
  <c r="O506" i="5"/>
  <c r="N505" i="5"/>
  <c r="M505" i="5"/>
  <c r="P505" i="5" s="1"/>
  <c r="L505" i="5"/>
  <c r="O505" i="5" s="1"/>
  <c r="M504" i="5"/>
  <c r="L504" i="5"/>
  <c r="O504" i="5" s="1"/>
  <c r="P503" i="5"/>
  <c r="N503" i="5"/>
  <c r="N502" i="5" s="1"/>
  <c r="M503" i="5"/>
  <c r="L503" i="5"/>
  <c r="K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L477" i="5" s="1"/>
  <c r="O477" i="5" s="1"/>
  <c r="P478" i="5"/>
  <c r="O478" i="5"/>
  <c r="N477" i="5"/>
  <c r="M477" i="5"/>
  <c r="P477" i="5" s="1"/>
  <c r="P472" i="5"/>
  <c r="N472" i="5"/>
  <c r="N469" i="5" s="1"/>
  <c r="L472" i="5"/>
  <c r="P471" i="5"/>
  <c r="O471" i="5"/>
  <c r="M470" i="5"/>
  <c r="P470" i="5" s="1"/>
  <c r="M469" i="5"/>
  <c r="P468" i="5"/>
  <c r="N468" i="5"/>
  <c r="M468" i="5"/>
  <c r="L468" i="5"/>
  <c r="J466" i="5"/>
  <c r="I466" i="5"/>
  <c r="J465" i="5"/>
  <c r="I465" i="5"/>
  <c r="I464" i="5"/>
  <c r="I463" i="5"/>
  <c r="I462" i="5"/>
  <c r="I443" i="5" s="1"/>
  <c r="K443" i="5" s="1"/>
  <c r="I460" i="5"/>
  <c r="K460" i="5" s="1"/>
  <c r="K458" i="5"/>
  <c r="P456" i="5"/>
  <c r="L456" i="5"/>
  <c r="O456" i="5" s="1"/>
  <c r="P455" i="5"/>
  <c r="O455" i="5"/>
  <c r="P454" i="5"/>
  <c r="N454" i="5"/>
  <c r="M454" i="5"/>
  <c r="P449" i="5"/>
  <c r="N449" i="5"/>
  <c r="N447" i="5" s="1"/>
  <c r="L449" i="5"/>
  <c r="L447" i="5" s="1"/>
  <c r="O447" i="5" s="1"/>
  <c r="P448" i="5"/>
  <c r="O448" i="5"/>
  <c r="M447" i="5"/>
  <c r="P447" i="5" s="1"/>
  <c r="N446" i="5"/>
  <c r="N444" i="5" s="1"/>
  <c r="M446" i="5"/>
  <c r="P446" i="5" s="1"/>
  <c r="N445" i="5"/>
  <c r="M445" i="5"/>
  <c r="L445" i="5"/>
  <c r="J443" i="5"/>
  <c r="J442" i="5"/>
  <c r="I441" i="5"/>
  <c r="K441" i="5" s="1"/>
  <c r="I440" i="5"/>
  <c r="K440" i="5" s="1"/>
  <c r="I439" i="5"/>
  <c r="K439" i="5" s="1"/>
  <c r="I438" i="5"/>
  <c r="I437" i="5"/>
  <c r="K437" i="5" s="1"/>
  <c r="I435" i="5"/>
  <c r="I433" i="5" s="1"/>
  <c r="J434" i="5"/>
  <c r="J418" i="5" s="1"/>
  <c r="P431" i="5"/>
  <c r="L431" i="5"/>
  <c r="O431" i="5" s="1"/>
  <c r="P430" i="5"/>
  <c r="O430" i="5"/>
  <c r="P429" i="5"/>
  <c r="N429" i="5"/>
  <c r="M429" i="5"/>
  <c r="P424" i="5"/>
  <c r="N424" i="5"/>
  <c r="L424" i="5"/>
  <c r="L422" i="5" s="1"/>
  <c r="P423" i="5"/>
  <c r="O423" i="5"/>
  <c r="M422" i="5"/>
  <c r="P422" i="5" s="1"/>
  <c r="M421" i="5"/>
  <c r="P421" i="5" s="1"/>
  <c r="N420" i="5"/>
  <c r="M420" i="5"/>
  <c r="L420" i="5"/>
  <c r="O420" i="5" s="1"/>
  <c r="K413" i="5"/>
  <c r="K412" i="5"/>
  <c r="N410" i="5"/>
  <c r="N408" i="5" s="1"/>
  <c r="M410" i="5"/>
  <c r="M408" i="5" s="1"/>
  <c r="P408" i="5" s="1"/>
  <c r="L410" i="5"/>
  <c r="P409" i="5"/>
  <c r="O409" i="5"/>
  <c r="N407" i="5"/>
  <c r="N405" i="5" s="1"/>
  <c r="M407" i="5"/>
  <c r="P407" i="5" s="1"/>
  <c r="L407" i="5"/>
  <c r="P406" i="5"/>
  <c r="O406" i="5"/>
  <c r="O403" i="5"/>
  <c r="N403" i="5"/>
  <c r="M403" i="5"/>
  <c r="L403" i="5"/>
  <c r="J401" i="5"/>
  <c r="I401" i="5"/>
  <c r="K401" i="5" s="1"/>
  <c r="K400" i="5"/>
  <c r="K399" i="5"/>
  <c r="N397" i="5"/>
  <c r="M397" i="5"/>
  <c r="L397" i="5"/>
  <c r="P396" i="5"/>
  <c r="O396" i="5"/>
  <c r="N394" i="5"/>
  <c r="N392" i="5" s="1"/>
  <c r="M394" i="5"/>
  <c r="L394" i="5"/>
  <c r="P393" i="5"/>
  <c r="O393" i="5"/>
  <c r="N390" i="5"/>
  <c r="M390" i="5"/>
  <c r="L390" i="5"/>
  <c r="K388" i="5"/>
  <c r="J388" i="5"/>
  <c r="I388" i="5"/>
  <c r="J385" i="5"/>
  <c r="I385" i="5"/>
  <c r="K382" i="5"/>
  <c r="J382" i="5"/>
  <c r="J381" i="5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L353" i="5"/>
  <c r="P352" i="5"/>
  <c r="O352" i="5"/>
  <c r="N350" i="5"/>
  <c r="N348" i="5" s="1"/>
  <c r="M350" i="5"/>
  <c r="M348" i="5" s="1"/>
  <c r="L350" i="5"/>
  <c r="L348" i="5" s="1"/>
  <c r="P349" i="5"/>
  <c r="O349" i="5"/>
  <c r="P346" i="5"/>
  <c r="O346" i="5"/>
  <c r="N346" i="5"/>
  <c r="M346" i="5"/>
  <c r="L346" i="5"/>
  <c r="J343" i="5"/>
  <c r="J342" i="5"/>
  <c r="J341" i="5"/>
  <c r="J340" i="5"/>
  <c r="I340" i="5"/>
  <c r="J338" i="5"/>
  <c r="I338" i="5"/>
  <c r="N336" i="5"/>
  <c r="N334" i="5" s="1"/>
  <c r="M336" i="5"/>
  <c r="P336" i="5" s="1"/>
  <c r="L336" i="5"/>
  <c r="O336" i="5" s="1"/>
  <c r="P335" i="5"/>
  <c r="O335" i="5"/>
  <c r="N333" i="5"/>
  <c r="N331" i="5" s="1"/>
  <c r="M333" i="5"/>
  <c r="M331" i="5" s="1"/>
  <c r="L333" i="5"/>
  <c r="L331" i="5" s="1"/>
  <c r="P332" i="5"/>
  <c r="O332" i="5"/>
  <c r="P329" i="5"/>
  <c r="O329" i="5"/>
  <c r="N329" i="5"/>
  <c r="M329" i="5"/>
  <c r="L329" i="5"/>
  <c r="I327" i="5"/>
  <c r="I325" i="5"/>
  <c r="K325" i="5" s="1"/>
  <c r="N323" i="5"/>
  <c r="M323" i="5"/>
  <c r="P323" i="5" s="1"/>
  <c r="L323" i="5"/>
  <c r="P322" i="5"/>
  <c r="O322" i="5"/>
  <c r="N320" i="5"/>
  <c r="N318" i="5" s="1"/>
  <c r="M320" i="5"/>
  <c r="L320" i="5"/>
  <c r="O320" i="5" s="1"/>
  <c r="P319" i="5"/>
  <c r="O319" i="5"/>
  <c r="N316" i="5"/>
  <c r="M316" i="5"/>
  <c r="P316" i="5" s="1"/>
  <c r="L316" i="5"/>
  <c r="O316" i="5" s="1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L306" i="5"/>
  <c r="P305" i="5"/>
  <c r="O305" i="5"/>
  <c r="N303" i="5"/>
  <c r="N301" i="5" s="1"/>
  <c r="M303" i="5"/>
  <c r="M301" i="5" s="1"/>
  <c r="L303" i="5"/>
  <c r="L301" i="5" s="1"/>
  <c r="P302" i="5"/>
  <c r="O302" i="5"/>
  <c r="O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J288" i="5" s="1"/>
  <c r="J275" i="5" s="1"/>
  <c r="I287" i="5"/>
  <c r="K287" i="5" s="1"/>
  <c r="N285" i="5"/>
  <c r="N283" i="5" s="1"/>
  <c r="M285" i="5"/>
  <c r="L285" i="5"/>
  <c r="O285" i="5" s="1"/>
  <c r="P284" i="5"/>
  <c r="O284" i="5"/>
  <c r="N282" i="5"/>
  <c r="N280" i="5" s="1"/>
  <c r="M282" i="5"/>
  <c r="L282" i="5"/>
  <c r="L280" i="5" s="1"/>
  <c r="P281" i="5"/>
  <c r="O281" i="5"/>
  <c r="P278" i="5"/>
  <c r="O278" i="5"/>
  <c r="N278" i="5"/>
  <c r="M278" i="5"/>
  <c r="L278" i="5"/>
  <c r="J276" i="5"/>
  <c r="I275" i="5"/>
  <c r="I271" i="5"/>
  <c r="K271" i="5" s="1"/>
  <c r="N269" i="5"/>
  <c r="M269" i="5"/>
  <c r="M267" i="5" s="1"/>
  <c r="P267" i="5" s="1"/>
  <c r="L269" i="5"/>
  <c r="P268" i="5"/>
  <c r="O268" i="5"/>
  <c r="N266" i="5"/>
  <c r="N264" i="5" s="1"/>
  <c r="M266" i="5"/>
  <c r="L266" i="5"/>
  <c r="L264" i="5" s="1"/>
  <c r="P265" i="5"/>
  <c r="O265" i="5"/>
  <c r="O262" i="5"/>
  <c r="N262" i="5"/>
  <c r="M262" i="5"/>
  <c r="P262" i="5" s="1"/>
  <c r="L262" i="5"/>
  <c r="J260" i="5"/>
  <c r="K258" i="5"/>
  <c r="K257" i="5"/>
  <c r="I255" i="5"/>
  <c r="K255" i="5" s="1"/>
  <c r="L253" i="5"/>
  <c r="L252" i="5"/>
  <c r="L251" i="5"/>
  <c r="L250" i="5"/>
  <c r="P249" i="5"/>
  <c r="N249" i="5"/>
  <c r="J248" i="5"/>
  <c r="J226" i="5" s="1"/>
  <c r="J180" i="5" s="1"/>
  <c r="K247" i="5"/>
  <c r="K246" i="5"/>
  <c r="I244" i="5"/>
  <c r="L242" i="5"/>
  <c r="L241" i="5"/>
  <c r="L240" i="5"/>
  <c r="L239" i="5"/>
  <c r="P238" i="5"/>
  <c r="N238" i="5"/>
  <c r="J237" i="5"/>
  <c r="J236" i="5"/>
  <c r="I236" i="5"/>
  <c r="K236" i="5" s="1"/>
  <c r="J235" i="5"/>
  <c r="I235" i="5"/>
  <c r="K235" i="5" s="1"/>
  <c r="J233" i="5"/>
  <c r="N231" i="5"/>
  <c r="N230" i="5"/>
  <c r="N229" i="5"/>
  <c r="N228" i="5"/>
  <c r="N227" i="5"/>
  <c r="I225" i="5"/>
  <c r="K225" i="5" s="1"/>
  <c r="I224" i="5"/>
  <c r="K224" i="5" s="1"/>
  <c r="I223" i="5"/>
  <c r="K223" i="5" s="1"/>
  <c r="L220" i="5"/>
  <c r="L219" i="5"/>
  <c r="L218" i="5"/>
  <c r="P217" i="5"/>
  <c r="N217" i="5"/>
  <c r="J216" i="5"/>
  <c r="I215" i="5"/>
  <c r="I214" i="5"/>
  <c r="K214" i="5" s="1"/>
  <c r="L212" i="5"/>
  <c r="L211" i="5"/>
  <c r="L210" i="5"/>
  <c r="P209" i="5"/>
  <c r="N209" i="5"/>
  <c r="J208" i="5"/>
  <c r="K207" i="5"/>
  <c r="K206" i="5"/>
  <c r="I204" i="5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N187" i="5" s="1"/>
  <c r="M189" i="5"/>
  <c r="L189" i="5"/>
  <c r="P188" i="5"/>
  <c r="O188" i="5"/>
  <c r="N186" i="5"/>
  <c r="N184" i="5" s="1"/>
  <c r="M186" i="5"/>
  <c r="M184" i="5" s="1"/>
  <c r="L186" i="5"/>
  <c r="P185" i="5"/>
  <c r="O185" i="5"/>
  <c r="P182" i="5"/>
  <c r="N182" i="5"/>
  <c r="M182" i="5"/>
  <c r="L182" i="5"/>
  <c r="O182" i="5" s="1"/>
  <c r="J177" i="5"/>
  <c r="I176" i="5"/>
  <c r="K176" i="5" s="1"/>
  <c r="J174" i="5"/>
  <c r="N173" i="5"/>
  <c r="N171" i="5" s="1"/>
  <c r="M173" i="5"/>
  <c r="P173" i="5" s="1"/>
  <c r="L173" i="5"/>
  <c r="O173" i="5" s="1"/>
  <c r="P172" i="5"/>
  <c r="O172" i="5"/>
  <c r="N170" i="5"/>
  <c r="N168" i="5" s="1"/>
  <c r="M170" i="5"/>
  <c r="L170" i="5"/>
  <c r="L168" i="5" s="1"/>
  <c r="P169" i="5"/>
  <c r="O169" i="5"/>
  <c r="P166" i="5"/>
  <c r="N166" i="5"/>
  <c r="M166" i="5"/>
  <c r="L166" i="5"/>
  <c r="J164" i="5"/>
  <c r="I159" i="5"/>
  <c r="I148" i="5" s="1"/>
  <c r="K148" i="5" s="1"/>
  <c r="N157" i="5"/>
  <c r="M157" i="5"/>
  <c r="M155" i="5" s="1"/>
  <c r="P155" i="5" s="1"/>
  <c r="L157" i="5"/>
  <c r="L155" i="5" s="1"/>
  <c r="O155" i="5" s="1"/>
  <c r="P156" i="5"/>
  <c r="O156" i="5"/>
  <c r="N154" i="5"/>
  <c r="M154" i="5"/>
  <c r="L154" i="5"/>
  <c r="L152" i="5" s="1"/>
  <c r="P153" i="5"/>
  <c r="O153" i="5"/>
  <c r="N150" i="5"/>
  <c r="M150" i="5"/>
  <c r="P150" i="5" s="1"/>
  <c r="L150" i="5"/>
  <c r="O150" i="5" s="1"/>
  <c r="J148" i="5"/>
  <c r="I146" i="5"/>
  <c r="I130" i="5" s="1"/>
  <c r="K130" i="5" s="1"/>
  <c r="I145" i="5"/>
  <c r="I144" i="5"/>
  <c r="K144" i="5" s="1"/>
  <c r="N140" i="5"/>
  <c r="N138" i="5" s="1"/>
  <c r="M140" i="5"/>
  <c r="L140" i="5"/>
  <c r="P139" i="5"/>
  <c r="O139" i="5"/>
  <c r="N137" i="5"/>
  <c r="N135" i="5" s="1"/>
  <c r="M137" i="5"/>
  <c r="L137" i="5"/>
  <c r="L135" i="5" s="1"/>
  <c r="P136" i="5"/>
  <c r="O136" i="5"/>
  <c r="P133" i="5"/>
  <c r="N133" i="5"/>
  <c r="M133" i="5"/>
  <c r="L133" i="5"/>
  <c r="J130" i="5"/>
  <c r="N127" i="5"/>
  <c r="N125" i="5" s="1"/>
  <c r="M127" i="5"/>
  <c r="P127" i="5" s="1"/>
  <c r="L127" i="5"/>
  <c r="P126" i="5"/>
  <c r="O126" i="5"/>
  <c r="N124" i="5"/>
  <c r="M124" i="5"/>
  <c r="P124" i="5" s="1"/>
  <c r="L124" i="5"/>
  <c r="P123" i="5"/>
  <c r="O123" i="5"/>
  <c r="N120" i="5"/>
  <c r="M120" i="5"/>
  <c r="P120" i="5" s="1"/>
  <c r="L120" i="5"/>
  <c r="O120" i="5" s="1"/>
  <c r="I116" i="5"/>
  <c r="K116" i="5" s="1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I87" i="5" s="1"/>
  <c r="J98" i="5"/>
  <c r="I98" i="5"/>
  <c r="K98" i="5" s="1"/>
  <c r="N96" i="5"/>
  <c r="N94" i="5" s="1"/>
  <c r="M96" i="5"/>
  <c r="P96" i="5" s="1"/>
  <c r="L96" i="5"/>
  <c r="P95" i="5"/>
  <c r="O95" i="5"/>
  <c r="N93" i="5"/>
  <c r="M93" i="5"/>
  <c r="M91" i="5" s="1"/>
  <c r="L93" i="5"/>
  <c r="P92" i="5"/>
  <c r="O92" i="5"/>
  <c r="O89" i="5"/>
  <c r="N89" i="5"/>
  <c r="M89" i="5"/>
  <c r="P89" i="5" s="1"/>
  <c r="L89" i="5"/>
  <c r="J87" i="5"/>
  <c r="J86" i="5"/>
  <c r="I84" i="5"/>
  <c r="K84" i="5" s="1"/>
  <c r="I83" i="5"/>
  <c r="K83" i="5" s="1"/>
  <c r="I82" i="5"/>
  <c r="K82" i="5" s="1"/>
  <c r="I81" i="5"/>
  <c r="I80" i="5"/>
  <c r="K80" i="5" s="1"/>
  <c r="I79" i="5"/>
  <c r="K79" i="5" s="1"/>
  <c r="I78" i="5"/>
  <c r="K78" i="5" s="1"/>
  <c r="J77" i="5"/>
  <c r="J65" i="5" s="1"/>
  <c r="J76" i="5"/>
  <c r="N74" i="5"/>
  <c r="N72" i="5" s="1"/>
  <c r="M74" i="5"/>
  <c r="P74" i="5" s="1"/>
  <c r="L74" i="5"/>
  <c r="P73" i="5"/>
  <c r="O73" i="5"/>
  <c r="N71" i="5"/>
  <c r="N69" i="5" s="1"/>
  <c r="M71" i="5"/>
  <c r="P71" i="5" s="1"/>
  <c r="L71" i="5"/>
  <c r="P70" i="5"/>
  <c r="O70" i="5"/>
  <c r="P67" i="5"/>
  <c r="N67" i="5"/>
  <c r="M67" i="5"/>
  <c r="L67" i="5"/>
  <c r="O67" i="5" s="1"/>
  <c r="J64" i="5"/>
  <c r="N61" i="5"/>
  <c r="M61" i="5"/>
  <c r="M59" i="5" s="1"/>
  <c r="L61" i="5"/>
  <c r="P60" i="5"/>
  <c r="O60" i="5"/>
  <c r="N58" i="5"/>
  <c r="M58" i="5"/>
  <c r="L58" i="5"/>
  <c r="P57" i="5"/>
  <c r="O57" i="5"/>
  <c r="O54" i="5"/>
  <c r="N54" i="5"/>
  <c r="M54" i="5"/>
  <c r="L54" i="5"/>
  <c r="N49" i="5"/>
  <c r="M49" i="5"/>
  <c r="P49" i="5" s="1"/>
  <c r="L49" i="5"/>
  <c r="O49" i="5" s="1"/>
  <c r="P48" i="5"/>
  <c r="O48" i="5"/>
  <c r="N46" i="5"/>
  <c r="M46" i="5"/>
  <c r="L46" i="5"/>
  <c r="P45" i="5"/>
  <c r="O45" i="5"/>
  <c r="N42" i="5"/>
  <c r="M42" i="5"/>
  <c r="P42" i="5" s="1"/>
  <c r="L42" i="5"/>
  <c r="O42" i="5" s="1"/>
  <c r="N36" i="5"/>
  <c r="M36" i="5"/>
  <c r="P36" i="5" s="1"/>
  <c r="P35" i="5"/>
  <c r="N35" i="5"/>
  <c r="N34" i="5" s="1"/>
  <c r="M35" i="5"/>
  <c r="L35" i="5"/>
  <c r="M34" i="5"/>
  <c r="P34" i="5" s="1"/>
  <c r="P33" i="5"/>
  <c r="M33" i="5"/>
  <c r="O32" i="5"/>
  <c r="N32" i="5"/>
  <c r="M32" i="5"/>
  <c r="L32" i="5"/>
  <c r="L29" i="5" s="1"/>
  <c r="N29" i="5"/>
  <c r="O25" i="5"/>
  <c r="N25" i="5"/>
  <c r="M25" i="5"/>
  <c r="L25" i="5"/>
  <c r="P22" i="5"/>
  <c r="N22" i="5"/>
  <c r="M22" i="5"/>
  <c r="L22" i="5"/>
  <c r="O22" i="5" s="1"/>
  <c r="M19" i="5"/>
  <c r="P19" i="5" s="1"/>
  <c r="N15" i="5"/>
  <c r="N12" i="5"/>
  <c r="N9" i="5" s="1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N815" i="4"/>
  <c r="M815" i="4"/>
  <c r="L815" i="4"/>
  <c r="O815" i="4" s="1"/>
  <c r="P810" i="4"/>
  <c r="O810" i="4"/>
  <c r="N810" i="4"/>
  <c r="N807" i="4" s="1"/>
  <c r="P809" i="4"/>
  <c r="O809" i="4"/>
  <c r="P808" i="4"/>
  <c r="N808" i="4"/>
  <c r="M808" i="4"/>
  <c r="L808" i="4"/>
  <c r="O808" i="4" s="1"/>
  <c r="O807" i="4"/>
  <c r="M807" i="4"/>
  <c r="L807" i="4"/>
  <c r="P806" i="4"/>
  <c r="N806" i="4"/>
  <c r="M806" i="4"/>
  <c r="L806" i="4"/>
  <c r="K804" i="4"/>
  <c r="J804" i="4"/>
  <c r="J803" i="4"/>
  <c r="I803" i="4"/>
  <c r="K803" i="4" s="1"/>
  <c r="J802" i="4"/>
  <c r="J801" i="4"/>
  <c r="I801" i="4"/>
  <c r="J800" i="4"/>
  <c r="P798" i="4"/>
  <c r="O798" i="4"/>
  <c r="P797" i="4"/>
  <c r="O797" i="4"/>
  <c r="P796" i="4"/>
  <c r="N796" i="4"/>
  <c r="M796" i="4"/>
  <c r="L796" i="4"/>
  <c r="O796" i="4" s="1"/>
  <c r="N794" i="4"/>
  <c r="P791" i="4"/>
  <c r="N791" i="4"/>
  <c r="L791" i="4"/>
  <c r="L788" i="4" s="1"/>
  <c r="P790" i="4"/>
  <c r="O790" i="4"/>
  <c r="P789" i="4"/>
  <c r="N789" i="4"/>
  <c r="M789" i="4"/>
  <c r="M788" i="4"/>
  <c r="P788" i="4" s="1"/>
  <c r="P787" i="4"/>
  <c r="N787" i="4"/>
  <c r="M787" i="4"/>
  <c r="L787" i="4"/>
  <c r="O787" i="4" s="1"/>
  <c r="P782" i="4"/>
  <c r="O782" i="4"/>
  <c r="P781" i="4"/>
  <c r="O781" i="4"/>
  <c r="O780" i="4"/>
  <c r="N780" i="4"/>
  <c r="M780" i="4"/>
  <c r="P780" i="4" s="1"/>
  <c r="L780" i="4"/>
  <c r="P775" i="4"/>
  <c r="O775" i="4"/>
  <c r="N775" i="4"/>
  <c r="P774" i="4"/>
  <c r="O774" i="4"/>
  <c r="O773" i="4"/>
  <c r="M773" i="4"/>
  <c r="P773" i="4" s="1"/>
  <c r="L773" i="4"/>
  <c r="P772" i="4"/>
  <c r="M772" i="4"/>
  <c r="L772" i="4"/>
  <c r="O771" i="4"/>
  <c r="N771" i="4"/>
  <c r="M771" i="4"/>
  <c r="P771" i="4" s="1"/>
  <c r="L771" i="4"/>
  <c r="K769" i="4"/>
  <c r="J769" i="4"/>
  <c r="P766" i="4"/>
  <c r="O766" i="4"/>
  <c r="P765" i="4"/>
  <c r="O765" i="4"/>
  <c r="O764" i="4"/>
  <c r="N764" i="4"/>
  <c r="M764" i="4"/>
  <c r="P764" i="4" s="1"/>
  <c r="L764" i="4"/>
  <c r="P759" i="4"/>
  <c r="O759" i="4"/>
  <c r="N759" i="4"/>
  <c r="P758" i="4"/>
  <c r="O758" i="4"/>
  <c r="O757" i="4"/>
  <c r="M757" i="4"/>
  <c r="P757" i="4" s="1"/>
  <c r="L757" i="4"/>
  <c r="P756" i="4"/>
  <c r="M756" i="4"/>
  <c r="L756" i="4"/>
  <c r="O755" i="4"/>
  <c r="N755" i="4"/>
  <c r="M755" i="4"/>
  <c r="P755" i="4" s="1"/>
  <c r="L755" i="4"/>
  <c r="K753" i="4"/>
  <c r="J753" i="4"/>
  <c r="P749" i="4"/>
  <c r="O749" i="4"/>
  <c r="P748" i="4"/>
  <c r="O748" i="4"/>
  <c r="O747" i="4"/>
  <c r="N747" i="4"/>
  <c r="M747" i="4"/>
  <c r="P747" i="4" s="1"/>
  <c r="L747" i="4"/>
  <c r="P742" i="4"/>
  <c r="O742" i="4"/>
  <c r="N742" i="4"/>
  <c r="P741" i="4"/>
  <c r="O741" i="4"/>
  <c r="O740" i="4"/>
  <c r="M740" i="4"/>
  <c r="P740" i="4" s="1"/>
  <c r="L740" i="4"/>
  <c r="P739" i="4"/>
  <c r="M739" i="4"/>
  <c r="L739" i="4"/>
  <c r="O738" i="4"/>
  <c r="N738" i="4"/>
  <c r="M738" i="4"/>
  <c r="P738" i="4" s="1"/>
  <c r="L738" i="4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J699" i="4"/>
  <c r="I699" i="4"/>
  <c r="K699" i="4" s="1"/>
  <c r="P697" i="4"/>
  <c r="O697" i="4"/>
  <c r="P696" i="4"/>
  <c r="O696" i="4"/>
  <c r="O695" i="4"/>
  <c r="N695" i="4"/>
  <c r="M695" i="4"/>
  <c r="P695" i="4" s="1"/>
  <c r="L695" i="4"/>
  <c r="P690" i="4"/>
  <c r="N690" i="4"/>
  <c r="L690" i="4"/>
  <c r="O690" i="4" s="1"/>
  <c r="P688" i="4"/>
  <c r="M688" i="4"/>
  <c r="M687" i="4"/>
  <c r="P687" i="4" s="1"/>
  <c r="P686" i="4"/>
  <c r="N686" i="4"/>
  <c r="M686" i="4"/>
  <c r="L686" i="4"/>
  <c r="O686" i="4" s="1"/>
  <c r="J679" i="4"/>
  <c r="J678" i="4"/>
  <c r="I678" i="4"/>
  <c r="K678" i="4" s="1"/>
  <c r="J675" i="4"/>
  <c r="I671" i="4"/>
  <c r="K671" i="4" s="1"/>
  <c r="I670" i="4"/>
  <c r="K670" i="4" s="1"/>
  <c r="J669" i="4"/>
  <c r="J654" i="4" s="1"/>
  <c r="I669" i="4"/>
  <c r="K673" i="4" s="1"/>
  <c r="P667" i="4"/>
  <c r="O667" i="4"/>
  <c r="P666" i="4"/>
  <c r="O666" i="4"/>
  <c r="P665" i="4"/>
  <c r="N665" i="4"/>
  <c r="M665" i="4"/>
  <c r="L665" i="4"/>
  <c r="O665" i="4" s="1"/>
  <c r="N664" i="4"/>
  <c r="P660" i="4"/>
  <c r="N660" i="4"/>
  <c r="N657" i="4" s="1"/>
  <c r="L660" i="4"/>
  <c r="O660" i="4" s="1"/>
  <c r="P659" i="4"/>
  <c r="O659" i="4"/>
  <c r="P658" i="4"/>
  <c r="N658" i="4"/>
  <c r="M658" i="4"/>
  <c r="M657" i="4"/>
  <c r="P657" i="4" s="1"/>
  <c r="P656" i="4"/>
  <c r="N656" i="4"/>
  <c r="N655" i="4" s="1"/>
  <c r="M656" i="4"/>
  <c r="L656" i="4"/>
  <c r="M655" i="4"/>
  <c r="P655" i="4" s="1"/>
  <c r="K652" i="4"/>
  <c r="J652" i="4"/>
  <c r="J651" i="4"/>
  <c r="J628" i="4" s="1"/>
  <c r="I651" i="4"/>
  <c r="K650" i="4"/>
  <c r="J650" i="4"/>
  <c r="J649" i="4"/>
  <c r="I649" i="4"/>
  <c r="K648" i="4"/>
  <c r="J648" i="4"/>
  <c r="J647" i="4"/>
  <c r="I647" i="4"/>
  <c r="K646" i="4"/>
  <c r="J646" i="4"/>
  <c r="K645" i="4"/>
  <c r="J645" i="4"/>
  <c r="I644" i="4"/>
  <c r="K644" i="4" s="1"/>
  <c r="I643" i="4"/>
  <c r="K643" i="4" s="1"/>
  <c r="P641" i="4"/>
  <c r="L641" i="4"/>
  <c r="P640" i="4"/>
  <c r="O640" i="4"/>
  <c r="N639" i="4"/>
  <c r="M639" i="4"/>
  <c r="P639" i="4" s="1"/>
  <c r="P634" i="4"/>
  <c r="N634" i="4"/>
  <c r="L634" i="4"/>
  <c r="L632" i="4" s="1"/>
  <c r="O632" i="4" s="1"/>
  <c r="P633" i="4"/>
  <c r="O633" i="4"/>
  <c r="P632" i="4"/>
  <c r="N632" i="4"/>
  <c r="M632" i="4"/>
  <c r="M631" i="4"/>
  <c r="P631" i="4" s="1"/>
  <c r="P630" i="4"/>
  <c r="N630" i="4"/>
  <c r="M630" i="4"/>
  <c r="L630" i="4"/>
  <c r="O630" i="4" s="1"/>
  <c r="M629" i="4"/>
  <c r="P629" i="4" s="1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6" i="4"/>
  <c r="J595" i="4"/>
  <c r="J593" i="4" s="1"/>
  <c r="J592" i="4" s="1"/>
  <c r="J594" i="4"/>
  <c r="I594" i="4"/>
  <c r="I593" i="4"/>
  <c r="I592" i="4" s="1"/>
  <c r="J583" i="4"/>
  <c r="J577" i="4" s="1"/>
  <c r="J582" i="4"/>
  <c r="I577" i="4"/>
  <c r="K577" i="4" s="1"/>
  <c r="J576" i="4"/>
  <c r="J559" i="4" s="1"/>
  <c r="J543" i="4" s="1"/>
  <c r="I576" i="4"/>
  <c r="K576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P557" i="4"/>
  <c r="L557" i="4"/>
  <c r="L555" i="4" s="1"/>
  <c r="O555" i="4" s="1"/>
  <c r="P556" i="4"/>
  <c r="O556" i="4"/>
  <c r="P555" i="4"/>
  <c r="N555" i="4"/>
  <c r="N545" i="4" s="1"/>
  <c r="M555" i="4"/>
  <c r="N553" i="4"/>
  <c r="N552" i="4"/>
  <c r="N549" i="4" s="1"/>
  <c r="P549" i="4"/>
  <c r="L549" i="4"/>
  <c r="L547" i="4" s="1"/>
  <c r="P548" i="4"/>
  <c r="O548" i="4"/>
  <c r="M547" i="4"/>
  <c r="P547" i="4" s="1"/>
  <c r="P546" i="4"/>
  <c r="M546" i="4"/>
  <c r="O545" i="4"/>
  <c r="M545" i="4"/>
  <c r="M544" i="4" s="1"/>
  <c r="P544" i="4" s="1"/>
  <c r="L545" i="4"/>
  <c r="I542" i="4"/>
  <c r="K542" i="4" s="1"/>
  <c r="I541" i="4"/>
  <c r="K541" i="4" s="1"/>
  <c r="I540" i="4"/>
  <c r="K540" i="4" s="1"/>
  <c r="I539" i="4"/>
  <c r="K539" i="4" s="1"/>
  <c r="I538" i="4"/>
  <c r="K538" i="4" s="1"/>
  <c r="I537" i="4"/>
  <c r="P535" i="4"/>
  <c r="L535" i="4"/>
  <c r="O535" i="4" s="1"/>
  <c r="P534" i="4"/>
  <c r="O534" i="4"/>
  <c r="P533" i="4"/>
  <c r="N533" i="4"/>
  <c r="M533" i="4"/>
  <c r="P528" i="4"/>
  <c r="N528" i="4"/>
  <c r="L528" i="4"/>
  <c r="L526" i="4" s="1"/>
  <c r="O526" i="4" s="1"/>
  <c r="P527" i="4"/>
  <c r="O527" i="4"/>
  <c r="N526" i="4"/>
  <c r="M526" i="4"/>
  <c r="P526" i="4" s="1"/>
  <c r="P525" i="4"/>
  <c r="N525" i="4"/>
  <c r="N523" i="4" s="1"/>
  <c r="M525" i="4"/>
  <c r="O524" i="4"/>
  <c r="N524" i="4"/>
  <c r="M524" i="4"/>
  <c r="L524" i="4"/>
  <c r="K517" i="4"/>
  <c r="J517" i="4"/>
  <c r="K516" i="4"/>
  <c r="P514" i="4"/>
  <c r="O514" i="4"/>
  <c r="P513" i="4"/>
  <c r="O513" i="4"/>
  <c r="O512" i="4"/>
  <c r="N512" i="4"/>
  <c r="M512" i="4"/>
  <c r="P512" i="4" s="1"/>
  <c r="L512" i="4"/>
  <c r="P507" i="4"/>
  <c r="O507" i="4"/>
  <c r="N507" i="4"/>
  <c r="N505" i="4" s="1"/>
  <c r="P506" i="4"/>
  <c r="O506" i="4"/>
  <c r="O505" i="4"/>
  <c r="M505" i="4"/>
  <c r="P505" i="4" s="1"/>
  <c r="L505" i="4"/>
  <c r="P504" i="4"/>
  <c r="N504" i="4"/>
  <c r="M504" i="4"/>
  <c r="L504" i="4"/>
  <c r="O503" i="4"/>
  <c r="N503" i="4"/>
  <c r="M503" i="4"/>
  <c r="L503" i="4"/>
  <c r="N502" i="4"/>
  <c r="K501" i="4"/>
  <c r="J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O479" i="4" s="1"/>
  <c r="P478" i="4"/>
  <c r="O478" i="4"/>
  <c r="P477" i="4"/>
  <c r="N477" i="4"/>
  <c r="M477" i="4"/>
  <c r="N476" i="4"/>
  <c r="N472" i="4" s="1"/>
  <c r="N475" i="4"/>
  <c r="N473" i="4"/>
  <c r="P472" i="4"/>
  <c r="L472" i="4"/>
  <c r="L470" i="4" s="1"/>
  <c r="P471" i="4"/>
  <c r="O471" i="4"/>
  <c r="M470" i="4"/>
  <c r="P470" i="4" s="1"/>
  <c r="M469" i="4"/>
  <c r="P469" i="4" s="1"/>
  <c r="P468" i="4"/>
  <c r="N468" i="4"/>
  <c r="M468" i="4"/>
  <c r="L468" i="4"/>
  <c r="M467" i="4"/>
  <c r="P467" i="4" s="1"/>
  <c r="J466" i="4"/>
  <c r="I466" i="4"/>
  <c r="K466" i="4" s="1"/>
  <c r="J465" i="4"/>
  <c r="I465" i="4"/>
  <c r="K465" i="4" s="1"/>
  <c r="I464" i="4"/>
  <c r="I463" i="4"/>
  <c r="I462" i="4"/>
  <c r="I443" i="4" s="1"/>
  <c r="K443" i="4" s="1"/>
  <c r="I460" i="4"/>
  <c r="I442" i="4" s="1"/>
  <c r="K458" i="4"/>
  <c r="P456" i="4"/>
  <c r="L456" i="4"/>
  <c r="O456" i="4" s="1"/>
  <c r="P455" i="4"/>
  <c r="O455" i="4"/>
  <c r="P454" i="4"/>
  <c r="N454" i="4"/>
  <c r="M454" i="4"/>
  <c r="N453" i="4"/>
  <c r="N452" i="4"/>
  <c r="N450" i="4"/>
  <c r="P449" i="4"/>
  <c r="N449" i="4"/>
  <c r="L449" i="4"/>
  <c r="P448" i="4"/>
  <c r="O448" i="4"/>
  <c r="P447" i="4"/>
  <c r="M447" i="4"/>
  <c r="M446" i="4"/>
  <c r="M444" i="4" s="1"/>
  <c r="P444" i="4" s="1"/>
  <c r="P445" i="4"/>
  <c r="N445" i="4"/>
  <c r="M445" i="4"/>
  <c r="L445" i="4"/>
  <c r="J443" i="4"/>
  <c r="J442" i="4"/>
  <c r="I441" i="4"/>
  <c r="K441" i="4" s="1"/>
  <c r="I440" i="4"/>
  <c r="K440" i="4" s="1"/>
  <c r="I439" i="4"/>
  <c r="K439" i="4" s="1"/>
  <c r="I438" i="4"/>
  <c r="K438" i="4" s="1"/>
  <c r="I437" i="4"/>
  <c r="K437" i="4" s="1"/>
  <c r="I435" i="4"/>
  <c r="J434" i="4"/>
  <c r="P431" i="4"/>
  <c r="L431" i="4"/>
  <c r="O431" i="4" s="1"/>
  <c r="P430" i="4"/>
  <c r="O430" i="4"/>
  <c r="N429" i="4"/>
  <c r="M429" i="4"/>
  <c r="P429" i="4" s="1"/>
  <c r="N428" i="4"/>
  <c r="N425" i="4"/>
  <c r="P424" i="4"/>
  <c r="N424" i="4"/>
  <c r="L424" i="4"/>
  <c r="L422" i="4" s="1"/>
  <c r="P423" i="4"/>
  <c r="O423" i="4"/>
  <c r="M422" i="4"/>
  <c r="P422" i="4" s="1"/>
  <c r="M421" i="4"/>
  <c r="P421" i="4" s="1"/>
  <c r="N420" i="4"/>
  <c r="M420" i="4"/>
  <c r="P420" i="4" s="1"/>
  <c r="L420" i="4"/>
  <c r="O420" i="4" s="1"/>
  <c r="J418" i="4"/>
  <c r="K413" i="4"/>
  <c r="K412" i="4"/>
  <c r="N410" i="4"/>
  <c r="N408" i="4" s="1"/>
  <c r="M410" i="4"/>
  <c r="P410" i="4" s="1"/>
  <c r="L410" i="4"/>
  <c r="O410" i="4" s="1"/>
  <c r="P409" i="4"/>
  <c r="O409" i="4"/>
  <c r="N407" i="4"/>
  <c r="N405" i="4" s="1"/>
  <c r="M407" i="4"/>
  <c r="L407" i="4"/>
  <c r="O407" i="4" s="1"/>
  <c r="P406" i="4"/>
  <c r="O406" i="4"/>
  <c r="P403" i="4"/>
  <c r="O403" i="4"/>
  <c r="N403" i="4"/>
  <c r="M403" i="4"/>
  <c r="L403" i="4"/>
  <c r="K401" i="4"/>
  <c r="J401" i="4"/>
  <c r="I401" i="4"/>
  <c r="K400" i="4"/>
  <c r="K399" i="4"/>
  <c r="N397" i="4"/>
  <c r="M397" i="4"/>
  <c r="P397" i="4" s="1"/>
  <c r="L397" i="4"/>
  <c r="L395" i="4" s="1"/>
  <c r="O395" i="4" s="1"/>
  <c r="P396" i="4"/>
  <c r="O396" i="4"/>
  <c r="N394" i="4"/>
  <c r="N392" i="4" s="1"/>
  <c r="M394" i="4"/>
  <c r="L394" i="4"/>
  <c r="O394" i="4" s="1"/>
  <c r="P393" i="4"/>
  <c r="O393" i="4"/>
  <c r="N390" i="4"/>
  <c r="M390" i="4"/>
  <c r="P390" i="4" s="1"/>
  <c r="L390" i="4"/>
  <c r="O390" i="4" s="1"/>
  <c r="K388" i="4"/>
  <c r="J388" i="4"/>
  <c r="I388" i="4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M353" i="4"/>
  <c r="M351" i="4" s="1"/>
  <c r="L353" i="4"/>
  <c r="P352" i="4"/>
  <c r="O352" i="4"/>
  <c r="N350" i="4"/>
  <c r="N348" i="4" s="1"/>
  <c r="M350" i="4"/>
  <c r="L350" i="4"/>
  <c r="P349" i="4"/>
  <c r="O349" i="4"/>
  <c r="N346" i="4"/>
  <c r="M346" i="4"/>
  <c r="P346" i="4" s="1"/>
  <c r="L346" i="4"/>
  <c r="O346" i="4" s="1"/>
  <c r="J343" i="4"/>
  <c r="J342" i="4"/>
  <c r="J341" i="4"/>
  <c r="J340" i="4"/>
  <c r="I340" i="4"/>
  <c r="J338" i="4"/>
  <c r="I338" i="4"/>
  <c r="N336" i="4"/>
  <c r="M336" i="4"/>
  <c r="P336" i="4" s="1"/>
  <c r="L336" i="4"/>
  <c r="P335" i="4"/>
  <c r="O335" i="4"/>
  <c r="N333" i="4"/>
  <c r="N331" i="4" s="1"/>
  <c r="M333" i="4"/>
  <c r="L333" i="4"/>
  <c r="P332" i="4"/>
  <c r="O332" i="4"/>
  <c r="N329" i="4"/>
  <c r="M329" i="4"/>
  <c r="P329" i="4" s="1"/>
  <c r="L329" i="4"/>
  <c r="O329" i="4" s="1"/>
  <c r="I327" i="4"/>
  <c r="I325" i="4"/>
  <c r="K325" i="4" s="1"/>
  <c r="N323" i="4"/>
  <c r="N321" i="4" s="1"/>
  <c r="M323" i="4"/>
  <c r="M321" i="4" s="1"/>
  <c r="P321" i="4" s="1"/>
  <c r="L323" i="4"/>
  <c r="L321" i="4" s="1"/>
  <c r="O321" i="4" s="1"/>
  <c r="P322" i="4"/>
  <c r="O322" i="4"/>
  <c r="N320" i="4"/>
  <c r="M320" i="4"/>
  <c r="M318" i="4" s="1"/>
  <c r="L320" i="4"/>
  <c r="L318" i="4" s="1"/>
  <c r="P319" i="4"/>
  <c r="O319" i="4"/>
  <c r="P316" i="4"/>
  <c r="N316" i="4"/>
  <c r="M316" i="4"/>
  <c r="L316" i="4"/>
  <c r="J314" i="4"/>
  <c r="I312" i="4"/>
  <c r="K312" i="4" s="1"/>
  <c r="I311" i="4"/>
  <c r="K311" i="4" s="1"/>
  <c r="I310" i="4"/>
  <c r="K310" i="4" s="1"/>
  <c r="I309" i="4"/>
  <c r="N306" i="4"/>
  <c r="N304" i="4" s="1"/>
  <c r="M306" i="4"/>
  <c r="M304" i="4" s="1"/>
  <c r="P304" i="4" s="1"/>
  <c r="L306" i="4"/>
  <c r="O306" i="4" s="1"/>
  <c r="P305" i="4"/>
  <c r="O305" i="4"/>
  <c r="N303" i="4"/>
  <c r="N301" i="4" s="1"/>
  <c r="M303" i="4"/>
  <c r="M301" i="4" s="1"/>
  <c r="L303" i="4"/>
  <c r="P302" i="4"/>
  <c r="O302" i="4"/>
  <c r="P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J288" i="4" s="1"/>
  <c r="J275" i="4" s="1"/>
  <c r="I287" i="4"/>
  <c r="I276" i="4" s="1"/>
  <c r="N285" i="4"/>
  <c r="N283" i="4" s="1"/>
  <c r="M285" i="4"/>
  <c r="P285" i="4" s="1"/>
  <c r="L285" i="4"/>
  <c r="O285" i="4" s="1"/>
  <c r="P284" i="4"/>
  <c r="O284" i="4"/>
  <c r="N282" i="4"/>
  <c r="N280" i="4" s="1"/>
  <c r="M282" i="4"/>
  <c r="L282" i="4"/>
  <c r="P281" i="4"/>
  <c r="O281" i="4"/>
  <c r="O278" i="4"/>
  <c r="N278" i="4"/>
  <c r="M278" i="4"/>
  <c r="L278" i="4"/>
  <c r="J276" i="4"/>
  <c r="I271" i="4"/>
  <c r="K271" i="4" s="1"/>
  <c r="N269" i="4"/>
  <c r="N267" i="4" s="1"/>
  <c r="M269" i="4"/>
  <c r="M267" i="4" s="1"/>
  <c r="P267" i="4" s="1"/>
  <c r="L269" i="4"/>
  <c r="L267" i="4" s="1"/>
  <c r="O267" i="4" s="1"/>
  <c r="P268" i="4"/>
  <c r="O268" i="4"/>
  <c r="N266" i="4"/>
  <c r="N264" i="4" s="1"/>
  <c r="M266" i="4"/>
  <c r="M264" i="4" s="1"/>
  <c r="L266" i="4"/>
  <c r="P265" i="4"/>
  <c r="O265" i="4"/>
  <c r="P262" i="4"/>
  <c r="N262" i="4"/>
  <c r="M262" i="4"/>
  <c r="L262" i="4"/>
  <c r="J260" i="4"/>
  <c r="K258" i="4"/>
  <c r="K257" i="4"/>
  <c r="I255" i="4"/>
  <c r="K255" i="4" s="1"/>
  <c r="L253" i="4"/>
  <c r="L252" i="4"/>
  <c r="L251" i="4"/>
  <c r="L250" i="4"/>
  <c r="P249" i="4"/>
  <c r="N249" i="4"/>
  <c r="J248" i="4"/>
  <c r="J226" i="4" s="1"/>
  <c r="J180" i="4" s="1"/>
  <c r="K247" i="4"/>
  <c r="K246" i="4"/>
  <c r="I244" i="4"/>
  <c r="L242" i="4"/>
  <c r="L241" i="4"/>
  <c r="L240" i="4"/>
  <c r="L239" i="4"/>
  <c r="P238" i="4"/>
  <c r="N238" i="4"/>
  <c r="N227" i="4" s="1"/>
  <c r="J237" i="4"/>
  <c r="J236" i="4"/>
  <c r="I236" i="4"/>
  <c r="K235" i="4"/>
  <c r="J235" i="4"/>
  <c r="I235" i="4"/>
  <c r="J233" i="4"/>
  <c r="N231" i="4"/>
  <c r="N230" i="4"/>
  <c r="N229" i="4"/>
  <c r="N228" i="4"/>
  <c r="I225" i="4"/>
  <c r="K225" i="4" s="1"/>
  <c r="I224" i="4"/>
  <c r="K224" i="4" s="1"/>
  <c r="I223" i="4"/>
  <c r="K223" i="4" s="1"/>
  <c r="L220" i="4"/>
  <c r="L219" i="4"/>
  <c r="L218" i="4"/>
  <c r="P217" i="4"/>
  <c r="N217" i="4"/>
  <c r="J216" i="4"/>
  <c r="I215" i="4"/>
  <c r="I214" i="4"/>
  <c r="K214" i="4" s="1"/>
  <c r="L212" i="4"/>
  <c r="L211" i="4"/>
  <c r="L210" i="4"/>
  <c r="P209" i="4"/>
  <c r="N209" i="4"/>
  <c r="J208" i="4"/>
  <c r="K207" i="4"/>
  <c r="K206" i="4"/>
  <c r="I204" i="4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L189" i="4"/>
  <c r="P188" i="4"/>
  <c r="O188" i="4"/>
  <c r="N186" i="4"/>
  <c r="N184" i="4" s="1"/>
  <c r="M186" i="4"/>
  <c r="L186" i="4"/>
  <c r="P185" i="4"/>
  <c r="O185" i="4"/>
  <c r="P182" i="4"/>
  <c r="N182" i="4"/>
  <c r="M182" i="4"/>
  <c r="L182" i="4"/>
  <c r="J177" i="4"/>
  <c r="I176" i="4"/>
  <c r="I174" i="4" s="1"/>
  <c r="J174" i="4"/>
  <c r="N173" i="4"/>
  <c r="M173" i="4"/>
  <c r="L173" i="4"/>
  <c r="O173" i="4" s="1"/>
  <c r="P172" i="4"/>
  <c r="O172" i="4"/>
  <c r="N170" i="4"/>
  <c r="N168" i="4" s="1"/>
  <c r="M170" i="4"/>
  <c r="L170" i="4"/>
  <c r="P169" i="4"/>
  <c r="O169" i="4"/>
  <c r="P166" i="4"/>
  <c r="N166" i="4"/>
  <c r="M166" i="4"/>
  <c r="L166" i="4"/>
  <c r="J164" i="4"/>
  <c r="I159" i="4"/>
  <c r="K159" i="4" s="1"/>
  <c r="N157" i="4"/>
  <c r="N155" i="4" s="1"/>
  <c r="M157" i="4"/>
  <c r="M155" i="4" s="1"/>
  <c r="P155" i="4" s="1"/>
  <c r="L157" i="4"/>
  <c r="O157" i="4" s="1"/>
  <c r="P156" i="4"/>
  <c r="O156" i="4"/>
  <c r="N154" i="4"/>
  <c r="N152" i="4" s="1"/>
  <c r="M154" i="4"/>
  <c r="M152" i="4" s="1"/>
  <c r="L154" i="4"/>
  <c r="L152" i="4" s="1"/>
  <c r="O152" i="4" s="1"/>
  <c r="P153" i="4"/>
  <c r="O153" i="4"/>
  <c r="P150" i="4"/>
  <c r="N150" i="4"/>
  <c r="M150" i="4"/>
  <c r="L150" i="4"/>
  <c r="J148" i="4"/>
  <c r="I146" i="4"/>
  <c r="I145" i="4"/>
  <c r="K145" i="4" s="1"/>
  <c r="I144" i="4"/>
  <c r="K144" i="4" s="1"/>
  <c r="N140" i="4"/>
  <c r="N138" i="4" s="1"/>
  <c r="M140" i="4"/>
  <c r="P140" i="4" s="1"/>
  <c r="L140" i="4"/>
  <c r="P139" i="4"/>
  <c r="O139" i="4"/>
  <c r="N137" i="4"/>
  <c r="N135" i="4" s="1"/>
  <c r="M137" i="4"/>
  <c r="L137" i="4"/>
  <c r="P136" i="4"/>
  <c r="O136" i="4"/>
  <c r="O133" i="4"/>
  <c r="N133" i="4"/>
  <c r="M133" i="4"/>
  <c r="P133" i="4" s="1"/>
  <c r="L133" i="4"/>
  <c r="J130" i="4"/>
  <c r="N127" i="4"/>
  <c r="N125" i="4" s="1"/>
  <c r="M127" i="4"/>
  <c r="L127" i="4"/>
  <c r="P126" i="4"/>
  <c r="O126" i="4"/>
  <c r="N124" i="4"/>
  <c r="N122" i="4" s="1"/>
  <c r="M124" i="4"/>
  <c r="L124" i="4"/>
  <c r="O124" i="4" s="1"/>
  <c r="P123" i="4"/>
  <c r="O123" i="4"/>
  <c r="P120" i="4"/>
  <c r="N120" i="4"/>
  <c r="M120" i="4"/>
  <c r="L120" i="4"/>
  <c r="I116" i="4"/>
  <c r="I115" i="4"/>
  <c r="K115" i="4" s="1"/>
  <c r="I114" i="4"/>
  <c r="K114" i="4" s="1"/>
  <c r="I113" i="4"/>
  <c r="K113" i="4" s="1"/>
  <c r="J112" i="4"/>
  <c r="J111" i="4"/>
  <c r="I111" i="4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I87" i="4" s="1"/>
  <c r="K87" i="4" s="1"/>
  <c r="J98" i="4"/>
  <c r="I98" i="4"/>
  <c r="N96" i="4"/>
  <c r="N94" i="4" s="1"/>
  <c r="M96" i="4"/>
  <c r="L96" i="4"/>
  <c r="P95" i="4"/>
  <c r="O95" i="4"/>
  <c r="N93" i="4"/>
  <c r="M93" i="4"/>
  <c r="M91" i="4" s="1"/>
  <c r="L93" i="4"/>
  <c r="L91" i="4" s="1"/>
  <c r="P92" i="4"/>
  <c r="O92" i="4"/>
  <c r="P89" i="4"/>
  <c r="N89" i="4"/>
  <c r="M89" i="4"/>
  <c r="L89" i="4"/>
  <c r="J87" i="4"/>
  <c r="J86" i="4"/>
  <c r="I84" i="4"/>
  <c r="K84" i="4" s="1"/>
  <c r="I83" i="4"/>
  <c r="K83" i="4" s="1"/>
  <c r="I82" i="4"/>
  <c r="K82" i="4" s="1"/>
  <c r="I81" i="4"/>
  <c r="K81" i="4" s="1"/>
  <c r="I80" i="4"/>
  <c r="K80" i="4" s="1"/>
  <c r="I79" i="4"/>
  <c r="K79" i="4" s="1"/>
  <c r="I78" i="4"/>
  <c r="J77" i="4"/>
  <c r="J76" i="4"/>
  <c r="N74" i="4"/>
  <c r="N72" i="4" s="1"/>
  <c r="M74" i="4"/>
  <c r="L74" i="4"/>
  <c r="O74" i="4" s="1"/>
  <c r="P73" i="4"/>
  <c r="O73" i="4"/>
  <c r="N71" i="4"/>
  <c r="M71" i="4"/>
  <c r="L71" i="4"/>
  <c r="L69" i="4" s="1"/>
  <c r="O69" i="4" s="1"/>
  <c r="P70" i="4"/>
  <c r="O70" i="4"/>
  <c r="O67" i="4"/>
  <c r="N67" i="4"/>
  <c r="M67" i="4"/>
  <c r="P67" i="4" s="1"/>
  <c r="L67" i="4"/>
  <c r="J65" i="4"/>
  <c r="J64" i="4"/>
  <c r="N61" i="4"/>
  <c r="N59" i="4" s="1"/>
  <c r="M61" i="4"/>
  <c r="L61" i="4"/>
  <c r="P60" i="4"/>
  <c r="O60" i="4"/>
  <c r="N58" i="4"/>
  <c r="N56" i="4" s="1"/>
  <c r="M58" i="4"/>
  <c r="M56" i="4" s="1"/>
  <c r="L58" i="4"/>
  <c r="P57" i="4"/>
  <c r="O57" i="4"/>
  <c r="P54" i="4"/>
  <c r="N54" i="4"/>
  <c r="M54" i="4"/>
  <c r="L54" i="4"/>
  <c r="O54" i="4" s="1"/>
  <c r="N49" i="4"/>
  <c r="N47" i="4" s="1"/>
  <c r="M49" i="4"/>
  <c r="P49" i="4" s="1"/>
  <c r="L49" i="4"/>
  <c r="L47" i="4" s="1"/>
  <c r="O47" i="4" s="1"/>
  <c r="P48" i="4"/>
  <c r="O48" i="4"/>
  <c r="N46" i="4"/>
  <c r="N44" i="4" s="1"/>
  <c r="M46" i="4"/>
  <c r="L46" i="4"/>
  <c r="P45" i="4"/>
  <c r="O45" i="4"/>
  <c r="O42" i="4"/>
  <c r="N42" i="4"/>
  <c r="M42" i="4"/>
  <c r="P42" i="4" s="1"/>
  <c r="L42" i="4"/>
  <c r="P36" i="4"/>
  <c r="N36" i="4"/>
  <c r="M36" i="4"/>
  <c r="O35" i="4"/>
  <c r="N35" i="4"/>
  <c r="M35" i="4"/>
  <c r="M34" i="4" s="1"/>
  <c r="L35" i="4"/>
  <c r="L29" i="4" s="1"/>
  <c r="P34" i="4"/>
  <c r="N34" i="4"/>
  <c r="P33" i="4"/>
  <c r="N33" i="4"/>
  <c r="N30" i="4" s="1"/>
  <c r="N28" i="4" s="1"/>
  <c r="M33" i="4"/>
  <c r="O32" i="4"/>
  <c r="N32" i="4"/>
  <c r="N29" i="4" s="1"/>
  <c r="M32" i="4"/>
  <c r="P32" i="4" s="1"/>
  <c r="L32" i="4"/>
  <c r="P30" i="4"/>
  <c r="M30" i="4"/>
  <c r="P25" i="4"/>
  <c r="N25" i="4"/>
  <c r="N15" i="4" s="1"/>
  <c r="M25" i="4"/>
  <c r="L25" i="4"/>
  <c r="O25" i="4" s="1"/>
  <c r="O22" i="4"/>
  <c r="N22" i="4"/>
  <c r="M22" i="4"/>
  <c r="M19" i="4" s="1"/>
  <c r="L22" i="4"/>
  <c r="L19" i="4"/>
  <c r="O19" i="4" s="1"/>
  <c r="O15" i="4"/>
  <c r="L15" i="4"/>
  <c r="N12" i="4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N815" i="3"/>
  <c r="M815" i="3"/>
  <c r="L815" i="3"/>
  <c r="O815" i="3" s="1"/>
  <c r="P810" i="3"/>
  <c r="O810" i="3"/>
  <c r="N810" i="3"/>
  <c r="N807" i="3" s="1"/>
  <c r="N805" i="3" s="1"/>
  <c r="P809" i="3"/>
  <c r="O809" i="3"/>
  <c r="N808" i="3"/>
  <c r="M808" i="3"/>
  <c r="P808" i="3" s="1"/>
  <c r="L808" i="3"/>
  <c r="O808" i="3" s="1"/>
  <c r="M807" i="3"/>
  <c r="P807" i="3" s="1"/>
  <c r="L807" i="3"/>
  <c r="O807" i="3" s="1"/>
  <c r="P806" i="3"/>
  <c r="N806" i="3"/>
  <c r="M806" i="3"/>
  <c r="L806" i="3"/>
  <c r="K804" i="3"/>
  <c r="J804" i="3"/>
  <c r="K802" i="3"/>
  <c r="J801" i="3"/>
  <c r="J785" i="3" s="1"/>
  <c r="J800" i="3"/>
  <c r="I800" i="3"/>
  <c r="P798" i="3"/>
  <c r="O798" i="3"/>
  <c r="P797" i="3"/>
  <c r="O797" i="3"/>
  <c r="O796" i="3"/>
  <c r="N796" i="3"/>
  <c r="M796" i="3"/>
  <c r="P796" i="3" s="1"/>
  <c r="L796" i="3"/>
  <c r="P791" i="3"/>
  <c r="N791" i="3"/>
  <c r="N788" i="3" s="1"/>
  <c r="N786" i="3" s="1"/>
  <c r="L791" i="3"/>
  <c r="O791" i="3" s="1"/>
  <c r="P790" i="3"/>
  <c r="O790" i="3"/>
  <c r="N789" i="3"/>
  <c r="M789" i="3"/>
  <c r="P789" i="3" s="1"/>
  <c r="M788" i="3"/>
  <c r="P787" i="3"/>
  <c r="N787" i="3"/>
  <c r="M787" i="3"/>
  <c r="L787" i="3"/>
  <c r="P782" i="3"/>
  <c r="O782" i="3"/>
  <c r="P781" i="3"/>
  <c r="O781" i="3"/>
  <c r="P780" i="3"/>
  <c r="O780" i="3"/>
  <c r="N780" i="3"/>
  <c r="M780" i="3"/>
  <c r="L780" i="3"/>
  <c r="P775" i="3"/>
  <c r="O775" i="3"/>
  <c r="N775" i="3"/>
  <c r="N773" i="3" s="1"/>
  <c r="P774" i="3"/>
  <c r="O774" i="3"/>
  <c r="O773" i="3"/>
  <c r="M773" i="3"/>
  <c r="P773" i="3" s="1"/>
  <c r="L773" i="3"/>
  <c r="N772" i="3"/>
  <c r="N770" i="3" s="1"/>
  <c r="M772" i="3"/>
  <c r="P772" i="3" s="1"/>
  <c r="L772" i="3"/>
  <c r="O772" i="3" s="1"/>
  <c r="N771" i="3"/>
  <c r="M771" i="3"/>
  <c r="L771" i="3"/>
  <c r="O771" i="3" s="1"/>
  <c r="L770" i="3"/>
  <c r="O770" i="3" s="1"/>
  <c r="K769" i="3"/>
  <c r="J769" i="3"/>
  <c r="P766" i="3"/>
  <c r="O766" i="3"/>
  <c r="P765" i="3"/>
  <c r="O765" i="3"/>
  <c r="P764" i="3"/>
  <c r="O764" i="3"/>
  <c r="N764" i="3"/>
  <c r="M764" i="3"/>
  <c r="L764" i="3"/>
  <c r="P759" i="3"/>
  <c r="O759" i="3"/>
  <c r="N759" i="3"/>
  <c r="N757" i="3" s="1"/>
  <c r="P758" i="3"/>
  <c r="O758" i="3"/>
  <c r="O757" i="3"/>
  <c r="M757" i="3"/>
  <c r="P757" i="3" s="1"/>
  <c r="L757" i="3"/>
  <c r="N756" i="3"/>
  <c r="N754" i="3" s="1"/>
  <c r="M756" i="3"/>
  <c r="P756" i="3" s="1"/>
  <c r="L756" i="3"/>
  <c r="O756" i="3" s="1"/>
  <c r="N755" i="3"/>
  <c r="M755" i="3"/>
  <c r="L755" i="3"/>
  <c r="O755" i="3" s="1"/>
  <c r="L754" i="3"/>
  <c r="O754" i="3" s="1"/>
  <c r="K753" i="3"/>
  <c r="J753" i="3"/>
  <c r="P749" i="3"/>
  <c r="O749" i="3"/>
  <c r="P748" i="3"/>
  <c r="O748" i="3"/>
  <c r="P747" i="3"/>
  <c r="O747" i="3"/>
  <c r="N747" i="3"/>
  <c r="M747" i="3"/>
  <c r="L747" i="3"/>
  <c r="P742" i="3"/>
  <c r="O742" i="3"/>
  <c r="N742" i="3"/>
  <c r="N740" i="3" s="1"/>
  <c r="P741" i="3"/>
  <c r="O741" i="3"/>
  <c r="O740" i="3"/>
  <c r="M740" i="3"/>
  <c r="P740" i="3" s="1"/>
  <c r="L740" i="3"/>
  <c r="N739" i="3"/>
  <c r="N737" i="3" s="1"/>
  <c r="M739" i="3"/>
  <c r="P739" i="3" s="1"/>
  <c r="L739" i="3"/>
  <c r="O739" i="3" s="1"/>
  <c r="N738" i="3"/>
  <c r="M738" i="3"/>
  <c r="L738" i="3"/>
  <c r="O738" i="3" s="1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P695" i="3"/>
  <c r="O695" i="3"/>
  <c r="N695" i="3"/>
  <c r="M695" i="3"/>
  <c r="L695" i="3"/>
  <c r="P690" i="3"/>
  <c r="N690" i="3"/>
  <c r="N687" i="3" s="1"/>
  <c r="L690" i="3"/>
  <c r="L688" i="3" s="1"/>
  <c r="O688" i="3" s="1"/>
  <c r="N688" i="3"/>
  <c r="M688" i="3"/>
  <c r="P688" i="3" s="1"/>
  <c r="M687" i="3"/>
  <c r="P686" i="3"/>
  <c r="N686" i="3"/>
  <c r="M686" i="3"/>
  <c r="L686" i="3"/>
  <c r="J679" i="3"/>
  <c r="J678" i="3" s="1"/>
  <c r="I678" i="3"/>
  <c r="K678" i="3" s="1"/>
  <c r="J675" i="3"/>
  <c r="I671" i="3"/>
  <c r="K671" i="3" s="1"/>
  <c r="I670" i="3"/>
  <c r="K670" i="3" s="1"/>
  <c r="J669" i="3"/>
  <c r="I669" i="3"/>
  <c r="K673" i="3" s="1"/>
  <c r="P667" i="3"/>
  <c r="O667" i="3"/>
  <c r="P666" i="3"/>
  <c r="O666" i="3"/>
  <c r="P665" i="3"/>
  <c r="N665" i="3"/>
  <c r="M665" i="3"/>
  <c r="L665" i="3"/>
  <c r="O665" i="3" s="1"/>
  <c r="N664" i="3"/>
  <c r="N660" i="3" s="1"/>
  <c r="P660" i="3"/>
  <c r="L660" i="3"/>
  <c r="L658" i="3" s="1"/>
  <c r="P659" i="3"/>
  <c r="O659" i="3"/>
  <c r="P658" i="3"/>
  <c r="M658" i="3"/>
  <c r="P657" i="3"/>
  <c r="M657" i="3"/>
  <c r="M655" i="3" s="1"/>
  <c r="P655" i="3" s="1"/>
  <c r="P656" i="3"/>
  <c r="O656" i="3"/>
  <c r="N656" i="3"/>
  <c r="M656" i="3"/>
  <c r="L656" i="3"/>
  <c r="J654" i="3"/>
  <c r="K652" i="3"/>
  <c r="J652" i="3"/>
  <c r="J651" i="3"/>
  <c r="I651" i="3"/>
  <c r="I628" i="3" s="1"/>
  <c r="K650" i="3"/>
  <c r="J650" i="3"/>
  <c r="J649" i="3"/>
  <c r="I649" i="3"/>
  <c r="K648" i="3"/>
  <c r="J648" i="3"/>
  <c r="J647" i="3"/>
  <c r="I647" i="3"/>
  <c r="K646" i="3"/>
  <c r="J646" i="3"/>
  <c r="K645" i="3"/>
  <c r="J645" i="3"/>
  <c r="I644" i="3"/>
  <c r="K644" i="3" s="1"/>
  <c r="I643" i="3"/>
  <c r="K643" i="3" s="1"/>
  <c r="P641" i="3"/>
  <c r="L641" i="3"/>
  <c r="L639" i="3" s="1"/>
  <c r="O639" i="3" s="1"/>
  <c r="P640" i="3"/>
  <c r="O640" i="3"/>
  <c r="N639" i="3"/>
  <c r="M639" i="3"/>
  <c r="P639" i="3" s="1"/>
  <c r="P634" i="3"/>
  <c r="N634" i="3"/>
  <c r="N631" i="3" s="1"/>
  <c r="L634" i="3"/>
  <c r="L632" i="3" s="1"/>
  <c r="P633" i="3"/>
  <c r="O633" i="3"/>
  <c r="M632" i="3"/>
  <c r="P632" i="3" s="1"/>
  <c r="M631" i="3"/>
  <c r="P630" i="3"/>
  <c r="N630" i="3"/>
  <c r="M630" i="3"/>
  <c r="L630" i="3"/>
  <c r="J621" i="3"/>
  <c r="I621" i="3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5" i="3"/>
  <c r="J593" i="3" s="1"/>
  <c r="J592" i="3" s="1"/>
  <c r="J594" i="3"/>
  <c r="I594" i="3"/>
  <c r="K594" i="3" s="1"/>
  <c r="I593" i="3"/>
  <c r="J583" i="3"/>
  <c r="J577" i="3" s="1"/>
  <c r="J582" i="3"/>
  <c r="I577" i="3"/>
  <c r="K577" i="3" s="1"/>
  <c r="J576" i="3"/>
  <c r="J559" i="3" s="1"/>
  <c r="J543" i="3" s="1"/>
  <c r="I576" i="3"/>
  <c r="I559" i="3" s="1"/>
  <c r="J569" i="3"/>
  <c r="I569" i="3"/>
  <c r="K569" i="3" s="1"/>
  <c r="J568" i="3"/>
  <c r="I568" i="3"/>
  <c r="J561" i="3"/>
  <c r="I561" i="3"/>
  <c r="K561" i="3" s="1"/>
  <c r="J560" i="3"/>
  <c r="I560" i="3"/>
  <c r="P557" i="3"/>
  <c r="L557" i="3"/>
  <c r="P556" i="3"/>
  <c r="O556" i="3"/>
  <c r="N555" i="3"/>
  <c r="N545" i="3" s="1"/>
  <c r="M555" i="3"/>
  <c r="P555" i="3" s="1"/>
  <c r="N553" i="3"/>
  <c r="P549" i="3"/>
  <c r="N549" i="3"/>
  <c r="N546" i="3" s="1"/>
  <c r="L549" i="3"/>
  <c r="L547" i="3" s="1"/>
  <c r="P548" i="3"/>
  <c r="O548" i="3"/>
  <c r="N547" i="3"/>
  <c r="M547" i="3"/>
  <c r="P547" i="3" s="1"/>
  <c r="M546" i="3"/>
  <c r="P545" i="3"/>
  <c r="M545" i="3"/>
  <c r="L545" i="3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K537" i="3" s="1"/>
  <c r="P535" i="3"/>
  <c r="L535" i="3"/>
  <c r="P534" i="3"/>
  <c r="O534" i="3"/>
  <c r="N533" i="3"/>
  <c r="M533" i="3"/>
  <c r="P533" i="3" s="1"/>
  <c r="P528" i="3"/>
  <c r="N528" i="3"/>
  <c r="L528" i="3"/>
  <c r="O528" i="3" s="1"/>
  <c r="P527" i="3"/>
  <c r="O527" i="3"/>
  <c r="P526" i="3"/>
  <c r="N526" i="3"/>
  <c r="M526" i="3"/>
  <c r="N525" i="3"/>
  <c r="M525" i="3"/>
  <c r="P525" i="3" s="1"/>
  <c r="P524" i="3"/>
  <c r="N524" i="3"/>
  <c r="N523" i="3" s="1"/>
  <c r="M524" i="3"/>
  <c r="L524" i="3"/>
  <c r="O524" i="3" s="1"/>
  <c r="M523" i="3"/>
  <c r="P523" i="3" s="1"/>
  <c r="K517" i="3"/>
  <c r="J517" i="3"/>
  <c r="J501" i="3" s="1"/>
  <c r="K516" i="3"/>
  <c r="P514" i="3"/>
  <c r="O514" i="3"/>
  <c r="P513" i="3"/>
  <c r="O513" i="3"/>
  <c r="P512" i="3"/>
  <c r="N512" i="3"/>
  <c r="M512" i="3"/>
  <c r="L512" i="3"/>
  <c r="O512" i="3" s="1"/>
  <c r="P507" i="3"/>
  <c r="O507" i="3"/>
  <c r="N507" i="3"/>
  <c r="N504" i="3" s="1"/>
  <c r="P506" i="3"/>
  <c r="O506" i="3"/>
  <c r="P505" i="3"/>
  <c r="O505" i="3"/>
  <c r="N505" i="3"/>
  <c r="M505" i="3"/>
  <c r="L505" i="3"/>
  <c r="O504" i="3"/>
  <c r="M504" i="3"/>
  <c r="P504" i="3" s="1"/>
  <c r="L504" i="3"/>
  <c r="N503" i="3"/>
  <c r="M503" i="3"/>
  <c r="P503" i="3" s="1"/>
  <c r="L503" i="3"/>
  <c r="K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P478" i="3"/>
  <c r="O478" i="3"/>
  <c r="N477" i="3"/>
  <c r="M477" i="3"/>
  <c r="P477" i="3" s="1"/>
  <c r="N476" i="3"/>
  <c r="N472" i="3" s="1"/>
  <c r="N470" i="3" s="1"/>
  <c r="P472" i="3"/>
  <c r="L472" i="3"/>
  <c r="L470" i="3" s="1"/>
  <c r="O470" i="3" s="1"/>
  <c r="P471" i="3"/>
  <c r="O471" i="3"/>
  <c r="M470" i="3"/>
  <c r="P470" i="3" s="1"/>
  <c r="P469" i="3"/>
  <c r="M469" i="3"/>
  <c r="O468" i="3"/>
  <c r="N468" i="3"/>
  <c r="M468" i="3"/>
  <c r="L468" i="3"/>
  <c r="J466" i="3"/>
  <c r="I466" i="3"/>
  <c r="K466" i="3" s="1"/>
  <c r="J465" i="3"/>
  <c r="I465" i="3"/>
  <c r="K465" i="3" s="1"/>
  <c r="I464" i="3"/>
  <c r="I463" i="3"/>
  <c r="I462" i="3"/>
  <c r="I460" i="3"/>
  <c r="K458" i="3"/>
  <c r="P456" i="3"/>
  <c r="L456" i="3"/>
  <c r="P455" i="3"/>
  <c r="O455" i="3"/>
  <c r="N454" i="3"/>
  <c r="M454" i="3"/>
  <c r="P454" i="3" s="1"/>
  <c r="N453" i="3"/>
  <c r="N449" i="3" s="1"/>
  <c r="P449" i="3"/>
  <c r="L449" i="3"/>
  <c r="P448" i="3"/>
  <c r="O448" i="3"/>
  <c r="M447" i="3"/>
  <c r="P447" i="3" s="1"/>
  <c r="P446" i="3"/>
  <c r="M446" i="3"/>
  <c r="P445" i="3"/>
  <c r="O445" i="3"/>
  <c r="N445" i="3"/>
  <c r="M445" i="3"/>
  <c r="L445" i="3"/>
  <c r="P444" i="3"/>
  <c r="M444" i="3"/>
  <c r="J443" i="3"/>
  <c r="J442" i="3"/>
  <c r="I441" i="3"/>
  <c r="K441" i="3" s="1"/>
  <c r="I440" i="3"/>
  <c r="K440" i="3" s="1"/>
  <c r="I439" i="3"/>
  <c r="K439" i="3" s="1"/>
  <c r="I438" i="3"/>
  <c r="I437" i="3"/>
  <c r="I435" i="3"/>
  <c r="K435" i="3" s="1"/>
  <c r="J434" i="3"/>
  <c r="P431" i="3"/>
  <c r="L431" i="3"/>
  <c r="O431" i="3" s="1"/>
  <c r="P430" i="3"/>
  <c r="O430" i="3"/>
  <c r="N429" i="3"/>
  <c r="M429" i="3"/>
  <c r="P429" i="3" s="1"/>
  <c r="N428" i="3"/>
  <c r="N424" i="3" s="1"/>
  <c r="N425" i="3"/>
  <c r="P424" i="3"/>
  <c r="L424" i="3"/>
  <c r="P423" i="3"/>
  <c r="O423" i="3"/>
  <c r="M422" i="3"/>
  <c r="P422" i="3" s="1"/>
  <c r="M421" i="3"/>
  <c r="P421" i="3" s="1"/>
  <c r="N420" i="3"/>
  <c r="M420" i="3"/>
  <c r="L420" i="3"/>
  <c r="O420" i="3" s="1"/>
  <c r="J418" i="3"/>
  <c r="K413" i="3"/>
  <c r="K412" i="3"/>
  <c r="N410" i="3"/>
  <c r="N408" i="3" s="1"/>
  <c r="M410" i="3"/>
  <c r="M408" i="3" s="1"/>
  <c r="P408" i="3" s="1"/>
  <c r="L410" i="3"/>
  <c r="P409" i="3"/>
  <c r="O409" i="3"/>
  <c r="N407" i="3"/>
  <c r="N405" i="3" s="1"/>
  <c r="M407" i="3"/>
  <c r="L407" i="3"/>
  <c r="P406" i="3"/>
  <c r="O406" i="3"/>
  <c r="P403" i="3"/>
  <c r="O403" i="3"/>
  <c r="N403" i="3"/>
  <c r="M403" i="3"/>
  <c r="L403" i="3"/>
  <c r="K401" i="3"/>
  <c r="J401" i="3"/>
  <c r="I401" i="3"/>
  <c r="K400" i="3"/>
  <c r="K399" i="3"/>
  <c r="N397" i="3"/>
  <c r="N395" i="3" s="1"/>
  <c r="M397" i="3"/>
  <c r="L397" i="3"/>
  <c r="P396" i="3"/>
  <c r="O396" i="3"/>
  <c r="N394" i="3"/>
  <c r="N392" i="3" s="1"/>
  <c r="M394" i="3"/>
  <c r="L394" i="3"/>
  <c r="P393" i="3"/>
  <c r="O393" i="3"/>
  <c r="O390" i="3"/>
  <c r="N390" i="3"/>
  <c r="M390" i="3"/>
  <c r="L390" i="3"/>
  <c r="J388" i="3"/>
  <c r="I388" i="3"/>
  <c r="K388" i="3" s="1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L353" i="3"/>
  <c r="P352" i="3"/>
  <c r="O352" i="3"/>
  <c r="N350" i="3"/>
  <c r="M350" i="3"/>
  <c r="M348" i="3" s="1"/>
  <c r="L350" i="3"/>
  <c r="P349" i="3"/>
  <c r="O349" i="3"/>
  <c r="N346" i="3"/>
  <c r="M346" i="3"/>
  <c r="L346" i="3"/>
  <c r="O346" i="3" s="1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P335" i="3"/>
  <c r="O335" i="3"/>
  <c r="N333" i="3"/>
  <c r="M333" i="3"/>
  <c r="L333" i="3"/>
  <c r="L331" i="3" s="1"/>
  <c r="P332" i="3"/>
  <c r="O332" i="3"/>
  <c r="N329" i="3"/>
  <c r="M329" i="3"/>
  <c r="L329" i="3"/>
  <c r="O329" i="3" s="1"/>
  <c r="I327" i="3"/>
  <c r="I325" i="3"/>
  <c r="K325" i="3" s="1"/>
  <c r="N323" i="3"/>
  <c r="N321" i="3" s="1"/>
  <c r="M323" i="3"/>
  <c r="L323" i="3"/>
  <c r="O323" i="3" s="1"/>
  <c r="P322" i="3"/>
  <c r="O322" i="3"/>
  <c r="N320" i="3"/>
  <c r="N318" i="3" s="1"/>
  <c r="M320" i="3"/>
  <c r="M318" i="3" s="1"/>
  <c r="P318" i="3" s="1"/>
  <c r="L320" i="3"/>
  <c r="O320" i="3" s="1"/>
  <c r="P319" i="3"/>
  <c r="O319" i="3"/>
  <c r="N316" i="3"/>
  <c r="M316" i="3"/>
  <c r="P316" i="3" s="1"/>
  <c r="L316" i="3"/>
  <c r="O316" i="3" s="1"/>
  <c r="J314" i="3"/>
  <c r="I312" i="3"/>
  <c r="K312" i="3" s="1"/>
  <c r="I311" i="3"/>
  <c r="K311" i="3" s="1"/>
  <c r="I310" i="3"/>
  <c r="K310" i="3" s="1"/>
  <c r="I309" i="3"/>
  <c r="I297" i="3" s="1"/>
  <c r="N306" i="3"/>
  <c r="N304" i="3" s="1"/>
  <c r="M306" i="3"/>
  <c r="P306" i="3" s="1"/>
  <c r="L306" i="3"/>
  <c r="P305" i="3"/>
  <c r="O305" i="3"/>
  <c r="N303" i="3"/>
  <c r="N301" i="3" s="1"/>
  <c r="M303" i="3"/>
  <c r="L303" i="3"/>
  <c r="P302" i="3"/>
  <c r="O302" i="3"/>
  <c r="N299" i="3"/>
  <c r="M299" i="3"/>
  <c r="P299" i="3" s="1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75" i="3" s="1"/>
  <c r="I287" i="3"/>
  <c r="K287" i="3" s="1"/>
  <c r="N285" i="3"/>
  <c r="N283" i="3" s="1"/>
  <c r="M285" i="3"/>
  <c r="L285" i="3"/>
  <c r="L283" i="3" s="1"/>
  <c r="O283" i="3" s="1"/>
  <c r="P284" i="3"/>
  <c r="O284" i="3"/>
  <c r="N282" i="3"/>
  <c r="M282" i="3"/>
  <c r="L282" i="3"/>
  <c r="L280" i="3" s="1"/>
  <c r="P281" i="3"/>
  <c r="O281" i="3"/>
  <c r="N278" i="3"/>
  <c r="M278" i="3"/>
  <c r="L278" i="3"/>
  <c r="O278" i="3" s="1"/>
  <c r="J276" i="3"/>
  <c r="I271" i="3"/>
  <c r="I260" i="3" s="1"/>
  <c r="N269" i="3"/>
  <c r="N267" i="3" s="1"/>
  <c r="M269" i="3"/>
  <c r="P269" i="3" s="1"/>
  <c r="L269" i="3"/>
  <c r="P268" i="3"/>
  <c r="O268" i="3"/>
  <c r="N266" i="3"/>
  <c r="M266" i="3"/>
  <c r="M264" i="3" s="1"/>
  <c r="L266" i="3"/>
  <c r="P265" i="3"/>
  <c r="O265" i="3"/>
  <c r="N262" i="3"/>
  <c r="M262" i="3"/>
  <c r="P262" i="3" s="1"/>
  <c r="L262" i="3"/>
  <c r="J260" i="3"/>
  <c r="K258" i="3"/>
  <c r="K257" i="3"/>
  <c r="I255" i="3"/>
  <c r="L253" i="3"/>
  <c r="L252" i="3"/>
  <c r="L251" i="3"/>
  <c r="L250" i="3"/>
  <c r="P249" i="3"/>
  <c r="N249" i="3"/>
  <c r="N227" i="3" s="1"/>
  <c r="J248" i="3"/>
  <c r="K247" i="3"/>
  <c r="K246" i="3"/>
  <c r="I244" i="3"/>
  <c r="K244" i="3" s="1"/>
  <c r="L242" i="3"/>
  <c r="L241" i="3"/>
  <c r="L240" i="3"/>
  <c r="L239" i="3"/>
  <c r="P238" i="3"/>
  <c r="N238" i="3"/>
  <c r="J237" i="3"/>
  <c r="J226" i="3" s="1"/>
  <c r="J180" i="3" s="1"/>
  <c r="J236" i="3"/>
  <c r="I236" i="3"/>
  <c r="K236" i="3" s="1"/>
  <c r="K235" i="3"/>
  <c r="J235" i="3"/>
  <c r="I235" i="3"/>
  <c r="J233" i="3"/>
  <c r="N231" i="3"/>
  <c r="N230" i="3"/>
  <c r="N229" i="3"/>
  <c r="N228" i="3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K204" i="3" s="1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N187" i="3" s="1"/>
  <c r="M189" i="3"/>
  <c r="P189" i="3" s="1"/>
  <c r="L189" i="3"/>
  <c r="O189" i="3" s="1"/>
  <c r="P188" i="3"/>
  <c r="O188" i="3"/>
  <c r="N186" i="3"/>
  <c r="N184" i="3" s="1"/>
  <c r="M186" i="3"/>
  <c r="L186" i="3"/>
  <c r="P185" i="3"/>
  <c r="O185" i="3"/>
  <c r="P182" i="3"/>
  <c r="O182" i="3"/>
  <c r="N182" i="3"/>
  <c r="M182" i="3"/>
  <c r="L182" i="3"/>
  <c r="J177" i="3"/>
  <c r="J164" i="3" s="1"/>
  <c r="I176" i="3"/>
  <c r="K176" i="3" s="1"/>
  <c r="J174" i="3"/>
  <c r="N173" i="3"/>
  <c r="N171" i="3" s="1"/>
  <c r="M173" i="3"/>
  <c r="L173" i="3"/>
  <c r="O173" i="3" s="1"/>
  <c r="P172" i="3"/>
  <c r="O172" i="3"/>
  <c r="N170" i="3"/>
  <c r="N168" i="3" s="1"/>
  <c r="M170" i="3"/>
  <c r="L170" i="3"/>
  <c r="P169" i="3"/>
  <c r="O169" i="3"/>
  <c r="P166" i="3"/>
  <c r="O166" i="3"/>
  <c r="N166" i="3"/>
  <c r="M166" i="3"/>
  <c r="L166" i="3"/>
  <c r="I159" i="3"/>
  <c r="N157" i="3"/>
  <c r="N155" i="3" s="1"/>
  <c r="M157" i="3"/>
  <c r="P157" i="3" s="1"/>
  <c r="L157" i="3"/>
  <c r="P156" i="3"/>
  <c r="O156" i="3"/>
  <c r="N154" i="3"/>
  <c r="N152" i="3" s="1"/>
  <c r="M154" i="3"/>
  <c r="L154" i="3"/>
  <c r="P153" i="3"/>
  <c r="O153" i="3"/>
  <c r="N150" i="3"/>
  <c r="M150" i="3"/>
  <c r="P150" i="3" s="1"/>
  <c r="L150" i="3"/>
  <c r="J148" i="3"/>
  <c r="I146" i="3"/>
  <c r="I130" i="3" s="1"/>
  <c r="K130" i="3" s="1"/>
  <c r="I145" i="3"/>
  <c r="I144" i="3"/>
  <c r="K144" i="3" s="1"/>
  <c r="N140" i="3"/>
  <c r="M140" i="3"/>
  <c r="M138" i="3" s="1"/>
  <c r="L140" i="3"/>
  <c r="L138" i="3" s="1"/>
  <c r="P139" i="3"/>
  <c r="O139" i="3"/>
  <c r="N137" i="3"/>
  <c r="M137" i="3"/>
  <c r="L137" i="3"/>
  <c r="L135" i="3" s="1"/>
  <c r="P136" i="3"/>
  <c r="O136" i="3"/>
  <c r="P133" i="3"/>
  <c r="O133" i="3"/>
  <c r="N133" i="3"/>
  <c r="M133" i="3"/>
  <c r="L133" i="3"/>
  <c r="J130" i="3"/>
  <c r="N127" i="3"/>
  <c r="N125" i="3" s="1"/>
  <c r="M127" i="3"/>
  <c r="L127" i="3"/>
  <c r="P126" i="3"/>
  <c r="O126" i="3"/>
  <c r="N124" i="3"/>
  <c r="N122" i="3" s="1"/>
  <c r="M124" i="3"/>
  <c r="P124" i="3" s="1"/>
  <c r="L124" i="3"/>
  <c r="P123" i="3"/>
  <c r="O123" i="3"/>
  <c r="N120" i="3"/>
  <c r="M120" i="3"/>
  <c r="P120" i="3" s="1"/>
  <c r="L120" i="3"/>
  <c r="K118" i="3"/>
  <c r="J118" i="3"/>
  <c r="I116" i="3"/>
  <c r="K116" i="3" s="1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I99" i="3"/>
  <c r="I87" i="3" s="1"/>
  <c r="K87" i="3" s="1"/>
  <c r="J98" i="3"/>
  <c r="J86" i="3" s="1"/>
  <c r="I98" i="3"/>
  <c r="I86" i="3" s="1"/>
  <c r="N96" i="3"/>
  <c r="N94" i="3" s="1"/>
  <c r="M96" i="3"/>
  <c r="P96" i="3" s="1"/>
  <c r="L96" i="3"/>
  <c r="P95" i="3"/>
  <c r="O95" i="3"/>
  <c r="N93" i="3"/>
  <c r="N91" i="3" s="1"/>
  <c r="M93" i="3"/>
  <c r="L93" i="3"/>
  <c r="P92" i="3"/>
  <c r="O92" i="3"/>
  <c r="N89" i="3"/>
  <c r="M89" i="3"/>
  <c r="P89" i="3" s="1"/>
  <c r="L89" i="3"/>
  <c r="J87" i="3"/>
  <c r="I84" i="3"/>
  <c r="K84" i="3" s="1"/>
  <c r="I83" i="3"/>
  <c r="K83" i="3" s="1"/>
  <c r="I82" i="3"/>
  <c r="K82" i="3" s="1"/>
  <c r="I81" i="3"/>
  <c r="K81" i="3" s="1"/>
  <c r="I80" i="3"/>
  <c r="K80" i="3" s="1"/>
  <c r="I79" i="3"/>
  <c r="K79" i="3" s="1"/>
  <c r="I78" i="3"/>
  <c r="K78" i="3" s="1"/>
  <c r="J77" i="3"/>
  <c r="J76" i="3"/>
  <c r="J64" i="3" s="1"/>
  <c r="N74" i="3"/>
  <c r="M74" i="3"/>
  <c r="P74" i="3" s="1"/>
  <c r="L74" i="3"/>
  <c r="O74" i="3" s="1"/>
  <c r="P73" i="3"/>
  <c r="O73" i="3"/>
  <c r="N71" i="3"/>
  <c r="N69" i="3" s="1"/>
  <c r="M71" i="3"/>
  <c r="L71" i="3"/>
  <c r="P70" i="3"/>
  <c r="O70" i="3"/>
  <c r="P67" i="3"/>
  <c r="N67" i="3"/>
  <c r="M67" i="3"/>
  <c r="L67" i="3"/>
  <c r="J65" i="3"/>
  <c r="N61" i="3"/>
  <c r="N59" i="3" s="1"/>
  <c r="M61" i="3"/>
  <c r="M59" i="3" s="1"/>
  <c r="L61" i="3"/>
  <c r="L59" i="3" s="1"/>
  <c r="P60" i="3"/>
  <c r="O60" i="3"/>
  <c r="N58" i="3"/>
  <c r="N56" i="3" s="1"/>
  <c r="M58" i="3"/>
  <c r="M56" i="3" s="1"/>
  <c r="L58" i="3"/>
  <c r="P57" i="3"/>
  <c r="O57" i="3"/>
  <c r="O54" i="3"/>
  <c r="N54" i="3"/>
  <c r="M54" i="3"/>
  <c r="P54" i="3" s="1"/>
  <c r="L54" i="3"/>
  <c r="N49" i="3"/>
  <c r="N47" i="3" s="1"/>
  <c r="M49" i="3"/>
  <c r="L49" i="3"/>
  <c r="O49" i="3" s="1"/>
  <c r="P48" i="3"/>
  <c r="O48" i="3"/>
  <c r="N46" i="3"/>
  <c r="N44" i="3" s="1"/>
  <c r="M46" i="3"/>
  <c r="L46" i="3"/>
  <c r="P45" i="3"/>
  <c r="O45" i="3"/>
  <c r="N42" i="3"/>
  <c r="M42" i="3"/>
  <c r="P42" i="3" s="1"/>
  <c r="L42" i="3"/>
  <c r="O42" i="3" s="1"/>
  <c r="N36" i="3"/>
  <c r="M36" i="3"/>
  <c r="P36" i="3" s="1"/>
  <c r="N35" i="3"/>
  <c r="M35" i="3"/>
  <c r="P35" i="3" s="1"/>
  <c r="L35" i="3"/>
  <c r="L29" i="3" s="1"/>
  <c r="N34" i="3"/>
  <c r="P33" i="3"/>
  <c r="N33" i="3"/>
  <c r="M33" i="3"/>
  <c r="M31" i="3" s="1"/>
  <c r="P31" i="3" s="1"/>
  <c r="P32" i="3"/>
  <c r="O32" i="3"/>
  <c r="N32" i="3"/>
  <c r="M32" i="3"/>
  <c r="L32" i="3"/>
  <c r="N31" i="3"/>
  <c r="N30" i="3"/>
  <c r="N29" i="3"/>
  <c r="M29" i="3"/>
  <c r="P29" i="3" s="1"/>
  <c r="N28" i="3"/>
  <c r="P25" i="3"/>
  <c r="O25" i="3"/>
  <c r="N25" i="3"/>
  <c r="M25" i="3"/>
  <c r="L25" i="3"/>
  <c r="N22" i="3"/>
  <c r="N19" i="3" s="1"/>
  <c r="M22" i="3"/>
  <c r="P22" i="3" s="1"/>
  <c r="L22" i="3"/>
  <c r="O22" i="3" s="1"/>
  <c r="N15" i="3"/>
  <c r="M15" i="3"/>
  <c r="P15" i="3" s="1"/>
  <c r="L15" i="3"/>
  <c r="O15" i="3" s="1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O815" i="2"/>
  <c r="N815" i="2"/>
  <c r="M815" i="2"/>
  <c r="L815" i="2"/>
  <c r="P810" i="2"/>
  <c r="O810" i="2"/>
  <c r="N810" i="2"/>
  <c r="N807" i="2" s="1"/>
  <c r="N805" i="2" s="1"/>
  <c r="P809" i="2"/>
  <c r="O809" i="2"/>
  <c r="N808" i="2"/>
  <c r="M808" i="2"/>
  <c r="P808" i="2" s="1"/>
  <c r="L808" i="2"/>
  <c r="O808" i="2" s="1"/>
  <c r="M807" i="2"/>
  <c r="P807" i="2" s="1"/>
  <c r="L807" i="2"/>
  <c r="O807" i="2" s="1"/>
  <c r="P806" i="2"/>
  <c r="N806" i="2"/>
  <c r="M806" i="2"/>
  <c r="M805" i="2" s="1"/>
  <c r="P805" i="2" s="1"/>
  <c r="L806" i="2"/>
  <c r="K804" i="2"/>
  <c r="J804" i="2"/>
  <c r="J803" i="2"/>
  <c r="I803" i="2"/>
  <c r="J802" i="2"/>
  <c r="J801" i="2"/>
  <c r="I801" i="2"/>
  <c r="J800" i="2"/>
  <c r="P798" i="2"/>
  <c r="O798" i="2"/>
  <c r="P797" i="2"/>
  <c r="O797" i="2"/>
  <c r="P796" i="2"/>
  <c r="N796" i="2"/>
  <c r="M796" i="2"/>
  <c r="L796" i="2"/>
  <c r="O796" i="2" s="1"/>
  <c r="N795" i="2"/>
  <c r="N791" i="2" s="1"/>
  <c r="P791" i="2"/>
  <c r="L791" i="2"/>
  <c r="P790" i="2"/>
  <c r="O790" i="2"/>
  <c r="P789" i="2"/>
  <c r="M789" i="2"/>
  <c r="P788" i="2"/>
  <c r="M788" i="2"/>
  <c r="P787" i="2"/>
  <c r="O787" i="2"/>
  <c r="N787" i="2"/>
  <c r="M787" i="2"/>
  <c r="M786" i="2" s="1"/>
  <c r="P786" i="2" s="1"/>
  <c r="L787" i="2"/>
  <c r="P782" i="2"/>
  <c r="O782" i="2"/>
  <c r="P781" i="2"/>
  <c r="O781" i="2"/>
  <c r="O780" i="2"/>
  <c r="N780" i="2"/>
  <c r="M780" i="2"/>
  <c r="P780" i="2" s="1"/>
  <c r="L780" i="2"/>
  <c r="P775" i="2"/>
  <c r="O775" i="2"/>
  <c r="N775" i="2"/>
  <c r="P774" i="2"/>
  <c r="O774" i="2"/>
  <c r="M773" i="2"/>
  <c r="P773" i="2" s="1"/>
  <c r="L773" i="2"/>
  <c r="O773" i="2" s="1"/>
  <c r="P772" i="2"/>
  <c r="M772" i="2"/>
  <c r="L772" i="2"/>
  <c r="O772" i="2" s="1"/>
  <c r="P771" i="2"/>
  <c r="O771" i="2"/>
  <c r="N771" i="2"/>
  <c r="M771" i="2"/>
  <c r="L771" i="2"/>
  <c r="L770" i="2" s="1"/>
  <c r="O770" i="2" s="1"/>
  <c r="P770" i="2"/>
  <c r="M770" i="2"/>
  <c r="K769" i="2"/>
  <c r="J769" i="2"/>
  <c r="P766" i="2"/>
  <c r="O766" i="2"/>
  <c r="P765" i="2"/>
  <c r="O765" i="2"/>
  <c r="O764" i="2"/>
  <c r="N764" i="2"/>
  <c r="M764" i="2"/>
  <c r="P764" i="2" s="1"/>
  <c r="L764" i="2"/>
  <c r="P759" i="2"/>
  <c r="O759" i="2"/>
  <c r="N759" i="2"/>
  <c r="P758" i="2"/>
  <c r="O758" i="2"/>
  <c r="M757" i="2"/>
  <c r="P757" i="2" s="1"/>
  <c r="L757" i="2"/>
  <c r="O757" i="2" s="1"/>
  <c r="P756" i="2"/>
  <c r="M756" i="2"/>
  <c r="L756" i="2"/>
  <c r="O756" i="2" s="1"/>
  <c r="P755" i="2"/>
  <c r="O755" i="2"/>
  <c r="N755" i="2"/>
  <c r="M755" i="2"/>
  <c r="L755" i="2"/>
  <c r="L754" i="2" s="1"/>
  <c r="O754" i="2" s="1"/>
  <c r="P754" i="2"/>
  <c r="M754" i="2"/>
  <c r="K753" i="2"/>
  <c r="J753" i="2"/>
  <c r="P749" i="2"/>
  <c r="O749" i="2"/>
  <c r="P748" i="2"/>
  <c r="O748" i="2"/>
  <c r="O747" i="2"/>
  <c r="N747" i="2"/>
  <c r="M747" i="2"/>
  <c r="P747" i="2" s="1"/>
  <c r="L747" i="2"/>
  <c r="P742" i="2"/>
  <c r="O742" i="2"/>
  <c r="N742" i="2"/>
  <c r="P741" i="2"/>
  <c r="O741" i="2"/>
  <c r="M740" i="2"/>
  <c r="P740" i="2" s="1"/>
  <c r="L740" i="2"/>
  <c r="O740" i="2" s="1"/>
  <c r="P739" i="2"/>
  <c r="M739" i="2"/>
  <c r="L739" i="2"/>
  <c r="O739" i="2" s="1"/>
  <c r="P738" i="2"/>
  <c r="O738" i="2"/>
  <c r="N738" i="2"/>
  <c r="M738" i="2"/>
  <c r="L738" i="2"/>
  <c r="L737" i="2" s="1"/>
  <c r="O737" i="2" s="1"/>
  <c r="P737" i="2"/>
  <c r="M737" i="2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J719" i="2"/>
  <c r="J718" i="2"/>
  <c r="J708" i="2"/>
  <c r="I708" i="2"/>
  <c r="I707" i="2"/>
  <c r="I704" i="2"/>
  <c r="J701" i="2"/>
  <c r="I701" i="2"/>
  <c r="J700" i="2"/>
  <c r="I700" i="2"/>
  <c r="K700" i="2" s="1"/>
  <c r="J699" i="2"/>
  <c r="I699" i="2"/>
  <c r="K699" i="2" s="1"/>
  <c r="P697" i="2"/>
  <c r="O697" i="2"/>
  <c r="P696" i="2"/>
  <c r="O696" i="2"/>
  <c r="O695" i="2"/>
  <c r="N695" i="2"/>
  <c r="M695" i="2"/>
  <c r="P695" i="2" s="1"/>
  <c r="L695" i="2"/>
  <c r="P690" i="2"/>
  <c r="N690" i="2"/>
  <c r="L690" i="2"/>
  <c r="L688" i="2" s="1"/>
  <c r="P688" i="2"/>
  <c r="M688" i="2"/>
  <c r="P687" i="2"/>
  <c r="M687" i="2"/>
  <c r="P686" i="2"/>
  <c r="O686" i="2"/>
  <c r="N686" i="2"/>
  <c r="M686" i="2"/>
  <c r="M685" i="2" s="1"/>
  <c r="P685" i="2" s="1"/>
  <c r="L686" i="2"/>
  <c r="J679" i="2"/>
  <c r="J678" i="2"/>
  <c r="I678" i="2"/>
  <c r="K678" i="2" s="1"/>
  <c r="J675" i="2"/>
  <c r="I671" i="2"/>
  <c r="K671" i="2" s="1"/>
  <c r="I670" i="2"/>
  <c r="K670" i="2" s="1"/>
  <c r="J669" i="2"/>
  <c r="J654" i="2" s="1"/>
  <c r="I669" i="2"/>
  <c r="K672" i="2" s="1"/>
  <c r="P667" i="2"/>
  <c r="O667" i="2"/>
  <c r="P666" i="2"/>
  <c r="O666" i="2"/>
  <c r="P665" i="2"/>
  <c r="O665" i="2"/>
  <c r="N665" i="2"/>
  <c r="M665" i="2"/>
  <c r="L665" i="2"/>
  <c r="P660" i="2"/>
  <c r="N660" i="2"/>
  <c r="L660" i="2"/>
  <c r="L658" i="2" s="1"/>
  <c r="O658" i="2" s="1"/>
  <c r="P659" i="2"/>
  <c r="O659" i="2"/>
  <c r="N658" i="2"/>
  <c r="M658" i="2"/>
  <c r="P658" i="2" s="1"/>
  <c r="N657" i="2"/>
  <c r="M657" i="2"/>
  <c r="P657" i="2" s="1"/>
  <c r="N656" i="2"/>
  <c r="M656" i="2"/>
  <c r="L656" i="2"/>
  <c r="O656" i="2" s="1"/>
  <c r="K652" i="2"/>
  <c r="J652" i="2"/>
  <c r="J651" i="2"/>
  <c r="J628" i="2" s="1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P639" i="2"/>
  <c r="N639" i="2"/>
  <c r="M639" i="2"/>
  <c r="N638" i="2"/>
  <c r="N634" i="2" s="1"/>
  <c r="P634" i="2"/>
  <c r="L634" i="2"/>
  <c r="P633" i="2"/>
  <c r="O633" i="2"/>
  <c r="P632" i="2"/>
  <c r="M632" i="2"/>
  <c r="P631" i="2"/>
  <c r="M631" i="2"/>
  <c r="P630" i="2"/>
  <c r="O630" i="2"/>
  <c r="N630" i="2"/>
  <c r="M630" i="2"/>
  <c r="M629" i="2" s="1"/>
  <c r="P629" i="2" s="1"/>
  <c r="L630" i="2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5" i="2"/>
  <c r="J594" i="2"/>
  <c r="I594" i="2"/>
  <c r="J593" i="2"/>
  <c r="I593" i="2"/>
  <c r="I592" i="2" s="1"/>
  <c r="J592" i="2"/>
  <c r="J583" i="2"/>
  <c r="J577" i="2" s="1"/>
  <c r="J582" i="2"/>
  <c r="J576" i="2" s="1"/>
  <c r="J559" i="2" s="1"/>
  <c r="J543" i="2" s="1"/>
  <c r="I577" i="2"/>
  <c r="K577" i="2" s="1"/>
  <c r="I576" i="2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O557" i="2" s="1"/>
  <c r="P556" i="2"/>
  <c r="O556" i="2"/>
  <c r="P555" i="2"/>
  <c r="N555" i="2"/>
  <c r="M555" i="2"/>
  <c r="M545" i="2" s="1"/>
  <c r="P545" i="2" s="1"/>
  <c r="N553" i="2"/>
  <c r="P549" i="2"/>
  <c r="N549" i="2"/>
  <c r="N546" i="2" s="1"/>
  <c r="L549" i="2"/>
  <c r="P548" i="2"/>
  <c r="O548" i="2"/>
  <c r="P547" i="2"/>
  <c r="N547" i="2"/>
  <c r="M547" i="2"/>
  <c r="M546" i="2"/>
  <c r="P546" i="2" s="1"/>
  <c r="N545" i="2"/>
  <c r="N544" i="2" s="1"/>
  <c r="L545" i="2"/>
  <c r="M544" i="2"/>
  <c r="P544" i="2" s="1"/>
  <c r="I542" i="2"/>
  <c r="K542" i="2" s="1"/>
  <c r="I541" i="2"/>
  <c r="K541" i="2" s="1"/>
  <c r="I540" i="2"/>
  <c r="K540" i="2" s="1"/>
  <c r="I539" i="2"/>
  <c r="K539" i="2" s="1"/>
  <c r="I538" i="2"/>
  <c r="K538" i="2" s="1"/>
  <c r="I537" i="2"/>
  <c r="K537" i="2" s="1"/>
  <c r="P535" i="2"/>
  <c r="L535" i="2"/>
  <c r="O535" i="2" s="1"/>
  <c r="P534" i="2"/>
  <c r="O534" i="2"/>
  <c r="N533" i="2"/>
  <c r="M533" i="2"/>
  <c r="P533" i="2" s="1"/>
  <c r="P528" i="2"/>
  <c r="N528" i="2"/>
  <c r="N525" i="2" s="1"/>
  <c r="N523" i="2" s="1"/>
  <c r="L528" i="2"/>
  <c r="O528" i="2" s="1"/>
  <c r="P527" i="2"/>
  <c r="O527" i="2"/>
  <c r="M526" i="2"/>
  <c r="P526" i="2" s="1"/>
  <c r="M525" i="2"/>
  <c r="P525" i="2" s="1"/>
  <c r="P524" i="2"/>
  <c r="N524" i="2"/>
  <c r="M524" i="2"/>
  <c r="M523" i="2" s="1"/>
  <c r="P523" i="2" s="1"/>
  <c r="L524" i="2"/>
  <c r="K517" i="2"/>
  <c r="J517" i="2"/>
  <c r="K516" i="2"/>
  <c r="P514" i="2"/>
  <c r="O514" i="2"/>
  <c r="P513" i="2"/>
  <c r="O513" i="2"/>
  <c r="N512" i="2"/>
  <c r="M512" i="2"/>
  <c r="P512" i="2" s="1"/>
  <c r="L512" i="2"/>
  <c r="O512" i="2" s="1"/>
  <c r="P507" i="2"/>
  <c r="O507" i="2"/>
  <c r="N507" i="2"/>
  <c r="N505" i="2" s="1"/>
  <c r="P506" i="2"/>
  <c r="O506" i="2"/>
  <c r="P505" i="2"/>
  <c r="M505" i="2"/>
  <c r="L505" i="2"/>
  <c r="O505" i="2" s="1"/>
  <c r="P504" i="2"/>
  <c r="O504" i="2"/>
  <c r="N504" i="2"/>
  <c r="M504" i="2"/>
  <c r="L504" i="2"/>
  <c r="P503" i="2"/>
  <c r="O503" i="2"/>
  <c r="N503" i="2"/>
  <c r="N502" i="2" s="1"/>
  <c r="M503" i="2"/>
  <c r="M502" i="2" s="1"/>
  <c r="P502" i="2" s="1"/>
  <c r="L503" i="2"/>
  <c r="O502" i="2"/>
  <c r="L502" i="2"/>
  <c r="K501" i="2"/>
  <c r="J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P478" i="2"/>
  <c r="O478" i="2"/>
  <c r="N477" i="2"/>
  <c r="M477" i="2"/>
  <c r="P477" i="2" s="1"/>
  <c r="P472" i="2"/>
  <c r="N472" i="2"/>
  <c r="L472" i="2"/>
  <c r="O472" i="2" s="1"/>
  <c r="P471" i="2"/>
  <c r="O471" i="2"/>
  <c r="P470" i="2"/>
  <c r="N470" i="2"/>
  <c r="M470" i="2"/>
  <c r="P469" i="2"/>
  <c r="N469" i="2"/>
  <c r="M469" i="2"/>
  <c r="P468" i="2"/>
  <c r="O468" i="2"/>
  <c r="N468" i="2"/>
  <c r="N467" i="2" s="1"/>
  <c r="M468" i="2"/>
  <c r="M467" i="2" s="1"/>
  <c r="P467" i="2" s="1"/>
  <c r="L468" i="2"/>
  <c r="J466" i="2"/>
  <c r="I466" i="2"/>
  <c r="K466" i="2" s="1"/>
  <c r="J465" i="2"/>
  <c r="I465" i="2"/>
  <c r="K465" i="2" s="1"/>
  <c r="I464" i="2"/>
  <c r="I463" i="2"/>
  <c r="I462" i="2"/>
  <c r="I460" i="2"/>
  <c r="K460" i="2" s="1"/>
  <c r="K458" i="2"/>
  <c r="P456" i="2"/>
  <c r="L456" i="2"/>
  <c r="O456" i="2" s="1"/>
  <c r="P455" i="2"/>
  <c r="O455" i="2"/>
  <c r="N454" i="2"/>
  <c r="M454" i="2"/>
  <c r="P454" i="2" s="1"/>
  <c r="P449" i="2"/>
  <c r="N449" i="2"/>
  <c r="N446" i="2" s="1"/>
  <c r="L449" i="2"/>
  <c r="P448" i="2"/>
  <c r="O448" i="2"/>
  <c r="N447" i="2"/>
  <c r="M447" i="2"/>
  <c r="P447" i="2" s="1"/>
  <c r="P446" i="2"/>
  <c r="M446" i="2"/>
  <c r="P445" i="2"/>
  <c r="O445" i="2"/>
  <c r="N445" i="2"/>
  <c r="N444" i="2" s="1"/>
  <c r="M445" i="2"/>
  <c r="L445" i="2"/>
  <c r="P444" i="2"/>
  <c r="M444" i="2"/>
  <c r="J443" i="2"/>
  <c r="J442" i="2"/>
  <c r="I441" i="2"/>
  <c r="K441" i="2" s="1"/>
  <c r="I440" i="2"/>
  <c r="K440" i="2" s="1"/>
  <c r="I439" i="2"/>
  <c r="K439" i="2" s="1"/>
  <c r="I438" i="2"/>
  <c r="I437" i="2"/>
  <c r="K437" i="2" s="1"/>
  <c r="I435" i="2"/>
  <c r="K435" i="2" s="1"/>
  <c r="J434" i="2"/>
  <c r="J418" i="2" s="1"/>
  <c r="P431" i="2"/>
  <c r="L431" i="2"/>
  <c r="O431" i="2" s="1"/>
  <c r="P430" i="2"/>
  <c r="O430" i="2"/>
  <c r="N429" i="2"/>
  <c r="M429" i="2"/>
  <c r="P429" i="2" s="1"/>
  <c r="P424" i="2"/>
  <c r="N424" i="2"/>
  <c r="N421" i="2" s="1"/>
  <c r="L424" i="2"/>
  <c r="P423" i="2"/>
  <c r="O423" i="2"/>
  <c r="N422" i="2"/>
  <c r="M422" i="2"/>
  <c r="P422" i="2" s="1"/>
  <c r="P421" i="2"/>
  <c r="M421" i="2"/>
  <c r="P420" i="2"/>
  <c r="O420" i="2"/>
  <c r="N420" i="2"/>
  <c r="M420" i="2"/>
  <c r="L420" i="2"/>
  <c r="P419" i="2"/>
  <c r="M419" i="2"/>
  <c r="K413" i="2"/>
  <c r="K412" i="2"/>
  <c r="N410" i="2"/>
  <c r="M410" i="2"/>
  <c r="L410" i="2"/>
  <c r="O410" i="2" s="1"/>
  <c r="P409" i="2"/>
  <c r="O409" i="2"/>
  <c r="N407" i="2"/>
  <c r="N405" i="2" s="1"/>
  <c r="M407" i="2"/>
  <c r="M405" i="2" s="1"/>
  <c r="P405" i="2" s="1"/>
  <c r="L407" i="2"/>
  <c r="L405" i="2" s="1"/>
  <c r="O405" i="2" s="1"/>
  <c r="P406" i="2"/>
  <c r="O406" i="2"/>
  <c r="O403" i="2"/>
  <c r="N403" i="2"/>
  <c r="M403" i="2"/>
  <c r="L403" i="2"/>
  <c r="K401" i="2"/>
  <c r="J401" i="2"/>
  <c r="I401" i="2"/>
  <c r="K400" i="2"/>
  <c r="K399" i="2"/>
  <c r="N397" i="2"/>
  <c r="N395" i="2" s="1"/>
  <c r="M397" i="2"/>
  <c r="P397" i="2" s="1"/>
  <c r="L397" i="2"/>
  <c r="P396" i="2"/>
  <c r="O396" i="2"/>
  <c r="N394" i="2"/>
  <c r="N392" i="2" s="1"/>
  <c r="M394" i="2"/>
  <c r="L394" i="2"/>
  <c r="P393" i="2"/>
  <c r="O393" i="2"/>
  <c r="O390" i="2"/>
  <c r="N390" i="2"/>
  <c r="M390" i="2"/>
  <c r="P390" i="2" s="1"/>
  <c r="L390" i="2"/>
  <c r="K388" i="2"/>
  <c r="J388" i="2"/>
  <c r="I388" i="2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M353" i="2"/>
  <c r="M351" i="2" s="1"/>
  <c r="L353" i="2"/>
  <c r="P352" i="2"/>
  <c r="O352" i="2"/>
  <c r="N350" i="2"/>
  <c r="N348" i="2" s="1"/>
  <c r="M350" i="2"/>
  <c r="L350" i="2"/>
  <c r="P349" i="2"/>
  <c r="O349" i="2"/>
  <c r="O346" i="2"/>
  <c r="N346" i="2"/>
  <c r="M346" i="2"/>
  <c r="P346" i="2" s="1"/>
  <c r="L346" i="2"/>
  <c r="J343" i="2"/>
  <c r="J342" i="2"/>
  <c r="J341" i="2"/>
  <c r="J340" i="2"/>
  <c r="I340" i="2"/>
  <c r="J338" i="2"/>
  <c r="I338" i="2"/>
  <c r="N336" i="2"/>
  <c r="N334" i="2" s="1"/>
  <c r="M336" i="2"/>
  <c r="M334" i="2" s="1"/>
  <c r="P334" i="2" s="1"/>
  <c r="L336" i="2"/>
  <c r="P335" i="2"/>
  <c r="O335" i="2"/>
  <c r="N333" i="2"/>
  <c r="M333" i="2"/>
  <c r="L333" i="2"/>
  <c r="P332" i="2"/>
  <c r="O332" i="2"/>
  <c r="O329" i="2"/>
  <c r="N329" i="2"/>
  <c r="M329" i="2"/>
  <c r="P329" i="2" s="1"/>
  <c r="L329" i="2"/>
  <c r="I327" i="2"/>
  <c r="I325" i="2"/>
  <c r="K325" i="2" s="1"/>
  <c r="N323" i="2"/>
  <c r="N321" i="2" s="1"/>
  <c r="M323" i="2"/>
  <c r="P323" i="2" s="1"/>
  <c r="L323" i="2"/>
  <c r="L321" i="2" s="1"/>
  <c r="O321" i="2" s="1"/>
  <c r="P322" i="2"/>
  <c r="O322" i="2"/>
  <c r="N320" i="2"/>
  <c r="M320" i="2"/>
  <c r="M318" i="2" s="1"/>
  <c r="L320" i="2"/>
  <c r="L318" i="2" s="1"/>
  <c r="P319" i="2"/>
  <c r="O319" i="2"/>
  <c r="O316" i="2"/>
  <c r="N316" i="2"/>
  <c r="M316" i="2"/>
  <c r="L316" i="2"/>
  <c r="J314" i="2"/>
  <c r="I312" i="2"/>
  <c r="K312" i="2" s="1"/>
  <c r="I311" i="2"/>
  <c r="K311" i="2" s="1"/>
  <c r="I310" i="2"/>
  <c r="K310" i="2" s="1"/>
  <c r="I309" i="2"/>
  <c r="I297" i="2" s="1"/>
  <c r="N306" i="2"/>
  <c r="N304" i="2" s="1"/>
  <c r="M306" i="2"/>
  <c r="P306" i="2" s="1"/>
  <c r="L306" i="2"/>
  <c r="O306" i="2" s="1"/>
  <c r="P305" i="2"/>
  <c r="O305" i="2"/>
  <c r="N303" i="2"/>
  <c r="N301" i="2" s="1"/>
  <c r="M303" i="2"/>
  <c r="L303" i="2"/>
  <c r="P302" i="2"/>
  <c r="O302" i="2"/>
  <c r="O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75" i="2" s="1"/>
  <c r="I287" i="2"/>
  <c r="K287" i="2" s="1"/>
  <c r="N285" i="2"/>
  <c r="N283" i="2" s="1"/>
  <c r="M285" i="2"/>
  <c r="P285" i="2" s="1"/>
  <c r="L285" i="2"/>
  <c r="L283" i="2" s="1"/>
  <c r="O283" i="2" s="1"/>
  <c r="P284" i="2"/>
  <c r="O284" i="2"/>
  <c r="N282" i="2"/>
  <c r="M282" i="2"/>
  <c r="L282" i="2"/>
  <c r="L280" i="2" s="1"/>
  <c r="P281" i="2"/>
  <c r="O281" i="2"/>
  <c r="P278" i="2"/>
  <c r="N278" i="2"/>
  <c r="M278" i="2"/>
  <c r="L278" i="2"/>
  <c r="O278" i="2" s="1"/>
  <c r="J276" i="2"/>
  <c r="I271" i="2"/>
  <c r="I260" i="2" s="1"/>
  <c r="N269" i="2"/>
  <c r="N267" i="2" s="1"/>
  <c r="M269" i="2"/>
  <c r="P269" i="2" s="1"/>
  <c r="L269" i="2"/>
  <c r="O269" i="2" s="1"/>
  <c r="P268" i="2"/>
  <c r="O268" i="2"/>
  <c r="N266" i="2"/>
  <c r="N264" i="2" s="1"/>
  <c r="M266" i="2"/>
  <c r="L266" i="2"/>
  <c r="P265" i="2"/>
  <c r="O265" i="2"/>
  <c r="O262" i="2"/>
  <c r="N262" i="2"/>
  <c r="M262" i="2"/>
  <c r="P262" i="2" s="1"/>
  <c r="L262" i="2"/>
  <c r="J260" i="2"/>
  <c r="K258" i="2"/>
  <c r="K257" i="2"/>
  <c r="I255" i="2"/>
  <c r="K255" i="2" s="1"/>
  <c r="L253" i="2"/>
  <c r="L252" i="2"/>
  <c r="L251" i="2"/>
  <c r="L250" i="2"/>
  <c r="P249" i="2"/>
  <c r="N249" i="2"/>
  <c r="J248" i="2"/>
  <c r="K247" i="2"/>
  <c r="K246" i="2"/>
  <c r="I244" i="2"/>
  <c r="L242" i="2"/>
  <c r="L241" i="2"/>
  <c r="L240" i="2"/>
  <c r="L239" i="2"/>
  <c r="P238" i="2"/>
  <c r="N238" i="2"/>
  <c r="J237" i="2"/>
  <c r="K236" i="2"/>
  <c r="J236" i="2"/>
  <c r="I236" i="2"/>
  <c r="K235" i="2"/>
  <c r="J235" i="2"/>
  <c r="I235" i="2"/>
  <c r="J233" i="2"/>
  <c r="N231" i="2"/>
  <c r="N230" i="2"/>
  <c r="N229" i="2"/>
  <c r="N228" i="2"/>
  <c r="N227" i="2"/>
  <c r="J226" i="2"/>
  <c r="I225" i="2"/>
  <c r="K225" i="2" s="1"/>
  <c r="I224" i="2"/>
  <c r="I223" i="2"/>
  <c r="K223" i="2" s="1"/>
  <c r="L220" i="2"/>
  <c r="L219" i="2"/>
  <c r="L218" i="2"/>
  <c r="P217" i="2"/>
  <c r="N217" i="2"/>
  <c r="J216" i="2"/>
  <c r="I215" i="2"/>
  <c r="I208" i="2" s="1"/>
  <c r="K208" i="2" s="1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L189" i="2"/>
  <c r="O189" i="2" s="1"/>
  <c r="P188" i="2"/>
  <c r="O188" i="2"/>
  <c r="N186" i="2"/>
  <c r="N184" i="2" s="1"/>
  <c r="M186" i="2"/>
  <c r="L186" i="2"/>
  <c r="L184" i="2" s="1"/>
  <c r="P185" i="2"/>
  <c r="O185" i="2"/>
  <c r="P182" i="2"/>
  <c r="O182" i="2"/>
  <c r="N182" i="2"/>
  <c r="M182" i="2"/>
  <c r="L182" i="2"/>
  <c r="J180" i="2"/>
  <c r="J177" i="2"/>
  <c r="I176" i="2"/>
  <c r="I174" i="2" s="1"/>
  <c r="J174" i="2"/>
  <c r="N173" i="2"/>
  <c r="N171" i="2" s="1"/>
  <c r="M173" i="2"/>
  <c r="P173" i="2" s="1"/>
  <c r="L173" i="2"/>
  <c r="O173" i="2" s="1"/>
  <c r="P172" i="2"/>
  <c r="O172" i="2"/>
  <c r="N170" i="2"/>
  <c r="N168" i="2" s="1"/>
  <c r="M170" i="2"/>
  <c r="L170" i="2"/>
  <c r="P169" i="2"/>
  <c r="O169" i="2"/>
  <c r="P166" i="2"/>
  <c r="O166" i="2"/>
  <c r="N166" i="2"/>
  <c r="M166" i="2"/>
  <c r="L166" i="2"/>
  <c r="J164" i="2"/>
  <c r="I159" i="2"/>
  <c r="K159" i="2" s="1"/>
  <c r="N157" i="2"/>
  <c r="N155" i="2" s="1"/>
  <c r="M157" i="2"/>
  <c r="L157" i="2"/>
  <c r="O157" i="2" s="1"/>
  <c r="P156" i="2"/>
  <c r="O156" i="2"/>
  <c r="N154" i="2"/>
  <c r="M154" i="2"/>
  <c r="L154" i="2"/>
  <c r="O154" i="2" s="1"/>
  <c r="P153" i="2"/>
  <c r="O153" i="2"/>
  <c r="N150" i="2"/>
  <c r="M150" i="2"/>
  <c r="P150" i="2" s="1"/>
  <c r="L150" i="2"/>
  <c r="O150" i="2" s="1"/>
  <c r="J148" i="2"/>
  <c r="I146" i="2"/>
  <c r="K146" i="2" s="1"/>
  <c r="I145" i="2"/>
  <c r="I143" i="2" s="1"/>
  <c r="K143" i="2" s="1"/>
  <c r="I144" i="2"/>
  <c r="N140" i="2"/>
  <c r="N138" i="2" s="1"/>
  <c r="M140" i="2"/>
  <c r="M138" i="2" s="1"/>
  <c r="P138" i="2" s="1"/>
  <c r="L140" i="2"/>
  <c r="L138" i="2" s="1"/>
  <c r="O138" i="2" s="1"/>
  <c r="P139" i="2"/>
  <c r="O139" i="2"/>
  <c r="N137" i="2"/>
  <c r="N135" i="2" s="1"/>
  <c r="M137" i="2"/>
  <c r="M135" i="2" s="1"/>
  <c r="P135" i="2" s="1"/>
  <c r="L137" i="2"/>
  <c r="O137" i="2" s="1"/>
  <c r="P136" i="2"/>
  <c r="O136" i="2"/>
  <c r="O133" i="2"/>
  <c r="N133" i="2"/>
  <c r="M133" i="2"/>
  <c r="P133" i="2" s="1"/>
  <c r="L133" i="2"/>
  <c r="J130" i="2"/>
  <c r="N127" i="2"/>
  <c r="N125" i="2" s="1"/>
  <c r="M127" i="2"/>
  <c r="P127" i="2" s="1"/>
  <c r="L127" i="2"/>
  <c r="O127" i="2" s="1"/>
  <c r="P126" i="2"/>
  <c r="O126" i="2"/>
  <c r="N124" i="2"/>
  <c r="N122" i="2" s="1"/>
  <c r="M124" i="2"/>
  <c r="P124" i="2" s="1"/>
  <c r="L124" i="2"/>
  <c r="O124" i="2" s="1"/>
  <c r="P123" i="2"/>
  <c r="O123" i="2"/>
  <c r="P120" i="2"/>
  <c r="N120" i="2"/>
  <c r="M120" i="2"/>
  <c r="L120" i="2"/>
  <c r="O120" i="2" s="1"/>
  <c r="K118" i="2"/>
  <c r="J118" i="2"/>
  <c r="I116" i="2"/>
  <c r="K116" i="2" s="1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I99" i="2"/>
  <c r="K99" i="2" s="1"/>
  <c r="J98" i="2"/>
  <c r="J86" i="2" s="1"/>
  <c r="I98" i="2"/>
  <c r="I86" i="2" s="1"/>
  <c r="K86" i="2" s="1"/>
  <c r="N96" i="2"/>
  <c r="N94" i="2" s="1"/>
  <c r="M96" i="2"/>
  <c r="P96" i="2" s="1"/>
  <c r="L96" i="2"/>
  <c r="O96" i="2" s="1"/>
  <c r="P95" i="2"/>
  <c r="O95" i="2"/>
  <c r="N93" i="2"/>
  <c r="N91" i="2" s="1"/>
  <c r="M93" i="2"/>
  <c r="M91" i="2" s="1"/>
  <c r="L93" i="2"/>
  <c r="L91" i="2" s="1"/>
  <c r="P92" i="2"/>
  <c r="O92" i="2"/>
  <c r="P89" i="2"/>
  <c r="N89" i="2"/>
  <c r="M89" i="2"/>
  <c r="L89" i="2"/>
  <c r="O89" i="2" s="1"/>
  <c r="J87" i="2"/>
  <c r="I84" i="2"/>
  <c r="K84" i="2" s="1"/>
  <c r="I83" i="2"/>
  <c r="K83" i="2" s="1"/>
  <c r="I82" i="2"/>
  <c r="K82" i="2" s="1"/>
  <c r="I81" i="2"/>
  <c r="K81" i="2" s="1"/>
  <c r="I80" i="2"/>
  <c r="K80" i="2" s="1"/>
  <c r="I79" i="2"/>
  <c r="I78" i="2"/>
  <c r="K78" i="2" s="1"/>
  <c r="J77" i="2"/>
  <c r="J76" i="2"/>
  <c r="J64" i="2" s="1"/>
  <c r="N74" i="2"/>
  <c r="N72" i="2" s="1"/>
  <c r="M74" i="2"/>
  <c r="P74" i="2" s="1"/>
  <c r="L74" i="2"/>
  <c r="O74" i="2" s="1"/>
  <c r="P73" i="2"/>
  <c r="O73" i="2"/>
  <c r="N71" i="2"/>
  <c r="N69" i="2" s="1"/>
  <c r="M71" i="2"/>
  <c r="L71" i="2"/>
  <c r="O71" i="2" s="1"/>
  <c r="P70" i="2"/>
  <c r="O70" i="2"/>
  <c r="P67" i="2"/>
  <c r="N67" i="2"/>
  <c r="M67" i="2"/>
  <c r="L67" i="2"/>
  <c r="O67" i="2" s="1"/>
  <c r="J65" i="2"/>
  <c r="N61" i="2"/>
  <c r="N59" i="2" s="1"/>
  <c r="M61" i="2"/>
  <c r="M59" i="2" s="1"/>
  <c r="P59" i="2" s="1"/>
  <c r="L61" i="2"/>
  <c r="L59" i="2" s="1"/>
  <c r="O59" i="2" s="1"/>
  <c r="P60" i="2"/>
  <c r="O60" i="2"/>
  <c r="N58" i="2"/>
  <c r="N56" i="2" s="1"/>
  <c r="M58" i="2"/>
  <c r="M56" i="2" s="1"/>
  <c r="L58" i="2"/>
  <c r="L56" i="2" s="1"/>
  <c r="P57" i="2"/>
  <c r="O57" i="2"/>
  <c r="N54" i="2"/>
  <c r="M54" i="2"/>
  <c r="P54" i="2" s="1"/>
  <c r="L54" i="2"/>
  <c r="O54" i="2" s="1"/>
  <c r="N49" i="2"/>
  <c r="N47" i="2" s="1"/>
  <c r="M49" i="2"/>
  <c r="P49" i="2" s="1"/>
  <c r="L49" i="2"/>
  <c r="O49" i="2" s="1"/>
  <c r="P48" i="2"/>
  <c r="O48" i="2"/>
  <c r="N46" i="2"/>
  <c r="N44" i="2" s="1"/>
  <c r="M46" i="2"/>
  <c r="L46" i="2"/>
  <c r="P45" i="2"/>
  <c r="O45" i="2"/>
  <c r="P42" i="2"/>
  <c r="N42" i="2"/>
  <c r="M42" i="2"/>
  <c r="L42" i="2"/>
  <c r="O42" i="2" s="1"/>
  <c r="N36" i="2"/>
  <c r="M36" i="2"/>
  <c r="P36" i="2" s="1"/>
  <c r="N35" i="2"/>
  <c r="N34" i="2" s="1"/>
  <c r="M35" i="2"/>
  <c r="P35" i="2" s="1"/>
  <c r="L35" i="2"/>
  <c r="O35" i="2" s="1"/>
  <c r="M34" i="2"/>
  <c r="P34" i="2" s="1"/>
  <c r="P33" i="2"/>
  <c r="M33" i="2"/>
  <c r="P32" i="2"/>
  <c r="O32" i="2"/>
  <c r="N32" i="2"/>
  <c r="M32" i="2"/>
  <c r="L32" i="2"/>
  <c r="M31" i="2"/>
  <c r="P31" i="2" s="1"/>
  <c r="N29" i="2"/>
  <c r="M29" i="2"/>
  <c r="P29" i="2" s="1"/>
  <c r="L29" i="2"/>
  <c r="O29" i="2" s="1"/>
  <c r="P25" i="2"/>
  <c r="O25" i="2"/>
  <c r="N25" i="2"/>
  <c r="N19" i="2" s="1"/>
  <c r="M25" i="2"/>
  <c r="L25" i="2"/>
  <c r="N22" i="2"/>
  <c r="M22" i="2"/>
  <c r="L22" i="2"/>
  <c r="N15" i="2"/>
  <c r="M15" i="2"/>
  <c r="P15" i="2" s="1"/>
  <c r="L15" i="2"/>
  <c r="O15" i="2" s="1"/>
  <c r="N12" i="2"/>
  <c r="N9" i="2" s="1"/>
  <c r="M12" i="2"/>
  <c r="P12" i="2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N808" i="1"/>
  <c r="M808" i="1"/>
  <c r="P808" i="1" s="1"/>
  <c r="L808" i="1"/>
  <c r="O808" i="1" s="1"/>
  <c r="N807" i="1"/>
  <c r="N805" i="1" s="1"/>
  <c r="M807" i="1"/>
  <c r="P807" i="1" s="1"/>
  <c r="L807" i="1"/>
  <c r="O807" i="1" s="1"/>
  <c r="P806" i="1"/>
  <c r="N806" i="1"/>
  <c r="M806" i="1"/>
  <c r="M805" i="1" s="1"/>
  <c r="P805" i="1" s="1"/>
  <c r="L806" i="1"/>
  <c r="O806" i="1" s="1"/>
  <c r="K804" i="1"/>
  <c r="J804" i="1"/>
  <c r="J803" i="1"/>
  <c r="I803" i="1"/>
  <c r="J802" i="1"/>
  <c r="J801" i="1"/>
  <c r="I801" i="1"/>
  <c r="J800" i="1"/>
  <c r="P798" i="1"/>
  <c r="O798" i="1"/>
  <c r="P797" i="1"/>
  <c r="O797" i="1"/>
  <c r="P796" i="1"/>
  <c r="N796" i="1"/>
  <c r="M796" i="1"/>
  <c r="L796" i="1"/>
  <c r="O796" i="1" s="1"/>
  <c r="N795" i="1"/>
  <c r="N794" i="1"/>
  <c r="N793" i="1"/>
  <c r="N792" i="1"/>
  <c r="P791" i="1"/>
  <c r="L791" i="1"/>
  <c r="L789" i="1" s="1"/>
  <c r="P790" i="1"/>
  <c r="O790" i="1"/>
  <c r="M789" i="1"/>
  <c r="P789" i="1" s="1"/>
  <c r="M788" i="1"/>
  <c r="P788" i="1" s="1"/>
  <c r="N787" i="1"/>
  <c r="M787" i="1"/>
  <c r="P787" i="1" s="1"/>
  <c r="L787" i="1"/>
  <c r="P782" i="1"/>
  <c r="O782" i="1"/>
  <c r="P781" i="1"/>
  <c r="O781" i="1"/>
  <c r="P780" i="1"/>
  <c r="N780" i="1"/>
  <c r="M780" i="1"/>
  <c r="L780" i="1"/>
  <c r="O780" i="1" s="1"/>
  <c r="P775" i="1"/>
  <c r="O775" i="1"/>
  <c r="N775" i="1"/>
  <c r="P774" i="1"/>
  <c r="O774" i="1"/>
  <c r="P773" i="1"/>
  <c r="O773" i="1"/>
  <c r="N773" i="1"/>
  <c r="M773" i="1"/>
  <c r="L773" i="1"/>
  <c r="O772" i="1"/>
  <c r="N772" i="1"/>
  <c r="M772" i="1"/>
  <c r="P772" i="1" s="1"/>
  <c r="L772" i="1"/>
  <c r="N771" i="1"/>
  <c r="N770" i="1" s="1"/>
  <c r="M771" i="1"/>
  <c r="L771" i="1"/>
  <c r="O771" i="1" s="1"/>
  <c r="L770" i="1"/>
  <c r="O770" i="1" s="1"/>
  <c r="K769" i="1"/>
  <c r="J769" i="1"/>
  <c r="P766" i="1"/>
  <c r="O766" i="1"/>
  <c r="P765" i="1"/>
  <c r="O765" i="1"/>
  <c r="P764" i="1"/>
  <c r="N764" i="1"/>
  <c r="M764" i="1"/>
  <c r="L764" i="1"/>
  <c r="O764" i="1" s="1"/>
  <c r="P759" i="1"/>
  <c r="O759" i="1"/>
  <c r="N759" i="1"/>
  <c r="P758" i="1"/>
  <c r="O758" i="1"/>
  <c r="P757" i="1"/>
  <c r="O757" i="1"/>
  <c r="N757" i="1"/>
  <c r="M757" i="1"/>
  <c r="L757" i="1"/>
  <c r="O756" i="1"/>
  <c r="N756" i="1"/>
  <c r="M756" i="1"/>
  <c r="P756" i="1" s="1"/>
  <c r="L756" i="1"/>
  <c r="N755" i="1"/>
  <c r="N754" i="1" s="1"/>
  <c r="M755" i="1"/>
  <c r="L755" i="1"/>
  <c r="O755" i="1" s="1"/>
  <c r="L754" i="1"/>
  <c r="O754" i="1" s="1"/>
  <c r="K753" i="1"/>
  <c r="J753" i="1"/>
  <c r="P749" i="1"/>
  <c r="O749" i="1"/>
  <c r="P748" i="1"/>
  <c r="O748" i="1"/>
  <c r="P747" i="1"/>
  <c r="N747" i="1"/>
  <c r="M747" i="1"/>
  <c r="L747" i="1"/>
  <c r="O747" i="1" s="1"/>
  <c r="P742" i="1"/>
  <c r="O742" i="1"/>
  <c r="N742" i="1"/>
  <c r="P741" i="1"/>
  <c r="O741" i="1"/>
  <c r="P740" i="1"/>
  <c r="O740" i="1"/>
  <c r="N740" i="1"/>
  <c r="M740" i="1"/>
  <c r="L740" i="1"/>
  <c r="O739" i="1"/>
  <c r="N739" i="1"/>
  <c r="M739" i="1"/>
  <c r="P739" i="1" s="1"/>
  <c r="L739" i="1"/>
  <c r="N738" i="1"/>
  <c r="N737" i="1" s="1"/>
  <c r="M738" i="1"/>
  <c r="L738" i="1"/>
  <c r="O738" i="1" s="1"/>
  <c r="L737" i="1"/>
  <c r="O737" i="1" s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N695" i="1"/>
  <c r="M695" i="1"/>
  <c r="P695" i="1" s="1"/>
  <c r="L695" i="1"/>
  <c r="O695" i="1" s="1"/>
  <c r="N694" i="1"/>
  <c r="N693" i="1"/>
  <c r="N692" i="1"/>
  <c r="N691" i="1"/>
  <c r="P690" i="1"/>
  <c r="L690" i="1"/>
  <c r="L687" i="1" s="1"/>
  <c r="M688" i="1"/>
  <c r="P688" i="1" s="1"/>
  <c r="M687" i="1"/>
  <c r="P687" i="1" s="1"/>
  <c r="N686" i="1"/>
  <c r="M686" i="1"/>
  <c r="P686" i="1" s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P665" i="1"/>
  <c r="N665" i="1"/>
  <c r="M665" i="1"/>
  <c r="L665" i="1"/>
  <c r="O665" i="1" s="1"/>
  <c r="N664" i="1"/>
  <c r="N663" i="1"/>
  <c r="N662" i="1"/>
  <c r="N661" i="1"/>
  <c r="P660" i="1"/>
  <c r="L660" i="1"/>
  <c r="L658" i="1" s="1"/>
  <c r="P659" i="1"/>
  <c r="O659" i="1"/>
  <c r="M658" i="1"/>
  <c r="P658" i="1" s="1"/>
  <c r="M657" i="1"/>
  <c r="P657" i="1" s="1"/>
  <c r="N656" i="1"/>
  <c r="M656" i="1"/>
  <c r="P656" i="1" s="1"/>
  <c r="L656" i="1"/>
  <c r="K652" i="1"/>
  <c r="J652" i="1"/>
  <c r="J651" i="1"/>
  <c r="J628" i="1" s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P640" i="1"/>
  <c r="O640" i="1"/>
  <c r="N639" i="1"/>
  <c r="M639" i="1"/>
  <c r="P639" i="1" s="1"/>
  <c r="N638" i="1"/>
  <c r="N637" i="1"/>
  <c r="N636" i="1"/>
  <c r="N635" i="1"/>
  <c r="P634" i="1"/>
  <c r="L634" i="1"/>
  <c r="L632" i="1" s="1"/>
  <c r="P633" i="1"/>
  <c r="O633" i="1"/>
  <c r="P632" i="1"/>
  <c r="M632" i="1"/>
  <c r="P631" i="1"/>
  <c r="M631" i="1"/>
  <c r="O630" i="1"/>
  <c r="N630" i="1"/>
  <c r="M630" i="1"/>
  <c r="P630" i="1" s="1"/>
  <c r="L630" i="1"/>
  <c r="M629" i="1"/>
  <c r="P629" i="1" s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I543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L555" i="1" s="1"/>
  <c r="O555" i="1" s="1"/>
  <c r="P556" i="1"/>
  <c r="O556" i="1"/>
  <c r="N555" i="1"/>
  <c r="N545" i="1" s="1"/>
  <c r="M555" i="1"/>
  <c r="M545" i="1" s="1"/>
  <c r="N554" i="1"/>
  <c r="N553" i="1"/>
  <c r="N552" i="1"/>
  <c r="N551" i="1"/>
  <c r="N550" i="1"/>
  <c r="P549" i="1"/>
  <c r="L549" i="1"/>
  <c r="L547" i="1" s="1"/>
  <c r="P548" i="1"/>
  <c r="O548" i="1"/>
  <c r="M547" i="1"/>
  <c r="P547" i="1" s="1"/>
  <c r="P546" i="1"/>
  <c r="M546" i="1"/>
  <c r="O545" i="1"/>
  <c r="L545" i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P535" i="1"/>
  <c r="L535" i="1"/>
  <c r="O535" i="1" s="1"/>
  <c r="P534" i="1"/>
  <c r="O534" i="1"/>
  <c r="P533" i="1"/>
  <c r="N533" i="1"/>
  <c r="M533" i="1"/>
  <c r="N532" i="1"/>
  <c r="N531" i="1"/>
  <c r="N530" i="1"/>
  <c r="N529" i="1"/>
  <c r="P528" i="1"/>
  <c r="L528" i="1"/>
  <c r="P527" i="1"/>
  <c r="O527" i="1"/>
  <c r="M526" i="1"/>
  <c r="P526" i="1" s="1"/>
  <c r="M525" i="1"/>
  <c r="P525" i="1" s="1"/>
  <c r="P524" i="1"/>
  <c r="N524" i="1"/>
  <c r="M524" i="1"/>
  <c r="L524" i="1"/>
  <c r="O524" i="1" s="1"/>
  <c r="K517" i="1"/>
  <c r="J517" i="1"/>
  <c r="K516" i="1"/>
  <c r="P514" i="1"/>
  <c r="O514" i="1"/>
  <c r="P513" i="1"/>
  <c r="O513" i="1"/>
  <c r="N512" i="1"/>
  <c r="M512" i="1"/>
  <c r="P512" i="1" s="1"/>
  <c r="L512" i="1"/>
  <c r="O512" i="1" s="1"/>
  <c r="P507" i="1"/>
  <c r="O507" i="1"/>
  <c r="N507" i="1"/>
  <c r="P506" i="1"/>
  <c r="O506" i="1"/>
  <c r="P505" i="1"/>
  <c r="N505" i="1"/>
  <c r="M505" i="1"/>
  <c r="L505" i="1"/>
  <c r="O505" i="1" s="1"/>
  <c r="P504" i="1"/>
  <c r="O504" i="1"/>
  <c r="N504" i="1"/>
  <c r="M504" i="1"/>
  <c r="L504" i="1"/>
  <c r="P503" i="1"/>
  <c r="O503" i="1"/>
  <c r="N503" i="1"/>
  <c r="M503" i="1"/>
  <c r="L503" i="1"/>
  <c r="L502" i="1" s="1"/>
  <c r="O502" i="1" s="1"/>
  <c r="N502" i="1"/>
  <c r="M502" i="1"/>
  <c r="P502" i="1" s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L477" i="1" s="1"/>
  <c r="O477" i="1" s="1"/>
  <c r="P478" i="1"/>
  <c r="O478" i="1"/>
  <c r="N477" i="1"/>
  <c r="M477" i="1"/>
  <c r="P477" i="1" s="1"/>
  <c r="N476" i="1"/>
  <c r="N475" i="1"/>
  <c r="N474" i="1"/>
  <c r="N473" i="1"/>
  <c r="P472" i="1"/>
  <c r="L472" i="1"/>
  <c r="L470" i="1" s="1"/>
  <c r="P471" i="1"/>
  <c r="O471" i="1"/>
  <c r="P470" i="1"/>
  <c r="M470" i="1"/>
  <c r="M469" i="1"/>
  <c r="P469" i="1" s="1"/>
  <c r="N468" i="1"/>
  <c r="M468" i="1"/>
  <c r="L468" i="1"/>
  <c r="O468" i="1" s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K458" i="1"/>
  <c r="P456" i="1"/>
  <c r="L456" i="1"/>
  <c r="O456" i="1" s="1"/>
  <c r="P455" i="1"/>
  <c r="O455" i="1"/>
  <c r="P454" i="1"/>
  <c r="N454" i="1"/>
  <c r="M454" i="1"/>
  <c r="N453" i="1"/>
  <c r="N452" i="1"/>
  <c r="N451" i="1"/>
  <c r="N450" i="1"/>
  <c r="P449" i="1"/>
  <c r="L449" i="1"/>
  <c r="L447" i="1" s="1"/>
  <c r="P448" i="1"/>
  <c r="O448" i="1"/>
  <c r="M447" i="1"/>
  <c r="P447" i="1" s="1"/>
  <c r="P446" i="1"/>
  <c r="M446" i="1"/>
  <c r="P445" i="1"/>
  <c r="O445" i="1"/>
  <c r="N445" i="1"/>
  <c r="M445" i="1"/>
  <c r="M444" i="1" s="1"/>
  <c r="P444" i="1" s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J433" i="1"/>
  <c r="J417" i="1" s="1"/>
  <c r="P431" i="1"/>
  <c r="L431" i="1"/>
  <c r="L429" i="1" s="1"/>
  <c r="O429" i="1" s="1"/>
  <c r="P430" i="1"/>
  <c r="O430" i="1"/>
  <c r="N429" i="1"/>
  <c r="M429" i="1"/>
  <c r="P429" i="1" s="1"/>
  <c r="N428" i="1"/>
  <c r="N427" i="1"/>
  <c r="N426" i="1"/>
  <c r="N425" i="1"/>
  <c r="P424" i="1"/>
  <c r="L424" i="1"/>
  <c r="L422" i="1" s="1"/>
  <c r="P423" i="1"/>
  <c r="O423" i="1"/>
  <c r="P422" i="1"/>
  <c r="M422" i="1"/>
  <c r="M421" i="1"/>
  <c r="P421" i="1" s="1"/>
  <c r="N420" i="1"/>
  <c r="M420" i="1"/>
  <c r="P420" i="1" s="1"/>
  <c r="L420" i="1"/>
  <c r="J413" i="1"/>
  <c r="I413" i="1"/>
  <c r="K413" i="1" s="1"/>
  <c r="J412" i="1"/>
  <c r="J401" i="1" s="1"/>
  <c r="I412" i="1"/>
  <c r="K412" i="1" s="1"/>
  <c r="N410" i="1"/>
  <c r="N408" i="1" s="1"/>
  <c r="M410" i="1"/>
  <c r="P410" i="1" s="1"/>
  <c r="L410" i="1"/>
  <c r="L408" i="1" s="1"/>
  <c r="O408" i="1" s="1"/>
  <c r="P409" i="1"/>
  <c r="O409" i="1"/>
  <c r="N407" i="1"/>
  <c r="N405" i="1" s="1"/>
  <c r="M407" i="1"/>
  <c r="P407" i="1" s="1"/>
  <c r="L407" i="1"/>
  <c r="L405" i="1" s="1"/>
  <c r="O405" i="1" s="1"/>
  <c r="P406" i="1"/>
  <c r="O406" i="1"/>
  <c r="P403" i="1"/>
  <c r="O403" i="1"/>
  <c r="N403" i="1"/>
  <c r="M403" i="1"/>
  <c r="L403" i="1"/>
  <c r="J400" i="1"/>
  <c r="J388" i="1" s="1"/>
  <c r="I400" i="1"/>
  <c r="I388" i="1" s="1"/>
  <c r="K388" i="1" s="1"/>
  <c r="J399" i="1"/>
  <c r="I399" i="1"/>
  <c r="K399" i="1" s="1"/>
  <c r="N397" i="1"/>
  <c r="N395" i="1" s="1"/>
  <c r="M397" i="1"/>
  <c r="P397" i="1" s="1"/>
  <c r="L397" i="1"/>
  <c r="L395" i="1" s="1"/>
  <c r="O395" i="1" s="1"/>
  <c r="P396" i="1"/>
  <c r="O396" i="1"/>
  <c r="N394" i="1"/>
  <c r="N392" i="1" s="1"/>
  <c r="M394" i="1"/>
  <c r="L394" i="1"/>
  <c r="O394" i="1" s="1"/>
  <c r="P393" i="1"/>
  <c r="O393" i="1"/>
  <c r="P390" i="1"/>
  <c r="O390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M351" i="1" s="1"/>
  <c r="L353" i="1"/>
  <c r="L351" i="1" s="1"/>
  <c r="P352" i="1"/>
  <c r="O352" i="1"/>
  <c r="N350" i="1"/>
  <c r="N348" i="1" s="1"/>
  <c r="M350" i="1"/>
  <c r="M348" i="1" s="1"/>
  <c r="L350" i="1"/>
  <c r="L348" i="1" s="1"/>
  <c r="P349" i="1"/>
  <c r="O349" i="1"/>
  <c r="P346" i="1"/>
  <c r="O346" i="1"/>
  <c r="N346" i="1"/>
  <c r="M346" i="1"/>
  <c r="L346" i="1"/>
  <c r="J343" i="1"/>
  <c r="J342" i="1"/>
  <c r="J341" i="1"/>
  <c r="J340" i="1"/>
  <c r="I340" i="1"/>
  <c r="J338" i="1"/>
  <c r="I338" i="1"/>
  <c r="N336" i="1"/>
  <c r="N334" i="1" s="1"/>
  <c r="M336" i="1"/>
  <c r="M334" i="1" s="1"/>
  <c r="P334" i="1" s="1"/>
  <c r="L336" i="1"/>
  <c r="O336" i="1" s="1"/>
  <c r="P335" i="1"/>
  <c r="O335" i="1"/>
  <c r="N333" i="1"/>
  <c r="M333" i="1"/>
  <c r="M331" i="1" s="1"/>
  <c r="L333" i="1"/>
  <c r="L331" i="1" s="1"/>
  <c r="P332" i="1"/>
  <c r="O332" i="1"/>
  <c r="P329" i="1"/>
  <c r="N329" i="1"/>
  <c r="M329" i="1"/>
  <c r="L329" i="1"/>
  <c r="O329" i="1" s="1"/>
  <c r="I327" i="1"/>
  <c r="J325" i="1"/>
  <c r="I325" i="1"/>
  <c r="I314" i="1" s="1"/>
  <c r="N323" i="1"/>
  <c r="N321" i="1" s="1"/>
  <c r="M323" i="1"/>
  <c r="P323" i="1" s="1"/>
  <c r="L323" i="1"/>
  <c r="O323" i="1" s="1"/>
  <c r="P322" i="1"/>
  <c r="O322" i="1"/>
  <c r="N320" i="1"/>
  <c r="N318" i="1" s="1"/>
  <c r="M320" i="1"/>
  <c r="M318" i="1" s="1"/>
  <c r="L320" i="1"/>
  <c r="L318" i="1" s="1"/>
  <c r="P319" i="1"/>
  <c r="O319" i="1"/>
  <c r="P316" i="1"/>
  <c r="N316" i="1"/>
  <c r="M316" i="1"/>
  <c r="L316" i="1"/>
  <c r="O316" i="1" s="1"/>
  <c r="J312" i="1"/>
  <c r="I312" i="1"/>
  <c r="J311" i="1"/>
  <c r="I311" i="1"/>
  <c r="J310" i="1"/>
  <c r="I310" i="1"/>
  <c r="J309" i="1"/>
  <c r="J297" i="1" s="1"/>
  <c r="I309" i="1"/>
  <c r="J308" i="1"/>
  <c r="N306" i="1"/>
  <c r="N304" i="1" s="1"/>
  <c r="M306" i="1"/>
  <c r="P306" i="1" s="1"/>
  <c r="L306" i="1"/>
  <c r="P305" i="1"/>
  <c r="O305" i="1"/>
  <c r="N303" i="1"/>
  <c r="M303" i="1"/>
  <c r="L303" i="1"/>
  <c r="P302" i="1"/>
  <c r="O302" i="1"/>
  <c r="O299" i="1"/>
  <c r="N299" i="1"/>
  <c r="M299" i="1"/>
  <c r="P299" i="1" s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I275" i="1" s="1"/>
  <c r="J287" i="1"/>
  <c r="J276" i="1" s="1"/>
  <c r="I287" i="1"/>
  <c r="I276" i="1" s="1"/>
  <c r="N285" i="1"/>
  <c r="N283" i="1" s="1"/>
  <c r="M285" i="1"/>
  <c r="P285" i="1" s="1"/>
  <c r="L285" i="1"/>
  <c r="P284" i="1"/>
  <c r="O284" i="1"/>
  <c r="N282" i="1"/>
  <c r="M282" i="1"/>
  <c r="L282" i="1"/>
  <c r="P281" i="1"/>
  <c r="O281" i="1"/>
  <c r="O278" i="1"/>
  <c r="N278" i="1"/>
  <c r="M278" i="1"/>
  <c r="P278" i="1" s="1"/>
  <c r="L278" i="1"/>
  <c r="J271" i="1"/>
  <c r="J260" i="1" s="1"/>
  <c r="I271" i="1"/>
  <c r="I260" i="1" s="1"/>
  <c r="N269" i="1"/>
  <c r="N267" i="1" s="1"/>
  <c r="M269" i="1"/>
  <c r="P269" i="1" s="1"/>
  <c r="L269" i="1"/>
  <c r="P268" i="1"/>
  <c r="O268" i="1"/>
  <c r="N266" i="1"/>
  <c r="M266" i="1"/>
  <c r="M264" i="1" s="1"/>
  <c r="L266" i="1"/>
  <c r="P265" i="1"/>
  <c r="O265" i="1"/>
  <c r="O262" i="1"/>
  <c r="N262" i="1"/>
  <c r="M262" i="1"/>
  <c r="P262" i="1" s="1"/>
  <c r="L262" i="1"/>
  <c r="J258" i="1"/>
  <c r="I258" i="1"/>
  <c r="J257" i="1"/>
  <c r="I257" i="1"/>
  <c r="J255" i="1"/>
  <c r="J248" i="1" s="1"/>
  <c r="I255" i="1"/>
  <c r="I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I216" i="1" s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P191" i="1"/>
  <c r="N191" i="1"/>
  <c r="L191" i="1"/>
  <c r="N189" i="1"/>
  <c r="N187" i="1" s="1"/>
  <c r="M189" i="1"/>
  <c r="P189" i="1" s="1"/>
  <c r="L189" i="1"/>
  <c r="O189" i="1" s="1"/>
  <c r="P188" i="1"/>
  <c r="O188" i="1"/>
  <c r="N186" i="1"/>
  <c r="N184" i="1" s="1"/>
  <c r="M186" i="1"/>
  <c r="L186" i="1"/>
  <c r="P185" i="1"/>
  <c r="O185" i="1"/>
  <c r="O182" i="1"/>
  <c r="N182" i="1"/>
  <c r="M182" i="1"/>
  <c r="L182" i="1"/>
  <c r="J177" i="1"/>
  <c r="J176" i="1"/>
  <c r="J174" i="1" s="1"/>
  <c r="J164" i="1" s="1"/>
  <c r="I176" i="1"/>
  <c r="I174" i="1" s="1"/>
  <c r="N173" i="1"/>
  <c r="N171" i="1" s="1"/>
  <c r="M173" i="1"/>
  <c r="P173" i="1" s="1"/>
  <c r="L173" i="1"/>
  <c r="O173" i="1" s="1"/>
  <c r="P172" i="1"/>
  <c r="O172" i="1"/>
  <c r="N170" i="1"/>
  <c r="M170" i="1"/>
  <c r="L170" i="1"/>
  <c r="L168" i="1" s="1"/>
  <c r="P169" i="1"/>
  <c r="O169" i="1"/>
  <c r="P166" i="1"/>
  <c r="N166" i="1"/>
  <c r="M166" i="1"/>
  <c r="L166" i="1"/>
  <c r="O166" i="1" s="1"/>
  <c r="J159" i="1"/>
  <c r="J148" i="1" s="1"/>
  <c r="I159" i="1"/>
  <c r="I148" i="1" s="1"/>
  <c r="N157" i="1"/>
  <c r="N155" i="1" s="1"/>
  <c r="M157" i="1"/>
  <c r="P157" i="1" s="1"/>
  <c r="L157" i="1"/>
  <c r="O157" i="1" s="1"/>
  <c r="P156" i="1"/>
  <c r="O156" i="1"/>
  <c r="N154" i="1"/>
  <c r="M154" i="1"/>
  <c r="M152" i="1" s="1"/>
  <c r="L154" i="1"/>
  <c r="L152" i="1" s="1"/>
  <c r="P153" i="1"/>
  <c r="O153" i="1"/>
  <c r="O150" i="1"/>
  <c r="N150" i="1"/>
  <c r="M150" i="1"/>
  <c r="L150" i="1"/>
  <c r="J146" i="1"/>
  <c r="J130" i="1" s="1"/>
  <c r="I146" i="1"/>
  <c r="I130" i="1" s="1"/>
  <c r="J145" i="1"/>
  <c r="I145" i="1"/>
  <c r="I143" i="1" s="1"/>
  <c r="I131" i="1" s="1"/>
  <c r="J144" i="1"/>
  <c r="I144" i="1"/>
  <c r="J143" i="1"/>
  <c r="J131" i="1" s="1"/>
  <c r="J142" i="1"/>
  <c r="N140" i="1"/>
  <c r="N138" i="1" s="1"/>
  <c r="M140" i="1"/>
  <c r="M138" i="1" s="1"/>
  <c r="L140" i="1"/>
  <c r="L138" i="1" s="1"/>
  <c r="P139" i="1"/>
  <c r="O139" i="1"/>
  <c r="N137" i="1"/>
  <c r="N135" i="1" s="1"/>
  <c r="M137" i="1"/>
  <c r="L137" i="1"/>
  <c r="P136" i="1"/>
  <c r="O136" i="1"/>
  <c r="P133" i="1"/>
  <c r="N133" i="1"/>
  <c r="M133" i="1"/>
  <c r="L133" i="1"/>
  <c r="N127" i="1"/>
  <c r="M127" i="1"/>
  <c r="L127" i="1"/>
  <c r="L125" i="1" s="1"/>
  <c r="P126" i="1"/>
  <c r="O126" i="1"/>
  <c r="N124" i="1"/>
  <c r="N122" i="1" s="1"/>
  <c r="M124" i="1"/>
  <c r="P124" i="1" s="1"/>
  <c r="L124" i="1"/>
  <c r="L122" i="1" s="1"/>
  <c r="O122" i="1" s="1"/>
  <c r="P123" i="1"/>
  <c r="O123" i="1"/>
  <c r="O120" i="1"/>
  <c r="N120" i="1"/>
  <c r="M120" i="1"/>
  <c r="P120" i="1" s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87" i="1" s="1"/>
  <c r="I98" i="1"/>
  <c r="N96" i="1"/>
  <c r="N94" i="1" s="1"/>
  <c r="M96" i="1"/>
  <c r="M94" i="1" s="1"/>
  <c r="P94" i="1" s="1"/>
  <c r="L96" i="1"/>
  <c r="L94" i="1" s="1"/>
  <c r="O94" i="1" s="1"/>
  <c r="P95" i="1"/>
  <c r="O95" i="1"/>
  <c r="N93" i="1"/>
  <c r="M93" i="1"/>
  <c r="M91" i="1" s="1"/>
  <c r="L93" i="1"/>
  <c r="L91" i="1" s="1"/>
  <c r="P92" i="1"/>
  <c r="O92" i="1"/>
  <c r="O89" i="1"/>
  <c r="N89" i="1"/>
  <c r="M89" i="1"/>
  <c r="P89" i="1" s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L74" i="1"/>
  <c r="O74" i="1" s="1"/>
  <c r="P73" i="1"/>
  <c r="O73" i="1"/>
  <c r="N71" i="1"/>
  <c r="M71" i="1"/>
  <c r="M69" i="1" s="1"/>
  <c r="L71" i="1"/>
  <c r="P70" i="1"/>
  <c r="O70" i="1"/>
  <c r="O67" i="1"/>
  <c r="N67" i="1"/>
  <c r="M67" i="1"/>
  <c r="P67" i="1" s="1"/>
  <c r="L67" i="1"/>
  <c r="N61" i="1"/>
  <c r="N59" i="1" s="1"/>
  <c r="M61" i="1"/>
  <c r="M59" i="1" s="1"/>
  <c r="L61" i="1"/>
  <c r="L59" i="1" s="1"/>
  <c r="P60" i="1"/>
  <c r="O60" i="1"/>
  <c r="N58" i="1"/>
  <c r="N56" i="1" s="1"/>
  <c r="M58" i="1"/>
  <c r="L58" i="1"/>
  <c r="P57" i="1"/>
  <c r="O57" i="1"/>
  <c r="N54" i="1"/>
  <c r="M54" i="1"/>
  <c r="P54" i="1" s="1"/>
  <c r="L54" i="1"/>
  <c r="O54" i="1" s="1"/>
  <c r="N49" i="1"/>
  <c r="N47" i="1" s="1"/>
  <c r="M49" i="1"/>
  <c r="L49" i="1"/>
  <c r="O49" i="1" s="1"/>
  <c r="P48" i="1"/>
  <c r="O48" i="1"/>
  <c r="N46" i="1"/>
  <c r="M46" i="1"/>
  <c r="M44" i="1" s="1"/>
  <c r="L46" i="1"/>
  <c r="P45" i="1"/>
  <c r="O45" i="1"/>
  <c r="P42" i="1"/>
  <c r="O42" i="1"/>
  <c r="N42" i="1"/>
  <c r="M42" i="1"/>
  <c r="L42" i="1"/>
  <c r="P36" i="1"/>
  <c r="N36" i="1"/>
  <c r="N34" i="1" s="1"/>
  <c r="M36" i="1"/>
  <c r="N35" i="1"/>
  <c r="M35" i="1"/>
  <c r="M34" i="1" s="1"/>
  <c r="P34" i="1" s="1"/>
  <c r="L35" i="1"/>
  <c r="L29" i="1" s="1"/>
  <c r="P33" i="1"/>
  <c r="M33" i="1"/>
  <c r="O32" i="1"/>
  <c r="N32" i="1"/>
  <c r="N29" i="1" s="1"/>
  <c r="M32" i="1"/>
  <c r="L32" i="1"/>
  <c r="M31" i="1"/>
  <c r="P31" i="1" s="1"/>
  <c r="M30" i="1"/>
  <c r="P30" i="1" s="1"/>
  <c r="P25" i="1"/>
  <c r="O25" i="1"/>
  <c r="N25" i="1"/>
  <c r="N15" i="1" s="1"/>
  <c r="M25" i="1"/>
  <c r="L25" i="1"/>
  <c r="P22" i="1"/>
  <c r="N22" i="1"/>
  <c r="M22" i="1"/>
  <c r="L22" i="1"/>
  <c r="O22" i="1" s="1"/>
  <c r="N19" i="1"/>
  <c r="M19" i="1"/>
  <c r="P19" i="1" s="1"/>
  <c r="L19" i="1"/>
  <c r="O19" i="1" s="1"/>
  <c r="M12" i="1"/>
  <c r="P12" i="1" s="1"/>
  <c r="L12" i="1"/>
  <c r="O12" i="1" s="1"/>
  <c r="L422" i="10" l="1"/>
  <c r="O422" i="10" s="1"/>
  <c r="I87" i="9"/>
  <c r="K87" i="9" s="1"/>
  <c r="L422" i="14"/>
  <c r="O422" i="14" s="1"/>
  <c r="L639" i="14"/>
  <c r="O639" i="14" s="1"/>
  <c r="L555" i="18"/>
  <c r="O555" i="18" s="1"/>
  <c r="L477" i="17"/>
  <c r="O477" i="17" s="1"/>
  <c r="L477" i="10"/>
  <c r="O477" i="10" s="1"/>
  <c r="L639" i="11"/>
  <c r="O639" i="11" s="1"/>
  <c r="I130" i="13"/>
  <c r="K130" i="13" s="1"/>
  <c r="L658" i="4"/>
  <c r="O658" i="4" s="1"/>
  <c r="L470" i="14"/>
  <c r="O470" i="14" s="1"/>
  <c r="P140" i="18"/>
  <c r="I276" i="18"/>
  <c r="K276" i="18" s="1"/>
  <c r="K822" i="17"/>
  <c r="K825" i="17"/>
  <c r="K828" i="17"/>
  <c r="L151" i="16"/>
  <c r="L149" i="16" s="1"/>
  <c r="I112" i="17"/>
  <c r="K112" i="17" s="1"/>
  <c r="O407" i="18"/>
  <c r="L429" i="8"/>
  <c r="O429" i="8" s="1"/>
  <c r="I276" i="17"/>
  <c r="K276" i="17" s="1"/>
  <c r="L231" i="18"/>
  <c r="K379" i="18"/>
  <c r="L526" i="3"/>
  <c r="O526" i="3" s="1"/>
  <c r="N183" i="16"/>
  <c r="N181" i="16" s="1"/>
  <c r="K699" i="18"/>
  <c r="O690" i="18"/>
  <c r="I364" i="16"/>
  <c r="L429" i="15"/>
  <c r="O429" i="15" s="1"/>
  <c r="L555" i="15"/>
  <c r="O555" i="15" s="1"/>
  <c r="L788" i="17"/>
  <c r="L786" i="17" s="1"/>
  <c r="O786" i="17" s="1"/>
  <c r="L121" i="18"/>
  <c r="O121" i="18" s="1"/>
  <c r="N151" i="18"/>
  <c r="N149" i="18" s="1"/>
  <c r="L454" i="8"/>
  <c r="O454" i="8" s="1"/>
  <c r="K728" i="18"/>
  <c r="M263" i="18"/>
  <c r="M261" i="18" s="1"/>
  <c r="L55" i="18"/>
  <c r="L167" i="18"/>
  <c r="L165" i="18" s="1"/>
  <c r="I260" i="18"/>
  <c r="K260" i="18" s="1"/>
  <c r="L391" i="18"/>
  <c r="O391" i="18" s="1"/>
  <c r="M68" i="18"/>
  <c r="M66" i="18" s="1"/>
  <c r="O280" i="18"/>
  <c r="N55" i="18"/>
  <c r="N53" i="18" s="1"/>
  <c r="N68" i="18"/>
  <c r="N66" i="18" s="1"/>
  <c r="I237" i="18"/>
  <c r="K237" i="18" s="1"/>
  <c r="P280" i="18"/>
  <c r="K340" i="18"/>
  <c r="K725" i="18"/>
  <c r="P46" i="15"/>
  <c r="K821" i="15"/>
  <c r="K824" i="15"/>
  <c r="N263" i="18"/>
  <c r="N261" i="18" s="1"/>
  <c r="K372" i="17"/>
  <c r="O61" i="18"/>
  <c r="N121" i="18"/>
  <c r="N119" i="18" s="1"/>
  <c r="L304" i="18"/>
  <c r="O304" i="18" s="1"/>
  <c r="M391" i="18"/>
  <c r="M389" i="18" s="1"/>
  <c r="P389" i="18" s="1"/>
  <c r="M395" i="18"/>
  <c r="P395" i="18" s="1"/>
  <c r="K649" i="18"/>
  <c r="J721" i="18"/>
  <c r="K721" i="18" s="1"/>
  <c r="M279" i="18"/>
  <c r="M277" i="18" s="1"/>
  <c r="I559" i="18"/>
  <c r="I543" i="18" s="1"/>
  <c r="K543" i="18" s="1"/>
  <c r="L789" i="17"/>
  <c r="O789" i="17" s="1"/>
  <c r="L151" i="18"/>
  <c r="L149" i="18" s="1"/>
  <c r="M167" i="18"/>
  <c r="M165" i="18" s="1"/>
  <c r="N183" i="18"/>
  <c r="N181" i="18" s="1"/>
  <c r="L408" i="18"/>
  <c r="O408" i="18" s="1"/>
  <c r="L555" i="16"/>
  <c r="O555" i="16" s="1"/>
  <c r="N134" i="17"/>
  <c r="N132" i="17" s="1"/>
  <c r="N151" i="17"/>
  <c r="N149" i="17" s="1"/>
  <c r="I364" i="17"/>
  <c r="I112" i="18"/>
  <c r="K112" i="18" s="1"/>
  <c r="M151" i="18"/>
  <c r="K359" i="18"/>
  <c r="K362" i="18"/>
  <c r="L446" i="18"/>
  <c r="O446" i="18" s="1"/>
  <c r="K462" i="18"/>
  <c r="J722" i="18"/>
  <c r="K722" i="18" s="1"/>
  <c r="K822" i="18"/>
  <c r="K825" i="18"/>
  <c r="K828" i="18"/>
  <c r="O91" i="18"/>
  <c r="J785" i="17"/>
  <c r="M72" i="18"/>
  <c r="P72" i="18" s="1"/>
  <c r="I76" i="18"/>
  <c r="K76" i="18" s="1"/>
  <c r="P350" i="18"/>
  <c r="P353" i="18"/>
  <c r="L631" i="18"/>
  <c r="O631" i="18" s="1"/>
  <c r="K651" i="18"/>
  <c r="M300" i="15"/>
  <c r="M298" i="15" s="1"/>
  <c r="P298" i="15" s="1"/>
  <c r="L151" i="17"/>
  <c r="O151" i="17" s="1"/>
  <c r="O557" i="17"/>
  <c r="J721" i="17"/>
  <c r="L43" i="18"/>
  <c r="L41" i="18" s="1"/>
  <c r="P69" i="18"/>
  <c r="M90" i="18"/>
  <c r="M88" i="18" s="1"/>
  <c r="K111" i="18"/>
  <c r="K116" i="18"/>
  <c r="O456" i="16"/>
  <c r="N121" i="17"/>
  <c r="N119" i="17" s="1"/>
  <c r="L263" i="17"/>
  <c r="L261" i="17" s="1"/>
  <c r="L391" i="17"/>
  <c r="O391" i="17" s="1"/>
  <c r="N90" i="18"/>
  <c r="N88" i="18" s="1"/>
  <c r="M134" i="18"/>
  <c r="M132" i="18" s="1"/>
  <c r="L183" i="18"/>
  <c r="L181" i="18" s="1"/>
  <c r="M404" i="18"/>
  <c r="P404" i="18" s="1"/>
  <c r="L230" i="16"/>
  <c r="L138" i="17"/>
  <c r="O138" i="17" s="1"/>
  <c r="L267" i="17"/>
  <c r="O267" i="17" s="1"/>
  <c r="I297" i="17"/>
  <c r="K297" i="17" s="1"/>
  <c r="M347" i="17"/>
  <c r="M345" i="17" s="1"/>
  <c r="I559" i="17"/>
  <c r="I543" i="17" s="1"/>
  <c r="K543" i="17" s="1"/>
  <c r="I77" i="18"/>
  <c r="I65" i="18" s="1"/>
  <c r="K65" i="18" s="1"/>
  <c r="K80" i="18"/>
  <c r="O269" i="18"/>
  <c r="M330" i="18"/>
  <c r="M328" i="18" s="1"/>
  <c r="L657" i="18"/>
  <c r="O657" i="18" s="1"/>
  <c r="K672" i="18"/>
  <c r="L546" i="17"/>
  <c r="O546" i="17" s="1"/>
  <c r="P44" i="18"/>
  <c r="N134" i="18"/>
  <c r="N132" i="18" s="1"/>
  <c r="L230" i="18"/>
  <c r="O301" i="18"/>
  <c r="P333" i="18"/>
  <c r="M408" i="18"/>
  <c r="P408" i="18" s="1"/>
  <c r="L454" i="18"/>
  <c r="O454" i="18" s="1"/>
  <c r="K359" i="15"/>
  <c r="P333" i="17"/>
  <c r="K360" i="17"/>
  <c r="K381" i="17"/>
  <c r="N167" i="18"/>
  <c r="L279" i="18"/>
  <c r="L277" i="18" s="1"/>
  <c r="M334" i="18"/>
  <c r="P334" i="18" s="1"/>
  <c r="N391" i="18"/>
  <c r="N389" i="18" s="1"/>
  <c r="L687" i="18"/>
  <c r="O687" i="18" s="1"/>
  <c r="K720" i="18"/>
  <c r="K628" i="18"/>
  <c r="N330" i="14"/>
  <c r="N328" i="14" s="1"/>
  <c r="L68" i="16"/>
  <c r="L66" i="16" s="1"/>
  <c r="M122" i="17"/>
  <c r="P122" i="17" s="1"/>
  <c r="M171" i="17"/>
  <c r="P171" i="17" s="1"/>
  <c r="L230" i="17"/>
  <c r="N300" i="17"/>
  <c r="N298" i="17" s="1"/>
  <c r="K374" i="17"/>
  <c r="O93" i="18"/>
  <c r="L263" i="18"/>
  <c r="L261" i="18" s="1"/>
  <c r="L300" i="18"/>
  <c r="L298" i="18" s="1"/>
  <c r="P301" i="18"/>
  <c r="N330" i="18"/>
  <c r="N328" i="18" s="1"/>
  <c r="I364" i="18"/>
  <c r="L404" i="18"/>
  <c r="K647" i="18"/>
  <c r="K674" i="18"/>
  <c r="K826" i="18"/>
  <c r="O140" i="16"/>
  <c r="L209" i="17"/>
  <c r="O209" i="17" s="1"/>
  <c r="L304" i="17"/>
  <c r="O304" i="17" s="1"/>
  <c r="L404" i="17"/>
  <c r="O404" i="17" s="1"/>
  <c r="I522" i="17"/>
  <c r="K522" i="17" s="1"/>
  <c r="P46" i="18"/>
  <c r="L56" i="18"/>
  <c r="L94" i="18"/>
  <c r="O94" i="18" s="1"/>
  <c r="L171" i="18"/>
  <c r="O171" i="18" s="1"/>
  <c r="O318" i="18"/>
  <c r="O320" i="18"/>
  <c r="L389" i="18"/>
  <c r="O389" i="18" s="1"/>
  <c r="J143" i="16"/>
  <c r="J131" i="16" s="1"/>
  <c r="N68" i="17"/>
  <c r="N66" i="17" s="1"/>
  <c r="M47" i="18"/>
  <c r="P47" i="18" s="1"/>
  <c r="M138" i="18"/>
  <c r="P138" i="18" s="1"/>
  <c r="I174" i="18"/>
  <c r="K174" i="18" s="1"/>
  <c r="L209" i="18"/>
  <c r="O209" i="18" s="1"/>
  <c r="L264" i="18"/>
  <c r="M304" i="18"/>
  <c r="P304" i="18" s="1"/>
  <c r="P336" i="18"/>
  <c r="N395" i="18"/>
  <c r="K460" i="18"/>
  <c r="K465" i="18"/>
  <c r="I654" i="18"/>
  <c r="K726" i="18"/>
  <c r="L788" i="18"/>
  <c r="O788" i="18" s="1"/>
  <c r="K824" i="18"/>
  <c r="I112" i="16"/>
  <c r="K112" i="16" s="1"/>
  <c r="L122" i="18"/>
  <c r="O122" i="18" s="1"/>
  <c r="L198" i="18"/>
  <c r="O198" i="18" s="1"/>
  <c r="N264" i="18"/>
  <c r="O266" i="18"/>
  <c r="L283" i="18"/>
  <c r="O283" i="18" s="1"/>
  <c r="O323" i="18"/>
  <c r="K385" i="18"/>
  <c r="M405" i="18"/>
  <c r="P405" i="18" s="1"/>
  <c r="O549" i="18"/>
  <c r="L639" i="18"/>
  <c r="O639" i="18" s="1"/>
  <c r="I654" i="13"/>
  <c r="K654" i="13" s="1"/>
  <c r="K145" i="16"/>
  <c r="M151" i="16"/>
  <c r="M149" i="16" s="1"/>
  <c r="N300" i="16"/>
  <c r="N298" i="16" s="1"/>
  <c r="M347" i="16"/>
  <c r="M345" i="16" s="1"/>
  <c r="L318" i="17"/>
  <c r="O318" i="17" s="1"/>
  <c r="K325" i="17"/>
  <c r="M43" i="18"/>
  <c r="M41" i="18" s="1"/>
  <c r="L184" i="18"/>
  <c r="I190" i="18"/>
  <c r="K190" i="18" s="1"/>
  <c r="J288" i="18"/>
  <c r="J275" i="18" s="1"/>
  <c r="K275" i="18" s="1"/>
  <c r="K370" i="18"/>
  <c r="L546" i="18"/>
  <c r="O546" i="18" s="1"/>
  <c r="K594" i="18"/>
  <c r="K673" i="18"/>
  <c r="M404" i="14"/>
  <c r="P404" i="14" s="1"/>
  <c r="L230" i="15"/>
  <c r="I276" i="16"/>
  <c r="K276" i="16" s="1"/>
  <c r="N317" i="16"/>
  <c r="N315" i="16" s="1"/>
  <c r="J364" i="16"/>
  <c r="M391" i="16"/>
  <c r="P391" i="16" s="1"/>
  <c r="K100" i="17"/>
  <c r="M392" i="17"/>
  <c r="P392" i="17" s="1"/>
  <c r="L405" i="17"/>
  <c r="O405" i="17" s="1"/>
  <c r="N23" i="18"/>
  <c r="N13" i="18" s="1"/>
  <c r="N56" i="18"/>
  <c r="O58" i="18"/>
  <c r="L90" i="18"/>
  <c r="L88" i="18" s="1"/>
  <c r="N122" i="18"/>
  <c r="O124" i="18"/>
  <c r="I148" i="18"/>
  <c r="K148" i="18" s="1"/>
  <c r="N152" i="18"/>
  <c r="O152" i="18" s="1"/>
  <c r="O154" i="18"/>
  <c r="N184" i="18"/>
  <c r="O186" i="18"/>
  <c r="N279" i="18"/>
  <c r="N277" i="18" s="1"/>
  <c r="M283" i="18"/>
  <c r="P283" i="18" s="1"/>
  <c r="P303" i="18"/>
  <c r="I314" i="18"/>
  <c r="K314" i="18" s="1"/>
  <c r="L317" i="18"/>
  <c r="L315" i="18" s="1"/>
  <c r="N331" i="18"/>
  <c r="P331" i="18" s="1"/>
  <c r="M347" i="18"/>
  <c r="K381" i="18"/>
  <c r="M392" i="18"/>
  <c r="P392" i="18" s="1"/>
  <c r="I433" i="18"/>
  <c r="I417" i="18" s="1"/>
  <c r="O688" i="18"/>
  <c r="M395" i="14"/>
  <c r="P395" i="14" s="1"/>
  <c r="L347" i="15"/>
  <c r="L345" i="15" s="1"/>
  <c r="K355" i="15"/>
  <c r="I87" i="16"/>
  <c r="K87" i="16" s="1"/>
  <c r="P173" i="16"/>
  <c r="K370" i="16"/>
  <c r="K378" i="16"/>
  <c r="M392" i="16"/>
  <c r="P392" i="16" s="1"/>
  <c r="L47" i="17"/>
  <c r="O47" i="17" s="1"/>
  <c r="N90" i="17"/>
  <c r="N88" i="17" s="1"/>
  <c r="M121" i="17"/>
  <c r="K146" i="17"/>
  <c r="I174" i="17"/>
  <c r="I164" i="17" s="1"/>
  <c r="K164" i="17" s="1"/>
  <c r="M331" i="17"/>
  <c r="P331" i="17" s="1"/>
  <c r="N330" i="17"/>
  <c r="N328" i="17" s="1"/>
  <c r="N347" i="17"/>
  <c r="N345" i="17" s="1"/>
  <c r="O353" i="17"/>
  <c r="K359" i="17"/>
  <c r="L395" i="17"/>
  <c r="O395" i="17" s="1"/>
  <c r="L408" i="17"/>
  <c r="O408" i="17" s="1"/>
  <c r="I433" i="17"/>
  <c r="I417" i="17" s="1"/>
  <c r="O660" i="17"/>
  <c r="J722" i="17"/>
  <c r="L59" i="18"/>
  <c r="O59" i="18" s="1"/>
  <c r="I87" i="18"/>
  <c r="K87" i="18" s="1"/>
  <c r="L125" i="18"/>
  <c r="O125" i="18" s="1"/>
  <c r="M135" i="18"/>
  <c r="P135" i="18" s="1"/>
  <c r="P137" i="18"/>
  <c r="L155" i="18"/>
  <c r="O155" i="18" s="1"/>
  <c r="L168" i="18"/>
  <c r="O168" i="18" s="1"/>
  <c r="L187" i="18"/>
  <c r="O187" i="18" s="1"/>
  <c r="N317" i="18"/>
  <c r="N315" i="18" s="1"/>
  <c r="L334" i="18"/>
  <c r="O334" i="18" s="1"/>
  <c r="N347" i="18"/>
  <c r="N345" i="18" s="1"/>
  <c r="K355" i="18"/>
  <c r="K827" i="18"/>
  <c r="I190" i="16"/>
  <c r="K190" i="16" s="1"/>
  <c r="I197" i="16"/>
  <c r="K197" i="16" s="1"/>
  <c r="P170" i="17"/>
  <c r="L334" i="17"/>
  <c r="O334" i="17" s="1"/>
  <c r="P353" i="17"/>
  <c r="I434" i="17"/>
  <c r="I418" i="17" s="1"/>
  <c r="K418" i="17" s="1"/>
  <c r="O658" i="17"/>
  <c r="O170" i="18"/>
  <c r="K360" i="18"/>
  <c r="K369" i="18"/>
  <c r="L525" i="18"/>
  <c r="O525" i="18" s="1"/>
  <c r="L217" i="17"/>
  <c r="O217" i="17" s="1"/>
  <c r="P351" i="17"/>
  <c r="P348" i="18"/>
  <c r="K823" i="18"/>
  <c r="I297" i="16"/>
  <c r="K297" i="16" s="1"/>
  <c r="N330" i="16"/>
  <c r="N328" i="16" s="1"/>
  <c r="L533" i="16"/>
  <c r="O533" i="16" s="1"/>
  <c r="J143" i="17"/>
  <c r="J131" i="17" s="1"/>
  <c r="N167" i="17"/>
  <c r="N165" i="17" s="1"/>
  <c r="L171" i="17"/>
  <c r="O171" i="17" s="1"/>
  <c r="O264" i="17"/>
  <c r="N317" i="17"/>
  <c r="N315" i="17" s="1"/>
  <c r="K824" i="17"/>
  <c r="K827" i="17"/>
  <c r="L36" i="18"/>
  <c r="O36" i="18" s="1"/>
  <c r="I208" i="18"/>
  <c r="K208" i="18" s="1"/>
  <c r="L217" i="18"/>
  <c r="O217" i="18" s="1"/>
  <c r="O282" i="18"/>
  <c r="M300" i="18"/>
  <c r="M298" i="18" s="1"/>
  <c r="K372" i="18"/>
  <c r="K378" i="18"/>
  <c r="N404" i="18"/>
  <c r="N402" i="18" s="1"/>
  <c r="L429" i="18"/>
  <c r="O429" i="18" s="1"/>
  <c r="L526" i="18"/>
  <c r="O526" i="18" s="1"/>
  <c r="I592" i="18"/>
  <c r="K592" i="18" s="1"/>
  <c r="K700" i="18"/>
  <c r="O791" i="18"/>
  <c r="K821" i="18"/>
  <c r="J327" i="18"/>
  <c r="K327" i="18" s="1"/>
  <c r="P351" i="18"/>
  <c r="P15" i="18"/>
  <c r="N304" i="17"/>
  <c r="M155" i="18"/>
  <c r="P155" i="18" s="1"/>
  <c r="P157" i="18"/>
  <c r="P186" i="18"/>
  <c r="M184" i="18"/>
  <c r="M90" i="14"/>
  <c r="M88" i="14" s="1"/>
  <c r="I276" i="15"/>
  <c r="K276" i="15" s="1"/>
  <c r="N279" i="15"/>
  <c r="N277" i="15" s="1"/>
  <c r="N91" i="17"/>
  <c r="P91" i="17" s="1"/>
  <c r="N152" i="17"/>
  <c r="N183" i="17"/>
  <c r="N181" i="17" s="1"/>
  <c r="J288" i="17"/>
  <c r="J275" i="17" s="1"/>
  <c r="K275" i="17" s="1"/>
  <c r="M318" i="17"/>
  <c r="P318" i="17" s="1"/>
  <c r="N334" i="17"/>
  <c r="M395" i="17"/>
  <c r="P395" i="17" s="1"/>
  <c r="K651" i="17"/>
  <c r="N26" i="18"/>
  <c r="N24" i="18" s="1"/>
  <c r="N47" i="18"/>
  <c r="M56" i="18"/>
  <c r="P58" i="18"/>
  <c r="O71" i="18"/>
  <c r="L69" i="18"/>
  <c r="O69" i="18" s="1"/>
  <c r="O89" i="18"/>
  <c r="O140" i="18"/>
  <c r="L138" i="18"/>
  <c r="O138" i="18" s="1"/>
  <c r="K145" i="18"/>
  <c r="I143" i="18"/>
  <c r="O150" i="18"/>
  <c r="K255" i="18"/>
  <c r="I248" i="18"/>
  <c r="I233" i="18"/>
  <c r="K233" i="18" s="1"/>
  <c r="M267" i="18"/>
  <c r="P267" i="18" s="1"/>
  <c r="P269" i="18"/>
  <c r="K309" i="18"/>
  <c r="I297" i="18"/>
  <c r="K297" i="18" s="1"/>
  <c r="P320" i="18"/>
  <c r="M317" i="18"/>
  <c r="M318" i="18"/>
  <c r="P318" i="18" s="1"/>
  <c r="O333" i="18"/>
  <c r="L330" i="18"/>
  <c r="L331" i="18"/>
  <c r="L351" i="18"/>
  <c r="O351" i="18" s="1"/>
  <c r="O353" i="18"/>
  <c r="O120" i="18"/>
  <c r="K379" i="15"/>
  <c r="K215" i="16"/>
  <c r="K215" i="17"/>
  <c r="L231" i="17"/>
  <c r="L279" i="17"/>
  <c r="L277" i="17" s="1"/>
  <c r="O303" i="17"/>
  <c r="N318" i="17"/>
  <c r="K369" i="17"/>
  <c r="J433" i="17"/>
  <c r="J417" i="17" s="1"/>
  <c r="K568" i="17"/>
  <c r="K628" i="17"/>
  <c r="M19" i="18"/>
  <c r="M30" i="18"/>
  <c r="P30" i="18" s="1"/>
  <c r="P67" i="18"/>
  <c r="P93" i="18"/>
  <c r="M91" i="18"/>
  <c r="P91" i="18" s="1"/>
  <c r="M122" i="18"/>
  <c r="P122" i="18" s="1"/>
  <c r="P124" i="18"/>
  <c r="I130" i="18"/>
  <c r="K130" i="18" s="1"/>
  <c r="K146" i="18"/>
  <c r="O166" i="18"/>
  <c r="P189" i="18"/>
  <c r="M187" i="18"/>
  <c r="P187" i="18" s="1"/>
  <c r="O262" i="18"/>
  <c r="P419" i="18"/>
  <c r="M125" i="15"/>
  <c r="P125" i="15" s="1"/>
  <c r="K359" i="16"/>
  <c r="M43" i="17"/>
  <c r="M41" i="17" s="1"/>
  <c r="L72" i="17"/>
  <c r="O72" i="17" s="1"/>
  <c r="K144" i="17"/>
  <c r="M279" i="17"/>
  <c r="M277" i="17" s="1"/>
  <c r="O333" i="17"/>
  <c r="K340" i="17"/>
  <c r="P407" i="17"/>
  <c r="I785" i="17"/>
  <c r="N12" i="18"/>
  <c r="L23" i="18"/>
  <c r="P25" i="18"/>
  <c r="P35" i="18"/>
  <c r="M34" i="18"/>
  <c r="P34" i="18" s="1"/>
  <c r="N43" i="18"/>
  <c r="O46" i="18"/>
  <c r="L44" i="18"/>
  <c r="O44" i="18" s="1"/>
  <c r="O74" i="18"/>
  <c r="L72" i="18"/>
  <c r="O72" i="18" s="1"/>
  <c r="K98" i="18"/>
  <c r="M152" i="18"/>
  <c r="P154" i="18"/>
  <c r="P170" i="18"/>
  <c r="M168" i="18"/>
  <c r="P168" i="18" s="1"/>
  <c r="L228" i="18"/>
  <c r="L249" i="18"/>
  <c r="O249" i="18" s="1"/>
  <c r="K355" i="17"/>
  <c r="O137" i="18"/>
  <c r="L135" i="18"/>
  <c r="O135" i="18" s="1"/>
  <c r="M55" i="15"/>
  <c r="M53" i="15" s="1"/>
  <c r="N404" i="15"/>
  <c r="N402" i="15" s="1"/>
  <c r="M47" i="16"/>
  <c r="P47" i="16" s="1"/>
  <c r="K701" i="16"/>
  <c r="M72" i="17"/>
  <c r="P72" i="17" s="1"/>
  <c r="I260" i="17"/>
  <c r="K260" i="17" s="1"/>
  <c r="O282" i="17"/>
  <c r="O331" i="17"/>
  <c r="L347" i="17"/>
  <c r="K378" i="17"/>
  <c r="L392" i="17"/>
  <c r="O392" i="17" s="1"/>
  <c r="L36" i="17"/>
  <c r="O36" i="17" s="1"/>
  <c r="O472" i="17"/>
  <c r="O657" i="17"/>
  <c r="L15" i="18"/>
  <c r="M23" i="18"/>
  <c r="M26" i="18"/>
  <c r="L29" i="18"/>
  <c r="P33" i="18"/>
  <c r="P42" i="18"/>
  <c r="M55" i="18"/>
  <c r="M59" i="18"/>
  <c r="P59" i="18" s="1"/>
  <c r="P61" i="18"/>
  <c r="P71" i="18"/>
  <c r="P96" i="18"/>
  <c r="M94" i="18"/>
  <c r="P94" i="18" s="1"/>
  <c r="M183" i="18"/>
  <c r="K204" i="18"/>
  <c r="I197" i="18"/>
  <c r="K197" i="18" s="1"/>
  <c r="L238" i="18"/>
  <c r="L229" i="18"/>
  <c r="M264" i="18"/>
  <c r="P266" i="18"/>
  <c r="O316" i="18"/>
  <c r="P323" i="18"/>
  <c r="M321" i="18"/>
  <c r="P321" i="18" s="1"/>
  <c r="P59" i="17"/>
  <c r="L422" i="18"/>
  <c r="O422" i="18" s="1"/>
  <c r="O424" i="18"/>
  <c r="L421" i="18"/>
  <c r="O421" i="18" s="1"/>
  <c r="L33" i="18"/>
  <c r="L31" i="18" s="1"/>
  <c r="O31" i="18" s="1"/>
  <c r="L304" i="15"/>
  <c r="O304" i="15" s="1"/>
  <c r="M72" i="16"/>
  <c r="P72" i="16" s="1"/>
  <c r="O74" i="16"/>
  <c r="L167" i="16"/>
  <c r="L165" i="16" s="1"/>
  <c r="K224" i="16"/>
  <c r="O59" i="17"/>
  <c r="L167" i="17"/>
  <c r="K362" i="17"/>
  <c r="N391" i="17"/>
  <c r="N389" i="17" s="1"/>
  <c r="L469" i="17"/>
  <c r="L467" i="17" s="1"/>
  <c r="K801" i="17"/>
  <c r="K823" i="17"/>
  <c r="K826" i="17"/>
  <c r="M9" i="18"/>
  <c r="M29" i="18"/>
  <c r="O32" i="18"/>
  <c r="O49" i="18"/>
  <c r="L26" i="18"/>
  <c r="L47" i="18"/>
  <c r="O47" i="18" s="1"/>
  <c r="O54" i="18"/>
  <c r="L68" i="18"/>
  <c r="M121" i="18"/>
  <c r="M125" i="18"/>
  <c r="P125" i="18" s="1"/>
  <c r="P127" i="18"/>
  <c r="L134" i="18"/>
  <c r="J143" i="18"/>
  <c r="J131" i="18" s="1"/>
  <c r="P173" i="18"/>
  <c r="M171" i="18"/>
  <c r="P171" i="18" s="1"/>
  <c r="O182" i="18"/>
  <c r="I216" i="18"/>
  <c r="K216" i="18" s="1"/>
  <c r="L348" i="18"/>
  <c r="O348" i="18" s="1"/>
  <c r="O350" i="18"/>
  <c r="L347" i="18"/>
  <c r="P133" i="18"/>
  <c r="P278" i="18"/>
  <c r="K338" i="18"/>
  <c r="L395" i="18"/>
  <c r="O395" i="18" s="1"/>
  <c r="O397" i="18"/>
  <c r="N414" i="18"/>
  <c r="L447" i="18"/>
  <c r="O447" i="18" s="1"/>
  <c r="O449" i="18"/>
  <c r="O686" i="18"/>
  <c r="K723" i="18"/>
  <c r="P738" i="18"/>
  <c r="M737" i="18"/>
  <c r="P737" i="18" s="1"/>
  <c r="I434" i="18"/>
  <c r="K438" i="18"/>
  <c r="K569" i="18"/>
  <c r="K620" i="18"/>
  <c r="K669" i="18"/>
  <c r="J654" i="18"/>
  <c r="P771" i="18"/>
  <c r="M770" i="18"/>
  <c r="P770" i="18" s="1"/>
  <c r="I785" i="18"/>
  <c r="K785" i="18" s="1"/>
  <c r="K800" i="18"/>
  <c r="O806" i="18"/>
  <c r="L805" i="18"/>
  <c r="O805" i="18" s="1"/>
  <c r="L477" i="18"/>
  <c r="O477" i="18" s="1"/>
  <c r="O479" i="18"/>
  <c r="L469" i="18"/>
  <c r="P282" i="18"/>
  <c r="N300" i="18"/>
  <c r="N298" i="18" s="1"/>
  <c r="O303" i="18"/>
  <c r="L392" i="18"/>
  <c r="O392" i="18" s="1"/>
  <c r="O394" i="18"/>
  <c r="O524" i="18"/>
  <c r="L632" i="18"/>
  <c r="O632" i="18" s="1"/>
  <c r="O634" i="18"/>
  <c r="P755" i="18"/>
  <c r="M754" i="18"/>
  <c r="P754" i="18" s="1"/>
  <c r="O787" i="18"/>
  <c r="N789" i="18"/>
  <c r="P403" i="18"/>
  <c r="O545" i="18"/>
  <c r="N505" i="18"/>
  <c r="J537" i="18"/>
  <c r="J522" i="18" s="1"/>
  <c r="K522" i="18" s="1"/>
  <c r="M685" i="18"/>
  <c r="P685" i="18" s="1"/>
  <c r="M786" i="18"/>
  <c r="P786" i="18" s="1"/>
  <c r="M805" i="18"/>
  <c r="P805" i="18" s="1"/>
  <c r="J365" i="18"/>
  <c r="J374" i="18"/>
  <c r="K374" i="18" s="1"/>
  <c r="J433" i="18"/>
  <c r="L533" i="18"/>
  <c r="O533" i="18" s="1"/>
  <c r="N55" i="15"/>
  <c r="N53" i="15" s="1"/>
  <c r="N90" i="15"/>
  <c r="N88" i="15" s="1"/>
  <c r="I148" i="15"/>
  <c r="K148" i="15" s="1"/>
  <c r="L43" i="16"/>
  <c r="L41" i="16" s="1"/>
  <c r="N55" i="16"/>
  <c r="N53" i="16" s="1"/>
  <c r="I76" i="16"/>
  <c r="I64" i="16" s="1"/>
  <c r="K64" i="16" s="1"/>
  <c r="N90" i="16"/>
  <c r="N88" i="16" s="1"/>
  <c r="K159" i="16"/>
  <c r="N279" i="16"/>
  <c r="N277" i="16" s="1"/>
  <c r="M318" i="16"/>
  <c r="P318" i="16" s="1"/>
  <c r="M317" i="16"/>
  <c r="P317" i="16" s="1"/>
  <c r="L69" i="17"/>
  <c r="O69" i="17" s="1"/>
  <c r="L23" i="17"/>
  <c r="L21" i="17" s="1"/>
  <c r="N135" i="17"/>
  <c r="L168" i="17"/>
  <c r="O168" i="17" s="1"/>
  <c r="N184" i="17"/>
  <c r="O184" i="17" s="1"/>
  <c r="M187" i="17"/>
  <c r="P187" i="17" s="1"/>
  <c r="K193" i="17"/>
  <c r="K204" i="17"/>
  <c r="M283" i="17"/>
  <c r="P283" i="17" s="1"/>
  <c r="L330" i="17"/>
  <c r="M348" i="17"/>
  <c r="L422" i="17"/>
  <c r="O422" i="17" s="1"/>
  <c r="M56" i="15"/>
  <c r="M43" i="16"/>
  <c r="M41" i="16" s="1"/>
  <c r="L183" i="16"/>
  <c r="L181" i="16" s="1"/>
  <c r="N280" i="16"/>
  <c r="O280" i="16" s="1"/>
  <c r="I433" i="16"/>
  <c r="I417" i="16" s="1"/>
  <c r="J433" i="16"/>
  <c r="J417" i="16" s="1"/>
  <c r="K621" i="16"/>
  <c r="J721" i="16"/>
  <c r="K721" i="16" s="1"/>
  <c r="N43" i="17"/>
  <c r="N41" i="17" s="1"/>
  <c r="O46" i="17"/>
  <c r="P58" i="17"/>
  <c r="N26" i="17"/>
  <c r="N16" i="17" s="1"/>
  <c r="N14" i="17" s="1"/>
  <c r="M69" i="17"/>
  <c r="P69" i="17" s="1"/>
  <c r="P93" i="17"/>
  <c r="I143" i="17"/>
  <c r="M152" i="17"/>
  <c r="P152" i="17" s="1"/>
  <c r="O285" i="17"/>
  <c r="L300" i="17"/>
  <c r="M330" i="17"/>
  <c r="N348" i="17"/>
  <c r="O348" i="17" s="1"/>
  <c r="P350" i="17"/>
  <c r="K370" i="17"/>
  <c r="K385" i="17"/>
  <c r="M391" i="17"/>
  <c r="O394" i="17"/>
  <c r="K439" i="17"/>
  <c r="L526" i="17"/>
  <c r="O526" i="17" s="1"/>
  <c r="K560" i="17"/>
  <c r="O634" i="17"/>
  <c r="L94" i="14"/>
  <c r="O94" i="14" s="1"/>
  <c r="I314" i="15"/>
  <c r="K314" i="15" s="1"/>
  <c r="I364" i="15"/>
  <c r="K700" i="15"/>
  <c r="L47" i="16"/>
  <c r="O47" i="16" s="1"/>
  <c r="M183" i="16"/>
  <c r="O189" i="16"/>
  <c r="L321" i="16"/>
  <c r="O321" i="16" s="1"/>
  <c r="M404" i="16"/>
  <c r="M402" i="16" s="1"/>
  <c r="P402" i="16" s="1"/>
  <c r="L525" i="16"/>
  <c r="O525" i="16" s="1"/>
  <c r="O44" i="17"/>
  <c r="P46" i="17"/>
  <c r="L55" i="17"/>
  <c r="L53" i="17" s="1"/>
  <c r="O61" i="17"/>
  <c r="L94" i="17"/>
  <c r="O94" i="17" s="1"/>
  <c r="O157" i="17"/>
  <c r="L183" i="17"/>
  <c r="L181" i="17" s="1"/>
  <c r="L229" i="17"/>
  <c r="P285" i="17"/>
  <c r="M321" i="17"/>
  <c r="P321" i="17" s="1"/>
  <c r="P336" i="17"/>
  <c r="J327" i="17"/>
  <c r="K327" i="17" s="1"/>
  <c r="O351" i="17"/>
  <c r="L209" i="16"/>
  <c r="O209" i="16" s="1"/>
  <c r="P44" i="17"/>
  <c r="P61" i="17"/>
  <c r="M183" i="17"/>
  <c r="M181" i="17" s="1"/>
  <c r="L301" i="17"/>
  <c r="O301" i="17" s="1"/>
  <c r="K338" i="17"/>
  <c r="L469" i="12"/>
  <c r="O469" i="12" s="1"/>
  <c r="L657" i="13"/>
  <c r="L655" i="13" s="1"/>
  <c r="O655" i="13" s="1"/>
  <c r="K822" i="13"/>
  <c r="K828" i="13"/>
  <c r="M90" i="16"/>
  <c r="M88" i="16" s="1"/>
  <c r="P127" i="16"/>
  <c r="N134" i="16"/>
  <c r="N132" i="16" s="1"/>
  <c r="L317" i="16"/>
  <c r="L315" i="16" s="1"/>
  <c r="O315" i="16" s="1"/>
  <c r="N347" i="16"/>
  <c r="N345" i="16" s="1"/>
  <c r="K369" i="16"/>
  <c r="K651" i="16"/>
  <c r="J722" i="16"/>
  <c r="K722" i="16" s="1"/>
  <c r="K821" i="16"/>
  <c r="M23" i="17"/>
  <c r="M21" i="17" s="1"/>
  <c r="L26" i="17"/>
  <c r="L24" i="17" s="1"/>
  <c r="M68" i="17"/>
  <c r="M66" i="17" s="1"/>
  <c r="P66" i="17" s="1"/>
  <c r="I76" i="17"/>
  <c r="I64" i="17" s="1"/>
  <c r="K64" i="17" s="1"/>
  <c r="I87" i="17"/>
  <c r="K87" i="17" s="1"/>
  <c r="M125" i="17"/>
  <c r="P125" i="17" s="1"/>
  <c r="L135" i="17"/>
  <c r="O135" i="17" s="1"/>
  <c r="I148" i="17"/>
  <c r="K148" i="17" s="1"/>
  <c r="L198" i="17"/>
  <c r="O198" i="17" s="1"/>
  <c r="K255" i="17"/>
  <c r="N263" i="17"/>
  <c r="O350" i="17"/>
  <c r="K379" i="17"/>
  <c r="K143" i="16"/>
  <c r="I131" i="16"/>
  <c r="K131" i="16" s="1"/>
  <c r="M43" i="14"/>
  <c r="M41" i="14" s="1"/>
  <c r="N68" i="14"/>
  <c r="N66" i="14" s="1"/>
  <c r="K287" i="14"/>
  <c r="M317" i="14"/>
  <c r="P317" i="14" s="1"/>
  <c r="N404" i="14"/>
  <c r="N402" i="14" s="1"/>
  <c r="K628" i="14"/>
  <c r="O93" i="15"/>
  <c r="K465" i="15"/>
  <c r="M23" i="16"/>
  <c r="M13" i="16" s="1"/>
  <c r="M11" i="16" s="1"/>
  <c r="P154" i="16"/>
  <c r="M321" i="16"/>
  <c r="P321" i="16" s="1"/>
  <c r="L330" i="16"/>
  <c r="M348" i="16"/>
  <c r="O410" i="16"/>
  <c r="O431" i="16"/>
  <c r="P22" i="17"/>
  <c r="M19" i="17"/>
  <c r="M12" i="17"/>
  <c r="M47" i="17"/>
  <c r="P47" i="17" s="1"/>
  <c r="O124" i="17"/>
  <c r="L125" i="17"/>
  <c r="O125" i="17" s="1"/>
  <c r="O127" i="17"/>
  <c r="M138" i="17"/>
  <c r="P138" i="17" s="1"/>
  <c r="M167" i="17"/>
  <c r="P186" i="17"/>
  <c r="K224" i="17"/>
  <c r="O299" i="17"/>
  <c r="O323" i="17"/>
  <c r="L317" i="17"/>
  <c r="I442" i="17"/>
  <c r="K442" i="17" s="1"/>
  <c r="K460" i="17"/>
  <c r="J592" i="17"/>
  <c r="K593" i="17"/>
  <c r="O806" i="17"/>
  <c r="L805" i="17"/>
  <c r="O805" i="17" s="1"/>
  <c r="L547" i="17"/>
  <c r="O547" i="17" s="1"/>
  <c r="O549" i="17"/>
  <c r="I628" i="13"/>
  <c r="K628" i="13" s="1"/>
  <c r="M72" i="15"/>
  <c r="P72" i="15" s="1"/>
  <c r="P93" i="15"/>
  <c r="P46" i="16"/>
  <c r="M68" i="16"/>
  <c r="M66" i="16" s="1"/>
  <c r="P71" i="16"/>
  <c r="M121" i="16"/>
  <c r="M119" i="16" s="1"/>
  <c r="M155" i="16"/>
  <c r="P155" i="16" s="1"/>
  <c r="L238" i="16"/>
  <c r="O238" i="16" s="1"/>
  <c r="M263" i="16"/>
  <c r="M261" i="16" s="1"/>
  <c r="M279" i="16"/>
  <c r="N301" i="16"/>
  <c r="P301" i="16" s="1"/>
  <c r="P303" i="16"/>
  <c r="L318" i="16"/>
  <c r="O318" i="16" s="1"/>
  <c r="P333" i="16"/>
  <c r="N348" i="16"/>
  <c r="K360" i="16"/>
  <c r="I443" i="16"/>
  <c r="K443" i="16" s="1"/>
  <c r="K537" i="16"/>
  <c r="L546" i="16"/>
  <c r="L544" i="16" s="1"/>
  <c r="O544" i="16" s="1"/>
  <c r="L33" i="17"/>
  <c r="L90" i="17"/>
  <c r="K98" i="17"/>
  <c r="K116" i="17"/>
  <c r="O166" i="17"/>
  <c r="L187" i="17"/>
  <c r="O187" i="17" s="1"/>
  <c r="M264" i="17"/>
  <c r="P264" i="17" s="1"/>
  <c r="P266" i="17"/>
  <c r="M263" i="17"/>
  <c r="M304" i="17"/>
  <c r="P304" i="17" s="1"/>
  <c r="M300" i="17"/>
  <c r="P306" i="17"/>
  <c r="L321" i="17"/>
  <c r="O321" i="17" s="1"/>
  <c r="M414" i="17"/>
  <c r="P414" i="17" s="1"/>
  <c r="P419" i="17"/>
  <c r="I443" i="17"/>
  <c r="K443" i="17" s="1"/>
  <c r="K462" i="17"/>
  <c r="L217" i="15"/>
  <c r="O217" i="15" s="1"/>
  <c r="K701" i="15"/>
  <c r="M26" i="16"/>
  <c r="L69" i="16"/>
  <c r="M94" i="16"/>
  <c r="P94" i="16" s="1"/>
  <c r="M122" i="16"/>
  <c r="P122" i="16" s="1"/>
  <c r="M267" i="16"/>
  <c r="P267" i="16" s="1"/>
  <c r="P323" i="16"/>
  <c r="K379" i="16"/>
  <c r="N56" i="17"/>
  <c r="O56" i="17" s="1"/>
  <c r="K79" i="17"/>
  <c r="I77" i="17"/>
  <c r="M90" i="17"/>
  <c r="M134" i="17"/>
  <c r="M155" i="17"/>
  <c r="P155" i="17" s="1"/>
  <c r="J364" i="17"/>
  <c r="K365" i="17"/>
  <c r="O449" i="17"/>
  <c r="L446" i="17"/>
  <c r="O446" i="17" s="1"/>
  <c r="L122" i="17"/>
  <c r="O122" i="17" s="1"/>
  <c r="L121" i="17"/>
  <c r="M168" i="17"/>
  <c r="P168" i="17" s="1"/>
  <c r="P182" i="17"/>
  <c r="P186" i="13"/>
  <c r="M321" i="15"/>
  <c r="P321" i="15" s="1"/>
  <c r="M167" i="16"/>
  <c r="M165" i="16" s="1"/>
  <c r="O170" i="16"/>
  <c r="O173" i="16"/>
  <c r="L231" i="16"/>
  <c r="K255" i="16"/>
  <c r="K271" i="16"/>
  <c r="J288" i="16"/>
  <c r="J275" i="16" s="1"/>
  <c r="K275" i="16" s="1"/>
  <c r="K340" i="16"/>
  <c r="N404" i="16"/>
  <c r="N402" i="16" s="1"/>
  <c r="P407" i="16"/>
  <c r="L421" i="16"/>
  <c r="O421" i="16" s="1"/>
  <c r="O472" i="16"/>
  <c r="L470" i="16"/>
  <c r="O470" i="16" s="1"/>
  <c r="K649" i="16"/>
  <c r="L657" i="16"/>
  <c r="L655" i="16" s="1"/>
  <c r="K674" i="16"/>
  <c r="K823" i="16"/>
  <c r="K826" i="16"/>
  <c r="N23" i="17"/>
  <c r="L43" i="17"/>
  <c r="M55" i="17"/>
  <c r="O58" i="17"/>
  <c r="L68" i="17"/>
  <c r="O68" i="17" s="1"/>
  <c r="K80" i="17"/>
  <c r="M94" i="17"/>
  <c r="P94" i="17" s="1"/>
  <c r="L134" i="17"/>
  <c r="O134" i="17" s="1"/>
  <c r="P137" i="17"/>
  <c r="M151" i="17"/>
  <c r="P166" i="17"/>
  <c r="I233" i="17"/>
  <c r="K233" i="17" s="1"/>
  <c r="N405" i="17"/>
  <c r="N404" i="17"/>
  <c r="N402" i="17" s="1"/>
  <c r="O431" i="17"/>
  <c r="L429" i="17"/>
  <c r="O429" i="17" s="1"/>
  <c r="L421" i="17"/>
  <c r="O421" i="17" s="1"/>
  <c r="J537" i="17"/>
  <c r="J522" i="17" s="1"/>
  <c r="K538" i="17"/>
  <c r="L15" i="17"/>
  <c r="L29" i="17"/>
  <c r="N167" i="16"/>
  <c r="P186" i="16"/>
  <c r="O22" i="17"/>
  <c r="L19" i="17"/>
  <c r="L12" i="17"/>
  <c r="M26" i="17"/>
  <c r="N55" i="17"/>
  <c r="P89" i="17"/>
  <c r="L152" i="17"/>
  <c r="O152" i="17" s="1"/>
  <c r="O154" i="17"/>
  <c r="N280" i="17"/>
  <c r="P282" i="17"/>
  <c r="N279" i="17"/>
  <c r="L228" i="17"/>
  <c r="L249" i="17"/>
  <c r="O249" i="17" s="1"/>
  <c r="P269" i="17"/>
  <c r="M404" i="17"/>
  <c r="P404" i="17" s="1"/>
  <c r="P410" i="17"/>
  <c r="P806" i="17"/>
  <c r="M805" i="17"/>
  <c r="P805" i="17" s="1"/>
  <c r="K568" i="16"/>
  <c r="K647" i="16"/>
  <c r="K824" i="16"/>
  <c r="K827" i="16"/>
  <c r="O93" i="17"/>
  <c r="O186" i="17"/>
  <c r="O266" i="17"/>
  <c r="M301" i="17"/>
  <c r="P301" i="17" s="1"/>
  <c r="P303" i="17"/>
  <c r="M317" i="17"/>
  <c r="P317" i="17" s="1"/>
  <c r="L454" i="17"/>
  <c r="O454" i="17" s="1"/>
  <c r="N467" i="17"/>
  <c r="K577" i="17"/>
  <c r="O656" i="17"/>
  <c r="L655" i="17"/>
  <c r="O655" i="17" s="1"/>
  <c r="L688" i="17"/>
  <c r="O688" i="17" s="1"/>
  <c r="L687" i="17"/>
  <c r="O170" i="17"/>
  <c r="L238" i="17"/>
  <c r="N756" i="17"/>
  <c r="N754" i="17" s="1"/>
  <c r="N757" i="17"/>
  <c r="N419" i="17"/>
  <c r="N414" i="17" s="1"/>
  <c r="P545" i="17"/>
  <c r="M544" i="17"/>
  <c r="P544" i="17" s="1"/>
  <c r="K649" i="17"/>
  <c r="O738" i="17"/>
  <c r="L737" i="17"/>
  <c r="O737" i="17" s="1"/>
  <c r="N772" i="17"/>
  <c r="N770" i="17" s="1"/>
  <c r="N773" i="17"/>
  <c r="K244" i="17"/>
  <c r="I237" i="17"/>
  <c r="K594" i="17"/>
  <c r="K647" i="17"/>
  <c r="N687" i="17"/>
  <c r="N685" i="17" s="1"/>
  <c r="N688" i="17"/>
  <c r="N740" i="17"/>
  <c r="N805" i="17"/>
  <c r="K821" i="17"/>
  <c r="K592" i="17"/>
  <c r="O641" i="17"/>
  <c r="L631" i="17"/>
  <c r="K675" i="17"/>
  <c r="I654" i="17"/>
  <c r="K654" i="17" s="1"/>
  <c r="K674" i="17"/>
  <c r="K672" i="17"/>
  <c r="L525" i="17"/>
  <c r="L533" i="17"/>
  <c r="O533" i="17" s="1"/>
  <c r="L639" i="17"/>
  <c r="O639" i="17" s="1"/>
  <c r="K673" i="17"/>
  <c r="L754" i="17"/>
  <c r="O754" i="17" s="1"/>
  <c r="L770" i="17"/>
  <c r="O770" i="17" s="1"/>
  <c r="P351" i="16"/>
  <c r="M347" i="13"/>
  <c r="M345" i="13" s="1"/>
  <c r="M44" i="15"/>
  <c r="P44" i="15" s="1"/>
  <c r="N56" i="15"/>
  <c r="O168" i="15"/>
  <c r="K728" i="15"/>
  <c r="N43" i="16"/>
  <c r="L55" i="16"/>
  <c r="L53" i="16" s="1"/>
  <c r="L23" i="16"/>
  <c r="L21" i="16" s="1"/>
  <c r="O71" i="16"/>
  <c r="M91" i="16"/>
  <c r="P91" i="16" s="1"/>
  <c r="M125" i="16"/>
  <c r="P125" i="16" s="1"/>
  <c r="K146" i="16"/>
  <c r="N151" i="16"/>
  <c r="N149" i="16" s="1"/>
  <c r="P189" i="16"/>
  <c r="L217" i="16"/>
  <c r="O217" i="16" s="1"/>
  <c r="L229" i="16"/>
  <c r="N263" i="16"/>
  <c r="N261" i="16" s="1"/>
  <c r="L283" i="16"/>
  <c r="O283" i="16" s="1"/>
  <c r="L304" i="16"/>
  <c r="O304" i="16" s="1"/>
  <c r="M330" i="16"/>
  <c r="K355" i="16"/>
  <c r="K362" i="16"/>
  <c r="K365" i="16"/>
  <c r="K372" i="16"/>
  <c r="N391" i="16"/>
  <c r="N389" i="16" s="1"/>
  <c r="P410" i="16"/>
  <c r="K439" i="16"/>
  <c r="K560" i="16"/>
  <c r="L631" i="16"/>
  <c r="L629" i="16" s="1"/>
  <c r="O629" i="16" s="1"/>
  <c r="I76" i="13"/>
  <c r="I64" i="13" s="1"/>
  <c r="K64" i="13" s="1"/>
  <c r="K649" i="14"/>
  <c r="O184" i="15"/>
  <c r="L321" i="15"/>
  <c r="O321" i="15" s="1"/>
  <c r="M55" i="16"/>
  <c r="P58" i="16"/>
  <c r="P93" i="16"/>
  <c r="O137" i="16"/>
  <c r="L228" i="16"/>
  <c r="M283" i="16"/>
  <c r="P283" i="16" s="1"/>
  <c r="L300" i="16"/>
  <c r="P306" i="16"/>
  <c r="I314" i="16"/>
  <c r="K314" i="16" s="1"/>
  <c r="L405" i="16"/>
  <c r="O405" i="16" s="1"/>
  <c r="L198" i="16"/>
  <c r="O198" i="16" s="1"/>
  <c r="P264" i="16"/>
  <c r="P266" i="16"/>
  <c r="M300" i="16"/>
  <c r="M298" i="16" s="1"/>
  <c r="O303" i="16"/>
  <c r="M331" i="16"/>
  <c r="P331" i="16" s="1"/>
  <c r="J327" i="16"/>
  <c r="K327" i="16" s="1"/>
  <c r="L347" i="16"/>
  <c r="L345" i="16" s="1"/>
  <c r="K385" i="16"/>
  <c r="M395" i="16"/>
  <c r="P395" i="16" s="1"/>
  <c r="L404" i="16"/>
  <c r="O404" i="16" s="1"/>
  <c r="O641" i="16"/>
  <c r="O660" i="16"/>
  <c r="K720" i="16"/>
  <c r="L788" i="16"/>
  <c r="O788" i="16" s="1"/>
  <c r="O186" i="14"/>
  <c r="K372" i="14"/>
  <c r="J721" i="14"/>
  <c r="I130" i="15"/>
  <c r="K130" i="15" s="1"/>
  <c r="L134" i="15"/>
  <c r="O134" i="15" s="1"/>
  <c r="M263" i="15"/>
  <c r="M261" i="15" s="1"/>
  <c r="J364" i="15"/>
  <c r="I433" i="15"/>
  <c r="I417" i="15" s="1"/>
  <c r="K823" i="15"/>
  <c r="K826" i="15"/>
  <c r="O46" i="16"/>
  <c r="P56" i="16"/>
  <c r="M59" i="16"/>
  <c r="P59" i="16" s="1"/>
  <c r="N68" i="16"/>
  <c r="N66" i="16" s="1"/>
  <c r="K115" i="16"/>
  <c r="N121" i="16"/>
  <c r="N119" i="16" s="1"/>
  <c r="L134" i="16"/>
  <c r="O134" i="16" s="1"/>
  <c r="P170" i="16"/>
  <c r="O282" i="16"/>
  <c r="M334" i="16"/>
  <c r="P334" i="16" s="1"/>
  <c r="P350" i="16"/>
  <c r="I559" i="16"/>
  <c r="I543" i="16" s="1"/>
  <c r="K543" i="16" s="1"/>
  <c r="J628" i="16"/>
  <c r="K628" i="16" s="1"/>
  <c r="K725" i="16"/>
  <c r="K822" i="16"/>
  <c r="K825" i="16"/>
  <c r="K828" i="16"/>
  <c r="P173" i="14"/>
  <c r="N26" i="15"/>
  <c r="N16" i="15" s="1"/>
  <c r="L209" i="15"/>
  <c r="O209" i="15" s="1"/>
  <c r="N347" i="15"/>
  <c r="N345" i="15" s="1"/>
  <c r="K370" i="15"/>
  <c r="K378" i="15"/>
  <c r="K381" i="15"/>
  <c r="M392" i="15"/>
  <c r="P392" i="15" s="1"/>
  <c r="L33" i="15"/>
  <c r="L31" i="15" s="1"/>
  <c r="J721" i="15"/>
  <c r="K721" i="15" s="1"/>
  <c r="M134" i="16"/>
  <c r="O186" i="16"/>
  <c r="P282" i="16"/>
  <c r="P353" i="16"/>
  <c r="K374" i="16"/>
  <c r="K381" i="16"/>
  <c r="K224" i="15"/>
  <c r="I216" i="15"/>
  <c r="K216" i="15" s="1"/>
  <c r="O15" i="16"/>
  <c r="O35" i="16"/>
  <c r="L91" i="16"/>
  <c r="O91" i="16" s="1"/>
  <c r="O93" i="16"/>
  <c r="L125" i="16"/>
  <c r="O125" i="16" s="1"/>
  <c r="O127" i="16"/>
  <c r="L264" i="16"/>
  <c r="O264" i="16" s="1"/>
  <c r="O266" i="16"/>
  <c r="L392" i="16"/>
  <c r="O392" i="16" s="1"/>
  <c r="O394" i="16"/>
  <c r="L391" i="16"/>
  <c r="N330" i="12"/>
  <c r="N328" i="12" s="1"/>
  <c r="N317" i="14"/>
  <c r="N315" i="14" s="1"/>
  <c r="K365" i="14"/>
  <c r="K821" i="14"/>
  <c r="K824" i="14"/>
  <c r="K827" i="14"/>
  <c r="O44" i="15"/>
  <c r="O46" i="15"/>
  <c r="N72" i="15"/>
  <c r="O74" i="15"/>
  <c r="M121" i="15"/>
  <c r="M119" i="15" s="1"/>
  <c r="P119" i="15" s="1"/>
  <c r="O140" i="15"/>
  <c r="N263" i="15"/>
  <c r="N261" i="15" s="1"/>
  <c r="M404" i="15"/>
  <c r="P404" i="15" s="1"/>
  <c r="O22" i="16"/>
  <c r="L19" i="16"/>
  <c r="L12" i="16"/>
  <c r="L29" i="16"/>
  <c r="M34" i="16"/>
  <c r="P34" i="16" s="1"/>
  <c r="I77" i="16"/>
  <c r="K81" i="16"/>
  <c r="L94" i="16"/>
  <c r="O94" i="16" s="1"/>
  <c r="O96" i="16"/>
  <c r="P152" i="16"/>
  <c r="L267" i="16"/>
  <c r="O267" i="16" s="1"/>
  <c r="O269" i="16"/>
  <c r="L477" i="16"/>
  <c r="O477" i="16" s="1"/>
  <c r="O479" i="16"/>
  <c r="L469" i="16"/>
  <c r="L36" i="16"/>
  <c r="O36" i="16" s="1"/>
  <c r="O524" i="16"/>
  <c r="M43" i="15"/>
  <c r="M41" i="15" s="1"/>
  <c r="M30" i="16"/>
  <c r="P30" i="16" s="1"/>
  <c r="L447" i="16"/>
  <c r="O447" i="16" s="1"/>
  <c r="O449" i="16"/>
  <c r="L446" i="16"/>
  <c r="L33" i="16"/>
  <c r="N121" i="14"/>
  <c r="N119" i="14" s="1"/>
  <c r="N43" i="15"/>
  <c r="N41" i="15" s="1"/>
  <c r="P58" i="15"/>
  <c r="M183" i="15"/>
  <c r="M181" i="15" s="1"/>
  <c r="M280" i="15"/>
  <c r="P280" i="15" s="1"/>
  <c r="P54" i="16"/>
  <c r="N59" i="16"/>
  <c r="N26" i="16"/>
  <c r="N68" i="15"/>
  <c r="N66" i="15" s="1"/>
  <c r="P96" i="15"/>
  <c r="L90" i="16"/>
  <c r="L121" i="16"/>
  <c r="L152" i="16"/>
  <c r="O152" i="16" s="1"/>
  <c r="O154" i="16"/>
  <c r="L267" i="14"/>
  <c r="O267" i="14" s="1"/>
  <c r="L317" i="14"/>
  <c r="O317" i="14" s="1"/>
  <c r="K359" i="14"/>
  <c r="N405" i="14"/>
  <c r="L68" i="15"/>
  <c r="L66" i="15" s="1"/>
  <c r="P154" i="15"/>
  <c r="L547" i="15"/>
  <c r="O547" i="15" s="1"/>
  <c r="O549" i="15"/>
  <c r="K594" i="15"/>
  <c r="L631" i="15"/>
  <c r="L629" i="15" s="1"/>
  <c r="O629" i="15" s="1"/>
  <c r="K86" i="16"/>
  <c r="L122" i="16"/>
  <c r="O122" i="16" s="1"/>
  <c r="O124" i="16"/>
  <c r="K148" i="16"/>
  <c r="L155" i="16"/>
  <c r="O155" i="16" s="1"/>
  <c r="O157" i="16"/>
  <c r="L249" i="16"/>
  <c r="O249" i="16" s="1"/>
  <c r="L263" i="16"/>
  <c r="O278" i="16"/>
  <c r="P12" i="16"/>
  <c r="M15" i="16"/>
  <c r="P19" i="16"/>
  <c r="N23" i="16"/>
  <c r="P25" i="16"/>
  <c r="M29" i="16"/>
  <c r="P32" i="16"/>
  <c r="O58" i="16"/>
  <c r="O61" i="16"/>
  <c r="K98" i="16"/>
  <c r="O133" i="16"/>
  <c r="P137" i="16"/>
  <c r="P140" i="16"/>
  <c r="P166" i="16"/>
  <c r="I174" i="16"/>
  <c r="P182" i="16"/>
  <c r="P316" i="16"/>
  <c r="K338" i="16"/>
  <c r="L395" i="16"/>
  <c r="O395" i="16" s="1"/>
  <c r="O397" i="16"/>
  <c r="N526" i="16"/>
  <c r="O686" i="16"/>
  <c r="L26" i="16"/>
  <c r="N44" i="16"/>
  <c r="P44" i="16" s="1"/>
  <c r="N69" i="16"/>
  <c r="P69" i="16" s="1"/>
  <c r="I233" i="16"/>
  <c r="K233" i="16" s="1"/>
  <c r="L348" i="16"/>
  <c r="O350" i="16"/>
  <c r="I434" i="16"/>
  <c r="K438" i="16"/>
  <c r="J537" i="16"/>
  <c r="J522" i="16" s="1"/>
  <c r="K539" i="16"/>
  <c r="K561" i="16"/>
  <c r="P755" i="16"/>
  <c r="M754" i="16"/>
  <c r="P754" i="16" s="1"/>
  <c r="I785" i="16"/>
  <c r="K785" i="16" s="1"/>
  <c r="K800" i="16"/>
  <c r="O806" i="16"/>
  <c r="L805" i="16"/>
  <c r="O805" i="16" s="1"/>
  <c r="K827" i="15"/>
  <c r="L56" i="16"/>
  <c r="O56" i="16" s="1"/>
  <c r="N168" i="16"/>
  <c r="P168" i="16" s="1"/>
  <c r="N184" i="16"/>
  <c r="O184" i="16" s="1"/>
  <c r="L351" i="16"/>
  <c r="O351" i="16" s="1"/>
  <c r="O353" i="16"/>
  <c r="L422" i="16"/>
  <c r="O422" i="16" s="1"/>
  <c r="O424" i="16"/>
  <c r="L632" i="16"/>
  <c r="O632" i="16" s="1"/>
  <c r="O634" i="16"/>
  <c r="L331" i="16"/>
  <c r="O331" i="16" s="1"/>
  <c r="O333" i="16"/>
  <c r="L334" i="16"/>
  <c r="O334" i="16" s="1"/>
  <c r="O336" i="16"/>
  <c r="J592" i="16"/>
  <c r="K592" i="16" s="1"/>
  <c r="K593" i="16"/>
  <c r="K708" i="15"/>
  <c r="J722" i="15"/>
  <c r="K722" i="15" s="1"/>
  <c r="K822" i="15"/>
  <c r="K825" i="15"/>
  <c r="K828" i="15"/>
  <c r="I237" i="16"/>
  <c r="L279" i="16"/>
  <c r="P525" i="16"/>
  <c r="M523" i="16"/>
  <c r="P523" i="16" s="1"/>
  <c r="P687" i="16"/>
  <c r="M685" i="16"/>
  <c r="P685" i="16" s="1"/>
  <c r="K723" i="16"/>
  <c r="P738" i="16"/>
  <c r="M737" i="16"/>
  <c r="P737" i="16" s="1"/>
  <c r="P771" i="16"/>
  <c r="M770" i="16"/>
  <c r="P770" i="16" s="1"/>
  <c r="O787" i="16"/>
  <c r="N789" i="16"/>
  <c r="O528" i="16"/>
  <c r="I654" i="16"/>
  <c r="K654" i="16" s="1"/>
  <c r="O791" i="16"/>
  <c r="I442" i="16"/>
  <c r="K442" i="16" s="1"/>
  <c r="L547" i="16"/>
  <c r="O547" i="16" s="1"/>
  <c r="K675" i="16"/>
  <c r="M786" i="16"/>
  <c r="P786" i="16" s="1"/>
  <c r="M805" i="16"/>
  <c r="P805" i="16" s="1"/>
  <c r="N657" i="16"/>
  <c r="K672" i="16"/>
  <c r="L688" i="16"/>
  <c r="O688" i="16" s="1"/>
  <c r="K669" i="16"/>
  <c r="L687" i="16"/>
  <c r="O687" i="16" s="1"/>
  <c r="L151" i="13"/>
  <c r="L149" i="13" s="1"/>
  <c r="N279" i="13"/>
  <c r="N277" i="13" s="1"/>
  <c r="J785" i="14"/>
  <c r="N121" i="15"/>
  <c r="N119" i="15" s="1"/>
  <c r="I275" i="15"/>
  <c r="K275" i="15" s="1"/>
  <c r="N330" i="15"/>
  <c r="N328" i="15" s="1"/>
  <c r="K360" i="15"/>
  <c r="K369" i="15"/>
  <c r="K385" i="15"/>
  <c r="I442" i="15"/>
  <c r="K442" i="15" s="1"/>
  <c r="I628" i="15"/>
  <c r="K628" i="15" s="1"/>
  <c r="K674" i="15"/>
  <c r="K720" i="15"/>
  <c r="M138" i="14"/>
  <c r="P138" i="14" s="1"/>
  <c r="L231" i="14"/>
  <c r="P353" i="14"/>
  <c r="M90" i="15"/>
  <c r="L125" i="15"/>
  <c r="O125" i="15" s="1"/>
  <c r="L167" i="15"/>
  <c r="L165" i="15" s="1"/>
  <c r="P184" i="15"/>
  <c r="K340" i="15"/>
  <c r="L546" i="15"/>
  <c r="O546" i="15" s="1"/>
  <c r="I433" i="12"/>
  <c r="I417" i="12" s="1"/>
  <c r="O157" i="13"/>
  <c r="M121" i="14"/>
  <c r="P121" i="14" s="1"/>
  <c r="L555" i="14"/>
  <c r="O555" i="14" s="1"/>
  <c r="L36" i="15"/>
  <c r="O36" i="15" s="1"/>
  <c r="I260" i="15"/>
  <c r="K260" i="15" s="1"/>
  <c r="K725" i="15"/>
  <c r="I276" i="12"/>
  <c r="K276" i="12" s="1"/>
  <c r="L43" i="13"/>
  <c r="L41" i="13" s="1"/>
  <c r="O58" i="14"/>
  <c r="L121" i="14"/>
  <c r="O121" i="14" s="1"/>
  <c r="O170" i="14"/>
  <c r="L391" i="14"/>
  <c r="L389" i="14" s="1"/>
  <c r="O389" i="14" s="1"/>
  <c r="M47" i="15"/>
  <c r="P47" i="15" s="1"/>
  <c r="P49" i="15"/>
  <c r="M91" i="15"/>
  <c r="P91" i="15" s="1"/>
  <c r="M155" i="15"/>
  <c r="P155" i="15" s="1"/>
  <c r="L238" i="15"/>
  <c r="O238" i="15" s="1"/>
  <c r="L263" i="15"/>
  <c r="L261" i="15" s="1"/>
  <c r="N300" i="15"/>
  <c r="N298" i="15" s="1"/>
  <c r="L318" i="15"/>
  <c r="O318" i="15" s="1"/>
  <c r="L330" i="15"/>
  <c r="L408" i="15"/>
  <c r="O408" i="15" s="1"/>
  <c r="I364" i="13"/>
  <c r="M318" i="14"/>
  <c r="P318" i="14" s="1"/>
  <c r="M321" i="14"/>
  <c r="P321" i="14" s="1"/>
  <c r="O353" i="14"/>
  <c r="L392" i="14"/>
  <c r="O392" i="14" s="1"/>
  <c r="P71" i="15"/>
  <c r="K99" i="15"/>
  <c r="M167" i="15"/>
  <c r="M165" i="15" s="1"/>
  <c r="P173" i="15"/>
  <c r="L183" i="15"/>
  <c r="L181" i="15" s="1"/>
  <c r="M267" i="15"/>
  <c r="P267" i="15" s="1"/>
  <c r="M304" i="15"/>
  <c r="P304" i="15" s="1"/>
  <c r="M318" i="15"/>
  <c r="P318" i="15" s="1"/>
  <c r="P350" i="15"/>
  <c r="M408" i="15"/>
  <c r="P408" i="15" s="1"/>
  <c r="I559" i="15"/>
  <c r="I543" i="15" s="1"/>
  <c r="N23" i="15"/>
  <c r="N13" i="15" s="1"/>
  <c r="K372" i="13"/>
  <c r="K244" i="14"/>
  <c r="N263" i="14"/>
  <c r="N261" i="14" s="1"/>
  <c r="N331" i="14"/>
  <c r="P331" i="14" s="1"/>
  <c r="P333" i="14"/>
  <c r="N47" i="15"/>
  <c r="N69" i="15"/>
  <c r="O69" i="15" s="1"/>
  <c r="O71" i="15"/>
  <c r="P168" i="15"/>
  <c r="L187" i="15"/>
  <c r="O187" i="15" s="1"/>
  <c r="M264" i="15"/>
  <c r="M283" i="15"/>
  <c r="P283" i="15" s="1"/>
  <c r="K365" i="15"/>
  <c r="L405" i="15"/>
  <c r="O405" i="15" s="1"/>
  <c r="K577" i="15"/>
  <c r="L230" i="13"/>
  <c r="L56" i="14"/>
  <c r="O56" i="14" s="1"/>
  <c r="L228" i="14"/>
  <c r="N267" i="14"/>
  <c r="L334" i="14"/>
  <c r="O334" i="14" s="1"/>
  <c r="I364" i="14"/>
  <c r="O397" i="14"/>
  <c r="K561" i="14"/>
  <c r="L657" i="14"/>
  <c r="L655" i="14" s="1"/>
  <c r="O655" i="14" s="1"/>
  <c r="M68" i="15"/>
  <c r="I77" i="15"/>
  <c r="L122" i="15"/>
  <c r="O122" i="15" s="1"/>
  <c r="L135" i="15"/>
  <c r="O135" i="15" s="1"/>
  <c r="J143" i="15"/>
  <c r="J131" i="15" s="1"/>
  <c r="O154" i="15"/>
  <c r="L171" i="15"/>
  <c r="O171" i="15" s="1"/>
  <c r="M187" i="15"/>
  <c r="P187" i="15" s="1"/>
  <c r="K204" i="15"/>
  <c r="L231" i="15"/>
  <c r="N264" i="15"/>
  <c r="O264" i="15" s="1"/>
  <c r="P266" i="15"/>
  <c r="L301" i="15"/>
  <c r="O301" i="15" s="1"/>
  <c r="L317" i="15"/>
  <c r="M391" i="15"/>
  <c r="P391" i="15" s="1"/>
  <c r="M405" i="15"/>
  <c r="P405" i="15" s="1"/>
  <c r="L454" i="15"/>
  <c r="O454" i="15" s="1"/>
  <c r="K462" i="15"/>
  <c r="O535" i="15"/>
  <c r="J721" i="12"/>
  <c r="L125" i="13"/>
  <c r="O125" i="13" s="1"/>
  <c r="L547" i="13"/>
  <c r="O547" i="13" s="1"/>
  <c r="P168" i="14"/>
  <c r="K176" i="14"/>
  <c r="P189" i="14"/>
  <c r="M391" i="14"/>
  <c r="M389" i="14" s="1"/>
  <c r="P389" i="14" s="1"/>
  <c r="K81" i="15"/>
  <c r="K98" i="15"/>
  <c r="I112" i="15"/>
  <c r="K112" i="15" s="1"/>
  <c r="N134" i="15"/>
  <c r="N132" i="15" s="1"/>
  <c r="K144" i="15"/>
  <c r="N151" i="15"/>
  <c r="N149" i="15" s="1"/>
  <c r="M151" i="15"/>
  <c r="M149" i="15" s="1"/>
  <c r="O189" i="15"/>
  <c r="L228" i="15"/>
  <c r="L267" i="15"/>
  <c r="O267" i="15" s="1"/>
  <c r="M301" i="15"/>
  <c r="P301" i="15" s="1"/>
  <c r="P303" i="15"/>
  <c r="M317" i="15"/>
  <c r="P333" i="15"/>
  <c r="K374" i="15"/>
  <c r="N391" i="15"/>
  <c r="N389" i="15" s="1"/>
  <c r="L404" i="15"/>
  <c r="O404" i="15" s="1"/>
  <c r="N405" i="15"/>
  <c r="P407" i="15"/>
  <c r="L470" i="15"/>
  <c r="O470" i="15" s="1"/>
  <c r="K569" i="15"/>
  <c r="L657" i="15"/>
  <c r="L655" i="15" s="1"/>
  <c r="O655" i="15" s="1"/>
  <c r="K726" i="15"/>
  <c r="N69" i="14"/>
  <c r="P71" i="14"/>
  <c r="O93" i="14"/>
  <c r="M167" i="14"/>
  <c r="M165" i="14" s="1"/>
  <c r="O266" i="14"/>
  <c r="O333" i="14"/>
  <c r="N391" i="14"/>
  <c r="N389" i="14" s="1"/>
  <c r="K621" i="14"/>
  <c r="O58" i="15"/>
  <c r="K87" i="15"/>
  <c r="O173" i="15"/>
  <c r="P189" i="15"/>
  <c r="L198" i="15"/>
  <c r="O198" i="15" s="1"/>
  <c r="L300" i="15"/>
  <c r="K828" i="12"/>
  <c r="L90" i="13"/>
  <c r="L88" i="13" s="1"/>
  <c r="L36" i="14"/>
  <c r="O36" i="14" s="1"/>
  <c r="L171" i="14"/>
  <c r="O171" i="14" s="1"/>
  <c r="M392" i="14"/>
  <c r="P392" i="14" s="1"/>
  <c r="I443" i="14"/>
  <c r="K443" i="14" s="1"/>
  <c r="J722" i="14"/>
  <c r="I785" i="14"/>
  <c r="L23" i="15"/>
  <c r="L21" i="15" s="1"/>
  <c r="I76" i="15"/>
  <c r="I64" i="15" s="1"/>
  <c r="K64" i="15" s="1"/>
  <c r="L90" i="15"/>
  <c r="N152" i="15"/>
  <c r="P152" i="15" s="1"/>
  <c r="O266" i="15"/>
  <c r="M279" i="15"/>
  <c r="I297" i="15"/>
  <c r="K297" i="15" s="1"/>
  <c r="K372" i="15"/>
  <c r="M395" i="15"/>
  <c r="P395" i="15" s="1"/>
  <c r="I522" i="15"/>
  <c r="K522" i="15" s="1"/>
  <c r="L525" i="15"/>
  <c r="O525" i="15" s="1"/>
  <c r="K561" i="15"/>
  <c r="K620" i="15"/>
  <c r="K174" i="15"/>
  <c r="I164" i="15"/>
  <c r="K164" i="15" s="1"/>
  <c r="O59" i="15"/>
  <c r="P59" i="15"/>
  <c r="L279" i="12"/>
  <c r="L277" i="12" s="1"/>
  <c r="N68" i="13"/>
  <c r="N66" i="13" s="1"/>
  <c r="M94" i="13"/>
  <c r="P94" i="13" s="1"/>
  <c r="K338" i="13"/>
  <c r="I87" i="14"/>
  <c r="K87" i="14" s="1"/>
  <c r="L90" i="14"/>
  <c r="L88" i="14" s="1"/>
  <c r="I112" i="14"/>
  <c r="K112" i="14" s="1"/>
  <c r="L249" i="14"/>
  <c r="O249" i="14" s="1"/>
  <c r="K360" i="14"/>
  <c r="L469" i="14"/>
  <c r="L467" i="14" s="1"/>
  <c r="O467" i="14" s="1"/>
  <c r="K822" i="14"/>
  <c r="K828" i="14"/>
  <c r="L26" i="15"/>
  <c r="O303" i="13"/>
  <c r="I208" i="15"/>
  <c r="K208" i="15" s="1"/>
  <c r="L300" i="12"/>
  <c r="L298" i="12" s="1"/>
  <c r="L55" i="13"/>
  <c r="L53" i="13" s="1"/>
  <c r="I260" i="13"/>
  <c r="K260" i="13" s="1"/>
  <c r="L279" i="13"/>
  <c r="O279" i="13" s="1"/>
  <c r="K340" i="13"/>
  <c r="K355" i="13"/>
  <c r="P46" i="14"/>
  <c r="L229" i="14"/>
  <c r="M279" i="14"/>
  <c r="M277" i="14" s="1"/>
  <c r="L301" i="14"/>
  <c r="O301" i="14" s="1"/>
  <c r="M334" i="14"/>
  <c r="P334" i="14" s="1"/>
  <c r="K369" i="14"/>
  <c r="N392" i="14"/>
  <c r="L429" i="14"/>
  <c r="O429" i="14" s="1"/>
  <c r="K823" i="14"/>
  <c r="M15" i="15"/>
  <c r="M23" i="15"/>
  <c r="M29" i="15"/>
  <c r="M31" i="15"/>
  <c r="P31" i="15" s="1"/>
  <c r="N34" i="15"/>
  <c r="L43" i="15"/>
  <c r="M26" i="15"/>
  <c r="M24" i="15" s="1"/>
  <c r="P61" i="15"/>
  <c r="K78" i="15"/>
  <c r="L94" i="15"/>
  <c r="O94" i="15" s="1"/>
  <c r="N135" i="15"/>
  <c r="K145" i="15"/>
  <c r="I143" i="15"/>
  <c r="L152" i="15"/>
  <c r="K176" i="15"/>
  <c r="K244" i="15"/>
  <c r="I237" i="15"/>
  <c r="I233" i="15"/>
  <c r="K233" i="15" s="1"/>
  <c r="L228" i="12"/>
  <c r="K338" i="12"/>
  <c r="P189" i="13"/>
  <c r="I216" i="13"/>
  <c r="K216" i="13" s="1"/>
  <c r="K370" i="13"/>
  <c r="M44" i="14"/>
  <c r="L151" i="14"/>
  <c r="O151" i="14" s="1"/>
  <c r="N183" i="14"/>
  <c r="N181" i="14" s="1"/>
  <c r="L198" i="14"/>
  <c r="O198" i="14" s="1"/>
  <c r="K338" i="14"/>
  <c r="J364" i="14"/>
  <c r="K370" i="14"/>
  <c r="K378" i="14"/>
  <c r="K381" i="14"/>
  <c r="J433" i="14"/>
  <c r="K433" i="14" s="1"/>
  <c r="L546" i="14"/>
  <c r="O546" i="14" s="1"/>
  <c r="K651" i="14"/>
  <c r="L788" i="14"/>
  <c r="O788" i="14" s="1"/>
  <c r="M12" i="15"/>
  <c r="O22" i="15"/>
  <c r="L19" i="15"/>
  <c r="L12" i="15"/>
  <c r="N31" i="15"/>
  <c r="P35" i="15"/>
  <c r="O49" i="15"/>
  <c r="O120" i="15"/>
  <c r="M134" i="15"/>
  <c r="L395" i="15"/>
  <c r="O395" i="15" s="1"/>
  <c r="O397" i="15"/>
  <c r="L391" i="15"/>
  <c r="O391" i="15" s="1"/>
  <c r="L68" i="14"/>
  <c r="O68" i="14" s="1"/>
  <c r="L134" i="14"/>
  <c r="O134" i="14" s="1"/>
  <c r="O137" i="14"/>
  <c r="L152" i="14"/>
  <c r="O152" i="14" s="1"/>
  <c r="L155" i="14"/>
  <c r="O155" i="14" s="1"/>
  <c r="I208" i="14"/>
  <c r="K208" i="14" s="1"/>
  <c r="L279" i="14"/>
  <c r="L277" i="14" s="1"/>
  <c r="J327" i="14"/>
  <c r="K327" i="14" s="1"/>
  <c r="L405" i="14"/>
  <c r="O405" i="14" s="1"/>
  <c r="N12" i="15"/>
  <c r="O61" i="15"/>
  <c r="M122" i="15"/>
  <c r="P122" i="15" s="1"/>
  <c r="P140" i="15"/>
  <c r="L151" i="15"/>
  <c r="N167" i="15"/>
  <c r="O170" i="15"/>
  <c r="N183" i="15"/>
  <c r="O186" i="15"/>
  <c r="L249" i="15"/>
  <c r="O249" i="15" s="1"/>
  <c r="L151" i="12"/>
  <c r="O151" i="12" s="1"/>
  <c r="L526" i="12"/>
  <c r="O526" i="12" s="1"/>
  <c r="P154" i="13"/>
  <c r="N167" i="13"/>
  <c r="N165" i="13" s="1"/>
  <c r="L33" i="13"/>
  <c r="O33" i="13" s="1"/>
  <c r="N55" i="14"/>
  <c r="N53" i="14" s="1"/>
  <c r="M55" i="14"/>
  <c r="M53" i="14" s="1"/>
  <c r="L125" i="14"/>
  <c r="O125" i="14" s="1"/>
  <c r="P137" i="14"/>
  <c r="O189" i="14"/>
  <c r="L217" i="14"/>
  <c r="O217" i="14" s="1"/>
  <c r="K340" i="14"/>
  <c r="P350" i="14"/>
  <c r="P351" i="14"/>
  <c r="K362" i="14"/>
  <c r="K374" i="14"/>
  <c r="K379" i="14"/>
  <c r="K560" i="14"/>
  <c r="K647" i="14"/>
  <c r="M19" i="15"/>
  <c r="L55" i="15"/>
  <c r="O89" i="15"/>
  <c r="L91" i="15"/>
  <c r="O91" i="15" s="1"/>
  <c r="L121" i="15"/>
  <c r="O121" i="15" s="1"/>
  <c r="P137" i="15"/>
  <c r="L155" i="15"/>
  <c r="O155" i="15" s="1"/>
  <c r="P170" i="15"/>
  <c r="P186" i="15"/>
  <c r="I190" i="15"/>
  <c r="K190" i="15" s="1"/>
  <c r="L229" i="15"/>
  <c r="K338" i="15"/>
  <c r="J327" i="15"/>
  <c r="K327" i="15" s="1"/>
  <c r="I434" i="15"/>
  <c r="K438" i="15"/>
  <c r="L334" i="15"/>
  <c r="O334" i="15" s="1"/>
  <c r="O336" i="15"/>
  <c r="L351" i="15"/>
  <c r="O351" i="15" s="1"/>
  <c r="O353" i="15"/>
  <c r="L422" i="15"/>
  <c r="O422" i="15" s="1"/>
  <c r="O424" i="15"/>
  <c r="L447" i="15"/>
  <c r="O447" i="15" s="1"/>
  <c r="O449" i="15"/>
  <c r="P771" i="15"/>
  <c r="M770" i="15"/>
  <c r="P770" i="15" s="1"/>
  <c r="O787" i="15"/>
  <c r="L786" i="15"/>
  <c r="O786" i="15" s="1"/>
  <c r="N317" i="15"/>
  <c r="N315" i="15" s="1"/>
  <c r="O329" i="15"/>
  <c r="M331" i="15"/>
  <c r="P331" i="15" s="1"/>
  <c r="O346" i="15"/>
  <c r="M348" i="15"/>
  <c r="P348" i="15" s="1"/>
  <c r="I248" i="15"/>
  <c r="K248" i="15" s="1"/>
  <c r="L280" i="15"/>
  <c r="O280" i="15" s="1"/>
  <c r="M334" i="15"/>
  <c r="P334" i="15" s="1"/>
  <c r="M351" i="15"/>
  <c r="P351" i="15" s="1"/>
  <c r="P525" i="15"/>
  <c r="M523" i="15"/>
  <c r="P523" i="15" s="1"/>
  <c r="J537" i="15"/>
  <c r="J522" i="15" s="1"/>
  <c r="L283" i="15"/>
  <c r="O283" i="15" s="1"/>
  <c r="K362" i="15"/>
  <c r="L392" i="15"/>
  <c r="O392" i="15" s="1"/>
  <c r="O394" i="15"/>
  <c r="O524" i="15"/>
  <c r="J543" i="15"/>
  <c r="L632" i="15"/>
  <c r="O632" i="15" s="1"/>
  <c r="O634" i="15"/>
  <c r="P687" i="15"/>
  <c r="M685" i="15"/>
  <c r="P685" i="15" s="1"/>
  <c r="K723" i="15"/>
  <c r="P738" i="15"/>
  <c r="M737" i="15"/>
  <c r="P737" i="15" s="1"/>
  <c r="I785" i="15"/>
  <c r="K785" i="15" s="1"/>
  <c r="K800" i="15"/>
  <c r="O806" i="15"/>
  <c r="L805" i="15"/>
  <c r="O805" i="15" s="1"/>
  <c r="J592" i="15"/>
  <c r="K592" i="15" s="1"/>
  <c r="K593" i="15"/>
  <c r="P755" i="15"/>
  <c r="M754" i="15"/>
  <c r="P754" i="15" s="1"/>
  <c r="L279" i="15"/>
  <c r="O279" i="15" s="1"/>
  <c r="M330" i="15"/>
  <c r="L331" i="15"/>
  <c r="O331" i="15" s="1"/>
  <c r="O333" i="15"/>
  <c r="M347" i="15"/>
  <c r="L348" i="15"/>
  <c r="O348" i="15" s="1"/>
  <c r="O350" i="15"/>
  <c r="O390" i="15"/>
  <c r="L421" i="15"/>
  <c r="O421" i="15" s="1"/>
  <c r="L446" i="15"/>
  <c r="N414" i="15"/>
  <c r="L477" i="15"/>
  <c r="O477" i="15" s="1"/>
  <c r="O479" i="15"/>
  <c r="L469" i="15"/>
  <c r="O469" i="15" s="1"/>
  <c r="O686" i="15"/>
  <c r="P788" i="15"/>
  <c r="M786" i="15"/>
  <c r="P786" i="15" s="1"/>
  <c r="P403" i="15"/>
  <c r="O528" i="15"/>
  <c r="L658" i="15"/>
  <c r="O658" i="15" s="1"/>
  <c r="O791" i="15"/>
  <c r="K675" i="15"/>
  <c r="M805" i="15"/>
  <c r="P805" i="15" s="1"/>
  <c r="J288" i="15"/>
  <c r="J275" i="15" s="1"/>
  <c r="M419" i="15"/>
  <c r="J433" i="15"/>
  <c r="J417" i="15" s="1"/>
  <c r="M444" i="15"/>
  <c r="P444" i="15" s="1"/>
  <c r="K672" i="15"/>
  <c r="L688" i="15"/>
  <c r="O688" i="15" s="1"/>
  <c r="K669" i="15"/>
  <c r="L687" i="15"/>
  <c r="O687" i="15" s="1"/>
  <c r="M404" i="13"/>
  <c r="M47" i="14"/>
  <c r="P47" i="14" s="1"/>
  <c r="M68" i="14"/>
  <c r="P74" i="14"/>
  <c r="K98" i="14"/>
  <c r="M134" i="14"/>
  <c r="P134" i="14" s="1"/>
  <c r="L168" i="14"/>
  <c r="O168" i="14" s="1"/>
  <c r="L184" i="14"/>
  <c r="I260" i="14"/>
  <c r="K260" i="14" s="1"/>
  <c r="L263" i="14"/>
  <c r="I275" i="14"/>
  <c r="M280" i="14"/>
  <c r="M283" i="14"/>
  <c r="P283" i="14" s="1"/>
  <c r="J288" i="14"/>
  <c r="J275" i="14" s="1"/>
  <c r="I314" i="14"/>
  <c r="K314" i="14" s="1"/>
  <c r="L347" i="14"/>
  <c r="M348" i="14"/>
  <c r="P348" i="14" s="1"/>
  <c r="O348" i="14"/>
  <c r="L408" i="14"/>
  <c r="O408" i="14" s="1"/>
  <c r="L421" i="14"/>
  <c r="O421" i="14" s="1"/>
  <c r="L446" i="14"/>
  <c r="L167" i="12"/>
  <c r="L165" i="12" s="1"/>
  <c r="L421" i="12"/>
  <c r="L419" i="12" s="1"/>
  <c r="P264" i="13"/>
  <c r="N404" i="13"/>
  <c r="N402" i="13" s="1"/>
  <c r="L33" i="14"/>
  <c r="O61" i="14"/>
  <c r="I76" i="14"/>
  <c r="I64" i="14" s="1"/>
  <c r="K64" i="14" s="1"/>
  <c r="N90" i="14"/>
  <c r="N88" i="14" s="1"/>
  <c r="L122" i="14"/>
  <c r="O122" i="14" s="1"/>
  <c r="I148" i="14"/>
  <c r="K148" i="14" s="1"/>
  <c r="L167" i="14"/>
  <c r="L165" i="14" s="1"/>
  <c r="L183" i="14"/>
  <c r="L181" i="14" s="1"/>
  <c r="N184" i="14"/>
  <c r="P184" i="14" s="1"/>
  <c r="L230" i="14"/>
  <c r="L264" i="14"/>
  <c r="O264" i="14" s="1"/>
  <c r="O285" i="14"/>
  <c r="I297" i="14"/>
  <c r="K297" i="14" s="1"/>
  <c r="L300" i="14"/>
  <c r="O300" i="14" s="1"/>
  <c r="O306" i="14"/>
  <c r="L330" i="14"/>
  <c r="M347" i="14"/>
  <c r="O350" i="14"/>
  <c r="P394" i="14"/>
  <c r="K435" i="14"/>
  <c r="K460" i="14"/>
  <c r="I522" i="14"/>
  <c r="K522" i="14" s="1"/>
  <c r="K543" i="14"/>
  <c r="K569" i="14"/>
  <c r="I592" i="14"/>
  <c r="K592" i="14" s="1"/>
  <c r="O168" i="13"/>
  <c r="L231" i="13"/>
  <c r="O285" i="13"/>
  <c r="O333" i="13"/>
  <c r="O351" i="13"/>
  <c r="N43" i="14"/>
  <c r="N41" i="14" s="1"/>
  <c r="L91" i="14"/>
  <c r="O91" i="14" s="1"/>
  <c r="O140" i="14"/>
  <c r="M183" i="14"/>
  <c r="P186" i="14"/>
  <c r="I216" i="14"/>
  <c r="K216" i="14" s="1"/>
  <c r="M330" i="14"/>
  <c r="N347" i="14"/>
  <c r="N345" i="14" s="1"/>
  <c r="L631" i="14"/>
  <c r="O660" i="14"/>
  <c r="L429" i="12"/>
  <c r="O429" i="12" s="1"/>
  <c r="L454" i="12"/>
  <c r="O454" i="12" s="1"/>
  <c r="K647" i="12"/>
  <c r="J722" i="12"/>
  <c r="M167" i="13"/>
  <c r="M165" i="13" s="1"/>
  <c r="K385" i="13"/>
  <c r="I130" i="14"/>
  <c r="K130" i="14" s="1"/>
  <c r="N151" i="14"/>
  <c r="N149" i="14" s="1"/>
  <c r="N167" i="14"/>
  <c r="P170" i="14"/>
  <c r="L209" i="14"/>
  <c r="O209" i="14" s="1"/>
  <c r="N300" i="14"/>
  <c r="N298" i="14" s="1"/>
  <c r="L351" i="14"/>
  <c r="O351" i="14" s="1"/>
  <c r="L404" i="14"/>
  <c r="O404" i="14" s="1"/>
  <c r="K559" i="14"/>
  <c r="L526" i="5"/>
  <c r="O526" i="5" s="1"/>
  <c r="M121" i="12"/>
  <c r="P121" i="12" s="1"/>
  <c r="K360" i="12"/>
  <c r="L546" i="12"/>
  <c r="L544" i="12" s="1"/>
  <c r="O544" i="12" s="1"/>
  <c r="L631" i="12"/>
  <c r="O631" i="12" s="1"/>
  <c r="M43" i="13"/>
  <c r="M41" i="13" s="1"/>
  <c r="O49" i="13"/>
  <c r="L59" i="13"/>
  <c r="O59" i="13" s="1"/>
  <c r="I112" i="13"/>
  <c r="K112" i="13" s="1"/>
  <c r="I148" i="13"/>
  <c r="K148" i="13" s="1"/>
  <c r="L404" i="13"/>
  <c r="L402" i="13" s="1"/>
  <c r="O402" i="13" s="1"/>
  <c r="N44" i="14"/>
  <c r="L55" i="14"/>
  <c r="K111" i="14"/>
  <c r="K801" i="14"/>
  <c r="N301" i="14"/>
  <c r="M43" i="12"/>
  <c r="M41" i="12" s="1"/>
  <c r="L68" i="12"/>
  <c r="L66" i="12" s="1"/>
  <c r="O66" i="12" s="1"/>
  <c r="L183" i="12"/>
  <c r="M59" i="13"/>
  <c r="P59" i="13" s="1"/>
  <c r="L68" i="13"/>
  <c r="O68" i="13" s="1"/>
  <c r="K78" i="13"/>
  <c r="M263" i="13"/>
  <c r="M261" i="13" s="1"/>
  <c r="N331" i="13"/>
  <c r="O331" i="13" s="1"/>
  <c r="L422" i="13"/>
  <c r="O422" i="13" s="1"/>
  <c r="K460" i="13"/>
  <c r="P22" i="14"/>
  <c r="M19" i="14"/>
  <c r="M12" i="14"/>
  <c r="P29" i="14"/>
  <c r="M28" i="14"/>
  <c r="P28" i="14" s="1"/>
  <c r="L44" i="14"/>
  <c r="O46" i="14"/>
  <c r="M59" i="14"/>
  <c r="P59" i="14" s="1"/>
  <c r="M26" i="14"/>
  <c r="P61" i="14"/>
  <c r="O89" i="14"/>
  <c r="M91" i="14"/>
  <c r="P91" i="14" s="1"/>
  <c r="P93" i="14"/>
  <c r="M267" i="14"/>
  <c r="P267" i="14" s="1"/>
  <c r="P269" i="14"/>
  <c r="N317" i="12"/>
  <c r="N315" i="12" s="1"/>
  <c r="L477" i="12"/>
  <c r="O477" i="12" s="1"/>
  <c r="O479" i="12"/>
  <c r="N134" i="13"/>
  <c r="N132" i="13" s="1"/>
  <c r="M151" i="13"/>
  <c r="M149" i="13" s="1"/>
  <c r="M155" i="13"/>
  <c r="P155" i="13" s="1"/>
  <c r="L167" i="13"/>
  <c r="O266" i="13"/>
  <c r="K287" i="13"/>
  <c r="M301" i="13"/>
  <c r="P301" i="13" s="1"/>
  <c r="L317" i="13"/>
  <c r="O317" i="13" s="1"/>
  <c r="K374" i="13"/>
  <c r="O424" i="13"/>
  <c r="J537" i="13"/>
  <c r="J522" i="13" s="1"/>
  <c r="O54" i="14"/>
  <c r="N26" i="14"/>
  <c r="M94" i="14"/>
  <c r="P94" i="14" s="1"/>
  <c r="P96" i="14"/>
  <c r="O120" i="14"/>
  <c r="M122" i="14"/>
  <c r="P122" i="14" s="1"/>
  <c r="P124" i="14"/>
  <c r="I190" i="14"/>
  <c r="K190" i="14" s="1"/>
  <c r="K237" i="14"/>
  <c r="M304" i="14"/>
  <c r="P304" i="14" s="1"/>
  <c r="P306" i="14"/>
  <c r="P503" i="14"/>
  <c r="M502" i="14"/>
  <c r="P502" i="14" s="1"/>
  <c r="M155" i="14"/>
  <c r="P155" i="14" s="1"/>
  <c r="P157" i="14"/>
  <c r="P278" i="14"/>
  <c r="M171" i="12"/>
  <c r="P171" i="12" s="1"/>
  <c r="L72" i="13"/>
  <c r="O72" i="13" s="1"/>
  <c r="M183" i="13"/>
  <c r="M181" i="13" s="1"/>
  <c r="I297" i="13"/>
  <c r="K297" i="13" s="1"/>
  <c r="M317" i="13"/>
  <c r="L330" i="13"/>
  <c r="L328" i="13" s="1"/>
  <c r="L36" i="13"/>
  <c r="L34" i="13" s="1"/>
  <c r="O34" i="13" s="1"/>
  <c r="K823" i="13"/>
  <c r="L23" i="14"/>
  <c r="L21" i="14" s="1"/>
  <c r="P35" i="14"/>
  <c r="M34" i="14"/>
  <c r="P34" i="14" s="1"/>
  <c r="L47" i="14"/>
  <c r="O47" i="14" s="1"/>
  <c r="O49" i="14"/>
  <c r="L26" i="14"/>
  <c r="M56" i="14"/>
  <c r="P56" i="14" s="1"/>
  <c r="P58" i="14"/>
  <c r="M125" i="14"/>
  <c r="P125" i="14" s="1"/>
  <c r="P127" i="14"/>
  <c r="K144" i="14"/>
  <c r="J143" i="14"/>
  <c r="J131" i="14" s="1"/>
  <c r="I164" i="14"/>
  <c r="K164" i="14" s="1"/>
  <c r="M300" i="14"/>
  <c r="P300" i="14" s="1"/>
  <c r="O22" i="14"/>
  <c r="L19" i="14"/>
  <c r="L12" i="14"/>
  <c r="O772" i="14"/>
  <c r="L770" i="14"/>
  <c r="O770" i="14" s="1"/>
  <c r="L69" i="12"/>
  <c r="O69" i="12" s="1"/>
  <c r="L155" i="12"/>
  <c r="O155" i="12" s="1"/>
  <c r="K374" i="12"/>
  <c r="I654" i="12"/>
  <c r="K654" i="12" s="1"/>
  <c r="P173" i="13"/>
  <c r="N317" i="13"/>
  <c r="N315" i="13" s="1"/>
  <c r="J327" i="13"/>
  <c r="K327" i="13" s="1"/>
  <c r="O353" i="13"/>
  <c r="K369" i="13"/>
  <c r="L391" i="13"/>
  <c r="O391" i="13" s="1"/>
  <c r="L687" i="13"/>
  <c r="L685" i="13" s="1"/>
  <c r="O685" i="13" s="1"/>
  <c r="P15" i="14"/>
  <c r="M23" i="14"/>
  <c r="M21" i="14" s="1"/>
  <c r="N31" i="14"/>
  <c r="N29" i="14"/>
  <c r="N28" i="14" s="1"/>
  <c r="N34" i="14"/>
  <c r="L69" i="14"/>
  <c r="O69" i="14" s="1"/>
  <c r="O71" i="14"/>
  <c r="N134" i="14"/>
  <c r="N132" i="14" s="1"/>
  <c r="K145" i="14"/>
  <c r="I143" i="14"/>
  <c r="M151" i="14"/>
  <c r="K255" i="14"/>
  <c r="I248" i="14"/>
  <c r="K248" i="14" s="1"/>
  <c r="I233" i="14"/>
  <c r="K233" i="14" s="1"/>
  <c r="M263" i="14"/>
  <c r="P266" i="14"/>
  <c r="M264" i="14"/>
  <c r="P264" i="14" s="1"/>
  <c r="M408" i="14"/>
  <c r="P408" i="14" s="1"/>
  <c r="P410" i="14"/>
  <c r="L72" i="14"/>
  <c r="O72" i="14" s="1"/>
  <c r="O74" i="14"/>
  <c r="N280" i="14"/>
  <c r="P282" i="14"/>
  <c r="N279" i="14"/>
  <c r="N277" i="14" s="1"/>
  <c r="O282" i="14"/>
  <c r="K672" i="12"/>
  <c r="O154" i="13"/>
  <c r="L183" i="13"/>
  <c r="L181" i="13" s="1"/>
  <c r="O264" i="13"/>
  <c r="O323" i="13"/>
  <c r="J364" i="13"/>
  <c r="K378" i="13"/>
  <c r="K381" i="13"/>
  <c r="L392" i="13"/>
  <c r="O392" i="13" s="1"/>
  <c r="L395" i="13"/>
  <c r="O395" i="13" s="1"/>
  <c r="M405" i="13"/>
  <c r="P405" i="13" s="1"/>
  <c r="M408" i="13"/>
  <c r="P408" i="13" s="1"/>
  <c r="I433" i="13"/>
  <c r="I417" i="13" s="1"/>
  <c r="L469" i="13"/>
  <c r="O469" i="13" s="1"/>
  <c r="K672" i="13"/>
  <c r="K821" i="13"/>
  <c r="K824" i="13"/>
  <c r="K827" i="13"/>
  <c r="N23" i="14"/>
  <c r="L43" i="14"/>
  <c r="P133" i="14"/>
  <c r="O150" i="14"/>
  <c r="M152" i="14"/>
  <c r="P152" i="14" s="1"/>
  <c r="P154" i="14"/>
  <c r="L238" i="14"/>
  <c r="O262" i="14"/>
  <c r="O323" i="14"/>
  <c r="L321" i="14"/>
  <c r="O321" i="14" s="1"/>
  <c r="L318" i="14"/>
  <c r="O318" i="14" s="1"/>
  <c r="K465" i="14"/>
  <c r="N502" i="14"/>
  <c r="O545" i="14"/>
  <c r="N547" i="14"/>
  <c r="K675" i="14"/>
  <c r="I654" i="14"/>
  <c r="K654" i="14" s="1"/>
  <c r="K674" i="14"/>
  <c r="K673" i="14"/>
  <c r="K669" i="14"/>
  <c r="K672" i="14"/>
  <c r="O690" i="14"/>
  <c r="L687" i="14"/>
  <c r="N772" i="14"/>
  <c r="N770" i="14" s="1"/>
  <c r="N773" i="14"/>
  <c r="I77" i="14"/>
  <c r="P656" i="14"/>
  <c r="M655" i="14"/>
  <c r="P655" i="14" s="1"/>
  <c r="N687" i="14"/>
  <c r="N685" i="14" s="1"/>
  <c r="N688" i="14"/>
  <c r="P806" i="14"/>
  <c r="M805" i="14"/>
  <c r="P805" i="14" s="1"/>
  <c r="I197" i="14"/>
  <c r="K197" i="14" s="1"/>
  <c r="P299" i="14"/>
  <c r="M301" i="14"/>
  <c r="P301" i="14" s="1"/>
  <c r="P303" i="14"/>
  <c r="J537" i="14"/>
  <c r="J522" i="14" s="1"/>
  <c r="K538" i="14"/>
  <c r="N544" i="14"/>
  <c r="N414" i="14" s="1"/>
  <c r="L754" i="14"/>
  <c r="O754" i="14" s="1"/>
  <c r="N756" i="14"/>
  <c r="N754" i="14" s="1"/>
  <c r="N757" i="14"/>
  <c r="M405" i="14"/>
  <c r="P405" i="14" s="1"/>
  <c r="P407" i="14"/>
  <c r="L547" i="14"/>
  <c r="O549" i="14"/>
  <c r="O739" i="14"/>
  <c r="L737" i="14"/>
  <c r="O737" i="14" s="1"/>
  <c r="P403" i="14"/>
  <c r="M414" i="14"/>
  <c r="P414" i="14" s="1"/>
  <c r="K440" i="14"/>
  <c r="I434" i="14"/>
  <c r="O535" i="14"/>
  <c r="L525" i="14"/>
  <c r="P546" i="14"/>
  <c r="M544" i="14"/>
  <c r="P544" i="14" s="1"/>
  <c r="K576" i="14"/>
  <c r="N739" i="14"/>
  <c r="N737" i="14" s="1"/>
  <c r="N740" i="14"/>
  <c r="L477" i="14"/>
  <c r="O477" i="14" s="1"/>
  <c r="L632" i="14"/>
  <c r="O632" i="14" s="1"/>
  <c r="J355" i="14"/>
  <c r="K355" i="14" s="1"/>
  <c r="I131" i="13"/>
  <c r="K131" i="13" s="1"/>
  <c r="K143" i="13"/>
  <c r="P135" i="12"/>
  <c r="L301" i="12"/>
  <c r="O301" i="12" s="1"/>
  <c r="P303" i="12"/>
  <c r="K649" i="12"/>
  <c r="M47" i="13"/>
  <c r="P47" i="13" s="1"/>
  <c r="K98" i="13"/>
  <c r="K115" i="13"/>
  <c r="M125" i="13"/>
  <c r="P125" i="13" s="1"/>
  <c r="K164" i="13"/>
  <c r="K255" i="13"/>
  <c r="M267" i="13"/>
  <c r="P267" i="13" s="1"/>
  <c r="M279" i="13"/>
  <c r="P279" i="13" s="1"/>
  <c r="L447" i="13"/>
  <c r="O447" i="13" s="1"/>
  <c r="K538" i="13"/>
  <c r="L122" i="12"/>
  <c r="O122" i="12" s="1"/>
  <c r="M134" i="12"/>
  <c r="M132" i="12" s="1"/>
  <c r="P301" i="12"/>
  <c r="L547" i="12"/>
  <c r="L26" i="13"/>
  <c r="M90" i="13"/>
  <c r="M88" i="13" s="1"/>
  <c r="L122" i="13"/>
  <c r="O122" i="13" s="1"/>
  <c r="K145" i="13"/>
  <c r="O184" i="13"/>
  <c r="I190" i="13"/>
  <c r="K190" i="13" s="1"/>
  <c r="K204" i="13"/>
  <c r="P269" i="13"/>
  <c r="M280" i="13"/>
  <c r="P280" i="13" s="1"/>
  <c r="L300" i="13"/>
  <c r="L304" i="13"/>
  <c r="O304" i="13" s="1"/>
  <c r="L334" i="13"/>
  <c r="O334" i="13" s="1"/>
  <c r="L347" i="13"/>
  <c r="L345" i="13" s="1"/>
  <c r="L477" i="13"/>
  <c r="O477" i="13" s="1"/>
  <c r="O479" i="13"/>
  <c r="O535" i="13"/>
  <c r="L632" i="13"/>
  <c r="O632" i="13" s="1"/>
  <c r="K673" i="13"/>
  <c r="J721" i="13"/>
  <c r="M47" i="12"/>
  <c r="P47" i="12" s="1"/>
  <c r="L72" i="12"/>
  <c r="O72" i="12" s="1"/>
  <c r="O74" i="12"/>
  <c r="M122" i="12"/>
  <c r="P122" i="12" s="1"/>
  <c r="L184" i="12"/>
  <c r="O184" i="12" s="1"/>
  <c r="O264" i="12"/>
  <c r="O303" i="12"/>
  <c r="L318" i="12"/>
  <c r="O318" i="12" s="1"/>
  <c r="M347" i="12"/>
  <c r="M345" i="12" s="1"/>
  <c r="L555" i="12"/>
  <c r="O555" i="12" s="1"/>
  <c r="M55" i="13"/>
  <c r="M53" i="13" s="1"/>
  <c r="L121" i="13"/>
  <c r="M122" i="13"/>
  <c r="P122" i="13" s="1"/>
  <c r="L152" i="13"/>
  <c r="O152" i="13" s="1"/>
  <c r="K176" i="13"/>
  <c r="N183" i="13"/>
  <c r="N181" i="13" s="1"/>
  <c r="K215" i="13"/>
  <c r="L228" i="13"/>
  <c r="L229" i="13"/>
  <c r="M300" i="13"/>
  <c r="P300" i="13" s="1"/>
  <c r="M304" i="13"/>
  <c r="P304" i="13" s="1"/>
  <c r="K325" i="13"/>
  <c r="O336" i="13"/>
  <c r="O350" i="13"/>
  <c r="I434" i="13"/>
  <c r="I559" i="13"/>
  <c r="I543" i="13" s="1"/>
  <c r="K543" i="13" s="1"/>
  <c r="K669" i="13"/>
  <c r="O140" i="12"/>
  <c r="O170" i="12"/>
  <c r="L304" i="12"/>
  <c r="O304" i="12" s="1"/>
  <c r="I443" i="12"/>
  <c r="K443" i="12" s="1"/>
  <c r="L525" i="12"/>
  <c r="O525" i="12" s="1"/>
  <c r="L657" i="12"/>
  <c r="K669" i="12"/>
  <c r="K821" i="12"/>
  <c r="O96" i="13"/>
  <c r="M121" i="13"/>
  <c r="M135" i="13"/>
  <c r="P135" i="13" s="1"/>
  <c r="M152" i="13"/>
  <c r="P152" i="13" s="1"/>
  <c r="O170" i="13"/>
  <c r="L209" i="13"/>
  <c r="O209" i="13" s="1"/>
  <c r="L217" i="13"/>
  <c r="O217" i="13" s="1"/>
  <c r="N300" i="13"/>
  <c r="N298" i="13" s="1"/>
  <c r="O320" i="13"/>
  <c r="K675" i="13"/>
  <c r="O690" i="13"/>
  <c r="O59" i="12"/>
  <c r="I364" i="12"/>
  <c r="L391" i="12"/>
  <c r="O391" i="12" s="1"/>
  <c r="O410" i="12"/>
  <c r="L447" i="12"/>
  <c r="O447" i="12" s="1"/>
  <c r="L639" i="12"/>
  <c r="O639" i="12" s="1"/>
  <c r="O71" i="13"/>
  <c r="N121" i="13"/>
  <c r="N119" i="13" s="1"/>
  <c r="P170" i="13"/>
  <c r="O186" i="13"/>
  <c r="P320" i="13"/>
  <c r="N330" i="13"/>
  <c r="N328" i="13" s="1"/>
  <c r="K360" i="13"/>
  <c r="K362" i="13"/>
  <c r="M391" i="13"/>
  <c r="P391" i="13" s="1"/>
  <c r="I443" i="13"/>
  <c r="K443" i="13" s="1"/>
  <c r="L525" i="13"/>
  <c r="O525" i="13" s="1"/>
  <c r="J722" i="13"/>
  <c r="I237" i="12"/>
  <c r="K237" i="12" s="1"/>
  <c r="I233" i="12"/>
  <c r="K233" i="12" s="1"/>
  <c r="K244" i="12"/>
  <c r="P67" i="13"/>
  <c r="P182" i="13"/>
  <c r="M30" i="13"/>
  <c r="P33" i="13"/>
  <c r="N19" i="13"/>
  <c r="N12" i="13"/>
  <c r="I130" i="12"/>
  <c r="K130" i="12" s="1"/>
  <c r="K146" i="12"/>
  <c r="M263" i="12"/>
  <c r="M261" i="12" s="1"/>
  <c r="J364" i="12"/>
  <c r="L405" i="12"/>
  <c r="O405" i="12" s="1"/>
  <c r="O407" i="12"/>
  <c r="L404" i="12"/>
  <c r="O404" i="12" s="1"/>
  <c r="O535" i="12"/>
  <c r="L36" i="12"/>
  <c r="O36" i="12" s="1"/>
  <c r="N56" i="13"/>
  <c r="O56" i="13" s="1"/>
  <c r="P58" i="13"/>
  <c r="O58" i="13"/>
  <c r="N55" i="13"/>
  <c r="N91" i="13"/>
  <c r="O91" i="13" s="1"/>
  <c r="O93" i="13"/>
  <c r="N90" i="13"/>
  <c r="N88" i="13" s="1"/>
  <c r="J143" i="13"/>
  <c r="J131" i="13" s="1"/>
  <c r="K144" i="13"/>
  <c r="O173" i="12"/>
  <c r="L171" i="12"/>
  <c r="O171" i="12" s="1"/>
  <c r="N348" i="12"/>
  <c r="N347" i="12"/>
  <c r="N345" i="12" s="1"/>
  <c r="N392" i="12"/>
  <c r="N391" i="12"/>
  <c r="N389" i="12" s="1"/>
  <c r="L29" i="13"/>
  <c r="O32" i="13"/>
  <c r="L12" i="13"/>
  <c r="N44" i="13"/>
  <c r="O44" i="13" s="1"/>
  <c r="N23" i="13"/>
  <c r="N21" i="13" s="1"/>
  <c r="O46" i="13"/>
  <c r="N43" i="13"/>
  <c r="N41" i="13" s="1"/>
  <c r="K87" i="13"/>
  <c r="L135" i="13"/>
  <c r="O135" i="13" s="1"/>
  <c r="O137" i="13"/>
  <c r="L23" i="13"/>
  <c r="L134" i="13"/>
  <c r="N155" i="13"/>
  <c r="N151" i="13"/>
  <c r="P166" i="13"/>
  <c r="P170" i="12"/>
  <c r="M168" i="12"/>
  <c r="P168" i="12" s="1"/>
  <c r="M167" i="12"/>
  <c r="M165" i="12" s="1"/>
  <c r="L331" i="12"/>
  <c r="O331" i="12" s="1"/>
  <c r="L330" i="12"/>
  <c r="K460" i="12"/>
  <c r="I442" i="12"/>
  <c r="K442" i="12" s="1"/>
  <c r="I77" i="13"/>
  <c r="K79" i="13"/>
  <c r="P140" i="13"/>
  <c r="M138" i="13"/>
  <c r="P138" i="13" s="1"/>
  <c r="M134" i="13"/>
  <c r="O93" i="12"/>
  <c r="O137" i="12"/>
  <c r="L263" i="12"/>
  <c r="L261" i="12" s="1"/>
  <c r="M300" i="12"/>
  <c r="M298" i="12" s="1"/>
  <c r="M304" i="12"/>
  <c r="P304" i="12" s="1"/>
  <c r="I314" i="12"/>
  <c r="K314" i="12" s="1"/>
  <c r="M330" i="12"/>
  <c r="K355" i="12"/>
  <c r="K369" i="12"/>
  <c r="K372" i="12"/>
  <c r="I592" i="12"/>
  <c r="K592" i="12" s="1"/>
  <c r="K824" i="12"/>
  <c r="M26" i="13"/>
  <c r="M31" i="13"/>
  <c r="P31" i="13" s="1"/>
  <c r="M72" i="13"/>
  <c r="P72" i="13" s="1"/>
  <c r="K99" i="13"/>
  <c r="K174" i="13"/>
  <c r="L238" i="13"/>
  <c r="N263" i="13"/>
  <c r="P266" i="13"/>
  <c r="J288" i="13"/>
  <c r="J275" i="13" s="1"/>
  <c r="I275" i="13"/>
  <c r="K275" i="13" s="1"/>
  <c r="P336" i="13"/>
  <c r="M334" i="13"/>
  <c r="P334" i="13" s="1"/>
  <c r="M330" i="13"/>
  <c r="M328" i="13" s="1"/>
  <c r="N348" i="13"/>
  <c r="O348" i="13" s="1"/>
  <c r="O755" i="13"/>
  <c r="L754" i="13"/>
  <c r="O754" i="13" s="1"/>
  <c r="M23" i="12"/>
  <c r="P93" i="12"/>
  <c r="L198" i="12"/>
  <c r="O198" i="12" s="1"/>
  <c r="L238" i="12"/>
  <c r="O238" i="12" s="1"/>
  <c r="L229" i="12"/>
  <c r="I260" i="12"/>
  <c r="K260" i="12" s="1"/>
  <c r="L267" i="12"/>
  <c r="O267" i="12" s="1"/>
  <c r="L321" i="12"/>
  <c r="O321" i="12" s="1"/>
  <c r="K385" i="12"/>
  <c r="L33" i="12"/>
  <c r="O33" i="12" s="1"/>
  <c r="K822" i="12"/>
  <c r="M12" i="13"/>
  <c r="M19" i="13"/>
  <c r="N26" i="13"/>
  <c r="N16" i="13" s="1"/>
  <c r="N14" i="13" s="1"/>
  <c r="M69" i="13"/>
  <c r="P69" i="13" s="1"/>
  <c r="P93" i="13"/>
  <c r="O140" i="13"/>
  <c r="M168" i="13"/>
  <c r="P168" i="13" s="1"/>
  <c r="M184" i="13"/>
  <c r="P184" i="13" s="1"/>
  <c r="N227" i="13"/>
  <c r="P285" i="13"/>
  <c r="M283" i="13"/>
  <c r="P283" i="13" s="1"/>
  <c r="O788" i="13"/>
  <c r="L786" i="13"/>
  <c r="O786" i="13" s="1"/>
  <c r="P390" i="13"/>
  <c r="I77" i="12"/>
  <c r="I65" i="12" s="1"/>
  <c r="K65" i="12" s="1"/>
  <c r="L198" i="13"/>
  <c r="O198" i="13" s="1"/>
  <c r="K244" i="13"/>
  <c r="I237" i="13"/>
  <c r="N392" i="13"/>
  <c r="N391" i="13"/>
  <c r="N389" i="13" s="1"/>
  <c r="N280" i="13"/>
  <c r="N805" i="13"/>
  <c r="N414" i="13" s="1"/>
  <c r="M44" i="12"/>
  <c r="L47" i="12"/>
  <c r="O47" i="12" s="1"/>
  <c r="M69" i="12"/>
  <c r="P69" i="12" s="1"/>
  <c r="K79" i="12"/>
  <c r="L94" i="12"/>
  <c r="O94" i="12" s="1"/>
  <c r="M125" i="12"/>
  <c r="P125" i="12" s="1"/>
  <c r="L135" i="12"/>
  <c r="O135" i="12" s="1"/>
  <c r="M183" i="12"/>
  <c r="M181" i="12" s="1"/>
  <c r="L230" i="12"/>
  <c r="I275" i="12"/>
  <c r="O285" i="12"/>
  <c r="L317" i="12"/>
  <c r="O317" i="12" s="1"/>
  <c r="O350" i="12"/>
  <c r="O353" i="12"/>
  <c r="K359" i="12"/>
  <c r="K378" i="12"/>
  <c r="K381" i="12"/>
  <c r="M391" i="12"/>
  <c r="P391" i="12" s="1"/>
  <c r="K568" i="12"/>
  <c r="K674" i="12"/>
  <c r="K823" i="12"/>
  <c r="L15" i="13"/>
  <c r="M23" i="13"/>
  <c r="P32" i="13"/>
  <c r="M68" i="13"/>
  <c r="P68" i="13" s="1"/>
  <c r="O173" i="13"/>
  <c r="O189" i="13"/>
  <c r="K225" i="13"/>
  <c r="I233" i="13"/>
  <c r="K233" i="13" s="1"/>
  <c r="O269" i="13"/>
  <c r="L280" i="13"/>
  <c r="O280" i="13" s="1"/>
  <c r="O282" i="13"/>
  <c r="O346" i="13"/>
  <c r="K701" i="11"/>
  <c r="I112" i="12"/>
  <c r="K112" i="12" s="1"/>
  <c r="M408" i="12"/>
  <c r="P408" i="12" s="1"/>
  <c r="O690" i="12"/>
  <c r="P46" i="13"/>
  <c r="L249" i="13"/>
  <c r="O249" i="13" s="1"/>
  <c r="L263" i="13"/>
  <c r="N347" i="13"/>
  <c r="P333" i="13"/>
  <c r="M331" i="13"/>
  <c r="P353" i="13"/>
  <c r="M351" i="13"/>
  <c r="P351" i="13" s="1"/>
  <c r="K359" i="13"/>
  <c r="K365" i="13"/>
  <c r="O410" i="13"/>
  <c r="P420" i="13"/>
  <c r="L429" i="13"/>
  <c r="O429" i="13" s="1"/>
  <c r="O431" i="13"/>
  <c r="L421" i="13"/>
  <c r="O771" i="13"/>
  <c r="L770" i="13"/>
  <c r="O770" i="13" s="1"/>
  <c r="K379" i="13"/>
  <c r="L526" i="13"/>
  <c r="O526" i="13" s="1"/>
  <c r="O528" i="13"/>
  <c r="P545" i="13"/>
  <c r="M544" i="13"/>
  <c r="P544" i="13" s="1"/>
  <c r="L639" i="13"/>
  <c r="O639" i="13" s="1"/>
  <c r="O641" i="13"/>
  <c r="L631" i="13"/>
  <c r="L789" i="13"/>
  <c r="O789" i="13" s="1"/>
  <c r="O791" i="13"/>
  <c r="O807" i="13"/>
  <c r="L805" i="13"/>
  <c r="O805" i="13" s="1"/>
  <c r="P739" i="13"/>
  <c r="M737" i="13"/>
  <c r="P737" i="13" s="1"/>
  <c r="N807" i="13"/>
  <c r="N808" i="13"/>
  <c r="L454" i="13"/>
  <c r="O454" i="13" s="1"/>
  <c r="O456" i="13"/>
  <c r="L446" i="13"/>
  <c r="O738" i="13"/>
  <c r="L737" i="13"/>
  <c r="O737" i="13" s="1"/>
  <c r="P756" i="13"/>
  <c r="M754" i="13"/>
  <c r="P754" i="13" s="1"/>
  <c r="O316" i="13"/>
  <c r="P323" i="13"/>
  <c r="P350" i="13"/>
  <c r="M348" i="13"/>
  <c r="O407" i="13"/>
  <c r="P419" i="13"/>
  <c r="P772" i="13"/>
  <c r="M770" i="13"/>
  <c r="P770" i="13" s="1"/>
  <c r="M392" i="13"/>
  <c r="P392" i="13" s="1"/>
  <c r="M395" i="13"/>
  <c r="P395" i="13" s="1"/>
  <c r="L470" i="13"/>
  <c r="O470" i="13" s="1"/>
  <c r="L555" i="13"/>
  <c r="O555" i="13" s="1"/>
  <c r="L658" i="13"/>
  <c r="O658" i="13" s="1"/>
  <c r="J433" i="13"/>
  <c r="J417" i="13" s="1"/>
  <c r="K537" i="13"/>
  <c r="L546" i="13"/>
  <c r="K593" i="13"/>
  <c r="K288" i="12"/>
  <c r="J275" i="12"/>
  <c r="O58" i="12"/>
  <c r="M72" i="12"/>
  <c r="P72" i="12" s="1"/>
  <c r="M90" i="12"/>
  <c r="M94" i="12"/>
  <c r="P94" i="12" s="1"/>
  <c r="K115" i="12"/>
  <c r="P138" i="12"/>
  <c r="I174" i="12"/>
  <c r="I164" i="12" s="1"/>
  <c r="K164" i="12" s="1"/>
  <c r="O186" i="12"/>
  <c r="I197" i="12"/>
  <c r="K197" i="12" s="1"/>
  <c r="L231" i="12"/>
  <c r="L249" i="12"/>
  <c r="O249" i="12" s="1"/>
  <c r="P285" i="12"/>
  <c r="I297" i="12"/>
  <c r="K297" i="12" s="1"/>
  <c r="N300" i="12"/>
  <c r="L334" i="12"/>
  <c r="O334" i="12" s="1"/>
  <c r="L347" i="12"/>
  <c r="M404" i="12"/>
  <c r="P407" i="12"/>
  <c r="L446" i="12"/>
  <c r="O446" i="12" s="1"/>
  <c r="K673" i="12"/>
  <c r="L688" i="12"/>
  <c r="O688" i="12" s="1"/>
  <c r="K827" i="12"/>
  <c r="N55" i="12"/>
  <c r="N53" i="12" s="1"/>
  <c r="P58" i="12"/>
  <c r="N90" i="12"/>
  <c r="N88" i="12" s="1"/>
  <c r="P137" i="12"/>
  <c r="N183" i="12"/>
  <c r="N181" i="12" s="1"/>
  <c r="P186" i="12"/>
  <c r="O266" i="12"/>
  <c r="M317" i="12"/>
  <c r="K379" i="12"/>
  <c r="N404" i="12"/>
  <c r="N402" i="12" s="1"/>
  <c r="K651" i="12"/>
  <c r="N26" i="12"/>
  <c r="N24" i="12" s="1"/>
  <c r="M26" i="12"/>
  <c r="M16" i="12" s="1"/>
  <c r="L43" i="12"/>
  <c r="L41" i="12" s="1"/>
  <c r="P56" i="12"/>
  <c r="L134" i="12"/>
  <c r="L132" i="12" s="1"/>
  <c r="L138" i="12"/>
  <c r="O138" i="12" s="1"/>
  <c r="J327" i="12"/>
  <c r="K327" i="12" s="1"/>
  <c r="M318" i="12"/>
  <c r="P318" i="12" s="1"/>
  <c r="L23" i="12"/>
  <c r="I76" i="12"/>
  <c r="I64" i="12" s="1"/>
  <c r="K64" i="12" s="1"/>
  <c r="M91" i="12"/>
  <c r="P91" i="12" s="1"/>
  <c r="P140" i="12"/>
  <c r="I148" i="12"/>
  <c r="K148" i="12" s="1"/>
  <c r="M184" i="12"/>
  <c r="P184" i="12" s="1"/>
  <c r="L187" i="12"/>
  <c r="O187" i="12" s="1"/>
  <c r="K215" i="12"/>
  <c r="M279" i="12"/>
  <c r="M277" i="12" s="1"/>
  <c r="O282" i="12"/>
  <c r="L348" i="12"/>
  <c r="L395" i="12"/>
  <c r="O395" i="12" s="1"/>
  <c r="I434" i="12"/>
  <c r="I559" i="12"/>
  <c r="I543" i="12" s="1"/>
  <c r="K561" i="12"/>
  <c r="P46" i="12"/>
  <c r="M68" i="12"/>
  <c r="K99" i="12"/>
  <c r="N121" i="12"/>
  <c r="N119" i="12" s="1"/>
  <c r="N134" i="12"/>
  <c r="N151" i="12"/>
  <c r="N149" i="12" s="1"/>
  <c r="M151" i="12"/>
  <c r="M149" i="12" s="1"/>
  <c r="N167" i="12"/>
  <c r="N165" i="12" s="1"/>
  <c r="M187" i="12"/>
  <c r="P187" i="12" s="1"/>
  <c r="I190" i="12"/>
  <c r="K190" i="12" s="1"/>
  <c r="L209" i="12"/>
  <c r="O209" i="12" s="1"/>
  <c r="I216" i="12"/>
  <c r="K216" i="12" s="1"/>
  <c r="L217" i="12"/>
  <c r="O217" i="12" s="1"/>
  <c r="K340" i="12"/>
  <c r="L351" i="12"/>
  <c r="O351" i="12" s="1"/>
  <c r="K365" i="12"/>
  <c r="K370" i="12"/>
  <c r="K594" i="12"/>
  <c r="L788" i="12"/>
  <c r="O788" i="12" s="1"/>
  <c r="I131" i="12"/>
  <c r="M9" i="12"/>
  <c r="K248" i="12"/>
  <c r="O15" i="12"/>
  <c r="L56" i="12"/>
  <c r="O56" i="12" s="1"/>
  <c r="P25" i="12"/>
  <c r="M15" i="12"/>
  <c r="N43" i="12"/>
  <c r="O46" i="12"/>
  <c r="K80" i="12"/>
  <c r="K145" i="12"/>
  <c r="L125" i="12"/>
  <c r="O125" i="12" s="1"/>
  <c r="N155" i="12"/>
  <c r="N280" i="12"/>
  <c r="P282" i="12"/>
  <c r="L19" i="12"/>
  <c r="L91" i="12"/>
  <c r="O91" i="12" s="1"/>
  <c r="L152" i="12"/>
  <c r="O152" i="12" s="1"/>
  <c r="O154" i="12"/>
  <c r="K255" i="12"/>
  <c r="N263" i="12"/>
  <c r="N44" i="12"/>
  <c r="N23" i="12"/>
  <c r="L121" i="12"/>
  <c r="P12" i="12"/>
  <c r="M19" i="12"/>
  <c r="O25" i="12"/>
  <c r="M30" i="12"/>
  <c r="P30" i="12" s="1"/>
  <c r="P32" i="12"/>
  <c r="M29" i="12"/>
  <c r="L55" i="12"/>
  <c r="L26" i="12"/>
  <c r="O61" i="12"/>
  <c r="N68" i="12"/>
  <c r="N66" i="12" s="1"/>
  <c r="L90" i="12"/>
  <c r="K100" i="12"/>
  <c r="P152" i="12"/>
  <c r="P154" i="12"/>
  <c r="L168" i="12"/>
  <c r="O168" i="12" s="1"/>
  <c r="M264" i="12"/>
  <c r="P264" i="12" s="1"/>
  <c r="P266" i="12"/>
  <c r="N279" i="12"/>
  <c r="N277" i="12" s="1"/>
  <c r="N421" i="12"/>
  <c r="N419" i="12" s="1"/>
  <c r="N422" i="12"/>
  <c r="O422" i="12" s="1"/>
  <c r="K701" i="9"/>
  <c r="O22" i="12"/>
  <c r="M55" i="12"/>
  <c r="P59" i="12"/>
  <c r="P61" i="12"/>
  <c r="K87" i="12"/>
  <c r="I86" i="12"/>
  <c r="K86" i="12" s="1"/>
  <c r="K98" i="12"/>
  <c r="J143" i="12"/>
  <c r="J131" i="12" s="1"/>
  <c r="P150" i="12"/>
  <c r="P262" i="12"/>
  <c r="O420" i="12"/>
  <c r="L12" i="12"/>
  <c r="M155" i="12"/>
  <c r="P155" i="12" s="1"/>
  <c r="P157" i="12"/>
  <c r="M267" i="12"/>
  <c r="P267" i="12" s="1"/>
  <c r="P269" i="12"/>
  <c r="M348" i="12"/>
  <c r="P350" i="12"/>
  <c r="M392" i="12"/>
  <c r="P392" i="12" s="1"/>
  <c r="P394" i="12"/>
  <c r="L470" i="12"/>
  <c r="O470" i="12" s="1"/>
  <c r="O472" i="12"/>
  <c r="I522" i="12"/>
  <c r="K522" i="12" s="1"/>
  <c r="K537" i="12"/>
  <c r="J543" i="12"/>
  <c r="K577" i="12"/>
  <c r="L632" i="12"/>
  <c r="O632" i="12" s="1"/>
  <c r="O634" i="12"/>
  <c r="N685" i="12"/>
  <c r="P771" i="12"/>
  <c r="M770" i="12"/>
  <c r="P770" i="12" s="1"/>
  <c r="O787" i="12"/>
  <c r="N789" i="12"/>
  <c r="O346" i="12"/>
  <c r="M351" i="12"/>
  <c r="P351" i="12" s="1"/>
  <c r="P353" i="12"/>
  <c r="K362" i="12"/>
  <c r="O390" i="12"/>
  <c r="M395" i="12"/>
  <c r="P395" i="12" s="1"/>
  <c r="P397" i="12"/>
  <c r="O549" i="12"/>
  <c r="N546" i="12"/>
  <c r="N544" i="12" s="1"/>
  <c r="N547" i="12"/>
  <c r="K628" i="12"/>
  <c r="N770" i="12"/>
  <c r="M331" i="12"/>
  <c r="P331" i="12" s="1"/>
  <c r="P333" i="12"/>
  <c r="P446" i="12"/>
  <c r="M444" i="12"/>
  <c r="P444" i="12" s="1"/>
  <c r="P524" i="12"/>
  <c r="M523" i="12"/>
  <c r="P523" i="12" s="1"/>
  <c r="P738" i="12"/>
  <c r="M737" i="12"/>
  <c r="P737" i="12" s="1"/>
  <c r="M334" i="12"/>
  <c r="P334" i="12" s="1"/>
  <c r="P336" i="12"/>
  <c r="O421" i="12"/>
  <c r="O445" i="12"/>
  <c r="P687" i="12"/>
  <c r="M685" i="12"/>
  <c r="P685" i="12" s="1"/>
  <c r="I785" i="12"/>
  <c r="K785" i="12" s="1"/>
  <c r="K800" i="12"/>
  <c r="O806" i="12"/>
  <c r="L805" i="12"/>
  <c r="O805" i="12" s="1"/>
  <c r="O329" i="12"/>
  <c r="P421" i="12"/>
  <c r="M419" i="12"/>
  <c r="O424" i="12"/>
  <c r="K466" i="12"/>
  <c r="O504" i="12"/>
  <c r="L502" i="12"/>
  <c r="O502" i="12" s="1"/>
  <c r="N504" i="12"/>
  <c r="N502" i="12" s="1"/>
  <c r="N505" i="12"/>
  <c r="O686" i="12"/>
  <c r="L685" i="12"/>
  <c r="O685" i="12" s="1"/>
  <c r="P755" i="12"/>
  <c r="M754" i="12"/>
  <c r="P754" i="12" s="1"/>
  <c r="P323" i="12"/>
  <c r="J537" i="12"/>
  <c r="J522" i="12" s="1"/>
  <c r="P545" i="12"/>
  <c r="P656" i="12"/>
  <c r="O791" i="12"/>
  <c r="O333" i="12"/>
  <c r="O394" i="12"/>
  <c r="J433" i="12"/>
  <c r="L533" i="12"/>
  <c r="O533" i="12" s="1"/>
  <c r="M786" i="12"/>
  <c r="P786" i="12" s="1"/>
  <c r="M805" i="12"/>
  <c r="P805" i="12" s="1"/>
  <c r="L429" i="5"/>
  <c r="O429" i="5" s="1"/>
  <c r="L454" i="6"/>
  <c r="O454" i="6" s="1"/>
  <c r="L477" i="9"/>
  <c r="O477" i="9" s="1"/>
  <c r="L658" i="5"/>
  <c r="O658" i="5" s="1"/>
  <c r="I130" i="8"/>
  <c r="K130" i="8" s="1"/>
  <c r="K378" i="10"/>
  <c r="K381" i="10"/>
  <c r="M94" i="11"/>
  <c r="P94" i="11" s="1"/>
  <c r="L429" i="11"/>
  <c r="O429" i="11" s="1"/>
  <c r="L639" i="8"/>
  <c r="O639" i="8" s="1"/>
  <c r="L658" i="6"/>
  <c r="O658" i="6" s="1"/>
  <c r="O96" i="11"/>
  <c r="N121" i="9"/>
  <c r="N119" i="9" s="1"/>
  <c r="M121" i="11"/>
  <c r="P121" i="11" s="1"/>
  <c r="O138" i="11"/>
  <c r="P186" i="11"/>
  <c r="L229" i="9"/>
  <c r="I143" i="11"/>
  <c r="I131" i="11" s="1"/>
  <c r="L657" i="7"/>
  <c r="O657" i="7" s="1"/>
  <c r="L657" i="11"/>
  <c r="O657" i="11" s="1"/>
  <c r="O660" i="11"/>
  <c r="O49" i="11"/>
  <c r="I87" i="11"/>
  <c r="K87" i="11" s="1"/>
  <c r="K99" i="11"/>
  <c r="L121" i="9"/>
  <c r="M152" i="11"/>
  <c r="M151" i="11"/>
  <c r="N151" i="11"/>
  <c r="N149" i="11" s="1"/>
  <c r="L405" i="11"/>
  <c r="O405" i="11" s="1"/>
  <c r="L421" i="11"/>
  <c r="L419" i="11" s="1"/>
  <c r="L658" i="11"/>
  <c r="O658" i="11" s="1"/>
  <c r="I197" i="11"/>
  <c r="K197" i="11" s="1"/>
  <c r="K204" i="11"/>
  <c r="M122" i="11"/>
  <c r="P122" i="11" s="1"/>
  <c r="I276" i="11"/>
  <c r="K276" i="11" s="1"/>
  <c r="J143" i="11"/>
  <c r="J131" i="11" s="1"/>
  <c r="P184" i="10"/>
  <c r="O348" i="10"/>
  <c r="L217" i="11"/>
  <c r="O217" i="11" s="1"/>
  <c r="L36" i="11"/>
  <c r="O36" i="11" s="1"/>
  <c r="K699" i="11"/>
  <c r="K728" i="11"/>
  <c r="P124" i="11"/>
  <c r="K385" i="11"/>
  <c r="N391" i="11"/>
  <c r="N389" i="11" s="1"/>
  <c r="N404" i="11"/>
  <c r="N402" i="11" s="1"/>
  <c r="L90" i="11"/>
  <c r="L88" i="11" s="1"/>
  <c r="P303" i="11"/>
  <c r="K372" i="11"/>
  <c r="J785" i="11"/>
  <c r="M43" i="9"/>
  <c r="O266" i="11"/>
  <c r="L304" i="11"/>
  <c r="O304" i="11" s="1"/>
  <c r="K621" i="11"/>
  <c r="M304" i="11"/>
  <c r="P304" i="11" s="1"/>
  <c r="I559" i="11"/>
  <c r="I543" i="11" s="1"/>
  <c r="K543" i="11" s="1"/>
  <c r="K801" i="11"/>
  <c r="N184" i="11"/>
  <c r="P184" i="11" s="1"/>
  <c r="K193" i="11"/>
  <c r="L198" i="11"/>
  <c r="O198" i="11" s="1"/>
  <c r="I433" i="11"/>
  <c r="I417" i="11" s="1"/>
  <c r="N43" i="9"/>
  <c r="N41" i="9" s="1"/>
  <c r="K822" i="10"/>
  <c r="M187" i="11"/>
  <c r="P187" i="11" s="1"/>
  <c r="N263" i="11"/>
  <c r="K360" i="11"/>
  <c r="K370" i="11"/>
  <c r="K378" i="11"/>
  <c r="K381" i="11"/>
  <c r="J722" i="11"/>
  <c r="K722" i="11" s="1"/>
  <c r="L122" i="9"/>
  <c r="O122" i="9" s="1"/>
  <c r="L125" i="9"/>
  <c r="O125" i="9" s="1"/>
  <c r="L134" i="11"/>
  <c r="L132" i="11" s="1"/>
  <c r="L138" i="9"/>
  <c r="O138" i="9" s="1"/>
  <c r="M68" i="11"/>
  <c r="M66" i="11" s="1"/>
  <c r="P91" i="11"/>
  <c r="L300" i="11"/>
  <c r="L298" i="11" s="1"/>
  <c r="N55" i="11"/>
  <c r="N53" i="11" s="1"/>
  <c r="L167" i="11"/>
  <c r="L165" i="11" s="1"/>
  <c r="M183" i="11"/>
  <c r="M181" i="11" s="1"/>
  <c r="I248" i="11"/>
  <c r="K248" i="11" s="1"/>
  <c r="O351" i="11"/>
  <c r="P173" i="11"/>
  <c r="I233" i="11"/>
  <c r="K233" i="11" s="1"/>
  <c r="I237" i="11"/>
  <c r="K237" i="11" s="1"/>
  <c r="N279" i="11"/>
  <c r="N277" i="11" s="1"/>
  <c r="L321" i="11"/>
  <c r="O321" i="11" s="1"/>
  <c r="M334" i="11"/>
  <c r="P334" i="11" s="1"/>
  <c r="P394" i="11"/>
  <c r="L546" i="11"/>
  <c r="O546" i="11" s="1"/>
  <c r="M47" i="11"/>
  <c r="P47" i="11" s="1"/>
  <c r="N90" i="11"/>
  <c r="N88" i="11" s="1"/>
  <c r="O154" i="11"/>
  <c r="O186" i="11"/>
  <c r="L231" i="11"/>
  <c r="K325" i="11"/>
  <c r="L404" i="11"/>
  <c r="O404" i="11" s="1"/>
  <c r="K700" i="11"/>
  <c r="K803" i="11"/>
  <c r="K824" i="11"/>
  <c r="L546" i="10"/>
  <c r="O546" i="10" s="1"/>
  <c r="O58" i="11"/>
  <c r="O61" i="11"/>
  <c r="P69" i="11"/>
  <c r="K374" i="11"/>
  <c r="K379" i="11"/>
  <c r="L209" i="11"/>
  <c r="O209" i="11" s="1"/>
  <c r="K628" i="11"/>
  <c r="K726" i="11"/>
  <c r="L183" i="10"/>
  <c r="L181" i="10" s="1"/>
  <c r="M55" i="11"/>
  <c r="M53" i="11" s="1"/>
  <c r="P61" i="11"/>
  <c r="N68" i="11"/>
  <c r="N66" i="11" s="1"/>
  <c r="M167" i="11"/>
  <c r="M165" i="11" s="1"/>
  <c r="N183" i="11"/>
  <c r="N181" i="11" s="1"/>
  <c r="L263" i="11"/>
  <c r="L261" i="11" s="1"/>
  <c r="L301" i="11"/>
  <c r="O301" i="11" s="1"/>
  <c r="M318" i="11"/>
  <c r="P318" i="11" s="1"/>
  <c r="P350" i="11"/>
  <c r="O472" i="11"/>
  <c r="M125" i="11"/>
  <c r="P125" i="11" s="1"/>
  <c r="M263" i="11"/>
  <c r="M261" i="11" s="1"/>
  <c r="M301" i="11"/>
  <c r="P301" i="11" s="1"/>
  <c r="O331" i="11"/>
  <c r="O353" i="11"/>
  <c r="J364" i="11"/>
  <c r="O394" i="11"/>
  <c r="I130" i="11"/>
  <c r="K130" i="11" s="1"/>
  <c r="K146" i="11"/>
  <c r="M134" i="11"/>
  <c r="M132" i="11" s="1"/>
  <c r="M138" i="11"/>
  <c r="P138" i="11" s="1"/>
  <c r="N125" i="11"/>
  <c r="N121" i="11"/>
  <c r="N119" i="11" s="1"/>
  <c r="N55" i="10"/>
  <c r="N53" i="10" s="1"/>
  <c r="P170" i="11"/>
  <c r="N167" i="11"/>
  <c r="O170" i="11"/>
  <c r="L249" i="11"/>
  <c r="O249" i="11" s="1"/>
  <c r="L229" i="11"/>
  <c r="M300" i="11"/>
  <c r="P93" i="11"/>
  <c r="M90" i="11"/>
  <c r="N168" i="11"/>
  <c r="P168" i="11" s="1"/>
  <c r="I433" i="10"/>
  <c r="I417" i="10" s="1"/>
  <c r="K435" i="10"/>
  <c r="L68" i="11"/>
  <c r="L66" i="11" s="1"/>
  <c r="L69" i="11"/>
  <c r="O69" i="11" s="1"/>
  <c r="O788" i="11"/>
  <c r="L786" i="11"/>
  <c r="O786" i="11" s="1"/>
  <c r="K824" i="10"/>
  <c r="K190" i="11"/>
  <c r="P280" i="11"/>
  <c r="L408" i="11"/>
  <c r="O408" i="11" s="1"/>
  <c r="I443" i="11"/>
  <c r="K443" i="11" s="1"/>
  <c r="K466" i="11"/>
  <c r="K651" i="11"/>
  <c r="L555" i="7"/>
  <c r="O555" i="7" s="1"/>
  <c r="K369" i="11"/>
  <c r="N300" i="9"/>
  <c r="N298" i="9" s="1"/>
  <c r="O93" i="11"/>
  <c r="K100" i="11"/>
  <c r="K215" i="11"/>
  <c r="M317" i="11"/>
  <c r="P317" i="11" s="1"/>
  <c r="M321" i="11"/>
  <c r="P321" i="11" s="1"/>
  <c r="L446" i="11"/>
  <c r="L444" i="11" s="1"/>
  <c r="O444" i="11" s="1"/>
  <c r="O456" i="11"/>
  <c r="L469" i="11"/>
  <c r="O479" i="11"/>
  <c r="K537" i="11"/>
  <c r="O557" i="11"/>
  <c r="J721" i="11"/>
  <c r="K721" i="11" s="1"/>
  <c r="N392" i="11"/>
  <c r="L43" i="11"/>
  <c r="L41" i="11" s="1"/>
  <c r="L72" i="11"/>
  <c r="O72" i="11" s="1"/>
  <c r="K98" i="11"/>
  <c r="K176" i="11"/>
  <c r="I216" i="11"/>
  <c r="K216" i="11" s="1"/>
  <c r="P266" i="11"/>
  <c r="N300" i="11"/>
  <c r="N298" i="11" s="1"/>
  <c r="O336" i="11"/>
  <c r="K359" i="11"/>
  <c r="O397" i="11"/>
  <c r="L526" i="11"/>
  <c r="O526" i="11" s="1"/>
  <c r="K647" i="11"/>
  <c r="I785" i="11"/>
  <c r="L789" i="11"/>
  <c r="O789" i="11" s="1"/>
  <c r="K822" i="11"/>
  <c r="K825" i="11"/>
  <c r="K828" i="11"/>
  <c r="O58" i="10"/>
  <c r="O61" i="10"/>
  <c r="M43" i="11"/>
  <c r="M41" i="11" s="1"/>
  <c r="P44" i="11"/>
  <c r="P58" i="11"/>
  <c r="L152" i="11"/>
  <c r="P154" i="11"/>
  <c r="O189" i="11"/>
  <c r="K208" i="11"/>
  <c r="L238" i="11"/>
  <c r="O238" i="11" s="1"/>
  <c r="L267" i="11"/>
  <c r="O267" i="11" s="1"/>
  <c r="L330" i="11"/>
  <c r="L328" i="11" s="1"/>
  <c r="L347" i="11"/>
  <c r="L345" i="11" s="1"/>
  <c r="L391" i="11"/>
  <c r="O391" i="11" s="1"/>
  <c r="K577" i="11"/>
  <c r="O791" i="11"/>
  <c r="P168" i="10"/>
  <c r="L59" i="11"/>
  <c r="K86" i="11"/>
  <c r="O91" i="11"/>
  <c r="L122" i="11"/>
  <c r="O122" i="11" s="1"/>
  <c r="O135" i="11"/>
  <c r="M155" i="11"/>
  <c r="P155" i="11" s="1"/>
  <c r="O173" i="11"/>
  <c r="L183" i="11"/>
  <c r="M267" i="11"/>
  <c r="P267" i="11" s="1"/>
  <c r="I297" i="11"/>
  <c r="K297" i="11" s="1"/>
  <c r="M330" i="11"/>
  <c r="K338" i="11"/>
  <c r="K355" i="11"/>
  <c r="L631" i="11"/>
  <c r="O631" i="11" s="1"/>
  <c r="K823" i="11"/>
  <c r="K826" i="11"/>
  <c r="P9" i="11"/>
  <c r="O32" i="11"/>
  <c r="L29" i="11"/>
  <c r="O44" i="11"/>
  <c r="N301" i="9"/>
  <c r="L404" i="10"/>
  <c r="O404" i="10" s="1"/>
  <c r="L26" i="11"/>
  <c r="P32" i="11"/>
  <c r="M29" i="11"/>
  <c r="M31" i="11"/>
  <c r="P31" i="11" s="1"/>
  <c r="O46" i="11"/>
  <c r="I77" i="11"/>
  <c r="P135" i="11"/>
  <c r="O137" i="11"/>
  <c r="I148" i="11"/>
  <c r="K148" i="11" s="1"/>
  <c r="L228" i="11"/>
  <c r="K271" i="11"/>
  <c r="M331" i="11"/>
  <c r="P331" i="11" s="1"/>
  <c r="P333" i="11"/>
  <c r="N405" i="11"/>
  <c r="O545" i="11"/>
  <c r="O690" i="11"/>
  <c r="L687" i="11"/>
  <c r="L688" i="11"/>
  <c r="L33" i="11"/>
  <c r="L31" i="11" s="1"/>
  <c r="O31" i="11" s="1"/>
  <c r="P806" i="11"/>
  <c r="M805" i="11"/>
  <c r="P805" i="11" s="1"/>
  <c r="N19" i="11"/>
  <c r="N12" i="11"/>
  <c r="I76" i="11"/>
  <c r="K80" i="11"/>
  <c r="P282" i="11"/>
  <c r="M23" i="11"/>
  <c r="M138" i="9"/>
  <c r="P138" i="9" s="1"/>
  <c r="P280" i="9"/>
  <c r="I364" i="10"/>
  <c r="M26" i="11"/>
  <c r="M24" i="11" s="1"/>
  <c r="L55" i="11"/>
  <c r="O71" i="11"/>
  <c r="L121" i="11"/>
  <c r="L125" i="11"/>
  <c r="O125" i="11" s="1"/>
  <c r="N134" i="11"/>
  <c r="K144" i="11"/>
  <c r="L155" i="11"/>
  <c r="O155" i="11" s="1"/>
  <c r="K174" i="11"/>
  <c r="I164" i="11"/>
  <c r="K164" i="11" s="1"/>
  <c r="L230" i="11"/>
  <c r="M283" i="11"/>
  <c r="P283" i="11" s="1"/>
  <c r="N330" i="11"/>
  <c r="N328" i="11" s="1"/>
  <c r="K340" i="11"/>
  <c r="M351" i="11"/>
  <c r="P351" i="11" s="1"/>
  <c r="P353" i="11"/>
  <c r="M347" i="11"/>
  <c r="J537" i="11"/>
  <c r="J522" i="11" s="1"/>
  <c r="K538" i="11"/>
  <c r="N770" i="11"/>
  <c r="O278" i="11"/>
  <c r="L283" i="11"/>
  <c r="O283" i="11" s="1"/>
  <c r="O285" i="11"/>
  <c r="M395" i="11"/>
  <c r="P395" i="11" s="1"/>
  <c r="P397" i="11"/>
  <c r="N419" i="11"/>
  <c r="O806" i="11"/>
  <c r="L805" i="11"/>
  <c r="O805" i="11" s="1"/>
  <c r="I434" i="10"/>
  <c r="K434" i="10" s="1"/>
  <c r="L12" i="11"/>
  <c r="N23" i="11"/>
  <c r="N21" i="11" s="1"/>
  <c r="N26" i="11"/>
  <c r="P33" i="11"/>
  <c r="M30" i="11"/>
  <c r="P30" i="11" s="1"/>
  <c r="N43" i="11"/>
  <c r="P140" i="11"/>
  <c r="L264" i="11"/>
  <c r="O299" i="11"/>
  <c r="O320" i="11"/>
  <c r="L317" i="11"/>
  <c r="M391" i="11"/>
  <c r="P403" i="11"/>
  <c r="O449" i="11"/>
  <c r="N446" i="11"/>
  <c r="N30" i="11"/>
  <c r="N28" i="11" s="1"/>
  <c r="N31" i="11"/>
  <c r="I112" i="11"/>
  <c r="K112" i="11" s="1"/>
  <c r="L151" i="11"/>
  <c r="L279" i="11"/>
  <c r="O424" i="11"/>
  <c r="N421" i="11"/>
  <c r="I442" i="11"/>
  <c r="K442" i="11" s="1"/>
  <c r="K460" i="11"/>
  <c r="M183" i="10"/>
  <c r="M181" i="10" s="1"/>
  <c r="I190" i="10"/>
  <c r="K190" i="10" s="1"/>
  <c r="I216" i="10"/>
  <c r="K216" i="10" s="1"/>
  <c r="L229" i="10"/>
  <c r="O331" i="10"/>
  <c r="J364" i="10"/>
  <c r="M19" i="11"/>
  <c r="P46" i="11"/>
  <c r="L56" i="11"/>
  <c r="P137" i="11"/>
  <c r="O140" i="11"/>
  <c r="K225" i="11"/>
  <c r="M279" i="11"/>
  <c r="L280" i="11"/>
  <c r="O280" i="11" s="1"/>
  <c r="O282" i="11"/>
  <c r="J288" i="11"/>
  <c r="J275" i="11" s="1"/>
  <c r="I275" i="11"/>
  <c r="O390" i="11"/>
  <c r="M405" i="11"/>
  <c r="P405" i="11" s="1"/>
  <c r="P407" i="11"/>
  <c r="M404" i="11"/>
  <c r="P404" i="11" s="1"/>
  <c r="N422" i="11"/>
  <c r="J433" i="11"/>
  <c r="N444" i="11"/>
  <c r="L23" i="11"/>
  <c r="N56" i="11"/>
  <c r="P56" i="11" s="1"/>
  <c r="N59" i="11"/>
  <c r="P59" i="11" s="1"/>
  <c r="P71" i="11"/>
  <c r="P74" i="11"/>
  <c r="N152" i="11"/>
  <c r="N264" i="11"/>
  <c r="P264" i="11" s="1"/>
  <c r="J327" i="11"/>
  <c r="K327" i="11" s="1"/>
  <c r="O333" i="11"/>
  <c r="N348" i="11"/>
  <c r="O348" i="11" s="1"/>
  <c r="M408" i="11"/>
  <c r="P408" i="11" s="1"/>
  <c r="P410" i="11"/>
  <c r="M419" i="11"/>
  <c r="I434" i="11"/>
  <c r="M444" i="11"/>
  <c r="P444" i="11" s="1"/>
  <c r="M502" i="11"/>
  <c r="P502" i="11" s="1"/>
  <c r="O535" i="11"/>
  <c r="L525" i="11"/>
  <c r="L547" i="11"/>
  <c r="O549" i="11"/>
  <c r="J593" i="11"/>
  <c r="N687" i="11"/>
  <c r="N685" i="11" s="1"/>
  <c r="N688" i="11"/>
  <c r="O739" i="11"/>
  <c r="L737" i="11"/>
  <c r="O737" i="11" s="1"/>
  <c r="N739" i="11"/>
  <c r="N737" i="11" s="1"/>
  <c r="N740" i="11"/>
  <c r="O772" i="11"/>
  <c r="L770" i="11"/>
  <c r="O770" i="11" s="1"/>
  <c r="N772" i="11"/>
  <c r="N773" i="11"/>
  <c r="K821" i="11"/>
  <c r="K827" i="11"/>
  <c r="I364" i="11"/>
  <c r="P546" i="11"/>
  <c r="M544" i="11"/>
  <c r="P544" i="11" s="1"/>
  <c r="K649" i="11"/>
  <c r="P656" i="11"/>
  <c r="M655" i="11"/>
  <c r="P655" i="11" s="1"/>
  <c r="K675" i="11"/>
  <c r="I654" i="11"/>
  <c r="K654" i="11" s="1"/>
  <c r="K674" i="11"/>
  <c r="K673" i="11"/>
  <c r="K669" i="11"/>
  <c r="K672" i="11"/>
  <c r="N754" i="11"/>
  <c r="O303" i="11"/>
  <c r="N317" i="11"/>
  <c r="N315" i="11" s="1"/>
  <c r="N347" i="11"/>
  <c r="O350" i="11"/>
  <c r="N467" i="11"/>
  <c r="K362" i="11"/>
  <c r="K365" i="11"/>
  <c r="O422" i="11"/>
  <c r="O447" i="11"/>
  <c r="N502" i="11"/>
  <c r="N547" i="11"/>
  <c r="O756" i="11"/>
  <c r="L754" i="11"/>
  <c r="O754" i="11" s="1"/>
  <c r="N756" i="11"/>
  <c r="N757" i="11"/>
  <c r="L632" i="11"/>
  <c r="O632" i="11" s="1"/>
  <c r="N90" i="8"/>
  <c r="N88" i="8" s="1"/>
  <c r="I297" i="9"/>
  <c r="K297" i="9" s="1"/>
  <c r="M317" i="9"/>
  <c r="P317" i="9" s="1"/>
  <c r="M68" i="10"/>
  <c r="M66" i="10" s="1"/>
  <c r="N90" i="10"/>
  <c r="N88" i="10" s="1"/>
  <c r="M330" i="10"/>
  <c r="M328" i="10" s="1"/>
  <c r="K593" i="10"/>
  <c r="M134" i="10"/>
  <c r="P134" i="10" s="1"/>
  <c r="I276" i="10"/>
  <c r="K276" i="10" s="1"/>
  <c r="N330" i="10"/>
  <c r="N328" i="10" s="1"/>
  <c r="K379" i="10"/>
  <c r="L687" i="10"/>
  <c r="O687" i="10" s="1"/>
  <c r="L122" i="10"/>
  <c r="O122" i="10" s="1"/>
  <c r="P351" i="10"/>
  <c r="K359" i="10"/>
  <c r="K362" i="10"/>
  <c r="J785" i="10"/>
  <c r="K823" i="10"/>
  <c r="O266" i="10"/>
  <c r="L23" i="10"/>
  <c r="L21" i="10" s="1"/>
  <c r="M26" i="10"/>
  <c r="M16" i="10" s="1"/>
  <c r="K369" i="10"/>
  <c r="K385" i="10"/>
  <c r="L167" i="10"/>
  <c r="L165" i="10" s="1"/>
  <c r="K176" i="10"/>
  <c r="K374" i="10"/>
  <c r="I148" i="10"/>
  <c r="K148" i="10" s="1"/>
  <c r="L231" i="9"/>
  <c r="O170" i="10"/>
  <c r="L334" i="10"/>
  <c r="O334" i="10" s="1"/>
  <c r="P59" i="10"/>
  <c r="O96" i="10"/>
  <c r="L171" i="10"/>
  <c r="O171" i="10" s="1"/>
  <c r="K801" i="10"/>
  <c r="K828" i="10"/>
  <c r="N134" i="7"/>
  <c r="N132" i="7" s="1"/>
  <c r="O280" i="10"/>
  <c r="O282" i="10"/>
  <c r="I297" i="10"/>
  <c r="K297" i="10" s="1"/>
  <c r="O351" i="10"/>
  <c r="J721" i="10"/>
  <c r="L33" i="10"/>
  <c r="O33" i="10" s="1"/>
  <c r="L55" i="10"/>
  <c r="K338" i="10"/>
  <c r="L395" i="10"/>
  <c r="O395" i="10" s="1"/>
  <c r="N404" i="10"/>
  <c r="N402" i="10" s="1"/>
  <c r="K621" i="10"/>
  <c r="L56" i="10"/>
  <c r="L59" i="10"/>
  <c r="O59" i="10" s="1"/>
  <c r="L152" i="10"/>
  <c r="O152" i="10" s="1"/>
  <c r="O168" i="10"/>
  <c r="L231" i="10"/>
  <c r="L317" i="10"/>
  <c r="O317" i="10" s="1"/>
  <c r="N317" i="10"/>
  <c r="N315" i="10" s="1"/>
  <c r="L347" i="10"/>
  <c r="L345" i="10" s="1"/>
  <c r="O353" i="10"/>
  <c r="M395" i="10"/>
  <c r="P395" i="10" s="1"/>
  <c r="K647" i="10"/>
  <c r="P91" i="10"/>
  <c r="L228" i="10"/>
  <c r="O269" i="10"/>
  <c r="O333" i="10"/>
  <c r="K340" i="10"/>
  <c r="P353" i="10"/>
  <c r="P61" i="10"/>
  <c r="L68" i="10"/>
  <c r="L66" i="10" s="1"/>
  <c r="N300" i="10"/>
  <c r="N298" i="10" s="1"/>
  <c r="P331" i="10"/>
  <c r="K360" i="10"/>
  <c r="K372" i="10"/>
  <c r="L470" i="2"/>
  <c r="O470" i="2" s="1"/>
  <c r="J327" i="10"/>
  <c r="K327" i="10" s="1"/>
  <c r="J722" i="10"/>
  <c r="K827" i="10"/>
  <c r="K215" i="10"/>
  <c r="I208" i="10"/>
  <c r="K208" i="10" s="1"/>
  <c r="O93" i="10"/>
  <c r="L90" i="10"/>
  <c r="L91" i="10"/>
  <c r="O91" i="10" s="1"/>
  <c r="N151" i="10"/>
  <c r="N149" i="10" s="1"/>
  <c r="N152" i="10"/>
  <c r="J288" i="10"/>
  <c r="J275" i="10" s="1"/>
  <c r="N183" i="10"/>
  <c r="O186" i="10"/>
  <c r="L151" i="7"/>
  <c r="O151" i="7" s="1"/>
  <c r="I77" i="10"/>
  <c r="K77" i="10" s="1"/>
  <c r="K81" i="10"/>
  <c r="P306" i="10"/>
  <c r="M304" i="10"/>
  <c r="P304" i="10" s="1"/>
  <c r="P323" i="10"/>
  <c r="M321" i="10"/>
  <c r="P321" i="10" s="1"/>
  <c r="P350" i="10"/>
  <c r="M347" i="10"/>
  <c r="M348" i="10"/>
  <c r="P348" i="10" s="1"/>
  <c r="O394" i="10"/>
  <c r="L391" i="10"/>
  <c r="L392" i="10"/>
  <c r="O392" i="10" s="1"/>
  <c r="O157" i="10"/>
  <c r="L155" i="10"/>
  <c r="O155" i="10" s="1"/>
  <c r="L151" i="10"/>
  <c r="O151" i="10" s="1"/>
  <c r="L44" i="10"/>
  <c r="O44" i="10" s="1"/>
  <c r="L43" i="10"/>
  <c r="L41" i="10" s="1"/>
  <c r="I76" i="10"/>
  <c r="K78" i="10"/>
  <c r="L26" i="10"/>
  <c r="L24" i="10" s="1"/>
  <c r="O127" i="10"/>
  <c r="L125" i="10"/>
  <c r="O125" i="10" s="1"/>
  <c r="L121" i="10"/>
  <c r="O121" i="10" s="1"/>
  <c r="L135" i="10"/>
  <c r="O135" i="10" s="1"/>
  <c r="L134" i="10"/>
  <c r="O285" i="10"/>
  <c r="L283" i="10"/>
  <c r="O283" i="10" s="1"/>
  <c r="P303" i="10"/>
  <c r="M301" i="10"/>
  <c r="P301" i="10" s="1"/>
  <c r="I785" i="10"/>
  <c r="M56" i="10"/>
  <c r="P58" i="10"/>
  <c r="M55" i="10"/>
  <c r="I112" i="10"/>
  <c r="K112" i="10" s="1"/>
  <c r="K115" i="10"/>
  <c r="N121" i="10"/>
  <c r="N119" i="10" s="1"/>
  <c r="N122" i="10"/>
  <c r="M171" i="10"/>
  <c r="P171" i="10" s="1"/>
  <c r="M167" i="10"/>
  <c r="O184" i="10"/>
  <c r="I237" i="10"/>
  <c r="K237" i="10" s="1"/>
  <c r="K244" i="10"/>
  <c r="K271" i="9"/>
  <c r="I260" i="9"/>
  <c r="K260" i="9" s="1"/>
  <c r="K287" i="9"/>
  <c r="I276" i="9"/>
  <c r="K276" i="9" s="1"/>
  <c r="P336" i="10"/>
  <c r="M334" i="10"/>
  <c r="P334" i="10" s="1"/>
  <c r="I522" i="10"/>
  <c r="K522" i="10" s="1"/>
  <c r="K537" i="10"/>
  <c r="K385" i="9"/>
  <c r="N26" i="10"/>
  <c r="N16" i="10" s="1"/>
  <c r="N23" i="10"/>
  <c r="L217" i="10"/>
  <c r="O217" i="10" s="1"/>
  <c r="N56" i="10"/>
  <c r="M135" i="10"/>
  <c r="P135" i="10" s="1"/>
  <c r="N167" i="10"/>
  <c r="L187" i="10"/>
  <c r="O187" i="10" s="1"/>
  <c r="L209" i="10"/>
  <c r="O209" i="10" s="1"/>
  <c r="L238" i="10"/>
  <c r="O238" i="10" s="1"/>
  <c r="I260" i="10"/>
  <c r="K260" i="10" s="1"/>
  <c r="L263" i="10"/>
  <c r="L261" i="10" s="1"/>
  <c r="P266" i="10"/>
  <c r="N321" i="10"/>
  <c r="O350" i="10"/>
  <c r="K355" i="10"/>
  <c r="M392" i="10"/>
  <c r="P392" i="10" s="1"/>
  <c r="J433" i="10"/>
  <c r="K560" i="10"/>
  <c r="O660" i="10"/>
  <c r="L789" i="10"/>
  <c r="O789" i="10" s="1"/>
  <c r="M121" i="10"/>
  <c r="P121" i="10" s="1"/>
  <c r="M151" i="10"/>
  <c r="M149" i="10" s="1"/>
  <c r="L198" i="10"/>
  <c r="O198" i="10" s="1"/>
  <c r="L249" i="10"/>
  <c r="O249" i="10" s="1"/>
  <c r="L264" i="10"/>
  <c r="O264" i="10" s="1"/>
  <c r="N347" i="10"/>
  <c r="N345" i="10" s="1"/>
  <c r="M391" i="10"/>
  <c r="O472" i="10"/>
  <c r="O333" i="9"/>
  <c r="M90" i="10"/>
  <c r="I130" i="10"/>
  <c r="K130" i="10" s="1"/>
  <c r="M138" i="10"/>
  <c r="P138" i="10" s="1"/>
  <c r="L230" i="10"/>
  <c r="L279" i="10"/>
  <c r="L277" i="10" s="1"/>
  <c r="P285" i="10"/>
  <c r="M317" i="10"/>
  <c r="P317" i="10" s="1"/>
  <c r="N391" i="10"/>
  <c r="N389" i="10" s="1"/>
  <c r="O407" i="10"/>
  <c r="L469" i="10"/>
  <c r="L467" i="10" s="1"/>
  <c r="O467" i="10" s="1"/>
  <c r="O557" i="10"/>
  <c r="L788" i="10"/>
  <c r="O788" i="10" s="1"/>
  <c r="K821" i="10"/>
  <c r="L391" i="9"/>
  <c r="O391" i="9" s="1"/>
  <c r="L429" i="9"/>
  <c r="O429" i="9" s="1"/>
  <c r="P154" i="10"/>
  <c r="I164" i="10"/>
  <c r="K164" i="10" s="1"/>
  <c r="N263" i="10"/>
  <c r="L318" i="10"/>
  <c r="O318" i="10" s="1"/>
  <c r="L330" i="10"/>
  <c r="L328" i="10" s="1"/>
  <c r="O410" i="10"/>
  <c r="K649" i="10"/>
  <c r="L657" i="10"/>
  <c r="O657" i="10" s="1"/>
  <c r="M280" i="10"/>
  <c r="P280" i="10" s="1"/>
  <c r="P282" i="10"/>
  <c r="M279" i="10"/>
  <c r="L317" i="8"/>
  <c r="O317" i="8" s="1"/>
  <c r="P61" i="9"/>
  <c r="P152" i="9"/>
  <c r="K379" i="9"/>
  <c r="N9" i="10"/>
  <c r="N15" i="10"/>
  <c r="N43" i="10"/>
  <c r="P133" i="10"/>
  <c r="P772" i="10"/>
  <c r="M770" i="10"/>
  <c r="P770" i="10" s="1"/>
  <c r="O32" i="10"/>
  <c r="L29" i="10"/>
  <c r="N47" i="10"/>
  <c r="L43" i="8"/>
  <c r="L41" i="8" s="1"/>
  <c r="N151" i="9"/>
  <c r="N149" i="9" s="1"/>
  <c r="L12" i="10"/>
  <c r="P33" i="10"/>
  <c r="M30" i="10"/>
  <c r="P30" i="10" s="1"/>
  <c r="M44" i="10"/>
  <c r="P44" i="10" s="1"/>
  <c r="P46" i="10"/>
  <c r="J87" i="10"/>
  <c r="K87" i="10" s="1"/>
  <c r="K99" i="10"/>
  <c r="K225" i="10"/>
  <c r="N283" i="10"/>
  <c r="N279" i="10"/>
  <c r="L36" i="10"/>
  <c r="O535" i="10"/>
  <c r="L533" i="10"/>
  <c r="O533" i="10" s="1"/>
  <c r="L525" i="10"/>
  <c r="J628" i="10"/>
  <c r="K628" i="10" s="1"/>
  <c r="K651" i="10"/>
  <c r="N69" i="10"/>
  <c r="O69" i="10" s="1"/>
  <c r="K359" i="9"/>
  <c r="K362" i="9"/>
  <c r="K460" i="9"/>
  <c r="K824" i="9"/>
  <c r="M47" i="10"/>
  <c r="P47" i="10" s="1"/>
  <c r="P49" i="10"/>
  <c r="N68" i="10"/>
  <c r="N66" i="10" s="1"/>
  <c r="M69" i="10"/>
  <c r="P71" i="10"/>
  <c r="P269" i="10"/>
  <c r="M267" i="10"/>
  <c r="P267" i="10" s="1"/>
  <c r="M263" i="10"/>
  <c r="M405" i="10"/>
  <c r="P405" i="10" s="1"/>
  <c r="P407" i="10"/>
  <c r="M404" i="10"/>
  <c r="P404" i="10" s="1"/>
  <c r="P545" i="10"/>
  <c r="M544" i="10"/>
  <c r="P544" i="10" s="1"/>
  <c r="N739" i="10"/>
  <c r="N737" i="10" s="1"/>
  <c r="N740" i="10"/>
  <c r="L43" i="9"/>
  <c r="M55" i="9"/>
  <c r="M53" i="9" s="1"/>
  <c r="K560" i="9"/>
  <c r="L15" i="10"/>
  <c r="M23" i="10"/>
  <c r="P32" i="10"/>
  <c r="M29" i="10"/>
  <c r="M31" i="10"/>
  <c r="P31" i="10" s="1"/>
  <c r="P67" i="10"/>
  <c r="K86" i="10"/>
  <c r="P403" i="10"/>
  <c r="N467" i="10"/>
  <c r="N414" i="10" s="1"/>
  <c r="P739" i="10"/>
  <c r="M737" i="10"/>
  <c r="P737" i="10" s="1"/>
  <c r="O61" i="9"/>
  <c r="L69" i="9"/>
  <c r="O69" i="9" s="1"/>
  <c r="I112" i="9"/>
  <c r="K112" i="9" s="1"/>
  <c r="L230" i="9"/>
  <c r="K374" i="9"/>
  <c r="O407" i="9"/>
  <c r="M9" i="10"/>
  <c r="M15" i="10"/>
  <c r="N31" i="10"/>
  <c r="M43" i="10"/>
  <c r="N134" i="10"/>
  <c r="N132" i="10" s="1"/>
  <c r="J143" i="10"/>
  <c r="J131" i="10" s="1"/>
  <c r="K144" i="10"/>
  <c r="L304" i="10"/>
  <c r="O304" i="10" s="1"/>
  <c r="L300" i="10"/>
  <c r="O306" i="10"/>
  <c r="K462" i="10"/>
  <c r="I443" i="10"/>
  <c r="K443" i="10" s="1"/>
  <c r="O46" i="10"/>
  <c r="O49" i="10"/>
  <c r="O71" i="10"/>
  <c r="O74" i="10"/>
  <c r="O89" i="10"/>
  <c r="P93" i="10"/>
  <c r="P96" i="10"/>
  <c r="M122" i="10"/>
  <c r="P122" i="10" s="1"/>
  <c r="M125" i="10"/>
  <c r="P125" i="10" s="1"/>
  <c r="O137" i="10"/>
  <c r="O140" i="10"/>
  <c r="M152" i="10"/>
  <c r="M155" i="10"/>
  <c r="P155" i="10" s="1"/>
  <c r="O166" i="10"/>
  <c r="P170" i="10"/>
  <c r="P173" i="10"/>
  <c r="O182" i="10"/>
  <c r="P186" i="10"/>
  <c r="P189" i="10"/>
  <c r="M264" i="10"/>
  <c r="P264" i="10" s="1"/>
  <c r="O431" i="10"/>
  <c r="L421" i="10"/>
  <c r="O456" i="10"/>
  <c r="L446" i="10"/>
  <c r="K594" i="10"/>
  <c r="O738" i="10"/>
  <c r="L737" i="10"/>
  <c r="O737" i="10" s="1"/>
  <c r="O771" i="10"/>
  <c r="L770" i="10"/>
  <c r="O770" i="10" s="1"/>
  <c r="P74" i="10"/>
  <c r="N687" i="10"/>
  <c r="N685" i="10" s="1"/>
  <c r="N688" i="10"/>
  <c r="O806" i="10"/>
  <c r="L805" i="10"/>
  <c r="O805" i="10" s="1"/>
  <c r="I143" i="10"/>
  <c r="I233" i="10"/>
  <c r="K233" i="10" s="1"/>
  <c r="I248" i="10"/>
  <c r="K248" i="10" s="1"/>
  <c r="M318" i="10"/>
  <c r="P318" i="10" s="1"/>
  <c r="K325" i="10"/>
  <c r="M408" i="10"/>
  <c r="P408" i="10" s="1"/>
  <c r="P410" i="10"/>
  <c r="N655" i="10"/>
  <c r="K675" i="10"/>
  <c r="I654" i="10"/>
  <c r="K654" i="10" s="1"/>
  <c r="K674" i="10"/>
  <c r="O690" i="10"/>
  <c r="P756" i="10"/>
  <c r="M754" i="10"/>
  <c r="P754" i="10" s="1"/>
  <c r="K98" i="10"/>
  <c r="M467" i="10"/>
  <c r="P467" i="10" s="1"/>
  <c r="I543" i="10"/>
  <c r="K543" i="10" s="1"/>
  <c r="K559" i="10"/>
  <c r="O641" i="10"/>
  <c r="L631" i="10"/>
  <c r="K672" i="10"/>
  <c r="O755" i="10"/>
  <c r="L754" i="10"/>
  <c r="O754" i="10" s="1"/>
  <c r="I197" i="10"/>
  <c r="K197" i="10" s="1"/>
  <c r="I275" i="10"/>
  <c r="M300" i="10"/>
  <c r="P300" i="10" s="1"/>
  <c r="O303" i="10"/>
  <c r="L321" i="10"/>
  <c r="O321" i="10" s="1"/>
  <c r="P333" i="10"/>
  <c r="K365" i="10"/>
  <c r="K370" i="10"/>
  <c r="K460" i="10"/>
  <c r="L526" i="10"/>
  <c r="O526" i="10" s="1"/>
  <c r="J537" i="10"/>
  <c r="J522" i="10" s="1"/>
  <c r="O549" i="10"/>
  <c r="K576" i="10"/>
  <c r="L639" i="10"/>
  <c r="O639" i="10" s="1"/>
  <c r="K669" i="10"/>
  <c r="K673" i="10"/>
  <c r="M805" i="10"/>
  <c r="P805" i="10" s="1"/>
  <c r="N90" i="9"/>
  <c r="N88" i="9" s="1"/>
  <c r="N167" i="9"/>
  <c r="N165" i="9" s="1"/>
  <c r="K244" i="9"/>
  <c r="K255" i="9"/>
  <c r="L639" i="9"/>
  <c r="O639" i="9" s="1"/>
  <c r="L155" i="7"/>
  <c r="O155" i="7" s="1"/>
  <c r="L229" i="8"/>
  <c r="N23" i="9"/>
  <c r="N13" i="9" s="1"/>
  <c r="L238" i="9"/>
  <c r="O238" i="9" s="1"/>
  <c r="N317" i="9"/>
  <c r="N315" i="9" s="1"/>
  <c r="M321" i="9"/>
  <c r="P321" i="9" s="1"/>
  <c r="J722" i="9"/>
  <c r="K722" i="9" s="1"/>
  <c r="L639" i="2"/>
  <c r="O639" i="2" s="1"/>
  <c r="O394" i="8"/>
  <c r="K176" i="9"/>
  <c r="L187" i="9"/>
  <c r="O187" i="9" s="1"/>
  <c r="O472" i="9"/>
  <c r="K577" i="9"/>
  <c r="P154" i="9"/>
  <c r="L267" i="9"/>
  <c r="O267" i="9" s="1"/>
  <c r="K723" i="9"/>
  <c r="J721" i="9"/>
  <c r="K721" i="9" s="1"/>
  <c r="P152" i="8"/>
  <c r="N404" i="9"/>
  <c r="N402" i="9" s="1"/>
  <c r="L334" i="9"/>
  <c r="O334" i="9" s="1"/>
  <c r="O336" i="9"/>
  <c r="N43" i="8"/>
  <c r="N41" i="8" s="1"/>
  <c r="P353" i="8"/>
  <c r="M69" i="9"/>
  <c r="P69" i="9" s="1"/>
  <c r="N68" i="9"/>
  <c r="N66" i="9" s="1"/>
  <c r="N122" i="9"/>
  <c r="N183" i="9"/>
  <c r="N181" i="9" s="1"/>
  <c r="N283" i="9"/>
  <c r="N279" i="9"/>
  <c r="N277" i="9" s="1"/>
  <c r="L330" i="9"/>
  <c r="L328" i="9" s="1"/>
  <c r="K370" i="9"/>
  <c r="K378" i="9"/>
  <c r="M395" i="9"/>
  <c r="P395" i="9" s="1"/>
  <c r="P397" i="9"/>
  <c r="L469" i="9"/>
  <c r="L467" i="9" s="1"/>
  <c r="K801" i="9"/>
  <c r="O557" i="9"/>
  <c r="L546" i="9"/>
  <c r="O546" i="9" s="1"/>
  <c r="L446" i="8"/>
  <c r="L444" i="8" s="1"/>
  <c r="O444" i="8" s="1"/>
  <c r="L631" i="8"/>
  <c r="O631" i="8" s="1"/>
  <c r="K824" i="8"/>
  <c r="L72" i="9"/>
  <c r="O72" i="9" s="1"/>
  <c r="P170" i="9"/>
  <c r="L331" i="9"/>
  <c r="O331" i="9" s="1"/>
  <c r="N330" i="9"/>
  <c r="N328" i="9" s="1"/>
  <c r="I364" i="9"/>
  <c r="K725" i="9"/>
  <c r="O791" i="9"/>
  <c r="L788" i="9"/>
  <c r="O788" i="9" s="1"/>
  <c r="K823" i="9"/>
  <c r="K826" i="9"/>
  <c r="P58" i="8"/>
  <c r="L36" i="9"/>
  <c r="O56" i="9"/>
  <c r="L152" i="9"/>
  <c r="O152" i="9" s="1"/>
  <c r="O154" i="9"/>
  <c r="O173" i="9"/>
  <c r="O528" i="9"/>
  <c r="L526" i="9"/>
  <c r="O526" i="9" s="1"/>
  <c r="O397" i="9"/>
  <c r="L395" i="9"/>
  <c r="O395" i="9" s="1"/>
  <c r="L90" i="8"/>
  <c r="O303" i="9"/>
  <c r="L301" i="9"/>
  <c r="O301" i="9" s="1"/>
  <c r="P320" i="9"/>
  <c r="M318" i="9"/>
  <c r="P318" i="9" s="1"/>
  <c r="O350" i="9"/>
  <c r="L348" i="9"/>
  <c r="L347" i="9"/>
  <c r="L345" i="9" s="1"/>
  <c r="O353" i="9"/>
  <c r="L351" i="9"/>
  <c r="O351" i="9" s="1"/>
  <c r="L404" i="9"/>
  <c r="O410" i="9"/>
  <c r="L408" i="9"/>
  <c r="O408" i="9" s="1"/>
  <c r="I443" i="9"/>
  <c r="K443" i="9" s="1"/>
  <c r="L454" i="9"/>
  <c r="O454" i="9" s="1"/>
  <c r="P56" i="9"/>
  <c r="I143" i="9"/>
  <c r="K143" i="9" s="1"/>
  <c r="K145" i="9"/>
  <c r="L198" i="9"/>
  <c r="O198" i="9" s="1"/>
  <c r="I226" i="9"/>
  <c r="K226" i="9" s="1"/>
  <c r="P351" i="9"/>
  <c r="K369" i="9"/>
  <c r="K699" i="9"/>
  <c r="J785" i="9"/>
  <c r="P58" i="9"/>
  <c r="I76" i="9"/>
  <c r="I64" i="9" s="1"/>
  <c r="K64" i="9" s="1"/>
  <c r="P186" i="9"/>
  <c r="K338" i="9"/>
  <c r="K649" i="9"/>
  <c r="K728" i="9"/>
  <c r="K822" i="9"/>
  <c r="K825" i="9"/>
  <c r="K828" i="9"/>
  <c r="M90" i="9"/>
  <c r="M88" i="9" s="1"/>
  <c r="O264" i="9"/>
  <c r="K359" i="8"/>
  <c r="N55" i="9"/>
  <c r="N53" i="9" s="1"/>
  <c r="M68" i="9"/>
  <c r="P68" i="9" s="1"/>
  <c r="M72" i="9"/>
  <c r="P72" i="9" s="1"/>
  <c r="L228" i="9"/>
  <c r="M348" i="9"/>
  <c r="M347" i="9"/>
  <c r="M345" i="9" s="1"/>
  <c r="K437" i="9"/>
  <c r="J433" i="9"/>
  <c r="K433" i="9" s="1"/>
  <c r="M134" i="7"/>
  <c r="N279" i="7"/>
  <c r="N277" i="7" s="1"/>
  <c r="M43" i="8"/>
  <c r="M41" i="8" s="1"/>
  <c r="O791" i="8"/>
  <c r="O44" i="9"/>
  <c r="N72" i="9"/>
  <c r="M94" i="9"/>
  <c r="P94" i="9" s="1"/>
  <c r="N134" i="9"/>
  <c r="N132" i="9" s="1"/>
  <c r="L151" i="9"/>
  <c r="L155" i="9"/>
  <c r="O155" i="9" s="1"/>
  <c r="I190" i="9"/>
  <c r="K190" i="9" s="1"/>
  <c r="I197" i="9"/>
  <c r="K197" i="9" s="1"/>
  <c r="I233" i="9"/>
  <c r="K233" i="9" s="1"/>
  <c r="L321" i="9"/>
  <c r="O321" i="9" s="1"/>
  <c r="O323" i="9"/>
  <c r="N348" i="9"/>
  <c r="N347" i="9"/>
  <c r="I522" i="9"/>
  <c r="K522" i="9" s="1"/>
  <c r="K537" i="9"/>
  <c r="O306" i="9"/>
  <c r="L304" i="9"/>
  <c r="O304" i="9" s="1"/>
  <c r="I314" i="7"/>
  <c r="K314" i="7" s="1"/>
  <c r="M47" i="8"/>
  <c r="P47" i="8" s="1"/>
  <c r="L94" i="8"/>
  <c r="O94" i="8" s="1"/>
  <c r="L238" i="8"/>
  <c r="O238" i="8" s="1"/>
  <c r="L321" i="8"/>
  <c r="O321" i="8" s="1"/>
  <c r="M23" i="9"/>
  <c r="M13" i="9" s="1"/>
  <c r="L135" i="9"/>
  <c r="O135" i="9" s="1"/>
  <c r="O184" i="9"/>
  <c r="L249" i="9"/>
  <c r="O249" i="9" s="1"/>
  <c r="L280" i="9"/>
  <c r="O280" i="9" s="1"/>
  <c r="O282" i="9"/>
  <c r="M331" i="9"/>
  <c r="P331" i="9" s="1"/>
  <c r="P333" i="9"/>
  <c r="M330" i="9"/>
  <c r="P350" i="9"/>
  <c r="J722" i="8"/>
  <c r="M44" i="9"/>
  <c r="P44" i="9" s="1"/>
  <c r="O58" i="9"/>
  <c r="K111" i="9"/>
  <c r="L167" i="9"/>
  <c r="L165" i="9" s="1"/>
  <c r="L263" i="9"/>
  <c r="L261" i="9" s="1"/>
  <c r="P264" i="9"/>
  <c r="N391" i="9"/>
  <c r="N389" i="9" s="1"/>
  <c r="N395" i="9"/>
  <c r="L454" i="5"/>
  <c r="O454" i="5" s="1"/>
  <c r="L555" i="5"/>
  <c r="O555" i="5" s="1"/>
  <c r="L300" i="9"/>
  <c r="N334" i="9"/>
  <c r="O152" i="8"/>
  <c r="K822" i="8"/>
  <c r="M47" i="9"/>
  <c r="P47" i="9" s="1"/>
  <c r="L55" i="9"/>
  <c r="I86" i="9"/>
  <c r="K86" i="9" s="1"/>
  <c r="O93" i="9"/>
  <c r="P157" i="9"/>
  <c r="N168" i="9"/>
  <c r="O168" i="9" s="1"/>
  <c r="M184" i="9"/>
  <c r="P184" i="9" s="1"/>
  <c r="L209" i="9"/>
  <c r="O209" i="9" s="1"/>
  <c r="O266" i="9"/>
  <c r="K340" i="9"/>
  <c r="P353" i="9"/>
  <c r="K360" i="9"/>
  <c r="K720" i="9"/>
  <c r="J327" i="9"/>
  <c r="K327" i="9" s="1"/>
  <c r="K381" i="9"/>
  <c r="L392" i="9"/>
  <c r="O392" i="9" s="1"/>
  <c r="K559" i="9"/>
  <c r="I785" i="9"/>
  <c r="K355" i="9"/>
  <c r="K435" i="9"/>
  <c r="K568" i="9"/>
  <c r="K647" i="9"/>
  <c r="L658" i="9"/>
  <c r="O658" i="9" s="1"/>
  <c r="O634" i="9"/>
  <c r="L33" i="9"/>
  <c r="L31" i="9" s="1"/>
  <c r="O31" i="9" s="1"/>
  <c r="P336" i="9"/>
  <c r="L657" i="9"/>
  <c r="O657" i="9" s="1"/>
  <c r="K726" i="9"/>
  <c r="J364" i="9"/>
  <c r="K365" i="9"/>
  <c r="N28" i="9"/>
  <c r="K174" i="9"/>
  <c r="I164" i="9"/>
  <c r="K164" i="9" s="1"/>
  <c r="M29" i="9"/>
  <c r="I86" i="8"/>
  <c r="K86" i="8" s="1"/>
  <c r="L26" i="9"/>
  <c r="M34" i="9"/>
  <c r="P34" i="9" s="1"/>
  <c r="K115" i="9"/>
  <c r="L134" i="9"/>
  <c r="M167" i="9"/>
  <c r="L183" i="9"/>
  <c r="K215" i="9"/>
  <c r="M263" i="9"/>
  <c r="M405" i="9"/>
  <c r="P405" i="9" s="1"/>
  <c r="P407" i="9"/>
  <c r="M404" i="9"/>
  <c r="P404" i="9" s="1"/>
  <c r="O420" i="9"/>
  <c r="N446" i="9"/>
  <c r="N444" i="9" s="1"/>
  <c r="N447" i="9"/>
  <c r="O447" i="9" s="1"/>
  <c r="J628" i="9"/>
  <c r="K628" i="9" s="1"/>
  <c r="K651" i="9"/>
  <c r="L533" i="4"/>
  <c r="O533" i="4" s="1"/>
  <c r="M135" i="9"/>
  <c r="P135" i="9" s="1"/>
  <c r="P285" i="9"/>
  <c r="M279" i="9"/>
  <c r="M304" i="9"/>
  <c r="P304" i="9" s="1"/>
  <c r="P306" i="9"/>
  <c r="L263" i="8"/>
  <c r="L261" i="8" s="1"/>
  <c r="J721" i="8"/>
  <c r="K823" i="8"/>
  <c r="K826" i="8"/>
  <c r="L12" i="9"/>
  <c r="L19" i="9"/>
  <c r="M26" i="9"/>
  <c r="M24" i="9" s="1"/>
  <c r="I77" i="9"/>
  <c r="K82" i="9"/>
  <c r="L90" i="9"/>
  <c r="N91" i="9"/>
  <c r="O91" i="9" s="1"/>
  <c r="P93" i="9"/>
  <c r="M121" i="9"/>
  <c r="P121" i="9" s="1"/>
  <c r="M134" i="9"/>
  <c r="P134" i="9" s="1"/>
  <c r="J143" i="9"/>
  <c r="J131" i="9" s="1"/>
  <c r="K146" i="9"/>
  <c r="N155" i="9"/>
  <c r="O170" i="9"/>
  <c r="M183" i="9"/>
  <c r="I216" i="9"/>
  <c r="K216" i="9" s="1"/>
  <c r="L217" i="9"/>
  <c r="O217" i="9" s="1"/>
  <c r="K237" i="9"/>
  <c r="N263" i="9"/>
  <c r="P269" i="9"/>
  <c r="P299" i="9"/>
  <c r="L318" i="9"/>
  <c r="O318" i="9" s="1"/>
  <c r="L502" i="9"/>
  <c r="O502" i="9" s="1"/>
  <c r="O504" i="9"/>
  <c r="N502" i="9"/>
  <c r="O806" i="9"/>
  <c r="L805" i="9"/>
  <c r="O805" i="9" s="1"/>
  <c r="K370" i="6"/>
  <c r="M12" i="9"/>
  <c r="M19" i="9"/>
  <c r="N26" i="9"/>
  <c r="N16" i="9" s="1"/>
  <c r="N14" i="9" s="1"/>
  <c r="O46" i="9"/>
  <c r="O49" i="9"/>
  <c r="O96" i="9"/>
  <c r="P127" i="9"/>
  <c r="I148" i="9"/>
  <c r="K148" i="9" s="1"/>
  <c r="O186" i="9"/>
  <c r="P266" i="9"/>
  <c r="K325" i="9"/>
  <c r="I314" i="9"/>
  <c r="K314" i="9" s="1"/>
  <c r="P403" i="9"/>
  <c r="N419" i="9"/>
  <c r="O690" i="9"/>
  <c r="L687" i="9"/>
  <c r="L688" i="9"/>
  <c r="O688" i="9" s="1"/>
  <c r="N68" i="8"/>
  <c r="N66" i="8" s="1"/>
  <c r="L231" i="8"/>
  <c r="P269" i="8"/>
  <c r="N12" i="9"/>
  <c r="L23" i="9"/>
  <c r="P46" i="9"/>
  <c r="P67" i="9"/>
  <c r="P124" i="9"/>
  <c r="M151" i="9"/>
  <c r="M171" i="9"/>
  <c r="P171" i="9" s="1"/>
  <c r="L317" i="9"/>
  <c r="O346" i="9"/>
  <c r="J537" i="9"/>
  <c r="J522" i="9" s="1"/>
  <c r="K538" i="9"/>
  <c r="O656" i="9"/>
  <c r="K359" i="7"/>
  <c r="M68" i="8"/>
  <c r="M66" i="8" s="1"/>
  <c r="L68" i="9"/>
  <c r="O68" i="9" s="1"/>
  <c r="M168" i="9"/>
  <c r="M187" i="9"/>
  <c r="P187" i="9" s="1"/>
  <c r="L283" i="9"/>
  <c r="O283" i="9" s="1"/>
  <c r="O285" i="9"/>
  <c r="L279" i="9"/>
  <c r="J288" i="9"/>
  <c r="J275" i="9" s="1"/>
  <c r="K275" i="9" s="1"/>
  <c r="P303" i="9"/>
  <c r="M300" i="9"/>
  <c r="P300" i="9" s="1"/>
  <c r="K372" i="9"/>
  <c r="P468" i="9"/>
  <c r="M467" i="9"/>
  <c r="P467" i="9" s="1"/>
  <c r="M391" i="9"/>
  <c r="M408" i="9"/>
  <c r="P408" i="9" s="1"/>
  <c r="P410" i="9"/>
  <c r="O424" i="9"/>
  <c r="N421" i="9"/>
  <c r="N467" i="9"/>
  <c r="L547" i="9"/>
  <c r="O547" i="9" s="1"/>
  <c r="O549" i="9"/>
  <c r="J593" i="9"/>
  <c r="P656" i="9"/>
  <c r="M655" i="9"/>
  <c r="P655" i="9" s="1"/>
  <c r="N687" i="9"/>
  <c r="N685" i="9" s="1"/>
  <c r="N688" i="9"/>
  <c r="N739" i="9"/>
  <c r="N737" i="9" s="1"/>
  <c r="N740" i="9"/>
  <c r="N772" i="9"/>
  <c r="N773" i="9"/>
  <c r="P806" i="9"/>
  <c r="M805" i="9"/>
  <c r="P805" i="9" s="1"/>
  <c r="P282" i="9"/>
  <c r="P394" i="9"/>
  <c r="M419" i="9"/>
  <c r="N422" i="9"/>
  <c r="O422" i="9" s="1"/>
  <c r="N504" i="9"/>
  <c r="O535" i="9"/>
  <c r="L525" i="9"/>
  <c r="J543" i="9"/>
  <c r="K543" i="9" s="1"/>
  <c r="N655" i="9"/>
  <c r="K675" i="9"/>
  <c r="I654" i="9"/>
  <c r="K654" i="9" s="1"/>
  <c r="K674" i="9"/>
  <c r="K673" i="9"/>
  <c r="K669" i="9"/>
  <c r="K672" i="9"/>
  <c r="N805" i="9"/>
  <c r="K821" i="9"/>
  <c r="K827" i="9"/>
  <c r="N756" i="9"/>
  <c r="N754" i="9" s="1"/>
  <c r="N757" i="9"/>
  <c r="K440" i="9"/>
  <c r="I434" i="9"/>
  <c r="O449" i="9"/>
  <c r="O545" i="9"/>
  <c r="K576" i="9"/>
  <c r="N770" i="9"/>
  <c r="L421" i="9"/>
  <c r="O421" i="9" s="1"/>
  <c r="L446" i="9"/>
  <c r="L444" i="9" s="1"/>
  <c r="M544" i="9"/>
  <c r="P544" i="9" s="1"/>
  <c r="L631" i="9"/>
  <c r="O631" i="9" s="1"/>
  <c r="L737" i="9"/>
  <c r="O737" i="9" s="1"/>
  <c r="L754" i="9"/>
  <c r="O754" i="9" s="1"/>
  <c r="L770" i="9"/>
  <c r="O770" i="9" s="1"/>
  <c r="N631" i="9"/>
  <c r="N629" i="9" s="1"/>
  <c r="K374" i="8"/>
  <c r="M395" i="8"/>
  <c r="P395" i="8" s="1"/>
  <c r="K647" i="8"/>
  <c r="I208" i="8"/>
  <c r="K208" i="8" s="1"/>
  <c r="L125" i="8"/>
  <c r="O125" i="8" s="1"/>
  <c r="P186" i="8"/>
  <c r="P61" i="8"/>
  <c r="J364" i="8"/>
  <c r="N183" i="8"/>
  <c r="N181" i="8" s="1"/>
  <c r="L267" i="8"/>
  <c r="O267" i="8" s="1"/>
  <c r="K378" i="8"/>
  <c r="K381" i="8"/>
  <c r="N391" i="8"/>
  <c r="N389" i="8" s="1"/>
  <c r="L421" i="8"/>
  <c r="L419" i="8" s="1"/>
  <c r="K672" i="8"/>
  <c r="L454" i="4"/>
  <c r="O454" i="4" s="1"/>
  <c r="L318" i="8"/>
  <c r="O318" i="8" s="1"/>
  <c r="M404" i="8"/>
  <c r="P404" i="8" s="1"/>
  <c r="L658" i="8"/>
  <c r="O658" i="8" s="1"/>
  <c r="N90" i="7"/>
  <c r="N88" i="7" s="1"/>
  <c r="N183" i="7"/>
  <c r="N181" i="7" s="1"/>
  <c r="N300" i="7"/>
  <c r="N298" i="7" s="1"/>
  <c r="L36" i="8"/>
  <c r="L68" i="8"/>
  <c r="L66" i="8" s="1"/>
  <c r="L151" i="8"/>
  <c r="L149" i="8" s="1"/>
  <c r="I174" i="8"/>
  <c r="I164" i="8" s="1"/>
  <c r="K164" i="8" s="1"/>
  <c r="M318" i="8"/>
  <c r="P318" i="8" s="1"/>
  <c r="O336" i="8"/>
  <c r="K360" i="8"/>
  <c r="K370" i="8"/>
  <c r="I443" i="8"/>
  <c r="K443" i="8" s="1"/>
  <c r="K673" i="8"/>
  <c r="L55" i="8"/>
  <c r="L53" i="8" s="1"/>
  <c r="L155" i="8"/>
  <c r="O155" i="8" s="1"/>
  <c r="O285" i="8"/>
  <c r="L300" i="8"/>
  <c r="L298" i="8" s="1"/>
  <c r="O320" i="8"/>
  <c r="L405" i="8"/>
  <c r="O405" i="8" s="1"/>
  <c r="L657" i="8"/>
  <c r="O657" i="8" s="1"/>
  <c r="L33" i="8"/>
  <c r="O33" i="8" s="1"/>
  <c r="N26" i="8"/>
  <c r="N16" i="8" s="1"/>
  <c r="N14" i="8" s="1"/>
  <c r="I216" i="8"/>
  <c r="K216" i="8" s="1"/>
  <c r="I233" i="8"/>
  <c r="K233" i="8" s="1"/>
  <c r="I237" i="8"/>
  <c r="M392" i="8"/>
  <c r="P392" i="8" s="1"/>
  <c r="K362" i="8"/>
  <c r="K379" i="8"/>
  <c r="I433" i="8"/>
  <c r="I417" i="8" s="1"/>
  <c r="J721" i="7"/>
  <c r="P59" i="8"/>
  <c r="M90" i="8"/>
  <c r="M88" i="8" s="1"/>
  <c r="L122" i="8"/>
  <c r="O122" i="8" s="1"/>
  <c r="L304" i="8"/>
  <c r="O304" i="8" s="1"/>
  <c r="K649" i="8"/>
  <c r="M263" i="8"/>
  <c r="M261" i="8" s="1"/>
  <c r="I248" i="8"/>
  <c r="K248" i="8" s="1"/>
  <c r="J327" i="8"/>
  <c r="K327" i="8" s="1"/>
  <c r="K369" i="8"/>
  <c r="N69" i="8"/>
  <c r="P69" i="8" s="1"/>
  <c r="M72" i="8"/>
  <c r="P72" i="8" s="1"/>
  <c r="N134" i="8"/>
  <c r="N132" i="8" s="1"/>
  <c r="M151" i="8"/>
  <c r="M149" i="8" s="1"/>
  <c r="L209" i="8"/>
  <c r="O209" i="8" s="1"/>
  <c r="N330" i="8"/>
  <c r="N328" i="8" s="1"/>
  <c r="K338" i="8"/>
  <c r="M405" i="8"/>
  <c r="P405" i="8" s="1"/>
  <c r="P407" i="8"/>
  <c r="K465" i="8"/>
  <c r="K620" i="8"/>
  <c r="K821" i="8"/>
  <c r="K821" i="7"/>
  <c r="O58" i="8"/>
  <c r="M135" i="8"/>
  <c r="P135" i="8" s="1"/>
  <c r="K561" i="8"/>
  <c r="O353" i="7"/>
  <c r="O61" i="8"/>
  <c r="N121" i="8"/>
  <c r="N119" i="8" s="1"/>
  <c r="L121" i="8"/>
  <c r="O121" i="8" s="1"/>
  <c r="L138" i="8"/>
  <c r="O138" i="8" s="1"/>
  <c r="I143" i="8"/>
  <c r="K143" i="8" s="1"/>
  <c r="K340" i="8"/>
  <c r="K700" i="8"/>
  <c r="L23" i="8"/>
  <c r="L91" i="8"/>
  <c r="O93" i="8"/>
  <c r="O154" i="8"/>
  <c r="O189" i="8"/>
  <c r="L198" i="8"/>
  <c r="O198" i="8" s="1"/>
  <c r="L228" i="8"/>
  <c r="L264" i="8"/>
  <c r="P323" i="8"/>
  <c r="L687" i="8"/>
  <c r="L685" i="8" s="1"/>
  <c r="O685" i="8" s="1"/>
  <c r="O690" i="8"/>
  <c r="L688" i="8"/>
  <c r="O688" i="8" s="1"/>
  <c r="M55" i="6"/>
  <c r="M53" i="6" s="1"/>
  <c r="M167" i="7"/>
  <c r="M165" i="7" s="1"/>
  <c r="N23" i="8"/>
  <c r="N44" i="8"/>
  <c r="P44" i="8" s="1"/>
  <c r="N55" i="8"/>
  <c r="N53" i="8" s="1"/>
  <c r="L134" i="8"/>
  <c r="I190" i="8"/>
  <c r="K190" i="8" s="1"/>
  <c r="M283" i="8"/>
  <c r="P283" i="8" s="1"/>
  <c r="O303" i="8"/>
  <c r="M317" i="8"/>
  <c r="P317" i="8" s="1"/>
  <c r="M334" i="8"/>
  <c r="P334" i="8" s="1"/>
  <c r="K355" i="8"/>
  <c r="O549" i="8"/>
  <c r="K822" i="6"/>
  <c r="K825" i="6"/>
  <c r="K828" i="6"/>
  <c r="L788" i="7"/>
  <c r="O788" i="7" s="1"/>
  <c r="K822" i="7"/>
  <c r="K828" i="7"/>
  <c r="L26" i="8"/>
  <c r="M134" i="8"/>
  <c r="P134" i="8" s="1"/>
  <c r="M138" i="8"/>
  <c r="P138" i="8" s="1"/>
  <c r="N167" i="8"/>
  <c r="N165" i="8" s="1"/>
  <c r="P170" i="8"/>
  <c r="L249" i="8"/>
  <c r="O249" i="8" s="1"/>
  <c r="I260" i="8"/>
  <c r="K260" i="8" s="1"/>
  <c r="N300" i="8"/>
  <c r="N298" i="8" s="1"/>
  <c r="N347" i="8"/>
  <c r="N345" i="8" s="1"/>
  <c r="P350" i="8"/>
  <c r="K825" i="8"/>
  <c r="P168" i="8"/>
  <c r="O301" i="8"/>
  <c r="O410" i="8"/>
  <c r="L408" i="8"/>
  <c r="O408" i="8" s="1"/>
  <c r="L404" i="8"/>
  <c r="O404" i="8" s="1"/>
  <c r="O528" i="8"/>
  <c r="L525" i="8"/>
  <c r="N404" i="7"/>
  <c r="N402" i="7" s="1"/>
  <c r="N56" i="8"/>
  <c r="P56" i="8" s="1"/>
  <c r="P71" i="8"/>
  <c r="J143" i="8"/>
  <c r="J131" i="8" s="1"/>
  <c r="M171" i="8"/>
  <c r="P171" i="8" s="1"/>
  <c r="M184" i="8"/>
  <c r="P184" i="8" s="1"/>
  <c r="I276" i="8"/>
  <c r="K276" i="8" s="1"/>
  <c r="O282" i="8"/>
  <c r="O331" i="8"/>
  <c r="M351" i="8"/>
  <c r="P351" i="8" s="1"/>
  <c r="P410" i="8"/>
  <c r="M408" i="8"/>
  <c r="P408" i="8" s="1"/>
  <c r="K460" i="8"/>
  <c r="K381" i="7"/>
  <c r="M404" i="7"/>
  <c r="P404" i="7" s="1"/>
  <c r="P46" i="8"/>
  <c r="L135" i="8"/>
  <c r="O135" i="8" s="1"/>
  <c r="O173" i="8"/>
  <c r="M187" i="8"/>
  <c r="P187" i="8" s="1"/>
  <c r="N263" i="8"/>
  <c r="M279" i="8"/>
  <c r="M277" i="8" s="1"/>
  <c r="P306" i="8"/>
  <c r="I314" i="8"/>
  <c r="K314" i="8" s="1"/>
  <c r="P333" i="8"/>
  <c r="O353" i="8"/>
  <c r="I364" i="8"/>
  <c r="K372" i="8"/>
  <c r="N405" i="8"/>
  <c r="N404" i="8"/>
  <c r="N402" i="8" s="1"/>
  <c r="K628" i="8"/>
  <c r="K577" i="8"/>
  <c r="K594" i="8"/>
  <c r="K674" i="8"/>
  <c r="K828" i="8"/>
  <c r="L555" i="8"/>
  <c r="O555" i="8" s="1"/>
  <c r="I434" i="8"/>
  <c r="I418" i="8" s="1"/>
  <c r="K418" i="8" s="1"/>
  <c r="K827" i="8"/>
  <c r="N28" i="8"/>
  <c r="L555" i="6"/>
  <c r="O555" i="6" s="1"/>
  <c r="I148" i="7"/>
  <c r="K148" i="7" s="1"/>
  <c r="L134" i="7"/>
  <c r="L132" i="7" s="1"/>
  <c r="L230" i="7"/>
  <c r="M405" i="7"/>
  <c r="P405" i="7" s="1"/>
  <c r="L12" i="8"/>
  <c r="L19" i="8"/>
  <c r="M26" i="8"/>
  <c r="P42" i="8"/>
  <c r="L44" i="8"/>
  <c r="O46" i="8"/>
  <c r="O59" i="8"/>
  <c r="P67" i="8"/>
  <c r="L69" i="8"/>
  <c r="O71" i="8"/>
  <c r="P89" i="8"/>
  <c r="N91" i="8"/>
  <c r="M91" i="8"/>
  <c r="P93" i="8"/>
  <c r="M125" i="8"/>
  <c r="P125" i="8" s="1"/>
  <c r="P127" i="8"/>
  <c r="N151" i="8"/>
  <c r="N149" i="8" s="1"/>
  <c r="L167" i="8"/>
  <c r="O170" i="8"/>
  <c r="L183" i="8"/>
  <c r="O186" i="8"/>
  <c r="N279" i="8"/>
  <c r="N280" i="8"/>
  <c r="P280" i="8" s="1"/>
  <c r="I275" i="8"/>
  <c r="J288" i="8"/>
  <c r="J275" i="8" s="1"/>
  <c r="M331" i="8"/>
  <c r="P331" i="8" s="1"/>
  <c r="N47" i="8"/>
  <c r="L231" i="7"/>
  <c r="O266" i="7"/>
  <c r="M408" i="7"/>
  <c r="P408" i="7" s="1"/>
  <c r="K649" i="7"/>
  <c r="M12" i="8"/>
  <c r="M19" i="8"/>
  <c r="O54" i="8"/>
  <c r="I112" i="8"/>
  <c r="K112" i="8" s="1"/>
  <c r="I148" i="8"/>
  <c r="K148" i="8" s="1"/>
  <c r="M167" i="8"/>
  <c r="M183" i="8"/>
  <c r="L230" i="8"/>
  <c r="O299" i="8"/>
  <c r="N421" i="8"/>
  <c r="N419" i="8" s="1"/>
  <c r="N422" i="8"/>
  <c r="J543" i="8"/>
  <c r="K543" i="8" s="1"/>
  <c r="K559" i="8"/>
  <c r="L321" i="6"/>
  <c r="O321" i="6" s="1"/>
  <c r="P69" i="7"/>
  <c r="L263" i="7"/>
  <c r="L261" i="7" s="1"/>
  <c r="L267" i="7"/>
  <c r="O267" i="7" s="1"/>
  <c r="N12" i="8"/>
  <c r="M122" i="8"/>
  <c r="P122" i="8" s="1"/>
  <c r="P124" i="8"/>
  <c r="P133" i="8"/>
  <c r="O166" i="8"/>
  <c r="O182" i="8"/>
  <c r="N264" i="8"/>
  <c r="P266" i="8"/>
  <c r="O266" i="8"/>
  <c r="L395" i="8"/>
  <c r="O395" i="8" s="1"/>
  <c r="O397" i="8"/>
  <c r="I522" i="8"/>
  <c r="K522" i="8" s="1"/>
  <c r="K537" i="8"/>
  <c r="N788" i="8"/>
  <c r="N789" i="8"/>
  <c r="I785" i="8"/>
  <c r="K785" i="8" s="1"/>
  <c r="K800" i="8"/>
  <c r="O806" i="8"/>
  <c r="L805" i="8"/>
  <c r="O805" i="8" s="1"/>
  <c r="K708" i="6"/>
  <c r="K729" i="6"/>
  <c r="L198" i="7"/>
  <c r="O198" i="7" s="1"/>
  <c r="O333" i="7"/>
  <c r="K824" i="7"/>
  <c r="K827" i="7"/>
  <c r="M23" i="8"/>
  <c r="L47" i="8"/>
  <c r="O47" i="8" s="1"/>
  <c r="O49" i="8"/>
  <c r="L72" i="8"/>
  <c r="O72" i="8" s="1"/>
  <c r="O74" i="8"/>
  <c r="I77" i="8"/>
  <c r="O168" i="8"/>
  <c r="O184" i="8"/>
  <c r="N318" i="8"/>
  <c r="N317" i="8"/>
  <c r="N315" i="8" s="1"/>
  <c r="O787" i="8"/>
  <c r="L786" i="8"/>
  <c r="O786" i="8" s="1"/>
  <c r="P303" i="8"/>
  <c r="M301" i="8"/>
  <c r="P301" i="8" s="1"/>
  <c r="I112" i="7"/>
  <c r="K112" i="7" s="1"/>
  <c r="M55" i="8"/>
  <c r="I76" i="8"/>
  <c r="M94" i="8"/>
  <c r="P94" i="8" s="1"/>
  <c r="P96" i="8"/>
  <c r="K99" i="8"/>
  <c r="M121" i="8"/>
  <c r="L217" i="8"/>
  <c r="O217" i="8" s="1"/>
  <c r="K225" i="8"/>
  <c r="M300" i="8"/>
  <c r="M330" i="8"/>
  <c r="P348" i="8"/>
  <c r="L391" i="8"/>
  <c r="O391" i="8" s="1"/>
  <c r="P738" i="8"/>
  <c r="M737" i="8"/>
  <c r="P737" i="8" s="1"/>
  <c r="O390" i="8"/>
  <c r="O346" i="8"/>
  <c r="O348" i="8"/>
  <c r="L470" i="8"/>
  <c r="O470" i="8" s="1"/>
  <c r="P771" i="8"/>
  <c r="M770" i="8"/>
  <c r="P770" i="8" s="1"/>
  <c r="P154" i="8"/>
  <c r="P157" i="8"/>
  <c r="I197" i="8"/>
  <c r="K197" i="8" s="1"/>
  <c r="L279" i="8"/>
  <c r="P282" i="8"/>
  <c r="O329" i="8"/>
  <c r="L422" i="8"/>
  <c r="O422" i="8" s="1"/>
  <c r="O424" i="8"/>
  <c r="O445" i="8"/>
  <c r="N447" i="8"/>
  <c r="O479" i="8"/>
  <c r="N504" i="8"/>
  <c r="N502" i="8" s="1"/>
  <c r="N505" i="8"/>
  <c r="P524" i="8"/>
  <c r="M523" i="8"/>
  <c r="P523" i="8" s="1"/>
  <c r="O630" i="8"/>
  <c r="N632" i="8"/>
  <c r="J669" i="8"/>
  <c r="K675" i="8"/>
  <c r="P686" i="8"/>
  <c r="M685" i="8"/>
  <c r="P685" i="8" s="1"/>
  <c r="P755" i="8"/>
  <c r="M754" i="8"/>
  <c r="P754" i="8" s="1"/>
  <c r="N770" i="8"/>
  <c r="L347" i="8"/>
  <c r="O350" i="8"/>
  <c r="O351" i="8"/>
  <c r="M391" i="8"/>
  <c r="N737" i="8"/>
  <c r="I297" i="8"/>
  <c r="K297" i="8" s="1"/>
  <c r="L330" i="8"/>
  <c r="O333" i="8"/>
  <c r="M347" i="8"/>
  <c r="K385" i="8"/>
  <c r="O403" i="8"/>
  <c r="O420" i="8"/>
  <c r="L447" i="8"/>
  <c r="O449" i="8"/>
  <c r="L469" i="8"/>
  <c r="O469" i="8" s="1"/>
  <c r="J537" i="8"/>
  <c r="J522" i="8" s="1"/>
  <c r="J560" i="8"/>
  <c r="K560" i="8" s="1"/>
  <c r="I592" i="8"/>
  <c r="K592" i="8" s="1"/>
  <c r="K593" i="8"/>
  <c r="L632" i="8"/>
  <c r="O634" i="8"/>
  <c r="N786" i="8"/>
  <c r="M786" i="8"/>
  <c r="P786" i="8" s="1"/>
  <c r="M805" i="8"/>
  <c r="P805" i="8" s="1"/>
  <c r="M419" i="8"/>
  <c r="J433" i="8"/>
  <c r="J417" i="8" s="1"/>
  <c r="M444" i="8"/>
  <c r="P444" i="8" s="1"/>
  <c r="L502" i="8"/>
  <c r="O502" i="8" s="1"/>
  <c r="L533" i="8"/>
  <c r="O533" i="8" s="1"/>
  <c r="L546" i="8"/>
  <c r="L544" i="8" s="1"/>
  <c r="O544" i="8" s="1"/>
  <c r="M629" i="8"/>
  <c r="P629" i="8" s="1"/>
  <c r="K365" i="8"/>
  <c r="M467" i="8"/>
  <c r="P467" i="8" s="1"/>
  <c r="M502" i="8"/>
  <c r="P502" i="8" s="1"/>
  <c r="K576" i="8"/>
  <c r="K651" i="8"/>
  <c r="M545" i="8"/>
  <c r="N546" i="8"/>
  <c r="N544" i="8" s="1"/>
  <c r="O535" i="7"/>
  <c r="P285" i="6"/>
  <c r="L55" i="7"/>
  <c r="L53" i="7" s="1"/>
  <c r="L94" i="7"/>
  <c r="O94" i="7" s="1"/>
  <c r="K360" i="7"/>
  <c r="L789" i="4"/>
  <c r="O789" i="4" s="1"/>
  <c r="M135" i="7"/>
  <c r="J143" i="7"/>
  <c r="J131" i="7" s="1"/>
  <c r="L317" i="7"/>
  <c r="O317" i="7" s="1"/>
  <c r="M392" i="7"/>
  <c r="P392" i="7" s="1"/>
  <c r="I443" i="7"/>
  <c r="K443" i="7" s="1"/>
  <c r="L183" i="7"/>
  <c r="L181" i="7" s="1"/>
  <c r="L318" i="7"/>
  <c r="O318" i="7" s="1"/>
  <c r="L321" i="7"/>
  <c r="O321" i="7" s="1"/>
  <c r="O350" i="7"/>
  <c r="J785" i="7"/>
  <c r="I76" i="7"/>
  <c r="K76" i="7" s="1"/>
  <c r="L121" i="7"/>
  <c r="L119" i="7" s="1"/>
  <c r="L209" i="7"/>
  <c r="O209" i="7" s="1"/>
  <c r="M263" i="7"/>
  <c r="M261" i="7" s="1"/>
  <c r="N301" i="7"/>
  <c r="L304" i="7"/>
  <c r="O304" i="7" s="1"/>
  <c r="K340" i="7"/>
  <c r="N151" i="7"/>
  <c r="N149" i="7" s="1"/>
  <c r="M347" i="6"/>
  <c r="M345" i="6" s="1"/>
  <c r="N404" i="6"/>
  <c r="N402" i="6" s="1"/>
  <c r="L68" i="7"/>
  <c r="L66" i="7" s="1"/>
  <c r="K78" i="7"/>
  <c r="N121" i="7"/>
  <c r="N119" i="7" s="1"/>
  <c r="I276" i="7"/>
  <c r="K276" i="7" s="1"/>
  <c r="M279" i="7"/>
  <c r="I297" i="7"/>
  <c r="K297" i="7" s="1"/>
  <c r="L300" i="7"/>
  <c r="O300" i="7" s="1"/>
  <c r="N317" i="7"/>
  <c r="N315" i="7" s="1"/>
  <c r="N351" i="7"/>
  <c r="O351" i="7" s="1"/>
  <c r="K369" i="7"/>
  <c r="K372" i="7"/>
  <c r="J433" i="7"/>
  <c r="J417" i="7" s="1"/>
  <c r="L477" i="7"/>
  <c r="O477" i="7" s="1"/>
  <c r="L631" i="7"/>
  <c r="O631" i="7" s="1"/>
  <c r="M43" i="7"/>
  <c r="M41" i="7" s="1"/>
  <c r="L301" i="7"/>
  <c r="O301" i="7" s="1"/>
  <c r="L47" i="7"/>
  <c r="O47" i="7" s="1"/>
  <c r="L56" i="7"/>
  <c r="O56" i="7" s="1"/>
  <c r="M90" i="7"/>
  <c r="M88" i="7" s="1"/>
  <c r="I260" i="7"/>
  <c r="K260" i="7" s="1"/>
  <c r="K365" i="7"/>
  <c r="N391" i="7"/>
  <c r="N389" i="7" s="1"/>
  <c r="I442" i="7"/>
  <c r="K442" i="7" s="1"/>
  <c r="K537" i="7"/>
  <c r="O140" i="5"/>
  <c r="M47" i="7"/>
  <c r="P47" i="7" s="1"/>
  <c r="M68" i="7"/>
  <c r="M66" i="7" s="1"/>
  <c r="O125" i="7"/>
  <c r="N264" i="7"/>
  <c r="O264" i="7" s="1"/>
  <c r="N263" i="7"/>
  <c r="J364" i="7"/>
  <c r="L395" i="7"/>
  <c r="O395" i="7" s="1"/>
  <c r="O168" i="7"/>
  <c r="M317" i="7"/>
  <c r="P317" i="7" s="1"/>
  <c r="N347" i="7"/>
  <c r="N345" i="7" s="1"/>
  <c r="P353" i="7"/>
  <c r="J722" i="7"/>
  <c r="I77" i="7"/>
  <c r="N91" i="7"/>
  <c r="O91" i="7" s="1"/>
  <c r="P93" i="7"/>
  <c r="K193" i="7"/>
  <c r="I190" i="7"/>
  <c r="K190" i="7" s="1"/>
  <c r="N267" i="7"/>
  <c r="I275" i="7"/>
  <c r="L408" i="7"/>
  <c r="O408" i="7" s="1"/>
  <c r="O336" i="7"/>
  <c r="L334" i="7"/>
  <c r="O334" i="7" s="1"/>
  <c r="N90" i="6"/>
  <c r="N88" i="6" s="1"/>
  <c r="K593" i="6"/>
  <c r="I592" i="6"/>
  <c r="K592" i="6" s="1"/>
  <c r="K115" i="7"/>
  <c r="L167" i="7"/>
  <c r="L165" i="7" s="1"/>
  <c r="N184" i="7"/>
  <c r="O184" i="7" s="1"/>
  <c r="L187" i="7"/>
  <c r="O187" i="7" s="1"/>
  <c r="J288" i="7"/>
  <c r="J275" i="7" s="1"/>
  <c r="P333" i="7"/>
  <c r="M331" i="7"/>
  <c r="P331" i="7" s="1"/>
  <c r="K379" i="7"/>
  <c r="L469" i="7"/>
  <c r="O469" i="7" s="1"/>
  <c r="O472" i="7"/>
  <c r="L470" i="7"/>
  <c r="O470" i="7" s="1"/>
  <c r="O58" i="7"/>
  <c r="N135" i="7"/>
  <c r="K176" i="7"/>
  <c r="I174" i="7"/>
  <c r="I164" i="7" s="1"/>
  <c r="K164" i="7" s="1"/>
  <c r="N405" i="7"/>
  <c r="O127" i="6"/>
  <c r="O140" i="6"/>
  <c r="M167" i="6"/>
  <c r="M165" i="6" s="1"/>
  <c r="N44" i="7"/>
  <c r="P44" i="7" s="1"/>
  <c r="N23" i="7"/>
  <c r="L69" i="7"/>
  <c r="O69" i="7" s="1"/>
  <c r="L122" i="7"/>
  <c r="O122" i="7" s="1"/>
  <c r="L171" i="7"/>
  <c r="O171" i="7" s="1"/>
  <c r="L238" i="7"/>
  <c r="O238" i="7" s="1"/>
  <c r="P285" i="7"/>
  <c r="M283" i="7"/>
  <c r="P283" i="7" s="1"/>
  <c r="N321" i="7"/>
  <c r="K338" i="7"/>
  <c r="M91" i="7"/>
  <c r="O280" i="6"/>
  <c r="N47" i="7"/>
  <c r="N26" i="7"/>
  <c r="N16" i="7" s="1"/>
  <c r="N14" i="7" s="1"/>
  <c r="P58" i="7"/>
  <c r="P61" i="7"/>
  <c r="M59" i="7"/>
  <c r="P59" i="7" s="1"/>
  <c r="L72" i="7"/>
  <c r="O72" i="7" s="1"/>
  <c r="P74" i="7"/>
  <c r="M122" i="7"/>
  <c r="P122" i="7" s="1"/>
  <c r="O127" i="7"/>
  <c r="P140" i="7"/>
  <c r="O154" i="7"/>
  <c r="L152" i="7"/>
  <c r="O152" i="7" s="1"/>
  <c r="K224" i="7"/>
  <c r="I216" i="7"/>
  <c r="K216" i="7" s="1"/>
  <c r="L229" i="7"/>
  <c r="L279" i="7"/>
  <c r="L277" i="7" s="1"/>
  <c r="K823" i="7"/>
  <c r="N330" i="7"/>
  <c r="N328" i="7" s="1"/>
  <c r="P350" i="7"/>
  <c r="K385" i="7"/>
  <c r="L23" i="7"/>
  <c r="M26" i="7"/>
  <c r="M16" i="7" s="1"/>
  <c r="K99" i="7"/>
  <c r="K111" i="7"/>
  <c r="P125" i="7"/>
  <c r="I233" i="7"/>
  <c r="K233" i="7" s="1"/>
  <c r="L404" i="7"/>
  <c r="O404" i="7" s="1"/>
  <c r="K372" i="6"/>
  <c r="K720" i="6"/>
  <c r="L90" i="7"/>
  <c r="K244" i="7"/>
  <c r="L228" i="7"/>
  <c r="N348" i="7"/>
  <c r="P348" i="7" s="1"/>
  <c r="K362" i="7"/>
  <c r="K370" i="7"/>
  <c r="L405" i="7"/>
  <c r="O405" i="7" s="1"/>
  <c r="L36" i="7"/>
  <c r="O36" i="7" s="1"/>
  <c r="K593" i="7"/>
  <c r="K647" i="7"/>
  <c r="L658" i="7"/>
  <c r="O658" i="7" s="1"/>
  <c r="I785" i="7"/>
  <c r="K785" i="7" s="1"/>
  <c r="O19" i="7"/>
  <c r="L231" i="6"/>
  <c r="L29" i="7"/>
  <c r="L43" i="7"/>
  <c r="M55" i="7"/>
  <c r="M53" i="7" s="1"/>
  <c r="O61" i="7"/>
  <c r="N68" i="7"/>
  <c r="O71" i="7"/>
  <c r="O93" i="7"/>
  <c r="P96" i="7"/>
  <c r="P133" i="7"/>
  <c r="O137" i="7"/>
  <c r="L135" i="7"/>
  <c r="K146" i="7"/>
  <c r="P157" i="7"/>
  <c r="O170" i="7"/>
  <c r="I208" i="7"/>
  <c r="K208" i="7" s="1"/>
  <c r="M267" i="7"/>
  <c r="P267" i="7" s="1"/>
  <c r="P269" i="7"/>
  <c r="M301" i="7"/>
  <c r="P301" i="7" s="1"/>
  <c r="P303" i="7"/>
  <c r="J327" i="7"/>
  <c r="K327" i="7" s="1"/>
  <c r="K355" i="7"/>
  <c r="O403" i="7"/>
  <c r="P420" i="7"/>
  <c r="M419" i="7"/>
  <c r="M30" i="7"/>
  <c r="P30" i="7" s="1"/>
  <c r="P189" i="7"/>
  <c r="M187" i="7"/>
  <c r="P187" i="7" s="1"/>
  <c r="L90" i="6"/>
  <c r="N55" i="7"/>
  <c r="P71" i="7"/>
  <c r="M151" i="7"/>
  <c r="N167" i="7"/>
  <c r="N165" i="7" s="1"/>
  <c r="P182" i="7"/>
  <c r="P186" i="7"/>
  <c r="M184" i="7"/>
  <c r="P346" i="7"/>
  <c r="P397" i="7"/>
  <c r="M395" i="7"/>
  <c r="P395" i="7" s="1"/>
  <c r="M391" i="7"/>
  <c r="P807" i="7"/>
  <c r="M805" i="7"/>
  <c r="P805" i="7" s="1"/>
  <c r="P22" i="7"/>
  <c r="O25" i="7"/>
  <c r="M34" i="7"/>
  <c r="P34" i="7" s="1"/>
  <c r="N43" i="7"/>
  <c r="O46" i="7"/>
  <c r="O89" i="7"/>
  <c r="M121" i="7"/>
  <c r="P127" i="7"/>
  <c r="P154" i="7"/>
  <c r="P173" i="7"/>
  <c r="M171" i="7"/>
  <c r="P171" i="7" s="1"/>
  <c r="M304" i="7"/>
  <c r="P304" i="7" s="1"/>
  <c r="P306" i="7"/>
  <c r="P445" i="7"/>
  <c r="M444" i="7"/>
  <c r="P444" i="7" s="1"/>
  <c r="N505" i="7"/>
  <c r="N504" i="7"/>
  <c r="N502" i="7" s="1"/>
  <c r="P545" i="7"/>
  <c r="M544" i="7"/>
  <c r="P544" i="7" s="1"/>
  <c r="K675" i="7"/>
  <c r="I654" i="7"/>
  <c r="K654" i="7" s="1"/>
  <c r="K674" i="7"/>
  <c r="K673" i="7"/>
  <c r="K669" i="7"/>
  <c r="K672" i="7"/>
  <c r="O299" i="7"/>
  <c r="M12" i="7"/>
  <c r="L15" i="7"/>
  <c r="P29" i="7"/>
  <c r="M31" i="7"/>
  <c r="P31" i="7" s="1"/>
  <c r="P46" i="7"/>
  <c r="K98" i="7"/>
  <c r="P137" i="7"/>
  <c r="O140" i="7"/>
  <c r="L138" i="7"/>
  <c r="O138" i="7" s="1"/>
  <c r="M183" i="7"/>
  <c r="O186" i="7"/>
  <c r="K204" i="7"/>
  <c r="K255" i="7"/>
  <c r="I248" i="7"/>
  <c r="O262" i="7"/>
  <c r="P278" i="7"/>
  <c r="N280" i="7"/>
  <c r="P280" i="7" s="1"/>
  <c r="P282" i="7"/>
  <c r="L392" i="7"/>
  <c r="O392" i="7" s="1"/>
  <c r="O394" i="7"/>
  <c r="L391" i="7"/>
  <c r="O391" i="7" s="1"/>
  <c r="L429" i="7"/>
  <c r="O429" i="7" s="1"/>
  <c r="O431" i="7"/>
  <c r="I434" i="7"/>
  <c r="K438" i="7"/>
  <c r="O656" i="7"/>
  <c r="L454" i="7"/>
  <c r="O454" i="7" s="1"/>
  <c r="O456" i="7"/>
  <c r="P127" i="6"/>
  <c r="N12" i="7"/>
  <c r="M15" i="7"/>
  <c r="M19" i="7"/>
  <c r="M23" i="7"/>
  <c r="N31" i="7"/>
  <c r="L26" i="7"/>
  <c r="L24" i="7" s="1"/>
  <c r="M56" i="7"/>
  <c r="P56" i="7" s="1"/>
  <c r="P138" i="7"/>
  <c r="K145" i="7"/>
  <c r="I143" i="7"/>
  <c r="O150" i="7"/>
  <c r="P170" i="7"/>
  <c r="M168" i="7"/>
  <c r="P168" i="7" s="1"/>
  <c r="L217" i="7"/>
  <c r="O217" i="7" s="1"/>
  <c r="M264" i="7"/>
  <c r="P266" i="7"/>
  <c r="M300" i="7"/>
  <c r="K378" i="7"/>
  <c r="L33" i="7"/>
  <c r="O282" i="7"/>
  <c r="O285" i="7"/>
  <c r="M318" i="7"/>
  <c r="P318" i="7" s="1"/>
  <c r="M321" i="7"/>
  <c r="P321" i="7" s="1"/>
  <c r="O329" i="7"/>
  <c r="L331" i="7"/>
  <c r="O331" i="7" s="1"/>
  <c r="M334" i="7"/>
  <c r="P334" i="7" s="1"/>
  <c r="L348" i="7"/>
  <c r="M351" i="7"/>
  <c r="K374" i="7"/>
  <c r="N392" i="7"/>
  <c r="O407" i="7"/>
  <c r="N419" i="7"/>
  <c r="L422" i="7"/>
  <c r="O422" i="7" s="1"/>
  <c r="N444" i="7"/>
  <c r="L447" i="7"/>
  <c r="O447" i="7" s="1"/>
  <c r="N525" i="7"/>
  <c r="N523" i="7" s="1"/>
  <c r="J537" i="7"/>
  <c r="J522" i="7" s="1"/>
  <c r="K539" i="7"/>
  <c r="K561" i="7"/>
  <c r="K576" i="7"/>
  <c r="J592" i="7"/>
  <c r="K592" i="7" s="1"/>
  <c r="K651" i="7"/>
  <c r="O806" i="7"/>
  <c r="L805" i="7"/>
  <c r="O805" i="7" s="1"/>
  <c r="M523" i="7"/>
  <c r="P523" i="7" s="1"/>
  <c r="P524" i="7"/>
  <c r="O528" i="7"/>
  <c r="L526" i="7"/>
  <c r="O526" i="7" s="1"/>
  <c r="L330" i="7"/>
  <c r="L328" i="7" s="1"/>
  <c r="L347" i="7"/>
  <c r="L421" i="7"/>
  <c r="O421" i="7" s="1"/>
  <c r="I433" i="7"/>
  <c r="K435" i="7"/>
  <c r="L446" i="7"/>
  <c r="O446" i="7" s="1"/>
  <c r="L546" i="7"/>
  <c r="I543" i="7"/>
  <c r="K543" i="7" s="1"/>
  <c r="K559" i="7"/>
  <c r="K577" i="7"/>
  <c r="N658" i="7"/>
  <c r="L249" i="7"/>
  <c r="O249" i="7" s="1"/>
  <c r="M330" i="7"/>
  <c r="M347" i="7"/>
  <c r="O549" i="7"/>
  <c r="K628" i="7"/>
  <c r="I364" i="7"/>
  <c r="P468" i="7"/>
  <c r="L525" i="7"/>
  <c r="K560" i="7"/>
  <c r="K569" i="7"/>
  <c r="P657" i="7"/>
  <c r="M655" i="7"/>
  <c r="P655" i="7" s="1"/>
  <c r="O690" i="7"/>
  <c r="L687" i="7"/>
  <c r="O687" i="7" s="1"/>
  <c r="L688" i="7"/>
  <c r="O688" i="7" s="1"/>
  <c r="O630" i="7"/>
  <c r="L639" i="7"/>
  <c r="O639" i="7" s="1"/>
  <c r="P686" i="7"/>
  <c r="P787" i="7"/>
  <c r="L789" i="7"/>
  <c r="O789" i="7" s="1"/>
  <c r="L632" i="7"/>
  <c r="O632" i="7" s="1"/>
  <c r="L737" i="7"/>
  <c r="O737" i="7" s="1"/>
  <c r="L754" i="7"/>
  <c r="O754" i="7" s="1"/>
  <c r="N121" i="5"/>
  <c r="N119" i="5" s="1"/>
  <c r="N91" i="6"/>
  <c r="O91" i="6" s="1"/>
  <c r="O93" i="6"/>
  <c r="M183" i="6"/>
  <c r="M181" i="6" s="1"/>
  <c r="I297" i="6"/>
  <c r="K297" i="6" s="1"/>
  <c r="M318" i="6"/>
  <c r="P318" i="6" s="1"/>
  <c r="K360" i="6"/>
  <c r="N68" i="6"/>
  <c r="N66" i="6" s="1"/>
  <c r="O135" i="5"/>
  <c r="L546" i="5"/>
  <c r="L544" i="5" s="1"/>
  <c r="L94" i="6"/>
  <c r="O94" i="6" s="1"/>
  <c r="N391" i="6"/>
  <c r="N389" i="6" s="1"/>
  <c r="L171" i="6"/>
  <c r="O171" i="6" s="1"/>
  <c r="K378" i="6"/>
  <c r="L408" i="6"/>
  <c r="O408" i="6" s="1"/>
  <c r="O269" i="6"/>
  <c r="K359" i="6"/>
  <c r="K362" i="6"/>
  <c r="K379" i="6"/>
  <c r="K725" i="6"/>
  <c r="J722" i="6"/>
  <c r="K722" i="6" s="1"/>
  <c r="K803" i="6"/>
  <c r="L90" i="5"/>
  <c r="L88" i="5" s="1"/>
  <c r="K146" i="5"/>
  <c r="I275" i="6"/>
  <c r="J327" i="6"/>
  <c r="K327" i="6" s="1"/>
  <c r="I443" i="6"/>
  <c r="K443" i="6" s="1"/>
  <c r="K723" i="6"/>
  <c r="J721" i="6"/>
  <c r="K721" i="6" s="1"/>
  <c r="I276" i="6"/>
  <c r="K276" i="6" s="1"/>
  <c r="L279" i="6"/>
  <c r="L277" i="6" s="1"/>
  <c r="L392" i="6"/>
  <c r="O392" i="6" s="1"/>
  <c r="L47" i="5"/>
  <c r="O47" i="5" s="1"/>
  <c r="L631" i="5"/>
  <c r="O631" i="5" s="1"/>
  <c r="K674" i="5"/>
  <c r="O285" i="6"/>
  <c r="L446" i="6"/>
  <c r="L444" i="6" s="1"/>
  <c r="O264" i="5"/>
  <c r="N55" i="6"/>
  <c r="L121" i="6"/>
  <c r="O121" i="6" s="1"/>
  <c r="O157" i="6"/>
  <c r="P353" i="6"/>
  <c r="I364" i="6"/>
  <c r="L546" i="6"/>
  <c r="L544" i="6" s="1"/>
  <c r="K700" i="6"/>
  <c r="K821" i="6"/>
  <c r="K824" i="6"/>
  <c r="K827" i="6"/>
  <c r="O44" i="6"/>
  <c r="N121" i="6"/>
  <c r="N119" i="6" s="1"/>
  <c r="O184" i="6"/>
  <c r="O266" i="6"/>
  <c r="O336" i="6"/>
  <c r="O350" i="6"/>
  <c r="K385" i="6"/>
  <c r="L421" i="6"/>
  <c r="L419" i="6" s="1"/>
  <c r="O419" i="6" s="1"/>
  <c r="L36" i="6"/>
  <c r="O36" i="6" s="1"/>
  <c r="L525" i="6"/>
  <c r="O525" i="6" s="1"/>
  <c r="K577" i="6"/>
  <c r="J785" i="6"/>
  <c r="P44" i="6"/>
  <c r="P71" i="6"/>
  <c r="N151" i="6"/>
  <c r="N149" i="6" s="1"/>
  <c r="I216" i="6"/>
  <c r="K216" i="6" s="1"/>
  <c r="I260" i="6"/>
  <c r="K260" i="6" s="1"/>
  <c r="L318" i="6"/>
  <c r="O318" i="6" s="1"/>
  <c r="K338" i="6"/>
  <c r="P350" i="6"/>
  <c r="K381" i="6"/>
  <c r="K647" i="6"/>
  <c r="P46" i="6"/>
  <c r="N43" i="6"/>
  <c r="N41" i="6" s="1"/>
  <c r="N69" i="6"/>
  <c r="P69" i="6" s="1"/>
  <c r="M72" i="6"/>
  <c r="P72" i="6" s="1"/>
  <c r="L134" i="6"/>
  <c r="L132" i="6" s="1"/>
  <c r="M321" i="6"/>
  <c r="P321" i="6" s="1"/>
  <c r="N347" i="6"/>
  <c r="N345" i="6" s="1"/>
  <c r="O351" i="6"/>
  <c r="K561" i="6"/>
  <c r="L687" i="6"/>
  <c r="O687" i="6" s="1"/>
  <c r="K701" i="6"/>
  <c r="O306" i="6"/>
  <c r="L330" i="6"/>
  <c r="L328" i="6" s="1"/>
  <c r="K369" i="6"/>
  <c r="M395" i="6"/>
  <c r="P395" i="6" s="1"/>
  <c r="L429" i="6"/>
  <c r="O429" i="6" s="1"/>
  <c r="I559" i="6"/>
  <c r="I543" i="6" s="1"/>
  <c r="K823" i="6"/>
  <c r="K826" i="6"/>
  <c r="L55" i="4"/>
  <c r="L53" i="4" s="1"/>
  <c r="L477" i="4"/>
  <c r="O477" i="4" s="1"/>
  <c r="I87" i="6"/>
  <c r="K87" i="6" s="1"/>
  <c r="K99" i="6"/>
  <c r="K359" i="4"/>
  <c r="L69" i="6"/>
  <c r="O71" i="6"/>
  <c r="L68" i="6"/>
  <c r="M94" i="6"/>
  <c r="P94" i="6" s="1"/>
  <c r="P96" i="6"/>
  <c r="M90" i="6"/>
  <c r="M88" i="6" s="1"/>
  <c r="K215" i="6"/>
  <c r="I208" i="6"/>
  <c r="K208" i="6" s="1"/>
  <c r="M267" i="6"/>
  <c r="P267" i="6" s="1"/>
  <c r="M263" i="6"/>
  <c r="P269" i="6"/>
  <c r="P336" i="6"/>
  <c r="M334" i="6"/>
  <c r="P334" i="6" s="1"/>
  <c r="M330" i="6"/>
  <c r="P49" i="6"/>
  <c r="M43" i="6"/>
  <c r="M279" i="6"/>
  <c r="M277" i="6" s="1"/>
  <c r="M280" i="6"/>
  <c r="P280" i="6" s="1"/>
  <c r="I197" i="6"/>
  <c r="K197" i="6" s="1"/>
  <c r="K204" i="6"/>
  <c r="N317" i="6"/>
  <c r="N315" i="6" s="1"/>
  <c r="N318" i="6"/>
  <c r="N330" i="6"/>
  <c r="P333" i="6"/>
  <c r="N331" i="6"/>
  <c r="P331" i="6" s="1"/>
  <c r="L347" i="6"/>
  <c r="L345" i="6" s="1"/>
  <c r="O353" i="6"/>
  <c r="P394" i="6"/>
  <c r="M391" i="6"/>
  <c r="N405" i="6"/>
  <c r="L151" i="6"/>
  <c r="O154" i="6"/>
  <c r="L152" i="6"/>
  <c r="O152" i="6" s="1"/>
  <c r="N47" i="6"/>
  <c r="L55" i="6"/>
  <c r="I77" i="6"/>
  <c r="M351" i="6"/>
  <c r="P351" i="6" s="1"/>
  <c r="L533" i="6"/>
  <c r="O533" i="6" s="1"/>
  <c r="L55" i="5"/>
  <c r="L53" i="5" s="1"/>
  <c r="P93" i="5"/>
  <c r="N26" i="6"/>
  <c r="N16" i="6" s="1"/>
  <c r="I76" i="6"/>
  <c r="I64" i="6" s="1"/>
  <c r="K64" i="6" s="1"/>
  <c r="I130" i="6"/>
  <c r="K130" i="6" s="1"/>
  <c r="P138" i="6"/>
  <c r="O282" i="6"/>
  <c r="L300" i="6"/>
  <c r="L298" i="6" s="1"/>
  <c r="K374" i="6"/>
  <c r="O535" i="6"/>
  <c r="I785" i="6"/>
  <c r="N392" i="6"/>
  <c r="K628" i="6"/>
  <c r="M56" i="6"/>
  <c r="P56" i="6" s="1"/>
  <c r="M68" i="6"/>
  <c r="K80" i="6"/>
  <c r="L122" i="6"/>
  <c r="O122" i="6" s="1"/>
  <c r="M134" i="6"/>
  <c r="M132" i="6" s="1"/>
  <c r="P137" i="6"/>
  <c r="I148" i="6"/>
  <c r="K148" i="6" s="1"/>
  <c r="L167" i="6"/>
  <c r="L165" i="6" s="1"/>
  <c r="L183" i="6"/>
  <c r="L181" i="6" s="1"/>
  <c r="M300" i="6"/>
  <c r="M298" i="6" s="1"/>
  <c r="L348" i="6"/>
  <c r="O348" i="6" s="1"/>
  <c r="K466" i="6"/>
  <c r="K649" i="6"/>
  <c r="L657" i="6"/>
  <c r="O657" i="6" s="1"/>
  <c r="P61" i="4"/>
  <c r="M171" i="5"/>
  <c r="P171" i="5" s="1"/>
  <c r="L23" i="6"/>
  <c r="L21" i="6" s="1"/>
  <c r="O58" i="6"/>
  <c r="N135" i="6"/>
  <c r="P135" i="6" s="1"/>
  <c r="P140" i="6"/>
  <c r="P154" i="6"/>
  <c r="O168" i="6"/>
  <c r="L198" i="6"/>
  <c r="O198" i="6" s="1"/>
  <c r="L209" i="6"/>
  <c r="O209" i="6" s="1"/>
  <c r="L263" i="6"/>
  <c r="L261" i="6" s="1"/>
  <c r="M317" i="6"/>
  <c r="P317" i="6" s="1"/>
  <c r="M348" i="6"/>
  <c r="P348" i="6" s="1"/>
  <c r="O407" i="6"/>
  <c r="L404" i="6"/>
  <c r="O404" i="6" s="1"/>
  <c r="K569" i="6"/>
  <c r="K340" i="6"/>
  <c r="L43" i="6"/>
  <c r="M151" i="6"/>
  <c r="M149" i="6" s="1"/>
  <c r="L187" i="6"/>
  <c r="O187" i="6" s="1"/>
  <c r="L217" i="6"/>
  <c r="O217" i="6" s="1"/>
  <c r="L230" i="6"/>
  <c r="N263" i="6"/>
  <c r="N261" i="6" s="1"/>
  <c r="N279" i="6"/>
  <c r="N277" i="6" s="1"/>
  <c r="L391" i="6"/>
  <c r="L389" i="6" s="1"/>
  <c r="O389" i="6" s="1"/>
  <c r="O397" i="6"/>
  <c r="L405" i="6"/>
  <c r="O405" i="6" s="1"/>
  <c r="O528" i="6"/>
  <c r="K537" i="6"/>
  <c r="K620" i="6"/>
  <c r="K651" i="6"/>
  <c r="K174" i="6"/>
  <c r="I164" i="6"/>
  <c r="K164" i="6" s="1"/>
  <c r="N29" i="6"/>
  <c r="O303" i="6"/>
  <c r="N300" i="6"/>
  <c r="N301" i="6"/>
  <c r="O301" i="6" s="1"/>
  <c r="J364" i="6"/>
  <c r="K365" i="6"/>
  <c r="K362" i="5"/>
  <c r="K385" i="5"/>
  <c r="K576" i="5"/>
  <c r="M19" i="6"/>
  <c r="I112" i="6"/>
  <c r="K112" i="6" s="1"/>
  <c r="N134" i="6"/>
  <c r="N132" i="6" s="1"/>
  <c r="O137" i="6"/>
  <c r="O170" i="6"/>
  <c r="O186" i="6"/>
  <c r="L238" i="6"/>
  <c r="I233" i="6"/>
  <c r="K233" i="6" s="1"/>
  <c r="I248" i="6"/>
  <c r="K248" i="6" s="1"/>
  <c r="K255" i="6"/>
  <c r="J433" i="6"/>
  <c r="J417" i="6" s="1"/>
  <c r="K435" i="6"/>
  <c r="I433" i="6"/>
  <c r="K442" i="6"/>
  <c r="L470" i="6"/>
  <c r="O470" i="6" s="1"/>
  <c r="O472" i="6"/>
  <c r="L469" i="6"/>
  <c r="O469" i="6" s="1"/>
  <c r="L33" i="6"/>
  <c r="L171" i="5"/>
  <c r="O171" i="5" s="1"/>
  <c r="I190" i="5"/>
  <c r="K190" i="5" s="1"/>
  <c r="L238" i="5"/>
  <c r="O238" i="5" s="1"/>
  <c r="P269" i="5"/>
  <c r="N12" i="6"/>
  <c r="P29" i="6"/>
  <c r="O46" i="6"/>
  <c r="M26" i="6"/>
  <c r="P61" i="6"/>
  <c r="O74" i="6"/>
  <c r="P93" i="6"/>
  <c r="K98" i="6"/>
  <c r="P133" i="6"/>
  <c r="K144" i="6"/>
  <c r="J143" i="6"/>
  <c r="J131" i="6" s="1"/>
  <c r="O150" i="6"/>
  <c r="P152" i="6"/>
  <c r="P157" i="6"/>
  <c r="K176" i="6"/>
  <c r="N183" i="6"/>
  <c r="N181" i="6" s="1"/>
  <c r="P186" i="6"/>
  <c r="P278" i="6"/>
  <c r="L317" i="6"/>
  <c r="O333" i="6"/>
  <c r="P410" i="6"/>
  <c r="N444" i="6"/>
  <c r="M502" i="6"/>
  <c r="P502" i="6" s="1"/>
  <c r="P503" i="6"/>
  <c r="O549" i="6"/>
  <c r="L9" i="6"/>
  <c r="L47" i="6"/>
  <c r="O47" i="6" s="1"/>
  <c r="L26" i="6"/>
  <c r="M121" i="6"/>
  <c r="P124" i="6"/>
  <c r="K145" i="6"/>
  <c r="I143" i="6"/>
  <c r="N167" i="6"/>
  <c r="O403" i="6"/>
  <c r="P316" i="6"/>
  <c r="K621" i="5"/>
  <c r="M15" i="6"/>
  <c r="N23" i="6"/>
  <c r="O54" i="6"/>
  <c r="O56" i="6"/>
  <c r="O61" i="6"/>
  <c r="O133" i="6"/>
  <c r="I314" i="6"/>
  <c r="K314" i="6" s="1"/>
  <c r="K325" i="6"/>
  <c r="P444" i="6"/>
  <c r="O755" i="6"/>
  <c r="L754" i="6"/>
  <c r="O754" i="6" s="1"/>
  <c r="L788" i="5"/>
  <c r="O788" i="5" s="1"/>
  <c r="N15" i="6"/>
  <c r="P35" i="6"/>
  <c r="M23" i="6"/>
  <c r="M21" i="6" s="1"/>
  <c r="P58" i="6"/>
  <c r="K83" i="6"/>
  <c r="K111" i="6"/>
  <c r="P170" i="6"/>
  <c r="I190" i="6"/>
  <c r="K190" i="6" s="1"/>
  <c r="L229" i="6"/>
  <c r="J275" i="6"/>
  <c r="P468" i="6"/>
  <c r="M467" i="6"/>
  <c r="P467" i="6" s="1"/>
  <c r="O524" i="6"/>
  <c r="K675" i="6"/>
  <c r="I654" i="6"/>
  <c r="K654" i="6" s="1"/>
  <c r="K674" i="6"/>
  <c r="K672" i="6"/>
  <c r="K669" i="6"/>
  <c r="J543" i="6"/>
  <c r="O641" i="6"/>
  <c r="L639" i="6"/>
  <c r="O639" i="6" s="1"/>
  <c r="O738" i="6"/>
  <c r="L737" i="6"/>
  <c r="O737" i="6" s="1"/>
  <c r="O771" i="6"/>
  <c r="L770" i="6"/>
  <c r="O770" i="6" s="1"/>
  <c r="O806" i="6"/>
  <c r="L805" i="6"/>
  <c r="O805" i="6" s="1"/>
  <c r="L135" i="6"/>
  <c r="L138" i="6"/>
  <c r="O138" i="6" s="1"/>
  <c r="M168" i="6"/>
  <c r="P168" i="6" s="1"/>
  <c r="M171" i="6"/>
  <c r="P171" i="6" s="1"/>
  <c r="M184" i="6"/>
  <c r="P184" i="6" s="1"/>
  <c r="M187" i="6"/>
  <c r="P187" i="6" s="1"/>
  <c r="N264" i="6"/>
  <c r="P264" i="6" s="1"/>
  <c r="P407" i="6"/>
  <c r="N421" i="6"/>
  <c r="N419" i="6" s="1"/>
  <c r="N422" i="6"/>
  <c r="O422" i="6" s="1"/>
  <c r="I434" i="6"/>
  <c r="K460" i="6"/>
  <c r="M523" i="6"/>
  <c r="P523" i="6" s="1"/>
  <c r="J537" i="6"/>
  <c r="J522" i="6" s="1"/>
  <c r="N631" i="6"/>
  <c r="N629" i="6" s="1"/>
  <c r="N632" i="6"/>
  <c r="O656" i="6"/>
  <c r="L228" i="6"/>
  <c r="L249" i="6"/>
  <c r="O249" i="6" s="1"/>
  <c r="L477" i="6"/>
  <c r="O477" i="6" s="1"/>
  <c r="O479" i="6"/>
  <c r="P266" i="6"/>
  <c r="P282" i="6"/>
  <c r="P306" i="6"/>
  <c r="O449" i="6"/>
  <c r="N467" i="6"/>
  <c r="O690" i="6"/>
  <c r="M754" i="6"/>
  <c r="P754" i="6" s="1"/>
  <c r="L786" i="6"/>
  <c r="O786" i="6" s="1"/>
  <c r="O791" i="6"/>
  <c r="L789" i="6"/>
  <c r="O789" i="6" s="1"/>
  <c r="K244" i="6"/>
  <c r="I237" i="6"/>
  <c r="P303" i="6"/>
  <c r="K355" i="6"/>
  <c r="M404" i="6"/>
  <c r="O424" i="6"/>
  <c r="N549" i="6"/>
  <c r="L631" i="6"/>
  <c r="O631" i="6" s="1"/>
  <c r="O634" i="6"/>
  <c r="L632" i="6"/>
  <c r="M805" i="6"/>
  <c r="P805" i="6" s="1"/>
  <c r="O348" i="5"/>
  <c r="L36" i="5"/>
  <c r="O36" i="5" s="1"/>
  <c r="M90" i="5"/>
  <c r="M88" i="5" s="1"/>
  <c r="L300" i="5"/>
  <c r="L298" i="5" s="1"/>
  <c r="K370" i="5"/>
  <c r="I442" i="5"/>
  <c r="K442" i="5" s="1"/>
  <c r="J721" i="5"/>
  <c r="L229" i="5"/>
  <c r="M68" i="5"/>
  <c r="P68" i="5" s="1"/>
  <c r="M125" i="5"/>
  <c r="P125" i="5" s="1"/>
  <c r="M334" i="5"/>
  <c r="P334" i="5" s="1"/>
  <c r="K828" i="5"/>
  <c r="I297" i="5"/>
  <c r="K297" i="5" s="1"/>
  <c r="P353" i="5"/>
  <c r="K460" i="4"/>
  <c r="L334" i="5"/>
  <c r="O334" i="5" s="1"/>
  <c r="L391" i="5"/>
  <c r="O391" i="5" s="1"/>
  <c r="N183" i="5"/>
  <c r="N181" i="5" s="1"/>
  <c r="N180" i="5" s="1"/>
  <c r="L209" i="5"/>
  <c r="O209" i="5" s="1"/>
  <c r="O280" i="5"/>
  <c r="I364" i="5"/>
  <c r="K821" i="5"/>
  <c r="K824" i="5"/>
  <c r="O641" i="3"/>
  <c r="O154" i="5"/>
  <c r="N300" i="5"/>
  <c r="N298" i="5" s="1"/>
  <c r="K651" i="5"/>
  <c r="K822" i="5"/>
  <c r="N279" i="5"/>
  <c r="N277" i="5" s="1"/>
  <c r="P301" i="5"/>
  <c r="P331" i="5"/>
  <c r="K378" i="5"/>
  <c r="N90" i="5"/>
  <c r="L318" i="5"/>
  <c r="O318" i="5" s="1"/>
  <c r="M68" i="4"/>
  <c r="P68" i="4" s="1"/>
  <c r="N26" i="5"/>
  <c r="N24" i="5" s="1"/>
  <c r="N68" i="5"/>
  <c r="N66" i="5" s="1"/>
  <c r="N134" i="5"/>
  <c r="N132" i="5" s="1"/>
  <c r="P137" i="5"/>
  <c r="K159" i="5"/>
  <c r="O303" i="5"/>
  <c r="L330" i="5"/>
  <c r="L328" i="5" s="1"/>
  <c r="O549" i="5"/>
  <c r="K649" i="5"/>
  <c r="M395" i="4"/>
  <c r="P395" i="4" s="1"/>
  <c r="K99" i="5"/>
  <c r="L304" i="5"/>
  <c r="O304" i="5" s="1"/>
  <c r="L547" i="5"/>
  <c r="O547" i="5" s="1"/>
  <c r="M404" i="4"/>
  <c r="P404" i="4" s="1"/>
  <c r="K674" i="4"/>
  <c r="M94" i="5"/>
  <c r="P94" i="5" s="1"/>
  <c r="I112" i="5"/>
  <c r="K112" i="5" s="1"/>
  <c r="L138" i="5"/>
  <c r="O138" i="5" s="1"/>
  <c r="M279" i="5"/>
  <c r="O306" i="5"/>
  <c r="L687" i="5"/>
  <c r="P184" i="5"/>
  <c r="O301" i="5"/>
  <c r="P410" i="5"/>
  <c r="K465" i="5"/>
  <c r="L657" i="5"/>
  <c r="O657" i="5" s="1"/>
  <c r="O690" i="5"/>
  <c r="O170" i="5"/>
  <c r="I216" i="5"/>
  <c r="K216" i="5" s="1"/>
  <c r="O266" i="5"/>
  <c r="K338" i="5"/>
  <c r="L347" i="5"/>
  <c r="L345" i="5" s="1"/>
  <c r="K379" i="5"/>
  <c r="M404" i="5"/>
  <c r="P404" i="5" s="1"/>
  <c r="L421" i="5"/>
  <c r="L419" i="5" s="1"/>
  <c r="O791" i="5"/>
  <c r="M56" i="5"/>
  <c r="M23" i="5"/>
  <c r="M21" i="5" s="1"/>
  <c r="O189" i="5"/>
  <c r="L187" i="5"/>
  <c r="O187" i="5" s="1"/>
  <c r="O74" i="5"/>
  <c r="L72" i="5"/>
  <c r="O72" i="5" s="1"/>
  <c r="N47" i="5"/>
  <c r="L33" i="5"/>
  <c r="L31" i="5" s="1"/>
  <c r="L470" i="5"/>
  <c r="O470" i="5" s="1"/>
  <c r="L151" i="5"/>
  <c r="L149" i="5" s="1"/>
  <c r="L231" i="5"/>
  <c r="K288" i="5"/>
  <c r="M408" i="4"/>
  <c r="P408" i="4" s="1"/>
  <c r="L44" i="5"/>
  <c r="L43" i="5"/>
  <c r="L41" i="5" s="1"/>
  <c r="M55" i="5"/>
  <c r="M53" i="5" s="1"/>
  <c r="O71" i="5"/>
  <c r="L69" i="5"/>
  <c r="O69" i="5" s="1"/>
  <c r="M121" i="5"/>
  <c r="P121" i="5" s="1"/>
  <c r="N152" i="5"/>
  <c r="O152" i="5" s="1"/>
  <c r="I237" i="5"/>
  <c r="K237" i="5" s="1"/>
  <c r="I233" i="5"/>
  <c r="K233" i="5" s="1"/>
  <c r="K244" i="5"/>
  <c r="O269" i="5"/>
  <c r="L267" i="5"/>
  <c r="O267" i="5" s="1"/>
  <c r="P285" i="5"/>
  <c r="M283" i="5"/>
  <c r="P283" i="5" s="1"/>
  <c r="M304" i="5"/>
  <c r="P304" i="5" s="1"/>
  <c r="P306" i="5"/>
  <c r="L351" i="5"/>
  <c r="O351" i="5" s="1"/>
  <c r="K462" i="5"/>
  <c r="K466" i="5"/>
  <c r="K672" i="5"/>
  <c r="K669" i="5"/>
  <c r="I654" i="5"/>
  <c r="K654" i="5" s="1"/>
  <c r="L183" i="3"/>
  <c r="L181" i="3" s="1"/>
  <c r="N263" i="3"/>
  <c r="N261" i="3" s="1"/>
  <c r="O127" i="4"/>
  <c r="L125" i="4"/>
  <c r="O125" i="4" s="1"/>
  <c r="L68" i="5"/>
  <c r="I86" i="5"/>
  <c r="K86" i="5" s="1"/>
  <c r="M351" i="5"/>
  <c r="P351" i="5" s="1"/>
  <c r="K647" i="5"/>
  <c r="J722" i="5"/>
  <c r="K823" i="5"/>
  <c r="O323" i="5"/>
  <c r="L321" i="5"/>
  <c r="O321" i="5" s="1"/>
  <c r="L317" i="5"/>
  <c r="O317" i="5" s="1"/>
  <c r="O410" i="5"/>
  <c r="L408" i="5"/>
  <c r="O408" i="5" s="1"/>
  <c r="L469" i="5"/>
  <c r="O469" i="5" s="1"/>
  <c r="K568" i="5"/>
  <c r="M26" i="5"/>
  <c r="M16" i="5" s="1"/>
  <c r="P157" i="5"/>
  <c r="K275" i="5"/>
  <c r="K577" i="5"/>
  <c r="I76" i="5"/>
  <c r="I64" i="5" s="1"/>
  <c r="K64" i="5" s="1"/>
  <c r="O168" i="5"/>
  <c r="M167" i="5"/>
  <c r="P170" i="5"/>
  <c r="K204" i="5"/>
  <c r="I197" i="5"/>
  <c r="K197" i="5" s="1"/>
  <c r="I260" i="5"/>
  <c r="K260" i="5" s="1"/>
  <c r="M280" i="5"/>
  <c r="P280" i="5" s="1"/>
  <c r="L283" i="5"/>
  <c r="O283" i="5" s="1"/>
  <c r="P397" i="5"/>
  <c r="M395" i="5"/>
  <c r="P395" i="5" s="1"/>
  <c r="M405" i="5"/>
  <c r="P405" i="5" s="1"/>
  <c r="O58" i="5"/>
  <c r="L56" i="5"/>
  <c r="L59" i="5"/>
  <c r="L26" i="5"/>
  <c r="L122" i="5"/>
  <c r="O122" i="5" s="1"/>
  <c r="O124" i="5"/>
  <c r="M135" i="5"/>
  <c r="P135" i="5" s="1"/>
  <c r="M168" i="5"/>
  <c r="P168" i="5" s="1"/>
  <c r="N167" i="5"/>
  <c r="N165" i="5" s="1"/>
  <c r="I248" i="5"/>
  <c r="K248" i="5" s="1"/>
  <c r="L249" i="5"/>
  <c r="O249" i="5" s="1"/>
  <c r="L263" i="5"/>
  <c r="L261" i="5" s="1"/>
  <c r="P394" i="5"/>
  <c r="M392" i="5"/>
  <c r="P392" i="5" s="1"/>
  <c r="J628" i="5"/>
  <c r="K628" i="5" s="1"/>
  <c r="L639" i="5"/>
  <c r="O639" i="5" s="1"/>
  <c r="O641" i="5"/>
  <c r="P152" i="4"/>
  <c r="J143" i="5"/>
  <c r="J131" i="5" s="1"/>
  <c r="L198" i="5"/>
  <c r="O198" i="5" s="1"/>
  <c r="J327" i="5"/>
  <c r="K327" i="5" s="1"/>
  <c r="O350" i="5"/>
  <c r="I434" i="5"/>
  <c r="I418" i="5" s="1"/>
  <c r="K418" i="5" s="1"/>
  <c r="K560" i="5"/>
  <c r="M43" i="5"/>
  <c r="M41" i="5" s="1"/>
  <c r="N43" i="5"/>
  <c r="L228" i="5"/>
  <c r="M321" i="5"/>
  <c r="P321" i="5" s="1"/>
  <c r="N330" i="5"/>
  <c r="N328" i="5" s="1"/>
  <c r="K340" i="5"/>
  <c r="P348" i="5"/>
  <c r="K438" i="5"/>
  <c r="O479" i="5"/>
  <c r="K569" i="5"/>
  <c r="K338" i="4"/>
  <c r="L546" i="4"/>
  <c r="L544" i="4" s="1"/>
  <c r="O331" i="5"/>
  <c r="O29" i="5"/>
  <c r="K372" i="3"/>
  <c r="K647" i="3"/>
  <c r="L657" i="3"/>
  <c r="L655" i="3" s="1"/>
  <c r="P46" i="4"/>
  <c r="I148" i="4"/>
  <c r="K148" i="4" s="1"/>
  <c r="I275" i="4"/>
  <c r="K275" i="4" s="1"/>
  <c r="K822" i="4"/>
  <c r="K825" i="4"/>
  <c r="K828" i="4"/>
  <c r="N19" i="5"/>
  <c r="N56" i="5"/>
  <c r="P58" i="5"/>
  <c r="O61" i="5"/>
  <c r="I77" i="5"/>
  <c r="K81" i="5"/>
  <c r="O166" i="5"/>
  <c r="I208" i="5"/>
  <c r="K208" i="5" s="1"/>
  <c r="K215" i="5"/>
  <c r="L230" i="5"/>
  <c r="O282" i="5"/>
  <c r="L279" i="5"/>
  <c r="P299" i="5"/>
  <c r="N321" i="5"/>
  <c r="N317" i="5"/>
  <c r="N315" i="5" s="1"/>
  <c r="M330" i="5"/>
  <c r="K359" i="5"/>
  <c r="N421" i="5"/>
  <c r="N419" i="5" s="1"/>
  <c r="N33" i="5"/>
  <c r="O424" i="5"/>
  <c r="N422" i="5"/>
  <c r="O422" i="5" s="1"/>
  <c r="M31" i="5"/>
  <c r="P31" i="5" s="1"/>
  <c r="P32" i="5"/>
  <c r="M29" i="5"/>
  <c r="N44" i="5"/>
  <c r="M151" i="4"/>
  <c r="M149" i="4" s="1"/>
  <c r="P25" i="5"/>
  <c r="M15" i="5"/>
  <c r="K87" i="5"/>
  <c r="P140" i="5"/>
  <c r="M134" i="5"/>
  <c r="N155" i="5"/>
  <c r="N151" i="5"/>
  <c r="N149" i="5" s="1"/>
  <c r="L184" i="5"/>
  <c r="O184" i="5" s="1"/>
  <c r="O186" i="5"/>
  <c r="L183" i="5"/>
  <c r="M264" i="5"/>
  <c r="P264" i="5" s="1"/>
  <c r="P266" i="5"/>
  <c r="M263" i="5"/>
  <c r="I417" i="5"/>
  <c r="L55" i="3"/>
  <c r="L53" i="3" s="1"/>
  <c r="M134" i="4"/>
  <c r="P134" i="4" s="1"/>
  <c r="L279" i="4"/>
  <c r="L277" i="4" s="1"/>
  <c r="I785" i="4"/>
  <c r="N59" i="5"/>
  <c r="P61" i="5"/>
  <c r="M138" i="5"/>
  <c r="P138" i="5" s="1"/>
  <c r="P320" i="5"/>
  <c r="M318" i="5"/>
  <c r="P318" i="5" s="1"/>
  <c r="M317" i="5"/>
  <c r="P317" i="5" s="1"/>
  <c r="M347" i="5"/>
  <c r="P350" i="5"/>
  <c r="N391" i="5"/>
  <c r="N389" i="5" s="1"/>
  <c r="N395" i="5"/>
  <c r="P54" i="5"/>
  <c r="O407" i="5"/>
  <c r="L405" i="5"/>
  <c r="O405" i="5" s="1"/>
  <c r="L404" i="5"/>
  <c r="I216" i="4"/>
  <c r="K216" i="4" s="1"/>
  <c r="L12" i="5"/>
  <c r="L91" i="5"/>
  <c r="O93" i="5"/>
  <c r="O96" i="5"/>
  <c r="L94" i="5"/>
  <c r="O94" i="5" s="1"/>
  <c r="L125" i="5"/>
  <c r="O125" i="5" s="1"/>
  <c r="O127" i="5"/>
  <c r="L121" i="5"/>
  <c r="O137" i="5"/>
  <c r="L134" i="5"/>
  <c r="L132" i="5" s="1"/>
  <c r="P189" i="5"/>
  <c r="M187" i="5"/>
  <c r="P187" i="5" s="1"/>
  <c r="M183" i="5"/>
  <c r="K539" i="5"/>
  <c r="J537" i="5"/>
  <c r="J522" i="5" s="1"/>
  <c r="O46" i="5"/>
  <c r="N23" i="5"/>
  <c r="N21" i="5" s="1"/>
  <c r="K649" i="3"/>
  <c r="L121" i="4"/>
  <c r="O121" i="4" s="1"/>
  <c r="K821" i="4"/>
  <c r="M12" i="5"/>
  <c r="L15" i="5"/>
  <c r="L19" i="5"/>
  <c r="L23" i="5"/>
  <c r="L21" i="5" s="1"/>
  <c r="M30" i="5"/>
  <c r="P30" i="5" s="1"/>
  <c r="O35" i="5"/>
  <c r="P46" i="5"/>
  <c r="M44" i="5"/>
  <c r="N55" i="5"/>
  <c r="M152" i="5"/>
  <c r="P154" i="5"/>
  <c r="M151" i="5"/>
  <c r="N267" i="5"/>
  <c r="N263" i="5"/>
  <c r="M47" i="5"/>
  <c r="P47" i="5" s="1"/>
  <c r="M69" i="5"/>
  <c r="P69" i="5" s="1"/>
  <c r="M72" i="5"/>
  <c r="P72" i="5" s="1"/>
  <c r="N91" i="5"/>
  <c r="P91" i="5" s="1"/>
  <c r="M122" i="5"/>
  <c r="P122" i="5" s="1"/>
  <c r="O157" i="5"/>
  <c r="P186" i="5"/>
  <c r="I276" i="5"/>
  <c r="K276" i="5" s="1"/>
  <c r="P303" i="5"/>
  <c r="I314" i="5"/>
  <c r="K314" i="5" s="1"/>
  <c r="O333" i="5"/>
  <c r="N347" i="5"/>
  <c r="N345" i="5" s="1"/>
  <c r="K355" i="5"/>
  <c r="M391" i="5"/>
  <c r="P391" i="5" s="1"/>
  <c r="N404" i="5"/>
  <c r="N402" i="5" s="1"/>
  <c r="L446" i="5"/>
  <c r="O446" i="5" s="1"/>
  <c r="N467" i="5"/>
  <c r="N470" i="5"/>
  <c r="J543" i="5"/>
  <c r="K559" i="5"/>
  <c r="N122" i="5"/>
  <c r="L217" i="5"/>
  <c r="O217" i="5" s="1"/>
  <c r="P420" i="5"/>
  <c r="M419" i="5"/>
  <c r="M523" i="5"/>
  <c r="P523" i="5" s="1"/>
  <c r="P631" i="5"/>
  <c r="M629" i="5"/>
  <c r="P629" i="5" s="1"/>
  <c r="O390" i="5"/>
  <c r="K435" i="5"/>
  <c r="J433" i="5"/>
  <c r="J417" i="5" s="1"/>
  <c r="P755" i="5"/>
  <c r="M754" i="5"/>
  <c r="P754" i="5" s="1"/>
  <c r="I143" i="5"/>
  <c r="K145" i="5"/>
  <c r="P282" i="5"/>
  <c r="P333" i="5"/>
  <c r="K381" i="5"/>
  <c r="J374" i="5"/>
  <c r="K374" i="5" s="1"/>
  <c r="L395" i="5"/>
  <c r="O395" i="5" s="1"/>
  <c r="O397" i="5"/>
  <c r="O445" i="5"/>
  <c r="O449" i="5"/>
  <c r="O503" i="5"/>
  <c r="L502" i="5"/>
  <c r="O502" i="5" s="1"/>
  <c r="I522" i="5"/>
  <c r="K522" i="5" s="1"/>
  <c r="K537" i="5"/>
  <c r="O787" i="5"/>
  <c r="O133" i="5"/>
  <c r="L167" i="5"/>
  <c r="I174" i="5"/>
  <c r="M300" i="5"/>
  <c r="K369" i="5"/>
  <c r="P403" i="5"/>
  <c r="P445" i="5"/>
  <c r="M444" i="5"/>
  <c r="P444" i="5" s="1"/>
  <c r="O468" i="5"/>
  <c r="K543" i="5"/>
  <c r="I592" i="5"/>
  <c r="K592" i="5" s="1"/>
  <c r="K593" i="5"/>
  <c r="O353" i="5"/>
  <c r="K360" i="5"/>
  <c r="K372" i="5"/>
  <c r="J365" i="5"/>
  <c r="N523" i="5"/>
  <c r="O630" i="5"/>
  <c r="N754" i="5"/>
  <c r="N788" i="5"/>
  <c r="N786" i="5" s="1"/>
  <c r="K827" i="5"/>
  <c r="I785" i="5"/>
  <c r="K785" i="5" s="1"/>
  <c r="K800" i="5"/>
  <c r="N629" i="5"/>
  <c r="P787" i="5"/>
  <c r="M786" i="5"/>
  <c r="P786" i="5" s="1"/>
  <c r="P686" i="5"/>
  <c r="M685" i="5"/>
  <c r="P685" i="5" s="1"/>
  <c r="P806" i="5"/>
  <c r="M805" i="5"/>
  <c r="P805" i="5" s="1"/>
  <c r="P390" i="5"/>
  <c r="L392" i="5"/>
  <c r="O392" i="5" s="1"/>
  <c r="O394" i="5"/>
  <c r="P469" i="5"/>
  <c r="M467" i="5"/>
  <c r="P467" i="5" s="1"/>
  <c r="O472" i="5"/>
  <c r="P504" i="5"/>
  <c r="M502" i="5"/>
  <c r="P502" i="5" s="1"/>
  <c r="L632" i="5"/>
  <c r="O632" i="5" s="1"/>
  <c r="O634" i="5"/>
  <c r="L533" i="5"/>
  <c r="O533" i="5" s="1"/>
  <c r="K675" i="5"/>
  <c r="L525" i="5"/>
  <c r="N546" i="5"/>
  <c r="L151" i="4"/>
  <c r="O151" i="4" s="1"/>
  <c r="P282" i="4"/>
  <c r="N300" i="4"/>
  <c r="N298" i="4" s="1"/>
  <c r="J721" i="4"/>
  <c r="M135" i="4"/>
  <c r="P135" i="4" s="1"/>
  <c r="P137" i="4"/>
  <c r="J143" i="4"/>
  <c r="J131" i="4" s="1"/>
  <c r="M43" i="4"/>
  <c r="M41" i="4" s="1"/>
  <c r="O154" i="4"/>
  <c r="L68" i="4"/>
  <c r="O68" i="4" s="1"/>
  <c r="K801" i="4"/>
  <c r="K568" i="3"/>
  <c r="O269" i="4"/>
  <c r="O323" i="4"/>
  <c r="K370" i="4"/>
  <c r="M183" i="3"/>
  <c r="M181" i="3" s="1"/>
  <c r="O170" i="4"/>
  <c r="O186" i="4"/>
  <c r="M283" i="4"/>
  <c r="P283" i="4" s="1"/>
  <c r="L408" i="4"/>
  <c r="O408" i="4" s="1"/>
  <c r="M69" i="4"/>
  <c r="P69" i="4" s="1"/>
  <c r="O71" i="4"/>
  <c r="K355" i="4"/>
  <c r="K372" i="4"/>
  <c r="L90" i="3"/>
  <c r="L88" i="3" s="1"/>
  <c r="M90" i="4"/>
  <c r="M88" i="4" s="1"/>
  <c r="K176" i="4"/>
  <c r="K378" i="4"/>
  <c r="O528" i="4"/>
  <c r="O189" i="4"/>
  <c r="L187" i="4"/>
  <c r="O187" i="4" s="1"/>
  <c r="K174" i="4"/>
  <c r="I164" i="4"/>
  <c r="K164" i="4" s="1"/>
  <c r="I76" i="4"/>
  <c r="K76" i="4" s="1"/>
  <c r="K78" i="4"/>
  <c r="L183" i="4"/>
  <c r="L181" i="4" s="1"/>
  <c r="N347" i="4"/>
  <c r="N345" i="4" s="1"/>
  <c r="P74" i="4"/>
  <c r="M72" i="4"/>
  <c r="P72" i="4" s="1"/>
  <c r="I86" i="4"/>
  <c r="K86" i="4" s="1"/>
  <c r="K98" i="4"/>
  <c r="L33" i="4"/>
  <c r="L31" i="4" s="1"/>
  <c r="O59" i="3"/>
  <c r="M184" i="3"/>
  <c r="P184" i="3" s="1"/>
  <c r="L187" i="3"/>
  <c r="O187" i="3" s="1"/>
  <c r="L231" i="3"/>
  <c r="M263" i="3"/>
  <c r="M261" i="3" s="1"/>
  <c r="K823" i="3"/>
  <c r="K826" i="3"/>
  <c r="M47" i="4"/>
  <c r="P47" i="4" s="1"/>
  <c r="O61" i="4"/>
  <c r="P71" i="4"/>
  <c r="M138" i="4"/>
  <c r="P138" i="4" s="1"/>
  <c r="L167" i="4"/>
  <c r="L165" i="4" s="1"/>
  <c r="N183" i="4"/>
  <c r="N181" i="4" s="1"/>
  <c r="L230" i="4"/>
  <c r="O282" i="4"/>
  <c r="P333" i="4"/>
  <c r="J364" i="4"/>
  <c r="L525" i="4"/>
  <c r="O525" i="4" s="1"/>
  <c r="O634" i="4"/>
  <c r="K720" i="4"/>
  <c r="L167" i="3"/>
  <c r="L165" i="3" s="1"/>
  <c r="L171" i="4"/>
  <c r="O171" i="4" s="1"/>
  <c r="L231" i="4"/>
  <c r="K276" i="4"/>
  <c r="K649" i="4"/>
  <c r="J721" i="3"/>
  <c r="L23" i="4"/>
  <c r="L21" i="4" s="1"/>
  <c r="N121" i="4"/>
  <c r="N119" i="4" s="1"/>
  <c r="L134" i="4"/>
  <c r="O134" i="4" s="1"/>
  <c r="L198" i="4"/>
  <c r="O198" i="4" s="1"/>
  <c r="N263" i="4"/>
  <c r="N261" i="4" s="1"/>
  <c r="M279" i="4"/>
  <c r="M277" i="4" s="1"/>
  <c r="J327" i="4"/>
  <c r="K327" i="4" s="1"/>
  <c r="L391" i="4"/>
  <c r="O391" i="4" s="1"/>
  <c r="O557" i="4"/>
  <c r="L26" i="4"/>
  <c r="L24" i="4" s="1"/>
  <c r="N151" i="4"/>
  <c r="N149" i="4" s="1"/>
  <c r="I190" i="4"/>
  <c r="K190" i="4" s="1"/>
  <c r="M280" i="4"/>
  <c r="P280" i="4" s="1"/>
  <c r="O350" i="4"/>
  <c r="L392" i="4"/>
  <c r="O392" i="4" s="1"/>
  <c r="L405" i="4"/>
  <c r="O405" i="4" s="1"/>
  <c r="K824" i="4"/>
  <c r="K827" i="4"/>
  <c r="L217" i="4"/>
  <c r="O217" i="4" s="1"/>
  <c r="P350" i="4"/>
  <c r="M405" i="4"/>
  <c r="P405" i="4" s="1"/>
  <c r="I559" i="4"/>
  <c r="K559" i="4" s="1"/>
  <c r="I148" i="3"/>
  <c r="K148" i="3" s="1"/>
  <c r="K159" i="3"/>
  <c r="O96" i="4"/>
  <c r="L94" i="4"/>
  <c r="O94" i="4" s="1"/>
  <c r="I112" i="4"/>
  <c r="K112" i="4" s="1"/>
  <c r="K116" i="4"/>
  <c r="I237" i="4"/>
  <c r="K237" i="4" s="1"/>
  <c r="K244" i="4"/>
  <c r="L300" i="4"/>
  <c r="O300" i="4" s="1"/>
  <c r="O303" i="4"/>
  <c r="L301" i="4"/>
  <c r="O301" i="4" s="1"/>
  <c r="K651" i="4"/>
  <c r="I628" i="4"/>
  <c r="K628" i="4" s="1"/>
  <c r="N167" i="4"/>
  <c r="N165" i="4" s="1"/>
  <c r="N171" i="4"/>
  <c r="L43" i="4"/>
  <c r="L41" i="4" s="1"/>
  <c r="L90" i="4"/>
  <c r="I433" i="4"/>
  <c r="I417" i="4" s="1"/>
  <c r="K435" i="4"/>
  <c r="P49" i="3"/>
  <c r="M47" i="3"/>
  <c r="P47" i="3" s="1"/>
  <c r="P173" i="3"/>
  <c r="M171" i="3"/>
  <c r="P171" i="3" s="1"/>
  <c r="N69" i="4"/>
  <c r="N68" i="4"/>
  <c r="N66" i="4" s="1"/>
  <c r="K215" i="4"/>
  <c r="I208" i="4"/>
  <c r="K208" i="4" s="1"/>
  <c r="N404" i="4"/>
  <c r="N402" i="4" s="1"/>
  <c r="L446" i="4"/>
  <c r="L444" i="4" s="1"/>
  <c r="L447" i="4"/>
  <c r="O447" i="4" s="1"/>
  <c r="N279" i="2"/>
  <c r="N277" i="2" s="1"/>
  <c r="L330" i="2"/>
  <c r="L328" i="2" s="1"/>
  <c r="M167" i="3"/>
  <c r="N90" i="4"/>
  <c r="N88" i="4" s="1"/>
  <c r="O93" i="4"/>
  <c r="N91" i="4"/>
  <c r="P91" i="4" s="1"/>
  <c r="L263" i="4"/>
  <c r="O266" i="4"/>
  <c r="L264" i="4"/>
  <c r="O264" i="4" s="1"/>
  <c r="K309" i="4"/>
  <c r="I297" i="4"/>
  <c r="K297" i="4" s="1"/>
  <c r="O333" i="4"/>
  <c r="L331" i="4"/>
  <c r="O331" i="4" s="1"/>
  <c r="P264" i="4"/>
  <c r="P301" i="4"/>
  <c r="K379" i="4"/>
  <c r="M404" i="3"/>
  <c r="M402" i="3" s="1"/>
  <c r="P402" i="3" s="1"/>
  <c r="L44" i="4"/>
  <c r="O44" i="4" s="1"/>
  <c r="M55" i="4"/>
  <c r="I77" i="4"/>
  <c r="K99" i="4"/>
  <c r="L155" i="4"/>
  <c r="O155" i="4" s="1"/>
  <c r="I260" i="4"/>
  <c r="K260" i="4" s="1"/>
  <c r="K287" i="4"/>
  <c r="K462" i="4"/>
  <c r="L469" i="4"/>
  <c r="L467" i="4" s="1"/>
  <c r="O467" i="4" s="1"/>
  <c r="K675" i="4"/>
  <c r="J722" i="4"/>
  <c r="L263" i="3"/>
  <c r="L446" i="3"/>
  <c r="L444" i="3" s="1"/>
  <c r="O444" i="3" s="1"/>
  <c r="M44" i="4"/>
  <c r="P44" i="4" s="1"/>
  <c r="L59" i="4"/>
  <c r="O59" i="4" s="1"/>
  <c r="L72" i="4"/>
  <c r="O72" i="4" s="1"/>
  <c r="K111" i="4"/>
  <c r="L122" i="4"/>
  <c r="O122" i="4" s="1"/>
  <c r="N134" i="4"/>
  <c r="N132" i="4" s="1"/>
  <c r="L149" i="4"/>
  <c r="O149" i="4" s="1"/>
  <c r="M167" i="4"/>
  <c r="L184" i="4"/>
  <c r="O184" i="4" s="1"/>
  <c r="L238" i="4"/>
  <c r="O238" i="4" s="1"/>
  <c r="N279" i="4"/>
  <c r="N277" i="4" s="1"/>
  <c r="K288" i="4"/>
  <c r="L317" i="4"/>
  <c r="L315" i="4" s="1"/>
  <c r="N330" i="4"/>
  <c r="N328" i="4" s="1"/>
  <c r="L348" i="4"/>
  <c r="O348" i="4" s="1"/>
  <c r="K362" i="4"/>
  <c r="L429" i="4"/>
  <c r="O429" i="4" s="1"/>
  <c r="K647" i="4"/>
  <c r="K700" i="4"/>
  <c r="O791" i="4"/>
  <c r="N404" i="3"/>
  <c r="N402" i="3" s="1"/>
  <c r="L36" i="4"/>
  <c r="O36" i="4" s="1"/>
  <c r="O46" i="4"/>
  <c r="L168" i="4"/>
  <c r="O168" i="4" s="1"/>
  <c r="L304" i="4"/>
  <c r="O304" i="4" s="1"/>
  <c r="M317" i="4"/>
  <c r="M315" i="4" s="1"/>
  <c r="M334" i="4"/>
  <c r="P334" i="4" s="1"/>
  <c r="K381" i="4"/>
  <c r="L421" i="4"/>
  <c r="L419" i="4" s="1"/>
  <c r="I654" i="4"/>
  <c r="K654" i="4" s="1"/>
  <c r="L657" i="4"/>
  <c r="O657" i="4" s="1"/>
  <c r="J785" i="4"/>
  <c r="K823" i="4"/>
  <c r="K826" i="4"/>
  <c r="P93" i="4"/>
  <c r="M263" i="4"/>
  <c r="M300" i="4"/>
  <c r="K360" i="4"/>
  <c r="K672" i="4"/>
  <c r="L688" i="4"/>
  <c r="O688" i="4" s="1"/>
  <c r="O29" i="4"/>
  <c r="P19" i="4"/>
  <c r="P56" i="4"/>
  <c r="N68" i="3"/>
  <c r="N66" i="3" s="1"/>
  <c r="M122" i="4"/>
  <c r="P122" i="4" s="1"/>
  <c r="P124" i="4"/>
  <c r="I130" i="4"/>
  <c r="K130" i="4" s="1"/>
  <c r="K146" i="4"/>
  <c r="P333" i="2"/>
  <c r="L72" i="3"/>
  <c r="O72" i="3" s="1"/>
  <c r="L134" i="3"/>
  <c r="L132" i="3" s="1"/>
  <c r="L151" i="3"/>
  <c r="L149" i="3" s="1"/>
  <c r="I174" i="3"/>
  <c r="K174" i="3" s="1"/>
  <c r="N264" i="3"/>
  <c r="P264" i="3" s="1"/>
  <c r="I276" i="3"/>
  <c r="K276" i="3" s="1"/>
  <c r="L404" i="3"/>
  <c r="O404" i="3" s="1"/>
  <c r="O472" i="3"/>
  <c r="L12" i="4"/>
  <c r="P22" i="4"/>
  <c r="O49" i="4"/>
  <c r="N55" i="4"/>
  <c r="O58" i="4"/>
  <c r="M184" i="4"/>
  <c r="P184" i="4" s="1"/>
  <c r="P186" i="4"/>
  <c r="L209" i="4"/>
  <c r="O209" i="4" s="1"/>
  <c r="K236" i="4"/>
  <c r="L228" i="4"/>
  <c r="L249" i="4"/>
  <c r="O249" i="4" s="1"/>
  <c r="L334" i="4"/>
  <c r="O334" i="4" s="1"/>
  <c r="O336" i="4"/>
  <c r="L330" i="4"/>
  <c r="K369" i="4"/>
  <c r="K374" i="4"/>
  <c r="I364" i="4"/>
  <c r="P394" i="4"/>
  <c r="M392" i="4"/>
  <c r="P392" i="4" s="1"/>
  <c r="M391" i="4"/>
  <c r="P391" i="4" s="1"/>
  <c r="N446" i="4"/>
  <c r="N447" i="4"/>
  <c r="N469" i="4"/>
  <c r="N470" i="4"/>
  <c r="O470" i="4" s="1"/>
  <c r="M29" i="4"/>
  <c r="O182" i="4"/>
  <c r="L47" i="3"/>
  <c r="O47" i="3" s="1"/>
  <c r="M55" i="3"/>
  <c r="M53" i="3" s="1"/>
  <c r="L318" i="3"/>
  <c r="O318" i="3" s="1"/>
  <c r="M12" i="4"/>
  <c r="M31" i="4"/>
  <c r="P31" i="4" s="1"/>
  <c r="N43" i="4"/>
  <c r="O89" i="4"/>
  <c r="M94" i="4"/>
  <c r="P94" i="4" s="1"/>
  <c r="P96" i="4"/>
  <c r="M171" i="4"/>
  <c r="P171" i="4" s="1"/>
  <c r="P173" i="4"/>
  <c r="N151" i="3"/>
  <c r="N149" i="3" s="1"/>
  <c r="P170" i="3"/>
  <c r="J327" i="3"/>
  <c r="K327" i="3" s="1"/>
  <c r="K379" i="3"/>
  <c r="N9" i="4"/>
  <c r="M15" i="4"/>
  <c r="M23" i="4"/>
  <c r="M21" i="4" s="1"/>
  <c r="M26" i="4"/>
  <c r="N31" i="4"/>
  <c r="L56" i="4"/>
  <c r="O56" i="4" s="1"/>
  <c r="M59" i="4"/>
  <c r="P59" i="4" s="1"/>
  <c r="M121" i="4"/>
  <c r="M125" i="4"/>
  <c r="P125" i="4" s="1"/>
  <c r="P127" i="4"/>
  <c r="M187" i="4"/>
  <c r="P187" i="4" s="1"/>
  <c r="P189" i="4"/>
  <c r="O316" i="4"/>
  <c r="N318" i="4"/>
  <c r="O318" i="4" s="1"/>
  <c r="P320" i="4"/>
  <c r="O320" i="4"/>
  <c r="N317" i="4"/>
  <c r="L351" i="4"/>
  <c r="O353" i="4"/>
  <c r="L347" i="4"/>
  <c r="O504" i="4"/>
  <c r="L502" i="4"/>
  <c r="O502" i="4" s="1"/>
  <c r="N19" i="4"/>
  <c r="N23" i="4"/>
  <c r="N26" i="4"/>
  <c r="N16" i="4" s="1"/>
  <c r="O120" i="4"/>
  <c r="L135" i="4"/>
  <c r="O135" i="4" s="1"/>
  <c r="O137" i="4"/>
  <c r="N395" i="4"/>
  <c r="N391" i="4"/>
  <c r="N389" i="4" s="1"/>
  <c r="N421" i="4"/>
  <c r="N422" i="4"/>
  <c r="O468" i="4"/>
  <c r="M168" i="4"/>
  <c r="P168" i="4" s="1"/>
  <c r="P170" i="4"/>
  <c r="P807" i="4"/>
  <c r="M805" i="4"/>
  <c r="P805" i="4" s="1"/>
  <c r="P140" i="3"/>
  <c r="N167" i="3"/>
  <c r="N165" i="3" s="1"/>
  <c r="L171" i="3"/>
  <c r="O171" i="3" s="1"/>
  <c r="L230" i="3"/>
  <c r="L347" i="3"/>
  <c r="L345" i="3" s="1"/>
  <c r="P353" i="3"/>
  <c r="K359" i="3"/>
  <c r="K362" i="3"/>
  <c r="P35" i="4"/>
  <c r="P58" i="4"/>
  <c r="L138" i="4"/>
  <c r="O138" i="4" s="1"/>
  <c r="O140" i="4"/>
  <c r="O166" i="4"/>
  <c r="M183" i="4"/>
  <c r="K204" i="4"/>
  <c r="I197" i="4"/>
  <c r="K197" i="4" s="1"/>
  <c r="K442" i="4"/>
  <c r="K592" i="4"/>
  <c r="O150" i="4"/>
  <c r="P154" i="4"/>
  <c r="P157" i="4"/>
  <c r="O262" i="4"/>
  <c r="P266" i="4"/>
  <c r="P269" i="4"/>
  <c r="P278" i="4"/>
  <c r="L280" i="4"/>
  <c r="O280" i="4" s="1"/>
  <c r="L283" i="4"/>
  <c r="O283" i="4" s="1"/>
  <c r="O299" i="4"/>
  <c r="P303" i="4"/>
  <c r="P306" i="4"/>
  <c r="P323" i="4"/>
  <c r="M331" i="4"/>
  <c r="P331" i="4" s="1"/>
  <c r="N334" i="4"/>
  <c r="K340" i="4"/>
  <c r="M348" i="4"/>
  <c r="P348" i="4" s="1"/>
  <c r="N351" i="4"/>
  <c r="P351" i="4" s="1"/>
  <c r="P353" i="4"/>
  <c r="K365" i="4"/>
  <c r="O397" i="4"/>
  <c r="P407" i="4"/>
  <c r="M419" i="4"/>
  <c r="J433" i="4"/>
  <c r="O472" i="4"/>
  <c r="K594" i="4"/>
  <c r="N687" i="4"/>
  <c r="N685" i="4" s="1"/>
  <c r="N688" i="4"/>
  <c r="N756" i="4"/>
  <c r="N754" i="4" s="1"/>
  <c r="N757" i="4"/>
  <c r="O772" i="4"/>
  <c r="L770" i="4"/>
  <c r="O770" i="4" s="1"/>
  <c r="O806" i="4"/>
  <c r="L805" i="4"/>
  <c r="O805" i="4" s="1"/>
  <c r="N467" i="4"/>
  <c r="O547" i="4"/>
  <c r="L639" i="4"/>
  <c r="O639" i="4" s="1"/>
  <c r="O641" i="4"/>
  <c r="L631" i="4"/>
  <c r="M330" i="4"/>
  <c r="M347" i="4"/>
  <c r="I434" i="4"/>
  <c r="P503" i="4"/>
  <c r="M502" i="4"/>
  <c r="P502" i="4" s="1"/>
  <c r="P524" i="4"/>
  <c r="M523" i="4"/>
  <c r="P523" i="4" s="1"/>
  <c r="O739" i="4"/>
  <c r="L737" i="4"/>
  <c r="O737" i="4" s="1"/>
  <c r="N772" i="4"/>
  <c r="N770" i="4" s="1"/>
  <c r="N773" i="4"/>
  <c r="N805" i="4"/>
  <c r="I314" i="4"/>
  <c r="K314" i="4" s="1"/>
  <c r="L404" i="4"/>
  <c r="O404" i="4" s="1"/>
  <c r="P446" i="4"/>
  <c r="I522" i="4"/>
  <c r="K522" i="4" s="1"/>
  <c r="K537" i="4"/>
  <c r="O549" i="4"/>
  <c r="N546" i="4"/>
  <c r="N547" i="4"/>
  <c r="I143" i="4"/>
  <c r="L229" i="4"/>
  <c r="I233" i="4"/>
  <c r="K233" i="4" s="1"/>
  <c r="I248" i="4"/>
  <c r="K385" i="4"/>
  <c r="O422" i="4"/>
  <c r="O424" i="4"/>
  <c r="O445" i="4"/>
  <c r="O449" i="4"/>
  <c r="J537" i="4"/>
  <c r="J522" i="4" s="1"/>
  <c r="N739" i="4"/>
  <c r="N737" i="4" s="1"/>
  <c r="N740" i="4"/>
  <c r="O756" i="4"/>
  <c r="L754" i="4"/>
  <c r="O754" i="4" s="1"/>
  <c r="P545" i="4"/>
  <c r="O656" i="4"/>
  <c r="K669" i="4"/>
  <c r="L687" i="4"/>
  <c r="O687" i="4" s="1"/>
  <c r="N631" i="4"/>
  <c r="N629" i="4" s="1"/>
  <c r="M737" i="4"/>
  <c r="P737" i="4" s="1"/>
  <c r="M754" i="4"/>
  <c r="P754" i="4" s="1"/>
  <c r="M770" i="4"/>
  <c r="P770" i="4" s="1"/>
  <c r="L786" i="4"/>
  <c r="N788" i="4"/>
  <c r="O788" i="4" s="1"/>
  <c r="K593" i="4"/>
  <c r="M685" i="4"/>
  <c r="P685" i="4" s="1"/>
  <c r="M786" i="4"/>
  <c r="P786" i="4" s="1"/>
  <c r="N72" i="3"/>
  <c r="I197" i="3"/>
  <c r="K197" i="3" s="1"/>
  <c r="M279" i="3"/>
  <c r="M277" i="3" s="1"/>
  <c r="N300" i="3"/>
  <c r="N298" i="3" s="1"/>
  <c r="L391" i="3"/>
  <c r="O391" i="3" s="1"/>
  <c r="L231" i="2"/>
  <c r="M187" i="3"/>
  <c r="P187" i="3" s="1"/>
  <c r="M267" i="3"/>
  <c r="P267" i="3" s="1"/>
  <c r="O282" i="3"/>
  <c r="P333" i="3"/>
  <c r="L687" i="3"/>
  <c r="O687" i="3" s="1"/>
  <c r="P46" i="3"/>
  <c r="L631" i="3"/>
  <c r="O631" i="3" s="1"/>
  <c r="O690" i="3"/>
  <c r="L546" i="3"/>
  <c r="O546" i="3" s="1"/>
  <c r="K672" i="3"/>
  <c r="L533" i="2"/>
  <c r="O533" i="2" s="1"/>
  <c r="P186" i="3"/>
  <c r="P320" i="3"/>
  <c r="K340" i="3"/>
  <c r="I433" i="3"/>
  <c r="I417" i="3" s="1"/>
  <c r="L555" i="3"/>
  <c r="O555" i="3" s="1"/>
  <c r="O557" i="3"/>
  <c r="N330" i="2"/>
  <c r="N328" i="2" s="1"/>
  <c r="M72" i="3"/>
  <c r="P72" i="3" s="1"/>
  <c r="N90" i="3"/>
  <c r="N88" i="3" s="1"/>
  <c r="K309" i="3"/>
  <c r="K374" i="3"/>
  <c r="K381" i="3"/>
  <c r="L36" i="3"/>
  <c r="O36" i="3" s="1"/>
  <c r="M330" i="3"/>
  <c r="M328" i="3" s="1"/>
  <c r="I76" i="3"/>
  <c r="I64" i="3" s="1"/>
  <c r="K64" i="3" s="1"/>
  <c r="M121" i="3"/>
  <c r="P121" i="3" s="1"/>
  <c r="M168" i="3"/>
  <c r="P168" i="3" s="1"/>
  <c r="M331" i="3"/>
  <c r="M334" i="3"/>
  <c r="P334" i="3" s="1"/>
  <c r="K821" i="3"/>
  <c r="K824" i="3"/>
  <c r="K827" i="3"/>
  <c r="P56" i="3"/>
  <c r="N134" i="3"/>
  <c r="N132" i="3" s="1"/>
  <c r="P303" i="3"/>
  <c r="K297" i="3"/>
  <c r="M68" i="3"/>
  <c r="N183" i="3"/>
  <c r="N181" i="3" s="1"/>
  <c r="L209" i="3"/>
  <c r="O209" i="3" s="1"/>
  <c r="I216" i="3"/>
  <c r="K216" i="3" s="1"/>
  <c r="J364" i="3"/>
  <c r="P410" i="3"/>
  <c r="K560" i="3"/>
  <c r="K822" i="3"/>
  <c r="K825" i="3"/>
  <c r="K828" i="3"/>
  <c r="K379" i="2"/>
  <c r="P93" i="3"/>
  <c r="N138" i="3"/>
  <c r="P138" i="3" s="1"/>
  <c r="L229" i="3"/>
  <c r="M304" i="3"/>
  <c r="P304" i="3" s="1"/>
  <c r="I314" i="3"/>
  <c r="K314" i="3" s="1"/>
  <c r="K370" i="3"/>
  <c r="L421" i="3"/>
  <c r="O421" i="3" s="1"/>
  <c r="I112" i="3"/>
  <c r="K112" i="3" s="1"/>
  <c r="O46" i="3"/>
  <c r="L44" i="3"/>
  <c r="O44" i="3" s="1"/>
  <c r="P71" i="3"/>
  <c r="M69" i="3"/>
  <c r="P69" i="3" s="1"/>
  <c r="L217" i="3"/>
  <c r="O217" i="3" s="1"/>
  <c r="L300" i="3"/>
  <c r="M321" i="3"/>
  <c r="P321" i="3" s="1"/>
  <c r="P323" i="3"/>
  <c r="P397" i="3"/>
  <c r="M395" i="3"/>
  <c r="P395" i="3" s="1"/>
  <c r="L469" i="3"/>
  <c r="L467" i="3" s="1"/>
  <c r="O467" i="3" s="1"/>
  <c r="I522" i="3"/>
  <c r="K522" i="3" s="1"/>
  <c r="J537" i="3"/>
  <c r="J522" i="3" s="1"/>
  <c r="K559" i="3"/>
  <c r="I543" i="3"/>
  <c r="K543" i="3" s="1"/>
  <c r="L687" i="2"/>
  <c r="L685" i="2" s="1"/>
  <c r="O71" i="3"/>
  <c r="L68" i="3"/>
  <c r="N121" i="3"/>
  <c r="N119" i="3" s="1"/>
  <c r="O479" i="3"/>
  <c r="L43" i="3"/>
  <c r="L41" i="3" s="1"/>
  <c r="L69" i="3"/>
  <c r="O69" i="3" s="1"/>
  <c r="O140" i="3"/>
  <c r="K146" i="3"/>
  <c r="P154" i="3"/>
  <c r="M152" i="3"/>
  <c r="P152" i="3" s="1"/>
  <c r="K271" i="3"/>
  <c r="L321" i="3"/>
  <c r="O321" i="3" s="1"/>
  <c r="P394" i="3"/>
  <c r="M392" i="3"/>
  <c r="P392" i="3" s="1"/>
  <c r="M391" i="3"/>
  <c r="P391" i="3" s="1"/>
  <c r="P407" i="3"/>
  <c r="M405" i="3"/>
  <c r="P405" i="3" s="1"/>
  <c r="I654" i="3"/>
  <c r="K654" i="3" s="1"/>
  <c r="K675" i="3"/>
  <c r="K669" i="3"/>
  <c r="K674" i="3"/>
  <c r="M91" i="3"/>
  <c r="P91" i="3" s="1"/>
  <c r="N135" i="3"/>
  <c r="O135" i="3" s="1"/>
  <c r="N280" i="3"/>
  <c r="O280" i="3" s="1"/>
  <c r="M23" i="3"/>
  <c r="M21" i="3" s="1"/>
  <c r="N43" i="3"/>
  <c r="N41" i="3" s="1"/>
  <c r="O137" i="3"/>
  <c r="L198" i="3"/>
  <c r="O198" i="3" s="1"/>
  <c r="I208" i="3"/>
  <c r="K208" i="3" s="1"/>
  <c r="J288" i="3"/>
  <c r="J275" i="3" s="1"/>
  <c r="K275" i="3" s="1"/>
  <c r="L317" i="3"/>
  <c r="K651" i="3"/>
  <c r="J628" i="3"/>
  <c r="K628" i="3" s="1"/>
  <c r="O170" i="3"/>
  <c r="L168" i="3"/>
  <c r="O168" i="3" s="1"/>
  <c r="L477" i="3"/>
  <c r="O477" i="3" s="1"/>
  <c r="N134" i="2"/>
  <c r="N132" i="2" s="1"/>
  <c r="N183" i="2"/>
  <c r="N181" i="2" s="1"/>
  <c r="L56" i="3"/>
  <c r="O56" i="3" s="1"/>
  <c r="O58" i="3"/>
  <c r="P127" i="3"/>
  <c r="M125" i="3"/>
  <c r="P125" i="3" s="1"/>
  <c r="M135" i="3"/>
  <c r="P137" i="3"/>
  <c r="M134" i="3"/>
  <c r="O186" i="3"/>
  <c r="L184" i="3"/>
  <c r="O184" i="3" s="1"/>
  <c r="L279" i="3"/>
  <c r="L277" i="3" s="1"/>
  <c r="O285" i="3"/>
  <c r="M317" i="3"/>
  <c r="P317" i="3" s="1"/>
  <c r="L422" i="3"/>
  <c r="O422" i="3" s="1"/>
  <c r="L33" i="3"/>
  <c r="O33" i="3" s="1"/>
  <c r="I592" i="3"/>
  <c r="K592" i="3" s="1"/>
  <c r="K593" i="3"/>
  <c r="J722" i="3"/>
  <c r="L249" i="3"/>
  <c r="O249" i="3" s="1"/>
  <c r="K621" i="3"/>
  <c r="L788" i="3"/>
  <c r="O788" i="3" s="1"/>
  <c r="M44" i="3"/>
  <c r="P44" i="3" s="1"/>
  <c r="L238" i="3"/>
  <c r="O238" i="3" s="1"/>
  <c r="K260" i="3"/>
  <c r="P266" i="3"/>
  <c r="M347" i="3"/>
  <c r="N317" i="3"/>
  <c r="N315" i="3" s="1"/>
  <c r="M351" i="3"/>
  <c r="P351" i="3" s="1"/>
  <c r="K355" i="3"/>
  <c r="K385" i="3"/>
  <c r="L429" i="3"/>
  <c r="O429" i="3" s="1"/>
  <c r="L789" i="3"/>
  <c r="O789" i="3" s="1"/>
  <c r="O29" i="3"/>
  <c r="N151" i="2"/>
  <c r="N149" i="2" s="1"/>
  <c r="N23" i="3"/>
  <c r="M43" i="3"/>
  <c r="P59" i="3"/>
  <c r="O61" i="3"/>
  <c r="M94" i="3"/>
  <c r="P94" i="3" s="1"/>
  <c r="L125" i="3"/>
  <c r="O125" i="3" s="1"/>
  <c r="O127" i="3"/>
  <c r="M155" i="3"/>
  <c r="P155" i="3" s="1"/>
  <c r="L228" i="3"/>
  <c r="N279" i="3"/>
  <c r="N331" i="3"/>
  <c r="O331" i="3" s="1"/>
  <c r="N330" i="3"/>
  <c r="N328" i="3" s="1"/>
  <c r="N348" i="3"/>
  <c r="P348" i="3" s="1"/>
  <c r="N347" i="3"/>
  <c r="N345" i="3" s="1"/>
  <c r="O449" i="3"/>
  <c r="L447" i="3"/>
  <c r="P771" i="3"/>
  <c r="M770" i="3"/>
  <c r="P770" i="3" s="1"/>
  <c r="M30" i="3"/>
  <c r="P30" i="3" s="1"/>
  <c r="O89" i="3"/>
  <c r="L279" i="1"/>
  <c r="L277" i="1" s="1"/>
  <c r="M43" i="2"/>
  <c r="M41" i="2" s="1"/>
  <c r="K821" i="2"/>
  <c r="K824" i="2"/>
  <c r="K827" i="2"/>
  <c r="L26" i="3"/>
  <c r="M34" i="3"/>
  <c r="P34" i="3" s="1"/>
  <c r="P61" i="3"/>
  <c r="O67" i="3"/>
  <c r="K86" i="3"/>
  <c r="O120" i="3"/>
  <c r="M122" i="3"/>
  <c r="P122" i="3" s="1"/>
  <c r="M280" i="3"/>
  <c r="P282" i="3"/>
  <c r="M300" i="3"/>
  <c r="M298" i="3" s="1"/>
  <c r="L301" i="3"/>
  <c r="O301" i="3" s="1"/>
  <c r="O303" i="3"/>
  <c r="N422" i="3"/>
  <c r="N421" i="3"/>
  <c r="O503" i="3"/>
  <c r="L502" i="3"/>
  <c r="O502" i="3" s="1"/>
  <c r="O686" i="3"/>
  <c r="I364" i="3"/>
  <c r="K365" i="3"/>
  <c r="K462" i="3"/>
  <c r="I443" i="3"/>
  <c r="K443" i="3" s="1"/>
  <c r="L12" i="3"/>
  <c r="L19" i="3"/>
  <c r="M26" i="3"/>
  <c r="O35" i="3"/>
  <c r="K255" i="3"/>
  <c r="I248" i="3"/>
  <c r="K248" i="3" s="1"/>
  <c r="I233" i="3"/>
  <c r="K233" i="3" s="1"/>
  <c r="L264" i="3"/>
  <c r="O266" i="3"/>
  <c r="P278" i="3"/>
  <c r="L304" i="3"/>
  <c r="O304" i="3" s="1"/>
  <c r="O306" i="3"/>
  <c r="L122" i="3"/>
  <c r="O122" i="3" s="1"/>
  <c r="O124" i="3"/>
  <c r="M90" i="2"/>
  <c r="M88" i="2" s="1"/>
  <c r="L187" i="2"/>
  <c r="O187" i="2" s="1"/>
  <c r="L228" i="2"/>
  <c r="N263" i="2"/>
  <c r="N261" i="2" s="1"/>
  <c r="O285" i="2"/>
  <c r="N300" i="2"/>
  <c r="N298" i="2" s="1"/>
  <c r="N317" i="2"/>
  <c r="N315" i="2" s="1"/>
  <c r="N404" i="2"/>
  <c r="N402" i="2" s="1"/>
  <c r="M12" i="3"/>
  <c r="M19" i="3"/>
  <c r="N26" i="3"/>
  <c r="N55" i="3"/>
  <c r="P58" i="3"/>
  <c r="M90" i="3"/>
  <c r="L91" i="3"/>
  <c r="O91" i="3" s="1"/>
  <c r="O93" i="3"/>
  <c r="K98" i="3"/>
  <c r="M151" i="3"/>
  <c r="L152" i="3"/>
  <c r="O152" i="3" s="1"/>
  <c r="O154" i="3"/>
  <c r="I190" i="3"/>
  <c r="K190" i="3" s="1"/>
  <c r="L267" i="3"/>
  <c r="O267" i="3" s="1"/>
  <c r="O269" i="3"/>
  <c r="M283" i="3"/>
  <c r="P283" i="3" s="1"/>
  <c r="P285" i="3"/>
  <c r="O299" i="3"/>
  <c r="M301" i="3"/>
  <c r="P301" i="3" s="1"/>
  <c r="P329" i="3"/>
  <c r="P346" i="3"/>
  <c r="P468" i="3"/>
  <c r="M467" i="3"/>
  <c r="P467" i="3" s="1"/>
  <c r="O150" i="3"/>
  <c r="P170" i="2"/>
  <c r="P350" i="2"/>
  <c r="K701" i="2"/>
  <c r="N12" i="3"/>
  <c r="L23" i="3"/>
  <c r="L94" i="3"/>
  <c r="O94" i="3" s="1"/>
  <c r="O96" i="3"/>
  <c r="L121" i="3"/>
  <c r="O121" i="3" s="1"/>
  <c r="J143" i="3"/>
  <c r="J131" i="3" s="1"/>
  <c r="K145" i="3"/>
  <c r="I143" i="3"/>
  <c r="L155" i="3"/>
  <c r="O155" i="3" s="1"/>
  <c r="O157" i="3"/>
  <c r="O262" i="3"/>
  <c r="L334" i="3"/>
  <c r="O334" i="3" s="1"/>
  <c r="O336" i="3"/>
  <c r="L330" i="3"/>
  <c r="N419" i="3"/>
  <c r="P631" i="3"/>
  <c r="M629" i="3"/>
  <c r="P629" i="3" s="1"/>
  <c r="O658" i="3"/>
  <c r="L392" i="3"/>
  <c r="O392" i="3" s="1"/>
  <c r="O394" i="3"/>
  <c r="J433" i="3"/>
  <c r="K437" i="3"/>
  <c r="O456" i="3"/>
  <c r="L454" i="3"/>
  <c r="O454" i="3" s="1"/>
  <c r="N502" i="3"/>
  <c r="O630" i="3"/>
  <c r="O660" i="3"/>
  <c r="N657" i="3"/>
  <c r="N658" i="3"/>
  <c r="N685" i="3"/>
  <c r="P738" i="3"/>
  <c r="M737" i="3"/>
  <c r="P737" i="3" s="1"/>
  <c r="I77" i="3"/>
  <c r="K338" i="3"/>
  <c r="K360" i="3"/>
  <c r="K378" i="3"/>
  <c r="N391" i="3"/>
  <c r="N389" i="3" s="1"/>
  <c r="L395" i="3"/>
  <c r="O395" i="3" s="1"/>
  <c r="O397" i="3"/>
  <c r="O407" i="3"/>
  <c r="L405" i="3"/>
  <c r="O405" i="3" s="1"/>
  <c r="O424" i="3"/>
  <c r="K438" i="3"/>
  <c r="I434" i="3"/>
  <c r="N446" i="3"/>
  <c r="N444" i="3" s="1"/>
  <c r="N447" i="3"/>
  <c r="O535" i="3"/>
  <c r="L525" i="3"/>
  <c r="L533" i="3"/>
  <c r="O533" i="3" s="1"/>
  <c r="P546" i="3"/>
  <c r="M544" i="3"/>
  <c r="P544" i="3" s="1"/>
  <c r="O549" i="3"/>
  <c r="N544" i="3"/>
  <c r="K576" i="3"/>
  <c r="N632" i="3"/>
  <c r="O632" i="3" s="1"/>
  <c r="I785" i="3"/>
  <c r="K785" i="3" s="1"/>
  <c r="K800" i="3"/>
  <c r="O806" i="3"/>
  <c r="L805" i="3"/>
  <c r="O805" i="3" s="1"/>
  <c r="K99" i="3"/>
  <c r="L348" i="3"/>
  <c r="O350" i="3"/>
  <c r="P390" i="3"/>
  <c r="O547" i="3"/>
  <c r="N629" i="3"/>
  <c r="P755" i="3"/>
  <c r="M754" i="3"/>
  <c r="P754" i="3" s="1"/>
  <c r="P788" i="3"/>
  <c r="M786" i="3"/>
  <c r="P786" i="3" s="1"/>
  <c r="M805" i="3"/>
  <c r="P805" i="3" s="1"/>
  <c r="I237" i="3"/>
  <c r="O333" i="3"/>
  <c r="P350" i="3"/>
  <c r="L351" i="3"/>
  <c r="O351" i="3" s="1"/>
  <c r="O353" i="3"/>
  <c r="K369" i="3"/>
  <c r="O410" i="3"/>
  <c r="L408" i="3"/>
  <c r="O408" i="3" s="1"/>
  <c r="P420" i="3"/>
  <c r="M419" i="3"/>
  <c r="I442" i="3"/>
  <c r="K442" i="3" s="1"/>
  <c r="K460" i="3"/>
  <c r="N469" i="3"/>
  <c r="N467" i="3" s="1"/>
  <c r="M502" i="3"/>
  <c r="P502" i="3" s="1"/>
  <c r="O545" i="3"/>
  <c r="P687" i="3"/>
  <c r="M685" i="3"/>
  <c r="P685" i="3" s="1"/>
  <c r="O787" i="3"/>
  <c r="O634" i="3"/>
  <c r="M47" i="2"/>
  <c r="P47" i="2" s="1"/>
  <c r="I112" i="2"/>
  <c r="K112" i="2" s="1"/>
  <c r="M125" i="2"/>
  <c r="P125" i="2" s="1"/>
  <c r="I130" i="2"/>
  <c r="K130" i="2" s="1"/>
  <c r="M267" i="2"/>
  <c r="P267" i="2" s="1"/>
  <c r="I314" i="2"/>
  <c r="K314" i="2" s="1"/>
  <c r="L347" i="2"/>
  <c r="L345" i="2" s="1"/>
  <c r="L391" i="2"/>
  <c r="O391" i="2" s="1"/>
  <c r="N408" i="2"/>
  <c r="L429" i="2"/>
  <c r="O429" i="2" s="1"/>
  <c r="K823" i="2"/>
  <c r="K826" i="2"/>
  <c r="L135" i="2"/>
  <c r="O135" i="2" s="1"/>
  <c r="O140" i="2"/>
  <c r="M304" i="2"/>
  <c r="P304" i="2" s="1"/>
  <c r="K720" i="2"/>
  <c r="L230" i="2"/>
  <c r="K378" i="2"/>
  <c r="K381" i="2"/>
  <c r="L36" i="2"/>
  <c r="O36" i="2" s="1"/>
  <c r="J722" i="2"/>
  <c r="K722" i="2" s="1"/>
  <c r="M331" i="2"/>
  <c r="I522" i="2"/>
  <c r="K522" i="2" s="1"/>
  <c r="I785" i="2"/>
  <c r="P56" i="2"/>
  <c r="N68" i="2"/>
  <c r="N66" i="2" s="1"/>
  <c r="M72" i="2"/>
  <c r="P72" i="2" s="1"/>
  <c r="M122" i="2"/>
  <c r="P122" i="2" s="1"/>
  <c r="M167" i="2"/>
  <c r="M165" i="2" s="1"/>
  <c r="K309" i="2"/>
  <c r="L526" i="2"/>
  <c r="O526" i="2" s="1"/>
  <c r="I654" i="2"/>
  <c r="K654" i="2" s="1"/>
  <c r="L125" i="2"/>
  <c r="O125" i="2" s="1"/>
  <c r="I148" i="2"/>
  <c r="K148" i="2" s="1"/>
  <c r="M168" i="2"/>
  <c r="P168" i="2" s="1"/>
  <c r="K370" i="2"/>
  <c r="N391" i="2"/>
  <c r="N389" i="2" s="1"/>
  <c r="M395" i="2"/>
  <c r="P395" i="2" s="1"/>
  <c r="P407" i="2"/>
  <c r="O46" i="2"/>
  <c r="M183" i="2"/>
  <c r="M181" i="2" s="1"/>
  <c r="I364" i="2"/>
  <c r="J785" i="2"/>
  <c r="P46" i="2"/>
  <c r="I248" i="2"/>
  <c r="K248" i="2" s="1"/>
  <c r="I276" i="2"/>
  <c r="K276" i="2" s="1"/>
  <c r="N331" i="2"/>
  <c r="K651" i="2"/>
  <c r="M68" i="2"/>
  <c r="M66" i="2" s="1"/>
  <c r="P66" i="2" s="1"/>
  <c r="K360" i="2"/>
  <c r="K369" i="2"/>
  <c r="K723" i="2"/>
  <c r="K822" i="2"/>
  <c r="K825" i="2"/>
  <c r="K828" i="2"/>
  <c r="K174" i="2"/>
  <c r="I164" i="2"/>
  <c r="K164" i="2" s="1"/>
  <c r="P91" i="2"/>
  <c r="K297" i="2"/>
  <c r="M94" i="2"/>
  <c r="P94" i="2" s="1"/>
  <c r="K145" i="2"/>
  <c r="O184" i="2"/>
  <c r="K359" i="2"/>
  <c r="K385" i="2"/>
  <c r="K176" i="2"/>
  <c r="M187" i="2"/>
  <c r="P187" i="2" s="1"/>
  <c r="L198" i="2"/>
  <c r="O198" i="2" s="1"/>
  <c r="L446" i="2"/>
  <c r="O446" i="2" s="1"/>
  <c r="L55" i="2"/>
  <c r="L53" i="2" s="1"/>
  <c r="P140" i="2"/>
  <c r="L151" i="2"/>
  <c r="O151" i="2" s="1"/>
  <c r="L171" i="2"/>
  <c r="O171" i="2" s="1"/>
  <c r="P189" i="2"/>
  <c r="O266" i="2"/>
  <c r="L317" i="2"/>
  <c r="L315" i="2" s="1"/>
  <c r="O407" i="2"/>
  <c r="L33" i="2"/>
  <c r="L31" i="2" s="1"/>
  <c r="M44" i="2"/>
  <c r="P44" i="2" s="1"/>
  <c r="M69" i="2"/>
  <c r="P69" i="2" s="1"/>
  <c r="M171" i="2"/>
  <c r="P171" i="2" s="1"/>
  <c r="L183" i="2"/>
  <c r="L181" i="2" s="1"/>
  <c r="I197" i="2"/>
  <c r="K197" i="2" s="1"/>
  <c r="L263" i="2"/>
  <c r="L261" i="2" s="1"/>
  <c r="M330" i="2"/>
  <c r="K593" i="2"/>
  <c r="O91" i="2"/>
  <c r="O170" i="2"/>
  <c r="K340" i="2"/>
  <c r="L408" i="2"/>
  <c r="O408" i="2" s="1"/>
  <c r="K801" i="2"/>
  <c r="O303" i="2"/>
  <c r="L300" i="2"/>
  <c r="N43" i="2"/>
  <c r="N41" i="2" s="1"/>
  <c r="N26" i="2"/>
  <c r="N16" i="2" s="1"/>
  <c r="N14" i="2" s="1"/>
  <c r="P71" i="2"/>
  <c r="L152" i="2"/>
  <c r="O152" i="2" s="1"/>
  <c r="N167" i="2"/>
  <c r="P186" i="2"/>
  <c r="M184" i="2"/>
  <c r="P184" i="2" s="1"/>
  <c r="K271" i="2"/>
  <c r="P303" i="2"/>
  <c r="M301" i="2"/>
  <c r="P301" i="2" s="1"/>
  <c r="M408" i="2"/>
  <c r="P408" i="2" s="1"/>
  <c r="M404" i="2"/>
  <c r="P404" i="2" s="1"/>
  <c r="P410" i="2"/>
  <c r="K462" i="2"/>
  <c r="I443" i="2"/>
  <c r="K443" i="2" s="1"/>
  <c r="P58" i="2"/>
  <c r="K98" i="2"/>
  <c r="L632" i="2"/>
  <c r="L631" i="2"/>
  <c r="L629" i="2" s="1"/>
  <c r="O61" i="2"/>
  <c r="L72" i="2"/>
  <c r="O72" i="2" s="1"/>
  <c r="N90" i="2"/>
  <c r="N88" i="2" s="1"/>
  <c r="N23" i="2"/>
  <c r="N21" i="2" s="1"/>
  <c r="L134" i="2"/>
  <c r="N152" i="2"/>
  <c r="L155" i="2"/>
  <c r="O155" i="2" s="1"/>
  <c r="L238" i="2"/>
  <c r="O238" i="2" s="1"/>
  <c r="L279" i="2"/>
  <c r="L277" i="2" s="1"/>
  <c r="P282" i="2"/>
  <c r="M279" i="2"/>
  <c r="M300" i="2"/>
  <c r="P336" i="2"/>
  <c r="M348" i="2"/>
  <c r="P348" i="2" s="1"/>
  <c r="M347" i="2"/>
  <c r="M391" i="2"/>
  <c r="P394" i="2"/>
  <c r="M392" i="2"/>
  <c r="P392" i="2" s="1"/>
  <c r="L404" i="2"/>
  <c r="O404" i="2" s="1"/>
  <c r="J433" i="2"/>
  <c r="L789" i="2"/>
  <c r="L788" i="2"/>
  <c r="L786" i="2" s="1"/>
  <c r="L122" i="2"/>
  <c r="O122" i="2" s="1"/>
  <c r="M134" i="2"/>
  <c r="P134" i="2" s="1"/>
  <c r="P137" i="2"/>
  <c r="O282" i="2"/>
  <c r="N280" i="2"/>
  <c r="O280" i="2" s="1"/>
  <c r="P353" i="2"/>
  <c r="M263" i="2"/>
  <c r="P266" i="2"/>
  <c r="M264" i="2"/>
  <c r="P264" i="2" s="1"/>
  <c r="N347" i="2"/>
  <c r="N351" i="2"/>
  <c r="P351" i="2" s="1"/>
  <c r="K365" i="2"/>
  <c r="J364" i="2"/>
  <c r="O549" i="2"/>
  <c r="L546" i="2"/>
  <c r="O546" i="2" s="1"/>
  <c r="L47" i="2"/>
  <c r="O47" i="2" s="1"/>
  <c r="O58" i="2"/>
  <c r="L121" i="2"/>
  <c r="L217" i="2"/>
  <c r="O217" i="2" s="1"/>
  <c r="M321" i="2"/>
  <c r="P321" i="2" s="1"/>
  <c r="M317" i="2"/>
  <c r="M315" i="2" s="1"/>
  <c r="K576" i="2"/>
  <c r="I559" i="2"/>
  <c r="I543" i="2" s="1"/>
  <c r="K543" i="2" s="1"/>
  <c r="K628" i="2"/>
  <c r="L657" i="2"/>
  <c r="O660" i="2"/>
  <c r="K674" i="2"/>
  <c r="K669" i="2"/>
  <c r="K673" i="2"/>
  <c r="K675" i="2"/>
  <c r="L229" i="2"/>
  <c r="K374" i="2"/>
  <c r="I433" i="2"/>
  <c r="I417" i="2" s="1"/>
  <c r="K649" i="2"/>
  <c r="K260" i="2"/>
  <c r="K362" i="2"/>
  <c r="K372" i="2"/>
  <c r="L421" i="2"/>
  <c r="O421" i="2" s="1"/>
  <c r="L454" i="2"/>
  <c r="O454" i="2" s="1"/>
  <c r="K594" i="2"/>
  <c r="K647" i="2"/>
  <c r="J721" i="2"/>
  <c r="K721" i="2" s="1"/>
  <c r="K803" i="2"/>
  <c r="O186" i="2"/>
  <c r="L209" i="2"/>
  <c r="O209" i="2" s="1"/>
  <c r="K592" i="2"/>
  <c r="K708" i="2"/>
  <c r="O56" i="2"/>
  <c r="O22" i="2"/>
  <c r="L19" i="2"/>
  <c r="P22" i="2"/>
  <c r="M19" i="2"/>
  <c r="I131" i="2"/>
  <c r="K131" i="2" s="1"/>
  <c r="K144" i="2"/>
  <c r="J143" i="2"/>
  <c r="J131" i="2" s="1"/>
  <c r="K224" i="2"/>
  <c r="I216" i="2"/>
  <c r="K216" i="2" s="1"/>
  <c r="N756" i="2"/>
  <c r="N757" i="2"/>
  <c r="L94" i="2"/>
  <c r="O94" i="2" s="1"/>
  <c r="M152" i="2"/>
  <c r="P152" i="2" s="1"/>
  <c r="P154" i="2"/>
  <c r="K460" i="1"/>
  <c r="K483" i="1"/>
  <c r="M28" i="2"/>
  <c r="P28" i="2" s="1"/>
  <c r="M30" i="2"/>
  <c r="P30" i="2" s="1"/>
  <c r="L44" i="2"/>
  <c r="O44" i="2" s="1"/>
  <c r="L69" i="2"/>
  <c r="O69" i="2" s="1"/>
  <c r="I76" i="2"/>
  <c r="I87" i="2"/>
  <c r="K87" i="2" s="1"/>
  <c r="M121" i="2"/>
  <c r="P121" i="2" s="1"/>
  <c r="M155" i="2"/>
  <c r="P155" i="2" s="1"/>
  <c r="P157" i="2"/>
  <c r="L168" i="2"/>
  <c r="O168" i="2" s="1"/>
  <c r="I190" i="2"/>
  <c r="K190" i="2" s="1"/>
  <c r="K215" i="2"/>
  <c r="L331" i="2"/>
  <c r="O333" i="2"/>
  <c r="O634" i="2"/>
  <c r="N631" i="2"/>
  <c r="N632" i="2"/>
  <c r="N33" i="2"/>
  <c r="L90" i="2"/>
  <c r="I233" i="2"/>
  <c r="K233" i="2" s="1"/>
  <c r="K244" i="2"/>
  <c r="I237" i="2"/>
  <c r="M9" i="2"/>
  <c r="L23" i="2"/>
  <c r="P61" i="2"/>
  <c r="K79" i="2"/>
  <c r="I77" i="2"/>
  <c r="O93" i="2"/>
  <c r="N121" i="2"/>
  <c r="N119" i="2" s="1"/>
  <c r="L167" i="2"/>
  <c r="K338" i="2"/>
  <c r="J327" i="2"/>
  <c r="K327" i="2" s="1"/>
  <c r="J596" i="1"/>
  <c r="M23" i="2"/>
  <c r="L26" i="2"/>
  <c r="L43" i="2"/>
  <c r="M55" i="2"/>
  <c r="L68" i="2"/>
  <c r="O68" i="2" s="1"/>
  <c r="P93" i="2"/>
  <c r="M151" i="2"/>
  <c r="P151" i="2" s="1"/>
  <c r="L12" i="2"/>
  <c r="M26" i="2"/>
  <c r="N55" i="2"/>
  <c r="P316" i="2"/>
  <c r="N318" i="2"/>
  <c r="O318" i="2" s="1"/>
  <c r="P320" i="2"/>
  <c r="L334" i="2"/>
  <c r="O334" i="2" s="1"/>
  <c r="O336" i="2"/>
  <c r="L395" i="2"/>
  <c r="O395" i="2" s="1"/>
  <c r="O397" i="2"/>
  <c r="N419" i="2"/>
  <c r="P656" i="2"/>
  <c r="M655" i="2"/>
  <c r="P655" i="2" s="1"/>
  <c r="N685" i="2"/>
  <c r="K725" i="2"/>
  <c r="L249" i="2"/>
  <c r="L348" i="2"/>
  <c r="O348" i="2" s="1"/>
  <c r="O350" i="2"/>
  <c r="K355" i="2"/>
  <c r="N655" i="2"/>
  <c r="N754" i="2"/>
  <c r="O791" i="2"/>
  <c r="N788" i="2"/>
  <c r="N789" i="2"/>
  <c r="O806" i="2"/>
  <c r="L805" i="2"/>
  <c r="O805" i="2" s="1"/>
  <c r="M414" i="2"/>
  <c r="P414" i="2" s="1"/>
  <c r="L447" i="2"/>
  <c r="O447" i="2" s="1"/>
  <c r="O449" i="2"/>
  <c r="N739" i="2"/>
  <c r="N740" i="2"/>
  <c r="N772" i="2"/>
  <c r="N770" i="2" s="1"/>
  <c r="N773" i="2"/>
  <c r="L351" i="2"/>
  <c r="O353" i="2"/>
  <c r="I434" i="2"/>
  <c r="K438" i="2"/>
  <c r="O524" i="2"/>
  <c r="L392" i="2"/>
  <c r="O392" i="2" s="1"/>
  <c r="O394" i="2"/>
  <c r="L422" i="2"/>
  <c r="O422" i="2" s="1"/>
  <c r="O424" i="2"/>
  <c r="L477" i="2"/>
  <c r="O477" i="2" s="1"/>
  <c r="O479" i="2"/>
  <c r="L469" i="2"/>
  <c r="N526" i="2"/>
  <c r="N687" i="2"/>
  <c r="N688" i="2"/>
  <c r="O688" i="2" s="1"/>
  <c r="O690" i="2"/>
  <c r="N737" i="2"/>
  <c r="L264" i="2"/>
  <c r="O264" i="2" s="1"/>
  <c r="L267" i="2"/>
  <c r="O267" i="2" s="1"/>
  <c r="M280" i="2"/>
  <c r="M283" i="2"/>
  <c r="P283" i="2" s="1"/>
  <c r="P299" i="2"/>
  <c r="L301" i="2"/>
  <c r="O301" i="2" s="1"/>
  <c r="L304" i="2"/>
  <c r="O304" i="2" s="1"/>
  <c r="O320" i="2"/>
  <c r="O323" i="2"/>
  <c r="P403" i="2"/>
  <c r="O545" i="2"/>
  <c r="I442" i="2"/>
  <c r="K442" i="2" s="1"/>
  <c r="J537" i="2"/>
  <c r="J522" i="2" s="1"/>
  <c r="L547" i="2"/>
  <c r="O547" i="2" s="1"/>
  <c r="L555" i="2"/>
  <c r="O555" i="2" s="1"/>
  <c r="J288" i="2"/>
  <c r="J275" i="2" s="1"/>
  <c r="K275" i="2" s="1"/>
  <c r="L525" i="2"/>
  <c r="O525" i="2" s="1"/>
  <c r="L68" i="1"/>
  <c r="L66" i="1" s="1"/>
  <c r="N229" i="1"/>
  <c r="J233" i="1"/>
  <c r="J194" i="1"/>
  <c r="K823" i="1"/>
  <c r="K826" i="1"/>
  <c r="O59" i="1"/>
  <c r="K174" i="1"/>
  <c r="K495" i="1"/>
  <c r="N68" i="1"/>
  <c r="L183" i="1"/>
  <c r="L181" i="1" s="1"/>
  <c r="K443" i="1"/>
  <c r="M300" i="1"/>
  <c r="M298" i="1" s="1"/>
  <c r="M183" i="1"/>
  <c r="M181" i="1" s="1"/>
  <c r="J236" i="1"/>
  <c r="L446" i="1"/>
  <c r="L444" i="1" s="1"/>
  <c r="L263" i="1"/>
  <c r="L261" i="1" s="1"/>
  <c r="L229" i="1"/>
  <c r="M408" i="1"/>
  <c r="P408" i="1" s="1"/>
  <c r="O410" i="1"/>
  <c r="N230" i="1"/>
  <c r="L347" i="1"/>
  <c r="L345" i="1" s="1"/>
  <c r="J235" i="1"/>
  <c r="L454" i="1"/>
  <c r="O454" i="1" s="1"/>
  <c r="N279" i="1"/>
  <c r="N277" i="1" s="1"/>
  <c r="M330" i="1"/>
  <c r="M328" i="1" s="1"/>
  <c r="M391" i="1"/>
  <c r="M389" i="1" s="1"/>
  <c r="P389" i="1" s="1"/>
  <c r="J721" i="1"/>
  <c r="K721" i="1" s="1"/>
  <c r="K104" i="1"/>
  <c r="K109" i="1"/>
  <c r="P59" i="1"/>
  <c r="K369" i="1"/>
  <c r="K372" i="1"/>
  <c r="L33" i="1"/>
  <c r="L31" i="1" s="1"/>
  <c r="P58" i="1"/>
  <c r="J76" i="1"/>
  <c r="J64" i="1" s="1"/>
  <c r="K290" i="1"/>
  <c r="K294" i="1"/>
  <c r="M301" i="1"/>
  <c r="M304" i="1"/>
  <c r="P304" i="1" s="1"/>
  <c r="K311" i="1"/>
  <c r="K360" i="1"/>
  <c r="K542" i="1"/>
  <c r="L55" i="1"/>
  <c r="L53" i="1" s="1"/>
  <c r="K114" i="1"/>
  <c r="K118" i="1"/>
  <c r="P137" i="1"/>
  <c r="K223" i="1"/>
  <c r="K725" i="1"/>
  <c r="I785" i="1"/>
  <c r="K79" i="1"/>
  <c r="K82" i="1"/>
  <c r="K102" i="1"/>
  <c r="K106" i="1"/>
  <c r="K110" i="1"/>
  <c r="M321" i="1"/>
  <c r="P321" i="1" s="1"/>
  <c r="K438" i="1"/>
  <c r="K489" i="1"/>
  <c r="J604" i="1"/>
  <c r="J675" i="1"/>
  <c r="J669" i="1" s="1"/>
  <c r="K669" i="1" s="1"/>
  <c r="L688" i="1"/>
  <c r="J708" i="1"/>
  <c r="K708" i="1" s="1"/>
  <c r="J785" i="1"/>
  <c r="K671" i="1"/>
  <c r="K726" i="1"/>
  <c r="K204" i="1"/>
  <c r="K216" i="1"/>
  <c r="K225" i="1"/>
  <c r="O348" i="1"/>
  <c r="O350" i="1"/>
  <c r="J364" i="1"/>
  <c r="N391" i="1"/>
  <c r="N389" i="1" s="1"/>
  <c r="L69" i="1"/>
  <c r="L72" i="1"/>
  <c r="O72" i="1" s="1"/>
  <c r="K146" i="1"/>
  <c r="M151" i="1"/>
  <c r="M149" i="1" s="1"/>
  <c r="M187" i="1"/>
  <c r="P187" i="1" s="1"/>
  <c r="L231" i="1"/>
  <c r="K258" i="1"/>
  <c r="P303" i="1"/>
  <c r="P350" i="1"/>
  <c r="K370" i="1"/>
  <c r="K378" i="1"/>
  <c r="K381" i="1"/>
  <c r="K487" i="1"/>
  <c r="K492" i="1"/>
  <c r="K538" i="1"/>
  <c r="N228" i="1"/>
  <c r="N231" i="1"/>
  <c r="L47" i="1"/>
  <c r="O47" i="1" s="1"/>
  <c r="M122" i="1"/>
  <c r="P122" i="1" s="1"/>
  <c r="K144" i="1"/>
  <c r="M155" i="1"/>
  <c r="P155" i="1" s="1"/>
  <c r="K325" i="1"/>
  <c r="L334" i="1"/>
  <c r="O334" i="1" s="1"/>
  <c r="J722" i="1"/>
  <c r="K722" i="1" s="1"/>
  <c r="M43" i="1"/>
  <c r="M41" i="1" s="1"/>
  <c r="M55" i="1"/>
  <c r="M53" i="1" s="1"/>
  <c r="L90" i="1"/>
  <c r="L88" i="1" s="1"/>
  <c r="P138" i="1"/>
  <c r="L167" i="1"/>
  <c r="L165" i="1" s="1"/>
  <c r="O170" i="1"/>
  <c r="O191" i="1"/>
  <c r="M263" i="1"/>
  <c r="M261" i="1" s="1"/>
  <c r="P266" i="1"/>
  <c r="K340" i="1"/>
  <c r="K385" i="1"/>
  <c r="J568" i="1"/>
  <c r="K568" i="1" s="1"/>
  <c r="J582" i="1"/>
  <c r="J576" i="1" s="1"/>
  <c r="J559" i="1" s="1"/>
  <c r="J543" i="1" s="1"/>
  <c r="K543" i="1" s="1"/>
  <c r="J595" i="1"/>
  <c r="J603" i="1"/>
  <c r="M47" i="1"/>
  <c r="P47" i="1" s="1"/>
  <c r="N55" i="1"/>
  <c r="N53" i="1" s="1"/>
  <c r="M68" i="1"/>
  <c r="M66" i="1" s="1"/>
  <c r="M90" i="1"/>
  <c r="M88" i="1" s="1"/>
  <c r="P96" i="1"/>
  <c r="L171" i="1"/>
  <c r="O171" i="1" s="1"/>
  <c r="N217" i="1"/>
  <c r="N238" i="1"/>
  <c r="N249" i="1"/>
  <c r="M267" i="1"/>
  <c r="P267" i="1" s="1"/>
  <c r="K365" i="1"/>
  <c r="L392" i="1"/>
  <c r="O392" i="1" s="1"/>
  <c r="P394" i="1"/>
  <c r="J466" i="1"/>
  <c r="K466" i="1" s="1"/>
  <c r="J569" i="1"/>
  <c r="K569" i="1" s="1"/>
  <c r="J583" i="1"/>
  <c r="J577" i="1" s="1"/>
  <c r="K577" i="1" s="1"/>
  <c r="K643" i="1"/>
  <c r="K649" i="1"/>
  <c r="L657" i="1"/>
  <c r="L655" i="1" s="1"/>
  <c r="K723" i="1"/>
  <c r="K803" i="1"/>
  <c r="N300" i="1"/>
  <c r="L43" i="1"/>
  <c r="L41" i="1" s="1"/>
  <c r="K143" i="1"/>
  <c r="K176" i="1"/>
  <c r="P186" i="1"/>
  <c r="L198" i="1"/>
  <c r="K207" i="1"/>
  <c r="L217" i="1"/>
  <c r="L230" i="1"/>
  <c r="I235" i="1"/>
  <c r="M279" i="1"/>
  <c r="M277" i="1" s="1"/>
  <c r="O318" i="1"/>
  <c r="P336" i="1"/>
  <c r="K439" i="1"/>
  <c r="K485" i="1"/>
  <c r="J465" i="1"/>
  <c r="K465" i="1" s="1"/>
  <c r="J560" i="1"/>
  <c r="K560" i="1" s="1"/>
  <c r="K674" i="1"/>
  <c r="J679" i="1"/>
  <c r="J678" i="1" s="1"/>
  <c r="J729" i="1"/>
  <c r="K729" i="1" s="1"/>
  <c r="K113" i="1"/>
  <c r="K116" i="1"/>
  <c r="M121" i="1"/>
  <c r="M119" i="1" s="1"/>
  <c r="L134" i="1"/>
  <c r="L132" i="1" s="1"/>
  <c r="K193" i="1"/>
  <c r="K291" i="1"/>
  <c r="K338" i="1"/>
  <c r="K359" i="1"/>
  <c r="K362" i="1"/>
  <c r="I364" i="1"/>
  <c r="N424" i="1"/>
  <c r="N421" i="1" s="1"/>
  <c r="N419" i="1" s="1"/>
  <c r="N472" i="1"/>
  <c r="N469" i="1" s="1"/>
  <c r="N467" i="1" s="1"/>
  <c r="K498" i="1"/>
  <c r="J621" i="1"/>
  <c r="K621" i="1" s="1"/>
  <c r="K644" i="1"/>
  <c r="K647" i="1"/>
  <c r="N660" i="1"/>
  <c r="N657" i="1" s="1"/>
  <c r="N690" i="1"/>
  <c r="N688" i="1" s="1"/>
  <c r="K728" i="1"/>
  <c r="N791" i="1"/>
  <c r="N788" i="1" s="1"/>
  <c r="N786" i="1" s="1"/>
  <c r="K433" i="1"/>
  <c r="I417" i="1"/>
  <c r="K417" i="1" s="1"/>
  <c r="N134" i="1"/>
  <c r="K98" i="1"/>
  <c r="J237" i="1"/>
  <c r="J226" i="1" s="1"/>
  <c r="J180" i="1" s="1"/>
  <c r="L330" i="1"/>
  <c r="L328" i="1" s="1"/>
  <c r="P49" i="1"/>
  <c r="M56" i="1"/>
  <c r="P56" i="1" s="1"/>
  <c r="O61" i="1"/>
  <c r="M72" i="1"/>
  <c r="P72" i="1" s="1"/>
  <c r="P74" i="1"/>
  <c r="J77" i="1"/>
  <c r="J65" i="1" s="1"/>
  <c r="K103" i="1"/>
  <c r="K107" i="1"/>
  <c r="K111" i="1"/>
  <c r="K115" i="1"/>
  <c r="M125" i="1"/>
  <c r="M135" i="1"/>
  <c r="P135" i="1" s="1"/>
  <c r="K145" i="1"/>
  <c r="L151" i="1"/>
  <c r="L149" i="1" s="1"/>
  <c r="O154" i="1"/>
  <c r="K159" i="1"/>
  <c r="N183" i="1"/>
  <c r="N181" i="1" s="1"/>
  <c r="O186" i="1"/>
  <c r="N209" i="1"/>
  <c r="I233" i="1"/>
  <c r="K246" i="1"/>
  <c r="M280" i="1"/>
  <c r="M283" i="1"/>
  <c r="P283" i="1" s="1"/>
  <c r="K312" i="1"/>
  <c r="J327" i="1"/>
  <c r="K327" i="1" s="1"/>
  <c r="M347" i="1"/>
  <c r="O353" i="1"/>
  <c r="M395" i="1"/>
  <c r="P395" i="1" s="1"/>
  <c r="L404" i="1"/>
  <c r="M405" i="1"/>
  <c r="P405" i="1" s="1"/>
  <c r="I434" i="1"/>
  <c r="I418" i="1" s="1"/>
  <c r="K541" i="1"/>
  <c r="N634" i="1"/>
  <c r="O634" i="1" s="1"/>
  <c r="K670" i="1"/>
  <c r="L788" i="1"/>
  <c r="K821" i="1"/>
  <c r="K824" i="1"/>
  <c r="K827" i="1"/>
  <c r="N263" i="1"/>
  <c r="L135" i="1"/>
  <c r="O135" i="1" s="1"/>
  <c r="O140" i="1"/>
  <c r="L321" i="1"/>
  <c r="O321" i="1" s="1"/>
  <c r="M23" i="1"/>
  <c r="M21" i="1" s="1"/>
  <c r="O58" i="1"/>
  <c r="P61" i="1"/>
  <c r="I76" i="1"/>
  <c r="K80" i="1"/>
  <c r="K83" i="1"/>
  <c r="K99" i="1"/>
  <c r="J100" i="1"/>
  <c r="K100" i="1" s="1"/>
  <c r="O137" i="1"/>
  <c r="L249" i="1"/>
  <c r="N317" i="1"/>
  <c r="N315" i="1" s="1"/>
  <c r="O333" i="1"/>
  <c r="N347" i="1"/>
  <c r="N345" i="1" s="1"/>
  <c r="P353" i="1"/>
  <c r="K374" i="1"/>
  <c r="O397" i="1"/>
  <c r="K400" i="1"/>
  <c r="M404" i="1"/>
  <c r="O407" i="1"/>
  <c r="I442" i="1"/>
  <c r="K442" i="1" s="1"/>
  <c r="N121" i="1"/>
  <c r="L469" i="1"/>
  <c r="M26" i="1"/>
  <c r="O138" i="1"/>
  <c r="I164" i="1"/>
  <c r="K164" i="1" s="1"/>
  <c r="M167" i="1"/>
  <c r="M165" i="1" s="1"/>
  <c r="M184" i="1"/>
  <c r="P184" i="1" s="1"/>
  <c r="N198" i="1"/>
  <c r="L238" i="1"/>
  <c r="K247" i="1"/>
  <c r="K275" i="1"/>
  <c r="K310" i="1"/>
  <c r="O320" i="1"/>
  <c r="N331" i="1"/>
  <c r="P331" i="1" s="1"/>
  <c r="P333" i="1"/>
  <c r="P348" i="1"/>
  <c r="K355" i="1"/>
  <c r="L391" i="1"/>
  <c r="M392" i="1"/>
  <c r="P392" i="1" s="1"/>
  <c r="I401" i="1"/>
  <c r="K401" i="1" s="1"/>
  <c r="N404" i="1"/>
  <c r="N402" i="1" s="1"/>
  <c r="K435" i="1"/>
  <c r="O557" i="1"/>
  <c r="J561" i="1"/>
  <c r="K561" i="1" s="1"/>
  <c r="K822" i="1"/>
  <c r="K825" i="1"/>
  <c r="K828" i="1"/>
  <c r="I86" i="1"/>
  <c r="K86" i="1" s="1"/>
  <c r="K148" i="1"/>
  <c r="N168" i="1"/>
  <c r="O168" i="1" s="1"/>
  <c r="P282" i="1"/>
  <c r="K440" i="1"/>
  <c r="J112" i="1"/>
  <c r="M134" i="1"/>
  <c r="P140" i="1"/>
  <c r="L155" i="1"/>
  <c r="O155" i="1" s="1"/>
  <c r="N167" i="1"/>
  <c r="P170" i="1"/>
  <c r="I197" i="1"/>
  <c r="K197" i="1" s="1"/>
  <c r="K206" i="1"/>
  <c r="L209" i="1"/>
  <c r="K214" i="1"/>
  <c r="I236" i="1"/>
  <c r="K248" i="1"/>
  <c r="K288" i="1"/>
  <c r="K293" i="1"/>
  <c r="P318" i="1"/>
  <c r="K437" i="1"/>
  <c r="K673" i="1"/>
  <c r="K699" i="1"/>
  <c r="K720" i="1"/>
  <c r="O29" i="1"/>
  <c r="P93" i="1"/>
  <c r="N91" i="1"/>
  <c r="L15" i="1"/>
  <c r="L23" i="1"/>
  <c r="L21" i="1" s="1"/>
  <c r="O71" i="1"/>
  <c r="O93" i="1"/>
  <c r="L280" i="1"/>
  <c r="O282" i="1"/>
  <c r="L283" i="1"/>
  <c r="O283" i="1" s="1"/>
  <c r="O285" i="1"/>
  <c r="O351" i="1"/>
  <c r="P150" i="1"/>
  <c r="P46" i="1"/>
  <c r="N44" i="1"/>
  <c r="P44" i="1" s="1"/>
  <c r="P127" i="1"/>
  <c r="N125" i="1"/>
  <c r="O125" i="1" s="1"/>
  <c r="N152" i="1"/>
  <c r="O152" i="1" s="1"/>
  <c r="P154" i="1"/>
  <c r="K215" i="1"/>
  <c r="I208" i="1"/>
  <c r="K208" i="1" s="1"/>
  <c r="K271" i="1"/>
  <c r="K276" i="1"/>
  <c r="L304" i="1"/>
  <c r="O304" i="1" s="1"/>
  <c r="O306" i="1"/>
  <c r="N26" i="1"/>
  <c r="K87" i="1"/>
  <c r="N90" i="1"/>
  <c r="N88" i="1" s="1"/>
  <c r="O127" i="1"/>
  <c r="L228" i="1"/>
  <c r="K260" i="1"/>
  <c r="P320" i="1"/>
  <c r="M317" i="1"/>
  <c r="O686" i="1"/>
  <c r="L685" i="1"/>
  <c r="L44" i="1"/>
  <c r="P71" i="1"/>
  <c r="N69" i="1"/>
  <c r="L301" i="1"/>
  <c r="O303" i="1"/>
  <c r="M15" i="1"/>
  <c r="P32" i="1"/>
  <c r="N23" i="1"/>
  <c r="I77" i="1"/>
  <c r="P35" i="1"/>
  <c r="N43" i="1"/>
  <c r="L26" i="1"/>
  <c r="O96" i="1"/>
  <c r="I112" i="1"/>
  <c r="K130" i="1"/>
  <c r="I226" i="1"/>
  <c r="L264" i="1"/>
  <c r="O266" i="1"/>
  <c r="L267" i="1"/>
  <c r="O267" i="1" s="1"/>
  <c r="O269" i="1"/>
  <c r="O420" i="1"/>
  <c r="L639" i="1"/>
  <c r="O639" i="1" s="1"/>
  <c r="L631" i="1"/>
  <c r="O641" i="1"/>
  <c r="L36" i="1"/>
  <c r="L34" i="1" s="1"/>
  <c r="O34" i="1" s="1"/>
  <c r="L300" i="1"/>
  <c r="N12" i="1"/>
  <c r="O35" i="1"/>
  <c r="O46" i="1"/>
  <c r="L56" i="1"/>
  <c r="O56" i="1" s="1"/>
  <c r="M29" i="1"/>
  <c r="K78" i="1"/>
  <c r="K81" i="1"/>
  <c r="K84" i="1"/>
  <c r="L121" i="1"/>
  <c r="O124" i="1"/>
  <c r="K131" i="1"/>
  <c r="N151" i="1"/>
  <c r="K257" i="1"/>
  <c r="K287" i="1"/>
  <c r="I297" i="1"/>
  <c r="K297" i="1" s="1"/>
  <c r="K309" i="1"/>
  <c r="P351" i="1"/>
  <c r="M544" i="1"/>
  <c r="P544" i="1" s="1"/>
  <c r="P545" i="1"/>
  <c r="O133" i="1"/>
  <c r="M168" i="1"/>
  <c r="M171" i="1"/>
  <c r="P171" i="1" s="1"/>
  <c r="P182" i="1"/>
  <c r="L184" i="1"/>
  <c r="O184" i="1" s="1"/>
  <c r="L187" i="1"/>
  <c r="O187" i="1" s="1"/>
  <c r="I190" i="1"/>
  <c r="K190" i="1" s="1"/>
  <c r="N264" i="1"/>
  <c r="P264" i="1" s="1"/>
  <c r="N280" i="1"/>
  <c r="N301" i="1"/>
  <c r="J314" i="1"/>
  <c r="K314" i="1" s="1"/>
  <c r="L317" i="1"/>
  <c r="L421" i="1"/>
  <c r="O431" i="1"/>
  <c r="J434" i="1"/>
  <c r="J418" i="1" s="1"/>
  <c r="N549" i="1"/>
  <c r="J620" i="1"/>
  <c r="K620" i="1" s="1"/>
  <c r="K628" i="1"/>
  <c r="P738" i="1"/>
  <c r="M737" i="1"/>
  <c r="P737" i="1" s="1"/>
  <c r="K379" i="1"/>
  <c r="L526" i="1"/>
  <c r="O656" i="1"/>
  <c r="K224" i="1"/>
  <c r="L525" i="1"/>
  <c r="L523" i="1" s="1"/>
  <c r="I522" i="1"/>
  <c r="K522" i="1" s="1"/>
  <c r="K537" i="1"/>
  <c r="P771" i="1"/>
  <c r="M770" i="1"/>
  <c r="P770" i="1" s="1"/>
  <c r="K244" i="1"/>
  <c r="K255" i="1"/>
  <c r="K462" i="1"/>
  <c r="P468" i="1"/>
  <c r="M467" i="1"/>
  <c r="P467" i="1" s="1"/>
  <c r="O787" i="1"/>
  <c r="N330" i="1"/>
  <c r="M419" i="1"/>
  <c r="N449" i="1"/>
  <c r="N528" i="1"/>
  <c r="O528" i="1" s="1"/>
  <c r="K700" i="1"/>
  <c r="J701" i="1"/>
  <c r="K701" i="1" s="1"/>
  <c r="P755" i="1"/>
  <c r="M754" i="1"/>
  <c r="P754" i="1" s="1"/>
  <c r="L546" i="1"/>
  <c r="L544" i="1" s="1"/>
  <c r="K651" i="1"/>
  <c r="K801" i="1"/>
  <c r="O479" i="1"/>
  <c r="L533" i="1"/>
  <c r="O533" i="1" s="1"/>
  <c r="P555" i="1"/>
  <c r="M655" i="1"/>
  <c r="P655" i="1" s="1"/>
  <c r="K672" i="1"/>
  <c r="M685" i="1"/>
  <c r="P685" i="1" s="1"/>
  <c r="M786" i="1"/>
  <c r="P786" i="1" s="1"/>
  <c r="L805" i="1"/>
  <c r="O805" i="1" s="1"/>
  <c r="M523" i="1"/>
  <c r="P523" i="1" s="1"/>
  <c r="M315" i="17" l="1"/>
  <c r="P315" i="17" s="1"/>
  <c r="O330" i="16"/>
  <c r="O330" i="14"/>
  <c r="K76" i="13"/>
  <c r="L149" i="17"/>
  <c r="O149" i="17" s="1"/>
  <c r="P183" i="16"/>
  <c r="O788" i="17"/>
  <c r="O181" i="16"/>
  <c r="L444" i="18"/>
  <c r="O444" i="18" s="1"/>
  <c r="O657" i="13"/>
  <c r="P66" i="18"/>
  <c r="K76" i="16"/>
  <c r="O55" i="18"/>
  <c r="P90" i="15"/>
  <c r="P53" i="15"/>
  <c r="L53" i="18"/>
  <c r="O53" i="18" s="1"/>
  <c r="K364" i="16"/>
  <c r="P90" i="17"/>
  <c r="L629" i="18"/>
  <c r="O629" i="18" s="1"/>
  <c r="P149" i="16"/>
  <c r="L119" i="14"/>
  <c r="O119" i="14" s="1"/>
  <c r="K559" i="17"/>
  <c r="L544" i="14"/>
  <c r="O544" i="14" s="1"/>
  <c r="K364" i="17"/>
  <c r="L786" i="18"/>
  <c r="O786" i="18" s="1"/>
  <c r="O261" i="15"/>
  <c r="K433" i="17"/>
  <c r="K288" i="17"/>
  <c r="L119" i="18"/>
  <c r="O119" i="18" s="1"/>
  <c r="L402" i="17"/>
  <c r="O402" i="17" s="1"/>
  <c r="L34" i="18"/>
  <c r="O34" i="18" s="1"/>
  <c r="O167" i="18"/>
  <c r="P68" i="18"/>
  <c r="K559" i="18"/>
  <c r="O317" i="16"/>
  <c r="O43" i="17"/>
  <c r="O261" i="18"/>
  <c r="P132" i="18"/>
  <c r="I64" i="18"/>
  <c r="K64" i="18" s="1"/>
  <c r="O264" i="18"/>
  <c r="M20" i="16"/>
  <c r="M18" i="16" s="1"/>
  <c r="P264" i="18"/>
  <c r="O347" i="17"/>
  <c r="O184" i="18"/>
  <c r="M24" i="16"/>
  <c r="P167" i="17"/>
  <c r="L34" i="17"/>
  <c r="O34" i="17" s="1"/>
  <c r="O151" i="18"/>
  <c r="O467" i="17"/>
  <c r="K654" i="18"/>
  <c r="M389" i="15"/>
  <c r="P389" i="15" s="1"/>
  <c r="L419" i="16"/>
  <c r="O419" i="16" s="1"/>
  <c r="P298" i="16"/>
  <c r="O167" i="16"/>
  <c r="O167" i="17"/>
  <c r="O149" i="18"/>
  <c r="P391" i="18"/>
  <c r="P261" i="18"/>
  <c r="P263" i="18"/>
  <c r="P151" i="18"/>
  <c r="O300" i="16"/>
  <c r="O631" i="16"/>
  <c r="K288" i="18"/>
  <c r="O56" i="18"/>
  <c r="O183" i="18"/>
  <c r="P263" i="15"/>
  <c r="L523" i="16"/>
  <c r="O523" i="16" s="1"/>
  <c r="L16" i="17"/>
  <c r="O16" i="17" s="1"/>
  <c r="P41" i="17"/>
  <c r="O330" i="18"/>
  <c r="P167" i="18"/>
  <c r="N165" i="18"/>
  <c r="P165" i="18" s="1"/>
  <c r="N21" i="15"/>
  <c r="O21" i="15" s="1"/>
  <c r="O31" i="15"/>
  <c r="P300" i="15"/>
  <c r="O149" i="16"/>
  <c r="K433" i="16"/>
  <c r="O181" i="18"/>
  <c r="O263" i="18"/>
  <c r="P328" i="18"/>
  <c r="M402" i="14"/>
  <c r="P402" i="14" s="1"/>
  <c r="M20" i="17"/>
  <c r="M18" i="17" s="1"/>
  <c r="L544" i="17"/>
  <c r="O544" i="17" s="1"/>
  <c r="O263" i="17"/>
  <c r="L13" i="16"/>
  <c r="L11" i="16" s="1"/>
  <c r="K434" i="17"/>
  <c r="O657" i="14"/>
  <c r="O546" i="16"/>
  <c r="L389" i="17"/>
  <c r="O389" i="17" s="1"/>
  <c r="O300" i="17"/>
  <c r="P330" i="18"/>
  <c r="P348" i="16"/>
  <c r="P88" i="16"/>
  <c r="L523" i="18"/>
  <c r="O523" i="18" s="1"/>
  <c r="K785" i="17"/>
  <c r="M149" i="18"/>
  <c r="P149" i="18" s="1"/>
  <c r="K785" i="14"/>
  <c r="P66" i="16"/>
  <c r="P345" i="17"/>
  <c r="L30" i="15"/>
  <c r="L28" i="15" s="1"/>
  <c r="O28" i="15" s="1"/>
  <c r="M88" i="17"/>
  <c r="P88" i="17" s="1"/>
  <c r="P347" i="17"/>
  <c r="O90" i="18"/>
  <c r="O279" i="16"/>
  <c r="M165" i="17"/>
  <c r="P165" i="17" s="1"/>
  <c r="L345" i="17"/>
  <c r="O345" i="17" s="1"/>
  <c r="M402" i="18"/>
  <c r="P402" i="18" s="1"/>
  <c r="P134" i="18"/>
  <c r="O347" i="15"/>
  <c r="P43" i="16"/>
  <c r="L685" i="18"/>
  <c r="O685" i="18" s="1"/>
  <c r="I164" i="18"/>
  <c r="K164" i="18" s="1"/>
  <c r="K288" i="16"/>
  <c r="O183" i="16"/>
  <c r="O469" i="17"/>
  <c r="O330" i="17"/>
  <c r="K417" i="17"/>
  <c r="K77" i="18"/>
  <c r="L655" i="18"/>
  <c r="O655" i="18" s="1"/>
  <c r="P90" i="18"/>
  <c r="M21" i="16"/>
  <c r="P280" i="16"/>
  <c r="P404" i="16"/>
  <c r="P56" i="18"/>
  <c r="L467" i="12"/>
  <c r="O467" i="12" s="1"/>
  <c r="O33" i="15"/>
  <c r="P277" i="18"/>
  <c r="P279" i="18"/>
  <c r="M315" i="16"/>
  <c r="P315" i="16" s="1"/>
  <c r="M389" i="16"/>
  <c r="P389" i="16" s="1"/>
  <c r="O404" i="18"/>
  <c r="L402" i="18"/>
  <c r="O402" i="18" s="1"/>
  <c r="P55" i="15"/>
  <c r="P55" i="16"/>
  <c r="O53" i="16"/>
  <c r="O55" i="17"/>
  <c r="P345" i="16"/>
  <c r="O315" i="18"/>
  <c r="O277" i="18"/>
  <c r="N21" i="18"/>
  <c r="P184" i="18"/>
  <c r="L544" i="18"/>
  <c r="O544" i="18" s="1"/>
  <c r="M16" i="16"/>
  <c r="M10" i="16" s="1"/>
  <c r="O279" i="18"/>
  <c r="O331" i="18"/>
  <c r="O348" i="12"/>
  <c r="P88" i="13"/>
  <c r="L34" i="14"/>
  <c r="O34" i="14" s="1"/>
  <c r="P347" i="15"/>
  <c r="O391" i="14"/>
  <c r="L132" i="15"/>
  <c r="O132" i="15" s="1"/>
  <c r="O151" i="16"/>
  <c r="K364" i="15"/>
  <c r="P56" i="15"/>
  <c r="L165" i="17"/>
  <c r="O165" i="17" s="1"/>
  <c r="P68" i="17"/>
  <c r="P279" i="16"/>
  <c r="K417" i="16"/>
  <c r="L328" i="18"/>
  <c r="O328" i="18" s="1"/>
  <c r="P347" i="18"/>
  <c r="P330" i="12"/>
  <c r="K417" i="15"/>
  <c r="L13" i="17"/>
  <c r="L11" i="17" s="1"/>
  <c r="K174" i="17"/>
  <c r="O91" i="17"/>
  <c r="O88" i="18"/>
  <c r="M345" i="18"/>
  <c r="P345" i="18" s="1"/>
  <c r="P121" i="17"/>
  <c r="M119" i="17"/>
  <c r="P119" i="17" s="1"/>
  <c r="O317" i="18"/>
  <c r="O90" i="15"/>
  <c r="P261" i="15"/>
  <c r="L298" i="16"/>
  <c r="O298" i="16" s="1"/>
  <c r="P347" i="16"/>
  <c r="L20" i="17"/>
  <c r="L18" i="17" s="1"/>
  <c r="O330" i="12"/>
  <c r="L298" i="17"/>
  <c r="O298" i="17" s="1"/>
  <c r="O347" i="18"/>
  <c r="O345" i="15"/>
  <c r="M88" i="15"/>
  <c r="P88" i="15" s="1"/>
  <c r="P300" i="16"/>
  <c r="N165" i="16"/>
  <c r="P165" i="16" s="1"/>
  <c r="P88" i="18"/>
  <c r="P152" i="18"/>
  <c r="P298" i="18"/>
  <c r="O298" i="18"/>
  <c r="N24" i="15"/>
  <c r="P24" i="15" s="1"/>
  <c r="P9" i="18"/>
  <c r="K559" i="15"/>
  <c r="P183" i="17"/>
  <c r="O181" i="17"/>
  <c r="L345" i="18"/>
  <c r="O345" i="18" s="1"/>
  <c r="O26" i="18"/>
  <c r="L16" i="18"/>
  <c r="L14" i="18" s="1"/>
  <c r="L24" i="18"/>
  <c r="O24" i="18" s="1"/>
  <c r="O29" i="18"/>
  <c r="L31" i="13"/>
  <c r="O31" i="13" s="1"/>
  <c r="P348" i="12"/>
  <c r="K364" i="13"/>
  <c r="K543" i="15"/>
  <c r="O631" i="15"/>
  <c r="O55" i="16"/>
  <c r="L328" i="16"/>
  <c r="O328" i="16" s="1"/>
  <c r="O301" i="16"/>
  <c r="P184" i="17"/>
  <c r="M181" i="16"/>
  <c r="P181" i="16" s="1"/>
  <c r="O26" i="17"/>
  <c r="N24" i="17"/>
  <c r="O24" i="17" s="1"/>
  <c r="L328" i="17"/>
  <c r="O328" i="17" s="1"/>
  <c r="K365" i="18"/>
  <c r="J364" i="18"/>
  <c r="K364" i="18" s="1"/>
  <c r="M16" i="18"/>
  <c r="P26" i="18"/>
  <c r="O23" i="18"/>
  <c r="L21" i="18"/>
  <c r="L20" i="18"/>
  <c r="L13" i="18"/>
  <c r="M24" i="18"/>
  <c r="P24" i="18" s="1"/>
  <c r="L419" i="18"/>
  <c r="K433" i="18"/>
  <c r="J417" i="18"/>
  <c r="K417" i="18" s="1"/>
  <c r="I418" i="18"/>
  <c r="K418" i="18" s="1"/>
  <c r="K434" i="18"/>
  <c r="P121" i="18"/>
  <c r="M119" i="18"/>
  <c r="P119" i="18" s="1"/>
  <c r="P183" i="18"/>
  <c r="M181" i="18"/>
  <c r="P181" i="18" s="1"/>
  <c r="O277" i="14"/>
  <c r="O183" i="17"/>
  <c r="P181" i="17"/>
  <c r="O469" i="18"/>
  <c r="L467" i="18"/>
  <c r="O467" i="18" s="1"/>
  <c r="O134" i="18"/>
  <c r="L132" i="18"/>
  <c r="O132" i="18" s="1"/>
  <c r="O68" i="18"/>
  <c r="L66" i="18"/>
  <c r="O66" i="18" s="1"/>
  <c r="O33" i="18"/>
  <c r="L30" i="18"/>
  <c r="O30" i="18" s="1"/>
  <c r="O238" i="18"/>
  <c r="L227" i="18"/>
  <c r="P55" i="18"/>
  <c r="M53" i="18"/>
  <c r="P53" i="18" s="1"/>
  <c r="P23" i="18"/>
  <c r="M20" i="18"/>
  <c r="M18" i="18" s="1"/>
  <c r="M13" i="18"/>
  <c r="M21" i="18"/>
  <c r="N11" i="18"/>
  <c r="N9" i="18"/>
  <c r="P19" i="18"/>
  <c r="P317" i="18"/>
  <c r="M315" i="18"/>
  <c r="P315" i="18" s="1"/>
  <c r="P300" i="18"/>
  <c r="O300" i="18"/>
  <c r="O15" i="18"/>
  <c r="P43" i="18"/>
  <c r="N41" i="18"/>
  <c r="N16" i="18"/>
  <c r="N20" i="18"/>
  <c r="N18" i="18" s="1"/>
  <c r="M119" i="12"/>
  <c r="P119" i="12" s="1"/>
  <c r="O55" i="15"/>
  <c r="P90" i="16"/>
  <c r="M13" i="17"/>
  <c r="M11" i="17" s="1"/>
  <c r="P348" i="17"/>
  <c r="P29" i="18"/>
  <c r="M28" i="18"/>
  <c r="P28" i="18" s="1"/>
  <c r="L9" i="18"/>
  <c r="M414" i="18"/>
  <c r="P414" i="18" s="1"/>
  <c r="K537" i="18"/>
  <c r="K248" i="18"/>
  <c r="I226" i="18"/>
  <c r="K143" i="18"/>
  <c r="I131" i="18"/>
  <c r="K131" i="18" s="1"/>
  <c r="O43" i="18"/>
  <c r="N53" i="17"/>
  <c r="O53" i="17" s="1"/>
  <c r="M389" i="17"/>
  <c r="P389" i="17" s="1"/>
  <c r="P391" i="17"/>
  <c r="K143" i="17"/>
  <c r="I131" i="17"/>
  <c r="K131" i="17" s="1"/>
  <c r="P43" i="15"/>
  <c r="O168" i="16"/>
  <c r="L132" i="17"/>
  <c r="O132" i="17" s="1"/>
  <c r="L41" i="17"/>
  <c r="O41" i="17" s="1"/>
  <c r="O69" i="16"/>
  <c r="P43" i="17"/>
  <c r="N261" i="17"/>
  <c r="O261" i="17" s="1"/>
  <c r="P41" i="15"/>
  <c r="K76" i="17"/>
  <c r="P261" i="16"/>
  <c r="P330" i="17"/>
  <c r="M328" i="17"/>
  <c r="P328" i="17" s="1"/>
  <c r="O525" i="17"/>
  <c r="L523" i="17"/>
  <c r="O523" i="17" s="1"/>
  <c r="K237" i="17"/>
  <c r="I226" i="17"/>
  <c r="O12" i="17"/>
  <c r="L9" i="17"/>
  <c r="K76" i="14"/>
  <c r="P121" i="15"/>
  <c r="K559" i="16"/>
  <c r="P167" i="16"/>
  <c r="P119" i="16"/>
  <c r="O19" i="17"/>
  <c r="O29" i="17"/>
  <c r="N20" i="17"/>
  <c r="N18" i="17" s="1"/>
  <c r="N13" i="17"/>
  <c r="N21" i="17"/>
  <c r="O317" i="17"/>
  <c r="L315" i="17"/>
  <c r="O315" i="17" s="1"/>
  <c r="M119" i="14"/>
  <c r="P119" i="14" s="1"/>
  <c r="L523" i="15"/>
  <c r="O523" i="15" s="1"/>
  <c r="M315" i="14"/>
  <c r="P315" i="14" s="1"/>
  <c r="O347" i="16"/>
  <c r="O280" i="17"/>
  <c r="P280" i="17"/>
  <c r="L66" i="17"/>
  <c r="O66" i="17" s="1"/>
  <c r="O15" i="17"/>
  <c r="P151" i="17"/>
  <c r="M149" i="17"/>
  <c r="P149" i="17" s="1"/>
  <c r="P134" i="17"/>
  <c r="M132" i="17"/>
  <c r="P132" i="17" s="1"/>
  <c r="P23" i="17"/>
  <c r="O90" i="17"/>
  <c r="L88" i="17"/>
  <c r="O88" i="17" s="1"/>
  <c r="P12" i="17"/>
  <c r="M9" i="17"/>
  <c r="M277" i="16"/>
  <c r="P277" i="16" s="1"/>
  <c r="O345" i="16"/>
  <c r="P121" i="16"/>
  <c r="O687" i="17"/>
  <c r="L685" i="17"/>
  <c r="O685" i="17" s="1"/>
  <c r="M53" i="17"/>
  <c r="P55" i="17"/>
  <c r="L119" i="17"/>
  <c r="O119" i="17" s="1"/>
  <c r="O121" i="17"/>
  <c r="M298" i="17"/>
  <c r="P298" i="17" s="1"/>
  <c r="P300" i="17"/>
  <c r="P19" i="17"/>
  <c r="L315" i="14"/>
  <c r="O315" i="14" s="1"/>
  <c r="O55" i="14"/>
  <c r="L786" i="16"/>
  <c r="O786" i="16" s="1"/>
  <c r="P263" i="16"/>
  <c r="L419" i="17"/>
  <c r="L444" i="17"/>
  <c r="O444" i="17" s="1"/>
  <c r="P26" i="17"/>
  <c r="M16" i="17"/>
  <c r="M24" i="17"/>
  <c r="K77" i="17"/>
  <c r="I65" i="17"/>
  <c r="K65" i="17" s="1"/>
  <c r="O23" i="17"/>
  <c r="O279" i="17"/>
  <c r="N277" i="17"/>
  <c r="P279" i="17"/>
  <c r="O41" i="13"/>
  <c r="O348" i="16"/>
  <c r="P68" i="16"/>
  <c r="O43" i="16"/>
  <c r="L629" i="17"/>
  <c r="O629" i="17" s="1"/>
  <c r="O631" i="17"/>
  <c r="M402" i="17"/>
  <c r="P402" i="17" s="1"/>
  <c r="O238" i="17"/>
  <c r="L227" i="17"/>
  <c r="P263" i="17"/>
  <c r="M261" i="17"/>
  <c r="L31" i="17"/>
  <c r="O31" i="17" s="1"/>
  <c r="O33" i="17"/>
  <c r="L30" i="17"/>
  <c r="O30" i="17" s="1"/>
  <c r="P56" i="17"/>
  <c r="P391" i="14"/>
  <c r="O152" i="15"/>
  <c r="L88" i="15"/>
  <c r="O88" i="15" s="1"/>
  <c r="N10" i="15"/>
  <c r="P151" i="16"/>
  <c r="N41" i="16"/>
  <c r="O88" i="14"/>
  <c r="M53" i="16"/>
  <c r="P53" i="16" s="1"/>
  <c r="L132" i="16"/>
  <c r="O132" i="16" s="1"/>
  <c r="O56" i="15"/>
  <c r="L328" i="14"/>
  <c r="O328" i="14" s="1"/>
  <c r="O330" i="15"/>
  <c r="O66" i="16"/>
  <c r="L402" i="16"/>
  <c r="O402" i="16" s="1"/>
  <c r="P134" i="16"/>
  <c r="M132" i="16"/>
  <c r="P132" i="16" s="1"/>
  <c r="P330" i="16"/>
  <c r="M328" i="16"/>
  <c r="P328" i="16" s="1"/>
  <c r="O68" i="16"/>
  <c r="O657" i="16"/>
  <c r="N655" i="16"/>
  <c r="M414" i="16"/>
  <c r="P414" i="16" s="1"/>
  <c r="L277" i="16"/>
  <c r="O277" i="16" s="1"/>
  <c r="O446" i="16"/>
  <c r="L444" i="16"/>
  <c r="O444" i="16" s="1"/>
  <c r="O44" i="16"/>
  <c r="O391" i="16"/>
  <c r="L389" i="16"/>
  <c r="O389" i="16" s="1"/>
  <c r="P88" i="14"/>
  <c r="O331" i="14"/>
  <c r="K237" i="16"/>
  <c r="I226" i="16"/>
  <c r="O26" i="16"/>
  <c r="L16" i="16"/>
  <c r="L24" i="16"/>
  <c r="K174" i="16"/>
  <c r="I164" i="16"/>
  <c r="K164" i="16" s="1"/>
  <c r="N20" i="16"/>
  <c r="N18" i="16" s="1"/>
  <c r="N13" i="16"/>
  <c r="N21" i="16"/>
  <c r="O21" i="16" s="1"/>
  <c r="P23" i="16"/>
  <c r="L328" i="15"/>
  <c r="O328" i="15" s="1"/>
  <c r="P151" i="15"/>
  <c r="O263" i="16"/>
  <c r="L261" i="16"/>
  <c r="O261" i="16" s="1"/>
  <c r="O29" i="16"/>
  <c r="L20" i="16"/>
  <c r="L18" i="16" s="1"/>
  <c r="O68" i="15"/>
  <c r="P15" i="16"/>
  <c r="O121" i="16"/>
  <c r="L119" i="16"/>
  <c r="O119" i="16" s="1"/>
  <c r="P184" i="16"/>
  <c r="O469" i="16"/>
  <c r="L467" i="16"/>
  <c r="O467" i="16" s="1"/>
  <c r="K77" i="16"/>
  <c r="I65" i="16"/>
  <c r="K65" i="16" s="1"/>
  <c r="O23" i="16"/>
  <c r="O347" i="12"/>
  <c r="M402" i="15"/>
  <c r="P402" i="15" s="1"/>
  <c r="L685" i="16"/>
  <c r="O685" i="16" s="1"/>
  <c r="L227" i="16"/>
  <c r="O90" i="16"/>
  <c r="L88" i="16"/>
  <c r="L9" i="16"/>
  <c r="O12" i="16"/>
  <c r="L34" i="16"/>
  <c r="O34" i="16" s="1"/>
  <c r="L277" i="13"/>
  <c r="O277" i="13" s="1"/>
  <c r="O167" i="13"/>
  <c r="O23" i="15"/>
  <c r="I418" i="16"/>
  <c r="K418" i="16" s="1"/>
  <c r="K434" i="16"/>
  <c r="P29" i="16"/>
  <c r="M28" i="16"/>
  <c r="P28" i="16" s="1"/>
  <c r="M9" i="16"/>
  <c r="N16" i="16"/>
  <c r="N14" i="16" s="1"/>
  <c r="P26" i="16"/>
  <c r="N24" i="16"/>
  <c r="O33" i="16"/>
  <c r="L30" i="16"/>
  <c r="O30" i="16" s="1"/>
  <c r="L31" i="16"/>
  <c r="O31" i="16" s="1"/>
  <c r="O19" i="16"/>
  <c r="O68" i="12"/>
  <c r="L467" i="13"/>
  <c r="O467" i="13" s="1"/>
  <c r="P167" i="14"/>
  <c r="L132" i="14"/>
  <c r="O132" i="14" s="1"/>
  <c r="L467" i="15"/>
  <c r="O467" i="15" s="1"/>
  <c r="L53" i="15"/>
  <c r="O53" i="15" s="1"/>
  <c r="L34" i="15"/>
  <c r="O34" i="15" s="1"/>
  <c r="P149" i="15"/>
  <c r="O263" i="15"/>
  <c r="P69" i="15"/>
  <c r="N20" i="15"/>
  <c r="N18" i="15" s="1"/>
  <c r="O90" i="14"/>
  <c r="O151" i="15"/>
  <c r="L544" i="15"/>
  <c r="O544" i="15" s="1"/>
  <c r="K364" i="14"/>
  <c r="P134" i="12"/>
  <c r="O55" i="13"/>
  <c r="P167" i="13"/>
  <c r="O263" i="14"/>
  <c r="K76" i="15"/>
  <c r="P68" i="15"/>
  <c r="M66" i="15"/>
  <c r="P66" i="15" s="1"/>
  <c r="P348" i="13"/>
  <c r="O687" i="13"/>
  <c r="P263" i="13"/>
  <c r="J417" i="14"/>
  <c r="K417" i="14" s="1"/>
  <c r="P279" i="15"/>
  <c r="M277" i="15"/>
  <c r="P277" i="15" s="1"/>
  <c r="O300" i="15"/>
  <c r="L298" i="15"/>
  <c r="O298" i="15" s="1"/>
  <c r="I65" i="15"/>
  <c r="K65" i="15" s="1"/>
  <c r="K77" i="15"/>
  <c r="K559" i="13"/>
  <c r="P165" i="13"/>
  <c r="P44" i="14"/>
  <c r="L419" i="15"/>
  <c r="O419" i="15" s="1"/>
  <c r="K433" i="15"/>
  <c r="P53" i="14"/>
  <c r="O317" i="15"/>
  <c r="L315" i="15"/>
  <c r="O315" i="15" s="1"/>
  <c r="P263" i="12"/>
  <c r="L149" i="12"/>
  <c r="O149" i="12" s="1"/>
  <c r="O88" i="13"/>
  <c r="L315" i="13"/>
  <c r="O315" i="13" s="1"/>
  <c r="L298" i="14"/>
  <c r="O298" i="14" s="1"/>
  <c r="L149" i="14"/>
  <c r="O149" i="14" s="1"/>
  <c r="L66" i="14"/>
  <c r="O66" i="14" s="1"/>
  <c r="L53" i="14"/>
  <c r="O53" i="14" s="1"/>
  <c r="N165" i="14"/>
  <c r="P165" i="14" s="1"/>
  <c r="O469" i="14"/>
  <c r="O657" i="15"/>
  <c r="L227" i="15"/>
  <c r="L13" i="15"/>
  <c r="L402" i="15"/>
  <c r="O402" i="15" s="1"/>
  <c r="P264" i="15"/>
  <c r="P149" i="12"/>
  <c r="L786" i="14"/>
  <c r="O786" i="14" s="1"/>
  <c r="L685" i="15"/>
  <c r="O685" i="15" s="1"/>
  <c r="L20" i="15"/>
  <c r="O66" i="15"/>
  <c r="P317" i="15"/>
  <c r="M315" i="15"/>
  <c r="P315" i="15" s="1"/>
  <c r="L389" i="12"/>
  <c r="O389" i="12" s="1"/>
  <c r="L31" i="12"/>
  <c r="O31" i="12" s="1"/>
  <c r="L261" i="14"/>
  <c r="O261" i="14" s="1"/>
  <c r="M345" i="15"/>
  <c r="P345" i="15" s="1"/>
  <c r="P19" i="15"/>
  <c r="O167" i="15"/>
  <c r="N165" i="15"/>
  <c r="P167" i="15"/>
  <c r="M9" i="15"/>
  <c r="P12" i="15"/>
  <c r="L41" i="15"/>
  <c r="O43" i="15"/>
  <c r="P15" i="15"/>
  <c r="L119" i="15"/>
  <c r="O119" i="15" s="1"/>
  <c r="M298" i="13"/>
  <c r="P298" i="13" s="1"/>
  <c r="L30" i="13"/>
  <c r="O30" i="13" s="1"/>
  <c r="O36" i="13"/>
  <c r="M298" i="14"/>
  <c r="P298" i="14" s="1"/>
  <c r="K288" i="14"/>
  <c r="O446" i="15"/>
  <c r="L444" i="15"/>
  <c r="O444" i="15" s="1"/>
  <c r="K174" i="12"/>
  <c r="O277" i="12"/>
  <c r="K77" i="12"/>
  <c r="M389" i="12"/>
  <c r="P389" i="12" s="1"/>
  <c r="M20" i="12"/>
  <c r="M18" i="12" s="1"/>
  <c r="L402" i="14"/>
  <c r="O402" i="14" s="1"/>
  <c r="P55" i="14"/>
  <c r="L277" i="15"/>
  <c r="O277" i="15" s="1"/>
  <c r="I418" i="15"/>
  <c r="K418" i="15" s="1"/>
  <c r="K434" i="15"/>
  <c r="N14" i="15"/>
  <c r="M132" i="15"/>
  <c r="P134" i="15"/>
  <c r="N9" i="15"/>
  <c r="N11" i="15"/>
  <c r="P23" i="15"/>
  <c r="M20" i="15"/>
  <c r="M13" i="15"/>
  <c r="M11" i="15" s="1"/>
  <c r="L629" i="12"/>
  <c r="O629" i="12" s="1"/>
  <c r="L523" i="13"/>
  <c r="O523" i="13" s="1"/>
  <c r="O404" i="13"/>
  <c r="O181" i="13"/>
  <c r="L66" i="13"/>
  <c r="O66" i="13" s="1"/>
  <c r="L389" i="15"/>
  <c r="O389" i="15" s="1"/>
  <c r="M21" i="15"/>
  <c r="O12" i="15"/>
  <c r="L9" i="15"/>
  <c r="I131" i="15"/>
  <c r="K131" i="15" s="1"/>
  <c r="K143" i="15"/>
  <c r="L24" i="15"/>
  <c r="L16" i="15"/>
  <c r="O26" i="15"/>
  <c r="M16" i="15"/>
  <c r="P16" i="15" s="1"/>
  <c r="P26" i="15"/>
  <c r="O546" i="12"/>
  <c r="L444" i="12"/>
  <c r="O444" i="12" s="1"/>
  <c r="N16" i="12"/>
  <c r="N14" i="12" s="1"/>
  <c r="P165" i="12"/>
  <c r="L13" i="12"/>
  <c r="L11" i="12" s="1"/>
  <c r="P151" i="13"/>
  <c r="L16" i="13"/>
  <c r="L14" i="13" s="1"/>
  <c r="O14" i="13" s="1"/>
  <c r="L419" i="14"/>
  <c r="O419" i="14" s="1"/>
  <c r="O183" i="14"/>
  <c r="M414" i="15"/>
  <c r="P414" i="15" s="1"/>
  <c r="P419" i="15"/>
  <c r="P330" i="15"/>
  <c r="M328" i="15"/>
  <c r="P328" i="15" s="1"/>
  <c r="L149" i="15"/>
  <c r="O149" i="15" s="1"/>
  <c r="O183" i="15"/>
  <c r="N181" i="15"/>
  <c r="P183" i="15"/>
  <c r="O19" i="15"/>
  <c r="K237" i="15"/>
  <c r="I226" i="15"/>
  <c r="M28" i="15"/>
  <c r="P28" i="15" s="1"/>
  <c r="P29" i="15"/>
  <c r="O183" i="12"/>
  <c r="O181" i="14"/>
  <c r="O167" i="14"/>
  <c r="O33" i="14"/>
  <c r="L30" i="14"/>
  <c r="L31" i="14"/>
  <c r="O31" i="14" s="1"/>
  <c r="O446" i="14"/>
  <c r="L444" i="14"/>
  <c r="O444" i="14" s="1"/>
  <c r="P404" i="13"/>
  <c r="M402" i="13"/>
  <c r="P402" i="13" s="1"/>
  <c r="I226" i="12"/>
  <c r="K226" i="12" s="1"/>
  <c r="P43" i="13"/>
  <c r="M132" i="14"/>
  <c r="P132" i="14" s="1"/>
  <c r="P90" i="14"/>
  <c r="P43" i="14"/>
  <c r="L24" i="13"/>
  <c r="P41" i="14"/>
  <c r="P330" i="14"/>
  <c r="M328" i="14"/>
  <c r="P328" i="14" s="1"/>
  <c r="P347" i="14"/>
  <c r="M345" i="14"/>
  <c r="P345" i="14" s="1"/>
  <c r="O184" i="14"/>
  <c r="M13" i="12"/>
  <c r="M11" i="12" s="1"/>
  <c r="P277" i="14"/>
  <c r="O44" i="14"/>
  <c r="M66" i="14"/>
  <c r="P66" i="14" s="1"/>
  <c r="P68" i="14"/>
  <c r="O631" i="14"/>
  <c r="L629" i="14"/>
  <c r="O629" i="14" s="1"/>
  <c r="K364" i="12"/>
  <c r="P183" i="14"/>
  <c r="M181" i="14"/>
  <c r="P181" i="14" s="1"/>
  <c r="O347" i="14"/>
  <c r="L345" i="14"/>
  <c r="O345" i="14" s="1"/>
  <c r="K275" i="14"/>
  <c r="P317" i="13"/>
  <c r="M315" i="13"/>
  <c r="P315" i="13" s="1"/>
  <c r="K275" i="12"/>
  <c r="O525" i="14"/>
  <c r="L523" i="14"/>
  <c r="I65" i="14"/>
  <c r="K65" i="14" s="1"/>
  <c r="K77" i="14"/>
  <c r="N20" i="14"/>
  <c r="N18" i="14" s="1"/>
  <c r="N13" i="14"/>
  <c r="O12" i="14"/>
  <c r="L9" i="14"/>
  <c r="P12" i="14"/>
  <c r="M9" i="14"/>
  <c r="L181" i="12"/>
  <c r="O181" i="12" s="1"/>
  <c r="O151" i="13"/>
  <c r="O547" i="14"/>
  <c r="O238" i="14"/>
  <c r="L227" i="14"/>
  <c r="P23" i="14"/>
  <c r="M20" i="14"/>
  <c r="M13" i="14"/>
  <c r="M11" i="14" s="1"/>
  <c r="O19" i="14"/>
  <c r="O23" i="14"/>
  <c r="L20" i="14"/>
  <c r="L13" i="14"/>
  <c r="L11" i="14" s="1"/>
  <c r="P19" i="14"/>
  <c r="P345" i="12"/>
  <c r="L523" i="12"/>
  <c r="O523" i="12" s="1"/>
  <c r="N149" i="13"/>
  <c r="P149" i="13" s="1"/>
  <c r="L389" i="13"/>
  <c r="O389" i="13" s="1"/>
  <c r="P183" i="13"/>
  <c r="K434" i="14"/>
  <c r="I418" i="14"/>
  <c r="K418" i="14" s="1"/>
  <c r="P279" i="14"/>
  <c r="O279" i="14"/>
  <c r="P151" i="14"/>
  <c r="M149" i="14"/>
  <c r="L24" i="14"/>
  <c r="L16" i="14"/>
  <c r="O26" i="14"/>
  <c r="N21" i="14"/>
  <c r="P21" i="14" s="1"/>
  <c r="O23" i="12"/>
  <c r="L402" i="12"/>
  <c r="O402" i="12" s="1"/>
  <c r="O330" i="13"/>
  <c r="M389" i="13"/>
  <c r="P389" i="13" s="1"/>
  <c r="O90" i="13"/>
  <c r="L165" i="13"/>
  <c r="O165" i="13" s="1"/>
  <c r="P90" i="13"/>
  <c r="O687" i="14"/>
  <c r="L685" i="14"/>
  <c r="O685" i="14" s="1"/>
  <c r="P263" i="14"/>
  <c r="M261" i="14"/>
  <c r="P261" i="14" s="1"/>
  <c r="K143" i="14"/>
  <c r="I131" i="14"/>
  <c r="K131" i="14" s="1"/>
  <c r="N24" i="14"/>
  <c r="N16" i="14"/>
  <c r="N14" i="14" s="1"/>
  <c r="P331" i="13"/>
  <c r="P347" i="12"/>
  <c r="O43" i="14"/>
  <c r="L41" i="14"/>
  <c r="P280" i="14"/>
  <c r="O280" i="14"/>
  <c r="P26" i="14"/>
  <c r="M16" i="14"/>
  <c r="M24" i="14"/>
  <c r="I226" i="14"/>
  <c r="O300" i="13"/>
  <c r="L298" i="13"/>
  <c r="O298" i="13" s="1"/>
  <c r="P181" i="12"/>
  <c r="L34" i="12"/>
  <c r="O34" i="12" s="1"/>
  <c r="L315" i="12"/>
  <c r="O315" i="12" s="1"/>
  <c r="P91" i="13"/>
  <c r="P181" i="13"/>
  <c r="L119" i="13"/>
  <c r="O119" i="13" s="1"/>
  <c r="O121" i="13"/>
  <c r="K434" i="13"/>
  <c r="I418" i="13"/>
  <c r="K418" i="13" s="1"/>
  <c r="L328" i="12"/>
  <c r="O328" i="12" s="1"/>
  <c r="O547" i="12"/>
  <c r="L30" i="12"/>
  <c r="O30" i="12" s="1"/>
  <c r="P328" i="13"/>
  <c r="O183" i="13"/>
  <c r="M119" i="13"/>
  <c r="P119" i="13" s="1"/>
  <c r="P121" i="13"/>
  <c r="M21" i="12"/>
  <c r="P151" i="12"/>
  <c r="M277" i="13"/>
  <c r="P277" i="13" s="1"/>
  <c r="O657" i="12"/>
  <c r="L655" i="12"/>
  <c r="O655" i="12" s="1"/>
  <c r="P183" i="12"/>
  <c r="O43" i="13"/>
  <c r="P330" i="13"/>
  <c r="P56" i="13"/>
  <c r="P19" i="13"/>
  <c r="P26" i="13"/>
  <c r="M16" i="13"/>
  <c r="M24" i="13"/>
  <c r="N345" i="13"/>
  <c r="O345" i="13" s="1"/>
  <c r="O347" i="13"/>
  <c r="P23" i="13"/>
  <c r="M20" i="13"/>
  <c r="M18" i="13" s="1"/>
  <c r="M13" i="13"/>
  <c r="M11" i="13" s="1"/>
  <c r="M21" i="13"/>
  <c r="P21" i="13" s="1"/>
  <c r="P12" i="13"/>
  <c r="M9" i="13"/>
  <c r="O238" i="13"/>
  <c r="L227" i="13"/>
  <c r="O12" i="13"/>
  <c r="L9" i="13"/>
  <c r="P44" i="13"/>
  <c r="O421" i="13"/>
  <c r="L419" i="13"/>
  <c r="K237" i="13"/>
  <c r="I226" i="13"/>
  <c r="L786" i="12"/>
  <c r="O786" i="12" s="1"/>
  <c r="O15" i="13"/>
  <c r="K77" i="13"/>
  <c r="I65" i="13"/>
  <c r="K65" i="13" s="1"/>
  <c r="P55" i="13"/>
  <c r="N53" i="13"/>
  <c r="P53" i="13" s="1"/>
  <c r="N9" i="13"/>
  <c r="O26" i="13"/>
  <c r="M24" i="12"/>
  <c r="P24" i="12" s="1"/>
  <c r="M414" i="13"/>
  <c r="P414" i="13" s="1"/>
  <c r="O446" i="13"/>
  <c r="L444" i="13"/>
  <c r="O444" i="13" s="1"/>
  <c r="O631" i="13"/>
  <c r="L629" i="13"/>
  <c r="O629" i="13" s="1"/>
  <c r="M328" i="12"/>
  <c r="P328" i="12" s="1"/>
  <c r="K559" i="12"/>
  <c r="K76" i="12"/>
  <c r="P26" i="12"/>
  <c r="P167" i="12"/>
  <c r="O546" i="13"/>
  <c r="L544" i="13"/>
  <c r="O544" i="13" s="1"/>
  <c r="K417" i="13"/>
  <c r="K433" i="13"/>
  <c r="O328" i="13"/>
  <c r="P347" i="13"/>
  <c r="P134" i="13"/>
  <c r="M132" i="13"/>
  <c r="P132" i="13" s="1"/>
  <c r="L132" i="13"/>
  <c r="O132" i="13" s="1"/>
  <c r="O134" i="13"/>
  <c r="O29" i="13"/>
  <c r="N261" i="13"/>
  <c r="P261" i="13" s="1"/>
  <c r="O167" i="12"/>
  <c r="L261" i="13"/>
  <c r="O263" i="13"/>
  <c r="P41" i="13"/>
  <c r="N24" i="13"/>
  <c r="L21" i="13"/>
  <c r="O21" i="13" s="1"/>
  <c r="O23" i="13"/>
  <c r="L20" i="13"/>
  <c r="L13" i="13"/>
  <c r="N20" i="13"/>
  <c r="N18" i="13" s="1"/>
  <c r="N13" i="13"/>
  <c r="N10" i="13" s="1"/>
  <c r="P30" i="13"/>
  <c r="M28" i="13"/>
  <c r="P28" i="13" s="1"/>
  <c r="M66" i="13"/>
  <c r="P66" i="13" s="1"/>
  <c r="L345" i="12"/>
  <c r="O345" i="12" s="1"/>
  <c r="O165" i="12"/>
  <c r="P55" i="12"/>
  <c r="L20" i="12"/>
  <c r="L18" i="12" s="1"/>
  <c r="K543" i="12"/>
  <c r="L227" i="12"/>
  <c r="O55" i="12"/>
  <c r="L24" i="12"/>
  <c r="O24" i="12" s="1"/>
  <c r="O134" i="12"/>
  <c r="L21" i="12"/>
  <c r="M66" i="12"/>
  <c r="P66" i="12" s="1"/>
  <c r="P68" i="12"/>
  <c r="I418" i="12"/>
  <c r="K418" i="12" s="1"/>
  <c r="K434" i="12"/>
  <c r="O300" i="12"/>
  <c r="N298" i="12"/>
  <c r="N132" i="12"/>
  <c r="O132" i="12" s="1"/>
  <c r="M53" i="12"/>
  <c r="P53" i="12" s="1"/>
  <c r="P317" i="12"/>
  <c r="M315" i="12"/>
  <c r="P315" i="12" s="1"/>
  <c r="P90" i="12"/>
  <c r="M88" i="12"/>
  <c r="P88" i="12" s="1"/>
  <c r="M402" i="12"/>
  <c r="P402" i="12" s="1"/>
  <c r="P404" i="12"/>
  <c r="P300" i="12"/>
  <c r="P9" i="12"/>
  <c r="P44" i="12"/>
  <c r="O44" i="12"/>
  <c r="O280" i="12"/>
  <c r="P280" i="12"/>
  <c r="K433" i="12"/>
  <c r="J417" i="12"/>
  <c r="K417" i="12" s="1"/>
  <c r="P19" i="12"/>
  <c r="P277" i="12"/>
  <c r="P23" i="12"/>
  <c r="N41" i="12"/>
  <c r="P43" i="12"/>
  <c r="O43" i="12"/>
  <c r="K131" i="12"/>
  <c r="O419" i="12"/>
  <c r="L88" i="12"/>
  <c r="O88" i="12" s="1"/>
  <c r="O90" i="12"/>
  <c r="M28" i="12"/>
  <c r="P28" i="12" s="1"/>
  <c r="P29" i="12"/>
  <c r="N261" i="12"/>
  <c r="O261" i="12" s="1"/>
  <c r="O263" i="12"/>
  <c r="M14" i="12"/>
  <c r="P15" i="12"/>
  <c r="K143" i="12"/>
  <c r="L9" i="12"/>
  <c r="O12" i="12"/>
  <c r="O19" i="12"/>
  <c r="N414" i="12"/>
  <c r="O121" i="12"/>
  <c r="L119" i="12"/>
  <c r="O119" i="12" s="1"/>
  <c r="L53" i="12"/>
  <c r="P419" i="12"/>
  <c r="M414" i="12"/>
  <c r="P414" i="12" s="1"/>
  <c r="P279" i="12"/>
  <c r="O279" i="12"/>
  <c r="O26" i="12"/>
  <c r="L16" i="12"/>
  <c r="N13" i="12"/>
  <c r="N21" i="12"/>
  <c r="N20" i="12"/>
  <c r="M119" i="11"/>
  <c r="P119" i="11" s="1"/>
  <c r="P152" i="11"/>
  <c r="L655" i="7"/>
  <c r="O655" i="7" s="1"/>
  <c r="K131" i="11"/>
  <c r="L315" i="10"/>
  <c r="O315" i="10" s="1"/>
  <c r="O43" i="9"/>
  <c r="L655" i="11"/>
  <c r="O655" i="11" s="1"/>
  <c r="O421" i="11"/>
  <c r="P151" i="11"/>
  <c r="L34" i="11"/>
  <c r="O34" i="11" s="1"/>
  <c r="P43" i="9"/>
  <c r="M41" i="9"/>
  <c r="P41" i="9" s="1"/>
  <c r="O23" i="10"/>
  <c r="O90" i="11"/>
  <c r="M149" i="11"/>
  <c r="P149" i="11" s="1"/>
  <c r="P181" i="11"/>
  <c r="P53" i="11"/>
  <c r="I226" i="11"/>
  <c r="K226" i="11" s="1"/>
  <c r="L544" i="10"/>
  <c r="O544" i="10" s="1"/>
  <c r="K785" i="11"/>
  <c r="K559" i="11"/>
  <c r="P134" i="7"/>
  <c r="P68" i="11"/>
  <c r="O167" i="11"/>
  <c r="L544" i="11"/>
  <c r="O544" i="11" s="1"/>
  <c r="O121" i="9"/>
  <c r="L119" i="9"/>
  <c r="O119" i="9" s="1"/>
  <c r="O279" i="10"/>
  <c r="L402" i="10"/>
  <c r="O402" i="10" s="1"/>
  <c r="O446" i="11"/>
  <c r="O298" i="11"/>
  <c r="O134" i="11"/>
  <c r="L227" i="11"/>
  <c r="K143" i="11"/>
  <c r="O88" i="11"/>
  <c r="O184" i="11"/>
  <c r="P263" i="11"/>
  <c r="K364" i="11"/>
  <c r="O167" i="10"/>
  <c r="O66" i="11"/>
  <c r="O263" i="11"/>
  <c r="L402" i="11"/>
  <c r="O402" i="11" s="1"/>
  <c r="O134" i="7"/>
  <c r="P55" i="11"/>
  <c r="M119" i="10"/>
  <c r="P119" i="10" s="1"/>
  <c r="K785" i="10"/>
  <c r="O279" i="11"/>
  <c r="O68" i="11"/>
  <c r="P300" i="11"/>
  <c r="M315" i="8"/>
  <c r="P315" i="8" s="1"/>
  <c r="O90" i="10"/>
  <c r="N261" i="11"/>
  <c r="P261" i="11" s="1"/>
  <c r="O43" i="11"/>
  <c r="P183" i="11"/>
  <c r="O183" i="10"/>
  <c r="K275" i="11"/>
  <c r="K364" i="10"/>
  <c r="I65" i="10"/>
  <c r="K65" i="10" s="1"/>
  <c r="P330" i="11"/>
  <c r="O168" i="11"/>
  <c r="P183" i="7"/>
  <c r="L149" i="7"/>
  <c r="O149" i="7" s="1"/>
  <c r="M298" i="11"/>
  <c r="P298" i="11" s="1"/>
  <c r="P66" i="11"/>
  <c r="L277" i="11"/>
  <c r="O277" i="11" s="1"/>
  <c r="O330" i="11"/>
  <c r="N165" i="11"/>
  <c r="P165" i="11" s="1"/>
  <c r="P167" i="11"/>
  <c r="L629" i="11"/>
  <c r="O629" i="11" s="1"/>
  <c r="O345" i="10"/>
  <c r="L389" i="11"/>
  <c r="O389" i="11" s="1"/>
  <c r="M315" i="9"/>
  <c r="P315" i="9" s="1"/>
  <c r="P43" i="11"/>
  <c r="O132" i="7"/>
  <c r="O328" i="10"/>
  <c r="I418" i="10"/>
  <c r="K418" i="10" s="1"/>
  <c r="M132" i="10"/>
  <c r="P132" i="10" s="1"/>
  <c r="O55" i="10"/>
  <c r="M328" i="11"/>
  <c r="P328" i="11" s="1"/>
  <c r="O56" i="11"/>
  <c r="M315" i="11"/>
  <c r="P315" i="11" s="1"/>
  <c r="O469" i="11"/>
  <c r="L467" i="11"/>
  <c r="O467" i="11" s="1"/>
  <c r="O347" i="11"/>
  <c r="O264" i="11"/>
  <c r="L181" i="11"/>
  <c r="O181" i="11" s="1"/>
  <c r="O183" i="11"/>
  <c r="P53" i="9"/>
  <c r="P152" i="10"/>
  <c r="L30" i="10"/>
  <c r="O30" i="10" s="1"/>
  <c r="L31" i="10"/>
  <c r="O31" i="10" s="1"/>
  <c r="P151" i="10"/>
  <c r="P90" i="11"/>
  <c r="M88" i="11"/>
  <c r="P88" i="11" s="1"/>
  <c r="O300" i="11"/>
  <c r="M402" i="11"/>
  <c r="P402" i="11" s="1"/>
  <c r="O12" i="11"/>
  <c r="L9" i="11"/>
  <c r="O55" i="11"/>
  <c r="L53" i="11"/>
  <c r="O43" i="8"/>
  <c r="O149" i="8"/>
  <c r="P68" i="8"/>
  <c r="L685" i="10"/>
  <c r="O685" i="10" s="1"/>
  <c r="P16" i="10"/>
  <c r="O547" i="11"/>
  <c r="I418" i="11"/>
  <c r="K418" i="11" s="1"/>
  <c r="K434" i="11"/>
  <c r="M389" i="11"/>
  <c r="P389" i="11" s="1"/>
  <c r="P391" i="11"/>
  <c r="N414" i="11"/>
  <c r="O328" i="11"/>
  <c r="P134" i="11"/>
  <c r="O167" i="9"/>
  <c r="O90" i="8"/>
  <c r="L119" i="10"/>
  <c r="O119" i="10" s="1"/>
  <c r="L13" i="10"/>
  <c r="L11" i="10" s="1"/>
  <c r="N181" i="10"/>
  <c r="P181" i="10" s="1"/>
  <c r="P419" i="11"/>
  <c r="M414" i="11"/>
  <c r="P414" i="11" s="1"/>
  <c r="K288" i="11"/>
  <c r="O151" i="11"/>
  <c r="L149" i="11"/>
  <c r="O149" i="11" s="1"/>
  <c r="P348" i="11"/>
  <c r="P23" i="11"/>
  <c r="M20" i="11"/>
  <c r="M13" i="11"/>
  <c r="M21" i="11"/>
  <c r="P21" i="11" s="1"/>
  <c r="K76" i="11"/>
  <c r="I64" i="11"/>
  <c r="K64" i="11" s="1"/>
  <c r="O33" i="11"/>
  <c r="L30" i="11"/>
  <c r="O30" i="11" s="1"/>
  <c r="M28" i="11"/>
  <c r="P28" i="11" s="1"/>
  <c r="P29" i="11"/>
  <c r="O29" i="11"/>
  <c r="N165" i="10"/>
  <c r="O165" i="10" s="1"/>
  <c r="M24" i="10"/>
  <c r="P330" i="10"/>
  <c r="O419" i="11"/>
  <c r="O525" i="11"/>
  <c r="L523" i="11"/>
  <c r="O23" i="11"/>
  <c r="L21" i="11"/>
  <c r="O21" i="11" s="1"/>
  <c r="L20" i="11"/>
  <c r="L13" i="11"/>
  <c r="P19" i="11"/>
  <c r="O317" i="11"/>
  <c r="L315" i="11"/>
  <c r="O315" i="11" s="1"/>
  <c r="P347" i="11"/>
  <c r="M345" i="11"/>
  <c r="P26" i="11"/>
  <c r="M16" i="11"/>
  <c r="O59" i="11"/>
  <c r="O688" i="11"/>
  <c r="O152" i="11"/>
  <c r="I65" i="11"/>
  <c r="K65" i="11" s="1"/>
  <c r="K77" i="11"/>
  <c r="L629" i="8"/>
  <c r="O629" i="8" s="1"/>
  <c r="P43" i="8"/>
  <c r="J417" i="11"/>
  <c r="K417" i="11" s="1"/>
  <c r="K433" i="11"/>
  <c r="N24" i="11"/>
  <c r="P24" i="11" s="1"/>
  <c r="N16" i="11"/>
  <c r="N14" i="11" s="1"/>
  <c r="O121" i="11"/>
  <c r="L119" i="11"/>
  <c r="O119" i="11" s="1"/>
  <c r="N9" i="11"/>
  <c r="O687" i="11"/>
  <c r="L685" i="11"/>
  <c r="O685" i="11" s="1"/>
  <c r="O26" i="11"/>
  <c r="L16" i="11"/>
  <c r="L24" i="11"/>
  <c r="L315" i="8"/>
  <c r="O315" i="8" s="1"/>
  <c r="O43" i="10"/>
  <c r="N13" i="10"/>
  <c r="N10" i="10" s="1"/>
  <c r="N8" i="10" s="1"/>
  <c r="L53" i="10"/>
  <c r="O53" i="10" s="1"/>
  <c r="J592" i="11"/>
  <c r="K592" i="11" s="1"/>
  <c r="K593" i="11"/>
  <c r="N345" i="11"/>
  <c r="O345" i="11" s="1"/>
  <c r="P279" i="11"/>
  <c r="M277" i="11"/>
  <c r="N132" i="11"/>
  <c r="O132" i="11" s="1"/>
  <c r="N20" i="11"/>
  <c r="N18" i="11" s="1"/>
  <c r="N13" i="11"/>
  <c r="N41" i="11"/>
  <c r="P167" i="9"/>
  <c r="O469" i="9"/>
  <c r="O263" i="10"/>
  <c r="P149" i="10"/>
  <c r="N21" i="10"/>
  <c r="O21" i="10" s="1"/>
  <c r="O347" i="9"/>
  <c r="O348" i="9"/>
  <c r="K364" i="9"/>
  <c r="L389" i="9"/>
  <c r="O389" i="9" s="1"/>
  <c r="M315" i="10"/>
  <c r="P315" i="10" s="1"/>
  <c r="N261" i="10"/>
  <c r="O261" i="10" s="1"/>
  <c r="O56" i="10"/>
  <c r="K288" i="10"/>
  <c r="L655" i="8"/>
  <c r="O655" i="8" s="1"/>
  <c r="O68" i="8"/>
  <c r="P90" i="8"/>
  <c r="L41" i="9"/>
  <c r="O41" i="9" s="1"/>
  <c r="P55" i="9"/>
  <c r="N277" i="10"/>
  <c r="O277" i="10" s="1"/>
  <c r="L88" i="10"/>
  <c r="O88" i="10" s="1"/>
  <c r="O183" i="8"/>
  <c r="M21" i="9"/>
  <c r="L655" i="10"/>
  <c r="O655" i="10" s="1"/>
  <c r="P183" i="10"/>
  <c r="O66" i="8"/>
  <c r="O328" i="9"/>
  <c r="L786" i="10"/>
  <c r="O786" i="10" s="1"/>
  <c r="M298" i="10"/>
  <c r="P298" i="10" s="1"/>
  <c r="O66" i="10"/>
  <c r="P56" i="10"/>
  <c r="L227" i="10"/>
  <c r="I226" i="10"/>
  <c r="K226" i="10" s="1"/>
  <c r="L20" i="10"/>
  <c r="L18" i="10" s="1"/>
  <c r="P90" i="10"/>
  <c r="M88" i="10"/>
  <c r="P88" i="10" s="1"/>
  <c r="M389" i="10"/>
  <c r="P389" i="10" s="1"/>
  <c r="P391" i="10"/>
  <c r="O330" i="10"/>
  <c r="O347" i="10"/>
  <c r="O134" i="10"/>
  <c r="L132" i="10"/>
  <c r="O132" i="10" s="1"/>
  <c r="P347" i="10"/>
  <c r="M345" i="10"/>
  <c r="P345" i="10" s="1"/>
  <c r="P66" i="8"/>
  <c r="L786" i="9"/>
  <c r="O786" i="9" s="1"/>
  <c r="K275" i="10"/>
  <c r="L149" i="10"/>
  <c r="O149" i="10" s="1"/>
  <c r="N14" i="10"/>
  <c r="N20" i="10"/>
  <c r="N18" i="10" s="1"/>
  <c r="O469" i="10"/>
  <c r="P66" i="10"/>
  <c r="O26" i="10"/>
  <c r="K433" i="10"/>
  <c r="J417" i="10"/>
  <c r="K417" i="10" s="1"/>
  <c r="K76" i="10"/>
  <c r="I64" i="10"/>
  <c r="K64" i="10" s="1"/>
  <c r="L544" i="9"/>
  <c r="O544" i="9" s="1"/>
  <c r="N24" i="10"/>
  <c r="P69" i="10"/>
  <c r="P68" i="10"/>
  <c r="P26" i="10"/>
  <c r="P167" i="10"/>
  <c r="M165" i="10"/>
  <c r="M53" i="10"/>
  <c r="P53" i="10" s="1"/>
  <c r="P55" i="10"/>
  <c r="O391" i="10"/>
  <c r="L389" i="10"/>
  <c r="O389" i="10" s="1"/>
  <c r="M132" i="9"/>
  <c r="P132" i="9" s="1"/>
  <c r="L419" i="10"/>
  <c r="O421" i="10"/>
  <c r="O15" i="10"/>
  <c r="O525" i="10"/>
  <c r="L523" i="10"/>
  <c r="O523" i="10" s="1"/>
  <c r="O29" i="10"/>
  <c r="P43" i="10"/>
  <c r="M41" i="10"/>
  <c r="J417" i="9"/>
  <c r="K417" i="9" s="1"/>
  <c r="O263" i="9"/>
  <c r="N21" i="9"/>
  <c r="P88" i="9"/>
  <c r="M66" i="9"/>
  <c r="P66" i="9" s="1"/>
  <c r="K143" i="10"/>
  <c r="I131" i="10"/>
  <c r="K131" i="10" s="1"/>
  <c r="O12" i="10"/>
  <c r="L9" i="10"/>
  <c r="P279" i="10"/>
  <c r="M277" i="10"/>
  <c r="L298" i="10"/>
  <c r="O298" i="10" s="1"/>
  <c r="O300" i="10"/>
  <c r="P23" i="10"/>
  <c r="M20" i="10"/>
  <c r="M13" i="10"/>
  <c r="M21" i="10"/>
  <c r="N24" i="8"/>
  <c r="O26" i="8"/>
  <c r="N20" i="8"/>
  <c r="N18" i="8" s="1"/>
  <c r="M402" i="8"/>
  <c r="P402" i="8" s="1"/>
  <c r="L655" i="9"/>
  <c r="O655" i="9" s="1"/>
  <c r="I131" i="9"/>
  <c r="K131" i="9" s="1"/>
  <c r="P15" i="10"/>
  <c r="M14" i="10"/>
  <c r="M28" i="10"/>
  <c r="P28" i="10" s="1"/>
  <c r="P29" i="10"/>
  <c r="N41" i="10"/>
  <c r="P90" i="9"/>
  <c r="M414" i="10"/>
  <c r="P414" i="10" s="1"/>
  <c r="P9" i="10"/>
  <c r="P263" i="10"/>
  <c r="M261" i="10"/>
  <c r="L34" i="10"/>
  <c r="O34" i="10" s="1"/>
  <c r="O36" i="10"/>
  <c r="L16" i="10"/>
  <c r="O16" i="10" s="1"/>
  <c r="L629" i="10"/>
  <c r="O629" i="10" s="1"/>
  <c r="O631" i="10"/>
  <c r="L444" i="10"/>
  <c r="O444" i="10" s="1"/>
  <c r="O446" i="10"/>
  <c r="M402" i="10"/>
  <c r="P402" i="10" s="1"/>
  <c r="P328" i="10"/>
  <c r="O68" i="10"/>
  <c r="P168" i="9"/>
  <c r="K364" i="8"/>
  <c r="L227" i="9"/>
  <c r="K76" i="9"/>
  <c r="I180" i="9"/>
  <c r="K180" i="9" s="1"/>
  <c r="O167" i="8"/>
  <c r="P279" i="7"/>
  <c r="P347" i="9"/>
  <c r="P23" i="9"/>
  <c r="O446" i="8"/>
  <c r="O183" i="9"/>
  <c r="O33" i="9"/>
  <c r="L402" i="9"/>
  <c r="O402" i="9" s="1"/>
  <c r="O404" i="9"/>
  <c r="O330" i="8"/>
  <c r="L30" i="8"/>
  <c r="O30" i="8" s="1"/>
  <c r="L31" i="8"/>
  <c r="O31" i="8" s="1"/>
  <c r="L88" i="8"/>
  <c r="O88" i="8" s="1"/>
  <c r="O467" i="9"/>
  <c r="O165" i="9"/>
  <c r="K785" i="9"/>
  <c r="N345" i="9"/>
  <c r="P345" i="9" s="1"/>
  <c r="O330" i="9"/>
  <c r="L30" i="9"/>
  <c r="L28" i="9" s="1"/>
  <c r="O28" i="9" s="1"/>
  <c r="M132" i="7"/>
  <c r="P132" i="7" s="1"/>
  <c r="L119" i="8"/>
  <c r="O119" i="8" s="1"/>
  <c r="M402" i="9"/>
  <c r="P402" i="9" s="1"/>
  <c r="P348" i="9"/>
  <c r="L34" i="9"/>
  <c r="O34" i="9" s="1"/>
  <c r="O36" i="9"/>
  <c r="P149" i="8"/>
  <c r="I226" i="8"/>
  <c r="K226" i="8" s="1"/>
  <c r="L53" i="9"/>
  <c r="O53" i="9" s="1"/>
  <c r="O55" i="9"/>
  <c r="P91" i="9"/>
  <c r="K364" i="7"/>
  <c r="M298" i="9"/>
  <c r="P298" i="9" s="1"/>
  <c r="O300" i="9"/>
  <c r="L298" i="9"/>
  <c r="O298" i="9" s="1"/>
  <c r="O151" i="9"/>
  <c r="L149" i="9"/>
  <c r="O149" i="9" s="1"/>
  <c r="K237" i="8"/>
  <c r="K288" i="9"/>
  <c r="P330" i="9"/>
  <c r="M328" i="9"/>
  <c r="P328" i="9" s="1"/>
  <c r="O19" i="9"/>
  <c r="P263" i="8"/>
  <c r="N414" i="9"/>
  <c r="P19" i="9"/>
  <c r="P183" i="9"/>
  <c r="M181" i="9"/>
  <c r="P181" i="9" s="1"/>
  <c r="I65" i="9"/>
  <c r="K65" i="9" s="1"/>
  <c r="K77" i="9"/>
  <c r="O12" i="9"/>
  <c r="L9" i="9"/>
  <c r="O26" i="9"/>
  <c r="L16" i="9"/>
  <c r="L24" i="9"/>
  <c r="P29" i="9"/>
  <c r="M28" i="9"/>
  <c r="P28" i="9" s="1"/>
  <c r="O525" i="9"/>
  <c r="L523" i="9"/>
  <c r="O523" i="9" s="1"/>
  <c r="L298" i="7"/>
  <c r="O298" i="7" s="1"/>
  <c r="K275" i="7"/>
  <c r="O264" i="8"/>
  <c r="O91" i="8"/>
  <c r="O446" i="9"/>
  <c r="M389" i="9"/>
  <c r="P389" i="9" s="1"/>
  <c r="P391" i="9"/>
  <c r="L21" i="9"/>
  <c r="O23" i="9"/>
  <c r="L20" i="9"/>
  <c r="L18" i="9" s="1"/>
  <c r="L13" i="9"/>
  <c r="N10" i="9"/>
  <c r="L66" i="9"/>
  <c r="O66" i="9" s="1"/>
  <c r="O134" i="9"/>
  <c r="L132" i="9"/>
  <c r="O132" i="9" s="1"/>
  <c r="M119" i="9"/>
  <c r="N24" i="9"/>
  <c r="P24" i="9" s="1"/>
  <c r="N20" i="9"/>
  <c r="N18" i="9" s="1"/>
  <c r="J592" i="9"/>
  <c r="K592" i="9" s="1"/>
  <c r="K593" i="9"/>
  <c r="N261" i="8"/>
  <c r="O261" i="8" s="1"/>
  <c r="L181" i="9"/>
  <c r="O181" i="9" s="1"/>
  <c r="N11" i="9"/>
  <c r="N9" i="9"/>
  <c r="M11" i="9"/>
  <c r="P12" i="9"/>
  <c r="M9" i="9"/>
  <c r="P263" i="9"/>
  <c r="M261" i="9"/>
  <c r="N261" i="9"/>
  <c r="O261" i="9" s="1"/>
  <c r="L315" i="9"/>
  <c r="O315" i="9" s="1"/>
  <c r="O317" i="9"/>
  <c r="L315" i="7"/>
  <c r="O315" i="7" s="1"/>
  <c r="O444" i="9"/>
  <c r="L629" i="9"/>
  <c r="O629" i="9" s="1"/>
  <c r="P419" i="9"/>
  <c r="M414" i="9"/>
  <c r="P414" i="9" s="1"/>
  <c r="L277" i="9"/>
  <c r="O277" i="9" s="1"/>
  <c r="O279" i="9"/>
  <c r="P151" i="9"/>
  <c r="M149" i="9"/>
  <c r="P149" i="9" s="1"/>
  <c r="P26" i="9"/>
  <c r="M16" i="9"/>
  <c r="M10" i="9" s="1"/>
  <c r="L419" i="9"/>
  <c r="P13" i="9"/>
  <c r="I418" i="9"/>
  <c r="K418" i="9" s="1"/>
  <c r="K434" i="9"/>
  <c r="M165" i="9"/>
  <c r="P165" i="9" s="1"/>
  <c r="O687" i="9"/>
  <c r="L685" i="9"/>
  <c r="O685" i="9" s="1"/>
  <c r="O90" i="9"/>
  <c r="L88" i="9"/>
  <c r="O88" i="9" s="1"/>
  <c r="M277" i="9"/>
  <c r="P277" i="9" s="1"/>
  <c r="P279" i="9"/>
  <c r="M20" i="9"/>
  <c r="O90" i="7"/>
  <c r="K174" i="8"/>
  <c r="O69" i="8"/>
  <c r="O263" i="8"/>
  <c r="P90" i="7"/>
  <c r="P300" i="8"/>
  <c r="L181" i="8"/>
  <c r="O181" i="8" s="1"/>
  <c r="P279" i="8"/>
  <c r="M277" i="7"/>
  <c r="P277" i="7" s="1"/>
  <c r="N13" i="8"/>
  <c r="N10" i="8" s="1"/>
  <c r="O298" i="8"/>
  <c r="P88" i="7"/>
  <c r="O151" i="8"/>
  <c r="N21" i="8"/>
  <c r="O300" i="8"/>
  <c r="O36" i="8"/>
  <c r="L34" i="8"/>
  <c r="O34" i="8" s="1"/>
  <c r="L16" i="8"/>
  <c r="L14" i="8" s="1"/>
  <c r="O14" i="8" s="1"/>
  <c r="L24" i="8"/>
  <c r="K417" i="8"/>
  <c r="I131" i="8"/>
  <c r="K131" i="8" s="1"/>
  <c r="M402" i="7"/>
  <c r="P402" i="7" s="1"/>
  <c r="P43" i="7"/>
  <c r="M315" i="7"/>
  <c r="P315" i="7" s="1"/>
  <c r="P135" i="7"/>
  <c r="O263" i="7"/>
  <c r="O44" i="8"/>
  <c r="L467" i="8"/>
  <c r="O467" i="8" s="1"/>
  <c r="K434" i="8"/>
  <c r="O347" i="8"/>
  <c r="L467" i="7"/>
  <c r="O467" i="7" s="1"/>
  <c r="L34" i="7"/>
  <c r="O34" i="7" s="1"/>
  <c r="I64" i="7"/>
  <c r="K64" i="7" s="1"/>
  <c r="O53" i="8"/>
  <c r="P91" i="6"/>
  <c r="O277" i="6"/>
  <c r="L227" i="8"/>
  <c r="K288" i="8"/>
  <c r="P88" i="8"/>
  <c r="M132" i="8"/>
  <c r="P132" i="8" s="1"/>
  <c r="K275" i="6"/>
  <c r="P55" i="6"/>
  <c r="P347" i="7"/>
  <c r="O347" i="7"/>
  <c r="P264" i="7"/>
  <c r="O55" i="7"/>
  <c r="L328" i="8"/>
  <c r="O328" i="8" s="1"/>
  <c r="N277" i="8"/>
  <c r="P277" i="8" s="1"/>
  <c r="K275" i="8"/>
  <c r="O525" i="8"/>
  <c r="L523" i="8"/>
  <c r="O523" i="8" s="1"/>
  <c r="L21" i="8"/>
  <c r="L13" i="8"/>
  <c r="O23" i="8"/>
  <c r="L20" i="8"/>
  <c r="O134" i="8"/>
  <c r="L132" i="8"/>
  <c r="O132" i="8" s="1"/>
  <c r="O23" i="7"/>
  <c r="O280" i="8"/>
  <c r="O181" i="7"/>
  <c r="L629" i="7"/>
  <c r="O629" i="7" s="1"/>
  <c r="L786" i="7"/>
  <c r="O786" i="7" s="1"/>
  <c r="L165" i="8"/>
  <c r="O165" i="8" s="1"/>
  <c r="P91" i="8"/>
  <c r="L402" i="8"/>
  <c r="O402" i="8" s="1"/>
  <c r="O56" i="8"/>
  <c r="O687" i="8"/>
  <c r="O55" i="8"/>
  <c r="L629" i="5"/>
  <c r="O629" i="5" s="1"/>
  <c r="P184" i="7"/>
  <c r="P545" i="8"/>
  <c r="M544" i="8"/>
  <c r="P544" i="8" s="1"/>
  <c r="O419" i="8"/>
  <c r="O421" i="8"/>
  <c r="M298" i="8"/>
  <c r="P298" i="8" s="1"/>
  <c r="P264" i="8"/>
  <c r="P26" i="8"/>
  <c r="M16" i="8"/>
  <c r="M24" i="8"/>
  <c r="O632" i="8"/>
  <c r="I65" i="8"/>
  <c r="K65" i="8" s="1"/>
  <c r="K77" i="8"/>
  <c r="P19" i="8"/>
  <c r="O546" i="8"/>
  <c r="M414" i="8"/>
  <c r="P414" i="8" s="1"/>
  <c r="P419" i="8"/>
  <c r="M21" i="8"/>
  <c r="P23" i="8"/>
  <c r="M20" i="8"/>
  <c r="M13" i="8"/>
  <c r="M11" i="8" s="1"/>
  <c r="O41" i="8"/>
  <c r="K433" i="8"/>
  <c r="O19" i="8"/>
  <c r="O279" i="8"/>
  <c r="L277" i="8"/>
  <c r="P121" i="8"/>
  <c r="M119" i="8"/>
  <c r="P119" i="8" s="1"/>
  <c r="N9" i="8"/>
  <c r="L13" i="7"/>
  <c r="L11" i="7" s="1"/>
  <c r="O447" i="8"/>
  <c r="K669" i="8"/>
  <c r="J654" i="8"/>
  <c r="K654" i="8" s="1"/>
  <c r="L389" i="8"/>
  <c r="O389" i="8" s="1"/>
  <c r="P330" i="8"/>
  <c r="M328" i="8"/>
  <c r="P328" i="8" s="1"/>
  <c r="I64" i="8"/>
  <c r="K64" i="8" s="1"/>
  <c r="K76" i="8"/>
  <c r="P183" i="8"/>
  <c r="M181" i="8"/>
  <c r="P181" i="8" s="1"/>
  <c r="P12" i="8"/>
  <c r="M9" i="8"/>
  <c r="P151" i="8"/>
  <c r="O12" i="8"/>
  <c r="L9" i="8"/>
  <c r="P347" i="8"/>
  <c r="M345" i="8"/>
  <c r="P345" i="8" s="1"/>
  <c r="P391" i="8"/>
  <c r="M389" i="8"/>
  <c r="P389" i="8" s="1"/>
  <c r="L345" i="8"/>
  <c r="O345" i="8" s="1"/>
  <c r="P55" i="8"/>
  <c r="M53" i="8"/>
  <c r="P53" i="8" s="1"/>
  <c r="N414" i="8"/>
  <c r="P167" i="8"/>
  <c r="M165" i="8"/>
  <c r="P165" i="8" s="1"/>
  <c r="P41" i="8"/>
  <c r="O55" i="6"/>
  <c r="N53" i="6"/>
  <c r="P53" i="6" s="1"/>
  <c r="P91" i="7"/>
  <c r="N20" i="7"/>
  <c r="N18" i="7" s="1"/>
  <c r="O183" i="7"/>
  <c r="O121" i="7"/>
  <c r="P351" i="7"/>
  <c r="P26" i="7"/>
  <c r="O119" i="7"/>
  <c r="L88" i="7"/>
  <c r="O88" i="7" s="1"/>
  <c r="M24" i="7"/>
  <c r="O44" i="7"/>
  <c r="O135" i="6"/>
  <c r="N24" i="7"/>
  <c r="O24" i="7" s="1"/>
  <c r="L21" i="7"/>
  <c r="P16" i="7"/>
  <c r="L655" i="6"/>
  <c r="O655" i="6" s="1"/>
  <c r="O330" i="7"/>
  <c r="P263" i="7"/>
  <c r="L402" i="7"/>
  <c r="O402" i="7" s="1"/>
  <c r="N261" i="7"/>
  <c r="O261" i="7" s="1"/>
  <c r="L389" i="7"/>
  <c r="O389" i="7" s="1"/>
  <c r="P68" i="7"/>
  <c r="O165" i="7"/>
  <c r="P88" i="6"/>
  <c r="N53" i="7"/>
  <c r="P53" i="7" s="1"/>
  <c r="L20" i="7"/>
  <c r="L18" i="7" s="1"/>
  <c r="K288" i="7"/>
  <c r="O90" i="6"/>
  <c r="O55" i="4"/>
  <c r="L88" i="6"/>
  <c r="O88" i="6" s="1"/>
  <c r="P149" i="6"/>
  <c r="O135" i="7"/>
  <c r="N16" i="5"/>
  <c r="P16" i="5" s="1"/>
  <c r="P90" i="6"/>
  <c r="L119" i="6"/>
  <c r="O119" i="6" s="1"/>
  <c r="O328" i="7"/>
  <c r="O280" i="7"/>
  <c r="I65" i="7"/>
  <c r="K65" i="7" s="1"/>
  <c r="K77" i="7"/>
  <c r="O348" i="7"/>
  <c r="K174" i="7"/>
  <c r="N21" i="7"/>
  <c r="N13" i="7"/>
  <c r="N10" i="7" s="1"/>
  <c r="O167" i="7"/>
  <c r="P167" i="7"/>
  <c r="O55" i="5"/>
  <c r="O167" i="6"/>
  <c r="L685" i="7"/>
  <c r="O685" i="7" s="1"/>
  <c r="O277" i="7"/>
  <c r="O279" i="7"/>
  <c r="O525" i="7"/>
  <c r="L523" i="7"/>
  <c r="O523" i="7" s="1"/>
  <c r="L345" i="7"/>
  <c r="O345" i="7" s="1"/>
  <c r="I131" i="7"/>
  <c r="K131" i="7" s="1"/>
  <c r="K143" i="7"/>
  <c r="K248" i="7"/>
  <c r="I226" i="7"/>
  <c r="M119" i="7"/>
  <c r="P119" i="7" s="1"/>
  <c r="P121" i="7"/>
  <c r="P391" i="7"/>
  <c r="M389" i="7"/>
  <c r="P389" i="7" s="1"/>
  <c r="M345" i="7"/>
  <c r="P345" i="7" s="1"/>
  <c r="O43" i="7"/>
  <c r="L41" i="7"/>
  <c r="O59" i="5"/>
  <c r="P151" i="6"/>
  <c r="M20" i="7"/>
  <c r="M13" i="7"/>
  <c r="M11" i="7" s="1"/>
  <c r="P23" i="7"/>
  <c r="O15" i="7"/>
  <c r="L9" i="7"/>
  <c r="M28" i="7"/>
  <c r="P28" i="7" s="1"/>
  <c r="O29" i="7"/>
  <c r="M181" i="7"/>
  <c r="P181" i="7" s="1"/>
  <c r="O33" i="4"/>
  <c r="K785" i="6"/>
  <c r="P330" i="7"/>
  <c r="M328" i="7"/>
  <c r="P328" i="7" s="1"/>
  <c r="L544" i="7"/>
  <c r="O544" i="7" s="1"/>
  <c r="O546" i="7"/>
  <c r="L444" i="7"/>
  <c r="O444" i="7" s="1"/>
  <c r="L30" i="7"/>
  <c r="O30" i="7" s="1"/>
  <c r="L31" i="7"/>
  <c r="O31" i="7" s="1"/>
  <c r="O33" i="7"/>
  <c r="P19" i="7"/>
  <c r="M9" i="7"/>
  <c r="P12" i="7"/>
  <c r="O68" i="7"/>
  <c r="N66" i="7"/>
  <c r="P66" i="7" s="1"/>
  <c r="P300" i="7"/>
  <c r="M298" i="7"/>
  <c r="P298" i="7" s="1"/>
  <c r="M14" i="7"/>
  <c r="P14" i="7" s="1"/>
  <c r="P15" i="7"/>
  <c r="L227" i="7"/>
  <c r="P151" i="7"/>
  <c r="M149" i="7"/>
  <c r="P149" i="7" s="1"/>
  <c r="N414" i="7"/>
  <c r="N9" i="7"/>
  <c r="I418" i="7"/>
  <c r="K418" i="7" s="1"/>
  <c r="K434" i="7"/>
  <c r="M414" i="7"/>
  <c r="P414" i="7" s="1"/>
  <c r="P419" i="7"/>
  <c r="N41" i="7"/>
  <c r="O167" i="5"/>
  <c r="K433" i="7"/>
  <c r="I417" i="7"/>
  <c r="K417" i="7" s="1"/>
  <c r="L419" i="7"/>
  <c r="L16" i="7"/>
  <c r="O16" i="7" s="1"/>
  <c r="O26" i="7"/>
  <c r="M21" i="7"/>
  <c r="P55" i="7"/>
  <c r="P165" i="7"/>
  <c r="O546" i="5"/>
  <c r="L685" i="6"/>
  <c r="O685" i="6" s="1"/>
  <c r="K543" i="6"/>
  <c r="P277" i="6"/>
  <c r="K559" i="6"/>
  <c r="O151" i="6"/>
  <c r="L523" i="6"/>
  <c r="O523" i="6" s="1"/>
  <c r="P279" i="6"/>
  <c r="L53" i="6"/>
  <c r="M315" i="6"/>
  <c r="P315" i="6" s="1"/>
  <c r="O347" i="6"/>
  <c r="P347" i="6"/>
  <c r="L34" i="5"/>
  <c r="O34" i="5" s="1"/>
  <c r="L655" i="5"/>
  <c r="O655" i="5" s="1"/>
  <c r="N24" i="6"/>
  <c r="O345" i="6"/>
  <c r="K364" i="6"/>
  <c r="P261" i="3"/>
  <c r="O347" i="5"/>
  <c r="O391" i="6"/>
  <c r="O446" i="6"/>
  <c r="O43" i="6"/>
  <c r="O330" i="6"/>
  <c r="O444" i="6"/>
  <c r="P167" i="6"/>
  <c r="P345" i="6"/>
  <c r="O69" i="6"/>
  <c r="O279" i="6"/>
  <c r="N165" i="6"/>
  <c r="P165" i="6" s="1"/>
  <c r="O132" i="6"/>
  <c r="L41" i="6"/>
  <c r="O41" i="6" s="1"/>
  <c r="P151" i="5"/>
  <c r="O261" i="6"/>
  <c r="L149" i="6"/>
  <c r="O149" i="6" s="1"/>
  <c r="P90" i="5"/>
  <c r="L34" i="6"/>
  <c r="O34" i="6" s="1"/>
  <c r="L402" i="6"/>
  <c r="O402" i="6" s="1"/>
  <c r="L20" i="6"/>
  <c r="L18" i="6" s="1"/>
  <c r="O23" i="6"/>
  <c r="P391" i="6"/>
  <c r="M389" i="6"/>
  <c r="P389" i="6" s="1"/>
  <c r="M41" i="6"/>
  <c r="P41" i="6" s="1"/>
  <c r="P43" i="6"/>
  <c r="P330" i="6"/>
  <c r="M328" i="6"/>
  <c r="P300" i="6"/>
  <c r="O331" i="6"/>
  <c r="L66" i="6"/>
  <c r="O66" i="6" s="1"/>
  <c r="O68" i="6"/>
  <c r="L786" i="5"/>
  <c r="O786" i="5" s="1"/>
  <c r="N328" i="6"/>
  <c r="O328" i="6" s="1"/>
  <c r="L13" i="6"/>
  <c r="L11" i="6" s="1"/>
  <c r="I65" i="6"/>
  <c r="K65" i="6" s="1"/>
  <c r="K77" i="6"/>
  <c r="P301" i="6"/>
  <c r="M24" i="5"/>
  <c r="P24" i="5" s="1"/>
  <c r="P26" i="5"/>
  <c r="P279" i="5"/>
  <c r="L467" i="6"/>
  <c r="O467" i="6" s="1"/>
  <c r="K76" i="6"/>
  <c r="O263" i="6"/>
  <c r="M66" i="6"/>
  <c r="P66" i="6" s="1"/>
  <c r="P68" i="6"/>
  <c r="N14" i="6"/>
  <c r="M261" i="6"/>
  <c r="P261" i="6" s="1"/>
  <c r="P263" i="6"/>
  <c r="O181" i="6"/>
  <c r="P181" i="6"/>
  <c r="O317" i="6"/>
  <c r="L315" i="6"/>
  <c r="O315" i="6" s="1"/>
  <c r="O183" i="6"/>
  <c r="K785" i="4"/>
  <c r="O183" i="5"/>
  <c r="O300" i="5"/>
  <c r="O632" i="6"/>
  <c r="M402" i="6"/>
  <c r="P402" i="6" s="1"/>
  <c r="P404" i="6"/>
  <c r="K434" i="6"/>
  <c r="I418" i="6"/>
  <c r="K418" i="6" s="1"/>
  <c r="O134" i="6"/>
  <c r="M119" i="6"/>
  <c r="P121" i="6"/>
  <c r="O9" i="6"/>
  <c r="N9" i="6"/>
  <c r="O264" i="6"/>
  <c r="P183" i="6"/>
  <c r="O149" i="5"/>
  <c r="M414" i="6"/>
  <c r="P414" i="6" s="1"/>
  <c r="P19" i="6"/>
  <c r="P134" i="6"/>
  <c r="O238" i="6"/>
  <c r="L227" i="6"/>
  <c r="P23" i="6"/>
  <c r="M20" i="6"/>
  <c r="M18" i="6" s="1"/>
  <c r="M13" i="6"/>
  <c r="L24" i="6"/>
  <c r="L16" i="6"/>
  <c r="O26" i="6"/>
  <c r="P26" i="6"/>
  <c r="M24" i="6"/>
  <c r="M16" i="6"/>
  <c r="P16" i="6" s="1"/>
  <c r="O33" i="6"/>
  <c r="L30" i="6"/>
  <c r="L31" i="6"/>
  <c r="M9" i="6"/>
  <c r="P15" i="6"/>
  <c r="P300" i="5"/>
  <c r="N546" i="6"/>
  <c r="N547" i="6"/>
  <c r="O547" i="6" s="1"/>
  <c r="N33" i="6"/>
  <c r="N13" i="6" s="1"/>
  <c r="K237" i="6"/>
  <c r="I226" i="6"/>
  <c r="L629" i="6"/>
  <c r="O629" i="6" s="1"/>
  <c r="O421" i="6"/>
  <c r="N21" i="6"/>
  <c r="O21" i="6" s="1"/>
  <c r="N20" i="6"/>
  <c r="N18" i="6" s="1"/>
  <c r="I131" i="6"/>
  <c r="K131" i="6" s="1"/>
  <c r="K143" i="6"/>
  <c r="P132" i="6"/>
  <c r="I417" i="6"/>
  <c r="K417" i="6" s="1"/>
  <c r="K433" i="6"/>
  <c r="O300" i="6"/>
  <c r="N298" i="6"/>
  <c r="L389" i="5"/>
  <c r="O389" i="5" s="1"/>
  <c r="O90" i="5"/>
  <c r="M66" i="4"/>
  <c r="P66" i="4" s="1"/>
  <c r="O277" i="4"/>
  <c r="O263" i="3"/>
  <c r="O421" i="5"/>
  <c r="O134" i="5"/>
  <c r="M66" i="5"/>
  <c r="P66" i="5" s="1"/>
  <c r="M277" i="5"/>
  <c r="P277" i="5" s="1"/>
  <c r="L467" i="5"/>
  <c r="O467" i="5" s="1"/>
  <c r="M13" i="5"/>
  <c r="M11" i="5" s="1"/>
  <c r="N88" i="5"/>
  <c r="P88" i="5" s="1"/>
  <c r="P404" i="3"/>
  <c r="M315" i="5"/>
  <c r="P315" i="5" s="1"/>
  <c r="P347" i="5"/>
  <c r="O165" i="3"/>
  <c r="M389" i="3"/>
  <c r="P389" i="3" s="1"/>
  <c r="L66" i="4"/>
  <c r="O66" i="4" s="1"/>
  <c r="M402" i="5"/>
  <c r="P402" i="5" s="1"/>
  <c r="I543" i="4"/>
  <c r="K543" i="4" s="1"/>
  <c r="O298" i="5"/>
  <c r="O43" i="5"/>
  <c r="O132" i="5"/>
  <c r="O56" i="5"/>
  <c r="M132" i="4"/>
  <c r="P132" i="4" s="1"/>
  <c r="M402" i="4"/>
  <c r="P402" i="4" s="1"/>
  <c r="K434" i="5"/>
  <c r="P43" i="5"/>
  <c r="N41" i="5"/>
  <c r="P41" i="5" s="1"/>
  <c r="P167" i="5"/>
  <c r="O687" i="5"/>
  <c r="L685" i="5"/>
  <c r="O685" i="5" s="1"/>
  <c r="L389" i="4"/>
  <c r="O389" i="4" s="1"/>
  <c r="O151" i="5"/>
  <c r="O546" i="4"/>
  <c r="O44" i="5"/>
  <c r="M298" i="5"/>
  <c r="P298" i="5" s="1"/>
  <c r="L444" i="5"/>
  <c r="O444" i="5" s="1"/>
  <c r="M119" i="5"/>
  <c r="P119" i="5" s="1"/>
  <c r="O167" i="4"/>
  <c r="P149" i="4"/>
  <c r="O330" i="5"/>
  <c r="L227" i="5"/>
  <c r="O263" i="5"/>
  <c r="O21" i="5"/>
  <c r="P56" i="5"/>
  <c r="L24" i="5"/>
  <c r="O24" i="5" s="1"/>
  <c r="L16" i="5"/>
  <c r="L119" i="4"/>
  <c r="O119" i="4" s="1"/>
  <c r="M345" i="5"/>
  <c r="P345" i="5" s="1"/>
  <c r="O345" i="5"/>
  <c r="K76" i="5"/>
  <c r="L30" i="5"/>
  <c r="L28" i="5" s="1"/>
  <c r="O28" i="5" s="1"/>
  <c r="M20" i="5"/>
  <c r="M18" i="5" s="1"/>
  <c r="O68" i="5"/>
  <c r="L66" i="5"/>
  <c r="O66" i="5" s="1"/>
  <c r="P152" i="5"/>
  <c r="O167" i="3"/>
  <c r="O91" i="4"/>
  <c r="P167" i="4"/>
  <c r="O328" i="5"/>
  <c r="M149" i="5"/>
  <c r="P149" i="5" s="1"/>
  <c r="L315" i="5"/>
  <c r="O315" i="5" s="1"/>
  <c r="M165" i="5"/>
  <c r="P165" i="5" s="1"/>
  <c r="I226" i="5"/>
  <c r="O91" i="5"/>
  <c r="O33" i="5"/>
  <c r="O26" i="5"/>
  <c r="I164" i="5"/>
  <c r="K164" i="5" s="1"/>
  <c r="K174" i="5"/>
  <c r="K417" i="5"/>
  <c r="P21" i="5"/>
  <c r="N30" i="5"/>
  <c r="N28" i="5" s="1"/>
  <c r="N31" i="5"/>
  <c r="O31" i="5" s="1"/>
  <c r="O263" i="4"/>
  <c r="O525" i="5"/>
  <c r="L523" i="5"/>
  <c r="O523" i="5" s="1"/>
  <c r="M414" i="5"/>
  <c r="P414" i="5" s="1"/>
  <c r="P419" i="5"/>
  <c r="P44" i="5"/>
  <c r="O19" i="5"/>
  <c r="O121" i="5"/>
  <c r="L119" i="5"/>
  <c r="O119" i="5" s="1"/>
  <c r="K433" i="5"/>
  <c r="P29" i="5"/>
  <c r="M28" i="5"/>
  <c r="P28" i="5" s="1"/>
  <c r="N414" i="5"/>
  <c r="L165" i="5"/>
  <c r="O165" i="5" s="1"/>
  <c r="P263" i="3"/>
  <c r="J364" i="5"/>
  <c r="K364" i="5" s="1"/>
  <c r="K365" i="5"/>
  <c r="O15" i="5"/>
  <c r="N20" i="5"/>
  <c r="N13" i="5"/>
  <c r="P183" i="5"/>
  <c r="M181" i="5"/>
  <c r="N261" i="5"/>
  <c r="O261" i="5" s="1"/>
  <c r="O419" i="5"/>
  <c r="P59" i="5"/>
  <c r="O279" i="5"/>
  <c r="L277" i="5"/>
  <c r="O277" i="5" s="1"/>
  <c r="L20" i="5"/>
  <c r="L18" i="5" s="1"/>
  <c r="L13" i="5"/>
  <c r="L11" i="5" s="1"/>
  <c r="O23" i="5"/>
  <c r="O330" i="2"/>
  <c r="P151" i="3"/>
  <c r="O88" i="3"/>
  <c r="M389" i="5"/>
  <c r="P389" i="5" s="1"/>
  <c r="I131" i="5"/>
  <c r="K131" i="5" s="1"/>
  <c r="K143" i="5"/>
  <c r="P12" i="5"/>
  <c r="M9" i="5"/>
  <c r="P263" i="5"/>
  <c r="P15" i="5"/>
  <c r="M14" i="5"/>
  <c r="M328" i="5"/>
  <c r="P328" i="5" s="1"/>
  <c r="P330" i="5"/>
  <c r="P55" i="5"/>
  <c r="N53" i="5"/>
  <c r="O53" i="5" s="1"/>
  <c r="L261" i="3"/>
  <c r="O261" i="3" s="1"/>
  <c r="L13" i="4"/>
  <c r="L11" i="4" s="1"/>
  <c r="N544" i="5"/>
  <c r="O544" i="5" s="1"/>
  <c r="L9" i="5"/>
  <c r="O12" i="5"/>
  <c r="O31" i="4"/>
  <c r="L181" i="5"/>
  <c r="M261" i="5"/>
  <c r="O404" i="5"/>
  <c r="L402" i="5"/>
  <c r="O402" i="5" s="1"/>
  <c r="P134" i="5"/>
  <c r="M132" i="5"/>
  <c r="P132" i="5" s="1"/>
  <c r="P23" i="5"/>
  <c r="K77" i="5"/>
  <c r="I65" i="5"/>
  <c r="K65" i="5" s="1"/>
  <c r="O138" i="3"/>
  <c r="O43" i="4"/>
  <c r="K364" i="4"/>
  <c r="M165" i="4"/>
  <c r="P165" i="4" s="1"/>
  <c r="L629" i="3"/>
  <c r="O629" i="3" s="1"/>
  <c r="L419" i="3"/>
  <c r="O419" i="3" s="1"/>
  <c r="L389" i="3"/>
  <c r="O389" i="3" s="1"/>
  <c r="P68" i="3"/>
  <c r="P347" i="4"/>
  <c r="O317" i="4"/>
  <c r="O261" i="2"/>
  <c r="L298" i="4"/>
  <c r="O298" i="4" s="1"/>
  <c r="O165" i="4"/>
  <c r="L20" i="4"/>
  <c r="L18" i="4" s="1"/>
  <c r="L132" i="4"/>
  <c r="O132" i="4" s="1"/>
  <c r="O264" i="3"/>
  <c r="O68" i="3"/>
  <c r="P167" i="3"/>
  <c r="M165" i="3"/>
  <c r="P165" i="3" s="1"/>
  <c r="L227" i="4"/>
  <c r="L30" i="4"/>
  <c r="O30" i="4" s="1"/>
  <c r="P151" i="4"/>
  <c r="P90" i="3"/>
  <c r="M389" i="4"/>
  <c r="P389" i="4" s="1"/>
  <c r="P330" i="4"/>
  <c r="O181" i="4"/>
  <c r="P55" i="4"/>
  <c r="L544" i="3"/>
  <c r="O544" i="3" s="1"/>
  <c r="O421" i="4"/>
  <c r="I64" i="4"/>
  <c r="K64" i="4" s="1"/>
  <c r="O149" i="3"/>
  <c r="L523" i="4"/>
  <c r="O523" i="4" s="1"/>
  <c r="O183" i="4"/>
  <c r="L402" i="3"/>
  <c r="O402" i="3" s="1"/>
  <c r="N53" i="4"/>
  <c r="O53" i="4" s="1"/>
  <c r="P318" i="4"/>
  <c r="P88" i="4"/>
  <c r="P277" i="4"/>
  <c r="M53" i="4"/>
  <c r="O134" i="3"/>
  <c r="P90" i="4"/>
  <c r="P300" i="4"/>
  <c r="M298" i="4"/>
  <c r="P298" i="4" s="1"/>
  <c r="O279" i="4"/>
  <c r="O348" i="3"/>
  <c r="O469" i="4"/>
  <c r="N14" i="4"/>
  <c r="P263" i="4"/>
  <c r="M261" i="4"/>
  <c r="P261" i="4" s="1"/>
  <c r="P279" i="4"/>
  <c r="L655" i="4"/>
  <c r="O655" i="4" s="1"/>
  <c r="N24" i="4"/>
  <c r="O24" i="4" s="1"/>
  <c r="K77" i="4"/>
  <c r="I65" i="4"/>
  <c r="K65" i="4" s="1"/>
  <c r="L261" i="4"/>
  <c r="O261" i="4" s="1"/>
  <c r="L16" i="4"/>
  <c r="L14" i="4" s="1"/>
  <c r="O90" i="4"/>
  <c r="L402" i="4"/>
  <c r="O402" i="4" s="1"/>
  <c r="L34" i="4"/>
  <c r="O34" i="4" s="1"/>
  <c r="L88" i="4"/>
  <c r="O88" i="4" s="1"/>
  <c r="I226" i="4"/>
  <c r="K248" i="4"/>
  <c r="P183" i="4"/>
  <c r="M181" i="4"/>
  <c r="P181" i="4" s="1"/>
  <c r="N21" i="4"/>
  <c r="O21" i="4" s="1"/>
  <c r="N20" i="4"/>
  <c r="N13" i="4"/>
  <c r="P121" i="4"/>
  <c r="M119" i="4"/>
  <c r="P119" i="4" s="1"/>
  <c r="N544" i="4"/>
  <c r="O544" i="4" s="1"/>
  <c r="P12" i="4"/>
  <c r="M9" i="4"/>
  <c r="O446" i="4"/>
  <c r="N444" i="4"/>
  <c r="O444" i="4" s="1"/>
  <c r="P300" i="2"/>
  <c r="O181" i="3"/>
  <c r="P298" i="3"/>
  <c r="P300" i="3"/>
  <c r="O183" i="3"/>
  <c r="P181" i="3"/>
  <c r="N315" i="4"/>
  <c r="P315" i="4" s="1"/>
  <c r="N419" i="4"/>
  <c r="O151" i="3"/>
  <c r="O26" i="4"/>
  <c r="O788" i="2"/>
  <c r="K433" i="4"/>
  <c r="J417" i="4"/>
  <c r="K417" i="4" s="1"/>
  <c r="P26" i="4"/>
  <c r="M24" i="4"/>
  <c r="M16" i="4"/>
  <c r="P16" i="4" s="1"/>
  <c r="M28" i="4"/>
  <c r="P28" i="4" s="1"/>
  <c r="P29" i="4"/>
  <c r="O330" i="4"/>
  <c r="L328" i="4"/>
  <c r="O328" i="4" s="1"/>
  <c r="O300" i="3"/>
  <c r="L685" i="4"/>
  <c r="O685" i="4" s="1"/>
  <c r="I131" i="4"/>
  <c r="K131" i="4" s="1"/>
  <c r="K143" i="4"/>
  <c r="O631" i="4"/>
  <c r="M414" i="4"/>
  <c r="P414" i="4" s="1"/>
  <c r="P419" i="4"/>
  <c r="M328" i="4"/>
  <c r="P328" i="4" s="1"/>
  <c r="O347" i="4"/>
  <c r="L345" i="4"/>
  <c r="O345" i="4" s="1"/>
  <c r="P23" i="4"/>
  <c r="M20" i="4"/>
  <c r="M13" i="4"/>
  <c r="O12" i="4"/>
  <c r="L9" i="4"/>
  <c r="K434" i="4"/>
  <c r="I418" i="4"/>
  <c r="K418" i="4" s="1"/>
  <c r="N786" i="4"/>
  <c r="P15" i="4"/>
  <c r="P317" i="4"/>
  <c r="I164" i="3"/>
  <c r="K164" i="3" s="1"/>
  <c r="L685" i="3"/>
  <c r="O685" i="3" s="1"/>
  <c r="O90" i="3"/>
  <c r="O132" i="3"/>
  <c r="O786" i="4"/>
  <c r="L629" i="4"/>
  <c r="M345" i="4"/>
  <c r="P345" i="4" s="1"/>
  <c r="O351" i="4"/>
  <c r="P43" i="4"/>
  <c r="N41" i="4"/>
  <c r="O41" i="4" s="1"/>
  <c r="O23" i="4"/>
  <c r="P41" i="2"/>
  <c r="L149" i="2"/>
  <c r="O149" i="2" s="1"/>
  <c r="M13" i="3"/>
  <c r="M11" i="3" s="1"/>
  <c r="P183" i="3"/>
  <c r="P331" i="2"/>
  <c r="K785" i="2"/>
  <c r="M88" i="3"/>
  <c r="P88" i="3" s="1"/>
  <c r="M66" i="3"/>
  <c r="P66" i="3" s="1"/>
  <c r="L66" i="3"/>
  <c r="O66" i="3" s="1"/>
  <c r="P23" i="3"/>
  <c r="O279" i="3"/>
  <c r="O687" i="2"/>
  <c r="O347" i="2"/>
  <c r="P167" i="2"/>
  <c r="O347" i="3"/>
  <c r="K288" i="3"/>
  <c r="K76" i="3"/>
  <c r="P43" i="3"/>
  <c r="P347" i="3"/>
  <c r="P183" i="2"/>
  <c r="L786" i="3"/>
  <c r="O786" i="3" s="1"/>
  <c r="L34" i="3"/>
  <c r="O34" i="3" s="1"/>
  <c r="M119" i="3"/>
  <c r="P119" i="3" s="1"/>
  <c r="O685" i="2"/>
  <c r="L66" i="2"/>
  <c r="O66" i="2" s="1"/>
  <c r="O328" i="2"/>
  <c r="K364" i="3"/>
  <c r="P134" i="3"/>
  <c r="M132" i="3"/>
  <c r="P132" i="3" s="1"/>
  <c r="L31" i="3"/>
  <c r="O31" i="3" s="1"/>
  <c r="M315" i="3"/>
  <c r="P315" i="3" s="1"/>
  <c r="M149" i="3"/>
  <c r="P149" i="3" s="1"/>
  <c r="L30" i="3"/>
  <c r="O30" i="3" s="1"/>
  <c r="L227" i="3"/>
  <c r="M345" i="3"/>
  <c r="P345" i="3" s="1"/>
  <c r="P135" i="3"/>
  <c r="O317" i="3"/>
  <c r="L315" i="3"/>
  <c r="O315" i="3" s="1"/>
  <c r="L389" i="2"/>
  <c r="O389" i="2" s="1"/>
  <c r="L444" i="2"/>
  <c r="O444" i="2" s="1"/>
  <c r="L298" i="3"/>
  <c r="O298" i="3" s="1"/>
  <c r="O331" i="2"/>
  <c r="P68" i="2"/>
  <c r="K559" i="2"/>
  <c r="M402" i="2"/>
  <c r="P402" i="2" s="1"/>
  <c r="O469" i="3"/>
  <c r="M41" i="3"/>
  <c r="P331" i="3"/>
  <c r="P280" i="3"/>
  <c r="O43" i="3"/>
  <c r="K237" i="3"/>
  <c r="I226" i="3"/>
  <c r="K143" i="3"/>
  <c r="I131" i="3"/>
  <c r="K131" i="3" s="1"/>
  <c r="P12" i="3"/>
  <c r="M9" i="3"/>
  <c r="O26" i="3"/>
  <c r="L16" i="3"/>
  <c r="O351" i="2"/>
  <c r="L34" i="2"/>
  <c r="O34" i="2" s="1"/>
  <c r="P330" i="3"/>
  <c r="N414" i="3"/>
  <c r="O23" i="3"/>
  <c r="L20" i="3"/>
  <c r="L18" i="3" s="1"/>
  <c r="L13" i="3"/>
  <c r="L11" i="3" s="1"/>
  <c r="O55" i="3"/>
  <c r="P55" i="3"/>
  <c r="O41" i="3"/>
  <c r="O12" i="3"/>
  <c r="L9" i="3"/>
  <c r="O446" i="3"/>
  <c r="N20" i="3"/>
  <c r="N18" i="3" s="1"/>
  <c r="N13" i="3"/>
  <c r="N11" i="3" s="1"/>
  <c r="N21" i="3"/>
  <c r="P21" i="3" s="1"/>
  <c r="M132" i="2"/>
  <c r="P132" i="2" s="1"/>
  <c r="M414" i="3"/>
  <c r="P414" i="3" s="1"/>
  <c r="P419" i="3"/>
  <c r="N655" i="3"/>
  <c r="O655" i="3" s="1"/>
  <c r="O657" i="3"/>
  <c r="O345" i="3"/>
  <c r="N9" i="3"/>
  <c r="L21" i="3"/>
  <c r="L402" i="2"/>
  <c r="O402" i="2" s="1"/>
  <c r="O277" i="2"/>
  <c r="K77" i="3"/>
  <c r="I65" i="3"/>
  <c r="K65" i="3" s="1"/>
  <c r="M24" i="3"/>
  <c r="M16" i="3"/>
  <c r="P26" i="3"/>
  <c r="O330" i="3"/>
  <c r="L328" i="3"/>
  <c r="O328" i="3" s="1"/>
  <c r="P328" i="3"/>
  <c r="N277" i="3"/>
  <c r="O277" i="3" s="1"/>
  <c r="N24" i="3"/>
  <c r="N16" i="3"/>
  <c r="N14" i="3" s="1"/>
  <c r="M20" i="3"/>
  <c r="L119" i="3"/>
  <c r="O119" i="3" s="1"/>
  <c r="P279" i="3"/>
  <c r="O447" i="3"/>
  <c r="N53" i="3"/>
  <c r="L523" i="3"/>
  <c r="O523" i="3" s="1"/>
  <c r="O525" i="3"/>
  <c r="I418" i="3"/>
  <c r="K418" i="3" s="1"/>
  <c r="K434" i="3"/>
  <c r="J417" i="3"/>
  <c r="K417" i="3" s="1"/>
  <c r="K433" i="3"/>
  <c r="P19" i="3"/>
  <c r="O19" i="3"/>
  <c r="M28" i="3"/>
  <c r="P28" i="3" s="1"/>
  <c r="L24" i="3"/>
  <c r="K364" i="2"/>
  <c r="O631" i="2"/>
  <c r="P43" i="2"/>
  <c r="O279" i="2"/>
  <c r="N13" i="2"/>
  <c r="N11" i="2" s="1"/>
  <c r="L30" i="2"/>
  <c r="L28" i="2" s="1"/>
  <c r="O28" i="2" s="1"/>
  <c r="N20" i="2"/>
  <c r="N18" i="2" s="1"/>
  <c r="O183" i="2"/>
  <c r="O632" i="2"/>
  <c r="N24" i="2"/>
  <c r="L419" i="2"/>
  <c r="O419" i="2" s="1"/>
  <c r="P280" i="2"/>
  <c r="O55" i="2"/>
  <c r="O263" i="2"/>
  <c r="M149" i="2"/>
  <c r="P149" i="2" s="1"/>
  <c r="O43" i="2"/>
  <c r="P90" i="2"/>
  <c r="P330" i="2"/>
  <c r="M328" i="2"/>
  <c r="P328" i="2" s="1"/>
  <c r="P315" i="2"/>
  <c r="L544" i="2"/>
  <c r="O544" i="2" s="1"/>
  <c r="O315" i="2"/>
  <c r="O317" i="2"/>
  <c r="N345" i="2"/>
  <c r="O345" i="2" s="1"/>
  <c r="M298" i="2"/>
  <c r="P298" i="2" s="1"/>
  <c r="O181" i="2"/>
  <c r="P181" i="2"/>
  <c r="O300" i="2"/>
  <c r="L298" i="2"/>
  <c r="O298" i="2" s="1"/>
  <c r="O657" i="2"/>
  <c r="L655" i="2"/>
  <c r="O655" i="2" s="1"/>
  <c r="O345" i="1"/>
  <c r="K288" i="2"/>
  <c r="N165" i="2"/>
  <c r="P165" i="2" s="1"/>
  <c r="P318" i="2"/>
  <c r="P317" i="2"/>
  <c r="P263" i="2"/>
  <c r="M261" i="2"/>
  <c r="P261" i="2" s="1"/>
  <c r="P279" i="2"/>
  <c r="M277" i="2"/>
  <c r="P277" i="2" s="1"/>
  <c r="O134" i="2"/>
  <c r="L132" i="2"/>
  <c r="O132" i="2" s="1"/>
  <c r="K433" i="2"/>
  <c r="J417" i="2"/>
  <c r="K417" i="2" s="1"/>
  <c r="P55" i="2"/>
  <c r="O789" i="2"/>
  <c r="P88" i="2"/>
  <c r="O121" i="2"/>
  <c r="L119" i="2"/>
  <c r="O119" i="2" s="1"/>
  <c r="P391" i="2"/>
  <c r="M389" i="2"/>
  <c r="P389" i="2" s="1"/>
  <c r="M345" i="2"/>
  <c r="P347" i="2"/>
  <c r="O469" i="2"/>
  <c r="L467" i="2"/>
  <c r="O467" i="2" s="1"/>
  <c r="L13" i="2"/>
  <c r="L11" i="2" s="1"/>
  <c r="L20" i="2"/>
  <c r="O23" i="2"/>
  <c r="P19" i="2"/>
  <c r="J594" i="1"/>
  <c r="K594" i="1" s="1"/>
  <c r="O249" i="2"/>
  <c r="L227" i="2"/>
  <c r="L165" i="2"/>
  <c r="O167" i="2"/>
  <c r="I65" i="2"/>
  <c r="K65" i="2" s="1"/>
  <c r="K77" i="2"/>
  <c r="L21" i="2"/>
  <c r="O21" i="2" s="1"/>
  <c r="I64" i="2"/>
  <c r="K64" i="2" s="1"/>
  <c r="K76" i="2"/>
  <c r="N53" i="2"/>
  <c r="I418" i="2"/>
  <c r="K418" i="2" s="1"/>
  <c r="K434" i="2"/>
  <c r="K237" i="2"/>
  <c r="I226" i="2"/>
  <c r="M16" i="2"/>
  <c r="P26" i="2"/>
  <c r="M24" i="2"/>
  <c r="P9" i="2"/>
  <c r="N629" i="2"/>
  <c r="O629" i="2" s="1"/>
  <c r="L523" i="2"/>
  <c r="O523" i="2" s="1"/>
  <c r="N786" i="2"/>
  <c r="O786" i="2" s="1"/>
  <c r="L41" i="2"/>
  <c r="M119" i="2"/>
  <c r="P119" i="2" s="1"/>
  <c r="L24" i="2"/>
  <c r="O26" i="2"/>
  <c r="L16" i="2"/>
  <c r="O90" i="2"/>
  <c r="L88" i="2"/>
  <c r="O88" i="2" s="1"/>
  <c r="O12" i="2"/>
  <c r="L9" i="2"/>
  <c r="P23" i="2"/>
  <c r="M20" i="2"/>
  <c r="M13" i="2"/>
  <c r="M53" i="2"/>
  <c r="O33" i="2"/>
  <c r="N30" i="2"/>
  <c r="N28" i="2" s="1"/>
  <c r="N31" i="2"/>
  <c r="O31" i="2" s="1"/>
  <c r="O19" i="2"/>
  <c r="M21" i="2"/>
  <c r="P21" i="2" s="1"/>
  <c r="O68" i="1"/>
  <c r="K233" i="1"/>
  <c r="K675" i="1"/>
  <c r="N789" i="1"/>
  <c r="O789" i="1" s="1"/>
  <c r="P26" i="1"/>
  <c r="P391" i="1"/>
  <c r="O209" i="1"/>
  <c r="O791" i="1"/>
  <c r="O238" i="1"/>
  <c r="K235" i="1"/>
  <c r="N632" i="1"/>
  <c r="O632" i="1" s="1"/>
  <c r="O217" i="1"/>
  <c r="J593" i="1"/>
  <c r="J592" i="1" s="1"/>
  <c r="K592" i="1" s="1"/>
  <c r="K785" i="1"/>
  <c r="O134" i="1"/>
  <c r="K76" i="1"/>
  <c r="O788" i="1"/>
  <c r="J654" i="1"/>
  <c r="K654" i="1" s="1"/>
  <c r="P300" i="1"/>
  <c r="O330" i="1"/>
  <c r="K237" i="1"/>
  <c r="O279" i="1"/>
  <c r="P68" i="1"/>
  <c r="P121" i="1"/>
  <c r="O151" i="1"/>
  <c r="N66" i="1"/>
  <c r="O66" i="1" s="1"/>
  <c r="P279" i="1"/>
  <c r="O690" i="1"/>
  <c r="P301" i="1"/>
  <c r="K236" i="1"/>
  <c r="O167" i="1"/>
  <c r="O263" i="1"/>
  <c r="O688" i="1"/>
  <c r="P55" i="1"/>
  <c r="O55" i="1"/>
  <c r="N631" i="1"/>
  <c r="N629" i="1" s="1"/>
  <c r="K364" i="1"/>
  <c r="O198" i="1"/>
  <c r="P23" i="1"/>
  <c r="N422" i="1"/>
  <c r="O422" i="1" s="1"/>
  <c r="P90" i="1"/>
  <c r="O424" i="1"/>
  <c r="O249" i="1"/>
  <c r="P263" i="1"/>
  <c r="P43" i="1"/>
  <c r="K576" i="1"/>
  <c r="K559" i="1"/>
  <c r="P317" i="1"/>
  <c r="O472" i="1"/>
  <c r="N655" i="1"/>
  <c r="O655" i="1" s="1"/>
  <c r="O657" i="1"/>
  <c r="P277" i="1"/>
  <c r="K112" i="1"/>
  <c r="L786" i="1"/>
  <c r="O786" i="1" s="1"/>
  <c r="O181" i="1"/>
  <c r="O660" i="1"/>
  <c r="O88" i="1"/>
  <c r="N658" i="1"/>
  <c r="O658" i="1" s="1"/>
  <c r="L227" i="1"/>
  <c r="K434" i="1"/>
  <c r="N470" i="1"/>
  <c r="O470" i="1" s="1"/>
  <c r="P183" i="1"/>
  <c r="N261" i="1"/>
  <c r="P261" i="1" s="1"/>
  <c r="N132" i="1"/>
  <c r="O132" i="1" s="1"/>
  <c r="P280" i="1"/>
  <c r="O331" i="1"/>
  <c r="N227" i="1"/>
  <c r="O277" i="1"/>
  <c r="N298" i="1"/>
  <c r="P298" i="1" s="1"/>
  <c r="O90" i="1"/>
  <c r="P181" i="1"/>
  <c r="N687" i="1"/>
  <c r="O687" i="1" s="1"/>
  <c r="N165" i="1"/>
  <c r="O165" i="1" s="1"/>
  <c r="M402" i="1"/>
  <c r="P402" i="1" s="1"/>
  <c r="P404" i="1"/>
  <c r="P347" i="1"/>
  <c r="M345" i="1"/>
  <c r="P345" i="1" s="1"/>
  <c r="O421" i="1"/>
  <c r="P168" i="1"/>
  <c r="M13" i="1"/>
  <c r="M20" i="1"/>
  <c r="M18" i="1" s="1"/>
  <c r="O44" i="1"/>
  <c r="N119" i="1"/>
  <c r="P119" i="1" s="1"/>
  <c r="P88" i="1"/>
  <c r="P167" i="1"/>
  <c r="P134" i="1"/>
  <c r="M132" i="1"/>
  <c r="O391" i="1"/>
  <c r="L389" i="1"/>
  <c r="O389" i="1" s="1"/>
  <c r="O469" i="1"/>
  <c r="L467" i="1"/>
  <c r="O467" i="1" s="1"/>
  <c r="I64" i="1"/>
  <c r="K64" i="1" s="1"/>
  <c r="M315" i="1"/>
  <c r="P315" i="1" s="1"/>
  <c r="P125" i="1"/>
  <c r="O347" i="1"/>
  <c r="O404" i="1"/>
  <c r="L402" i="1"/>
  <c r="O402" i="1" s="1"/>
  <c r="O301" i="1"/>
  <c r="M24" i="1"/>
  <c r="M16" i="1"/>
  <c r="M14" i="1" s="1"/>
  <c r="O183" i="1"/>
  <c r="N525" i="1"/>
  <c r="N523" i="1" s="1"/>
  <c r="O523" i="1" s="1"/>
  <c r="N526" i="1"/>
  <c r="O526" i="1" s="1"/>
  <c r="N446" i="1"/>
  <c r="N447" i="1"/>
  <c r="O447" i="1" s="1"/>
  <c r="N33" i="1"/>
  <c r="N13" i="1" s="1"/>
  <c r="N11" i="1" s="1"/>
  <c r="O449" i="1"/>
  <c r="M28" i="1"/>
  <c r="P28" i="1" s="1"/>
  <c r="P29" i="1"/>
  <c r="N9" i="1"/>
  <c r="L419" i="1"/>
  <c r="P53" i="1"/>
  <c r="N21" i="1"/>
  <c r="O21" i="1" s="1"/>
  <c r="N20" i="1"/>
  <c r="O69" i="1"/>
  <c r="P69" i="1"/>
  <c r="P330" i="1"/>
  <c r="P152" i="1"/>
  <c r="O280" i="1"/>
  <c r="O91" i="1"/>
  <c r="P91" i="1"/>
  <c r="P419" i="1"/>
  <c r="M414" i="1"/>
  <c r="P414" i="1" s="1"/>
  <c r="N546" i="1"/>
  <c r="N544" i="1" s="1"/>
  <c r="O544" i="1" s="1"/>
  <c r="N547" i="1"/>
  <c r="O547" i="1" s="1"/>
  <c r="N149" i="1"/>
  <c r="O149" i="1" s="1"/>
  <c r="P151" i="1"/>
  <c r="O300" i="1"/>
  <c r="L298" i="1"/>
  <c r="O264" i="1"/>
  <c r="L16" i="1"/>
  <c r="O26" i="1"/>
  <c r="K418" i="1"/>
  <c r="L24" i="1"/>
  <c r="O36" i="1"/>
  <c r="L30" i="1"/>
  <c r="N328" i="1"/>
  <c r="P15" i="1"/>
  <c r="N24" i="1"/>
  <c r="N16" i="1"/>
  <c r="O23" i="1"/>
  <c r="L20" i="1"/>
  <c r="L13" i="1"/>
  <c r="O549" i="1"/>
  <c r="O317" i="1"/>
  <c r="L315" i="1"/>
  <c r="O315" i="1" s="1"/>
  <c r="L119" i="1"/>
  <c r="O121" i="1"/>
  <c r="L629" i="1"/>
  <c r="K226" i="1"/>
  <c r="I180" i="1"/>
  <c r="K180" i="1" s="1"/>
  <c r="K77" i="1"/>
  <c r="I65" i="1"/>
  <c r="K65" i="1" s="1"/>
  <c r="L9" i="1"/>
  <c r="O15" i="1"/>
  <c r="O43" i="1"/>
  <c r="N41" i="1"/>
  <c r="O41" i="1" s="1"/>
  <c r="M9" i="1"/>
  <c r="O53" i="1"/>
  <c r="P24" i="16" l="1"/>
  <c r="L10" i="16"/>
  <c r="L8" i="16" s="1"/>
  <c r="P21" i="15"/>
  <c r="O30" i="15"/>
  <c r="O165" i="16"/>
  <c r="P261" i="17"/>
  <c r="P21" i="18"/>
  <c r="N8" i="9"/>
  <c r="M14" i="16"/>
  <c r="P14" i="16" s="1"/>
  <c r="O13" i="16"/>
  <c r="O165" i="18"/>
  <c r="L14" i="17"/>
  <c r="O14" i="17" s="1"/>
  <c r="L10" i="17"/>
  <c r="L8" i="17" s="1"/>
  <c r="O21" i="18"/>
  <c r="N8" i="15"/>
  <c r="P20" i="15"/>
  <c r="L28" i="18"/>
  <c r="O28" i="18" s="1"/>
  <c r="N37" i="16"/>
  <c r="O16" i="18"/>
  <c r="O30" i="2"/>
  <c r="P16" i="12"/>
  <c r="O9" i="18"/>
  <c r="N37" i="18"/>
  <c r="O41" i="18"/>
  <c r="O13" i="18"/>
  <c r="L10" i="18"/>
  <c r="L11" i="18"/>
  <c r="O11" i="18" s="1"/>
  <c r="P24" i="17"/>
  <c r="P41" i="18"/>
  <c r="P13" i="18"/>
  <c r="M10" i="18"/>
  <c r="M11" i="18"/>
  <c r="P11" i="18" s="1"/>
  <c r="O20" i="18"/>
  <c r="L18" i="18"/>
  <c r="O18" i="18" s="1"/>
  <c r="O24" i="15"/>
  <c r="M10" i="17"/>
  <c r="M8" i="17" s="1"/>
  <c r="K226" i="18"/>
  <c r="I180" i="18"/>
  <c r="K180" i="18" s="1"/>
  <c r="M37" i="18"/>
  <c r="P18" i="18"/>
  <c r="P20" i="18"/>
  <c r="O419" i="18"/>
  <c r="L414" i="18"/>
  <c r="O414" i="18" s="1"/>
  <c r="N37" i="17"/>
  <c r="N14" i="18"/>
  <c r="O14" i="18" s="1"/>
  <c r="N10" i="18"/>
  <c r="N8" i="18" s="1"/>
  <c r="L37" i="18"/>
  <c r="P16" i="18"/>
  <c r="M14" i="18"/>
  <c r="P13" i="16"/>
  <c r="O20" i="17"/>
  <c r="P20" i="17"/>
  <c r="L28" i="12"/>
  <c r="O28" i="12" s="1"/>
  <c r="L414" i="17"/>
  <c r="O414" i="17" s="1"/>
  <c r="O419" i="17"/>
  <c r="P18" i="17"/>
  <c r="O18" i="17"/>
  <c r="K226" i="17"/>
  <c r="I180" i="17"/>
  <c r="K180" i="17" s="1"/>
  <c r="P53" i="17"/>
  <c r="M37" i="17"/>
  <c r="P9" i="17"/>
  <c r="N11" i="17"/>
  <c r="O11" i="17" s="1"/>
  <c r="N10" i="17"/>
  <c r="N8" i="17" s="1"/>
  <c r="P13" i="17"/>
  <c r="O9" i="17"/>
  <c r="P21" i="16"/>
  <c r="L37" i="17"/>
  <c r="O277" i="17"/>
  <c r="P277" i="17"/>
  <c r="P16" i="17"/>
  <c r="M14" i="17"/>
  <c r="P14" i="17" s="1"/>
  <c r="L28" i="17"/>
  <c r="O28" i="17" s="1"/>
  <c r="P21" i="17"/>
  <c r="O21" i="17"/>
  <c r="O13" i="17"/>
  <c r="O41" i="16"/>
  <c r="P41" i="16"/>
  <c r="P14" i="12"/>
  <c r="L28" i="13"/>
  <c r="O28" i="13" s="1"/>
  <c r="M37" i="16"/>
  <c r="O20" i="15"/>
  <c r="L10" i="15"/>
  <c r="O10" i="15" s="1"/>
  <c r="O20" i="16"/>
  <c r="O24" i="16"/>
  <c r="L28" i="16"/>
  <c r="O28" i="16" s="1"/>
  <c r="O16" i="16"/>
  <c r="L14" i="16"/>
  <c r="O14" i="16" s="1"/>
  <c r="P20" i="16"/>
  <c r="O16" i="13"/>
  <c r="O21" i="14"/>
  <c r="P20" i="14"/>
  <c r="P9" i="16"/>
  <c r="M8" i="16"/>
  <c r="O9" i="16"/>
  <c r="N10" i="16"/>
  <c r="N8" i="16" s="1"/>
  <c r="N11" i="16"/>
  <c r="P11" i="16" s="1"/>
  <c r="O18" i="16"/>
  <c r="P18" i="16"/>
  <c r="O655" i="16"/>
  <c r="N414" i="16"/>
  <c r="K226" i="16"/>
  <c r="I180" i="16"/>
  <c r="K180" i="16" s="1"/>
  <c r="L414" i="16"/>
  <c r="O414" i="16" s="1"/>
  <c r="O88" i="16"/>
  <c r="L37" i="16"/>
  <c r="P16" i="16"/>
  <c r="L11" i="15"/>
  <c r="O11" i="15" s="1"/>
  <c r="O13" i="15"/>
  <c r="O13" i="12"/>
  <c r="L18" i="15"/>
  <c r="O18" i="15" s="1"/>
  <c r="L10" i="12"/>
  <c r="L8" i="12" s="1"/>
  <c r="N37" i="14"/>
  <c r="P11" i="15"/>
  <c r="M10" i="12"/>
  <c r="M8" i="12" s="1"/>
  <c r="L414" i="15"/>
  <c r="O414" i="15" s="1"/>
  <c r="O165" i="14"/>
  <c r="M18" i="15"/>
  <c r="P18" i="15" s="1"/>
  <c r="O16" i="15"/>
  <c r="L14" i="15"/>
  <c r="O14" i="15" s="1"/>
  <c r="O24" i="13"/>
  <c r="O181" i="15"/>
  <c r="P181" i="15"/>
  <c r="P13" i="15"/>
  <c r="M10" i="15"/>
  <c r="P10" i="15" s="1"/>
  <c r="P132" i="15"/>
  <c r="M37" i="15"/>
  <c r="P9" i="15"/>
  <c r="O20" i="14"/>
  <c r="K226" i="15"/>
  <c r="I180" i="15"/>
  <c r="K180" i="15" s="1"/>
  <c r="N37" i="15"/>
  <c r="M14" i="15"/>
  <c r="P14" i="15" s="1"/>
  <c r="I180" i="12"/>
  <c r="K180" i="12" s="1"/>
  <c r="O53" i="13"/>
  <c r="O9" i="15"/>
  <c r="O165" i="15"/>
  <c r="P165" i="15"/>
  <c r="O41" i="15"/>
  <c r="L37" i="15"/>
  <c r="P345" i="13"/>
  <c r="O30" i="14"/>
  <c r="L28" i="14"/>
  <c r="O28" i="14" s="1"/>
  <c r="O20" i="12"/>
  <c r="O16" i="14"/>
  <c r="L14" i="14"/>
  <c r="O14" i="14" s="1"/>
  <c r="P9" i="14"/>
  <c r="N10" i="14"/>
  <c r="N8" i="14" s="1"/>
  <c r="N11" i="14"/>
  <c r="O11" i="14" s="1"/>
  <c r="O24" i="14"/>
  <c r="O149" i="13"/>
  <c r="K226" i="14"/>
  <c r="I180" i="14"/>
  <c r="K180" i="14" s="1"/>
  <c r="O41" i="14"/>
  <c r="L37" i="14"/>
  <c r="L18" i="14"/>
  <c r="O18" i="14" s="1"/>
  <c r="P24" i="14"/>
  <c r="P149" i="14"/>
  <c r="M37" i="14"/>
  <c r="M18" i="14"/>
  <c r="P18" i="14" s="1"/>
  <c r="M10" i="14"/>
  <c r="P13" i="14"/>
  <c r="O9" i="14"/>
  <c r="P16" i="14"/>
  <c r="M14" i="14"/>
  <c r="P14" i="14" s="1"/>
  <c r="O13" i="14"/>
  <c r="L10" i="14"/>
  <c r="L8" i="14" s="1"/>
  <c r="O523" i="14"/>
  <c r="L414" i="14"/>
  <c r="O414" i="14" s="1"/>
  <c r="P16" i="13"/>
  <c r="M14" i="13"/>
  <c r="P14" i="13" s="1"/>
  <c r="O13" i="13"/>
  <c r="L10" i="13"/>
  <c r="O10" i="13" s="1"/>
  <c r="M37" i="13"/>
  <c r="P20" i="13"/>
  <c r="P24" i="13"/>
  <c r="L414" i="13"/>
  <c r="O414" i="13" s="1"/>
  <c r="O419" i="13"/>
  <c r="O20" i="13"/>
  <c r="L18" i="13"/>
  <c r="O18" i="13" s="1"/>
  <c r="N8" i="13"/>
  <c r="P18" i="13"/>
  <c r="O261" i="13"/>
  <c r="N37" i="13"/>
  <c r="N11" i="13"/>
  <c r="P11" i="13" s="1"/>
  <c r="L11" i="13"/>
  <c r="P9" i="13"/>
  <c r="P13" i="13"/>
  <c r="M10" i="13"/>
  <c r="P10" i="13" s="1"/>
  <c r="L414" i="12"/>
  <c r="O414" i="12" s="1"/>
  <c r="K226" i="13"/>
  <c r="I180" i="13"/>
  <c r="K180" i="13" s="1"/>
  <c r="O9" i="13"/>
  <c r="L37" i="13"/>
  <c r="O21" i="12"/>
  <c r="M37" i="12"/>
  <c r="P132" i="12"/>
  <c r="O298" i="12"/>
  <c r="P298" i="12"/>
  <c r="O41" i="12"/>
  <c r="N37" i="12"/>
  <c r="P41" i="12"/>
  <c r="P21" i="12"/>
  <c r="N18" i="12"/>
  <c r="P18" i="12" s="1"/>
  <c r="P20" i="12"/>
  <c r="P261" i="12"/>
  <c r="O9" i="12"/>
  <c r="N10" i="12"/>
  <c r="P13" i="12"/>
  <c r="N11" i="12"/>
  <c r="P11" i="12" s="1"/>
  <c r="L37" i="12"/>
  <c r="O53" i="12"/>
  <c r="O16" i="12"/>
  <c r="L14" i="12"/>
  <c r="O14" i="12" s="1"/>
  <c r="O261" i="11"/>
  <c r="I180" i="11"/>
  <c r="K180" i="11" s="1"/>
  <c r="L28" i="10"/>
  <c r="O28" i="10" s="1"/>
  <c r="P21" i="9"/>
  <c r="N10" i="11"/>
  <c r="N8" i="11" s="1"/>
  <c r="P20" i="11"/>
  <c r="L28" i="8"/>
  <c r="O28" i="8" s="1"/>
  <c r="O24" i="11"/>
  <c r="N11" i="10"/>
  <c r="O11" i="10" s="1"/>
  <c r="O165" i="11"/>
  <c r="P14" i="10"/>
  <c r="I180" i="10"/>
  <c r="K180" i="10" s="1"/>
  <c r="O181" i="10"/>
  <c r="M18" i="11"/>
  <c r="P18" i="11" s="1"/>
  <c r="P261" i="10"/>
  <c r="N11" i="11"/>
  <c r="P132" i="11"/>
  <c r="O53" i="11"/>
  <c r="L37" i="11"/>
  <c r="P21" i="10"/>
  <c r="P277" i="11"/>
  <c r="M37" i="11"/>
  <c r="O16" i="11"/>
  <c r="L14" i="11"/>
  <c r="O14" i="11" s="1"/>
  <c r="P345" i="11"/>
  <c r="O13" i="11"/>
  <c r="L10" i="11"/>
  <c r="L28" i="11"/>
  <c r="O28" i="11" s="1"/>
  <c r="O20" i="11"/>
  <c r="L18" i="11"/>
  <c r="O18" i="11" s="1"/>
  <c r="O9" i="11"/>
  <c r="P24" i="8"/>
  <c r="O24" i="8"/>
  <c r="O13" i="10"/>
  <c r="P165" i="10"/>
  <c r="N37" i="11"/>
  <c r="O41" i="11"/>
  <c r="P41" i="11"/>
  <c r="P13" i="11"/>
  <c r="M10" i="11"/>
  <c r="M11" i="11"/>
  <c r="L11" i="11"/>
  <c r="P16" i="11"/>
  <c r="M14" i="11"/>
  <c r="P14" i="11" s="1"/>
  <c r="O523" i="11"/>
  <c r="L414" i="11"/>
  <c r="O414" i="11" s="1"/>
  <c r="P20" i="8"/>
  <c r="P277" i="10"/>
  <c r="N37" i="10"/>
  <c r="O20" i="8"/>
  <c r="L10" i="10"/>
  <c r="L8" i="10" s="1"/>
  <c r="O8" i="10" s="1"/>
  <c r="O41" i="10"/>
  <c r="O21" i="9"/>
  <c r="O20" i="10"/>
  <c r="O18" i="10"/>
  <c r="O24" i="10"/>
  <c r="P24" i="10"/>
  <c r="O345" i="9"/>
  <c r="L14" i="10"/>
  <c r="O14" i="10" s="1"/>
  <c r="P20" i="10"/>
  <c r="M18" i="10"/>
  <c r="P18" i="10" s="1"/>
  <c r="O9" i="10"/>
  <c r="L37" i="10"/>
  <c r="L414" i="10"/>
  <c r="O414" i="10" s="1"/>
  <c r="O419" i="10"/>
  <c r="P13" i="10"/>
  <c r="M10" i="10"/>
  <c r="M11" i="10"/>
  <c r="P41" i="10"/>
  <c r="M37" i="10"/>
  <c r="O30" i="9"/>
  <c r="L10" i="8"/>
  <c r="O10" i="8" s="1"/>
  <c r="P261" i="8"/>
  <c r="O18" i="9"/>
  <c r="O16" i="8"/>
  <c r="P11" i="9"/>
  <c r="I180" i="8"/>
  <c r="K180" i="8" s="1"/>
  <c r="O21" i="8"/>
  <c r="P20" i="9"/>
  <c r="P10" i="9"/>
  <c r="O20" i="9"/>
  <c r="M18" i="9"/>
  <c r="P18" i="9" s="1"/>
  <c r="P21" i="7"/>
  <c r="N8" i="8"/>
  <c r="P21" i="8"/>
  <c r="O419" i="9"/>
  <c r="L414" i="9"/>
  <c r="O414" i="9" s="1"/>
  <c r="L37" i="9"/>
  <c r="O24" i="9"/>
  <c r="P24" i="6"/>
  <c r="N11" i="8"/>
  <c r="P11" i="8" s="1"/>
  <c r="P16" i="9"/>
  <c r="M14" i="9"/>
  <c r="P14" i="9" s="1"/>
  <c r="L14" i="9"/>
  <c r="O14" i="9" s="1"/>
  <c r="O16" i="9"/>
  <c r="P9" i="9"/>
  <c r="M8" i="9"/>
  <c r="O13" i="9"/>
  <c r="L10" i="9"/>
  <c r="O10" i="9" s="1"/>
  <c r="P119" i="9"/>
  <c r="M37" i="9"/>
  <c r="L11" i="9"/>
  <c r="O11" i="9" s="1"/>
  <c r="P261" i="9"/>
  <c r="O9" i="9"/>
  <c r="N37" i="9"/>
  <c r="L18" i="8"/>
  <c r="O18" i="8" s="1"/>
  <c r="L414" i="8"/>
  <c r="O414" i="8" s="1"/>
  <c r="O277" i="8"/>
  <c r="P24" i="7"/>
  <c r="L11" i="8"/>
  <c r="O13" i="8"/>
  <c r="O18" i="7"/>
  <c r="P20" i="7"/>
  <c r="P261" i="7"/>
  <c r="N37" i="8"/>
  <c r="O53" i="6"/>
  <c r="O21" i="7"/>
  <c r="M37" i="8"/>
  <c r="P9" i="8"/>
  <c r="L37" i="8"/>
  <c r="M18" i="8"/>
  <c r="P18" i="8" s="1"/>
  <c r="M14" i="8"/>
  <c r="P14" i="8" s="1"/>
  <c r="P16" i="8"/>
  <c r="O9" i="8"/>
  <c r="P13" i="8"/>
  <c r="M10" i="8"/>
  <c r="P10" i="8" s="1"/>
  <c r="O13" i="7"/>
  <c r="O53" i="7"/>
  <c r="O20" i="7"/>
  <c r="O16" i="5"/>
  <c r="N11" i="7"/>
  <c r="P11" i="7" s="1"/>
  <c r="M18" i="7"/>
  <c r="P18" i="7" s="1"/>
  <c r="N14" i="5"/>
  <c r="P14" i="5" s="1"/>
  <c r="N8" i="7"/>
  <c r="O66" i="7"/>
  <c r="L28" i="7"/>
  <c r="O28" i="7" s="1"/>
  <c r="O9" i="7"/>
  <c r="L37" i="7"/>
  <c r="O41" i="7"/>
  <c r="M37" i="7"/>
  <c r="K226" i="7"/>
  <c r="I180" i="7"/>
  <c r="K180" i="7" s="1"/>
  <c r="P13" i="7"/>
  <c r="M10" i="7"/>
  <c r="P10" i="7" s="1"/>
  <c r="O24" i="6"/>
  <c r="P9" i="7"/>
  <c r="L10" i="7"/>
  <c r="O10" i="7" s="1"/>
  <c r="L414" i="7"/>
  <c r="O414" i="7" s="1"/>
  <c r="O419" i="7"/>
  <c r="N37" i="7"/>
  <c r="P41" i="7"/>
  <c r="L14" i="7"/>
  <c r="O14" i="7" s="1"/>
  <c r="M14" i="6"/>
  <c r="P14" i="6" s="1"/>
  <c r="L10" i="6"/>
  <c r="L8" i="6" s="1"/>
  <c r="L37" i="6"/>
  <c r="O165" i="6"/>
  <c r="P328" i="6"/>
  <c r="P21" i="6"/>
  <c r="N10" i="6"/>
  <c r="N8" i="6" s="1"/>
  <c r="O13" i="6"/>
  <c r="N11" i="6"/>
  <c r="O11" i="6" s="1"/>
  <c r="P298" i="6"/>
  <c r="O298" i="6"/>
  <c r="P9" i="6"/>
  <c r="P13" i="5"/>
  <c r="K226" i="6"/>
  <c r="I180" i="6"/>
  <c r="K180" i="6" s="1"/>
  <c r="P13" i="6"/>
  <c r="M10" i="6"/>
  <c r="M11" i="6"/>
  <c r="O41" i="5"/>
  <c r="P20" i="5"/>
  <c r="L414" i="6"/>
  <c r="P20" i="6"/>
  <c r="P18" i="6"/>
  <c r="O18" i="3"/>
  <c r="M10" i="5"/>
  <c r="M8" i="5" s="1"/>
  <c r="O31" i="6"/>
  <c r="N30" i="6"/>
  <c r="N28" i="6" s="1"/>
  <c r="N31" i="6"/>
  <c r="O18" i="6"/>
  <c r="N37" i="6"/>
  <c r="O20" i="6"/>
  <c r="O546" i="6"/>
  <c r="N544" i="6"/>
  <c r="L28" i="6"/>
  <c r="O28" i="6" s="1"/>
  <c r="O16" i="6"/>
  <c r="L14" i="6"/>
  <c r="O14" i="6" s="1"/>
  <c r="P119" i="6"/>
  <c r="M37" i="6"/>
  <c r="L14" i="5"/>
  <c r="O88" i="5"/>
  <c r="N37" i="5"/>
  <c r="O13" i="4"/>
  <c r="P261" i="5"/>
  <c r="O20" i="4"/>
  <c r="P53" i="5"/>
  <c r="K226" i="5"/>
  <c r="I180" i="5"/>
  <c r="K180" i="5" s="1"/>
  <c r="M180" i="5"/>
  <c r="P181" i="5"/>
  <c r="P180" i="5" s="1"/>
  <c r="M37" i="5"/>
  <c r="O30" i="5"/>
  <c r="L37" i="5"/>
  <c r="N10" i="5"/>
  <c r="N8" i="5" s="1"/>
  <c r="N11" i="5"/>
  <c r="O11" i="5" s="1"/>
  <c r="O315" i="4"/>
  <c r="O9" i="5"/>
  <c r="O13" i="5"/>
  <c r="L10" i="5"/>
  <c r="L8" i="5" s="1"/>
  <c r="O181" i="5"/>
  <c r="O180" i="5" s="1"/>
  <c r="L180" i="5"/>
  <c r="P9" i="5"/>
  <c r="O20" i="5"/>
  <c r="N18" i="5"/>
  <c r="P18" i="5" s="1"/>
  <c r="L414" i="5"/>
  <c r="O414" i="5" s="1"/>
  <c r="P53" i="4"/>
  <c r="L10" i="4"/>
  <c r="L8" i="4" s="1"/>
  <c r="M14" i="4"/>
  <c r="P14" i="4" s="1"/>
  <c r="O16" i="4"/>
  <c r="P41" i="4"/>
  <c r="N18" i="4"/>
  <c r="O18" i="4" s="1"/>
  <c r="L28" i="4"/>
  <c r="O28" i="4" s="1"/>
  <c r="P20" i="3"/>
  <c r="N37" i="4"/>
  <c r="O14" i="4"/>
  <c r="P24" i="4"/>
  <c r="O629" i="4"/>
  <c r="L414" i="4"/>
  <c r="P9" i="4"/>
  <c r="M37" i="4"/>
  <c r="O9" i="4"/>
  <c r="P13" i="4"/>
  <c r="M10" i="4"/>
  <c r="N414" i="4"/>
  <c r="O419" i="4"/>
  <c r="M11" i="4"/>
  <c r="M37" i="3"/>
  <c r="P20" i="4"/>
  <c r="M18" i="4"/>
  <c r="N10" i="4"/>
  <c r="N8" i="4" s="1"/>
  <c r="N11" i="4"/>
  <c r="O11" i="4" s="1"/>
  <c r="I180" i="4"/>
  <c r="K180" i="4" s="1"/>
  <c r="K226" i="4"/>
  <c r="L28" i="3"/>
  <c r="O28" i="3" s="1"/>
  <c r="L37" i="4"/>
  <c r="P21" i="4"/>
  <c r="M10" i="3"/>
  <c r="M8" i="3" s="1"/>
  <c r="P41" i="3"/>
  <c r="N10" i="2"/>
  <c r="N8" i="2" s="1"/>
  <c r="O24" i="3"/>
  <c r="P24" i="3"/>
  <c r="N37" i="2"/>
  <c r="N10" i="3"/>
  <c r="L414" i="3"/>
  <c r="O414" i="3" s="1"/>
  <c r="O9" i="3"/>
  <c r="P13" i="3"/>
  <c r="P11" i="3"/>
  <c r="P277" i="3"/>
  <c r="O11" i="3"/>
  <c r="O13" i="3"/>
  <c r="L10" i="3"/>
  <c r="P24" i="2"/>
  <c r="P345" i="2"/>
  <c r="M18" i="3"/>
  <c r="P18" i="3" s="1"/>
  <c r="O21" i="3"/>
  <c r="O20" i="3"/>
  <c r="O16" i="3"/>
  <c r="L14" i="3"/>
  <c r="O14" i="3" s="1"/>
  <c r="K226" i="3"/>
  <c r="I180" i="3"/>
  <c r="K180" i="3" s="1"/>
  <c r="P20" i="2"/>
  <c r="P53" i="3"/>
  <c r="N37" i="3"/>
  <c r="O53" i="3"/>
  <c r="P16" i="3"/>
  <c r="M14" i="3"/>
  <c r="P14" i="3" s="1"/>
  <c r="L37" i="3"/>
  <c r="P9" i="3"/>
  <c r="O24" i="2"/>
  <c r="O165" i="2"/>
  <c r="O20" i="2"/>
  <c r="O53" i="2"/>
  <c r="O11" i="2"/>
  <c r="M18" i="2"/>
  <c r="P18" i="2" s="1"/>
  <c r="K226" i="2"/>
  <c r="I180" i="2"/>
  <c r="K180" i="2" s="1"/>
  <c r="M10" i="2"/>
  <c r="P13" i="2"/>
  <c r="M11" i="2"/>
  <c r="P11" i="2" s="1"/>
  <c r="O13" i="2"/>
  <c r="L10" i="2"/>
  <c r="L8" i="2" s="1"/>
  <c r="P53" i="2"/>
  <c r="M37" i="2"/>
  <c r="L18" i="2"/>
  <c r="O18" i="2" s="1"/>
  <c r="L414" i="2"/>
  <c r="O9" i="2"/>
  <c r="N414" i="2"/>
  <c r="P16" i="2"/>
  <c r="M14" i="2"/>
  <c r="P14" i="2" s="1"/>
  <c r="L37" i="2"/>
  <c r="O41" i="2"/>
  <c r="O16" i="2"/>
  <c r="L14" i="2"/>
  <c r="O14" i="2" s="1"/>
  <c r="K593" i="1"/>
  <c r="P66" i="1"/>
  <c r="O631" i="1"/>
  <c r="O629" i="1"/>
  <c r="O298" i="1"/>
  <c r="P21" i="1"/>
  <c r="O261" i="1"/>
  <c r="O119" i="1"/>
  <c r="O16" i="1"/>
  <c r="P132" i="1"/>
  <c r="N685" i="1"/>
  <c r="O685" i="1" s="1"/>
  <c r="P165" i="1"/>
  <c r="P24" i="1"/>
  <c r="P149" i="1"/>
  <c r="O546" i="1"/>
  <c r="M10" i="1"/>
  <c r="M8" i="1" s="1"/>
  <c r="M11" i="1"/>
  <c r="P11" i="1" s="1"/>
  <c r="M37" i="1"/>
  <c r="P328" i="1"/>
  <c r="O328" i="1"/>
  <c r="N14" i="1"/>
  <c r="P14" i="1" s="1"/>
  <c r="P16" i="1"/>
  <c r="O9" i="1"/>
  <c r="N10" i="1"/>
  <c r="P13" i="1"/>
  <c r="L14" i="1"/>
  <c r="L37" i="1"/>
  <c r="O24" i="1"/>
  <c r="O525" i="1"/>
  <c r="P9" i="1"/>
  <c r="L28" i="1"/>
  <c r="P20" i="1"/>
  <c r="N18" i="1"/>
  <c r="P18" i="1" s="1"/>
  <c r="N444" i="1"/>
  <c r="O446" i="1"/>
  <c r="L10" i="1"/>
  <c r="L8" i="1" s="1"/>
  <c r="O13" i="1"/>
  <c r="L11" i="1"/>
  <c r="O11" i="1" s="1"/>
  <c r="N37" i="1"/>
  <c r="P41" i="1"/>
  <c r="O20" i="1"/>
  <c r="L18" i="1"/>
  <c r="O419" i="1"/>
  <c r="L414" i="1"/>
  <c r="N30" i="1"/>
  <c r="N28" i="1" s="1"/>
  <c r="O33" i="1"/>
  <c r="N31" i="1"/>
  <c r="O31" i="1" s="1"/>
  <c r="P8" i="9" l="1"/>
  <c r="L8" i="15"/>
  <c r="O8" i="15" s="1"/>
  <c r="O10" i="17"/>
  <c r="O37" i="16"/>
  <c r="O37" i="17"/>
  <c r="P14" i="18"/>
  <c r="P37" i="18"/>
  <c r="O10" i="18"/>
  <c r="O37" i="18"/>
  <c r="P37" i="16"/>
  <c r="P11" i="17"/>
  <c r="P10" i="18"/>
  <c r="M8" i="18"/>
  <c r="P8" i="18" s="1"/>
  <c r="P37" i="17"/>
  <c r="L8" i="18"/>
  <c r="O8" i="18" s="1"/>
  <c r="O8" i="17"/>
  <c r="P8" i="17"/>
  <c r="O8" i="16"/>
  <c r="P10" i="16"/>
  <c r="P10" i="17"/>
  <c r="P8" i="16"/>
  <c r="O10" i="16"/>
  <c r="O8" i="14"/>
  <c r="O37" i="14"/>
  <c r="O11" i="16"/>
  <c r="P37" i="14"/>
  <c r="P37" i="15"/>
  <c r="O37" i="15"/>
  <c r="O37" i="12"/>
  <c r="O37" i="13"/>
  <c r="M8" i="13"/>
  <c r="P8" i="13" s="1"/>
  <c r="P37" i="13"/>
  <c r="M8" i="15"/>
  <c r="P8" i="15" s="1"/>
  <c r="P10" i="14"/>
  <c r="P37" i="12"/>
  <c r="O10" i="14"/>
  <c r="P11" i="14"/>
  <c r="M8" i="14"/>
  <c r="P8" i="14" s="1"/>
  <c r="P11" i="11"/>
  <c r="L8" i="13"/>
  <c r="O8" i="13" s="1"/>
  <c r="O18" i="12"/>
  <c r="O11" i="13"/>
  <c r="O11" i="12"/>
  <c r="N8" i="12"/>
  <c r="P8" i="12" s="1"/>
  <c r="P10" i="12"/>
  <c r="O10" i="12"/>
  <c r="P10" i="3"/>
  <c r="O10" i="11"/>
  <c r="O11" i="11"/>
  <c r="P11" i="10"/>
  <c r="P37" i="11"/>
  <c r="O10" i="10"/>
  <c r="O37" i="11"/>
  <c r="L8" i="11"/>
  <c r="O8" i="11" s="1"/>
  <c r="P10" i="11"/>
  <c r="M8" i="11"/>
  <c r="P8" i="11" s="1"/>
  <c r="L8" i="8"/>
  <c r="O8" i="8" s="1"/>
  <c r="P37" i="10"/>
  <c r="L8" i="9"/>
  <c r="O8" i="9" s="1"/>
  <c r="O37" i="10"/>
  <c r="P10" i="10"/>
  <c r="M8" i="10"/>
  <c r="P8" i="10" s="1"/>
  <c r="P37" i="9"/>
  <c r="O37" i="8"/>
  <c r="O37" i="9"/>
  <c r="O11" i="8"/>
  <c r="M8" i="8"/>
  <c r="P8" i="8" s="1"/>
  <c r="P37" i="8"/>
  <c r="O11" i="7"/>
  <c r="O10" i="6"/>
  <c r="O14" i="5"/>
  <c r="M8" i="7"/>
  <c r="P8" i="7" s="1"/>
  <c r="P37" i="7"/>
  <c r="O37" i="7"/>
  <c r="L8" i="7"/>
  <c r="O8" i="7" s="1"/>
  <c r="P10" i="6"/>
  <c r="O37" i="6"/>
  <c r="P11" i="6"/>
  <c r="O8" i="6"/>
  <c r="M8" i="6"/>
  <c r="P8" i="6" s="1"/>
  <c r="O8" i="5"/>
  <c r="O30" i="6"/>
  <c r="P37" i="6"/>
  <c r="O544" i="6"/>
  <c r="N414" i="6"/>
  <c r="O414" i="6"/>
  <c r="P11" i="5"/>
  <c r="O37" i="5"/>
  <c r="P37" i="5"/>
  <c r="P8" i="5"/>
  <c r="O18" i="5"/>
  <c r="O10" i="5"/>
  <c r="P10" i="5"/>
  <c r="P11" i="4"/>
  <c r="P18" i="4"/>
  <c r="P37" i="4"/>
  <c r="O37" i="4"/>
  <c r="P37" i="3"/>
  <c r="O37" i="2"/>
  <c r="P37" i="2"/>
  <c r="O10" i="3"/>
  <c r="P10" i="4"/>
  <c r="M8" i="4"/>
  <c r="P8" i="4" s="1"/>
  <c r="N8" i="3"/>
  <c r="P8" i="3" s="1"/>
  <c r="O414" i="4"/>
  <c r="O10" i="4"/>
  <c r="O8" i="4"/>
  <c r="O8" i="2"/>
  <c r="O10" i="2"/>
  <c r="L8" i="3"/>
  <c r="O37" i="3"/>
  <c r="P10" i="2"/>
  <c r="M8" i="2"/>
  <c r="P8" i="2" s="1"/>
  <c r="O414" i="2"/>
  <c r="P10" i="1"/>
  <c r="P37" i="1"/>
  <c r="O444" i="1"/>
  <c r="N414" i="1"/>
  <c r="O414" i="1" s="1"/>
  <c r="O18" i="1"/>
  <c r="O10" i="1"/>
  <c r="O28" i="1"/>
  <c r="O37" i="1"/>
  <c r="N8" i="1"/>
  <c r="P8" i="1" s="1"/>
  <c r="O30" i="1"/>
  <c r="O14" i="1"/>
  <c r="O8" i="12" l="1"/>
  <c r="O8" i="3"/>
  <c r="O8" i="1"/>
</calcChain>
</file>

<file path=xl/sharedStrings.xml><?xml version="1.0" encoding="utf-8"?>
<sst xmlns="http://schemas.openxmlformats.org/spreadsheetml/2006/main" count="27981" uniqueCount="356">
  <si>
    <t>รายละเอียดแผนงาน/โครงการ ผลผลิต/กิจกรรม ปีงบประมาณ พ.ศ. 2566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</si>
  <si>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</si>
  <si>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</si>
  <si>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</si>
  <si>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</si>
  <si>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</si>
  <si>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</si>
  <si>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</si>
  <si>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</si>
  <si>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</si>
  <si>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</si>
  <si>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</si>
  <si>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</si>
  <si>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</si>
  <si>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</si>
  <si>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</si>
  <si>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</si>
  <si>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</si>
  <si>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</si>
  <si>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</si>
  <si>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</si>
  <si>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</si>
  <si>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</si>
  <si>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</si>
  <si>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</si>
  <si>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</si>
  <si>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</si>
  <si>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</si>
  <si>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</si>
  <si>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</si>
  <si>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</si>
  <si>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</si>
  <si>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</si>
  <si>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</si>
  <si>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</si>
  <si>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</si>
  <si>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</si>
  <si>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</si>
  <si>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</si>
  <si>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</si>
  <si>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</si>
  <si>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</si>
  <si>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</si>
  <si>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</si>
  <si>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</si>
  <si>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</si>
  <si>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</si>
  <si>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</si>
  <si>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</si>
  <si>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</si>
  <si>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</si>
  <si>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</si>
  <si>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</si>
  <si>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</si>
  <si>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</si>
  <si>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</si>
  <si>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</si>
  <si>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</si>
  <si>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</si>
  <si>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</si>
  <si>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</si>
  <si>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</si>
  <si>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</si>
  <si>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</si>
  <si>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</si>
  <si>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</si>
  <si>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</si>
  <si>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</si>
  <si>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</si>
  <si>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</si>
  <si>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</si>
  <si>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</si>
  <si>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</si>
  <si>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</si>
  <si>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</si>
  <si>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</si>
  <si>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</si>
  <si>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</si>
  <si>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</si>
  <si>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</si>
  <si>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</si>
  <si>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</si>
  <si>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</si>
  <si>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</si>
  <si>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</si>
  <si>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</si>
  <si>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</si>
  <si>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</si>
  <si>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</si>
  <si>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</si>
  <si>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</si>
  <si>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</si>
  <si>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</si>
  <si>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</si>
  <si>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</si>
  <si>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</si>
  <si>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</si>
  <si>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</si>
  <si>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</si>
  <si>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</si>
  <si>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</si>
  <si>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</si>
  <si>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</si>
  <si>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</si>
  <si>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</si>
  <si>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</si>
  <si>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</si>
  <si>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</si>
  <si>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</si>
  <si>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</si>
  <si>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</si>
  <si>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</si>
  <si>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</si>
  <si>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</si>
  <si>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</si>
  <si>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</si>
  <si>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</si>
  <si>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</si>
  <si>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</si>
  <si>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</si>
  <si>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</si>
  <si>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</si>
  <si>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</si>
  <si>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</si>
  <si>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</si>
  <si>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</si>
  <si>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</si>
  <si>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</si>
  <si>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</si>
  <si>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</si>
  <si>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</si>
  <si>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</si>
  <si>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</si>
  <si>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</si>
  <si>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</si>
  <si>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</si>
  <si>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</si>
  <si>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</si>
  <si>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</si>
  <si>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</si>
  <si>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</si>
  <si>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</si>
  <si>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</si>
  <si>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</si>
  <si>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</si>
  <si>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</si>
  <si>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</si>
  <si>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</si>
  <si>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</si>
  <si>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</si>
  <si>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</si>
  <si>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</si>
  <si>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</si>
  <si>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</si>
  <si>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</si>
  <si>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</si>
  <si>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</si>
  <si>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</si>
  <si>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</si>
  <si>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</si>
  <si>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</si>
  <si>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</si>
  <si>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</si>
  <si>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</si>
  <si>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</si>
  <si>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</si>
  <si>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</si>
  <si>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</si>
  <si>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</si>
  <si>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</si>
  <si>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t>งานพิพาท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</si>
  <si>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</si>
  <si>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</si>
  <si>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</si>
  <si>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</si>
  <si>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</si>
  <si>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</si>
  <si>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</si>
  <si>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</si>
  <si>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</si>
  <si>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</si>
  <si>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</si>
  <si>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</si>
  <si>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</si>
  <si>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</si>
  <si>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</si>
  <si>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</si>
  <si>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</si>
  <si>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</si>
  <si>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</si>
  <si>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</si>
  <si>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</si>
  <si>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</si>
  <si>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</si>
  <si>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</si>
  <si>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</si>
  <si>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</si>
  <si>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</si>
  <si>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</si>
  <si>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</si>
  <si>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</si>
  <si>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</si>
  <si>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</si>
  <si>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</si>
  <si>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</si>
  <si>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</si>
  <si>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</si>
  <si>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</si>
  <si>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</si>
  <si>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</si>
  <si>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</si>
  <si>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</si>
  <si>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</si>
  <si>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</si>
  <si>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</si>
  <si>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</si>
  <si>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</si>
  <si>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</si>
  <si>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</si>
  <si>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</si>
  <si>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</si>
  <si>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</si>
  <si>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</si>
  <si>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</si>
  <si>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</si>
  <si>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</si>
  <si>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</si>
  <si>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</si>
  <si>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</si>
  <si>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</si>
  <si>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</si>
  <si>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</si>
  <si>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</si>
  <si>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</si>
  <si>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</si>
  <si>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</si>
  <si>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</si>
  <si>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</si>
  <si>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</si>
  <si>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</si>
  <si>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</si>
  <si>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</si>
  <si>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</si>
  <si>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</si>
  <si>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</si>
  <si>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</si>
  <si>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</si>
  <si>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</si>
  <si>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</si>
  <si>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</si>
  <si>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</si>
  <si>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</si>
  <si>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</si>
  <si>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</si>
  <si>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</si>
  <si>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</si>
  <si>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</si>
  <si>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</si>
  <si>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</si>
  <si>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</si>
  <si>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</si>
  <si>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</si>
  <si>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</si>
  <si>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</si>
  <si>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</si>
  <si>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</si>
  <si>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</si>
  <si>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</si>
  <si>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</si>
  <si>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</si>
  <si>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</si>
  <si>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</si>
  <si>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</si>
  <si>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</si>
  <si>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</si>
  <si>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</si>
  <si>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</si>
  <si>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</si>
  <si>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</si>
  <si>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</si>
  <si>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</si>
  <si>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</si>
  <si>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</si>
  <si>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</si>
  <si>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</si>
  <si>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</si>
  <si>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</si>
  <si>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</si>
  <si>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</si>
  <si>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</si>
  <si>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</si>
  <si>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</si>
  <si>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</si>
  <si>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</si>
  <si>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</si>
  <si>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</si>
  <si>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</si>
  <si>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</si>
  <si>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</si>
  <si>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</si>
  <si>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</si>
  <si>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</si>
  <si>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</si>
  <si>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</si>
  <si>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</si>
  <si>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</si>
  <si>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</si>
  <si>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</si>
  <si>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</si>
  <si>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</si>
  <si>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</si>
  <si>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</si>
  <si>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</si>
  <si>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</si>
  <si>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</si>
  <si>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</si>
  <si>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</si>
  <si>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</si>
  <si>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</si>
  <si>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</si>
  <si>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</si>
  <si>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</si>
  <si>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</si>
  <si>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</si>
  <si>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</si>
  <si>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</si>
  <si>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</si>
  <si>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</si>
  <si>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</si>
  <si>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ข้อมูล ณ วันที่ 15 มีนาคม 2566</t>
  </si>
  <si>
    <t>สำนักงานการปฏิรูปที่ดินจังหวัด กำแพงเพชร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</si>
  <si>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</si>
  <si>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</si>
  <si>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</rPr>
      <t>(ใช้ข้อมูลจาก สบท.)</t>
    </r>
  </si>
  <si>
    <t>สำนักงานการปฏิรูปที่ดินจังหวัด เชียงราย</t>
  </si>
  <si>
    <t>สำนักงานการปฏิรูปที่ดินจังหวัด เชียงใหม่</t>
  </si>
  <si>
    <t>(5) โครงการธนาคารอาหารชุมชน (เกษตรวิชญา)</t>
  </si>
  <si>
    <t>สำนักงานการปฏิรูปที่ดินจังหวัด ตาก</t>
  </si>
  <si>
    <t>สำนักงานการปฏิรูปที่ดินจังหวัด นครสวรรค์</t>
  </si>
  <si>
    <t>สำนักงานการปฏิรูปที่ดินจังหวัด น่าน</t>
  </si>
  <si>
    <t>(5) โครงการศูนย์ภูฟ้าฯ</t>
  </si>
  <si>
    <t>(6) โครงการปิดทองหลังพระ</t>
  </si>
  <si>
    <t>สำนักงานการปฏิรูปที่ดินจังหวัด พะเยา</t>
  </si>
  <si>
    <t>(5) โครงการศูนย์เรียนรู้การพัฒนาเกษตรอ่างเก็บน้ำห้วยไฟ</t>
  </si>
  <si>
    <t>สำนักงานการปฏิรูปที่ดินจังหวัด พิจิตร</t>
  </si>
  <si>
    <t>สำนักงานการปฏิรูปที่ดินจังหวัด พิษณุโลก</t>
  </si>
  <si>
    <t>สำนักงานการปฏิรูปที่ดินจังหวัด เพชรบูรณ์</t>
  </si>
  <si>
    <t>สำนักงานการปฏิรูปที่ดินจังหวัด แพร่</t>
  </si>
  <si>
    <t>สำนักงานการปฏิรูปที่ดินจังหวัด แม่ฮ่องสอน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</si>
  <si>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</si>
  <si>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ลำปาง</t>
  </si>
  <si>
    <t>สำนักงานการปฏิรูปที่ดินจังหวัด ลำพูน</t>
  </si>
  <si>
    <t>(5) โครงการพัฒนาพื้นที่ลุ่มน้ำแม่อาวฯ</t>
  </si>
  <si>
    <t>สำนักงานการปฏิรูปที่ดินจังหวัด สุโขทัย</t>
  </si>
  <si>
    <t>สำนักงานการปฏิรูปที่ดินจังหวัด อุตรดิตถ์</t>
  </si>
  <si>
    <t>สำนักงานการปฏิรูปที่ดินจังหวัด อุทัยธานี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</si>
</sst>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5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rgb="FF980000"/>
      <name val="Arial"/>
    </font>
    <font>
      <sz val="10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3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1517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0" fontId="1" fillId="23" borderId="10" xfId="0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0" fontId="2" fillId="0" borderId="10" xfId="0" applyFont="1" applyBorder="1" applyAlignment="1"/>
    <xf numFmtId="0" fontId="14" fillId="0" borderId="10" xfId="0" quotePrefix="1" applyFont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7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38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38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39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0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1" fillId="0" borderId="9" xfId="0" applyNumberFormat="1" applyFont="1" applyBorder="1" applyAlignment="1"/>
    <xf numFmtId="187" fontId="42" fillId="8" borderId="9" xfId="0" applyNumberFormat="1" applyFont="1" applyFill="1" applyBorder="1" applyAlignment="1"/>
    <xf numFmtId="187" fontId="42" fillId="8" borderId="10" xfId="0" applyNumberFormat="1" applyFont="1" applyFill="1" applyBorder="1" applyAlignment="1"/>
    <xf numFmtId="0" fontId="43" fillId="8" borderId="10" xfId="0" applyFont="1" applyFill="1" applyBorder="1" applyAlignment="1"/>
    <xf numFmtId="0" fontId="44" fillId="8" borderId="10" xfId="0" applyFont="1" applyFill="1" applyBorder="1" applyAlignment="1"/>
    <xf numFmtId="0" fontId="42" fillId="8" borderId="10" xfId="0" applyFont="1" applyFill="1" applyBorder="1" applyAlignment="1"/>
    <xf numFmtId="0" fontId="42" fillId="8" borderId="11" xfId="0" applyFont="1" applyFill="1" applyBorder="1" applyAlignment="1"/>
    <xf numFmtId="0" fontId="45" fillId="8" borderId="11" xfId="0" applyFont="1" applyFill="1" applyBorder="1" applyAlignment="1">
      <alignment horizontal="center"/>
    </xf>
    <xf numFmtId="189" fontId="45" fillId="8" borderId="11" xfId="0" applyNumberFormat="1" applyFont="1" applyFill="1" applyBorder="1" applyAlignment="1"/>
    <xf numFmtId="188" fontId="45" fillId="8" borderId="11" xfId="0" applyNumberFormat="1" applyFont="1" applyFill="1" applyBorder="1" applyAlignment="1"/>
    <xf numFmtId="188" fontId="46" fillId="8" borderId="11" xfId="0" applyNumberFormat="1" applyFont="1" applyFill="1" applyBorder="1" applyAlignment="1"/>
    <xf numFmtId="0" fontId="47" fillId="0" borderId="0" xfId="0" applyFont="1"/>
    <xf numFmtId="187" fontId="42" fillId="30" borderId="9" xfId="0" applyNumberFormat="1" applyFont="1" applyFill="1" applyBorder="1" applyAlignment="1"/>
    <xf numFmtId="187" fontId="42" fillId="30" borderId="10" xfId="0" applyNumberFormat="1" applyFont="1" applyFill="1" applyBorder="1" applyAlignment="1"/>
    <xf numFmtId="0" fontId="43" fillId="30" borderId="10" xfId="0" applyFont="1" applyFill="1" applyBorder="1" applyAlignment="1"/>
    <xf numFmtId="0" fontId="43" fillId="30" borderId="10" xfId="0" applyFont="1" applyFill="1" applyBorder="1" applyAlignment="1"/>
    <xf numFmtId="0" fontId="42" fillId="30" borderId="10" xfId="0" applyFont="1" applyFill="1" applyBorder="1" applyAlignment="1"/>
    <xf numFmtId="0" fontId="42" fillId="30" borderId="11" xfId="0" applyFont="1" applyFill="1" applyBorder="1" applyAlignment="1"/>
    <xf numFmtId="0" fontId="45" fillId="30" borderId="11" xfId="0" applyFont="1" applyFill="1" applyBorder="1" applyAlignment="1">
      <alignment horizontal="center"/>
    </xf>
    <xf numFmtId="189" fontId="45" fillId="30" borderId="11" xfId="0" applyNumberFormat="1" applyFont="1" applyFill="1" applyBorder="1" applyAlignment="1"/>
    <xf numFmtId="189" fontId="45" fillId="30" borderId="11" xfId="0" applyNumberFormat="1" applyFont="1" applyFill="1" applyBorder="1" applyAlignment="1"/>
    <xf numFmtId="188" fontId="45" fillId="30" borderId="11" xfId="0" applyNumberFormat="1" applyFont="1" applyFill="1" applyBorder="1" applyAlignment="1"/>
    <xf numFmtId="188" fontId="46" fillId="30" borderId="11" xfId="0" applyNumberFormat="1" applyFont="1" applyFill="1" applyBorder="1" applyAlignment="1"/>
    <xf numFmtId="0" fontId="48" fillId="30" borderId="10" xfId="0" applyFont="1" applyFill="1" applyBorder="1" applyAlignment="1"/>
    <xf numFmtId="0" fontId="46" fillId="30" borderId="11" xfId="0" applyFont="1" applyFill="1" applyBorder="1" applyAlignment="1"/>
    <xf numFmtId="189" fontId="46" fillId="30" borderId="11" xfId="0" applyNumberFormat="1" applyFont="1" applyFill="1" applyBorder="1" applyAlignment="1"/>
    <xf numFmtId="41" fontId="45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49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0" fontId="7" fillId="0" borderId="10" xfId="0" applyFont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187" fontId="7" fillId="2" borderId="10" xfId="0" applyNumberFormat="1" applyFont="1" applyFill="1" applyBorder="1" applyAlignment="1"/>
    <xf numFmtId="0" fontId="51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3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4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0" fontId="9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5" fillId="2" borderId="11" xfId="0" applyFont="1" applyFill="1" applyBorder="1" applyAlignment="1"/>
    <xf numFmtId="187" fontId="56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58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59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0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1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3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4" fillId="2" borderId="10" xfId="0" applyFont="1" applyFill="1" applyBorder="1" applyAlignment="1"/>
    <xf numFmtId="0" fontId="9" fillId="2" borderId="10" xfId="0" applyFont="1" applyFill="1" applyBorder="1" applyAlignment="1"/>
    <xf numFmtId="0" fontId="65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1" fillId="2" borderId="10" xfId="0" applyFont="1" applyFill="1" applyBorder="1" applyAlignment="1"/>
    <xf numFmtId="0" fontId="4" fillId="0" borderId="5" xfId="0" applyFont="1" applyBorder="1" applyAlignment="1"/>
    <xf numFmtId="0" fontId="66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67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68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3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187" fontId="4" fillId="0" borderId="11" xfId="0" applyNumberFormat="1" applyFont="1" applyBorder="1" applyAlignment="1">
      <alignment horizontal="center" wrapText="1"/>
    </xf>
    <xf numFmtId="187" fontId="32" fillId="0" borderId="9" xfId="0" applyNumberFormat="1" applyFont="1" applyBorder="1" applyAlignment="1"/>
    <xf numFmtId="187" fontId="32" fillId="0" borderId="10" xfId="0" applyNumberFormat="1" applyFont="1" applyBorder="1" applyAlignment="1"/>
    <xf numFmtId="0" fontId="32" fillId="0" borderId="10" xfId="0" applyFont="1" applyBorder="1" applyAlignment="1"/>
    <xf numFmtId="0" fontId="32" fillId="0" borderId="10" xfId="0" applyFont="1" applyBorder="1" applyAlignment="1"/>
    <xf numFmtId="0" fontId="32" fillId="0" borderId="11" xfId="0" applyFont="1" applyBorder="1" applyAlignment="1">
      <alignment horizontal="center" wrapText="1"/>
    </xf>
    <xf numFmtId="0" fontId="32" fillId="0" borderId="0" xfId="0" applyFont="1" applyAlignment="1"/>
    <xf numFmtId="187" fontId="9" fillId="38" borderId="10" xfId="0" applyNumberFormat="1" applyFont="1" applyFill="1" applyBorder="1" applyAlignment="1"/>
    <xf numFmtId="187" fontId="70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0" fillId="0" borderId="0" xfId="0"/>
    <xf numFmtId="0" fontId="2" fillId="2" borderId="1" xfId="0" applyFont="1" applyFill="1" applyBorder="1"/>
    <xf numFmtId="187" fontId="2" fillId="2" borderId="1" xfId="0" applyNumberFormat="1" applyFont="1" applyFill="1" applyBorder="1"/>
    <xf numFmtId="188" fontId="2" fillId="2" borderId="1" xfId="0" applyNumberFormat="1" applyFont="1" applyFill="1" applyBorder="1"/>
    <xf numFmtId="0" fontId="4" fillId="8" borderId="4" xfId="0" applyFont="1" applyFill="1" applyBorder="1"/>
    <xf numFmtId="189" fontId="4" fillId="8" borderId="4" xfId="0" applyNumberFormat="1" applyFont="1" applyFill="1" applyBorder="1"/>
    <xf numFmtId="188" fontId="4" fillId="8" borderId="4" xfId="0" applyNumberFormat="1" applyFont="1" applyFill="1" applyBorder="1"/>
    <xf numFmtId="0" fontId="2" fillId="9" borderId="6" xfId="0" applyFont="1" applyFill="1" applyBorder="1"/>
    <xf numFmtId="0" fontId="2" fillId="9" borderId="7" xfId="0" applyFont="1" applyFill="1" applyBorder="1"/>
    <xf numFmtId="0" fontId="1" fillId="9" borderId="7" xfId="0" applyFont="1" applyFill="1" applyBorder="1"/>
    <xf numFmtId="0" fontId="5" fillId="9" borderId="7" xfId="0" applyFont="1" applyFill="1" applyBorder="1"/>
    <xf numFmtId="0" fontId="2" fillId="9" borderId="8" xfId="0" applyFont="1" applyFill="1" applyBorder="1"/>
    <xf numFmtId="189" fontId="4" fillId="9" borderId="8" xfId="0" applyNumberFormat="1" applyFont="1" applyFill="1" applyBorder="1"/>
    <xf numFmtId="188" fontId="4" fillId="9" borderId="8" xfId="0" applyNumberFormat="1" applyFont="1" applyFill="1" applyBorder="1"/>
    <xf numFmtId="188" fontId="6" fillId="9" borderId="8" xfId="0" applyNumberFormat="1" applyFont="1" applyFill="1" applyBorder="1"/>
    <xf numFmtId="0" fontId="2" fillId="0" borderId="0" xfId="0" applyFont="1"/>
    <xf numFmtId="0" fontId="7" fillId="9" borderId="9" xfId="0" applyFont="1" applyFill="1" applyBorder="1"/>
    <xf numFmtId="0" fontId="7" fillId="9" borderId="10" xfId="0" applyFont="1" applyFill="1" applyBorder="1"/>
    <xf numFmtId="0" fontId="8" fillId="9" borderId="10" xfId="0" applyFont="1" applyFill="1" applyBorder="1"/>
    <xf numFmtId="0" fontId="7" fillId="9" borderId="11" xfId="0" applyFont="1" applyFill="1" applyBorder="1"/>
    <xf numFmtId="189" fontId="9" fillId="9" borderId="11" xfId="0" applyNumberFormat="1" applyFont="1" applyFill="1" applyBorder="1"/>
    <xf numFmtId="188" fontId="9" fillId="9" borderId="11" xfId="0" applyNumberFormat="1" applyFont="1" applyFill="1" applyBorder="1"/>
    <xf numFmtId="0" fontId="7" fillId="0" borderId="0" xfId="0" applyFont="1"/>
    <xf numFmtId="0" fontId="2" fillId="2" borderId="9" xfId="0" applyFont="1" applyFill="1" applyBorder="1"/>
    <xf numFmtId="0" fontId="2" fillId="2" borderId="10" xfId="0" applyFont="1" applyFill="1" applyBorder="1"/>
    <xf numFmtId="0" fontId="10" fillId="2" borderId="10" xfId="0" applyFont="1" applyFill="1" applyBorder="1"/>
    <xf numFmtId="0" fontId="2" fillId="2" borderId="11" xfId="0" applyFont="1" applyFill="1" applyBorder="1"/>
    <xf numFmtId="189" fontId="4" fillId="2" borderId="11" xfId="0" applyNumberFormat="1" applyFont="1" applyFill="1" applyBorder="1"/>
    <xf numFmtId="188" fontId="4" fillId="2" borderId="11" xfId="0" applyNumberFormat="1" applyFont="1" applyFill="1" applyBorder="1"/>
    <xf numFmtId="0" fontId="7" fillId="2" borderId="9" xfId="0" applyFont="1" applyFill="1" applyBorder="1"/>
    <xf numFmtId="0" fontId="7" fillId="2" borderId="10" xfId="0" applyFont="1" applyFill="1" applyBorder="1"/>
    <xf numFmtId="0" fontId="8" fillId="2" borderId="10" xfId="0" applyFont="1" applyFill="1" applyBorder="1"/>
    <xf numFmtId="0" fontId="7" fillId="2" borderId="11" xfId="0" applyFont="1" applyFill="1" applyBorder="1"/>
    <xf numFmtId="189" fontId="9" fillId="2" borderId="11" xfId="0" applyNumberFormat="1" applyFont="1" applyFill="1" applyBorder="1"/>
    <xf numFmtId="188" fontId="9" fillId="2" borderId="11" xfId="0" applyNumberFormat="1" applyFont="1" applyFill="1" applyBorder="1"/>
    <xf numFmtId="0" fontId="7" fillId="2" borderId="5" xfId="0" applyFont="1" applyFill="1" applyBorder="1"/>
    <xf numFmtId="0" fontId="7" fillId="2" borderId="1" xfId="0" applyFont="1" applyFill="1" applyBorder="1"/>
    <xf numFmtId="0" fontId="8" fillId="2" borderId="1" xfId="0" applyFont="1" applyFill="1" applyBorder="1"/>
    <xf numFmtId="0" fontId="8" fillId="2" borderId="4" xfId="0" applyFont="1" applyFill="1" applyBorder="1"/>
    <xf numFmtId="189" fontId="9" fillId="2" borderId="4" xfId="0" applyNumberFormat="1" applyFont="1" applyFill="1" applyBorder="1"/>
    <xf numFmtId="188" fontId="9" fillId="2" borderId="4" xfId="0" applyNumberFormat="1" applyFont="1" applyFill="1" applyBorder="1"/>
    <xf numFmtId="0" fontId="1" fillId="41" borderId="5" xfId="0" applyFont="1" applyFill="1" applyBorder="1"/>
    <xf numFmtId="0" fontId="2" fillId="41" borderId="1" xfId="0" applyFont="1" applyFill="1" applyBorder="1"/>
    <xf numFmtId="0" fontId="2" fillId="41" borderId="4" xfId="0" applyFont="1" applyFill="1" applyBorder="1"/>
    <xf numFmtId="0" fontId="4" fillId="41" borderId="4" xfId="0" applyFont="1" applyFill="1" applyBorder="1"/>
    <xf numFmtId="189" fontId="4" fillId="41" borderId="4" xfId="0" applyNumberFormat="1" applyFont="1" applyFill="1" applyBorder="1"/>
    <xf numFmtId="188" fontId="4" fillId="41" borderId="4" xfId="0" applyNumberFormat="1" applyFont="1" applyFill="1" applyBorder="1"/>
    <xf numFmtId="188" fontId="6" fillId="41" borderId="4" xfId="0" applyNumberFormat="1" applyFont="1" applyFill="1" applyBorder="1"/>
    <xf numFmtId="0" fontId="1" fillId="11" borderId="5" xfId="0" applyFont="1" applyFill="1" applyBorder="1"/>
    <xf numFmtId="0" fontId="2" fillId="11" borderId="1" xfId="0" applyFont="1" applyFill="1" applyBorder="1"/>
    <xf numFmtId="0" fontId="2" fillId="11" borderId="4" xfId="0" applyFont="1" applyFill="1" applyBorder="1"/>
    <xf numFmtId="0" fontId="4" fillId="11" borderId="4" xfId="0" applyFont="1" applyFill="1" applyBorder="1"/>
    <xf numFmtId="189" fontId="4" fillId="11" borderId="4" xfId="0" applyNumberFormat="1" applyFont="1" applyFill="1" applyBorder="1"/>
    <xf numFmtId="188" fontId="4" fillId="11" borderId="4" xfId="0" applyNumberFormat="1" applyFont="1" applyFill="1" applyBorder="1"/>
    <xf numFmtId="0" fontId="2" fillId="12" borderId="9" xfId="0" applyFont="1" applyFill="1" applyBorder="1"/>
    <xf numFmtId="0" fontId="1" fillId="12" borderId="10" xfId="0" applyFont="1" applyFill="1" applyBorder="1"/>
    <xf numFmtId="0" fontId="2" fillId="12" borderId="10" xfId="0" applyFont="1" applyFill="1" applyBorder="1"/>
    <xf numFmtId="0" fontId="2" fillId="12" borderId="11" xfId="0" applyFont="1" applyFill="1" applyBorder="1"/>
    <xf numFmtId="0" fontId="4" fillId="12" borderId="11" xfId="0" applyFont="1" applyFill="1" applyBorder="1"/>
    <xf numFmtId="189" fontId="4" fillId="12" borderId="11" xfId="0" applyNumberFormat="1" applyFont="1" applyFill="1" applyBorder="1"/>
    <xf numFmtId="188" fontId="4" fillId="12" borderId="11" xfId="0" applyNumberFormat="1" applyFont="1" applyFill="1" applyBorder="1"/>
    <xf numFmtId="0" fontId="2" fillId="13" borderId="9" xfId="0" applyFont="1" applyFill="1" applyBorder="1"/>
    <xf numFmtId="0" fontId="4" fillId="13" borderId="11" xfId="0" applyFont="1" applyFill="1" applyBorder="1"/>
    <xf numFmtId="189" fontId="4" fillId="13" borderId="11" xfId="0" applyNumberFormat="1" applyFont="1" applyFill="1" applyBorder="1"/>
    <xf numFmtId="188" fontId="4" fillId="13" borderId="11" xfId="0" applyNumberFormat="1" applyFont="1" applyFill="1" applyBorder="1"/>
    <xf numFmtId="0" fontId="2" fillId="14" borderId="12" xfId="0" applyFont="1" applyFill="1" applyBorder="1"/>
    <xf numFmtId="0" fontId="2" fillId="14" borderId="13" xfId="0" applyFont="1" applyFill="1" applyBorder="1"/>
    <xf numFmtId="0" fontId="1" fillId="14" borderId="13" xfId="0" applyFont="1" applyFill="1" applyBorder="1"/>
    <xf numFmtId="0" fontId="5" fillId="14" borderId="13" xfId="0" applyFont="1" applyFill="1" applyBorder="1"/>
    <xf numFmtId="0" fontId="2" fillId="14" borderId="14" xfId="0" applyFont="1" applyFill="1" applyBorder="1"/>
    <xf numFmtId="189" fontId="4" fillId="14" borderId="14" xfId="0" applyNumberFormat="1" applyFont="1" applyFill="1" applyBorder="1"/>
    <xf numFmtId="188" fontId="4" fillId="14" borderId="14" xfId="0" applyNumberFormat="1" applyFont="1" applyFill="1" applyBorder="1"/>
    <xf numFmtId="188" fontId="6" fillId="14" borderId="14" xfId="0" applyNumberFormat="1" applyFont="1" applyFill="1" applyBorder="1"/>
    <xf numFmtId="0" fontId="7" fillId="14" borderId="9" xfId="0" applyFont="1" applyFill="1" applyBorder="1"/>
    <xf numFmtId="0" fontId="7" fillId="14" borderId="10" xfId="0" applyFont="1" applyFill="1" applyBorder="1"/>
    <xf numFmtId="0" fontId="8" fillId="14" borderId="10" xfId="0" applyFont="1" applyFill="1" applyBorder="1"/>
    <xf numFmtId="0" fontId="8" fillId="14" borderId="11" xfId="0" applyFont="1" applyFill="1" applyBorder="1"/>
    <xf numFmtId="189" fontId="9" fillId="14" borderId="11" xfId="0" applyNumberFormat="1" applyFont="1" applyFill="1" applyBorder="1"/>
    <xf numFmtId="188" fontId="9" fillId="14" borderId="11" xfId="0" applyNumberFormat="1" applyFont="1" applyFill="1" applyBorder="1"/>
    <xf numFmtId="0" fontId="4" fillId="15" borderId="4" xfId="0" applyFont="1" applyFill="1" applyBorder="1"/>
    <xf numFmtId="189" fontId="4" fillId="15" borderId="4" xfId="0" applyNumberFormat="1" applyFont="1" applyFill="1" applyBorder="1"/>
    <xf numFmtId="188" fontId="4" fillId="15" borderId="4" xfId="0" applyNumberFormat="1" applyFont="1" applyFill="1" applyBorder="1"/>
    <xf numFmtId="0" fontId="2" fillId="16" borderId="9" xfId="0" applyFont="1" applyFill="1" applyBorder="1"/>
    <xf numFmtId="0" fontId="4" fillId="16" borderId="11" xfId="0" applyFont="1" applyFill="1" applyBorder="1"/>
    <xf numFmtId="189" fontId="4" fillId="16" borderId="11" xfId="0" applyNumberFormat="1" applyFont="1" applyFill="1" applyBorder="1"/>
    <xf numFmtId="188" fontId="4" fillId="16" borderId="11" xfId="0" applyNumberFormat="1" applyFont="1" applyFill="1" applyBorder="1"/>
    <xf numFmtId="0" fontId="2" fillId="17" borderId="9" xfId="0" applyFont="1" applyFill="1" applyBorder="1"/>
    <xf numFmtId="0" fontId="1" fillId="17" borderId="10" xfId="0" applyFont="1" applyFill="1" applyBorder="1"/>
    <xf numFmtId="0" fontId="2" fillId="17" borderId="10" xfId="0" applyFont="1" applyFill="1" applyBorder="1"/>
    <xf numFmtId="0" fontId="2" fillId="17" borderId="11" xfId="0" applyFont="1" applyFill="1" applyBorder="1"/>
    <xf numFmtId="0" fontId="4" fillId="17" borderId="11" xfId="0" applyFont="1" applyFill="1" applyBorder="1"/>
    <xf numFmtId="189" fontId="4" fillId="17" borderId="11" xfId="0" applyNumberFormat="1" applyFont="1" applyFill="1" applyBorder="1"/>
    <xf numFmtId="188" fontId="4" fillId="17" borderId="11" xfId="0" applyNumberFormat="1" applyFont="1" applyFill="1" applyBorder="1"/>
    <xf numFmtId="0" fontId="2" fillId="18" borderId="12" xfId="0" applyFont="1" applyFill="1" applyBorder="1"/>
    <xf numFmtId="0" fontId="2" fillId="18" borderId="13" xfId="0" applyFont="1" applyFill="1" applyBorder="1"/>
    <xf numFmtId="0" fontId="1" fillId="18" borderId="13" xfId="0" applyFont="1" applyFill="1" applyBorder="1"/>
    <xf numFmtId="0" fontId="5" fillId="18" borderId="13" xfId="0" applyFont="1" applyFill="1" applyBorder="1"/>
    <xf numFmtId="0" fontId="2" fillId="18" borderId="14" xfId="0" applyFont="1" applyFill="1" applyBorder="1"/>
    <xf numFmtId="189" fontId="4" fillId="18" borderId="14" xfId="0" applyNumberFormat="1" applyFont="1" applyFill="1" applyBorder="1"/>
    <xf numFmtId="188" fontId="4" fillId="18" borderId="14" xfId="0" applyNumberFormat="1" applyFont="1" applyFill="1" applyBorder="1"/>
    <xf numFmtId="188" fontId="6" fillId="18" borderId="14" xfId="0" applyNumberFormat="1" applyFont="1" applyFill="1" applyBorder="1"/>
    <xf numFmtId="0" fontId="7" fillId="18" borderId="9" xfId="0" applyFont="1" applyFill="1" applyBorder="1"/>
    <xf numFmtId="0" fontId="7" fillId="18" borderId="10" xfId="0" applyFont="1" applyFill="1" applyBorder="1"/>
    <xf numFmtId="0" fontId="8" fillId="18" borderId="10" xfId="0" applyFont="1" applyFill="1" applyBorder="1"/>
    <xf numFmtId="0" fontId="8" fillId="18" borderId="11" xfId="0" applyFont="1" applyFill="1" applyBorder="1"/>
    <xf numFmtId="189" fontId="9" fillId="18" borderId="11" xfId="0" applyNumberFormat="1" applyFont="1" applyFill="1" applyBorder="1"/>
    <xf numFmtId="188" fontId="9" fillId="18" borderId="11" xfId="0" applyNumberFormat="1" applyFont="1" applyFill="1" applyBorder="1"/>
    <xf numFmtId="187" fontId="1" fillId="19" borderId="5" xfId="0" applyNumberFormat="1" applyFont="1" applyFill="1" applyBorder="1"/>
    <xf numFmtId="187" fontId="2" fillId="19" borderId="1" xfId="0" applyNumberFormat="1" applyFont="1" applyFill="1" applyBorder="1"/>
    <xf numFmtId="0" fontId="2" fillId="19" borderId="1" xfId="0" applyFont="1" applyFill="1" applyBorder="1"/>
    <xf numFmtId="0" fontId="2" fillId="19" borderId="4" xfId="0" applyFont="1" applyFill="1" applyBorder="1"/>
    <xf numFmtId="0" fontId="4" fillId="19" borderId="4" xfId="0" applyFont="1" applyFill="1" applyBorder="1"/>
    <xf numFmtId="189" fontId="4" fillId="19" borderId="4" xfId="0" applyNumberFormat="1" applyFont="1" applyFill="1" applyBorder="1"/>
    <xf numFmtId="188" fontId="4" fillId="19" borderId="4" xfId="0" applyNumberFormat="1" applyFont="1" applyFill="1" applyBorder="1"/>
    <xf numFmtId="187" fontId="1" fillId="20" borderId="9" xfId="0" applyNumberFormat="1" applyFont="1" applyFill="1" applyBorder="1"/>
    <xf numFmtId="0" fontId="2" fillId="20" borderId="10" xfId="0" applyFont="1" applyFill="1" applyBorder="1"/>
    <xf numFmtId="187" fontId="2" fillId="20" borderId="10" xfId="0" applyNumberFormat="1" applyFont="1" applyFill="1" applyBorder="1"/>
    <xf numFmtId="0" fontId="2" fillId="20" borderId="11" xfId="0" applyFont="1" applyFill="1" applyBorder="1"/>
    <xf numFmtId="0" fontId="4" fillId="20" borderId="11" xfId="0" applyFont="1" applyFill="1" applyBorder="1"/>
    <xf numFmtId="189" fontId="4" fillId="20" borderId="11" xfId="0" applyNumberFormat="1" applyFont="1" applyFill="1" applyBorder="1"/>
    <xf numFmtId="188" fontId="4" fillId="20" borderId="11" xfId="0" applyNumberFormat="1" applyFont="1" applyFill="1" applyBorder="1"/>
    <xf numFmtId="190" fontId="2" fillId="9" borderId="9" xfId="0" applyNumberFormat="1" applyFont="1" applyFill="1" applyBorder="1"/>
    <xf numFmtId="0" fontId="1" fillId="9" borderId="10" xfId="0" applyFont="1" applyFill="1" applyBorder="1"/>
    <xf numFmtId="0" fontId="2" fillId="9" borderId="10" xfId="0" applyFont="1" applyFill="1" applyBorder="1"/>
    <xf numFmtId="187" fontId="2" fillId="9" borderId="10" xfId="0" applyNumberFormat="1" applyFont="1" applyFill="1" applyBorder="1"/>
    <xf numFmtId="0" fontId="2" fillId="9" borderId="11" xfId="0" applyFont="1" applyFill="1" applyBorder="1"/>
    <xf numFmtId="189" fontId="6" fillId="9" borderId="11" xfId="0" applyNumberFormat="1" applyFont="1" applyFill="1" applyBorder="1"/>
    <xf numFmtId="188" fontId="6" fillId="9" borderId="11" xfId="0" applyNumberFormat="1" applyFont="1" applyFill="1" applyBorder="1"/>
    <xf numFmtId="188" fontId="4" fillId="9" borderId="11" xfId="0" applyNumberFormat="1" applyFont="1" applyFill="1" applyBorder="1"/>
    <xf numFmtId="190" fontId="2" fillId="2" borderId="12" xfId="0" applyNumberFormat="1" applyFont="1" applyFill="1" applyBorder="1"/>
    <xf numFmtId="0" fontId="2" fillId="2" borderId="13" xfId="0" applyFont="1" applyFill="1" applyBorder="1"/>
    <xf numFmtId="0" fontId="1" fillId="2" borderId="13" xfId="0" applyFont="1" applyFill="1" applyBorder="1"/>
    <xf numFmtId="0" fontId="5" fillId="2" borderId="13" xfId="0" applyFont="1" applyFill="1" applyBorder="1"/>
    <xf numFmtId="0" fontId="2" fillId="2" borderId="14" xfId="0" applyFont="1" applyFill="1" applyBorder="1"/>
    <xf numFmtId="189" fontId="4" fillId="2" borderId="14" xfId="0" applyNumberFormat="1" applyFont="1" applyFill="1" applyBorder="1"/>
    <xf numFmtId="188" fontId="4" fillId="2" borderId="14" xfId="0" applyNumberFormat="1" applyFont="1" applyFill="1" applyBorder="1"/>
    <xf numFmtId="188" fontId="6" fillId="2" borderId="14" xfId="0" applyNumberFormat="1" applyFont="1" applyFill="1" applyBorder="1"/>
    <xf numFmtId="190" fontId="7" fillId="2" borderId="9" xfId="0" applyNumberFormat="1" applyFont="1" applyFill="1" applyBorder="1"/>
    <xf numFmtId="0" fontId="8" fillId="2" borderId="11" xfId="0" applyFont="1" applyFill="1" applyBorder="1"/>
    <xf numFmtId="190" fontId="2" fillId="2" borderId="9" xfId="0" applyNumberFormat="1" applyFont="1" applyFill="1" applyBorder="1"/>
    <xf numFmtId="0" fontId="14" fillId="2" borderId="10" xfId="0" applyFont="1" applyFill="1" applyBorder="1"/>
    <xf numFmtId="189" fontId="4" fillId="0" borderId="11" xfId="0" applyNumberFormat="1" applyFont="1" applyBorder="1"/>
    <xf numFmtId="188" fontId="4" fillId="0" borderId="11" xfId="0" applyNumberFormat="1" applyFont="1" applyBorder="1"/>
    <xf numFmtId="0" fontId="15" fillId="2" borderId="10" xfId="0" applyFont="1" applyFill="1" applyBorder="1"/>
    <xf numFmtId="189" fontId="9" fillId="0" borderId="11" xfId="0" applyNumberFormat="1" applyFont="1" applyBorder="1"/>
    <xf numFmtId="188" fontId="9" fillId="0" borderId="11" xfId="0" applyNumberFormat="1" applyFont="1" applyBorder="1"/>
    <xf numFmtId="187" fontId="2" fillId="0" borderId="9" xfId="0" applyNumberFormat="1" applyFont="1" applyBorder="1"/>
    <xf numFmtId="187" fontId="2" fillId="0" borderId="10" xfId="0" applyNumberFormat="1" applyFont="1" applyBorder="1"/>
    <xf numFmtId="0" fontId="5" fillId="21" borderId="10" xfId="0" quotePrefix="1" applyFont="1" applyFill="1" applyBorder="1"/>
    <xf numFmtId="0" fontId="2" fillId="21" borderId="10" xfId="0" applyFont="1" applyFill="1" applyBorder="1"/>
    <xf numFmtId="0" fontId="2" fillId="21" borderId="11" xfId="0" applyFont="1" applyFill="1" applyBorder="1"/>
    <xf numFmtId="0" fontId="4" fillId="0" borderId="11" xfId="0" applyFont="1" applyBorder="1"/>
    <xf numFmtId="0" fontId="14" fillId="0" borderId="10" xfId="0" quotePrefix="1" applyFont="1" applyBorder="1"/>
    <xf numFmtId="0" fontId="14" fillId="0" borderId="10" xfId="0" applyFont="1" applyBorder="1"/>
    <xf numFmtId="0" fontId="2" fillId="0" borderId="10" xfId="0" applyFont="1" applyBorder="1"/>
    <xf numFmtId="0" fontId="2" fillId="0" borderId="11" xfId="0" applyFont="1" applyBorder="1"/>
    <xf numFmtId="189" fontId="4" fillId="10" borderId="11" xfId="0" applyNumberFormat="1" applyFont="1" applyFill="1" applyBorder="1"/>
    <xf numFmtId="0" fontId="1" fillId="0" borderId="10" xfId="0" applyFont="1" applyBorder="1"/>
    <xf numFmtId="0" fontId="4" fillId="0" borderId="10" xfId="0" applyFont="1" applyBorder="1"/>
    <xf numFmtId="0" fontId="17" fillId="0" borderId="10" xfId="0" applyFont="1" applyBorder="1"/>
    <xf numFmtId="0" fontId="4" fillId="2" borderId="11" xfId="0" applyFont="1" applyFill="1" applyBorder="1"/>
    <xf numFmtId="0" fontId="18" fillId="0" borderId="10" xfId="0" applyFont="1" applyBorder="1"/>
    <xf numFmtId="189" fontId="6" fillId="0" borderId="11" xfId="0" applyNumberFormat="1" applyFont="1" applyBorder="1"/>
    <xf numFmtId="189" fontId="6" fillId="2" borderId="11" xfId="0" applyNumberFormat="1" applyFont="1" applyFill="1" applyBorder="1"/>
    <xf numFmtId="188" fontId="6" fillId="2" borderId="11" xfId="0" applyNumberFormat="1" applyFont="1" applyFill="1" applyBorder="1"/>
    <xf numFmtId="0" fontId="14" fillId="0" borderId="13" xfId="0" applyFont="1" applyBorder="1"/>
    <xf numFmtId="190" fontId="2" fillId="20" borderId="10" xfId="0" applyNumberFormat="1" applyFont="1" applyFill="1" applyBorder="1"/>
    <xf numFmtId="0" fontId="4" fillId="20" borderId="10" xfId="0" applyFont="1" applyFill="1" applyBorder="1"/>
    <xf numFmtId="189" fontId="4" fillId="20" borderId="10" xfId="0" applyNumberFormat="1" applyFont="1" applyFill="1" applyBorder="1"/>
    <xf numFmtId="188" fontId="4" fillId="20" borderId="10" xfId="0" applyNumberFormat="1" applyFont="1" applyFill="1" applyBorder="1"/>
    <xf numFmtId="190" fontId="2" fillId="9" borderId="10" xfId="0" applyNumberFormat="1" applyFont="1" applyFill="1" applyBorder="1"/>
    <xf numFmtId="189" fontId="4" fillId="9" borderId="11" xfId="0" applyNumberFormat="1" applyFont="1" applyFill="1" applyBorder="1"/>
    <xf numFmtId="190" fontId="1" fillId="9" borderId="10" xfId="0" applyNumberFormat="1" applyFont="1" applyFill="1" applyBorder="1"/>
    <xf numFmtId="0" fontId="1" fillId="2" borderId="10" xfId="0" applyFont="1" applyFill="1" applyBorder="1"/>
    <xf numFmtId="0" fontId="14" fillId="2" borderId="11" xfId="0" applyFont="1" applyFill="1" applyBorder="1"/>
    <xf numFmtId="190" fontId="20" fillId="9" borderId="9" xfId="0" applyNumberFormat="1" applyFont="1" applyFill="1" applyBorder="1"/>
    <xf numFmtId="0" fontId="5" fillId="9" borderId="10" xfId="0" applyFont="1" applyFill="1" applyBorder="1"/>
    <xf numFmtId="0" fontId="20" fillId="9" borderId="10" xfId="0" applyFont="1" applyFill="1" applyBorder="1"/>
    <xf numFmtId="0" fontId="1" fillId="9" borderId="11" xfId="0" applyFont="1" applyFill="1" applyBorder="1"/>
    <xf numFmtId="0" fontId="23" fillId="2" borderId="10" xfId="0" applyFont="1" applyFill="1" applyBorder="1"/>
    <xf numFmtId="190" fontId="7" fillId="2" borderId="17" xfId="0" applyNumberFormat="1" applyFont="1" applyFill="1" applyBorder="1"/>
    <xf numFmtId="0" fontId="7" fillId="2" borderId="18" xfId="0" applyFont="1" applyFill="1" applyBorder="1"/>
    <xf numFmtId="0" fontId="15" fillId="2" borderId="18" xfId="0" applyFont="1" applyFill="1" applyBorder="1"/>
    <xf numFmtId="0" fontId="8" fillId="2" borderId="18" xfId="0" applyFont="1" applyFill="1" applyBorder="1"/>
    <xf numFmtId="0" fontId="23" fillId="2" borderId="18" xfId="0" applyFont="1" applyFill="1" applyBorder="1"/>
    <xf numFmtId="0" fontId="8" fillId="2" borderId="19" xfId="0" applyFont="1" applyFill="1" applyBorder="1"/>
    <xf numFmtId="189" fontId="9" fillId="2" borderId="19" xfId="0" applyNumberFormat="1" applyFont="1" applyFill="1" applyBorder="1"/>
    <xf numFmtId="188" fontId="9" fillId="2" borderId="19" xfId="0" applyNumberFormat="1" applyFont="1" applyFill="1" applyBorder="1"/>
    <xf numFmtId="187" fontId="1" fillId="7" borderId="5" xfId="0" applyNumberFormat="1" applyFont="1" applyFill="1" applyBorder="1"/>
    <xf numFmtId="187" fontId="2" fillId="7" borderId="1" xfId="0" applyNumberFormat="1" applyFont="1" applyFill="1" applyBorder="1"/>
    <xf numFmtId="0" fontId="2" fillId="7" borderId="1" xfId="0" applyFont="1" applyFill="1" applyBorder="1"/>
    <xf numFmtId="0" fontId="2" fillId="7" borderId="4" xfId="0" applyFont="1" applyFill="1" applyBorder="1"/>
    <xf numFmtId="0" fontId="4" fillId="7" borderId="4" xfId="0" applyFont="1" applyFill="1" applyBorder="1"/>
    <xf numFmtId="189" fontId="4" fillId="7" borderId="4" xfId="0" applyNumberFormat="1" applyFont="1" applyFill="1" applyBorder="1"/>
    <xf numFmtId="188" fontId="4" fillId="7" borderId="4" xfId="0" applyNumberFormat="1" applyFont="1" applyFill="1" applyBorder="1"/>
    <xf numFmtId="187" fontId="1" fillId="22" borderId="9" xfId="0" applyNumberFormat="1" applyFont="1" applyFill="1" applyBorder="1"/>
    <xf numFmtId="187" fontId="2" fillId="22" borderId="10" xfId="0" applyNumberFormat="1" applyFont="1" applyFill="1" applyBorder="1"/>
    <xf numFmtId="0" fontId="2" fillId="22" borderId="10" xfId="0" applyFont="1" applyFill="1" applyBorder="1"/>
    <xf numFmtId="0" fontId="2" fillId="22" borderId="11" xfId="0" applyFont="1" applyFill="1" applyBorder="1"/>
    <xf numFmtId="0" fontId="4" fillId="22" borderId="11" xfId="0" applyFont="1" applyFill="1" applyBorder="1"/>
    <xf numFmtId="189" fontId="4" fillId="22" borderId="11" xfId="0" applyNumberFormat="1" applyFont="1" applyFill="1" applyBorder="1"/>
    <xf numFmtId="188" fontId="4" fillId="22" borderId="11" xfId="0" applyNumberFormat="1" applyFont="1" applyFill="1" applyBorder="1"/>
    <xf numFmtId="187" fontId="2" fillId="21" borderId="9" xfId="0" applyNumberFormat="1" applyFont="1" applyFill="1" applyBorder="1"/>
    <xf numFmtId="0" fontId="1" fillId="21" borderId="10" xfId="0" applyFont="1" applyFill="1" applyBorder="1"/>
    <xf numFmtId="187" fontId="2" fillId="21" borderId="10" xfId="0" applyNumberFormat="1" applyFont="1" applyFill="1" applyBorder="1"/>
    <xf numFmtId="189" fontId="6" fillId="21" borderId="11" xfId="0" applyNumberFormat="1" applyFont="1" applyFill="1" applyBorder="1"/>
    <xf numFmtId="188" fontId="6" fillId="21" borderId="11" xfId="0" applyNumberFormat="1" applyFont="1" applyFill="1" applyBorder="1"/>
    <xf numFmtId="188" fontId="4" fillId="21" borderId="11" xfId="0" applyNumberFormat="1" applyFont="1" applyFill="1" applyBorder="1"/>
    <xf numFmtId="187" fontId="2" fillId="23" borderId="9" xfId="0" applyNumberFormat="1" applyFont="1" applyFill="1" applyBorder="1"/>
    <xf numFmtId="0" fontId="2" fillId="23" borderId="10" xfId="0" applyFont="1" applyFill="1" applyBorder="1"/>
    <xf numFmtId="187" fontId="14" fillId="23" borderId="10" xfId="0" applyNumberFormat="1" applyFont="1" applyFill="1" applyBorder="1"/>
    <xf numFmtId="0" fontId="2" fillId="23" borderId="11" xfId="0" applyFont="1" applyFill="1" applyBorder="1"/>
    <xf numFmtId="189" fontId="4" fillId="23" borderId="11" xfId="0" applyNumberFormat="1" applyFont="1" applyFill="1" applyBorder="1"/>
    <xf numFmtId="188" fontId="4" fillId="23" borderId="11" xfId="0" applyNumberFormat="1" applyFont="1" applyFill="1" applyBorder="1"/>
    <xf numFmtId="0" fontId="4" fillId="0" borderId="10" xfId="0" quotePrefix="1" applyFont="1" applyBorder="1"/>
    <xf numFmtId="187" fontId="2" fillId="23" borderId="10" xfId="0" applyNumberFormat="1" applyFont="1" applyFill="1" applyBorder="1"/>
    <xf numFmtId="187" fontId="8" fillId="23" borderId="10" xfId="0" applyNumberFormat="1" applyFont="1" applyFill="1" applyBorder="1"/>
    <xf numFmtId="0" fontId="27" fillId="21" borderId="10" xfId="0" quotePrefix="1" applyFont="1" applyFill="1" applyBorder="1"/>
    <xf numFmtId="0" fontId="8" fillId="0" borderId="10" xfId="0" quotePrefix="1" applyFont="1" applyBorder="1"/>
    <xf numFmtId="0" fontId="8" fillId="0" borderId="10" xfId="0" applyFont="1" applyBorder="1"/>
    <xf numFmtId="0" fontId="1" fillId="23" borderId="10" xfId="0" applyFont="1" applyFill="1" applyBorder="1"/>
    <xf numFmtId="189" fontId="6" fillId="23" borderId="11" xfId="0" applyNumberFormat="1" applyFont="1" applyFill="1" applyBorder="1"/>
    <xf numFmtId="188" fontId="6" fillId="23" borderId="11" xfId="0" applyNumberFormat="1" applyFont="1" applyFill="1" applyBorder="1"/>
    <xf numFmtId="0" fontId="5" fillId="2" borderId="13" xfId="0" quotePrefix="1" applyFont="1" applyFill="1" applyBorder="1"/>
    <xf numFmtId="188" fontId="6" fillId="10" borderId="14" xfId="0" applyNumberFormat="1" applyFont="1" applyFill="1" applyBorder="1"/>
    <xf numFmtId="189" fontId="4" fillId="0" borderId="14" xfId="0" applyNumberFormat="1" applyFont="1" applyBorder="1"/>
    <xf numFmtId="188" fontId="4" fillId="0" borderId="14" xfId="0" applyNumberFormat="1" applyFont="1" applyBorder="1"/>
    <xf numFmtId="187" fontId="2" fillId="2" borderId="10" xfId="0" applyNumberFormat="1" applyFont="1" applyFill="1" applyBorder="1"/>
    <xf numFmtId="188" fontId="4" fillId="10" borderId="11" xfId="0" applyNumberFormat="1" applyFont="1" applyFill="1" applyBorder="1"/>
    <xf numFmtId="187" fontId="2" fillId="2" borderId="9" xfId="0" applyNumberFormat="1" applyFont="1" applyFill="1" applyBorder="1"/>
    <xf numFmtId="0" fontId="2" fillId="2" borderId="0" xfId="0" applyFont="1" applyFill="1"/>
    <xf numFmtId="0" fontId="2" fillId="0" borderId="13" xfId="0" applyFont="1" applyBorder="1"/>
    <xf numFmtId="0" fontId="2" fillId="0" borderId="14" xfId="0" applyFont="1" applyBorder="1"/>
    <xf numFmtId="0" fontId="14" fillId="0" borderId="14" xfId="0" applyFont="1" applyBorder="1"/>
    <xf numFmtId="0" fontId="2" fillId="23" borderId="13" xfId="0" applyFont="1" applyFill="1" applyBorder="1"/>
    <xf numFmtId="187" fontId="1" fillId="2" borderId="10" xfId="0" applyNumberFormat="1" applyFont="1" applyFill="1" applyBorder="1"/>
    <xf numFmtId="0" fontId="15" fillId="23" borderId="10" xfId="0" applyFont="1" applyFill="1" applyBorder="1"/>
    <xf numFmtId="189" fontId="26" fillId="23" borderId="11" xfId="0" applyNumberFormat="1" applyFont="1" applyFill="1" applyBorder="1"/>
    <xf numFmtId="188" fontId="26" fillId="23" borderId="11" xfId="0" applyNumberFormat="1" applyFont="1" applyFill="1" applyBorder="1"/>
    <xf numFmtId="190" fontId="7" fillId="2" borderId="12" xfId="0" applyNumberFormat="1" applyFont="1" applyFill="1" applyBorder="1"/>
    <xf numFmtId="0" fontId="7" fillId="2" borderId="13" xfId="0" applyFont="1" applyFill="1" applyBorder="1"/>
    <xf numFmtId="0" fontId="15" fillId="2" borderId="13" xfId="0" applyFont="1" applyFill="1" applyBorder="1"/>
    <xf numFmtId="0" fontId="27" fillId="2" borderId="13" xfId="0" applyFont="1" applyFill="1" applyBorder="1"/>
    <xf numFmtId="0" fontId="7" fillId="2" borderId="14" xfId="0" applyFont="1" applyFill="1" applyBorder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/>
    <xf numFmtId="188" fontId="9" fillId="0" borderId="14" xfId="0" applyNumberFormat="1" applyFont="1" applyBorder="1"/>
    <xf numFmtId="188" fontId="26" fillId="2" borderId="14" xfId="0" applyNumberFormat="1" applyFont="1" applyFill="1" applyBorder="1"/>
    <xf numFmtId="188" fontId="9" fillId="2" borderId="14" xfId="0" applyNumberFormat="1" applyFont="1" applyFill="1" applyBorder="1"/>
    <xf numFmtId="187" fontId="7" fillId="2" borderId="10" xfId="0" applyNumberFormat="1" applyFont="1" applyFill="1" applyBorder="1"/>
    <xf numFmtId="187" fontId="7" fillId="2" borderId="9" xfId="0" applyNumberFormat="1" applyFont="1" applyFill="1" applyBorder="1"/>
    <xf numFmtId="187" fontId="15" fillId="2" borderId="10" xfId="0" applyNumberFormat="1" applyFont="1" applyFill="1" applyBorder="1"/>
    <xf numFmtId="0" fontId="7" fillId="2" borderId="0" xfId="0" applyFont="1" applyFill="1"/>
    <xf numFmtId="187" fontId="7" fillId="0" borderId="9" xfId="0" applyNumberFormat="1" applyFont="1" applyBorder="1"/>
    <xf numFmtId="187" fontId="7" fillId="0" borderId="10" xfId="0" applyNumberFormat="1" applyFont="1" applyBorder="1"/>
    <xf numFmtId="0" fontId="7" fillId="21" borderId="10" xfId="0" applyFont="1" applyFill="1" applyBorder="1"/>
    <xf numFmtId="0" fontId="7" fillId="21" borderId="11" xfId="0" applyFont="1" applyFill="1" applyBorder="1"/>
    <xf numFmtId="0" fontId="9" fillId="0" borderId="11" xfId="0" applyFont="1" applyBorder="1"/>
    <xf numFmtId="0" fontId="7" fillId="0" borderId="10" xfId="0" applyFont="1" applyBorder="1"/>
    <xf numFmtId="0" fontId="7" fillId="0" borderId="11" xfId="0" applyFont="1" applyBorder="1"/>
    <xf numFmtId="187" fontId="8" fillId="0" borderId="10" xfId="0" quotePrefix="1" applyNumberFormat="1" applyFont="1" applyBorder="1"/>
    <xf numFmtId="190" fontId="29" fillId="2" borderId="9" xfId="0" applyNumberFormat="1" applyFont="1" applyFill="1" applyBorder="1"/>
    <xf numFmtId="187" fontId="29" fillId="2" borderId="10" xfId="0" applyNumberFormat="1" applyFont="1" applyFill="1" applyBorder="1"/>
    <xf numFmtId="0" fontId="29" fillId="2" borderId="10" xfId="0" applyFont="1" applyFill="1" applyBorder="1"/>
    <xf numFmtId="0" fontId="35" fillId="2" borderId="10" xfId="0" applyFont="1" applyFill="1" applyBorder="1"/>
    <xf numFmtId="0" fontId="29" fillId="2" borderId="11" xfId="0" applyFont="1" applyFill="1" applyBorder="1"/>
    <xf numFmtId="189" fontId="32" fillId="0" borderId="11" xfId="0" applyNumberFormat="1" applyFont="1" applyBorder="1"/>
    <xf numFmtId="188" fontId="32" fillId="0" borderId="11" xfId="0" applyNumberFormat="1" applyFont="1" applyBorder="1"/>
    <xf numFmtId="188" fontId="32" fillId="2" borderId="11" xfId="0" applyNumberFormat="1" applyFont="1" applyFill="1" applyBorder="1"/>
    <xf numFmtId="188" fontId="32" fillId="10" borderId="11" xfId="0" applyNumberFormat="1" applyFont="1" applyFill="1" applyBorder="1"/>
    <xf numFmtId="0" fontId="29" fillId="0" borderId="0" xfId="0" applyFont="1"/>
    <xf numFmtId="187" fontId="29" fillId="2" borderId="9" xfId="0" applyNumberFormat="1" applyFont="1" applyFill="1" applyBorder="1"/>
    <xf numFmtId="187" fontId="30" fillId="2" borderId="10" xfId="0" applyNumberFormat="1" applyFont="1" applyFill="1" applyBorder="1"/>
    <xf numFmtId="189" fontId="32" fillId="2" borderId="11" xfId="0" applyNumberFormat="1" applyFont="1" applyFill="1" applyBorder="1"/>
    <xf numFmtId="0" fontId="29" fillId="2" borderId="0" xfId="0" applyFont="1" applyFill="1"/>
    <xf numFmtId="187" fontId="14" fillId="0" borderId="10" xfId="0" quotePrefix="1" applyNumberFormat="1" applyFont="1" applyBorder="1"/>
    <xf numFmtId="0" fontId="17" fillId="0" borderId="10" xfId="0" quotePrefix="1" applyFont="1" applyBorder="1"/>
    <xf numFmtId="187" fontId="2" fillId="0" borderId="5" xfId="0" applyNumberFormat="1" applyFont="1" applyBorder="1"/>
    <xf numFmtId="187" fontId="2" fillId="0" borderId="1" xfId="0" applyNumberFormat="1" applyFont="1" applyBorder="1"/>
    <xf numFmtId="0" fontId="8" fillId="0" borderId="1" xfId="0" quotePrefix="1" applyFont="1" applyBorder="1"/>
    <xf numFmtId="0" fontId="2" fillId="0" borderId="1" xfId="0" applyFont="1" applyBorder="1"/>
    <xf numFmtId="0" fontId="2" fillId="0" borderId="4" xfId="0" applyFont="1" applyBorder="1"/>
    <xf numFmtId="189" fontId="4" fillId="2" borderId="4" xfId="0" applyNumberFormat="1" applyFont="1" applyFill="1" applyBorder="1"/>
    <xf numFmtId="188" fontId="4" fillId="0" borderId="4" xfId="0" applyNumberFormat="1" applyFont="1" applyBorder="1"/>
    <xf numFmtId="187" fontId="37" fillId="24" borderId="5" xfId="0" applyNumberFormat="1" applyFont="1" applyFill="1" applyBorder="1"/>
    <xf numFmtId="187" fontId="2" fillId="24" borderId="1" xfId="0" applyNumberFormat="1" applyFont="1" applyFill="1" applyBorder="1"/>
    <xf numFmtId="0" fontId="2" fillId="24" borderId="1" xfId="0" applyFont="1" applyFill="1" applyBorder="1"/>
    <xf numFmtId="0" fontId="2" fillId="24" borderId="4" xfId="0" applyFont="1" applyFill="1" applyBorder="1"/>
    <xf numFmtId="0" fontId="4" fillId="24" borderId="4" xfId="0" applyFont="1" applyFill="1" applyBorder="1"/>
    <xf numFmtId="189" fontId="4" fillId="24" borderId="4" xfId="0" applyNumberFormat="1" applyFont="1" applyFill="1" applyBorder="1"/>
    <xf numFmtId="188" fontId="4" fillId="24" borderId="4" xfId="0" applyNumberFormat="1" applyFont="1" applyFill="1" applyBorder="1"/>
    <xf numFmtId="187" fontId="1" fillId="25" borderId="9" xfId="0" applyNumberFormat="1" applyFont="1" applyFill="1" applyBorder="1"/>
    <xf numFmtId="0" fontId="2" fillId="25" borderId="10" xfId="0" applyFont="1" applyFill="1" applyBorder="1"/>
    <xf numFmtId="187" fontId="2" fillId="25" borderId="10" xfId="0" applyNumberFormat="1" applyFont="1" applyFill="1" applyBorder="1"/>
    <xf numFmtId="0" fontId="4" fillId="25" borderId="10" xfId="0" applyFont="1" applyFill="1" applyBorder="1"/>
    <xf numFmtId="189" fontId="4" fillId="25" borderId="10" xfId="0" applyNumberFormat="1" applyFont="1" applyFill="1" applyBorder="1"/>
    <xf numFmtId="189" fontId="4" fillId="25" borderId="11" xfId="0" applyNumberFormat="1" applyFont="1" applyFill="1" applyBorder="1"/>
    <xf numFmtId="188" fontId="4" fillId="25" borderId="11" xfId="0" applyNumberFormat="1" applyFont="1" applyFill="1" applyBorder="1"/>
    <xf numFmtId="190" fontId="2" fillId="26" borderId="9" xfId="0" applyNumberFormat="1" applyFont="1" applyFill="1" applyBorder="1"/>
    <xf numFmtId="0" fontId="1" fillId="26" borderId="10" xfId="0" applyFont="1" applyFill="1" applyBorder="1"/>
    <xf numFmtId="0" fontId="2" fillId="26" borderId="10" xfId="0" applyFont="1" applyFill="1" applyBorder="1"/>
    <xf numFmtId="187" fontId="2" fillId="26" borderId="10" xfId="0" applyNumberFormat="1" applyFont="1" applyFill="1" applyBorder="1"/>
    <xf numFmtId="0" fontId="2" fillId="26" borderId="11" xfId="0" applyFont="1" applyFill="1" applyBorder="1"/>
    <xf numFmtId="189" fontId="6" fillId="26" borderId="11" xfId="0" applyNumberFormat="1" applyFont="1" applyFill="1" applyBorder="1"/>
    <xf numFmtId="188" fontId="6" fillId="26" borderId="11" xfId="0" applyNumberFormat="1" applyFont="1" applyFill="1" applyBorder="1"/>
    <xf numFmtId="188" fontId="4" fillId="26" borderId="11" xfId="0" applyNumberFormat="1" applyFont="1" applyFill="1" applyBorder="1"/>
    <xf numFmtId="188" fontId="6" fillId="0" borderId="11" xfId="0" applyNumberFormat="1" applyFont="1" applyBorder="1"/>
    <xf numFmtId="0" fontId="38" fillId="0" borderId="10" xfId="0" applyFont="1" applyBorder="1"/>
    <xf numFmtId="0" fontId="6" fillId="0" borderId="10" xfId="0" applyFont="1" applyBorder="1"/>
    <xf numFmtId="187" fontId="2" fillId="0" borderId="12" xfId="0" applyNumberFormat="1" applyFont="1" applyBorder="1"/>
    <xf numFmtId="187" fontId="2" fillId="0" borderId="13" xfId="0" applyNumberFormat="1" applyFont="1" applyBorder="1"/>
    <xf numFmtId="0" fontId="38" fillId="0" borderId="13" xfId="0" applyFont="1" applyBorder="1"/>
    <xf numFmtId="0" fontId="6" fillId="0" borderId="13" xfId="0" applyFont="1" applyBorder="1"/>
    <xf numFmtId="0" fontId="4" fillId="0" borderId="1" xfId="0" applyFont="1" applyBorder="1"/>
    <xf numFmtId="189" fontId="4" fillId="0" borderId="4" xfId="0" applyNumberFormat="1" applyFont="1" applyBorder="1"/>
    <xf numFmtId="189" fontId="4" fillId="10" borderId="4" xfId="0" applyNumberFormat="1" applyFont="1" applyFill="1" applyBorder="1"/>
    <xf numFmtId="187" fontId="1" fillId="27" borderId="5" xfId="0" applyNumberFormat="1" applyFont="1" applyFill="1" applyBorder="1"/>
    <xf numFmtId="187" fontId="2" fillId="27" borderId="1" xfId="0" applyNumberFormat="1" applyFont="1" applyFill="1" applyBorder="1"/>
    <xf numFmtId="0" fontId="2" fillId="27" borderId="1" xfId="0" applyFont="1" applyFill="1" applyBorder="1"/>
    <xf numFmtId="0" fontId="2" fillId="27" borderId="4" xfId="0" applyFont="1" applyFill="1" applyBorder="1"/>
    <xf numFmtId="0" fontId="4" fillId="27" borderId="4" xfId="0" applyFont="1" applyFill="1" applyBorder="1"/>
    <xf numFmtId="189" fontId="4" fillId="27" borderId="4" xfId="0" applyNumberFormat="1" applyFont="1" applyFill="1" applyBorder="1"/>
    <xf numFmtId="188" fontId="4" fillId="27" borderId="4" xfId="0" applyNumberFormat="1" applyFont="1" applyFill="1" applyBorder="1"/>
    <xf numFmtId="187" fontId="1" fillId="28" borderId="9" xfId="0" applyNumberFormat="1" applyFont="1" applyFill="1" applyBorder="1"/>
    <xf numFmtId="187" fontId="2" fillId="28" borderId="10" xfId="0" applyNumberFormat="1" applyFont="1" applyFill="1" applyBorder="1"/>
    <xf numFmtId="0" fontId="2" fillId="28" borderId="10" xfId="0" applyFont="1" applyFill="1" applyBorder="1"/>
    <xf numFmtId="0" fontId="2" fillId="28" borderId="11" xfId="0" applyFont="1" applyFill="1" applyBorder="1"/>
    <xf numFmtId="0" fontId="4" fillId="28" borderId="11" xfId="0" applyFont="1" applyFill="1" applyBorder="1"/>
    <xf numFmtId="189" fontId="4" fillId="28" borderId="11" xfId="0" applyNumberFormat="1" applyFont="1" applyFill="1" applyBorder="1"/>
    <xf numFmtId="188" fontId="4" fillId="28" borderId="11" xfId="0" applyNumberFormat="1" applyFont="1" applyFill="1" applyBorder="1"/>
    <xf numFmtId="187" fontId="2" fillId="29" borderId="9" xfId="0" applyNumberFormat="1" applyFont="1" applyFill="1" applyBorder="1"/>
    <xf numFmtId="0" fontId="1" fillId="29" borderId="10" xfId="0" applyFont="1" applyFill="1" applyBorder="1"/>
    <xf numFmtId="0" fontId="2" fillId="29" borderId="10" xfId="0" applyFont="1" applyFill="1" applyBorder="1"/>
    <xf numFmtId="0" fontId="2" fillId="29" borderId="11" xfId="0" applyFont="1" applyFill="1" applyBorder="1"/>
    <xf numFmtId="189" fontId="6" fillId="29" borderId="11" xfId="0" applyNumberFormat="1" applyFont="1" applyFill="1" applyBorder="1"/>
    <xf numFmtId="188" fontId="6" fillId="29" borderId="11" xfId="0" applyNumberFormat="1" applyFont="1" applyFill="1" applyBorder="1"/>
    <xf numFmtId="188" fontId="4" fillId="29" borderId="11" xfId="0" applyNumberFormat="1" applyFont="1" applyFill="1" applyBorder="1"/>
    <xf numFmtId="0" fontId="4" fillId="28" borderId="10" xfId="0" applyFont="1" applyFill="1" applyBorder="1"/>
    <xf numFmtId="190" fontId="2" fillId="29" borderId="9" xfId="0" applyNumberFormat="1" applyFont="1" applyFill="1" applyBorder="1"/>
    <xf numFmtId="190" fontId="2" fillId="29" borderId="10" xfId="0" applyNumberFormat="1" applyFont="1" applyFill="1" applyBorder="1"/>
    <xf numFmtId="187" fontId="2" fillId="29" borderId="10" xfId="0" applyNumberFormat="1" applyFont="1" applyFill="1" applyBorder="1"/>
    <xf numFmtId="189" fontId="4" fillId="29" borderId="11" xfId="0" applyNumberFormat="1" applyFont="1" applyFill="1" applyBorder="1"/>
    <xf numFmtId="0" fontId="5" fillId="23" borderId="10" xfId="0" applyFont="1" applyFill="1" applyBorder="1"/>
    <xf numFmtId="0" fontId="4" fillId="23" borderId="11" xfId="0" applyFont="1" applyFill="1" applyBorder="1"/>
    <xf numFmtId="187" fontId="2" fillId="8" borderId="9" xfId="0" applyNumberFormat="1" applyFont="1" applyFill="1" applyBorder="1"/>
    <xf numFmtId="187" fontId="2" fillId="8" borderId="10" xfId="0" applyNumberFormat="1" applyFont="1" applyFill="1" applyBorder="1"/>
    <xf numFmtId="0" fontId="15" fillId="8" borderId="10" xfId="0" applyFont="1" applyFill="1" applyBorder="1"/>
    <xf numFmtId="0" fontId="5" fillId="8" borderId="10" xfId="0" applyFont="1" applyFill="1" applyBorder="1"/>
    <xf numFmtId="0" fontId="2" fillId="8" borderId="10" xfId="0" applyFont="1" applyFill="1" applyBorder="1"/>
    <xf numFmtId="0" fontId="2" fillId="8" borderId="11" xfId="0" applyFont="1" applyFill="1" applyBorder="1"/>
    <xf numFmtId="189" fontId="6" fillId="8" borderId="11" xfId="0" applyNumberFormat="1" applyFont="1" applyFill="1" applyBorder="1"/>
    <xf numFmtId="188" fontId="6" fillId="8" borderId="11" xfId="0" applyNumberFormat="1" applyFont="1" applyFill="1" applyBorder="1"/>
    <xf numFmtId="188" fontId="4" fillId="8" borderId="11" xfId="0" applyNumberFormat="1" applyFont="1" applyFill="1" applyBorder="1"/>
    <xf numFmtId="0" fontId="18" fillId="8" borderId="10" xfId="0" applyFont="1" applyFill="1" applyBorder="1"/>
    <xf numFmtId="0" fontId="4" fillId="8" borderId="11" xfId="0" applyFont="1" applyFill="1" applyBorder="1"/>
    <xf numFmtId="189" fontId="4" fillId="8" borderId="11" xfId="0" applyNumberFormat="1" applyFont="1" applyFill="1" applyBorder="1"/>
    <xf numFmtId="187" fontId="41" fillId="0" borderId="9" xfId="0" applyNumberFormat="1" applyFont="1" applyBorder="1"/>
    <xf numFmtId="187" fontId="42" fillId="8" borderId="9" xfId="0" applyNumberFormat="1" applyFont="1" applyFill="1" applyBorder="1"/>
    <xf numFmtId="187" fontId="42" fillId="8" borderId="10" xfId="0" applyNumberFormat="1" applyFont="1" applyFill="1" applyBorder="1"/>
    <xf numFmtId="0" fontId="43" fillId="8" borderId="10" xfId="0" applyFont="1" applyFill="1" applyBorder="1"/>
    <xf numFmtId="0" fontId="44" fillId="8" borderId="10" xfId="0" applyFont="1" applyFill="1" applyBorder="1"/>
    <xf numFmtId="0" fontId="42" fillId="8" borderId="10" xfId="0" applyFont="1" applyFill="1" applyBorder="1"/>
    <xf numFmtId="0" fontId="42" fillId="8" borderId="11" xfId="0" applyFont="1" applyFill="1" applyBorder="1"/>
    <xf numFmtId="189" fontId="45" fillId="8" borderId="11" xfId="0" applyNumberFormat="1" applyFont="1" applyFill="1" applyBorder="1"/>
    <xf numFmtId="188" fontId="45" fillId="8" borderId="11" xfId="0" applyNumberFormat="1" applyFont="1" applyFill="1" applyBorder="1"/>
    <xf numFmtId="188" fontId="46" fillId="8" borderId="11" xfId="0" applyNumberFormat="1" applyFont="1" applyFill="1" applyBorder="1"/>
    <xf numFmtId="187" fontId="42" fillId="30" borderId="9" xfId="0" applyNumberFormat="1" applyFont="1" applyFill="1" applyBorder="1"/>
    <xf numFmtId="187" fontId="42" fillId="30" borderId="10" xfId="0" applyNumberFormat="1" applyFont="1" applyFill="1" applyBorder="1"/>
    <xf numFmtId="0" fontId="43" fillId="30" borderId="10" xfId="0" applyFont="1" applyFill="1" applyBorder="1"/>
    <xf numFmtId="0" fontId="42" fillId="30" borderId="10" xfId="0" applyFont="1" applyFill="1" applyBorder="1"/>
    <xf numFmtId="0" fontId="42" fillId="30" borderId="11" xfId="0" applyFont="1" applyFill="1" applyBorder="1"/>
    <xf numFmtId="189" fontId="45" fillId="30" borderId="11" xfId="0" applyNumberFormat="1" applyFont="1" applyFill="1" applyBorder="1"/>
    <xf numFmtId="188" fontId="45" fillId="30" borderId="11" xfId="0" applyNumberFormat="1" applyFont="1" applyFill="1" applyBorder="1"/>
    <xf numFmtId="188" fontId="46" fillId="30" borderId="11" xfId="0" applyNumberFormat="1" applyFont="1" applyFill="1" applyBorder="1"/>
    <xf numFmtId="0" fontId="48" fillId="30" borderId="10" xfId="0" applyFont="1" applyFill="1" applyBorder="1"/>
    <xf numFmtId="0" fontId="46" fillId="30" borderId="11" xfId="0" applyFont="1" applyFill="1" applyBorder="1"/>
    <xf numFmtId="189" fontId="46" fillId="30" borderId="11" xfId="0" applyNumberFormat="1" applyFont="1" applyFill="1" applyBorder="1"/>
    <xf numFmtId="41" fontId="45" fillId="30" borderId="11" xfId="0" applyNumberFormat="1" applyFont="1" applyFill="1" applyBorder="1"/>
    <xf numFmtId="0" fontId="14" fillId="0" borderId="1" xfId="0" applyFont="1" applyBorder="1"/>
    <xf numFmtId="188" fontId="4" fillId="2" borderId="4" xfId="0" applyNumberFormat="1" applyFont="1" applyFill="1" applyBorder="1"/>
    <xf numFmtId="187" fontId="1" fillId="31" borderId="5" xfId="0" applyNumberFormat="1" applyFont="1" applyFill="1" applyBorder="1"/>
    <xf numFmtId="187" fontId="2" fillId="31" borderId="1" xfId="0" applyNumberFormat="1" applyFont="1" applyFill="1" applyBorder="1"/>
    <xf numFmtId="0" fontId="2" fillId="31" borderId="1" xfId="0" applyFont="1" applyFill="1" applyBorder="1"/>
    <xf numFmtId="0" fontId="2" fillId="31" borderId="4" xfId="0" applyFont="1" applyFill="1" applyBorder="1"/>
    <xf numFmtId="0" fontId="4" fillId="31" borderId="4" xfId="0" applyFont="1" applyFill="1" applyBorder="1"/>
    <xf numFmtId="189" fontId="4" fillId="31" borderId="4" xfId="0" applyNumberFormat="1" applyFont="1" applyFill="1" applyBorder="1"/>
    <xf numFmtId="188" fontId="4" fillId="31" borderId="4" xfId="0" applyNumberFormat="1" applyFont="1" applyFill="1" applyBorder="1"/>
    <xf numFmtId="187" fontId="1" fillId="32" borderId="9" xfId="0" applyNumberFormat="1" applyFont="1" applyFill="1" applyBorder="1"/>
    <xf numFmtId="187" fontId="2" fillId="32" borderId="10" xfId="0" applyNumberFormat="1" applyFont="1" applyFill="1" applyBorder="1"/>
    <xf numFmtId="0" fontId="2" fillId="32" borderId="10" xfId="0" applyFont="1" applyFill="1" applyBorder="1"/>
    <xf numFmtId="0" fontId="4" fillId="32" borderId="11" xfId="0" applyFont="1" applyFill="1" applyBorder="1"/>
    <xf numFmtId="189" fontId="4" fillId="32" borderId="11" xfId="0" applyNumberFormat="1" applyFont="1" applyFill="1" applyBorder="1"/>
    <xf numFmtId="188" fontId="4" fillId="32" borderId="11" xfId="0" applyNumberFormat="1" applyFont="1" applyFill="1" applyBorder="1"/>
    <xf numFmtId="187" fontId="2" fillId="33" borderId="9" xfId="0" applyNumberFormat="1" applyFont="1" applyFill="1" applyBorder="1"/>
    <xf numFmtId="0" fontId="1" fillId="33" borderId="10" xfId="0" applyFont="1" applyFill="1" applyBorder="1"/>
    <xf numFmtId="187" fontId="2" fillId="33" borderId="10" xfId="0" applyNumberFormat="1" applyFont="1" applyFill="1" applyBorder="1"/>
    <xf numFmtId="0" fontId="2" fillId="33" borderId="10" xfId="0" applyFont="1" applyFill="1" applyBorder="1"/>
    <xf numFmtId="0" fontId="2" fillId="33" borderId="11" xfId="0" applyFont="1" applyFill="1" applyBorder="1"/>
    <xf numFmtId="189" fontId="6" fillId="33" borderId="11" xfId="0" applyNumberFormat="1" applyFont="1" applyFill="1" applyBorder="1"/>
    <xf numFmtId="188" fontId="6" fillId="33" borderId="11" xfId="0" applyNumberFormat="1" applyFont="1" applyFill="1" applyBorder="1"/>
    <xf numFmtId="188" fontId="4" fillId="33" borderId="11" xfId="0" applyNumberFormat="1" applyFont="1" applyFill="1" applyBorder="1"/>
    <xf numFmtId="187" fontId="2" fillId="2" borderId="12" xfId="0" applyNumberFormat="1" applyFont="1" applyFill="1" applyBorder="1"/>
    <xf numFmtId="187" fontId="2" fillId="2" borderId="13" xfId="0" applyNumberFormat="1" applyFont="1" applyFill="1" applyBorder="1"/>
    <xf numFmtId="188" fontId="2" fillId="2" borderId="14" xfId="0" applyNumberFormat="1" applyFont="1" applyFill="1" applyBorder="1"/>
    <xf numFmtId="0" fontId="5" fillId="21" borderId="0" xfId="0" quotePrefix="1" applyFont="1" applyFill="1"/>
    <xf numFmtId="0" fontId="2" fillId="21" borderId="0" xfId="0" applyFont="1" applyFill="1"/>
    <xf numFmtId="0" fontId="2" fillId="21" borderId="3" xfId="0" applyFont="1" applyFill="1" applyBorder="1"/>
    <xf numFmtId="187" fontId="2" fillId="0" borderId="20" xfId="0" applyNumberFormat="1" applyFont="1" applyBorder="1"/>
    <xf numFmtId="0" fontId="2" fillId="0" borderId="21" xfId="0" applyFont="1" applyBorder="1"/>
    <xf numFmtId="0" fontId="14" fillId="0" borderId="21" xfId="0" applyFont="1" applyBorder="1"/>
    <xf numFmtId="0" fontId="2" fillId="0" borderId="22" xfId="0" applyFont="1" applyBorder="1"/>
    <xf numFmtId="189" fontId="4" fillId="2" borderId="22" xfId="0" applyNumberFormat="1" applyFont="1" applyFill="1" applyBorder="1"/>
    <xf numFmtId="189" fontId="4" fillId="10" borderId="22" xfId="0" applyNumberFormat="1" applyFont="1" applyFill="1" applyBorder="1"/>
    <xf numFmtId="188" fontId="4" fillId="2" borderId="22" xfId="0" applyNumberFormat="1" applyFont="1" applyFill="1" applyBorder="1"/>
    <xf numFmtId="188" fontId="4" fillId="0" borderId="22" xfId="0" applyNumberFormat="1" applyFont="1" applyBorder="1"/>
    <xf numFmtId="0" fontId="1" fillId="34" borderId="9" xfId="0" applyFont="1" applyFill="1" applyBorder="1"/>
    <xf numFmtId="0" fontId="2" fillId="34" borderId="10" xfId="0" applyFont="1" applyFill="1" applyBorder="1"/>
    <xf numFmtId="0" fontId="2" fillId="34" borderId="11" xfId="0" applyFont="1" applyFill="1" applyBorder="1"/>
    <xf numFmtId="0" fontId="4" fillId="34" borderId="11" xfId="0" applyFont="1" applyFill="1" applyBorder="1"/>
    <xf numFmtId="189" fontId="4" fillId="34" borderId="11" xfId="0" applyNumberFormat="1" applyFont="1" applyFill="1" applyBorder="1"/>
    <xf numFmtId="188" fontId="4" fillId="34" borderId="11" xfId="0" applyNumberFormat="1" applyFont="1" applyFill="1" applyBorder="1"/>
    <xf numFmtId="188" fontId="6" fillId="34" borderId="11" xfId="0" applyNumberFormat="1" applyFont="1" applyFill="1" applyBorder="1"/>
    <xf numFmtId="0" fontId="1" fillId="35" borderId="9" xfId="0" applyFont="1" applyFill="1" applyBorder="1"/>
    <xf numFmtId="0" fontId="2" fillId="35" borderId="10" xfId="0" applyFont="1" applyFill="1" applyBorder="1"/>
    <xf numFmtId="0" fontId="4" fillId="35" borderId="10" xfId="0" applyFont="1" applyFill="1" applyBorder="1"/>
    <xf numFmtId="189" fontId="4" fillId="35" borderId="10" xfId="0" applyNumberFormat="1" applyFont="1" applyFill="1" applyBorder="1"/>
    <xf numFmtId="188" fontId="4" fillId="35" borderId="10" xfId="0" applyNumberFormat="1" applyFont="1" applyFill="1" applyBorder="1"/>
    <xf numFmtId="188" fontId="4" fillId="35" borderId="11" xfId="0" applyNumberFormat="1" applyFont="1" applyFill="1" applyBorder="1"/>
    <xf numFmtId="0" fontId="2" fillId="35" borderId="11" xfId="0" applyFont="1" applyFill="1" applyBorder="1"/>
    <xf numFmtId="0" fontId="4" fillId="35" borderId="11" xfId="0" applyFont="1" applyFill="1" applyBorder="1"/>
    <xf numFmtId="189" fontId="4" fillId="35" borderId="11" xfId="0" applyNumberFormat="1" applyFont="1" applyFill="1" applyBorder="1"/>
    <xf numFmtId="187" fontId="1" fillId="36" borderId="10" xfId="0" applyNumberFormat="1" applyFont="1" applyFill="1" applyBorder="1"/>
    <xf numFmtId="0" fontId="2" fillId="36" borderId="10" xfId="0" applyFont="1" applyFill="1" applyBorder="1"/>
    <xf numFmtId="0" fontId="2" fillId="36" borderId="11" xfId="0" applyFont="1" applyFill="1" applyBorder="1"/>
    <xf numFmtId="189" fontId="6" fillId="36" borderId="11" xfId="0" applyNumberFormat="1" applyFont="1" applyFill="1" applyBorder="1"/>
    <xf numFmtId="188" fontId="6" fillId="36" borderId="11" xfId="0" applyNumberFormat="1" applyFont="1" applyFill="1" applyBorder="1"/>
    <xf numFmtId="188" fontId="4" fillId="36" borderId="11" xfId="0" applyNumberFormat="1" applyFont="1" applyFill="1" applyBorder="1"/>
    <xf numFmtId="0" fontId="2" fillId="36" borderId="9" xfId="0" applyFont="1" applyFill="1" applyBorder="1"/>
    <xf numFmtId="187" fontId="4" fillId="2" borderId="9" xfId="0" applyNumberFormat="1" applyFont="1" applyFill="1" applyBorder="1"/>
    <xf numFmtId="187" fontId="4" fillId="2" borderId="10" xfId="0" applyNumberFormat="1" applyFont="1" applyFill="1" applyBorder="1"/>
    <xf numFmtId="0" fontId="4" fillId="2" borderId="10" xfId="0" applyFont="1" applyFill="1" applyBorder="1"/>
    <xf numFmtId="0" fontId="4" fillId="0" borderId="0" xfId="0" applyFont="1"/>
    <xf numFmtId="0" fontId="5" fillId="21" borderId="13" xfId="0" quotePrefix="1" applyFont="1" applyFill="1" applyBorder="1"/>
    <xf numFmtId="0" fontId="2" fillId="21" borderId="13" xfId="0" applyFont="1" applyFill="1" applyBorder="1"/>
    <xf numFmtId="0" fontId="2" fillId="21" borderId="14" xfId="0" applyFont="1" applyFill="1" applyBorder="1"/>
    <xf numFmtId="0" fontId="4" fillId="0" borderId="14" xfId="0" applyFont="1" applyBorder="1"/>
    <xf numFmtId="0" fontId="6" fillId="36" borderId="13" xfId="0" applyFont="1" applyFill="1" applyBorder="1"/>
    <xf numFmtId="0" fontId="4" fillId="36" borderId="13" xfId="0" applyFont="1" applyFill="1" applyBorder="1"/>
    <xf numFmtId="0" fontId="4" fillId="36" borderId="14" xfId="0" applyFont="1" applyFill="1" applyBorder="1"/>
    <xf numFmtId="189" fontId="6" fillId="36" borderId="14" xfId="0" applyNumberFormat="1" applyFont="1" applyFill="1" applyBorder="1"/>
    <xf numFmtId="188" fontId="6" fillId="36" borderId="14" xfId="0" applyNumberFormat="1" applyFont="1" applyFill="1" applyBorder="1"/>
    <xf numFmtId="188" fontId="4" fillId="36" borderId="14" xfId="0" applyNumberFormat="1" applyFont="1" applyFill="1" applyBorder="1"/>
    <xf numFmtId="0" fontId="4" fillId="36" borderId="9" xfId="0" applyFont="1" applyFill="1" applyBorder="1"/>
    <xf numFmtId="187" fontId="4" fillId="36" borderId="10" xfId="0" applyNumberFormat="1" applyFont="1" applyFill="1" applyBorder="1"/>
    <xf numFmtId="0" fontId="4" fillId="36" borderId="10" xfId="0" applyFont="1" applyFill="1" applyBorder="1"/>
    <xf numFmtId="0" fontId="4" fillId="36" borderId="11" xfId="0" applyFont="1" applyFill="1" applyBorder="1"/>
    <xf numFmtId="190" fontId="4" fillId="2" borderId="9" xfId="0" applyNumberFormat="1" applyFont="1" applyFill="1" applyBorder="1"/>
    <xf numFmtId="190" fontId="9" fillId="2" borderId="9" xfId="0" applyNumberFormat="1" applyFont="1" applyFill="1" applyBorder="1"/>
    <xf numFmtId="0" fontId="9" fillId="2" borderId="10" xfId="0" applyFont="1" applyFill="1" applyBorder="1"/>
    <xf numFmtId="0" fontId="9" fillId="0" borderId="10" xfId="0" applyFont="1" applyBorder="1"/>
    <xf numFmtId="0" fontId="9" fillId="2" borderId="11" xfId="0" applyFont="1" applyFill="1" applyBorder="1"/>
    <xf numFmtId="0" fontId="9" fillId="0" borderId="0" xfId="0" applyFont="1"/>
    <xf numFmtId="187" fontId="9" fillId="2" borderId="10" xfId="0" applyNumberFormat="1" applyFont="1" applyFill="1" applyBorder="1"/>
    <xf numFmtId="0" fontId="53" fillId="2" borderId="10" xfId="0" applyFont="1" applyFill="1" applyBorder="1"/>
    <xf numFmtId="187" fontId="4" fillId="0" borderId="9" xfId="0" applyNumberFormat="1" applyFont="1" applyBorder="1"/>
    <xf numFmtId="187" fontId="4" fillId="0" borderId="10" xfId="0" applyNumberFormat="1" applyFont="1" applyBorder="1"/>
    <xf numFmtId="187" fontId="52" fillId="21" borderId="10" xfId="0" applyNumberFormat="1" applyFont="1" applyFill="1" applyBorder="1"/>
    <xf numFmtId="187" fontId="4" fillId="21" borderId="10" xfId="0" applyNumberFormat="1" applyFont="1" applyFill="1" applyBorder="1"/>
    <xf numFmtId="0" fontId="4" fillId="21" borderId="10" xfId="0" applyFont="1" applyFill="1" applyBorder="1"/>
    <xf numFmtId="0" fontId="4" fillId="21" borderId="11" xfId="0" applyFont="1" applyFill="1" applyBorder="1"/>
    <xf numFmtId="187" fontId="9" fillId="0" borderId="9" xfId="0" applyNumberFormat="1" applyFont="1" applyBorder="1"/>
    <xf numFmtId="187" fontId="9" fillId="0" borderId="10" xfId="0" applyNumberFormat="1" applyFont="1" applyBorder="1"/>
    <xf numFmtId="0" fontId="55" fillId="2" borderId="11" xfId="0" applyFont="1" applyFill="1" applyBorder="1"/>
    <xf numFmtId="187" fontId="52" fillId="21" borderId="10" xfId="0" quotePrefix="1" applyNumberFormat="1" applyFont="1" applyFill="1" applyBorder="1"/>
    <xf numFmtId="187" fontId="6" fillId="0" borderId="10" xfId="0" applyNumberFormat="1" applyFont="1" applyBorder="1"/>
    <xf numFmtId="187" fontId="26" fillId="36" borderId="13" xfId="0" applyNumberFormat="1" applyFont="1" applyFill="1" applyBorder="1"/>
    <xf numFmtId="187" fontId="9" fillId="36" borderId="13" xfId="0" applyNumberFormat="1" applyFont="1" applyFill="1" applyBorder="1"/>
    <xf numFmtId="0" fontId="9" fillId="36" borderId="13" xfId="0" applyFont="1" applyFill="1" applyBorder="1"/>
    <xf numFmtId="0" fontId="9" fillId="36" borderId="14" xfId="0" applyFont="1" applyFill="1" applyBorder="1"/>
    <xf numFmtId="189" fontId="26" fillId="36" borderId="14" xfId="0" applyNumberFormat="1" applyFont="1" applyFill="1" applyBorder="1"/>
    <xf numFmtId="188" fontId="26" fillId="36" borderId="14" xfId="0" applyNumberFormat="1" applyFont="1" applyFill="1" applyBorder="1"/>
    <xf numFmtId="188" fontId="9" fillId="36" borderId="14" xfId="0" applyNumberFormat="1" applyFont="1" applyFill="1" applyBorder="1"/>
    <xf numFmtId="0" fontId="9" fillId="36" borderId="9" xfId="0" applyFont="1" applyFill="1" applyBorder="1"/>
    <xf numFmtId="187" fontId="9" fillId="36" borderId="10" xfId="0" applyNumberFormat="1" applyFont="1" applyFill="1" applyBorder="1"/>
    <xf numFmtId="0" fontId="9" fillId="36" borderId="10" xfId="0" applyFont="1" applyFill="1" applyBorder="1"/>
    <xf numFmtId="0" fontId="9" fillId="36" borderId="11" xfId="0" applyFont="1" applyFill="1" applyBorder="1"/>
    <xf numFmtId="189" fontId="26" fillId="36" borderId="11" xfId="0" applyNumberFormat="1" applyFont="1" applyFill="1" applyBorder="1"/>
    <xf numFmtId="188" fontId="26" fillId="36" borderId="11" xfId="0" applyNumberFormat="1" applyFont="1" applyFill="1" applyBorder="1"/>
    <xf numFmtId="188" fontId="9" fillId="36" borderId="11" xfId="0" applyNumberFormat="1" applyFont="1" applyFill="1" applyBorder="1"/>
    <xf numFmtId="188" fontId="26" fillId="2" borderId="11" xfId="0" applyNumberFormat="1" applyFont="1" applyFill="1" applyBorder="1"/>
    <xf numFmtId="0" fontId="58" fillId="2" borderId="10" xfId="0" applyFont="1" applyFill="1" applyBorder="1"/>
    <xf numFmtId="187" fontId="9" fillId="2" borderId="9" xfId="0" applyNumberFormat="1" applyFont="1" applyFill="1" applyBorder="1"/>
    <xf numFmtId="0" fontId="57" fillId="21" borderId="10" xfId="0" quotePrefix="1" applyFont="1" applyFill="1" applyBorder="1"/>
    <xf numFmtId="0" fontId="9" fillId="21" borderId="10" xfId="0" applyFont="1" applyFill="1" applyBorder="1"/>
    <xf numFmtId="0" fontId="9" fillId="21" borderId="11" xfId="0" applyFont="1" applyFill="1" applyBorder="1"/>
    <xf numFmtId="189" fontId="26" fillId="2" borderId="11" xfId="0" applyNumberFormat="1" applyFont="1" applyFill="1" applyBorder="1"/>
    <xf numFmtId="188" fontId="26" fillId="0" borderId="11" xfId="0" applyNumberFormat="1" applyFont="1" applyBorder="1"/>
    <xf numFmtId="0" fontId="1" fillId="37" borderId="9" xfId="0" applyFont="1" applyFill="1" applyBorder="1"/>
    <xf numFmtId="187" fontId="2" fillId="37" borderId="10" xfId="0" applyNumberFormat="1" applyFont="1" applyFill="1" applyBorder="1"/>
    <xf numFmtId="0" fontId="2" fillId="37" borderId="10" xfId="0" applyFont="1" applyFill="1" applyBorder="1"/>
    <xf numFmtId="0" fontId="2" fillId="37" borderId="11" xfId="0" applyFont="1" applyFill="1" applyBorder="1"/>
    <xf numFmtId="0" fontId="4" fillId="37" borderId="11" xfId="0" applyFont="1" applyFill="1" applyBorder="1"/>
    <xf numFmtId="189" fontId="4" fillId="37" borderId="11" xfId="0" applyNumberFormat="1" applyFont="1" applyFill="1" applyBorder="1"/>
    <xf numFmtId="188" fontId="4" fillId="37" borderId="11" xfId="0" applyNumberFormat="1" applyFont="1" applyFill="1" applyBorder="1"/>
    <xf numFmtId="187" fontId="6" fillId="38" borderId="13" xfId="0" applyNumberFormat="1" applyFont="1" applyFill="1" applyBorder="1"/>
    <xf numFmtId="187" fontId="4" fillId="38" borderId="13" xfId="0" applyNumberFormat="1" applyFont="1" applyFill="1" applyBorder="1"/>
    <xf numFmtId="0" fontId="4" fillId="38" borderId="13" xfId="0" applyFont="1" applyFill="1" applyBorder="1"/>
    <xf numFmtId="0" fontId="4" fillId="38" borderId="14" xfId="0" applyFont="1" applyFill="1" applyBorder="1"/>
    <xf numFmtId="189" fontId="4" fillId="38" borderId="14" xfId="0" applyNumberFormat="1" applyFont="1" applyFill="1" applyBorder="1"/>
    <xf numFmtId="188" fontId="4" fillId="38" borderId="14" xfId="0" applyNumberFormat="1" applyFont="1" applyFill="1" applyBorder="1"/>
    <xf numFmtId="190" fontId="4" fillId="39" borderId="9" xfId="0" applyNumberFormat="1" applyFont="1" applyFill="1" applyBorder="1"/>
    <xf numFmtId="0" fontId="6" fillId="39" borderId="10" xfId="0" applyFont="1" applyFill="1" applyBorder="1"/>
    <xf numFmtId="0" fontId="4" fillId="39" borderId="10" xfId="0" applyFont="1" applyFill="1" applyBorder="1"/>
    <xf numFmtId="0" fontId="4" fillId="39" borderId="11" xfId="0" applyFont="1" applyFill="1" applyBorder="1"/>
    <xf numFmtId="189" fontId="6" fillId="39" borderId="11" xfId="0" applyNumberFormat="1" applyFont="1" applyFill="1" applyBorder="1"/>
    <xf numFmtId="188" fontId="6" fillId="39" borderId="11" xfId="0" applyNumberFormat="1" applyFont="1" applyFill="1" applyBorder="1"/>
    <xf numFmtId="188" fontId="4" fillId="39" borderId="11" xfId="0" applyNumberFormat="1" applyFont="1" applyFill="1" applyBorder="1"/>
    <xf numFmtId="0" fontId="52" fillId="21" borderId="10" xfId="0" quotePrefix="1" applyFont="1" applyFill="1" applyBorder="1"/>
    <xf numFmtId="0" fontId="4" fillId="2" borderId="0" xfId="0" applyFont="1" applyFill="1"/>
    <xf numFmtId="0" fontId="61" fillId="2" borderId="10" xfId="0" applyFont="1" applyFill="1" applyBorder="1"/>
    <xf numFmtId="0" fontId="6" fillId="38" borderId="13" xfId="0" applyFont="1" applyFill="1" applyBorder="1"/>
    <xf numFmtId="189" fontId="6" fillId="38" borderId="14" xfId="0" applyNumberFormat="1" applyFont="1" applyFill="1" applyBorder="1"/>
    <xf numFmtId="188" fontId="6" fillId="38" borderId="14" xfId="0" applyNumberFormat="1" applyFont="1" applyFill="1" applyBorder="1"/>
    <xf numFmtId="190" fontId="4" fillId="2" borderId="12" xfId="0" applyNumberFormat="1" applyFont="1" applyFill="1" applyBorder="1"/>
    <xf numFmtId="0" fontId="4" fillId="2" borderId="13" xfId="0" applyFont="1" applyFill="1" applyBorder="1"/>
    <xf numFmtId="0" fontId="4" fillId="2" borderId="14" xfId="0" applyFont="1" applyFill="1" applyBorder="1"/>
    <xf numFmtId="187" fontId="4" fillId="39" borderId="9" xfId="0" applyNumberFormat="1" applyFont="1" applyFill="1" applyBorder="1"/>
    <xf numFmtId="187" fontId="6" fillId="39" borderId="10" xfId="0" applyNumberFormat="1" applyFont="1" applyFill="1" applyBorder="1"/>
    <xf numFmtId="187" fontId="4" fillId="39" borderId="10" xfId="0" applyNumberFormat="1" applyFont="1" applyFill="1" applyBorder="1"/>
    <xf numFmtId="187" fontId="4" fillId="0" borderId="2" xfId="0" applyNumberFormat="1" applyFont="1" applyBorder="1"/>
    <xf numFmtId="187" fontId="4" fillId="0" borderId="0" xfId="0" applyNumberFormat="1" applyFont="1"/>
    <xf numFmtId="0" fontId="4" fillId="0" borderId="3" xfId="0" applyFont="1" applyBorder="1"/>
    <xf numFmtId="189" fontId="4" fillId="0" borderId="3" xfId="0" applyNumberFormat="1" applyFont="1" applyBorder="1"/>
    <xf numFmtId="189" fontId="4" fillId="10" borderId="3" xfId="0" applyNumberFormat="1" applyFont="1" applyFill="1" applyBorder="1"/>
    <xf numFmtId="188" fontId="4" fillId="0" borderId="3" xfId="0" applyNumberFormat="1" applyFont="1" applyBorder="1"/>
    <xf numFmtId="191" fontId="6" fillId="39" borderId="11" xfId="0" applyNumberFormat="1" applyFont="1" applyFill="1" applyBorder="1"/>
    <xf numFmtId="191" fontId="6" fillId="0" borderId="11" xfId="0" applyNumberFormat="1" applyFont="1" applyBorder="1"/>
    <xf numFmtId="187" fontId="4" fillId="0" borderId="10" xfId="0" quotePrefix="1" applyNumberFormat="1" applyFont="1" applyBorder="1"/>
    <xf numFmtId="187" fontId="63" fillId="39" borderId="10" xfId="0" applyNumberFormat="1" applyFont="1" applyFill="1" applyBorder="1"/>
    <xf numFmtId="187" fontId="9" fillId="40" borderId="9" xfId="0" applyNumberFormat="1" applyFont="1" applyFill="1" applyBorder="1"/>
    <xf numFmtId="187" fontId="9" fillId="40" borderId="10" xfId="0" applyNumberFormat="1" applyFont="1" applyFill="1" applyBorder="1"/>
    <xf numFmtId="187" fontId="26" fillId="40" borderId="10" xfId="0" applyNumberFormat="1" applyFont="1" applyFill="1" applyBorder="1"/>
    <xf numFmtId="0" fontId="9" fillId="40" borderId="10" xfId="0" applyFont="1" applyFill="1" applyBorder="1"/>
    <xf numFmtId="0" fontId="9" fillId="40" borderId="11" xfId="0" applyFont="1" applyFill="1" applyBorder="1"/>
    <xf numFmtId="189" fontId="26" fillId="40" borderId="11" xfId="0" applyNumberFormat="1" applyFont="1" applyFill="1" applyBorder="1"/>
    <xf numFmtId="188" fontId="26" fillId="40" borderId="11" xfId="0" applyNumberFormat="1" applyFont="1" applyFill="1" applyBorder="1"/>
    <xf numFmtId="188" fontId="9" fillId="40" borderId="11" xfId="0" applyNumberFormat="1" applyFont="1" applyFill="1" applyBorder="1"/>
    <xf numFmtId="0" fontId="9" fillId="0" borderId="10" xfId="0" quotePrefix="1" applyFont="1" applyBorder="1"/>
    <xf numFmtId="187" fontId="4" fillId="40" borderId="9" xfId="0" applyNumberFormat="1" applyFont="1" applyFill="1" applyBorder="1"/>
    <xf numFmtId="187" fontId="4" fillId="40" borderId="10" xfId="0" applyNumberFormat="1" applyFont="1" applyFill="1" applyBorder="1"/>
    <xf numFmtId="187" fontId="6" fillId="40" borderId="10" xfId="0" applyNumberFormat="1" applyFont="1" applyFill="1" applyBorder="1"/>
    <xf numFmtId="0" fontId="4" fillId="40" borderId="10" xfId="0" applyFont="1" applyFill="1" applyBorder="1"/>
    <xf numFmtId="0" fontId="4" fillId="40" borderId="11" xfId="0" applyFont="1" applyFill="1" applyBorder="1"/>
    <xf numFmtId="189" fontId="6" fillId="40" borderId="11" xfId="0" applyNumberFormat="1" applyFont="1" applyFill="1" applyBorder="1"/>
    <xf numFmtId="188" fontId="6" fillId="40" borderId="11" xfId="0" applyNumberFormat="1" applyFont="1" applyFill="1" applyBorder="1"/>
    <xf numFmtId="188" fontId="4" fillId="40" borderId="11" xfId="0" applyNumberFormat="1" applyFont="1" applyFill="1" applyBorder="1"/>
    <xf numFmtId="187" fontId="4" fillId="0" borderId="5" xfId="0" applyNumberFormat="1" applyFont="1" applyBorder="1"/>
    <xf numFmtId="187" fontId="4" fillId="0" borderId="1" xfId="0" applyNumberFormat="1" applyFont="1" applyBorder="1"/>
    <xf numFmtId="0" fontId="4" fillId="0" borderId="4" xfId="0" applyFont="1" applyBorder="1"/>
    <xf numFmtId="0" fontId="6" fillId="38" borderId="7" xfId="0" applyFont="1" applyFill="1" applyBorder="1"/>
    <xf numFmtId="0" fontId="4" fillId="38" borderId="7" xfId="0" applyFont="1" applyFill="1" applyBorder="1"/>
    <xf numFmtId="0" fontId="4" fillId="38" borderId="8" xfId="0" applyFont="1" applyFill="1" applyBorder="1"/>
    <xf numFmtId="189" fontId="6" fillId="38" borderId="8" xfId="0" applyNumberFormat="1" applyFont="1" applyFill="1" applyBorder="1"/>
    <xf numFmtId="188" fontId="6" fillId="38" borderId="8" xfId="0" applyNumberFormat="1" applyFont="1" applyFill="1" applyBorder="1"/>
    <xf numFmtId="188" fontId="4" fillId="38" borderId="8" xfId="0" applyNumberFormat="1" applyFont="1" applyFill="1" applyBorder="1"/>
    <xf numFmtId="0" fontId="4" fillId="2" borderId="9" xfId="0" applyFont="1" applyFill="1" applyBorder="1"/>
    <xf numFmtId="0" fontId="4" fillId="2" borderId="5" xfId="0" applyFont="1" applyFill="1" applyBorder="1"/>
    <xf numFmtId="187" fontId="4" fillId="2" borderId="1" xfId="0" applyNumberFormat="1" applyFont="1" applyFill="1" applyBorder="1"/>
    <xf numFmtId="0" fontId="4" fillId="2" borderId="1" xfId="0" applyFont="1" applyFill="1" applyBorder="1"/>
    <xf numFmtId="189" fontId="4" fillId="38" borderId="8" xfId="0" applyNumberFormat="1" applyFont="1" applyFill="1" applyBorder="1"/>
    <xf numFmtId="0" fontId="4" fillId="39" borderId="13" xfId="0" applyFont="1" applyFill="1" applyBorder="1"/>
    <xf numFmtId="0" fontId="6" fillId="39" borderId="13" xfId="0" applyFont="1" applyFill="1" applyBorder="1"/>
    <xf numFmtId="0" fontId="4" fillId="39" borderId="14" xfId="0" applyFont="1" applyFill="1" applyBorder="1"/>
    <xf numFmtId="189" fontId="4" fillId="39" borderId="14" xfId="0" applyNumberFormat="1" applyFont="1" applyFill="1" applyBorder="1"/>
    <xf numFmtId="188" fontId="4" fillId="39" borderId="14" xfId="0" applyNumberFormat="1" applyFont="1" applyFill="1" applyBorder="1"/>
    <xf numFmtId="0" fontId="52" fillId="21" borderId="10" xfId="0" applyFont="1" applyFill="1" applyBorder="1"/>
    <xf numFmtId="187" fontId="4" fillId="2" borderId="11" xfId="0" applyNumberFormat="1" applyFont="1" applyFill="1" applyBorder="1"/>
    <xf numFmtId="192" fontId="4" fillId="2" borderId="11" xfId="0" applyNumberFormat="1" applyFont="1" applyFill="1" applyBorder="1"/>
    <xf numFmtId="187" fontId="6" fillId="2" borderId="11" xfId="0" applyNumberFormat="1" applyFont="1" applyFill="1" applyBorder="1"/>
    <xf numFmtId="0" fontId="4" fillId="0" borderId="5" xfId="0" applyFont="1" applyBorder="1"/>
    <xf numFmtId="0" fontId="66" fillId="0" borderId="1" xfId="0" applyFont="1" applyBorder="1"/>
    <xf numFmtId="187" fontId="4" fillId="2" borderId="4" xfId="0" applyNumberFormat="1" applyFont="1" applyFill="1" applyBorder="1"/>
    <xf numFmtId="192" fontId="4" fillId="2" borderId="4" xfId="0" applyNumberFormat="1" applyFont="1" applyFill="1" applyBorder="1"/>
    <xf numFmtId="0" fontId="26" fillId="38" borderId="7" xfId="0" applyFont="1" applyFill="1" applyBorder="1"/>
    <xf numFmtId="0" fontId="9" fillId="38" borderId="7" xfId="0" applyFont="1" applyFill="1" applyBorder="1"/>
    <xf numFmtId="0" fontId="9" fillId="38" borderId="8" xfId="0" applyFont="1" applyFill="1" applyBorder="1"/>
    <xf numFmtId="189" fontId="9" fillId="38" borderId="8" xfId="0" applyNumberFormat="1" applyFont="1" applyFill="1" applyBorder="1"/>
    <xf numFmtId="188" fontId="26" fillId="38" borderId="8" xfId="0" applyNumberFormat="1" applyFont="1" applyFill="1" applyBorder="1"/>
    <xf numFmtId="188" fontId="9" fillId="38" borderId="8" xfId="0" applyNumberFormat="1" applyFont="1" applyFill="1" applyBorder="1"/>
    <xf numFmtId="0" fontId="57" fillId="2" borderId="10" xfId="0" applyFont="1" applyFill="1" applyBorder="1"/>
    <xf numFmtId="0" fontId="57" fillId="21" borderId="10" xfId="0" applyFont="1" applyFill="1" applyBorder="1"/>
    <xf numFmtId="0" fontId="26" fillId="38" borderId="13" xfId="0" applyFont="1" applyFill="1" applyBorder="1"/>
    <xf numFmtId="0" fontId="9" fillId="38" borderId="13" xfId="0" applyFont="1" applyFill="1" applyBorder="1"/>
    <xf numFmtId="0" fontId="9" fillId="38" borderId="14" xfId="0" applyFont="1" applyFill="1" applyBorder="1"/>
    <xf numFmtId="189" fontId="9" fillId="38" borderId="14" xfId="0" applyNumberFormat="1" applyFont="1" applyFill="1" applyBorder="1"/>
    <xf numFmtId="188" fontId="26" fillId="38" borderId="14" xfId="0" applyNumberFormat="1" applyFont="1" applyFill="1" applyBorder="1"/>
    <xf numFmtId="188" fontId="9" fillId="38" borderId="14" xfId="0" applyNumberFormat="1" applyFont="1" applyFill="1" applyBorder="1"/>
    <xf numFmtId="0" fontId="26" fillId="38" borderId="10" xfId="0" applyFont="1" applyFill="1" applyBorder="1"/>
    <xf numFmtId="0" fontId="9" fillId="38" borderId="10" xfId="0" applyFont="1" applyFill="1" applyBorder="1"/>
    <xf numFmtId="0" fontId="9" fillId="38" borderId="11" xfId="0" applyFont="1" applyFill="1" applyBorder="1"/>
    <xf numFmtId="189" fontId="9" fillId="38" borderId="11" xfId="0" applyNumberFormat="1" applyFont="1" applyFill="1" applyBorder="1"/>
    <xf numFmtId="188" fontId="26" fillId="38" borderId="11" xfId="0" applyNumberFormat="1" applyFont="1" applyFill="1" applyBorder="1"/>
    <xf numFmtId="188" fontId="9" fillId="38" borderId="11" xfId="0" applyNumberFormat="1" applyFont="1" applyFill="1" applyBorder="1"/>
    <xf numFmtId="187" fontId="9" fillId="0" borderId="11" xfId="0" applyNumberFormat="1" applyFont="1" applyBorder="1"/>
    <xf numFmtId="187" fontId="63" fillId="38" borderId="10" xfId="0" applyNumberFormat="1" applyFont="1" applyFill="1" applyBorder="1"/>
    <xf numFmtId="0" fontId="4" fillId="38" borderId="10" xfId="0" applyFont="1" applyFill="1" applyBorder="1"/>
    <xf numFmtId="0" fontId="4" fillId="38" borderId="11" xfId="0" applyFont="1" applyFill="1" applyBorder="1"/>
    <xf numFmtId="189" fontId="6" fillId="38" borderId="11" xfId="0" applyNumberFormat="1" applyFont="1" applyFill="1" applyBorder="1"/>
    <xf numFmtId="188" fontId="6" fillId="38" borderId="11" xfId="0" applyNumberFormat="1" applyFont="1" applyFill="1" applyBorder="1"/>
    <xf numFmtId="188" fontId="4" fillId="38" borderId="11" xfId="0" applyNumberFormat="1" applyFont="1" applyFill="1" applyBorder="1"/>
    <xf numFmtId="187" fontId="4" fillId="0" borderId="11" xfId="0" applyNumberFormat="1" applyFont="1" applyBorder="1"/>
    <xf numFmtId="187" fontId="32" fillId="0" borderId="9" xfId="0" applyNumberFormat="1" applyFont="1" applyBorder="1"/>
    <xf numFmtId="187" fontId="32" fillId="0" borderId="10" xfId="0" applyNumberFormat="1" applyFont="1" applyBorder="1"/>
    <xf numFmtId="0" fontId="32" fillId="0" borderId="10" xfId="0" applyFont="1" applyBorder="1"/>
    <xf numFmtId="0" fontId="32" fillId="0" borderId="11" xfId="0" applyFont="1" applyBorder="1"/>
    <xf numFmtId="0" fontId="32" fillId="0" borderId="0" xfId="0" applyFont="1"/>
    <xf numFmtId="187" fontId="9" fillId="38" borderId="10" xfId="0" applyNumberFormat="1" applyFont="1" applyFill="1" applyBorder="1"/>
    <xf numFmtId="187" fontId="57" fillId="21" borderId="10" xfId="0" applyNumberFormat="1" applyFont="1" applyFill="1" applyBorder="1"/>
    <xf numFmtId="187" fontId="9" fillId="2" borderId="24" xfId="0" applyNumberFormat="1" applyFont="1" applyFill="1" applyBorder="1"/>
    <xf numFmtId="187" fontId="9" fillId="2" borderId="25" xfId="0" applyNumberFormat="1" applyFont="1" applyFill="1" applyBorder="1"/>
    <xf numFmtId="0" fontId="9" fillId="2" borderId="25" xfId="0" applyFont="1" applyFill="1" applyBorder="1"/>
    <xf numFmtId="0" fontId="9" fillId="2" borderId="26" xfId="0" applyFont="1" applyFill="1" applyBorder="1"/>
    <xf numFmtId="189" fontId="9" fillId="2" borderId="26" xfId="0" applyNumberFormat="1" applyFont="1" applyFill="1" applyBorder="1"/>
    <xf numFmtId="188" fontId="9" fillId="2" borderId="26" xfId="0" applyNumberFormat="1" applyFont="1" applyFill="1" applyBorder="1"/>
    <xf numFmtId="0" fontId="6" fillId="41" borderId="9" xfId="0" applyFont="1" applyFill="1" applyBorder="1"/>
    <xf numFmtId="0" fontId="4" fillId="41" borderId="10" xfId="0" applyFont="1" applyFill="1" applyBorder="1"/>
    <xf numFmtId="187" fontId="4" fillId="41" borderId="10" xfId="0" applyNumberFormat="1" applyFont="1" applyFill="1" applyBorder="1"/>
    <xf numFmtId="0" fontId="4" fillId="41" borderId="11" xfId="0" applyFont="1" applyFill="1" applyBorder="1"/>
    <xf numFmtId="0" fontId="6" fillId="41" borderId="11" xfId="0" applyFont="1" applyFill="1" applyBorder="1"/>
    <xf numFmtId="189" fontId="4" fillId="41" borderId="11" xfId="0" applyNumberFormat="1" applyFont="1" applyFill="1" applyBorder="1"/>
    <xf numFmtId="188" fontId="4" fillId="41" borderId="11" xfId="0" applyNumberFormat="1" applyFont="1" applyFill="1" applyBorder="1"/>
    <xf numFmtId="0" fontId="4" fillId="2" borderId="4" xfId="0" applyFont="1" applyFill="1" applyBorder="1"/>
    <xf numFmtId="189" fontId="4" fillId="26" borderId="11" xfId="0" applyNumberFormat="1" applyFont="1" applyFill="1" applyBorder="1"/>
    <xf numFmtId="189" fontId="4" fillId="38" borderId="11" xfId="0" applyNumberFormat="1" applyFont="1" applyFill="1" applyBorder="1"/>
    <xf numFmtId="0" fontId="6" fillId="41" borderId="27" xfId="0" applyFont="1" applyFill="1" applyBorder="1"/>
    <xf numFmtId="0" fontId="4" fillId="41" borderId="28" xfId="0" applyFont="1" applyFill="1" applyBorder="1"/>
    <xf numFmtId="187" fontId="4" fillId="41" borderId="28" xfId="0" applyNumberFormat="1" applyFont="1" applyFill="1" applyBorder="1"/>
    <xf numFmtId="0" fontId="4" fillId="41" borderId="29" xfId="0" applyFont="1" applyFill="1" applyBorder="1"/>
    <xf numFmtId="0" fontId="6" fillId="41" borderId="29" xfId="0" applyFont="1" applyFill="1" applyBorder="1"/>
    <xf numFmtId="189" fontId="4" fillId="41" borderId="29" xfId="0" applyNumberFormat="1" applyFont="1" applyFill="1" applyBorder="1"/>
    <xf numFmtId="188" fontId="4" fillId="41" borderId="29" xfId="0" applyNumberFormat="1" applyFont="1" applyFill="1" applyBorder="1"/>
    <xf numFmtId="187" fontId="1" fillId="38" borderId="15" xfId="0" applyNumberFormat="1" applyFont="1" applyFill="1" applyBorder="1" applyAlignment="1">
      <alignment horizontal="center"/>
    </xf>
    <xf numFmtId="189" fontId="1" fillId="38" borderId="14" xfId="0" applyNumberFormat="1" applyFont="1" applyFill="1" applyBorder="1" applyAlignment="1">
      <alignment horizontal="right"/>
    </xf>
    <xf numFmtId="188" fontId="1" fillId="38" borderId="14" xfId="0" applyNumberFormat="1" applyFont="1" applyFill="1" applyBorder="1" applyAlignment="1">
      <alignment horizontal="right"/>
    </xf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/>
    <xf numFmtId="188" fontId="2" fillId="2" borderId="11" xfId="0" applyNumberFormat="1" applyFont="1" applyFill="1" applyBorder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/>
    <xf numFmtId="188" fontId="2" fillId="0" borderId="11" xfId="0" applyNumberFormat="1" applyFont="1" applyBorder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35" fillId="0" borderId="16" xfId="0" applyFont="1" applyBorder="1" applyAlignment="1">
      <alignment horizontal="center" wrapText="1"/>
    </xf>
    <xf numFmtId="189" fontId="29" fillId="0" borderId="11" xfId="0" applyNumberFormat="1" applyFont="1" applyBorder="1"/>
    <xf numFmtId="189" fontId="35" fillId="0" borderId="11" xfId="0" applyNumberFormat="1" applyFont="1" applyBorder="1" applyAlignment="1">
      <alignment horizontal="right"/>
    </xf>
    <xf numFmtId="188" fontId="29" fillId="2" borderId="11" xfId="0" applyNumberFormat="1" applyFont="1" applyFill="1" applyBorder="1"/>
    <xf numFmtId="189" fontId="35" fillId="2" borderId="11" xfId="0" applyNumberFormat="1" applyFont="1" applyFill="1" applyBorder="1" applyAlignment="1">
      <alignment horizontal="right"/>
    </xf>
    <xf numFmtId="188" fontId="35" fillId="2" borderId="11" xfId="0" applyNumberFormat="1" applyFont="1" applyFill="1" applyBorder="1" applyAlignment="1">
      <alignment horizontal="right"/>
    </xf>
    <xf numFmtId="188" fontId="6" fillId="8" borderId="4" xfId="0" applyNumberFormat="1" applyFont="1" applyFill="1" applyBorder="1"/>
    <xf numFmtId="188" fontId="6" fillId="13" borderId="11" xfId="0" applyNumberFormat="1" applyFont="1" applyFill="1" applyBorder="1"/>
    <xf numFmtId="188" fontId="6" fillId="17" borderId="11" xfId="0" applyNumberFormat="1" applyFont="1" applyFill="1" applyBorder="1"/>
    <xf numFmtId="0" fontId="74" fillId="2" borderId="0" xfId="0" applyFont="1" applyFill="1"/>
    <xf numFmtId="187" fontId="20" fillId="23" borderId="9" xfId="0" applyNumberFormat="1" applyFont="1" applyFill="1" applyBorder="1"/>
    <xf numFmtId="187" fontId="20" fillId="23" borderId="10" xfId="0" applyNumberFormat="1" applyFont="1" applyFill="1" applyBorder="1"/>
    <xf numFmtId="0" fontId="20" fillId="23" borderId="10" xfId="0" applyFont="1" applyFill="1" applyBorder="1"/>
    <xf numFmtId="0" fontId="20" fillId="23" borderId="11" xfId="0" applyFont="1" applyFill="1" applyBorder="1"/>
    <xf numFmtId="0" fontId="20" fillId="23" borderId="13" xfId="0" applyFont="1" applyFill="1" applyBorder="1"/>
    <xf numFmtId="187" fontId="6" fillId="0" borderId="9" xfId="0" applyNumberFormat="1" applyFont="1" applyBorder="1"/>
    <xf numFmtId="0" fontId="6" fillId="0" borderId="11" xfId="0" applyFont="1" applyBorder="1"/>
    <xf numFmtId="0" fontId="6" fillId="0" borderId="0" xfId="0" applyFont="1"/>
    <xf numFmtId="0" fontId="6" fillId="38" borderId="8" xfId="0" applyFont="1" applyFill="1" applyBorder="1" applyAlignment="1">
      <alignment horizontal="center"/>
    </xf>
    <xf numFmtId="191" fontId="4" fillId="2" borderId="11" xfId="0" applyNumberFormat="1" applyFont="1" applyFill="1" applyBorder="1"/>
    <xf numFmtId="0" fontId="4" fillId="10" borderId="11" xfId="0" applyFont="1" applyFill="1" applyBorder="1"/>
    <xf numFmtId="189" fontId="4" fillId="10" borderId="11" xfId="0" applyNumberFormat="1" applyFont="1" applyFill="1" applyBorder="1" applyAlignment="1">
      <alignment horizontal="center"/>
    </xf>
    <xf numFmtId="189" fontId="6" fillId="10" borderId="11" xfId="0" applyNumberFormat="1" applyFont="1" applyFill="1" applyBorder="1"/>
    <xf numFmtId="0" fontId="52" fillId="2" borderId="10" xfId="0" applyFont="1" applyFill="1" applyBorder="1" applyAlignment="1"/>
    <xf numFmtId="0" fontId="3" fillId="0" borderId="10" xfId="0" applyFont="1" applyBorder="1"/>
    <xf numFmtId="0" fontId="62" fillId="2" borderId="13" xfId="0" applyFont="1" applyFill="1" applyBorder="1" applyAlignment="1"/>
    <xf numFmtId="0" fontId="3" fillId="0" borderId="13" xfId="0" applyFont="1" applyBorder="1"/>
    <xf numFmtId="0" fontId="69" fillId="2" borderId="10" xfId="0" applyFont="1" applyFill="1" applyBorder="1" applyAlignment="1"/>
    <xf numFmtId="0" fontId="57" fillId="2" borderId="10" xfId="0" applyFont="1" applyFill="1" applyBorder="1" applyAlignment="1"/>
    <xf numFmtId="0" fontId="1" fillId="16" borderId="10" xfId="0" applyFont="1" applyFill="1" applyBorder="1" applyAlignment="1"/>
    <xf numFmtId="0" fontId="3" fillId="0" borderId="11" xfId="0" applyFont="1" applyBorder="1"/>
    <xf numFmtId="0" fontId="50" fillId="2" borderId="13" xfId="0" applyFont="1" applyFill="1" applyBorder="1" applyAlignment="1"/>
    <xf numFmtId="0" fontId="1" fillId="8" borderId="5" xfId="0" applyFont="1" applyFill="1" applyBorder="1" applyAlignment="1"/>
    <xf numFmtId="0" fontId="3" fillId="0" borderId="1" xfId="0" applyFont="1" applyBorder="1"/>
    <xf numFmtId="0" fontId="3" fillId="0" borderId="4" xfId="0" applyFont="1" applyBorder="1"/>
    <xf numFmtId="0" fontId="1" fillId="13" borderId="10" xfId="0" applyFont="1" applyFill="1" applyBorder="1" applyAlignment="1"/>
    <xf numFmtId="0" fontId="1" fillId="15" borderId="5" xfId="0" applyFont="1" applyFill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52" fillId="2" borderId="10" xfId="0" applyFont="1" applyFill="1" applyBorder="1"/>
    <xf numFmtId="0" fontId="57" fillId="2" borderId="10" xfId="0" applyFont="1" applyFill="1" applyBorder="1"/>
    <xf numFmtId="0" fontId="58" fillId="2" borderId="10" xfId="0" applyFont="1" applyFill="1" applyBorder="1"/>
    <xf numFmtId="0" fontId="5" fillId="2" borderId="13" xfId="0" applyFont="1" applyFill="1" applyBorder="1"/>
    <xf numFmtId="0" fontId="52" fillId="2" borderId="13" xfId="0" applyFont="1" applyFill="1" applyBorder="1"/>
    <xf numFmtId="0" fontId="1" fillId="8" borderId="5" xfId="0" applyFont="1" applyFill="1" applyBorder="1"/>
    <xf numFmtId="0" fontId="1" fillId="13" borderId="10" xfId="0" applyFont="1" applyFill="1" applyBorder="1"/>
    <xf numFmtId="0" fontId="1" fillId="15" borderId="5" xfId="0" applyFont="1" applyFill="1" applyBorder="1"/>
    <xf numFmtId="0" fontId="1" fillId="16" borderId="10" xfId="0" applyFont="1" applyFill="1" applyBorder="1"/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85" workbookViewId="0">
      <pane ySplit="6" topLeftCell="A7" activePane="bottomLeft" state="frozen"/>
      <selection activeCell="Q24" sqref="Q24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20.42578125" bestFit="1" customWidth="1"/>
    <col min="10" max="10" width="18.7109375" bestFit="1" customWidth="1"/>
    <col min="11" max="11" width="12.5703125" customWidth="1"/>
    <col min="12" max="12" width="24.7109375" bestFit="1" customWidth="1"/>
    <col min="13" max="14" width="23" bestFit="1" customWidth="1"/>
    <col min="15" max="15" width="20.140625" bestFit="1" customWidth="1"/>
    <col min="16" max="16" width="22" bestFit="1" customWidth="1"/>
  </cols>
  <sheetData>
    <row r="1" spans="1:26" ht="19.5">
      <c r="A1" s="1498" t="s">
        <v>0</v>
      </c>
      <c r="B1" s="1499"/>
      <c r="C1" s="1499"/>
      <c r="D1" s="1499"/>
      <c r="E1" s="1499"/>
      <c r="F1" s="1499"/>
      <c r="G1" s="1499"/>
      <c r="H1" s="1499"/>
      <c r="I1" s="1499"/>
      <c r="J1" s="1499"/>
      <c r="K1" s="1499"/>
      <c r="L1" s="1499"/>
      <c r="M1" s="1499"/>
      <c r="N1" s="1499"/>
      <c r="O1" s="1499"/>
      <c r="P1" s="1499"/>
    </row>
    <row r="2" spans="1:26" ht="19.5">
      <c r="A2" s="1498" t="s">
        <v>1</v>
      </c>
      <c r="B2" s="1499"/>
      <c r="C2" s="1499"/>
      <c r="D2" s="1499"/>
      <c r="E2" s="1499"/>
      <c r="F2" s="1499"/>
      <c r="G2" s="1499"/>
      <c r="H2" s="1499"/>
      <c r="I2" s="1499"/>
      <c r="J2" s="1499"/>
      <c r="K2" s="1499"/>
      <c r="L2" s="1499"/>
      <c r="M2" s="1499"/>
      <c r="N2" s="1499"/>
      <c r="O2" s="1499"/>
      <c r="P2" s="1499"/>
    </row>
    <row r="3" spans="1:26" ht="19.5">
      <c r="A3" s="1498" t="s">
        <v>329</v>
      </c>
      <c r="B3" s="1499"/>
      <c r="C3" s="1499"/>
      <c r="D3" s="1499"/>
      <c r="E3" s="1499"/>
      <c r="F3" s="1499"/>
      <c r="G3" s="1499"/>
      <c r="H3" s="1499"/>
      <c r="I3" s="1499"/>
      <c r="J3" s="1499"/>
      <c r="K3" s="1499"/>
      <c r="L3" s="1499"/>
      <c r="M3" s="1499"/>
      <c r="N3" s="1499"/>
      <c r="O3" s="1499"/>
      <c r="P3" s="1499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1504" t="s">
        <v>2</v>
      </c>
      <c r="B5" s="1499"/>
      <c r="C5" s="1499"/>
      <c r="D5" s="1499"/>
      <c r="E5" s="1499"/>
      <c r="F5" s="1499"/>
      <c r="G5" s="1505"/>
      <c r="H5" s="1500" t="s">
        <v>3</v>
      </c>
      <c r="I5" s="1501" t="s">
        <v>4</v>
      </c>
      <c r="J5" s="1494"/>
      <c r="K5" s="1495"/>
      <c r="L5" s="1502" t="s">
        <v>5</v>
      </c>
      <c r="M5" s="1495"/>
      <c r="N5" s="1503" t="s">
        <v>6</v>
      </c>
      <c r="O5" s="1494"/>
      <c r="P5" s="1495"/>
    </row>
    <row r="6" spans="1:26" ht="19.5">
      <c r="A6" s="1506"/>
      <c r="B6" s="1494"/>
      <c r="C6" s="1494"/>
      <c r="D6" s="1494"/>
      <c r="E6" s="1494"/>
      <c r="F6" s="1494"/>
      <c r="G6" s="1495"/>
      <c r="H6" s="14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493" t="s">
        <v>15</v>
      </c>
      <c r="B7" s="1494"/>
      <c r="C7" s="1494"/>
      <c r="D7" s="1494"/>
      <c r="E7" s="1494"/>
      <c r="F7" s="1494"/>
      <c r="G7" s="149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115399577</v>
      </c>
      <c r="M8" s="22">
        <f t="shared" ca="1" si="0"/>
        <v>67831524.700000003</v>
      </c>
      <c r="N8" s="22">
        <f t="shared" ca="1" si="0"/>
        <v>53601370.969999991</v>
      </c>
      <c r="O8" s="22">
        <f t="shared" ref="O8:O16" ca="1" si="1">IF(L8&gt;0,N8*100/L8,0)</f>
        <v>46.448498654375477</v>
      </c>
      <c r="P8" s="22">
        <f t="shared" ref="P8:P16" ca="1" si="2">IF(M8&gt;0,N8*100/M8,0)</f>
        <v>79.021327040876599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115399577</v>
      </c>
      <c r="M10" s="30">
        <f t="shared" ca="1" si="4"/>
        <v>67831524.700000003</v>
      </c>
      <c r="N10" s="30">
        <f t="shared" ca="1" si="4"/>
        <v>53601370.969999991</v>
      </c>
      <c r="O10" s="30">
        <f t="shared" ca="1" si="1"/>
        <v>46.448498654375477</v>
      </c>
      <c r="P10" s="30">
        <f t="shared" ca="1" si="2"/>
        <v>79.021327040876599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96513477</v>
      </c>
      <c r="M11" s="38">
        <f t="shared" ca="1" si="5"/>
        <v>49187228.700000003</v>
      </c>
      <c r="N11" s="38">
        <f t="shared" ca="1" si="5"/>
        <v>36279074.969999991</v>
      </c>
      <c r="O11" s="38">
        <f t="shared" ca="1" si="1"/>
        <v>37.589646645929037</v>
      </c>
      <c r="P11" s="38">
        <f t="shared" ca="1" si="2"/>
        <v>73.757103070944083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96513477</v>
      </c>
      <c r="M13" s="45">
        <f t="shared" ca="1" si="7"/>
        <v>49187228.700000003</v>
      </c>
      <c r="N13" s="45">
        <f t="shared" ca="1" si="7"/>
        <v>36279074.969999991</v>
      </c>
      <c r="O13" s="45">
        <f t="shared" ca="1" si="1"/>
        <v>37.589646645929037</v>
      </c>
      <c r="P13" s="45">
        <f t="shared" ca="1" si="2"/>
        <v>73.757103070944083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18886100</v>
      </c>
      <c r="M14" s="38">
        <f t="shared" ca="1" si="8"/>
        <v>18644296</v>
      </c>
      <c r="N14" s="38">
        <f t="shared" ca="1" si="8"/>
        <v>17322296</v>
      </c>
      <c r="O14" s="38">
        <f t="shared" ca="1" si="1"/>
        <v>91.719815102112136</v>
      </c>
      <c r="P14" s="38">
        <f t="shared" ca="1" si="2"/>
        <v>92.909359516712243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18886100</v>
      </c>
      <c r="M16" s="52">
        <f t="shared" ca="1" si="10"/>
        <v>18644296</v>
      </c>
      <c r="N16" s="52">
        <f t="shared" ca="1" si="10"/>
        <v>17322296</v>
      </c>
      <c r="O16" s="52">
        <f t="shared" ca="1" si="1"/>
        <v>91.719815102112136</v>
      </c>
      <c r="P16" s="52">
        <f t="shared" ca="1" si="2"/>
        <v>92.909359516712243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1493" t="s">
        <v>22</v>
      </c>
      <c r="B17" s="1494"/>
      <c r="C17" s="1494"/>
      <c r="D17" s="1494"/>
      <c r="E17" s="1494"/>
      <c r="F17" s="1494"/>
      <c r="G17" s="149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79387498</v>
      </c>
      <c r="M18" s="22">
        <f t="shared" ca="1" si="11"/>
        <v>67831524.700000003</v>
      </c>
      <c r="N18" s="22">
        <f t="shared" ca="1" si="11"/>
        <v>44810790.209999993</v>
      </c>
      <c r="O18" s="22">
        <f t="shared" ref="O18:O26" ca="1" si="12">IF(L18&gt;0,N18*100/L18,0)</f>
        <v>56.445651190569059</v>
      </c>
      <c r="P18" s="22">
        <f t="shared" ref="P18:P26" ca="1" si="13">IF(M18&gt;0,N18*100/M18,0)</f>
        <v>66.061894389350186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79387498</v>
      </c>
      <c r="M20" s="30">
        <f t="shared" ca="1" si="15"/>
        <v>67831524.700000003</v>
      </c>
      <c r="N20" s="30">
        <f t="shared" ca="1" si="15"/>
        <v>44810790.209999993</v>
      </c>
      <c r="O20" s="30">
        <f t="shared" ca="1" si="12"/>
        <v>56.445651190569059</v>
      </c>
      <c r="P20" s="30">
        <f t="shared" ca="1" si="13"/>
        <v>66.061894389350186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60501398</v>
      </c>
      <c r="M21" s="38">
        <f t="shared" ca="1" si="16"/>
        <v>49187228.700000003</v>
      </c>
      <c r="N21" s="38">
        <f t="shared" ca="1" si="16"/>
        <v>27488494.209999993</v>
      </c>
      <c r="O21" s="38">
        <f t="shared" ca="1" si="12"/>
        <v>45.434477745456384</v>
      </c>
      <c r="P21" s="38">
        <f t="shared" ca="1" si="13"/>
        <v>55.885429890055981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ref="L23:N23" ca="1" si="18">L46+L58+L71+L93+L124+L137+L154+L186+L170+L266+L282+L303+L320+L333+L350+L394+L407</f>
        <v>60501398</v>
      </c>
      <c r="M23" s="45">
        <f t="shared" ca="1" si="18"/>
        <v>49187228.700000003</v>
      </c>
      <c r="N23" s="45">
        <f t="shared" ca="1" si="18"/>
        <v>27488494.209999993</v>
      </c>
      <c r="O23" s="45">
        <f t="shared" ca="1" si="12"/>
        <v>45.434477745456384</v>
      </c>
      <c r="P23" s="45">
        <f t="shared" ca="1" si="13"/>
        <v>55.885429890055981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9">L25+L26</f>
        <v>18886100</v>
      </c>
      <c r="M24" s="38">
        <f t="shared" ca="1" si="19"/>
        <v>18644296</v>
      </c>
      <c r="N24" s="38">
        <f t="shared" ca="1" si="19"/>
        <v>17322296</v>
      </c>
      <c r="O24" s="38">
        <f t="shared" ca="1" si="12"/>
        <v>91.719815102112136</v>
      </c>
      <c r="P24" s="38">
        <f t="shared" ca="1" si="13"/>
        <v>92.909359516712243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20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20"/>
        <v>18886100</v>
      </c>
      <c r="M26" s="52">
        <f t="shared" ref="M26:N26" ca="1" si="21">M49+M61+M74+M96+M127+M140+M157+M189+M173+M269+M285+M306+M323+M336+M353+M397+M410</f>
        <v>18644296</v>
      </c>
      <c r="N26" s="52">
        <f t="shared" ca="1" si="21"/>
        <v>17322296</v>
      </c>
      <c r="O26" s="52">
        <f t="shared" ca="1" si="12"/>
        <v>91.719815102112136</v>
      </c>
      <c r="P26" s="52">
        <f t="shared" ca="1" si="13"/>
        <v>92.909359516712243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1493" t="s">
        <v>23</v>
      </c>
      <c r="B27" s="1494"/>
      <c r="C27" s="1494"/>
      <c r="D27" s="1494"/>
      <c r="E27" s="1494"/>
      <c r="F27" s="1494"/>
      <c r="G27" s="149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2">L29+L30</f>
        <v>36012079</v>
      </c>
      <c r="M28" s="22">
        <f t="shared" si="22"/>
        <v>0</v>
      </c>
      <c r="N28" s="22">
        <f t="shared" ca="1" si="22"/>
        <v>8790580.7599999998</v>
      </c>
      <c r="O28" s="22">
        <f t="shared" ref="O28:O37" ca="1" si="23">IF(L28&gt;0,N28*100/L28,0)</f>
        <v>24.410089625761401</v>
      </c>
      <c r="P28" s="22">
        <f t="shared" ref="P28:P31" si="24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5">L32+L35</f>
        <v>0</v>
      </c>
      <c r="M29" s="30">
        <f t="shared" si="25"/>
        <v>0</v>
      </c>
      <c r="N29" s="30">
        <f t="shared" si="25"/>
        <v>0</v>
      </c>
      <c r="O29" s="30">
        <f t="shared" si="23"/>
        <v>0</v>
      </c>
      <c r="P29" s="30">
        <f t="shared" si="24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6">L33+L36</f>
        <v>36012079</v>
      </c>
      <c r="M30" s="30">
        <f t="shared" si="26"/>
        <v>0</v>
      </c>
      <c r="N30" s="30">
        <f t="shared" ca="1" si="26"/>
        <v>8790580.7599999998</v>
      </c>
      <c r="O30" s="30">
        <f t="shared" ca="1" si="23"/>
        <v>24.410089625761401</v>
      </c>
      <c r="P30" s="30">
        <f t="shared" si="24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7">L32+L33</f>
        <v>36012079</v>
      </c>
      <c r="M31" s="38">
        <f t="shared" si="27"/>
        <v>0</v>
      </c>
      <c r="N31" s="38">
        <f t="shared" ca="1" si="27"/>
        <v>8790580.7599999998</v>
      </c>
      <c r="O31" s="38">
        <f t="shared" ca="1" si="23"/>
        <v>24.410089625761401</v>
      </c>
      <c r="P31" s="38">
        <f t="shared" si="24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8">L423+L448+L471+L506+L527+L548+L633+L659+L689+L741+L758+L774+L790+L809</f>
        <v>0</v>
      </c>
      <c r="M32" s="45">
        <f t="shared" si="28"/>
        <v>0</v>
      </c>
      <c r="N32" s="45">
        <f t="shared" si="28"/>
        <v>0</v>
      </c>
      <c r="O32" s="45">
        <f t="shared" si="23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9">L424+L449+L472+L507+L528+L549+L634+L660+L690+L742+L759+L775+L791+L810</f>
        <v>36012079</v>
      </c>
      <c r="M33" s="45">
        <f t="shared" si="29"/>
        <v>0</v>
      </c>
      <c r="N33" s="45">
        <f t="shared" ca="1" si="29"/>
        <v>8790580.7599999998</v>
      </c>
      <c r="O33" s="45">
        <f t="shared" ca="1" si="23"/>
        <v>24.410089625761401</v>
      </c>
      <c r="P33" s="45">
        <f t="shared" ref="P33:P37" si="30">IF(M33&gt;0,N33*100/M33,0)</f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1">L35+L36</f>
        <v>0</v>
      </c>
      <c r="M34" s="38">
        <f t="shared" si="31"/>
        <v>0</v>
      </c>
      <c r="N34" s="38">
        <f t="shared" si="31"/>
        <v>0</v>
      </c>
      <c r="O34" s="38">
        <f t="shared" ca="1" si="23"/>
        <v>0</v>
      </c>
      <c r="P34" s="38">
        <f t="shared" si="30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2">L430+L455+L478+L513+L534+L556+L640+L666+L696+L748+L765+L781+L797+L816</f>
        <v>0</v>
      </c>
      <c r="M35" s="45">
        <f t="shared" si="32"/>
        <v>0</v>
      </c>
      <c r="N35" s="45">
        <f t="shared" si="32"/>
        <v>0</v>
      </c>
      <c r="O35" s="45">
        <f t="shared" si="23"/>
        <v>0</v>
      </c>
      <c r="P35" s="45">
        <f t="shared" si="30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3">L431+L456+L479+L514+L535+L557+L641+L667+L697+L749+L766+L782+L798+L817</f>
        <v>0</v>
      </c>
      <c r="M36" s="52">
        <f t="shared" si="33"/>
        <v>0</v>
      </c>
      <c r="N36" s="52">
        <f t="shared" si="33"/>
        <v>0</v>
      </c>
      <c r="O36" s="52">
        <f t="shared" ca="1" si="23"/>
        <v>0</v>
      </c>
      <c r="P36" s="52">
        <f t="shared" si="30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79387498</v>
      </c>
      <c r="M37" s="59">
        <f ca="1">M41+M53+M66+M88+M119+M132+M149+M165+M181+M261+M277+M298+M315+M468+M345+M389+M402</f>
        <v>65030074.700000003</v>
      </c>
      <c r="N37" s="59">
        <f ca="1">N41+N53+N66+N88+N119+N132+N149+N165+N181+N261+N277+N298+N315+N328+N345+N389+N402</f>
        <v>44810790.209999993</v>
      </c>
      <c r="O37" s="59">
        <f t="shared" ca="1" si="23"/>
        <v>56.445651190569059</v>
      </c>
      <c r="P37" s="59">
        <f t="shared" ca="1" si="30"/>
        <v>68.907794457754164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1496" t="s">
        <v>27</v>
      </c>
      <c r="C40" s="1485"/>
      <c r="D40" s="1485"/>
      <c r="E40" s="1485"/>
      <c r="F40" s="1485"/>
      <c r="G40" s="1491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4">L42+L43</f>
        <v>9204143</v>
      </c>
      <c r="M41" s="85">
        <f t="shared" ca="1" si="34"/>
        <v>9352743.6999999993</v>
      </c>
      <c r="N41" s="85">
        <f t="shared" ca="1" si="34"/>
        <v>4559930.45</v>
      </c>
      <c r="O41" s="85">
        <f t="shared" ref="O41:O45" ca="1" si="35">IF(L41&gt;0,N41*100/L41,0)</f>
        <v>49.542151289913683</v>
      </c>
      <c r="P41" s="85">
        <f t="shared" ref="P41:P49" ca="1" si="36">IF(M41&gt;0,N41*100/M41,0)</f>
        <v>48.755002769935849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7">L45+L48</f>
        <v>0</v>
      </c>
      <c r="M42" s="92">
        <f t="shared" si="37"/>
        <v>0</v>
      </c>
      <c r="N42" s="92">
        <f t="shared" si="37"/>
        <v>0</v>
      </c>
      <c r="O42" s="92">
        <f t="shared" si="35"/>
        <v>0</v>
      </c>
      <c r="P42" s="92">
        <f t="shared" si="3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8">L46+L49</f>
        <v>9204143</v>
      </c>
      <c r="M43" s="92">
        <f t="shared" ca="1" si="38"/>
        <v>9352743.6999999993</v>
      </c>
      <c r="N43" s="92">
        <f t="shared" ca="1" si="38"/>
        <v>4559930.45</v>
      </c>
      <c r="O43" s="92">
        <f t="shared" ca="1" si="35"/>
        <v>49.542151289913683</v>
      </c>
      <c r="P43" s="92">
        <f t="shared" ca="1" si="36"/>
        <v>48.755002769935849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9">L45+L46</f>
        <v>9204143</v>
      </c>
      <c r="M44" s="38">
        <f t="shared" ca="1" si="39"/>
        <v>9352743.6999999993</v>
      </c>
      <c r="N44" s="38">
        <f t="shared" ca="1" si="39"/>
        <v>4559930.45</v>
      </c>
      <c r="O44" s="38">
        <f t="shared" ca="1" si="35"/>
        <v>49.542151289913683</v>
      </c>
      <c r="P44" s="38">
        <f t="shared" ca="1" si="36"/>
        <v>48.755002769935849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5"/>
        <v>0</v>
      </c>
      <c r="P45" s="45">
        <f t="shared" si="3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xicF4apzSqm0-jIpmueT4kyZtE-Cwn5zskl7GD4loQ/edit?usp=share_link"",""กำแพงเพชร!L46"")+IMPORTRANGE(""https://docs.google.com/spreadsheets/d/1ZNYWeiFoFA1K1U4xKWqRX29MBvEyRHXORjo734Gnq_c/edit?usp=share_lin"&amp;"k"",""เชียงราย!L46"")
+IMPORTRANGE(""https://docs.google.com/spreadsheets/d/1Jgv0Y7YlHDtsiDawwp-uvifEJ8HVaSn0k2aGHG8-hwM/edit?usp=share_link"",""เชียงใหม่!L46"")+IMPORTRANGE(""https://docs.google.com/spreadsheets/d/1JWG2rZePOz9pe-f-ObA-yDr0VoOX2kSb0qIix2m"&amp;"TUo8/edit?usp=share_link"",""ตาก!L46"")+IMPORTRANGE(""https://docs.google.com/spreadsheets/d/10nSRjK08hx8Y6HgSOQKNw81lyY46Zc7U_Cj72hBMp9U/edit?usp=share_link"",""นครสวรรค์!L46"")+IMPORTRANGE(""https://docs.google.com/spreadsheets/d/1gFVb7qd7amutrIxAAoM7lc"&amp;"y35hllxznovot8lyOfvDo/edit?usp=share_link"",""น่าน!L46"")+IMPORTRANGE(""https://docs.google.com/spreadsheets/d/1K0Aa9s-6EuHE5M0FG1F9aHLXRCOV917xvycTdLdct0w/edit?usp=share_link"",""พะเยา!L46"")+IMPORTRANGE(""https://docs.google.com/spreadsheets/d/1Y9LPKx95"&amp;"PyL5OKy09d-KbKJSuuEZCFdkhYjwC0XQjBA/edit?usp=share_link"",""พิจิตร!L46"")+IMPORTRANGE(""https://docs.google.com/spreadsheets/d/16OMuOwy2eVqZcYWOouQtTpa8X1L23h4660uVHc0C8os/edit?usp=share_link"",""พิษณุโลก!L46"")+IMPORTRANGE(""https://docs.google.com/sprea"&amp;"dsheets/d/1GfgTldLG6k77HXaMQzaafODklYuucJZQNs_GAPEfZyY/edit?usp=share_link"",""เพชรบูรณ์!L46"")+IMPORTRANGE(""https://docs.google.com/spreadsheets/d/1gvTMYAnm7v1yG1BKWFtr0DnaTsq59oW9dwWvFgq6hs0/edit?usp=share_link"",""แพร่!L46"")+IMPORTRANGE(""https://doc"&amp;"s.google.com/spreadsheets/d/1Wbcosgy-Xa1xXUArJSOenub6EfZHUSzc_bpJFWwQUf0/edit?usp=share_link"",""แม่ฮ่องสอน!L46"")+IMPORTRANGE(""https://docs.google.com/spreadsheets/d/1p7ERhsr0qZeSn-KSOdeHS9r0heI-lHtkcn2OH7hP0jQ/edit?usp=share_link"",""ลำปาง!L46"")+IMPOR"&amp;"TRANGE(""https://docs.google.com/spreadsheets/d/1-uUXvimVhiU2U0bMN-xi2te0tS4X7DI2GLPnMjzl8cA/edit?usp=share_link"",""ลำพูน!L46"")+IMPORTRANGE(""https://docs.google.com/spreadsheets/d/17HrOaa5pBUI1onckFfumXB8xlg35qb2uBAFfF1D-Myo/edit?usp=share_link"",""สุโ"&amp;"ขทัย!L46"")+IMPORTRANGE(""https://docs.google.com/spreadsheets/d/1ubs5cl16eYL9gHbdHTJtmtYb9MGzHBs7CAphn8kNCgM/edit?usp=share_link"",""อุตรดิตถ์!L46"")+IMPORTRANGE(""https://docs.google.com/spreadsheets/d/1kII0BjS6CtVrBvI8IrytgPdxDrlyQDyigzMsohRtDMs/edit?u"&amp;"sp=share_link"",""อุทัยธานี!L46"")
"),9204143)</f>
        <v>9204143</v>
      </c>
      <c r="M46" s="45">
        <f ca="1">IFERROR(__xludf.DUMMYFUNCTION("IMPORTRANGE(""https://docs.google.com/spreadsheets/d/1KxicF4apzSqm0-jIpmueT4kyZtE-Cwn5zskl7GD4loQ/edit?usp=share_link"",""กำแพงเพชร!M46"")+IMPORTRANGE(""https://docs.google.com/spreadsheets/d/1ZNYWeiFoFA1K1U4xKWqRX29MBvEyRHXORjo734Gnq_c/edit?usp=share_lin"&amp;"k"",""เชียงราย!M46"")
+IMPORTRANGE(""https://docs.google.com/spreadsheets/d/1Jgv0Y7YlHDtsiDawwp-uvifEJ8HVaSn0k2aGHG8-hwM/edit?usp=share_link"",""เชียงใหม่!M46"")+IMPORTRANGE(""https://docs.google.com/spreadsheets/d/1JWG2rZePOz9pe-f-ObA-yDr0VoOX2kSb0qIix2m"&amp;"TUo8/edit?usp=share_link"",""ตาก!M46"")+IMPORTRANGE(""https://docs.google.com/spreadsheets/d/10nSRjK08hx8Y6HgSOQKNw81lyY46Zc7U_Cj72hBMp9U/edit?usp=share_link"",""นครสวรรค์!M46"")+IMPORTRANGE(""https://docs.google.com/spreadsheets/d/1gFVb7qd7amutrIxAAoM7lc"&amp;"y35hllxznovot8lyOfvDo/edit?usp=share_link"",""น่าน!M46"")+IMPORTRANGE(""https://docs.google.com/spreadsheets/d/1K0Aa9s-6EuHE5M0FG1F9aHLXRCOV917xvycTdLdct0w/edit?usp=share_link"",""พะเยา!M46"")+IMPORTRANGE(""https://docs.google.com/spreadsheets/d/1Y9LPKx95"&amp;"PyL5OKy09d-KbKJSuuEZCFdkhYjwC0XQjBA/edit?usp=share_link"",""พิจิตร!M46"")+IMPORTRANGE(""https://docs.google.com/spreadsheets/d/16OMuOwy2eVqZcYWOouQtTpa8X1L23h4660uVHc0C8os/edit?usp=share_link"",""พิษณุโลก!M46"")+IMPORTRANGE(""https://docs.google.com/sprea"&amp;"dsheets/d/1GfgTldLG6k77HXaMQzaafODklYuucJZQNs_GAPEfZyY/edit?usp=share_link"",""เพชรบูรณ์!M46"")+IMPORTRANGE(""https://docs.google.com/spreadsheets/d/1gvTMYAnm7v1yG1BKWFtr0DnaTsq59oW9dwWvFgq6hs0/edit?usp=share_link"",""แพร่!M46"")+IMPORTRANGE(""https://doc"&amp;"s.google.com/spreadsheets/d/1Wbcosgy-Xa1xXUArJSOenub6EfZHUSzc_bpJFWwQUf0/edit?usp=share_link"",""แม่ฮ่องสอน!M46"")+IMPORTRANGE(""https://docs.google.com/spreadsheets/d/1p7ERhsr0qZeSn-KSOdeHS9r0heI-lHtkcn2OH7hP0jQ/edit?usp=share_link"",""ลำปาง!M46"")+IMPOR"&amp;"TRANGE(""https://docs.google.com/spreadsheets/d/1-uUXvimVhiU2U0bMN-xi2te0tS4X7DI2GLPnMjzl8cA/edit?usp=share_link"",""ลำพูน!M46"")+IMPORTRANGE(""https://docs.google.com/spreadsheets/d/17HrOaa5pBUI1onckFfumXB8xlg35qb2uBAFfF1D-Myo/edit?usp=share_link"",""สุโ"&amp;"ขทัย!M46"")+IMPORTRANGE(""https://docs.google.com/spreadsheets/d/1ubs5cl16eYL9gHbdHTJtmtYb9MGzHBs7CAphn8kNCgM/edit?usp=share_link"",""อุตรดิตถ์!M46"")+IMPORTRANGE(""https://docs.google.com/spreadsheets/d/1kII0BjS6CtVrBvI8IrytgPdxDrlyQDyigzMsohRtDMs/edit?u"&amp;"sp=share_link"",""อุทัยธานี!M46"")
"),9352743.7)</f>
        <v>9352743.6999999993</v>
      </c>
      <c r="N46" s="45">
        <f ca="1">IFERROR(__xludf.DUMMYFUNCTION("IMPORTRANGE(""https://docs.google.com/spreadsheets/d/1KxicF4apzSqm0-jIpmueT4kyZtE-Cwn5zskl7GD4loQ/edit?usp=share_link"",""กำแพงเพชร!N46"")+IMPORTRANGE(""https://docs.google.com/spreadsheets/d/1ZNYWeiFoFA1K1U4xKWqRX29MBvEyRHXORjo734Gnq_c/edit?usp=share_lin"&amp;"k"",""เชียงราย!N46"")
+IMPORTRANGE(""https://docs.google.com/spreadsheets/d/1Jgv0Y7YlHDtsiDawwp-uvifEJ8HVaSn0k2aGHG8-hwM/edit?usp=share_link"",""เชียงใหม่!N46"")+IMPORTRANGE(""https://docs.google.com/spreadsheets/d/1JWG2rZePOz9pe-f-ObA-yDr0VoOX2kSb0qIix2m"&amp;"TUo8/edit?usp=share_link"",""ตาก!N46"")+IMPORTRANGE(""https://docs.google.com/spreadsheets/d/10nSRjK08hx8Y6HgSOQKNw81lyY46Zc7U_Cj72hBMp9U/edit?usp=share_link"",""นครสวรรค์!N46"")+IMPORTRANGE(""https://docs.google.com/spreadsheets/d/1gFVb7qd7amutrIxAAoM7lc"&amp;"y35hllxznovot8lyOfvDo/edit?usp=share_link"",""น่าน!N46"")+IMPORTRANGE(""https://docs.google.com/spreadsheets/d/1K0Aa9s-6EuHE5M0FG1F9aHLXRCOV917xvycTdLdct0w/edit?usp=share_link"",""พะเยา!N46"")+IMPORTRANGE(""https://docs.google.com/spreadsheets/d/1Y9LPKx95"&amp;"PyL5OKy09d-KbKJSuuEZCFdkhYjwC0XQjBA/edit?usp=share_link"",""พิจิตร!N46"")+IMPORTRANGE(""https://docs.google.com/spreadsheets/d/16OMuOwy2eVqZcYWOouQtTpa8X1L23h4660uVHc0C8os/edit?usp=share_link"",""พิษณุโลก!N46"")+IMPORTRANGE(""https://docs.google.com/sprea"&amp;"dsheets/d/1GfgTldLG6k77HXaMQzaafODklYuucJZQNs_GAPEfZyY/edit?usp=share_link"",""เพชรบูรณ์!N46"")+IMPORTRANGE(""https://docs.google.com/spreadsheets/d/1gvTMYAnm7v1yG1BKWFtr0DnaTsq59oW9dwWvFgq6hs0/edit?usp=share_link"",""แพร่!N46"")+IMPORTRANGE(""https://doc"&amp;"s.google.com/spreadsheets/d/1Wbcosgy-Xa1xXUArJSOenub6EfZHUSzc_bpJFWwQUf0/edit?usp=share_link"",""แม่ฮ่องสอน!N46"")+IMPORTRANGE(""https://docs.google.com/spreadsheets/d/1p7ERhsr0qZeSn-KSOdeHS9r0heI-lHtkcn2OH7hP0jQ/edit?usp=share_link"",""ลำปาง!N46"")+IMPOR"&amp;"TRANGE(""https://docs.google.com/spreadsheets/d/1-uUXvimVhiU2U0bMN-xi2te0tS4X7DI2GLPnMjzl8cA/edit?usp=share_link"",""ลำพูน!N46"")+IMPORTRANGE(""https://docs.google.com/spreadsheets/d/17HrOaa5pBUI1onckFfumXB8xlg35qb2uBAFfF1D-Myo/edit?usp=share_link"",""สุโ"&amp;"ขทัย!N46"")+IMPORTRANGE(""https://docs.google.com/spreadsheets/d/1ubs5cl16eYL9gHbdHTJtmtYb9MGzHBs7CAphn8kNCgM/edit?usp=share_link"",""อุตรดิตถ์!N46"")+IMPORTRANGE(""https://docs.google.com/spreadsheets/d/1kII0BjS6CtVrBvI8IrytgPdxDrlyQDyigzMsohRtDMs/edit?u"&amp;"sp=share_link"",""อุทัยธานี!N46"")
"),4559930.45)</f>
        <v>4559930.45</v>
      </c>
      <c r="O46" s="45">
        <f ca="1">IF(M46&gt;0,N46*100/M46,0)</f>
        <v>48.755002769935849</v>
      </c>
      <c r="P46" s="45">
        <f t="shared" ca="1" si="36"/>
        <v>48.755002769935849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40">L48+L49</f>
        <v>0</v>
      </c>
      <c r="M47" s="38">
        <f t="shared" ca="1" si="40"/>
        <v>0</v>
      </c>
      <c r="N47" s="38">
        <f t="shared" ca="1" si="40"/>
        <v>0</v>
      </c>
      <c r="O47" s="38">
        <f t="shared" ref="O47:O49" ca="1" si="41">IF(L47&gt;0,N47*100/L47,0)</f>
        <v>0</v>
      </c>
      <c r="P47" s="38">
        <f t="shared" ca="1" si="3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1"/>
        <v>0</v>
      </c>
      <c r="P48" s="45">
        <f t="shared" si="3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xicF4apzSqm0-jIpmueT4kyZtE-Cwn5zskl7GD4loQ/edit?usp=share_link"",""กำแพงเพชร!L49"")+IMPORTRANGE(""https://docs.google.com/spreadsheets/d/1ZNYWeiFoFA1K1U4xKWqRX29MBvEyRHXORjo734Gnq_c/edit?usp=share_lin"&amp;"k"",""เชียงราย!L49"")
+IMPORTRANGE(""https://docs.google.com/spreadsheets/d/1Jgv0Y7YlHDtsiDawwp-uvifEJ8HVaSn0k2aGHG8-hwM/edit?usp=share_link"",""เชียงใหม่!L49"")+IMPORTRANGE(""https://docs.google.com/spreadsheets/d/1JWG2rZePOz9pe-f-ObA-yDr0VoOX2kSb0qIix2m"&amp;"TUo8/edit?usp=share_link"",""ตาก!L49"")+IMPORTRANGE(""https://docs.google.com/spreadsheets/d/10nSRjK08hx8Y6HgSOQKNw81lyY46Zc7U_Cj72hBMp9U/edit?usp=share_link"",""นครสวรรค์!L49"")+IMPORTRANGE(""https://docs.google.com/spreadsheets/d/1gFVb7qd7amutrIxAAoM7lc"&amp;"y35hllxznovot8lyOfvDo/edit?usp=share_link"",""น่าน!L49"")+IMPORTRANGE(""https://docs.google.com/spreadsheets/d/1K0Aa9s-6EuHE5M0FG1F9aHLXRCOV917xvycTdLdct0w/edit?usp=share_link"",""พะเยา!L49"")+IMPORTRANGE(""https://docs.google.com/spreadsheets/d/1Y9LPKx95"&amp;"PyL5OKy09d-KbKJSuuEZCFdkhYjwC0XQjBA/edit?usp=share_link"",""พิจิตร!L49"")+IMPORTRANGE(""https://docs.google.com/spreadsheets/d/16OMuOwy2eVqZcYWOouQtTpa8X1L23h4660uVHc0C8os/edit?usp=share_link"",""พิษณุโลก!L49"")+IMPORTRANGE(""https://docs.google.com/sprea"&amp;"dsheets/d/1GfgTldLG6k77HXaMQzaafODklYuucJZQNs_GAPEfZyY/edit?usp=share_link"",""เพชรบูรณ์!L49"")+IMPORTRANGE(""https://docs.google.com/spreadsheets/d/1gvTMYAnm7v1yG1BKWFtr0DnaTsq59oW9dwWvFgq6hs0/edit?usp=share_link"",""แพร่!L49"")+IMPORTRANGE(""https://doc"&amp;"s.google.com/spreadsheets/d/1Wbcosgy-Xa1xXUArJSOenub6EfZHUSzc_bpJFWwQUf0/edit?usp=share_link"",""แม่ฮ่องสอน!L49"")+IMPORTRANGE(""https://docs.google.com/spreadsheets/d/1p7ERhsr0qZeSn-KSOdeHS9r0heI-lHtkcn2OH7hP0jQ/edit?usp=share_link"",""ลำปาง!L49"")+IMPOR"&amp;"TRANGE(""https://docs.google.com/spreadsheets/d/1-uUXvimVhiU2U0bMN-xi2te0tS4X7DI2GLPnMjzl8cA/edit?usp=share_link"",""ลำพูน!L49"")+IMPORTRANGE(""https://docs.google.com/spreadsheets/d/17HrOaa5pBUI1onckFfumXB8xlg35qb2uBAFfF1D-Myo/edit?usp=share_link"",""สุโ"&amp;"ขทัย!L49"")+IMPORTRANGE(""https://docs.google.com/spreadsheets/d/1ubs5cl16eYL9gHbdHTJtmtYb9MGzHBs7CAphn8kNCgM/edit?usp=share_link"",""อุตรดิตถ์!L49"")+IMPORTRANGE(""https://docs.google.com/spreadsheets/d/1kII0BjS6CtVrBvI8IrytgPdxDrlyQDyigzMsohRtDMs/edit?u"&amp;"sp=share_link"",""อุทัยธานี!L49"")
"),0)</f>
        <v>0</v>
      </c>
      <c r="M49" s="52">
        <f ca="1">IFERROR(__xludf.DUMMYFUNCTION("IMPORTRANGE(""https://docs.google.com/spreadsheets/d/1KxicF4apzSqm0-jIpmueT4kyZtE-Cwn5zskl7GD4loQ/edit?usp=share_link"",""กำแพงเพชร!M49"")+IMPORTRANGE(""https://docs.google.com/spreadsheets/d/1ZNYWeiFoFA1K1U4xKWqRX29MBvEyRHXORjo734Gnq_c/edit?usp=share_lin"&amp;"k"",""เชียงราย!M49"")
+IMPORTRANGE(""https://docs.google.com/spreadsheets/d/1Jgv0Y7YlHDtsiDawwp-uvifEJ8HVaSn0k2aGHG8-hwM/edit?usp=share_link"",""เชียงใหม่!M49"")+IMPORTRANGE(""https://docs.google.com/spreadsheets/d/1JWG2rZePOz9pe-f-ObA-yDr0VoOX2kSb0qIix2m"&amp;"TUo8/edit?usp=share_link"",""ตาก!M49"")+IMPORTRANGE(""https://docs.google.com/spreadsheets/d/10nSRjK08hx8Y6HgSOQKNw81lyY46Zc7U_Cj72hBMp9U/edit?usp=share_link"",""นครสวรรค์!M49"")+IMPORTRANGE(""https://docs.google.com/spreadsheets/d/1gFVb7qd7amutrIxAAoM7lc"&amp;"y35hllxznovot8lyOfvDo/edit?usp=share_link"",""น่าน!M49"")+IMPORTRANGE(""https://docs.google.com/spreadsheets/d/1K0Aa9s-6EuHE5M0FG1F9aHLXRCOV917xvycTdLdct0w/edit?usp=share_link"",""พะเยา!M49"")+IMPORTRANGE(""https://docs.google.com/spreadsheets/d/1Y9LPKx95"&amp;"PyL5OKy09d-KbKJSuuEZCFdkhYjwC0XQjBA/edit?usp=share_link"",""พิจิตร!M49"")+IMPORTRANGE(""https://docs.google.com/spreadsheets/d/16OMuOwy2eVqZcYWOouQtTpa8X1L23h4660uVHc0C8os/edit?usp=share_link"",""พิษณุโลก!M49"")+IMPORTRANGE(""https://docs.google.com/sprea"&amp;"dsheets/d/1GfgTldLG6k77HXaMQzaafODklYuucJZQNs_GAPEfZyY/edit?usp=share_link"",""เพชรบูรณ์!M49"")+IMPORTRANGE(""https://docs.google.com/spreadsheets/d/1gvTMYAnm7v1yG1BKWFtr0DnaTsq59oW9dwWvFgq6hs0/edit?usp=share_link"",""แพร่!M49"")+IMPORTRANGE(""https://doc"&amp;"s.google.com/spreadsheets/d/1Wbcosgy-Xa1xXUArJSOenub6EfZHUSzc_bpJFWwQUf0/edit?usp=share_link"",""แม่ฮ่องสอน!M49"")+IMPORTRANGE(""https://docs.google.com/spreadsheets/d/1p7ERhsr0qZeSn-KSOdeHS9r0heI-lHtkcn2OH7hP0jQ/edit?usp=share_link"",""ลำปาง!M49"")+IMPOR"&amp;"TRANGE(""https://docs.google.com/spreadsheets/d/1-uUXvimVhiU2U0bMN-xi2te0tS4X7DI2GLPnMjzl8cA/edit?usp=share_link"",""ลำพูน!M49"")+IMPORTRANGE(""https://docs.google.com/spreadsheets/d/17HrOaa5pBUI1onckFfumXB8xlg35qb2uBAFfF1D-Myo/edit?usp=share_link"",""สุโ"&amp;"ขทัย!M49"")+IMPORTRANGE(""https://docs.google.com/spreadsheets/d/1ubs5cl16eYL9gHbdHTJtmtYb9MGzHBs7CAphn8kNCgM/edit?usp=share_link"",""อุตรดิตถ์!M49"")+IMPORTRANGE(""https://docs.google.com/spreadsheets/d/1kII0BjS6CtVrBvI8IrytgPdxDrlyQDyigzMsohRtDMs/edit?u"&amp;"sp=share_link"",""อุทัยธานี!M49"")
"),0)</f>
        <v>0</v>
      </c>
      <c r="N49" s="52">
        <f ca="1">IFERROR(__xludf.DUMMYFUNCTION("IMPORTRANGE(""https://docs.google.com/spreadsheets/d/1KxicF4apzSqm0-jIpmueT4kyZtE-Cwn5zskl7GD4loQ/edit?usp=share_link"",""กำแพงเพชร!N49"")+IMPORTRANGE(""https://docs.google.com/spreadsheets/d/1ZNYWeiFoFA1K1U4xKWqRX29MBvEyRHXORjo734Gnq_c/edit?usp=share_lin"&amp;"k"",""เชียงราย!N49"")
+IMPORTRANGE(""https://docs.google.com/spreadsheets/d/1Jgv0Y7YlHDtsiDawwp-uvifEJ8HVaSn0k2aGHG8-hwM/edit?usp=share_link"",""เชียงใหม่!N49"")+IMPORTRANGE(""https://docs.google.com/spreadsheets/d/1JWG2rZePOz9pe-f-ObA-yDr0VoOX2kSb0qIix2m"&amp;"TUo8/edit?usp=share_link"",""ตาก!N49"")+IMPORTRANGE(""https://docs.google.com/spreadsheets/d/10nSRjK08hx8Y6HgSOQKNw81lyY46Zc7U_Cj72hBMp9U/edit?usp=share_link"",""นครสวรรค์!N49"")+IMPORTRANGE(""https://docs.google.com/spreadsheets/d/1gFVb7qd7amutrIxAAoM7lc"&amp;"y35hllxznovot8lyOfvDo/edit?usp=share_link"",""น่าน!N49"")+IMPORTRANGE(""https://docs.google.com/spreadsheets/d/1K0Aa9s-6EuHE5M0FG1F9aHLXRCOV917xvycTdLdct0w/edit?usp=share_link"",""พะเยา!N49"")+IMPORTRANGE(""https://docs.google.com/spreadsheets/d/1Y9LPKx95"&amp;"PyL5OKy09d-KbKJSuuEZCFdkhYjwC0XQjBA/edit?usp=share_link"",""พิจิตร!N49"")+IMPORTRANGE(""https://docs.google.com/spreadsheets/d/16OMuOwy2eVqZcYWOouQtTpa8X1L23h4660uVHc0C8os/edit?usp=share_link"",""พิษณุโลก!N49"")+IMPORTRANGE(""https://docs.google.com/sprea"&amp;"dsheets/d/1GfgTldLG6k77HXaMQzaafODklYuucJZQNs_GAPEfZyY/edit?usp=share_link"",""เพชรบูรณ์!N49"")+IMPORTRANGE(""https://docs.google.com/spreadsheets/d/1gvTMYAnm7v1yG1BKWFtr0DnaTsq59oW9dwWvFgq6hs0/edit?usp=share_link"",""แพร่!N49"")+IMPORTRANGE(""https://doc"&amp;"s.google.com/spreadsheets/d/1Wbcosgy-Xa1xXUArJSOenub6EfZHUSzc_bpJFWwQUf0/edit?usp=share_link"",""แม่ฮ่องสอน!N49"")+IMPORTRANGE(""https://docs.google.com/spreadsheets/d/1p7ERhsr0qZeSn-KSOdeHS9r0heI-lHtkcn2OH7hP0jQ/edit?usp=share_link"",""ลำปาง!N49"")+IMPOR"&amp;"TRANGE(""https://docs.google.com/spreadsheets/d/1-uUXvimVhiU2U0bMN-xi2te0tS4X7DI2GLPnMjzl8cA/edit?usp=share_link"",""ลำพูน!N49"")+IMPORTRANGE(""https://docs.google.com/spreadsheets/d/17HrOaa5pBUI1onckFfumXB8xlg35qb2uBAFfF1D-Myo/edit?usp=share_link"",""สุโ"&amp;"ขทัย!N49"")+IMPORTRANGE(""https://docs.google.com/spreadsheets/d/1ubs5cl16eYL9gHbdHTJtmtYb9MGzHBs7CAphn8kNCgM/edit?usp=share_link"",""อุตรดิตถ์!N49"")+IMPORTRANGE(""https://docs.google.com/spreadsheets/d/1kII0BjS6CtVrBvI8IrytgPdxDrlyQDyigzMsohRtDMs/edit?u"&amp;"sp=share_link"",""อุทัยธานี!N49"")
"),0)</f>
        <v>0</v>
      </c>
      <c r="O49" s="52">
        <f t="shared" ca="1" si="41"/>
        <v>0</v>
      </c>
      <c r="P49" s="52">
        <f t="shared" ca="1" si="3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1497" t="s">
        <v>28</v>
      </c>
      <c r="B50" s="1494"/>
      <c r="C50" s="1494"/>
      <c r="D50" s="1494"/>
      <c r="E50" s="1494"/>
      <c r="F50" s="1494"/>
      <c r="G50" s="149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1490" t="s">
        <v>29</v>
      </c>
      <c r="C51" s="1485"/>
      <c r="D51" s="1485"/>
      <c r="E51" s="1485"/>
      <c r="F51" s="1485"/>
      <c r="G51" s="1491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2">L54+L55</f>
        <v>26653800</v>
      </c>
      <c r="M53" s="116">
        <f t="shared" ca="1" si="42"/>
        <v>23511911</v>
      </c>
      <c r="N53" s="116">
        <f t="shared" ca="1" si="42"/>
        <v>19098343.259999998</v>
      </c>
      <c r="O53" s="116">
        <f t="shared" ref="O53:O61" ca="1" si="43">IF(L53&gt;0,N53*100/L53,0)</f>
        <v>71.653359971186092</v>
      </c>
      <c r="P53" s="116">
        <f t="shared" ref="P53:P61" ca="1" si="44">IF(M53&gt;0,N53*100/M53,0)</f>
        <v>81.228375098901992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5">L57+L60</f>
        <v>0</v>
      </c>
      <c r="M54" s="123">
        <f t="shared" si="45"/>
        <v>0</v>
      </c>
      <c r="N54" s="123">
        <f t="shared" si="45"/>
        <v>0</v>
      </c>
      <c r="O54" s="123">
        <f t="shared" si="43"/>
        <v>0</v>
      </c>
      <c r="P54" s="123">
        <f t="shared" si="4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6">L58+L61</f>
        <v>26653800</v>
      </c>
      <c r="M55" s="123">
        <f t="shared" ca="1" si="46"/>
        <v>23511911</v>
      </c>
      <c r="N55" s="123">
        <f t="shared" ca="1" si="46"/>
        <v>19098343.259999998</v>
      </c>
      <c r="O55" s="123">
        <f t="shared" ca="1" si="43"/>
        <v>71.653359971186092</v>
      </c>
      <c r="P55" s="123">
        <f t="shared" ca="1" si="44"/>
        <v>81.228375098901992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7">L57+L58</f>
        <v>12823100</v>
      </c>
      <c r="M56" s="38">
        <f t="shared" ca="1" si="47"/>
        <v>9705745</v>
      </c>
      <c r="N56" s="38">
        <f t="shared" ca="1" si="47"/>
        <v>6608177.2599999998</v>
      </c>
      <c r="O56" s="38">
        <f t="shared" ca="1" si="43"/>
        <v>51.533383191272002</v>
      </c>
      <c r="P56" s="38">
        <f t="shared" ca="1" si="44"/>
        <v>68.085214066514212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3"/>
        <v>0</v>
      </c>
      <c r="P57" s="45">
        <f t="shared" si="4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xicF4apzSqm0-jIpmueT4kyZtE-Cwn5zskl7GD4loQ/edit?usp=share_link"",""กำแพงเพชร!L58"")+IMPORTRANGE(""https://docs.google.com/spreadsheets/d/1ZNYWeiFoFA1K1U4xKWqRX29MBvEyRHXORjo734Gnq_c/edit?usp=share_lin"&amp;"k"",""เชียงราย!L58"")
+IMPORTRANGE(""https://docs.google.com/spreadsheets/d/1Jgv0Y7YlHDtsiDawwp-uvifEJ8HVaSn0k2aGHG8-hwM/edit?usp=share_link"",""เชียงใหม่!L58"")+IMPORTRANGE(""https://docs.google.com/spreadsheets/d/1JWG2rZePOz9pe-f-ObA-yDr0VoOX2kSb0qIix2m"&amp;"TUo8/edit?usp=share_link"",""ตาก!L58"")+IMPORTRANGE(""https://docs.google.com/spreadsheets/d/10nSRjK08hx8Y6HgSOQKNw81lyY46Zc7U_Cj72hBMp9U/edit?usp=share_link"",""นครสวรรค์!L58"")+IMPORTRANGE(""https://docs.google.com/spreadsheets/d/1gFVb7qd7amutrIxAAoM7lc"&amp;"y35hllxznovot8lyOfvDo/edit?usp=share_link"",""น่าน!L58"")+IMPORTRANGE(""https://docs.google.com/spreadsheets/d/1K0Aa9s-6EuHE5M0FG1F9aHLXRCOV917xvycTdLdct0w/edit?usp=share_link"",""พะเยา!L58"")+IMPORTRANGE(""https://docs.google.com/spreadsheets/d/1Y9LPKx95"&amp;"PyL5OKy09d-KbKJSuuEZCFdkhYjwC0XQjBA/edit?usp=share_link"",""พิจิตร!L58"")+IMPORTRANGE(""https://docs.google.com/spreadsheets/d/16OMuOwy2eVqZcYWOouQtTpa8X1L23h4660uVHc0C8os/edit?usp=share_link"",""พิษณุโลก!L58"")+IMPORTRANGE(""https://docs.google.com/sprea"&amp;"dsheets/d/1GfgTldLG6k77HXaMQzaafODklYuucJZQNs_GAPEfZyY/edit?usp=share_link"",""เพชรบูรณ์!L58"")+IMPORTRANGE(""https://docs.google.com/spreadsheets/d/1gvTMYAnm7v1yG1BKWFtr0DnaTsq59oW9dwWvFgq6hs0/edit?usp=share_link"",""แพร่!L58"")+IMPORTRANGE(""https://doc"&amp;"s.google.com/spreadsheets/d/1Wbcosgy-Xa1xXUArJSOenub6EfZHUSzc_bpJFWwQUf0/edit?usp=share_link"",""แม่ฮ่องสอน!L58"")+IMPORTRANGE(""https://docs.google.com/spreadsheets/d/1p7ERhsr0qZeSn-KSOdeHS9r0heI-lHtkcn2OH7hP0jQ/edit?usp=share_link"",""ลำปาง!L58"")+IMPOR"&amp;"TRANGE(""https://docs.google.com/spreadsheets/d/1-uUXvimVhiU2U0bMN-xi2te0tS4X7DI2GLPnMjzl8cA/edit?usp=share_link"",""ลำพูน!L58"")+IMPORTRANGE(""https://docs.google.com/spreadsheets/d/17HrOaa5pBUI1onckFfumXB8xlg35qb2uBAFfF1D-Myo/edit?usp=share_link"",""สุโ"&amp;"ขทัย!L58"")+IMPORTRANGE(""https://docs.google.com/spreadsheets/d/1ubs5cl16eYL9gHbdHTJtmtYb9MGzHBs7CAphn8kNCgM/edit?usp=share_link"",""อุตรดิตถ์!L58"")+IMPORTRANGE(""https://docs.google.com/spreadsheets/d/1kII0BjS6CtVrBvI8IrytgPdxDrlyQDyigzMsohRtDMs/edit?u"&amp;"sp=share_link"",""อุทัยธานี!L58"")
"),12823100)</f>
        <v>12823100</v>
      </c>
      <c r="M58" s="45">
        <f ca="1">IFERROR(__xludf.DUMMYFUNCTION("IMPORTRANGE(""https://docs.google.com/spreadsheets/d/1KxicF4apzSqm0-jIpmueT4kyZtE-Cwn5zskl7GD4loQ/edit?usp=share_link"",""กำแพงเพชร!M58"")+IMPORTRANGE(""https://docs.google.com/spreadsheets/d/1ZNYWeiFoFA1K1U4xKWqRX29MBvEyRHXORjo734Gnq_c/edit?usp=share_lin"&amp;"k"",""เชียงราย!M58"")
+IMPORTRANGE(""https://docs.google.com/spreadsheets/d/1Jgv0Y7YlHDtsiDawwp-uvifEJ8HVaSn0k2aGHG8-hwM/edit?usp=share_link"",""เชียงใหม่!M58"")+IMPORTRANGE(""https://docs.google.com/spreadsheets/d/1JWG2rZePOz9pe-f-ObA-yDr0VoOX2kSb0qIix2m"&amp;"TUo8/edit?usp=share_link"",""ตาก!M58"")+IMPORTRANGE(""https://docs.google.com/spreadsheets/d/10nSRjK08hx8Y6HgSOQKNw81lyY46Zc7U_Cj72hBMp9U/edit?usp=share_link"",""นครสวรรค์!M58"")+IMPORTRANGE(""https://docs.google.com/spreadsheets/d/1gFVb7qd7amutrIxAAoM7lc"&amp;"y35hllxznovot8lyOfvDo/edit?usp=share_link"",""น่าน!M58"")+IMPORTRANGE(""https://docs.google.com/spreadsheets/d/1K0Aa9s-6EuHE5M0FG1F9aHLXRCOV917xvycTdLdct0w/edit?usp=share_link"",""พะเยา!M58"")+IMPORTRANGE(""https://docs.google.com/spreadsheets/d/1Y9LPKx95"&amp;"PyL5OKy09d-KbKJSuuEZCFdkhYjwC0XQjBA/edit?usp=share_link"",""พิจิตร!M58"")+IMPORTRANGE(""https://docs.google.com/spreadsheets/d/16OMuOwy2eVqZcYWOouQtTpa8X1L23h4660uVHc0C8os/edit?usp=share_link"",""พิษณุโลก!M58"")+IMPORTRANGE(""https://docs.google.com/sprea"&amp;"dsheets/d/1GfgTldLG6k77HXaMQzaafODklYuucJZQNs_GAPEfZyY/edit?usp=share_link"",""เพชรบูรณ์!M58"")+IMPORTRANGE(""https://docs.google.com/spreadsheets/d/1gvTMYAnm7v1yG1BKWFtr0DnaTsq59oW9dwWvFgq6hs0/edit?usp=share_link"",""แพร่!M58"")+IMPORTRANGE(""https://doc"&amp;"s.google.com/spreadsheets/d/1Wbcosgy-Xa1xXUArJSOenub6EfZHUSzc_bpJFWwQUf0/edit?usp=share_link"",""แม่ฮ่องสอน!M58"")+IMPORTRANGE(""https://docs.google.com/spreadsheets/d/1p7ERhsr0qZeSn-KSOdeHS9r0heI-lHtkcn2OH7hP0jQ/edit?usp=share_link"",""ลำปาง!M58"")+IMPOR"&amp;"TRANGE(""https://docs.google.com/spreadsheets/d/1-uUXvimVhiU2U0bMN-xi2te0tS4X7DI2GLPnMjzl8cA/edit?usp=share_link"",""ลำพูน!M58"")+IMPORTRANGE(""https://docs.google.com/spreadsheets/d/17HrOaa5pBUI1onckFfumXB8xlg35qb2uBAFfF1D-Myo/edit?usp=share_link"",""สุโ"&amp;"ขทัย!M58"")+IMPORTRANGE(""https://docs.google.com/spreadsheets/d/1ubs5cl16eYL9gHbdHTJtmtYb9MGzHBs7CAphn8kNCgM/edit?usp=share_link"",""อุตรดิตถ์!M58"")+IMPORTRANGE(""https://docs.google.com/spreadsheets/d/1kII0BjS6CtVrBvI8IrytgPdxDrlyQDyigzMsohRtDMs/edit?u"&amp;"sp=share_link"",""อุทัยธานี!M58"")
"),9705745)</f>
        <v>9705745</v>
      </c>
      <c r="N58" s="45">
        <f ca="1">IFERROR(__xludf.DUMMYFUNCTION("IMPORTRANGE(""https://docs.google.com/spreadsheets/d/1KxicF4apzSqm0-jIpmueT4kyZtE-Cwn5zskl7GD4loQ/edit?usp=share_link"",""กำแพงเพชร!N58"")+IMPORTRANGE(""https://docs.google.com/spreadsheets/d/1ZNYWeiFoFA1K1U4xKWqRX29MBvEyRHXORjo734Gnq_c/edit?usp=share_lin"&amp;"k"",""เชียงราย!N58"")
+IMPORTRANGE(""https://docs.google.com/spreadsheets/d/1Jgv0Y7YlHDtsiDawwp-uvifEJ8HVaSn0k2aGHG8-hwM/edit?usp=share_link"",""เชียงใหม่!N58"")+IMPORTRANGE(""https://docs.google.com/spreadsheets/d/1JWG2rZePOz9pe-f-ObA-yDr0VoOX2kSb0qIix2m"&amp;"TUo8/edit?usp=share_link"",""ตาก!N58"")+IMPORTRANGE(""https://docs.google.com/spreadsheets/d/10nSRjK08hx8Y6HgSOQKNw81lyY46Zc7U_Cj72hBMp9U/edit?usp=share_link"",""นครสวรรค์!N58"")+IMPORTRANGE(""https://docs.google.com/spreadsheets/d/1gFVb7qd7amutrIxAAoM7lc"&amp;"y35hllxznovot8lyOfvDo/edit?usp=share_link"",""น่าน!N58"")+IMPORTRANGE(""https://docs.google.com/spreadsheets/d/1K0Aa9s-6EuHE5M0FG1F9aHLXRCOV917xvycTdLdct0w/edit?usp=share_link"",""พะเยา!N58"")+IMPORTRANGE(""https://docs.google.com/spreadsheets/d/1Y9LPKx95"&amp;"PyL5OKy09d-KbKJSuuEZCFdkhYjwC0XQjBA/edit?usp=share_link"",""พิจิตร!N58"")+IMPORTRANGE(""https://docs.google.com/spreadsheets/d/16OMuOwy2eVqZcYWOouQtTpa8X1L23h4660uVHc0C8os/edit?usp=share_link"",""พิษณุโลก!N58"")+IMPORTRANGE(""https://docs.google.com/sprea"&amp;"dsheets/d/1GfgTldLG6k77HXaMQzaafODklYuucJZQNs_GAPEfZyY/edit?usp=share_link"",""เพชรบูรณ์!N58"")+IMPORTRANGE(""https://docs.google.com/spreadsheets/d/1gvTMYAnm7v1yG1BKWFtr0DnaTsq59oW9dwWvFgq6hs0/edit?usp=share_link"",""แพร่!N58"")+IMPORTRANGE(""https://doc"&amp;"s.google.com/spreadsheets/d/1Wbcosgy-Xa1xXUArJSOenub6EfZHUSzc_bpJFWwQUf0/edit?usp=share_link"",""แม่ฮ่องสอน!N58"")+IMPORTRANGE(""https://docs.google.com/spreadsheets/d/1p7ERhsr0qZeSn-KSOdeHS9r0heI-lHtkcn2OH7hP0jQ/edit?usp=share_link"",""ลำปาง!N58"")+IMPOR"&amp;"TRANGE(""https://docs.google.com/spreadsheets/d/1-uUXvimVhiU2U0bMN-xi2te0tS4X7DI2GLPnMjzl8cA/edit?usp=share_link"",""ลำพูน!N58"")+IMPORTRANGE(""https://docs.google.com/spreadsheets/d/17HrOaa5pBUI1onckFfumXB8xlg35qb2uBAFfF1D-Myo/edit?usp=share_link"",""สุโ"&amp;"ขทัย!N58"")+IMPORTRANGE(""https://docs.google.com/spreadsheets/d/1ubs5cl16eYL9gHbdHTJtmtYb9MGzHBs7CAphn8kNCgM/edit?usp=share_link"",""อุตรดิตถ์!N58"")+IMPORTRANGE(""https://docs.google.com/spreadsheets/d/1kII0BjS6CtVrBvI8IrytgPdxDrlyQDyigzMsohRtDMs/edit?u"&amp;"sp=share_link"",""อุทัยธานี!N58"")
"),6608177.26)</f>
        <v>6608177.2599999998</v>
      </c>
      <c r="O58" s="45">
        <f t="shared" ca="1" si="43"/>
        <v>51.533383191272002</v>
      </c>
      <c r="P58" s="45">
        <f t="shared" ca="1" si="44"/>
        <v>68.085214066514212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8">L60+L61</f>
        <v>13830700</v>
      </c>
      <c r="M59" s="38">
        <f t="shared" ca="1" si="48"/>
        <v>13806166</v>
      </c>
      <c r="N59" s="38">
        <f t="shared" ca="1" si="48"/>
        <v>12490166</v>
      </c>
      <c r="O59" s="38">
        <f t="shared" ca="1" si="43"/>
        <v>90.307547701851675</v>
      </c>
      <c r="P59" s="38">
        <f t="shared" ca="1" si="44"/>
        <v>90.468027111944039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3"/>
        <v>0</v>
      </c>
      <c r="P60" s="45">
        <f t="shared" si="4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xicF4apzSqm0-jIpmueT4kyZtE-Cwn5zskl7GD4loQ/edit?usp=share_link"",""กำแพงเพชร!L61"")+IMPORTRANGE(""https://docs.google.com/spreadsheets/d/1ZNYWeiFoFA1K1U4xKWqRX29MBvEyRHXORjo734Gnq_c/edit?usp=share_lin"&amp;"k"",""เชียงราย!L61"")
+IMPORTRANGE(""https://docs.google.com/spreadsheets/d/1Jgv0Y7YlHDtsiDawwp-uvifEJ8HVaSn0k2aGHG8-hwM/edit?usp=share_link"",""เชียงใหม่!L61"")+IMPORTRANGE(""https://docs.google.com/spreadsheets/d/1JWG2rZePOz9pe-f-ObA-yDr0VoOX2kSb0qIix2m"&amp;"TUo8/edit?usp=share_link"",""ตาก!L61"")+IMPORTRANGE(""https://docs.google.com/spreadsheets/d/10nSRjK08hx8Y6HgSOQKNw81lyY46Zc7U_Cj72hBMp9U/edit?usp=share_link"",""นครสวรรค์!L61"")+IMPORTRANGE(""https://docs.google.com/spreadsheets/d/1gFVb7qd7amutrIxAAoM7lc"&amp;"y35hllxznovot8lyOfvDo/edit?usp=share_link"",""น่าน!L61"")+IMPORTRANGE(""https://docs.google.com/spreadsheets/d/1K0Aa9s-6EuHE5M0FG1F9aHLXRCOV917xvycTdLdct0w/edit?usp=share_link"",""พะเยา!L61"")+IMPORTRANGE(""https://docs.google.com/spreadsheets/d/1Y9LPKx95"&amp;"PyL5OKy09d-KbKJSuuEZCFdkhYjwC0XQjBA/edit?usp=share_link"",""พิจิตร!L61"")+IMPORTRANGE(""https://docs.google.com/spreadsheets/d/16OMuOwy2eVqZcYWOouQtTpa8X1L23h4660uVHc0C8os/edit?usp=share_link"",""พิษณุโลก!L61"")+IMPORTRANGE(""https://docs.google.com/sprea"&amp;"dsheets/d/1GfgTldLG6k77HXaMQzaafODklYuucJZQNs_GAPEfZyY/edit?usp=share_link"",""เพชรบูรณ์!L61"")+IMPORTRANGE(""https://docs.google.com/spreadsheets/d/1gvTMYAnm7v1yG1BKWFtr0DnaTsq59oW9dwWvFgq6hs0/edit?usp=share_link"",""แพร่!L61"")+IMPORTRANGE(""https://doc"&amp;"s.google.com/spreadsheets/d/1Wbcosgy-Xa1xXUArJSOenub6EfZHUSzc_bpJFWwQUf0/edit?usp=share_link"",""แม่ฮ่องสอน!L61"")+IMPORTRANGE(""https://docs.google.com/spreadsheets/d/1p7ERhsr0qZeSn-KSOdeHS9r0heI-lHtkcn2OH7hP0jQ/edit?usp=share_link"",""ลำปาง!L61"")+IMPOR"&amp;"TRANGE(""https://docs.google.com/spreadsheets/d/1-uUXvimVhiU2U0bMN-xi2te0tS4X7DI2GLPnMjzl8cA/edit?usp=share_link"",""ลำพูน!L61"")+IMPORTRANGE(""https://docs.google.com/spreadsheets/d/17HrOaa5pBUI1onckFfumXB8xlg35qb2uBAFfF1D-Myo/edit?usp=share_link"",""สุโ"&amp;"ขทัย!L61"")+IMPORTRANGE(""https://docs.google.com/spreadsheets/d/1ubs5cl16eYL9gHbdHTJtmtYb9MGzHBs7CAphn8kNCgM/edit?usp=share_link"",""อุตรดิตถ์!L61"")+IMPORTRANGE(""https://docs.google.com/spreadsheets/d/1kII0BjS6CtVrBvI8IrytgPdxDrlyQDyigzMsohRtDMs/edit?u"&amp;"sp=share_link"",""อุทัยธานี!L61"")
"),13830700)</f>
        <v>13830700</v>
      </c>
      <c r="M61" s="52">
        <f ca="1">IFERROR(__xludf.DUMMYFUNCTION("IMPORTRANGE(""https://docs.google.com/spreadsheets/d/1KxicF4apzSqm0-jIpmueT4kyZtE-Cwn5zskl7GD4loQ/edit?usp=share_link"",""กำแพงเพชร!M61"")+IMPORTRANGE(""https://docs.google.com/spreadsheets/d/1ZNYWeiFoFA1K1U4xKWqRX29MBvEyRHXORjo734Gnq_c/edit?usp=share_lin"&amp;"k"",""เชียงราย!M61"")
+IMPORTRANGE(""https://docs.google.com/spreadsheets/d/1Jgv0Y7YlHDtsiDawwp-uvifEJ8HVaSn0k2aGHG8-hwM/edit?usp=share_link"",""เชียงใหม่!M61"")+IMPORTRANGE(""https://docs.google.com/spreadsheets/d/1JWG2rZePOz9pe-f-ObA-yDr0VoOX2kSb0qIix2m"&amp;"TUo8/edit?usp=share_link"",""ตาก!M61"")+IMPORTRANGE(""https://docs.google.com/spreadsheets/d/10nSRjK08hx8Y6HgSOQKNw81lyY46Zc7U_Cj72hBMp9U/edit?usp=share_link"",""นครสวรรค์!M61"")+IMPORTRANGE(""https://docs.google.com/spreadsheets/d/1gFVb7qd7amutrIxAAoM7lc"&amp;"y35hllxznovot8lyOfvDo/edit?usp=share_link"",""น่าน!M61"")+IMPORTRANGE(""https://docs.google.com/spreadsheets/d/1K0Aa9s-6EuHE5M0FG1F9aHLXRCOV917xvycTdLdct0w/edit?usp=share_link"",""พะเยา!M61"")+IMPORTRANGE(""https://docs.google.com/spreadsheets/d/1Y9LPKx95"&amp;"PyL5OKy09d-KbKJSuuEZCFdkhYjwC0XQjBA/edit?usp=share_link"",""พิจิตร!M61"")+IMPORTRANGE(""https://docs.google.com/spreadsheets/d/16OMuOwy2eVqZcYWOouQtTpa8X1L23h4660uVHc0C8os/edit?usp=share_link"",""พิษณุโลก!M61"")+IMPORTRANGE(""https://docs.google.com/sprea"&amp;"dsheets/d/1GfgTldLG6k77HXaMQzaafODklYuucJZQNs_GAPEfZyY/edit?usp=share_link"",""เพชรบูรณ์!M61"")+IMPORTRANGE(""https://docs.google.com/spreadsheets/d/1gvTMYAnm7v1yG1BKWFtr0DnaTsq59oW9dwWvFgq6hs0/edit?usp=share_link"",""แพร่!M61"")+IMPORTRANGE(""https://doc"&amp;"s.google.com/spreadsheets/d/1Wbcosgy-Xa1xXUArJSOenub6EfZHUSzc_bpJFWwQUf0/edit?usp=share_link"",""แม่ฮ่องสอน!M61"")+IMPORTRANGE(""https://docs.google.com/spreadsheets/d/1p7ERhsr0qZeSn-KSOdeHS9r0heI-lHtkcn2OH7hP0jQ/edit?usp=share_link"",""ลำปาง!M61"")+IMPOR"&amp;"TRANGE(""https://docs.google.com/spreadsheets/d/1-uUXvimVhiU2U0bMN-xi2te0tS4X7DI2GLPnMjzl8cA/edit?usp=share_link"",""ลำพูน!M61"")+IMPORTRANGE(""https://docs.google.com/spreadsheets/d/17HrOaa5pBUI1onckFfumXB8xlg35qb2uBAFfF1D-Myo/edit?usp=share_link"",""สุโ"&amp;"ขทัย!M61"")+IMPORTRANGE(""https://docs.google.com/spreadsheets/d/1ubs5cl16eYL9gHbdHTJtmtYb9MGzHBs7CAphn8kNCgM/edit?usp=share_link"",""อุตรดิตถ์!M61"")+IMPORTRANGE(""https://docs.google.com/spreadsheets/d/1kII0BjS6CtVrBvI8IrytgPdxDrlyQDyigzMsohRtDMs/edit?u"&amp;"sp=share_link"",""อุทัยธานี!M61"")
"),13806166)</f>
        <v>13806166</v>
      </c>
      <c r="N61" s="52">
        <f ca="1">IFERROR(__xludf.DUMMYFUNCTION("IMPORTRANGE(""https://docs.google.com/spreadsheets/d/1KxicF4apzSqm0-jIpmueT4kyZtE-Cwn5zskl7GD4loQ/edit?usp=share_link"",""กำแพงเพชร!N61"")+IMPORTRANGE(""https://docs.google.com/spreadsheets/d/1ZNYWeiFoFA1K1U4xKWqRX29MBvEyRHXORjo734Gnq_c/edit?usp=share_lin"&amp;"k"",""เชียงราย!N61"")
+IMPORTRANGE(""https://docs.google.com/spreadsheets/d/1Jgv0Y7YlHDtsiDawwp-uvifEJ8HVaSn0k2aGHG8-hwM/edit?usp=share_link"",""เชียงใหม่!N61"")+IMPORTRANGE(""https://docs.google.com/spreadsheets/d/1JWG2rZePOz9pe-f-ObA-yDr0VoOX2kSb0qIix2m"&amp;"TUo8/edit?usp=share_link"",""ตาก!N61"")+IMPORTRANGE(""https://docs.google.com/spreadsheets/d/10nSRjK08hx8Y6HgSOQKNw81lyY46Zc7U_Cj72hBMp9U/edit?usp=share_link"",""นครสวรรค์!N61"")+IMPORTRANGE(""https://docs.google.com/spreadsheets/d/1gFVb7qd7amutrIxAAoM7lc"&amp;"y35hllxznovot8lyOfvDo/edit?usp=share_link"",""น่าน!N61"")+IMPORTRANGE(""https://docs.google.com/spreadsheets/d/1K0Aa9s-6EuHE5M0FG1F9aHLXRCOV917xvycTdLdct0w/edit?usp=share_link"",""พะเยา!N61"")+IMPORTRANGE(""https://docs.google.com/spreadsheets/d/1Y9LPKx95"&amp;"PyL5OKy09d-KbKJSuuEZCFdkhYjwC0XQjBA/edit?usp=share_link"",""พิจิตร!N61"")+IMPORTRANGE(""https://docs.google.com/spreadsheets/d/16OMuOwy2eVqZcYWOouQtTpa8X1L23h4660uVHc0C8os/edit?usp=share_link"",""พิษณุโลก!N61"")+IMPORTRANGE(""https://docs.google.com/sprea"&amp;"dsheets/d/1GfgTldLG6k77HXaMQzaafODklYuucJZQNs_GAPEfZyY/edit?usp=share_link"",""เพชรบูรณ์!N61"")+IMPORTRANGE(""https://docs.google.com/spreadsheets/d/1gvTMYAnm7v1yG1BKWFtr0DnaTsq59oW9dwWvFgq6hs0/edit?usp=share_link"",""แพร่!N61"")+IMPORTRANGE(""https://doc"&amp;"s.google.com/spreadsheets/d/1Wbcosgy-Xa1xXUArJSOenub6EfZHUSzc_bpJFWwQUf0/edit?usp=share_link"",""แม่ฮ่องสอน!N61"")+IMPORTRANGE(""https://docs.google.com/spreadsheets/d/1p7ERhsr0qZeSn-KSOdeHS9r0heI-lHtkcn2OH7hP0jQ/edit?usp=share_link"",""ลำปาง!N61"")+IMPOR"&amp;"TRANGE(""https://docs.google.com/spreadsheets/d/1-uUXvimVhiU2U0bMN-xi2te0tS4X7DI2GLPnMjzl8cA/edit?usp=share_link"",""ลำพูน!N61"")+IMPORTRANGE(""https://docs.google.com/spreadsheets/d/17HrOaa5pBUI1onckFfumXB8xlg35qb2uBAFfF1D-Myo/edit?usp=share_link"",""สุโ"&amp;"ขทัย!N61"")+IMPORTRANGE(""https://docs.google.com/spreadsheets/d/1ubs5cl16eYL9gHbdHTJtmtYb9MGzHBs7CAphn8kNCgM/edit?usp=share_link"",""อุตรดิตถ์!N61"")+IMPORTRANGE(""https://docs.google.com/spreadsheets/d/1kII0BjS6CtVrBvI8IrytgPdxDrlyQDyigzMsohRtDMs/edit?u"&amp;"sp=share_link"",""อุทัยธานี!N61"")
"),12490166)</f>
        <v>12490166</v>
      </c>
      <c r="O61" s="52">
        <f t="shared" ca="1" si="43"/>
        <v>90.307547701851675</v>
      </c>
      <c r="P61" s="52">
        <f t="shared" ca="1" si="44"/>
        <v>90.468027111944039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9">I76</f>
        <v>11</v>
      </c>
      <c r="J64" s="144">
        <f t="shared" ca="1" si="49"/>
        <v>11</v>
      </c>
      <c r="K64" s="145">
        <f t="shared" ref="K64:K65" ca="1" si="50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1">I77</f>
        <v>457</v>
      </c>
      <c r="J65" s="144">
        <f t="shared" ca="1" si="51"/>
        <v>448</v>
      </c>
      <c r="K65" s="145">
        <f t="shared" ca="1" si="50"/>
        <v>98.030634573304155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2">L67+L68</f>
        <v>7464600</v>
      </c>
      <c r="M66" s="155">
        <f t="shared" ca="1" si="52"/>
        <v>5624050</v>
      </c>
      <c r="N66" s="155">
        <f t="shared" ca="1" si="52"/>
        <v>2887085.76</v>
      </c>
      <c r="O66" s="155">
        <f t="shared" ref="O66:O74" ca="1" si="53">IF(L66&gt;0,N66*100/L66,0)</f>
        <v>38.677032392894461</v>
      </c>
      <c r="P66" s="155">
        <f t="shared" ref="P66:P74" ca="1" si="54">IF(M66&gt;0,N66*100/M66,0)</f>
        <v>51.334638916794837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5">L70+L73</f>
        <v>0</v>
      </c>
      <c r="M67" s="45">
        <f t="shared" si="55"/>
        <v>0</v>
      </c>
      <c r="N67" s="45">
        <f t="shared" si="55"/>
        <v>0</v>
      </c>
      <c r="O67" s="45">
        <f t="shared" si="53"/>
        <v>0</v>
      </c>
      <c r="P67" s="45">
        <f t="shared" si="54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6">L71+L74</f>
        <v>7464600</v>
      </c>
      <c r="M68" s="45">
        <f t="shared" ca="1" si="56"/>
        <v>5624050</v>
      </c>
      <c r="N68" s="45">
        <f t="shared" ca="1" si="56"/>
        <v>2887085.76</v>
      </c>
      <c r="O68" s="45">
        <f t="shared" ca="1" si="53"/>
        <v>38.677032392894461</v>
      </c>
      <c r="P68" s="45">
        <f t="shared" ca="1" si="54"/>
        <v>51.334638916794837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7">L70+L71</f>
        <v>7464600</v>
      </c>
      <c r="M69" s="38">
        <f t="shared" ca="1" si="57"/>
        <v>5624050</v>
      </c>
      <c r="N69" s="38">
        <f t="shared" ca="1" si="57"/>
        <v>2887085.76</v>
      </c>
      <c r="O69" s="38">
        <f t="shared" ca="1" si="53"/>
        <v>38.677032392894461</v>
      </c>
      <c r="P69" s="38">
        <f t="shared" ca="1" si="54"/>
        <v>51.334638916794837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3"/>
        <v>0</v>
      </c>
      <c r="P70" s="45">
        <f t="shared" si="54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KxicF4apzSqm0-jIpmueT4kyZtE-Cwn5zskl7GD4loQ/edit?usp=share_link"",""กำแพงเพชร!l71"")+IMPORTRANGE(""https://docs.google.com/spreadsheets/d/1ZNYWeiFoFA1K1U4xKWqRX29MBvEyRHXORjo734Gnq_c/edit?usp=share_lin"&amp;"k"",""เชียงราย!l71"")
+IMPORTRANGE(""https://docs.google.com/spreadsheets/d/1Jgv0Y7YlHDtsiDawwp-uvifEJ8HVaSn0k2aGHG8-hwM/edit?usp=share_link"",""เชียงใหม่!l71"")+IMPORTRANGE(""https://docs.google.com/spreadsheets/d/1JWG2rZePOz9pe-f-ObA-yDr0VoOX2kSb0qIix2m"&amp;"TUo8/edit?usp=share_link"",""ตาก!l71"")+IMPORTRANGE(""https://docs.google.com/spreadsheets/d/10nSRjK08hx8Y6HgSOQKNw81lyY46Zc7U_Cj72hBMp9U/edit?usp=share_link"",""นครสวรรค์!l71"")+IMPORTRANGE(""https://docs.google.com/spreadsheets/d/1gFVb7qd7amutrIxAAoM7lc"&amp;"y35hllxznovot8lyOfvDo/edit?usp=share_link"",""น่าน!l71"")+IMPORTRANGE(""https://docs.google.com/spreadsheets/d/1K0Aa9s-6EuHE5M0FG1F9aHLXRCOV917xvycTdLdct0w/edit?usp=share_link"",""พะเยา!l71"")+IMPORTRANGE(""https://docs.google.com/spreadsheets/d/1Y9LPKx95"&amp;"PyL5OKy09d-KbKJSuuEZCFdkhYjwC0XQjBA/edit?usp=share_link"",""พิจิตร!l71"")+IMPORTRANGE(""https://docs.google.com/spreadsheets/d/16OMuOwy2eVqZcYWOouQtTpa8X1L23h4660uVHc0C8os/edit?usp=share_link"",""พิษณุโลก!l71"")+IMPORTRANGE(""https://docs.google.com/sprea"&amp;"dsheets/d/1GfgTldLG6k77HXaMQzaafODklYuucJZQNs_GAPEfZyY/edit?usp=share_link"",""เพชรบูรณ์!l71"")+IMPORTRANGE(""https://docs.google.com/spreadsheets/d/1gvTMYAnm7v1yG1BKWFtr0DnaTsq59oW9dwWvFgq6hs0/edit?usp=share_link"",""แพร่!l71"")+IMPORTRANGE(""https://doc"&amp;"s.google.com/spreadsheets/d/1Wbcosgy-Xa1xXUArJSOenub6EfZHUSzc_bpJFWwQUf0/edit?usp=share_link"",""แม่ฮ่องสอน!l71"")+IMPORTRANGE(""https://docs.google.com/spreadsheets/d/1p7ERhsr0qZeSn-KSOdeHS9r0heI-lHtkcn2OH7hP0jQ/edit?usp=share_link"",""ลำปาง!l71"")+IMPOR"&amp;"TRANGE(""https://docs.google.com/spreadsheets/d/1-uUXvimVhiU2U0bMN-xi2te0tS4X7DI2GLPnMjzl8cA/edit?usp=share_link"",""ลำพูน!l71"")+IMPORTRANGE(""https://docs.google.com/spreadsheets/d/17HrOaa5pBUI1onckFfumXB8xlg35qb2uBAFfF1D-Myo/edit?usp=share_link"",""สุโ"&amp;"ขทัย!l71"")+IMPORTRANGE(""https://docs.google.com/spreadsheets/d/1ubs5cl16eYL9gHbdHTJtmtYb9MGzHBs7CAphn8kNCgM/edit?usp=share_link"",""อุตรดิตถ์!l71"")+IMPORTRANGE(""https://docs.google.com/spreadsheets/d/1kII0BjS6CtVrBvI8IrytgPdxDrlyQDyigzMsohRtDMs/edit?u"&amp;"sp=share_link"",""อุทัยธานี!l71"")
"),7464600)</f>
        <v>7464600</v>
      </c>
      <c r="M71" s="45">
        <f ca="1">IFERROR(__xludf.DUMMYFUNCTION("IMPORTRANGE(""https://docs.google.com/spreadsheets/d/1KxicF4apzSqm0-jIpmueT4kyZtE-Cwn5zskl7GD4loQ/edit?usp=share_link"",""กำแพงเพชร!M71"")+IMPORTRANGE(""https://docs.google.com/spreadsheets/d/1ZNYWeiFoFA1K1U4xKWqRX29MBvEyRHXORjo734Gnq_c/edit?usp=share_lin"&amp;"k"",""เชียงราย!M71"")
+IMPORTRANGE(""https://docs.google.com/spreadsheets/d/1Jgv0Y7YlHDtsiDawwp-uvifEJ8HVaSn0k2aGHG8-hwM/edit?usp=share_link"",""เชียงใหม่!M71"")+IMPORTRANGE(""https://docs.google.com/spreadsheets/d/1JWG2rZePOz9pe-f-ObA-yDr0VoOX2kSb0qIix2m"&amp;"TUo8/edit?usp=share_link"",""ตาก!M71"")+IMPORTRANGE(""https://docs.google.com/spreadsheets/d/10nSRjK08hx8Y6HgSOQKNw81lyY46Zc7U_Cj72hBMp9U/edit?usp=share_link"",""นครสวรรค์!M71"")+IMPORTRANGE(""https://docs.google.com/spreadsheets/d/1gFVb7qd7amutrIxAAoM7lc"&amp;"y35hllxznovot8lyOfvDo/edit?usp=share_link"",""น่าน!M71"")+IMPORTRANGE(""https://docs.google.com/spreadsheets/d/1K0Aa9s-6EuHE5M0FG1F9aHLXRCOV917xvycTdLdct0w/edit?usp=share_link"",""พะเยา!M71"")+IMPORTRANGE(""https://docs.google.com/spreadsheets/d/1Y9LPKx95"&amp;"PyL5OKy09d-KbKJSuuEZCFdkhYjwC0XQjBA/edit?usp=share_link"",""พิจิตร!M71"")+IMPORTRANGE(""https://docs.google.com/spreadsheets/d/16OMuOwy2eVqZcYWOouQtTpa8X1L23h4660uVHc0C8os/edit?usp=share_link"",""พิษณุโลก!M71"")+IMPORTRANGE(""https://docs.google.com/sprea"&amp;"dsheets/d/1GfgTldLG6k77HXaMQzaafODklYuucJZQNs_GAPEfZyY/edit?usp=share_link"",""เพชรบูรณ์!M71"")+IMPORTRANGE(""https://docs.google.com/spreadsheets/d/1gvTMYAnm7v1yG1BKWFtr0DnaTsq59oW9dwWvFgq6hs0/edit?usp=share_link"",""แพร่!M71"")+IMPORTRANGE(""https://doc"&amp;"s.google.com/spreadsheets/d/1Wbcosgy-Xa1xXUArJSOenub6EfZHUSzc_bpJFWwQUf0/edit?usp=share_link"",""แม่ฮ่องสอน!M71"")+IMPORTRANGE(""https://docs.google.com/spreadsheets/d/1p7ERhsr0qZeSn-KSOdeHS9r0heI-lHtkcn2OH7hP0jQ/edit?usp=share_link"",""ลำปาง!M71"")+IMPOR"&amp;"TRANGE(""https://docs.google.com/spreadsheets/d/1-uUXvimVhiU2U0bMN-xi2te0tS4X7DI2GLPnMjzl8cA/edit?usp=share_link"",""ลำพูน!M71"")+IMPORTRANGE(""https://docs.google.com/spreadsheets/d/17HrOaa5pBUI1onckFfumXB8xlg35qb2uBAFfF1D-Myo/edit?usp=share_link"",""สุโ"&amp;"ขทัย!M71"")+IMPORTRANGE(""https://docs.google.com/spreadsheets/d/1ubs5cl16eYL9gHbdHTJtmtYb9MGzHBs7CAphn8kNCgM/edit?usp=share_link"",""อุตรดิตถ์!M71"")+IMPORTRANGE(""https://docs.google.com/spreadsheets/d/1kII0BjS6CtVrBvI8IrytgPdxDrlyQDyigzMsohRtDMs/edit?u"&amp;"sp=share_link"",""อุทัยธานี!M71"")
"),5624050)</f>
        <v>5624050</v>
      </c>
      <c r="N71" s="45">
        <f ca="1">IFERROR(__xludf.DUMMYFUNCTION("IMPORTRANGE(""https://docs.google.com/spreadsheets/d/1KxicF4apzSqm0-jIpmueT4kyZtE-Cwn5zskl7GD4loQ/edit?usp=share_link"",""กำแพงเพชร!N71"")+IMPORTRANGE(""https://docs.google.com/spreadsheets/d/1ZNYWeiFoFA1K1U4xKWqRX29MBvEyRHXORjo734Gnq_c/edit?usp=share_lin"&amp;"k"",""เชียงราย!N71"")
+IMPORTRANGE(""https://docs.google.com/spreadsheets/d/1Jgv0Y7YlHDtsiDawwp-uvifEJ8HVaSn0k2aGHG8-hwM/edit?usp=share_link"",""เชียงใหม่!N71"")+IMPORTRANGE(""https://docs.google.com/spreadsheets/d/1JWG2rZePOz9pe-f-ObA-yDr0VoOX2kSb0qIix2m"&amp;"TUo8/edit?usp=share_link"",""ตาก!N71"")+IMPORTRANGE(""https://docs.google.com/spreadsheets/d/10nSRjK08hx8Y6HgSOQKNw81lyY46Zc7U_Cj72hBMp9U/edit?usp=share_link"",""นครสวรรค์!N71"")+IMPORTRANGE(""https://docs.google.com/spreadsheets/d/1gFVb7qd7amutrIxAAoM7lc"&amp;"y35hllxznovot8lyOfvDo/edit?usp=share_link"",""น่าน!N71"")+IMPORTRANGE(""https://docs.google.com/spreadsheets/d/1K0Aa9s-6EuHE5M0FG1F9aHLXRCOV917xvycTdLdct0w/edit?usp=share_link"",""พะเยา!N71"")+IMPORTRANGE(""https://docs.google.com/spreadsheets/d/1Y9LPKx95"&amp;"PyL5OKy09d-KbKJSuuEZCFdkhYjwC0XQjBA/edit?usp=share_link"",""พิจิตร!N71"")+IMPORTRANGE(""https://docs.google.com/spreadsheets/d/16OMuOwy2eVqZcYWOouQtTpa8X1L23h4660uVHc0C8os/edit?usp=share_link"",""พิษณุโลก!N71"")+IMPORTRANGE(""https://docs.google.com/sprea"&amp;"dsheets/d/1GfgTldLG6k77HXaMQzaafODklYuucJZQNs_GAPEfZyY/edit?usp=share_link"",""เพชรบูรณ์!N71"")+IMPORTRANGE(""https://docs.google.com/spreadsheets/d/1gvTMYAnm7v1yG1BKWFtr0DnaTsq59oW9dwWvFgq6hs0/edit?usp=share_link"",""แพร่!N71"")+IMPORTRANGE(""https://doc"&amp;"s.google.com/spreadsheets/d/1Wbcosgy-Xa1xXUArJSOenub6EfZHUSzc_bpJFWwQUf0/edit?usp=share_link"",""แม่ฮ่องสอน!N71"")+IMPORTRANGE(""https://docs.google.com/spreadsheets/d/1p7ERhsr0qZeSn-KSOdeHS9r0heI-lHtkcn2OH7hP0jQ/edit?usp=share_link"",""ลำปาง!N71"")+IMPOR"&amp;"TRANGE(""https://docs.google.com/spreadsheets/d/1-uUXvimVhiU2U0bMN-xi2te0tS4X7DI2GLPnMjzl8cA/edit?usp=share_link"",""ลำพูน!N71"")+IMPORTRANGE(""https://docs.google.com/spreadsheets/d/17HrOaa5pBUI1onckFfumXB8xlg35qb2uBAFfF1D-Myo/edit?usp=share_link"",""สุโ"&amp;"ขทัย!N71"")+IMPORTRANGE(""https://docs.google.com/spreadsheets/d/1ubs5cl16eYL9gHbdHTJtmtYb9MGzHBs7CAphn8kNCgM/edit?usp=share_link"",""อุตรดิตถ์!N71"")+IMPORTRANGE(""https://docs.google.com/spreadsheets/d/1kII0BjS6CtVrBvI8IrytgPdxDrlyQDyigzMsohRtDMs/edit?u"&amp;"sp=share_link"",""อุทัยธานี!N71"")
"),2887085.76)</f>
        <v>2887085.76</v>
      </c>
      <c r="O71" s="45">
        <f t="shared" ca="1" si="53"/>
        <v>38.677032392894461</v>
      </c>
      <c r="P71" s="45">
        <f t="shared" ca="1" si="54"/>
        <v>51.334638916794837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8">L73+L74</f>
        <v>0</v>
      </c>
      <c r="M72" s="38">
        <f t="shared" ca="1" si="58"/>
        <v>0</v>
      </c>
      <c r="N72" s="38">
        <f t="shared" ca="1" si="58"/>
        <v>0</v>
      </c>
      <c r="O72" s="38">
        <f t="shared" ca="1" si="53"/>
        <v>0</v>
      </c>
      <c r="P72" s="38">
        <f t="shared" ca="1" si="54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3"/>
        <v>0</v>
      </c>
      <c r="P73" s="45">
        <f t="shared" si="54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KxicF4apzSqm0-jIpmueT4kyZtE-Cwn5zskl7GD4loQ/edit?usp=share_link"",""กำแพงเพชร!L74"")+IMPORTRANGE(""https://docs.google.com/spreadsheets/d/1ZNYWeiFoFA1K1U4xKWqRX29MBvEyRHXORjo734Gnq_c/edit?usp=share_lin"&amp;"k"",""เชียงราย!L74"")
+IMPORTRANGE(""https://docs.google.com/spreadsheets/d/1Jgv0Y7YlHDtsiDawwp-uvifEJ8HVaSn0k2aGHG8-hwM/edit?usp=share_link"",""เชียงใหม่!L74"")+IMPORTRANGE(""https://docs.google.com/spreadsheets/d/1JWG2rZePOz9pe-f-ObA-yDr0VoOX2kSb0qIix2m"&amp;"TUo8/edit?usp=share_link"",""ตาก!L74"")+IMPORTRANGE(""https://docs.google.com/spreadsheets/d/10nSRjK08hx8Y6HgSOQKNw81lyY46Zc7U_Cj72hBMp9U/edit?usp=share_link"",""นครสวรรค์!L74"")+IMPORTRANGE(""https://docs.google.com/spreadsheets/d/1gFVb7qd7amutrIxAAoM7lc"&amp;"y35hllxznovot8lyOfvDo/edit?usp=share_link"",""น่าน!L74"")+IMPORTRANGE(""https://docs.google.com/spreadsheets/d/1K0Aa9s-6EuHE5M0FG1F9aHLXRCOV917xvycTdLdct0w/edit?usp=share_link"",""พะเยา!L74"")+IMPORTRANGE(""https://docs.google.com/spreadsheets/d/1Y9LPKx95"&amp;"PyL5OKy09d-KbKJSuuEZCFdkhYjwC0XQjBA/edit?usp=share_link"",""พิจิตร!L74"")+IMPORTRANGE(""https://docs.google.com/spreadsheets/d/16OMuOwy2eVqZcYWOouQtTpa8X1L23h4660uVHc0C8os/edit?usp=share_link"",""พิษณุโลก!L74"")+IMPORTRANGE(""https://docs.google.com/sprea"&amp;"dsheets/d/1GfgTldLG6k77HXaMQzaafODklYuucJZQNs_GAPEfZyY/edit?usp=share_link"",""เพชรบูรณ์!L74"")+IMPORTRANGE(""https://docs.google.com/spreadsheets/d/1gvTMYAnm7v1yG1BKWFtr0DnaTsq59oW9dwWvFgq6hs0/edit?usp=share_link"",""แพร่!L74"")+IMPORTRANGE(""https://doc"&amp;"s.google.com/spreadsheets/d/1Wbcosgy-Xa1xXUArJSOenub6EfZHUSzc_bpJFWwQUf0/edit?usp=share_link"",""แม่ฮ่องสอน!L74"")+IMPORTRANGE(""https://docs.google.com/spreadsheets/d/1p7ERhsr0qZeSn-KSOdeHS9r0heI-lHtkcn2OH7hP0jQ/edit?usp=share_link"",""ลำปาง!L74"")+IMPOR"&amp;"TRANGE(""https://docs.google.com/spreadsheets/d/1-uUXvimVhiU2U0bMN-xi2te0tS4X7DI2GLPnMjzl8cA/edit?usp=share_link"",""ลำพูน!L74"")+IMPORTRANGE(""https://docs.google.com/spreadsheets/d/17HrOaa5pBUI1onckFfumXB8xlg35qb2uBAFfF1D-Myo/edit?usp=share_link"",""สุโ"&amp;"ขทัย!L74"")+IMPORTRANGE(""https://docs.google.com/spreadsheets/d/1ubs5cl16eYL9gHbdHTJtmtYb9MGzHBs7CAphn8kNCgM/edit?usp=share_link"",""อุตรดิตถ์!L74"")+IMPORTRANGE(""https://docs.google.com/spreadsheets/d/1kII0BjS6CtVrBvI8IrytgPdxDrlyQDyigzMsohRtDMs/edit?u"&amp;"sp=share_link"",""อุทัยธานี!L74"")
"),0)</f>
        <v>0</v>
      </c>
      <c r="M74" s="45">
        <f ca="1">IFERROR(__xludf.DUMMYFUNCTION("IMPORTRANGE(""https://docs.google.com/spreadsheets/d/1KxicF4apzSqm0-jIpmueT4kyZtE-Cwn5zskl7GD4loQ/edit?usp=share_link"",""กำแพงเพชร!M74"")+IMPORTRANGE(""https://docs.google.com/spreadsheets/d/1ZNYWeiFoFA1K1U4xKWqRX29MBvEyRHXORjo734Gnq_c/edit?usp=share_lin"&amp;"k"",""เชียงราย!M74"")
+IMPORTRANGE(""https://docs.google.com/spreadsheets/d/1Jgv0Y7YlHDtsiDawwp-uvifEJ8HVaSn0k2aGHG8-hwM/edit?usp=share_link"",""เชียงใหม่!M74"")+IMPORTRANGE(""https://docs.google.com/spreadsheets/d/1JWG2rZePOz9pe-f-ObA-yDr0VoOX2kSb0qIix2m"&amp;"TUo8/edit?usp=share_link"",""ตาก!M74"")+IMPORTRANGE(""https://docs.google.com/spreadsheets/d/10nSRjK08hx8Y6HgSOQKNw81lyY46Zc7U_Cj72hBMp9U/edit?usp=share_link"",""นครสวรรค์!M74"")+IMPORTRANGE(""https://docs.google.com/spreadsheets/d/1gFVb7qd7amutrIxAAoM7lc"&amp;"y35hllxznovot8lyOfvDo/edit?usp=share_link"",""น่าน!M74"")+IMPORTRANGE(""https://docs.google.com/spreadsheets/d/1K0Aa9s-6EuHE5M0FG1F9aHLXRCOV917xvycTdLdct0w/edit?usp=share_link"",""พะเยา!M74"")+IMPORTRANGE(""https://docs.google.com/spreadsheets/d/1Y9LPKx95"&amp;"PyL5OKy09d-KbKJSuuEZCFdkhYjwC0XQjBA/edit?usp=share_link"",""พิจิตร!M74"")+IMPORTRANGE(""https://docs.google.com/spreadsheets/d/16OMuOwy2eVqZcYWOouQtTpa8X1L23h4660uVHc0C8os/edit?usp=share_link"",""พิษณุโลก!M74"")+IMPORTRANGE(""https://docs.google.com/sprea"&amp;"dsheets/d/1GfgTldLG6k77HXaMQzaafODklYuucJZQNs_GAPEfZyY/edit?usp=share_link"",""เพชรบูรณ์!M74"")+IMPORTRANGE(""https://docs.google.com/spreadsheets/d/1gvTMYAnm7v1yG1BKWFtr0DnaTsq59oW9dwWvFgq6hs0/edit?usp=share_link"",""แพร่!M74"")+IMPORTRANGE(""https://doc"&amp;"s.google.com/spreadsheets/d/1Wbcosgy-Xa1xXUArJSOenub6EfZHUSzc_bpJFWwQUf0/edit?usp=share_link"",""แม่ฮ่องสอน!M74"")+IMPORTRANGE(""https://docs.google.com/spreadsheets/d/1p7ERhsr0qZeSn-KSOdeHS9r0heI-lHtkcn2OH7hP0jQ/edit?usp=share_link"",""ลำปาง!M74"")+IMPOR"&amp;"TRANGE(""https://docs.google.com/spreadsheets/d/1-uUXvimVhiU2U0bMN-xi2te0tS4X7DI2GLPnMjzl8cA/edit?usp=share_link"",""ลำพูน!M74"")+IMPORTRANGE(""https://docs.google.com/spreadsheets/d/17HrOaa5pBUI1onckFfumXB8xlg35qb2uBAFfF1D-Myo/edit?usp=share_link"",""สุโ"&amp;"ขทัย!M74"")+IMPORTRANGE(""https://docs.google.com/spreadsheets/d/1ubs5cl16eYL9gHbdHTJtmtYb9MGzHBs7CAphn8kNCgM/edit?usp=share_link"",""อุตรดิตถ์!M74"")+IMPORTRANGE(""https://docs.google.com/spreadsheets/d/1kII0BjS6CtVrBvI8IrytgPdxDrlyQDyigzMsohRtDMs/edit?u"&amp;"sp=share_link"",""อุทัยธานี!M74"")
"),0)</f>
        <v>0</v>
      </c>
      <c r="N74" s="45">
        <f ca="1">IFERROR(__xludf.DUMMYFUNCTION("IMPORTRANGE(""https://docs.google.com/spreadsheets/d/1KxicF4apzSqm0-jIpmueT4kyZtE-Cwn5zskl7GD4loQ/edit?usp=share_link"",""กำแพงเพชร!N74"")+IMPORTRANGE(""https://docs.google.com/spreadsheets/d/1ZNYWeiFoFA1K1U4xKWqRX29MBvEyRHXORjo734Gnq_c/edit?usp=share_lin"&amp;"k"",""เชียงราย!N74"")
+IMPORTRANGE(""https://docs.google.com/spreadsheets/d/1Jgv0Y7YlHDtsiDawwp-uvifEJ8HVaSn0k2aGHG8-hwM/edit?usp=share_link"",""เชียงใหม่!N74"")+IMPORTRANGE(""https://docs.google.com/spreadsheets/d/1JWG2rZePOz9pe-f-ObA-yDr0VoOX2kSb0qIix2m"&amp;"TUo8/edit?usp=share_link"",""ตาก!N74"")+IMPORTRANGE(""https://docs.google.com/spreadsheets/d/10nSRjK08hx8Y6HgSOQKNw81lyY46Zc7U_Cj72hBMp9U/edit?usp=share_link"",""นครสวรรค์!N74"")+IMPORTRANGE(""https://docs.google.com/spreadsheets/d/1gFVb7qd7amutrIxAAoM7lc"&amp;"y35hllxznovot8lyOfvDo/edit?usp=share_link"",""น่าน!N74"")+IMPORTRANGE(""https://docs.google.com/spreadsheets/d/1K0Aa9s-6EuHE5M0FG1F9aHLXRCOV917xvycTdLdct0w/edit?usp=share_link"",""พะเยา!N74"")+IMPORTRANGE(""https://docs.google.com/spreadsheets/d/1Y9LPKx95"&amp;"PyL5OKy09d-KbKJSuuEZCFdkhYjwC0XQjBA/edit?usp=share_link"",""พิจิตร!N74"")+IMPORTRANGE(""https://docs.google.com/spreadsheets/d/16OMuOwy2eVqZcYWOouQtTpa8X1L23h4660uVHc0C8os/edit?usp=share_link"",""พิษณุโลก!N74"")+IMPORTRANGE(""https://docs.google.com/sprea"&amp;"dsheets/d/1GfgTldLG6k77HXaMQzaafODklYuucJZQNs_GAPEfZyY/edit?usp=share_link"",""เพชรบูรณ์!N74"")+IMPORTRANGE(""https://docs.google.com/spreadsheets/d/1gvTMYAnm7v1yG1BKWFtr0DnaTsq59oW9dwWvFgq6hs0/edit?usp=share_link"",""แพร่!N74"")+IMPORTRANGE(""https://doc"&amp;"s.google.com/spreadsheets/d/1Wbcosgy-Xa1xXUArJSOenub6EfZHUSzc_bpJFWwQUf0/edit?usp=share_link"",""แม่ฮ่องสอน!N74"")+IMPORTRANGE(""https://docs.google.com/spreadsheets/d/1p7ERhsr0qZeSn-KSOdeHS9r0heI-lHtkcn2OH7hP0jQ/edit?usp=share_link"",""ลำปาง!N74"")+IMPOR"&amp;"TRANGE(""https://docs.google.com/spreadsheets/d/1-uUXvimVhiU2U0bMN-xi2te0tS4X7DI2GLPnMjzl8cA/edit?usp=share_link"",""ลำพูน!N74"")+IMPORTRANGE(""https://docs.google.com/spreadsheets/d/17HrOaa5pBUI1onckFfumXB8xlg35qb2uBAFfF1D-Myo/edit?usp=share_link"",""สุโ"&amp;"ขทัย!N74"")+IMPORTRANGE(""https://docs.google.com/spreadsheets/d/1ubs5cl16eYL9gHbdHTJtmtYb9MGzHBs7CAphn8kNCgM/edit?usp=share_link"",""อุตรดิตถ์!N74"")+IMPORTRANGE(""https://docs.google.com/spreadsheets/d/1kII0BjS6CtVrBvI8IrytgPdxDrlyQDyigzMsohRtDMs/edit?u"&amp;"sp=share_link"",""อุทัยธานี!N74"")
"),0)</f>
        <v>0</v>
      </c>
      <c r="O74" s="45">
        <f t="shared" ca="1" si="53"/>
        <v>0</v>
      </c>
      <c r="P74" s="45">
        <f t="shared" ca="1" si="54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I77" ca="1" si="59">I78+I80+I82</f>
        <v>11</v>
      </c>
      <c r="J76" s="37">
        <f ca="1">J107+J80+J82</f>
        <v>11</v>
      </c>
      <c r="K76" s="163">
        <f t="shared" ref="K76:K77" ca="1" si="60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ca="1" si="59"/>
        <v>457</v>
      </c>
      <c r="J77" s="37">
        <f ca="1">J79+J81+J83</f>
        <v>448</v>
      </c>
      <c r="K77" s="163">
        <f t="shared" ca="1" si="60"/>
        <v>98.030634573304155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78" s="183">
        <f ca="1">IFERROR(__xludf.DUMMYFUNCTION("IMPORTRANGE(""https://docs.google.com/spreadsheets/d/1KxicF4apzSqm0-jIpmueT4kyZtE-Cwn5zskl7GD4loQ/edit?usp=share_link"",""กำแพงเพชร!J107"")+IMPORTRANGE(""https://docs.google.com/spreadsheets/d/1ZNYWeiFoFA1K1U4xKWqRX29MBvEyRHXORjo734Gnq_c/edit?usp=share_li"&amp;"nk"",""เชียงราย!J107"")
+IMPORTRANGE(""https://docs.google.com/spreadsheets/d/1Jgv0Y7YlHDtsiDawwp-uvifEJ8HVaSn0k2aGHG8-hwM/edit?usp=share_link"",""เชียงใหม่!J107"")+IMPORTRANGE(""https://docs.google.com/spreadsheets/d/1JWG2rZePOz9pe-f-ObA-yDr0VoOX2kSb0qIi"&amp;"x2mTUo8/edit?usp=share_link"",""ตาก!J107"")+IMPORTRANGE(""https://docs.google.com/spreadsheets/d/10nSRjK08hx8Y6HgSOQKNw81lyY46Zc7U_Cj72hBMp9U/edit?usp=share_link"",""นครสวรรค์!J107"")+IMPORTRANGE(""https://docs.google.com/spreadsheets/d/1gFVb7qd7amutrIxAA"&amp;"oM7lcy35hllxznovot8lyOfvDo/edit?usp=share_link"",""น่าน!J107"")+IMPORTRANGE(""https://docs.google.com/spreadsheets/d/1K0Aa9s-6EuHE5M0FG1F9aHLXRCOV917xvycTdLdct0w/edit?usp=share_link"",""พะเยา!J107"")+IMPORTRANGE(""https://docs.google.com/spreadsheets/d/1Y"&amp;"9LPKx95PyL5OKy09d-KbKJSuuEZCFdkhYjwC0XQjBA/edit?usp=share_link"",""พิจิตร!J107"")+IMPORTRANGE(""https://docs.google.com/spreadsheets/d/16OMuOwy2eVqZcYWOouQtTpa8X1L23h4660uVHc0C8os/edit?usp=share_link"",""พิษณุโลก!J107"")+IMPORTRANGE(""https://docs.google."&amp;"com/spreadsheets/d/1GfgTldLG6k77HXaMQzaafODklYuucJZQNs_GAPEfZyY/edit?usp=share_link"",""เพชรบูรณ์!J107"")+IMPORTRANGE(""https://docs.google.com/spreadsheets/d/1gvTMYAnm7v1yG1BKWFtr0DnaTsq59oW9dwWvFgq6hs0/edit?usp=share_link"",""แพร่!J107"")+IMPORTRANGE("""&amp;"https://docs.google.com/spreadsheets/d/1Wbcosgy-Xa1xXUArJSOenub6EfZHUSzc_bpJFWwQUf0/edit?usp=share_link"",""แม่ฮ่องสอน!J107"")+IMPORTRANGE(""https://docs.google.com/spreadsheets/d/1p7ERhsr0qZeSn-KSOdeHS9r0heI-lHtkcn2OH7hP0jQ/edit?usp=share_link"",""ลำปาง!"&amp;"J107"")+IMPORTRANGE(""https://docs.google.com/spreadsheets/d/1-uUXvimVhiU2U0bMN-xi2te0tS4X7DI2GLPnMjzl8cA/edit?usp=share_link"",""ลำพูน!J107"")+IMPORTRANGE(""https://docs.google.com/spreadsheets/d/17HrOaa5pBUI1onckFfumXB8xlg35qb2uBAFfF1D-Myo/edit?usp=shar"&amp;"e_link"",""สุโขทัย!J107"")+IMPORTRANGE(""https://docs.google.com/spreadsheets/d/1ubs5cl16eYL9gHbdHTJtmtYb9MGzHBs7CAphn8kNCgM/edit?usp=share_link"",""อุตรดิตถ์!J107"")+IMPORTRANGE(""https://docs.google.com/spreadsheets/d/1kII0BjS6CtVrBvI8IrytgPdxDrlyQDyigz"&amp;"MsohRtDMs/edit?usp=share_link"",""อุทัยธานี!J107"")
"),5)</f>
        <v>5</v>
      </c>
      <c r="K78" s="163">
        <f ca="1">IF(I78&gt;0,J107*100/I78,0)</f>
        <v>125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KxicF4apzSqm0-jIpmueT4kyZtE-Cwn5zskl7GD4loQ/edit?usp=share_link"",""กำแพงเพชร!I79"")+IMPORTRANGE(""https://docs.google.com/spreadsheets/d/1ZNYWeiFoFA1K1U4xKWqRX29MBvEyRHXORjo734Gnq_c/edit?usp=share_lin"&amp;"k"",""เชียงราย!I79"")
+IMPORTRANGE(""https://docs.google.com/spreadsheets/d/1Jgv0Y7YlHDtsiDawwp-uvifEJ8HVaSn0k2aGHG8-hwM/edit?usp=share_link"",""เชียงใหม่!I79"")+IMPORTRANGE(""https://docs.google.com/spreadsheets/d/1JWG2rZePOz9pe-f-ObA-yDr0VoOX2kSb0qIix2m"&amp;"TUo8/edit?usp=share_link"",""ตาก!I79"")+IMPORTRANGE(""https://docs.google.com/spreadsheets/d/10nSRjK08hx8Y6HgSOQKNw81lyY46Zc7U_Cj72hBMp9U/edit?usp=share_link"",""นครสวรรค์!I79"")+IMPORTRANGE(""https://docs.google.com/spreadsheets/d/1gFVb7qd7amutrIxAAoM7lc"&amp;"y35hllxznovot8lyOfvDo/edit?usp=share_link"",""น่าน!I79"")+IMPORTRANGE(""https://docs.google.com/spreadsheets/d/1K0Aa9s-6EuHE5M0FG1F9aHLXRCOV917xvycTdLdct0w/edit?usp=share_link"",""พะเยา!I79"")+IMPORTRANGE(""https://docs.google.com/spreadsheets/d/1Y9LPKx95"&amp;"PyL5OKy09d-KbKJSuuEZCFdkhYjwC0XQjBA/edit?usp=share_link"",""พิจิตร!I79"")+IMPORTRANGE(""https://docs.google.com/spreadsheets/d/16OMuOwy2eVqZcYWOouQtTpa8X1L23h4660uVHc0C8os/edit?usp=share_link"",""พิษณุโลก!I79"")+IMPORTRANGE(""https://docs.google.com/sprea"&amp;"dsheets/d/1GfgTldLG6k77HXaMQzaafODklYuucJZQNs_GAPEfZyY/edit?usp=share_link"",""เพชรบูรณ์!I79"")+IMPORTRANGE(""https://docs.google.com/spreadsheets/d/1gvTMYAnm7v1yG1BKWFtr0DnaTsq59oW9dwWvFgq6hs0/edit?usp=share_link"",""แพร่!I79"")+IMPORTRANGE(""https://doc"&amp;"s.google.com/spreadsheets/d/1Wbcosgy-Xa1xXUArJSOenub6EfZHUSzc_bpJFWwQUf0/edit?usp=share_link"",""แม่ฮ่องสอน!I79"")+IMPORTRANGE(""https://docs.google.com/spreadsheets/d/1p7ERhsr0qZeSn-KSOdeHS9r0heI-lHtkcn2OH7hP0jQ/edit?usp=share_link"",""ลำปาง!I79"")+IMPOR"&amp;"TRANGE(""https://docs.google.com/spreadsheets/d/1-uUXvimVhiU2U0bMN-xi2te0tS4X7DI2GLPnMjzl8cA/edit?usp=share_link"",""ลำพูน!I79"")+IMPORTRANGE(""https://docs.google.com/spreadsheets/d/17HrOaa5pBUI1onckFfumXB8xlg35qb2uBAFfF1D-Myo/edit?usp=share_link"",""สุโ"&amp;"ขทัย!I79"")+IMPORTRANGE(""https://docs.google.com/spreadsheets/d/1ubs5cl16eYL9gHbdHTJtmtYb9MGzHBs7CAphn8kNCgM/edit?usp=share_link"",""อุตรดิตถ์!I79"")+IMPORTRANGE(""https://docs.google.com/spreadsheets/d/1kII0BjS6CtVrBvI8IrytgPdxDrlyQDyigzMsohRtDMs/edit?u"&amp;"sp=share_link"",""อุทัยธานี!I79"")
"),150)</f>
        <v>150</v>
      </c>
      <c r="J79" s="183">
        <f ca="1">IFERROR(__xludf.DUMMYFUNCTION("IMPORTRANGE(""https://docs.google.com/spreadsheets/d/1KxicF4apzSqm0-jIpmueT4kyZtE-Cwn5zskl7GD4loQ/edit?usp=share_link"",""กำแพงเพชร!J79"")+IMPORTRANGE(""https://docs.google.com/spreadsheets/d/1ZNYWeiFoFA1K1U4xKWqRX29MBvEyRHXORjo734Gnq_c/edit?usp=share_lin"&amp;"k"",""เชียงราย!J79"")
+IMPORTRANGE(""https://docs.google.com/spreadsheets/d/1Jgv0Y7YlHDtsiDawwp-uvifEJ8HVaSn0k2aGHG8-hwM/edit?usp=share_link"",""เชียงใหม่!J79"")+IMPORTRANGE(""https://docs.google.com/spreadsheets/d/1JWG2rZePOz9pe-f-ObA-yDr0VoOX2kSb0qIix2m"&amp;"TUo8/edit?usp=share_link"",""ตาก!J79"")+IMPORTRANGE(""https://docs.google.com/spreadsheets/d/10nSRjK08hx8Y6HgSOQKNw81lyY46Zc7U_Cj72hBMp9U/edit?usp=share_link"",""นครสวรรค์!J79"")+IMPORTRANGE(""https://docs.google.com/spreadsheets/d/1gFVb7qd7amutrIxAAoM7lc"&amp;"y35hllxznovot8lyOfvDo/edit?usp=share_link"",""น่าน!J79"")+IMPORTRANGE(""https://docs.google.com/spreadsheets/d/1K0Aa9s-6EuHE5M0FG1F9aHLXRCOV917xvycTdLdct0w/edit?usp=share_link"",""พะเยา!J79"")+IMPORTRANGE(""https://docs.google.com/spreadsheets/d/1Y9LPKx95"&amp;"PyL5OKy09d-KbKJSuuEZCFdkhYjwC0XQjBA/edit?usp=share_link"",""พิจิตร!J79"")+IMPORTRANGE(""https://docs.google.com/spreadsheets/d/16OMuOwy2eVqZcYWOouQtTpa8X1L23h4660uVHc0C8os/edit?usp=share_link"",""พิษณุโลก!J79"")+IMPORTRANGE(""https://docs.google.com/sprea"&amp;"dsheets/d/1GfgTldLG6k77HXaMQzaafODklYuucJZQNs_GAPEfZyY/edit?usp=share_link"",""เพชรบูรณ์!J79"")+IMPORTRANGE(""https://docs.google.com/spreadsheets/d/1gvTMYAnm7v1yG1BKWFtr0DnaTsq59oW9dwWvFgq6hs0/edit?usp=share_link"",""แพร่!J79"")+IMPORTRANGE(""https://doc"&amp;"s.google.com/spreadsheets/d/1Wbcosgy-Xa1xXUArJSOenub6EfZHUSzc_bpJFWwQUf0/edit?usp=share_link"",""แม่ฮ่องสอน!J79"")+IMPORTRANGE(""https://docs.google.com/spreadsheets/d/1p7ERhsr0qZeSn-KSOdeHS9r0heI-lHtkcn2OH7hP0jQ/edit?usp=share_link"",""ลำปาง!J79"")+IMPOR"&amp;"TRANGE(""https://docs.google.com/spreadsheets/d/1-uUXvimVhiU2U0bMN-xi2te0tS4X7DI2GLPnMjzl8cA/edit?usp=share_link"",""ลำพูน!J79"")+IMPORTRANGE(""https://docs.google.com/spreadsheets/d/17HrOaa5pBUI1onckFfumXB8xlg35qb2uBAFfF1D-Myo/edit?usp=share_link"",""สุโ"&amp;"ขทัย!J79"")+IMPORTRANGE(""https://docs.google.com/spreadsheets/d/1ubs5cl16eYL9gHbdHTJtmtYb9MGzHBs7CAphn8kNCgM/edit?usp=share_link"",""อุตรดิตถ์!J79"")+IMPORTRANGE(""https://docs.google.com/spreadsheets/d/1kII0BjS6CtVrBvI8IrytgPdxDrlyQDyigzMsohRtDMs/edit?u"&amp;"sp=share_link"",""อุทัยธานี!J79"")
"),150)</f>
        <v>150</v>
      </c>
      <c r="K79" s="163">
        <f t="shared" ref="K79:K84" ca="1" si="61">IF(I79&gt;0,J79*100/I79,0)</f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KxicF4apzSqm0-jIpmueT4kyZtE-Cwn5zskl7GD4loQ/edit?usp=share_link"",""กำแพงเพชร!I80"")+IMPORTRANGE(""https://docs.google.com/spreadsheets/d/1ZNYWeiFoFA1K1U4xKWqRX29MBvEyRHXORjo734Gnq_c/edit?usp=share_lin"&amp;"k"",""เชียงราย!I80"")
+IMPORTRANGE(""https://docs.google.com/spreadsheets/d/1Jgv0Y7YlHDtsiDawwp-uvifEJ8HVaSn0k2aGHG8-hwM/edit?usp=share_link"",""เชียงใหม่!I80"")+IMPORTRANGE(""https://docs.google.com/spreadsheets/d/1JWG2rZePOz9pe-f-ObA-yDr0VoOX2kSb0qIix2m"&amp;"TUo8/edit?usp=share_link"",""ตาก!I80"")+IMPORTRANGE(""https://docs.google.com/spreadsheets/d/10nSRjK08hx8Y6HgSOQKNw81lyY46Zc7U_Cj72hBMp9U/edit?usp=share_link"",""นครสวรรค์!I80"")+IMPORTRANGE(""https://docs.google.com/spreadsheets/d/1gFVb7qd7amutrIxAAoM7lc"&amp;"y35hllxznovot8lyOfvDo/edit?usp=share_link"",""น่าน!I80"")+IMPORTRANGE(""https://docs.google.com/spreadsheets/d/1K0Aa9s-6EuHE5M0FG1F9aHLXRCOV917xvycTdLdct0w/edit?usp=share_link"",""พะเยา!I80"")+IMPORTRANGE(""https://docs.google.com/spreadsheets/d/1Y9LPKx95"&amp;"PyL5OKy09d-KbKJSuuEZCFdkhYjwC0XQjBA/edit?usp=share_link"",""พิจิตร!I80"")+IMPORTRANGE(""https://docs.google.com/spreadsheets/d/16OMuOwy2eVqZcYWOouQtTpa8X1L23h4660uVHc0C8os/edit?usp=share_link"",""พิษณุโลก!I80"")+IMPORTRANGE(""https://docs.google.com/sprea"&amp;"dsheets/d/1GfgTldLG6k77HXaMQzaafODklYuucJZQNs_GAPEfZyY/edit?usp=share_link"",""เพชรบูรณ์!I80"")+IMPORTRANGE(""https://docs.google.com/spreadsheets/d/1gvTMYAnm7v1yG1BKWFtr0DnaTsq59oW9dwWvFgq6hs0/edit?usp=share_link"",""แพร่!I80"")+IMPORTRANGE(""https://doc"&amp;"s.google.com/spreadsheets/d/1Wbcosgy-Xa1xXUArJSOenub6EfZHUSzc_bpJFWwQUf0/edit?usp=share_link"",""แม่ฮ่องสอน!I80"")+IMPORTRANGE(""https://docs.google.com/spreadsheets/d/1p7ERhsr0qZeSn-KSOdeHS9r0heI-lHtkcn2OH7hP0jQ/edit?usp=share_link"",""ลำปาง!I80"")+IMPOR"&amp;"TRANGE(""https://docs.google.com/spreadsheets/d/1-uUXvimVhiU2U0bMN-xi2te0tS4X7DI2GLPnMjzl8cA/edit?usp=share_link"",""ลำพูน!I80"")+IMPORTRANGE(""https://docs.google.com/spreadsheets/d/17HrOaa5pBUI1onckFfumXB8xlg35qb2uBAFfF1D-Myo/edit?usp=share_link"",""สุโ"&amp;"ขทัย!I80"")+IMPORTRANGE(""https://docs.google.com/spreadsheets/d/1ubs5cl16eYL9gHbdHTJtmtYb9MGzHBs7CAphn8kNCgM/edit?usp=share_link"",""อุตรดิตถ์!I80"")+IMPORTRANGE(""https://docs.google.com/spreadsheets/d/1kII0BjS6CtVrBvI8IrytgPdxDrlyQDyigzMsohRtDMs/edit?u"&amp;"sp=share_link"",""อุทัยธานี!I80"")
"),4)</f>
        <v>4</v>
      </c>
      <c r="J80" s="183">
        <f ca="1">IFERROR(__xludf.DUMMYFUNCTION("IMPORTRANGE(""https://docs.google.com/spreadsheets/d/1KxicF4apzSqm0-jIpmueT4kyZtE-Cwn5zskl7GD4loQ/edit?usp=share_link"",""กำแพงเพชร!J80"")+IMPORTRANGE(""https://docs.google.com/spreadsheets/d/1ZNYWeiFoFA1K1U4xKWqRX29MBvEyRHXORjo734Gnq_c/edit?usp=share_lin"&amp;"k"",""เชียงราย!J80"")
+IMPORTRANGE(""https://docs.google.com/spreadsheets/d/1Jgv0Y7YlHDtsiDawwp-uvifEJ8HVaSn0k2aGHG8-hwM/edit?usp=share_link"",""เชียงใหม่!J80"")+IMPORTRANGE(""https://docs.google.com/spreadsheets/d/1JWG2rZePOz9pe-f-ObA-yDr0VoOX2kSb0qIix2m"&amp;"TUo8/edit?usp=share_link"",""ตาก!J80"")+IMPORTRANGE(""https://docs.google.com/spreadsheets/d/10nSRjK08hx8Y6HgSOQKNw81lyY46Zc7U_Cj72hBMp9U/edit?usp=share_link"",""นครสวรรค์!J80"")+IMPORTRANGE(""https://docs.google.com/spreadsheets/d/1gFVb7qd7amutrIxAAoM7lc"&amp;"y35hllxznovot8lyOfvDo/edit?usp=share_link"",""น่าน!J80"")+IMPORTRANGE(""https://docs.google.com/spreadsheets/d/1K0Aa9s-6EuHE5M0FG1F9aHLXRCOV917xvycTdLdct0w/edit?usp=share_link"",""พะเยา!J80"")+IMPORTRANGE(""https://docs.google.com/spreadsheets/d/1Y9LPKx95"&amp;"PyL5OKy09d-KbKJSuuEZCFdkhYjwC0XQjBA/edit?usp=share_link"",""พิจิตร!J80"")+IMPORTRANGE(""https://docs.google.com/spreadsheets/d/16OMuOwy2eVqZcYWOouQtTpa8X1L23h4660uVHc0C8os/edit?usp=share_link"",""พิษณุโลก!J80"")+IMPORTRANGE(""https://docs.google.com/sprea"&amp;"dsheets/d/1GfgTldLG6k77HXaMQzaafODklYuucJZQNs_GAPEfZyY/edit?usp=share_link"",""เพชรบูรณ์!J80"")+IMPORTRANGE(""https://docs.google.com/spreadsheets/d/1gvTMYAnm7v1yG1BKWFtr0DnaTsq59oW9dwWvFgq6hs0/edit?usp=share_link"",""แพร่!J80"")+IMPORTRANGE(""https://doc"&amp;"s.google.com/spreadsheets/d/1Wbcosgy-Xa1xXUArJSOenub6EfZHUSzc_bpJFWwQUf0/edit?usp=share_link"",""แม่ฮ่องสอน!J80"")+IMPORTRANGE(""https://docs.google.com/spreadsheets/d/1p7ERhsr0qZeSn-KSOdeHS9r0heI-lHtkcn2OH7hP0jQ/edit?usp=share_link"",""ลำปาง!J80"")+IMPOR"&amp;"TRANGE(""https://docs.google.com/spreadsheets/d/1-uUXvimVhiU2U0bMN-xi2te0tS4X7DI2GLPnMjzl8cA/edit?usp=share_link"",""ลำพูน!J80"")+IMPORTRANGE(""https://docs.google.com/spreadsheets/d/17HrOaa5pBUI1onckFfumXB8xlg35qb2uBAFfF1D-Myo/edit?usp=share_link"",""สุโ"&amp;"ขทัย!J80"")+IMPORTRANGE(""https://docs.google.com/spreadsheets/d/1ubs5cl16eYL9gHbdHTJtmtYb9MGzHBs7CAphn8kNCgM/edit?usp=share_link"",""อุตรดิตถ์!J80"")+IMPORTRANGE(""https://docs.google.com/spreadsheets/d/1kII0BjS6CtVrBvI8IrytgPdxDrlyQDyigzMsohRtDMs/edit?u"&amp;"sp=share_link"",""อุทัยธานี!J80"")
"),4)</f>
        <v>4</v>
      </c>
      <c r="K80" s="163">
        <f t="shared" ca="1" si="61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KxicF4apzSqm0-jIpmueT4kyZtE-Cwn5zskl7GD4loQ/edit?usp=share_link"",""กำแพงเพชร!I81"")+IMPORTRANGE(""https://docs.google.com/spreadsheets/d/1ZNYWeiFoFA1K1U4xKWqRX29MBvEyRHXORjo734Gnq_c/edit?usp=share_lin"&amp;"k"",""เชียงราย!I81"")
+IMPORTRANGE(""https://docs.google.com/spreadsheets/d/1Jgv0Y7YlHDtsiDawwp-uvifEJ8HVaSn0k2aGHG8-hwM/edit?usp=share_link"",""เชียงใหม่!I81"")+IMPORTRANGE(""https://docs.google.com/spreadsheets/d/1JWG2rZePOz9pe-f-ObA-yDr0VoOX2kSb0qIix2m"&amp;"TUo8/edit?usp=share_link"",""ตาก!I81"")+IMPORTRANGE(""https://docs.google.com/spreadsheets/d/10nSRjK08hx8Y6HgSOQKNw81lyY46Zc7U_Cj72hBMp9U/edit?usp=share_link"",""นครสวรรค์!I81"")+IMPORTRANGE(""https://docs.google.com/spreadsheets/d/1gFVb7qd7amutrIxAAoM7lc"&amp;"y35hllxznovot8lyOfvDo/edit?usp=share_link"",""น่าน!I81"")+IMPORTRANGE(""https://docs.google.com/spreadsheets/d/1K0Aa9s-6EuHE5M0FG1F9aHLXRCOV917xvycTdLdct0w/edit?usp=share_link"",""พะเยา!I81"")+IMPORTRANGE(""https://docs.google.com/spreadsheets/d/1Y9LPKx95"&amp;"PyL5OKy09d-KbKJSuuEZCFdkhYjwC0XQjBA/edit?usp=share_link"",""พิจิตร!I81"")+IMPORTRANGE(""https://docs.google.com/spreadsheets/d/16OMuOwy2eVqZcYWOouQtTpa8X1L23h4660uVHc0C8os/edit?usp=share_link"",""พิษณุโลก!I81"")+IMPORTRANGE(""https://docs.google.com/sprea"&amp;"dsheets/d/1GfgTldLG6k77HXaMQzaafODklYuucJZQNs_GAPEfZyY/edit?usp=share_link"",""เพชรบูรณ์!I81"")+IMPORTRANGE(""https://docs.google.com/spreadsheets/d/1gvTMYAnm7v1yG1BKWFtr0DnaTsq59oW9dwWvFgq6hs0/edit?usp=share_link"",""แพร่!I81"")+IMPORTRANGE(""https://doc"&amp;"s.google.com/spreadsheets/d/1Wbcosgy-Xa1xXUArJSOenub6EfZHUSzc_bpJFWwQUf0/edit?usp=share_link"",""แม่ฮ่องสอน!I81"")+IMPORTRANGE(""https://docs.google.com/spreadsheets/d/1p7ERhsr0qZeSn-KSOdeHS9r0heI-lHtkcn2OH7hP0jQ/edit?usp=share_link"",""ลำปาง!I81"")+IMPOR"&amp;"TRANGE(""https://docs.google.com/spreadsheets/d/1-uUXvimVhiU2U0bMN-xi2te0tS4X7DI2GLPnMjzl8cA/edit?usp=share_link"",""ลำพูน!I81"")+IMPORTRANGE(""https://docs.google.com/spreadsheets/d/17HrOaa5pBUI1onckFfumXB8xlg35qb2uBAFfF1D-Myo/edit?usp=share_link"",""สุโ"&amp;"ขทัย!I81"")+IMPORTRANGE(""https://docs.google.com/spreadsheets/d/1ubs5cl16eYL9gHbdHTJtmtYb9MGzHBs7CAphn8kNCgM/edit?usp=share_link"",""อุตรดิตถ์!I81"")+IMPORTRANGE(""https://docs.google.com/spreadsheets/d/1kII0BjS6CtVrBvI8IrytgPdxDrlyQDyigzMsohRtDMs/edit?u"&amp;"sp=share_link"",""อุทัยธานี!I81"")
"),157)</f>
        <v>157</v>
      </c>
      <c r="J81" s="183">
        <f ca="1">IFERROR(__xludf.DUMMYFUNCTION("IMPORTRANGE(""https://docs.google.com/spreadsheets/d/1KxicF4apzSqm0-jIpmueT4kyZtE-Cwn5zskl7GD4loQ/edit?usp=share_link"",""กำแพงเพชร!J81"")+IMPORTRANGE(""https://docs.google.com/spreadsheets/d/1ZNYWeiFoFA1K1U4xKWqRX29MBvEyRHXORjo734Gnq_c/edit?usp=share_lin"&amp;"k"",""เชียงราย!J81"")
+IMPORTRANGE(""https://docs.google.com/spreadsheets/d/1Jgv0Y7YlHDtsiDawwp-uvifEJ8HVaSn0k2aGHG8-hwM/edit?usp=share_link"",""เชียงใหม่!J81"")+IMPORTRANGE(""https://docs.google.com/spreadsheets/d/1JWG2rZePOz9pe-f-ObA-yDr0VoOX2kSb0qIix2m"&amp;"TUo8/edit?usp=share_link"",""ตาก!J81"")+IMPORTRANGE(""https://docs.google.com/spreadsheets/d/10nSRjK08hx8Y6HgSOQKNw81lyY46Zc7U_Cj72hBMp9U/edit?usp=share_link"",""นครสวรรค์!J81"")+IMPORTRANGE(""https://docs.google.com/spreadsheets/d/1gFVb7qd7amutrIxAAoM7lc"&amp;"y35hllxznovot8lyOfvDo/edit?usp=share_link"",""น่าน!J81"")+IMPORTRANGE(""https://docs.google.com/spreadsheets/d/1K0Aa9s-6EuHE5M0FG1F9aHLXRCOV917xvycTdLdct0w/edit?usp=share_link"",""พะเยา!J81"")+IMPORTRANGE(""https://docs.google.com/spreadsheets/d/1Y9LPKx95"&amp;"PyL5OKy09d-KbKJSuuEZCFdkhYjwC0XQjBA/edit?usp=share_link"",""พิจิตร!J81"")+IMPORTRANGE(""https://docs.google.com/spreadsheets/d/16OMuOwy2eVqZcYWOouQtTpa8X1L23h4660uVHc0C8os/edit?usp=share_link"",""พิษณุโลก!J81"")+IMPORTRANGE(""https://docs.google.com/sprea"&amp;"dsheets/d/1GfgTldLG6k77HXaMQzaafODklYuucJZQNs_GAPEfZyY/edit?usp=share_link"",""เพชรบูรณ์!J81"")+IMPORTRANGE(""https://docs.google.com/spreadsheets/d/1gvTMYAnm7v1yG1BKWFtr0DnaTsq59oW9dwWvFgq6hs0/edit?usp=share_link"",""แพร่!J81"")+IMPORTRANGE(""https://doc"&amp;"s.google.com/spreadsheets/d/1Wbcosgy-Xa1xXUArJSOenub6EfZHUSzc_bpJFWwQUf0/edit?usp=share_link"",""แม่ฮ่องสอน!J81"")+IMPORTRANGE(""https://docs.google.com/spreadsheets/d/1p7ERhsr0qZeSn-KSOdeHS9r0heI-lHtkcn2OH7hP0jQ/edit?usp=share_link"",""ลำปาง!J81"")+IMPOR"&amp;"TRANGE(""https://docs.google.com/spreadsheets/d/1-uUXvimVhiU2U0bMN-xi2te0tS4X7DI2GLPnMjzl8cA/edit?usp=share_link"",""ลำพูน!J81"")+IMPORTRANGE(""https://docs.google.com/spreadsheets/d/17HrOaa5pBUI1onckFfumXB8xlg35qb2uBAFfF1D-Myo/edit?usp=share_link"",""สุโ"&amp;"ขทัย!J81"")+IMPORTRANGE(""https://docs.google.com/spreadsheets/d/1ubs5cl16eYL9gHbdHTJtmtYb9MGzHBs7CAphn8kNCgM/edit?usp=share_link"",""อุตรดิตถ์!J81"")+IMPORTRANGE(""https://docs.google.com/spreadsheets/d/1kII0BjS6CtVrBvI8IrytgPdxDrlyQDyigzMsohRtDMs/edit?u"&amp;"sp=share_link"",""อุทัยธานี!J81"")
"),157)</f>
        <v>157</v>
      </c>
      <c r="K81" s="163">
        <f t="shared" ca="1" si="61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KxicF4apzSqm0-jIpmueT4kyZtE-Cwn5zskl7GD4loQ/edit?usp=share_link"",""กำแพงเพชร!I82"")+IMPORTRANGE(""https://docs.google.com/spreadsheets/d/1ZNYWeiFoFA1K1U4xKWqRX29MBvEyRHXORjo734Gnq_c/edit?usp=share_lin"&amp;"k"",""เชียงราย!I82"")
+IMPORTRANGE(""https://docs.google.com/spreadsheets/d/1Jgv0Y7YlHDtsiDawwp-uvifEJ8HVaSn0k2aGHG8-hwM/edit?usp=share_link"",""เชียงใหม่!I82"")+IMPORTRANGE(""https://docs.google.com/spreadsheets/d/1JWG2rZePOz9pe-f-ObA-yDr0VoOX2kSb0qIix2m"&amp;"TUo8/edit?usp=share_link"",""ตาก!I82"")+IMPORTRANGE(""https://docs.google.com/spreadsheets/d/10nSRjK08hx8Y6HgSOQKNw81lyY46Zc7U_Cj72hBMp9U/edit?usp=share_link"",""นครสวรรค์!I82"")+IMPORTRANGE(""https://docs.google.com/spreadsheets/d/1gFVb7qd7amutrIxAAoM7lc"&amp;"y35hllxznovot8lyOfvDo/edit?usp=share_link"",""น่าน!I82"")+IMPORTRANGE(""https://docs.google.com/spreadsheets/d/1K0Aa9s-6EuHE5M0FG1F9aHLXRCOV917xvycTdLdct0w/edit?usp=share_link"",""พะเยา!I82"")+IMPORTRANGE(""https://docs.google.com/spreadsheets/d/1Y9LPKx95"&amp;"PyL5OKy09d-KbKJSuuEZCFdkhYjwC0XQjBA/edit?usp=share_link"",""พิจิตร!I82"")+IMPORTRANGE(""https://docs.google.com/spreadsheets/d/16OMuOwy2eVqZcYWOouQtTpa8X1L23h4660uVHc0C8os/edit?usp=share_link"",""พิษณุโลก!I82"")+IMPORTRANGE(""https://docs.google.com/sprea"&amp;"dsheets/d/1GfgTldLG6k77HXaMQzaafODklYuucJZQNs_GAPEfZyY/edit?usp=share_link"",""เพชรบูรณ์!I82"")+IMPORTRANGE(""https://docs.google.com/spreadsheets/d/1gvTMYAnm7v1yG1BKWFtr0DnaTsq59oW9dwWvFgq6hs0/edit?usp=share_link"",""แพร่!I82"")+IMPORTRANGE(""https://doc"&amp;"s.google.com/spreadsheets/d/1Wbcosgy-Xa1xXUArJSOenub6EfZHUSzc_bpJFWwQUf0/edit?usp=share_link"",""แม่ฮ่องสอน!I82"")+IMPORTRANGE(""https://docs.google.com/spreadsheets/d/1p7ERhsr0qZeSn-KSOdeHS9r0heI-lHtkcn2OH7hP0jQ/edit?usp=share_link"",""ลำปาง!I82"")+IMPOR"&amp;"TRANGE(""https://docs.google.com/spreadsheets/d/1-uUXvimVhiU2U0bMN-xi2te0tS4X7DI2GLPnMjzl8cA/edit?usp=share_link"",""ลำพูน!I82"")+IMPORTRANGE(""https://docs.google.com/spreadsheets/d/17HrOaa5pBUI1onckFfumXB8xlg35qb2uBAFfF1D-Myo/edit?usp=share_link"",""สุโ"&amp;"ขทัย!I82"")+IMPORTRANGE(""https://docs.google.com/spreadsheets/d/1ubs5cl16eYL9gHbdHTJtmtYb9MGzHBs7CAphn8kNCgM/edit?usp=share_link"",""อุตรดิตถ์!I82"")+IMPORTRANGE(""https://docs.google.com/spreadsheets/d/1kII0BjS6CtVrBvI8IrytgPdxDrlyQDyigzMsohRtDMs/edit?u"&amp;"sp=share_link"",""อุทัยธานี!I82"")
"),3)</f>
        <v>3</v>
      </c>
      <c r="J82" s="183">
        <f ca="1">IFERROR(__xludf.DUMMYFUNCTION("IMPORTRANGE(""https://docs.google.com/spreadsheets/d/1KxicF4apzSqm0-jIpmueT4kyZtE-Cwn5zskl7GD4loQ/edit?usp=share_link"",""กำแพงเพชร!J82"")+IMPORTRANGE(""https://docs.google.com/spreadsheets/d/1ZNYWeiFoFA1K1U4xKWqRX29MBvEyRHXORjo734Gnq_c/edit?usp=share_lin"&amp;"k"",""เชียงราย!J82"")
+IMPORTRANGE(""https://docs.google.com/spreadsheets/d/1Jgv0Y7YlHDtsiDawwp-uvifEJ8HVaSn0k2aGHG8-hwM/edit?usp=share_link"",""เชียงใหม่!J82"")+IMPORTRANGE(""https://docs.google.com/spreadsheets/d/1JWG2rZePOz9pe-f-ObA-yDr0VoOX2kSb0qIix2m"&amp;"TUo8/edit?usp=share_link"",""ตาก!J82"")+IMPORTRANGE(""https://docs.google.com/spreadsheets/d/10nSRjK08hx8Y6HgSOQKNw81lyY46Zc7U_Cj72hBMp9U/edit?usp=share_link"",""นครสวรรค์!J82"")+IMPORTRANGE(""https://docs.google.com/spreadsheets/d/1gFVb7qd7amutrIxAAoM7lc"&amp;"y35hllxznovot8lyOfvDo/edit?usp=share_link"",""น่าน!J82"")+IMPORTRANGE(""https://docs.google.com/spreadsheets/d/1K0Aa9s-6EuHE5M0FG1F9aHLXRCOV917xvycTdLdct0w/edit?usp=share_link"",""พะเยา!J82"")+IMPORTRANGE(""https://docs.google.com/spreadsheets/d/1Y9LPKx95"&amp;"PyL5OKy09d-KbKJSuuEZCFdkhYjwC0XQjBA/edit?usp=share_link"",""พิจิตร!J82"")+IMPORTRANGE(""https://docs.google.com/spreadsheets/d/16OMuOwy2eVqZcYWOouQtTpa8X1L23h4660uVHc0C8os/edit?usp=share_link"",""พิษณุโลก!J82"")+IMPORTRANGE(""https://docs.google.com/sprea"&amp;"dsheets/d/1GfgTldLG6k77HXaMQzaafODklYuucJZQNs_GAPEfZyY/edit?usp=share_link"",""เพชรบูรณ์!J82"")+IMPORTRANGE(""https://docs.google.com/spreadsheets/d/1gvTMYAnm7v1yG1BKWFtr0DnaTsq59oW9dwWvFgq6hs0/edit?usp=share_link"",""แพร่!J82"")+IMPORTRANGE(""https://doc"&amp;"s.google.com/spreadsheets/d/1Wbcosgy-Xa1xXUArJSOenub6EfZHUSzc_bpJFWwQUf0/edit?usp=share_link"",""แม่ฮ่องสอน!J82"")+IMPORTRANGE(""https://docs.google.com/spreadsheets/d/1p7ERhsr0qZeSn-KSOdeHS9r0heI-lHtkcn2OH7hP0jQ/edit?usp=share_link"",""ลำปาง!J82"")+IMPOR"&amp;"TRANGE(""https://docs.google.com/spreadsheets/d/1-uUXvimVhiU2U0bMN-xi2te0tS4X7DI2GLPnMjzl8cA/edit?usp=share_link"",""ลำพูน!J82"")+IMPORTRANGE(""https://docs.google.com/spreadsheets/d/17HrOaa5pBUI1onckFfumXB8xlg35qb2uBAFfF1D-Myo/edit?usp=share_link"",""สุโ"&amp;"ขทัย!J82"")+IMPORTRANGE(""https://docs.google.com/spreadsheets/d/1ubs5cl16eYL9gHbdHTJtmtYb9MGzHBs7CAphn8kNCgM/edit?usp=share_link"",""อุตรดิตถ์!J82"")+IMPORTRANGE(""https://docs.google.com/spreadsheets/d/1kII0BjS6CtVrBvI8IrytgPdxDrlyQDyigzMsohRtDMs/edit?u"&amp;"sp=share_link"",""อุทัยธานี!J82"")
"),2)</f>
        <v>2</v>
      </c>
      <c r="K82" s="163">
        <f t="shared" ca="1" si="61"/>
        <v>66.666666666666671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KxicF4apzSqm0-jIpmueT4kyZtE-Cwn5zskl7GD4loQ/edit?usp=share_link"",""กำแพงเพชร!I83"")+IMPORTRANGE(""https://docs.google.com/spreadsheets/d/1ZNYWeiFoFA1K1U4xKWqRX29MBvEyRHXORjo734Gnq_c/edit?usp=share_lin"&amp;"k"",""เชียงราย!I83"")
+IMPORTRANGE(""https://docs.google.com/spreadsheets/d/1Jgv0Y7YlHDtsiDawwp-uvifEJ8HVaSn0k2aGHG8-hwM/edit?usp=share_link"",""เชียงใหม่!I83"")+IMPORTRANGE(""https://docs.google.com/spreadsheets/d/1JWG2rZePOz9pe-f-ObA-yDr0VoOX2kSb0qIix2m"&amp;"TUo8/edit?usp=share_link"",""ตาก!I83"")+IMPORTRANGE(""https://docs.google.com/spreadsheets/d/10nSRjK08hx8Y6HgSOQKNw81lyY46Zc7U_Cj72hBMp9U/edit?usp=share_link"",""นครสวรรค์!I83"")+IMPORTRANGE(""https://docs.google.com/spreadsheets/d/1gFVb7qd7amutrIxAAoM7lc"&amp;"y35hllxznovot8lyOfvDo/edit?usp=share_link"",""น่าน!I83"")+IMPORTRANGE(""https://docs.google.com/spreadsheets/d/1K0Aa9s-6EuHE5M0FG1F9aHLXRCOV917xvycTdLdct0w/edit?usp=share_link"",""พะเยา!I83"")+IMPORTRANGE(""https://docs.google.com/spreadsheets/d/1Y9LPKx95"&amp;"PyL5OKy09d-KbKJSuuEZCFdkhYjwC0XQjBA/edit?usp=share_link"",""พิจิตร!I83"")+IMPORTRANGE(""https://docs.google.com/spreadsheets/d/16OMuOwy2eVqZcYWOouQtTpa8X1L23h4660uVHc0C8os/edit?usp=share_link"",""พิษณุโลก!I83"")+IMPORTRANGE(""https://docs.google.com/sprea"&amp;"dsheets/d/1GfgTldLG6k77HXaMQzaafODklYuucJZQNs_GAPEfZyY/edit?usp=share_link"",""เพชรบูรณ์!I83"")+IMPORTRANGE(""https://docs.google.com/spreadsheets/d/1gvTMYAnm7v1yG1BKWFtr0DnaTsq59oW9dwWvFgq6hs0/edit?usp=share_link"",""แพร่!I83"")+IMPORTRANGE(""https://doc"&amp;"s.google.com/spreadsheets/d/1Wbcosgy-Xa1xXUArJSOenub6EfZHUSzc_bpJFWwQUf0/edit?usp=share_link"",""แม่ฮ่องสอน!I83"")+IMPORTRANGE(""https://docs.google.com/spreadsheets/d/1p7ERhsr0qZeSn-KSOdeHS9r0heI-lHtkcn2OH7hP0jQ/edit?usp=share_link"",""ลำปาง!I83"")+IMPOR"&amp;"TRANGE(""https://docs.google.com/spreadsheets/d/1-uUXvimVhiU2U0bMN-xi2te0tS4X7DI2GLPnMjzl8cA/edit?usp=share_link"",""ลำพูน!I83"")+IMPORTRANGE(""https://docs.google.com/spreadsheets/d/17HrOaa5pBUI1onckFfumXB8xlg35qb2uBAFfF1D-Myo/edit?usp=share_link"",""สุโ"&amp;"ขทัย!I83"")+IMPORTRANGE(""https://docs.google.com/spreadsheets/d/1ubs5cl16eYL9gHbdHTJtmtYb9MGzHBs7CAphn8kNCgM/edit?usp=share_link"",""อุตรดิตถ์!I83"")+IMPORTRANGE(""https://docs.google.com/spreadsheets/d/1kII0BjS6CtVrBvI8IrytgPdxDrlyQDyigzMsohRtDMs/edit?u"&amp;"sp=share_link"",""อุทัยธานี!I83"")
"),150)</f>
        <v>150</v>
      </c>
      <c r="J83" s="183">
        <f ca="1">IFERROR(__xludf.DUMMYFUNCTION("IMPORTRANGE(""https://docs.google.com/spreadsheets/d/1KxicF4apzSqm0-jIpmueT4kyZtE-Cwn5zskl7GD4loQ/edit?usp=share_link"",""กำแพงเพชร!J83"")+IMPORTRANGE(""https://docs.google.com/spreadsheets/d/1ZNYWeiFoFA1K1U4xKWqRX29MBvEyRHXORjo734Gnq_c/edit?usp=share_lin"&amp;"k"",""เชียงราย!J83"")
+IMPORTRANGE(""https://docs.google.com/spreadsheets/d/1Jgv0Y7YlHDtsiDawwp-uvifEJ8HVaSn0k2aGHG8-hwM/edit?usp=share_link"",""เชียงใหม่!J83"")+IMPORTRANGE(""https://docs.google.com/spreadsheets/d/1JWG2rZePOz9pe-f-ObA-yDr0VoOX2kSb0qIix2m"&amp;"TUo8/edit?usp=share_link"",""ตาก!J83"")+IMPORTRANGE(""https://docs.google.com/spreadsheets/d/10nSRjK08hx8Y6HgSOQKNw81lyY46Zc7U_Cj72hBMp9U/edit?usp=share_link"",""นครสวรรค์!J83"")+IMPORTRANGE(""https://docs.google.com/spreadsheets/d/1gFVb7qd7amutrIxAAoM7lc"&amp;"y35hllxznovot8lyOfvDo/edit?usp=share_link"",""น่าน!J83"")+IMPORTRANGE(""https://docs.google.com/spreadsheets/d/1K0Aa9s-6EuHE5M0FG1F9aHLXRCOV917xvycTdLdct0w/edit?usp=share_link"",""พะเยา!J83"")+IMPORTRANGE(""https://docs.google.com/spreadsheets/d/1Y9LPKx95"&amp;"PyL5OKy09d-KbKJSuuEZCFdkhYjwC0XQjBA/edit?usp=share_link"",""พิจิตร!J83"")+IMPORTRANGE(""https://docs.google.com/spreadsheets/d/16OMuOwy2eVqZcYWOouQtTpa8X1L23h4660uVHc0C8os/edit?usp=share_link"",""พิษณุโลก!J83"")+IMPORTRANGE(""https://docs.google.com/sprea"&amp;"dsheets/d/1GfgTldLG6k77HXaMQzaafODklYuucJZQNs_GAPEfZyY/edit?usp=share_link"",""เพชรบูรณ์!J83"")+IMPORTRANGE(""https://docs.google.com/spreadsheets/d/1gvTMYAnm7v1yG1BKWFtr0DnaTsq59oW9dwWvFgq6hs0/edit?usp=share_link"",""แพร่!J83"")+IMPORTRANGE(""https://doc"&amp;"s.google.com/spreadsheets/d/1Wbcosgy-Xa1xXUArJSOenub6EfZHUSzc_bpJFWwQUf0/edit?usp=share_link"",""แม่ฮ่องสอน!J83"")+IMPORTRANGE(""https://docs.google.com/spreadsheets/d/1p7ERhsr0qZeSn-KSOdeHS9r0heI-lHtkcn2OH7hP0jQ/edit?usp=share_link"",""ลำปาง!J83"")+IMPOR"&amp;"TRANGE(""https://docs.google.com/spreadsheets/d/1-uUXvimVhiU2U0bMN-xi2te0tS4X7DI2GLPnMjzl8cA/edit?usp=share_link"",""ลำพูน!J83"")+IMPORTRANGE(""https://docs.google.com/spreadsheets/d/17HrOaa5pBUI1onckFfumXB8xlg35qb2uBAFfF1D-Myo/edit?usp=share_link"",""สุโ"&amp;"ขทัย!J83"")+IMPORTRANGE(""https://docs.google.com/spreadsheets/d/1ubs5cl16eYL9gHbdHTJtmtYb9MGzHBs7CAphn8kNCgM/edit?usp=share_link"",""อุตรดิตถ์!J83"")+IMPORTRANGE(""https://docs.google.com/spreadsheets/d/1kII0BjS6CtVrBvI8IrytgPdxDrlyQDyigzMsohRtDMs/edit?u"&amp;"sp=share_link"",""อุทัยธานี!J83"")
"),141)</f>
        <v>141</v>
      </c>
      <c r="K83" s="163">
        <f t="shared" ca="1" si="61"/>
        <v>94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KxicF4apzSqm0-jIpmueT4kyZtE-Cwn5zskl7GD4loQ/edit?usp=share_link"",""กำแพงเพชร!I84"")+IMPORTRANGE(""https://docs.google.com/spreadsheets/d/1ZNYWeiFoFA1K1U4xKWqRX29MBvEyRHXORjo734Gnq_c/edit?usp=share_lin"&amp;"k"",""เชียงราย!I84"")
+IMPORTRANGE(""https://docs.google.com/spreadsheets/d/1Jgv0Y7YlHDtsiDawwp-uvifEJ8HVaSn0k2aGHG8-hwM/edit?usp=share_link"",""เชียงใหม่!I84"")+IMPORTRANGE(""https://docs.google.com/spreadsheets/d/1JWG2rZePOz9pe-f-ObA-yDr0VoOX2kSb0qIix2m"&amp;"TUo8/edit?usp=share_link"",""ตาก!I84"")+IMPORTRANGE(""https://docs.google.com/spreadsheets/d/10nSRjK08hx8Y6HgSOQKNw81lyY46Zc7U_Cj72hBMp9U/edit?usp=share_link"",""นครสวรรค์!I84"")+IMPORTRANGE(""https://docs.google.com/spreadsheets/d/1gFVb7qd7amutrIxAAoM7lc"&amp;"y35hllxznovot8lyOfvDo/edit?usp=share_link"",""น่าน!I84"")+IMPORTRANGE(""https://docs.google.com/spreadsheets/d/1K0Aa9s-6EuHE5M0FG1F9aHLXRCOV917xvycTdLdct0w/edit?usp=share_link"",""พะเยา!I84"")+IMPORTRANGE(""https://docs.google.com/spreadsheets/d/1Y9LPKx95"&amp;"PyL5OKy09d-KbKJSuuEZCFdkhYjwC0XQjBA/edit?usp=share_link"",""พิจิตร!I84"")+IMPORTRANGE(""https://docs.google.com/spreadsheets/d/16OMuOwy2eVqZcYWOouQtTpa8X1L23h4660uVHc0C8os/edit?usp=share_link"",""พิษณุโลก!I84"")+IMPORTRANGE(""https://docs.google.com/sprea"&amp;"dsheets/d/1GfgTldLG6k77HXaMQzaafODklYuucJZQNs_GAPEfZyY/edit?usp=share_link"",""เพชรบูรณ์!I84"")+IMPORTRANGE(""https://docs.google.com/spreadsheets/d/1gvTMYAnm7v1yG1BKWFtr0DnaTsq59oW9dwWvFgq6hs0/edit?usp=share_link"",""แพร่!I84"")+IMPORTRANGE(""https://doc"&amp;"s.google.com/spreadsheets/d/1Wbcosgy-Xa1xXUArJSOenub6EfZHUSzc_bpJFWwQUf0/edit?usp=share_link"",""แม่ฮ่องสอน!I84"")+IMPORTRANGE(""https://docs.google.com/spreadsheets/d/1p7ERhsr0qZeSn-KSOdeHS9r0heI-lHtkcn2OH7hP0jQ/edit?usp=share_link"",""ลำปาง!I84"")+IMPOR"&amp;"TRANGE(""https://docs.google.com/spreadsheets/d/1-uUXvimVhiU2U0bMN-xi2te0tS4X7DI2GLPnMjzl8cA/edit?usp=share_link"",""ลำพูน!I84"")+IMPORTRANGE(""https://docs.google.com/spreadsheets/d/17HrOaa5pBUI1onckFfumXB8xlg35qb2uBAFfF1D-Myo/edit?usp=share_link"",""สุโ"&amp;"ขทัย!I84"")+IMPORTRANGE(""https://docs.google.com/spreadsheets/d/1ubs5cl16eYL9gHbdHTJtmtYb9MGzHBs7CAphn8kNCgM/edit?usp=share_link"",""อุตรดิตถ์!I84"")+IMPORTRANGE(""https://docs.google.com/spreadsheets/d/1kII0BjS6CtVrBvI8IrytgPdxDrlyQDyigzMsohRtDMs/edit?u"&amp;"sp=share_link"",""อุทัยธานี!I84"")
"),11)</f>
        <v>11</v>
      </c>
      <c r="J84" s="183">
        <f ca="1">IFERROR(__xludf.DUMMYFUNCTION("IMPORTRANGE(""https://docs.google.com/spreadsheets/d/1KxicF4apzSqm0-jIpmueT4kyZtE-Cwn5zskl7GD4loQ/edit?usp=share_link"",""กำแพงเพชร!J84"")+IMPORTRANGE(""https://docs.google.com/spreadsheets/d/1ZNYWeiFoFA1K1U4xKWqRX29MBvEyRHXORjo734Gnq_c/edit?usp=share_lin"&amp;"k"",""เชียงราย!J84"")
+IMPORTRANGE(""https://docs.google.com/spreadsheets/d/1Jgv0Y7YlHDtsiDawwp-uvifEJ8HVaSn0k2aGHG8-hwM/edit?usp=share_link"",""เชียงใหม่!J84"")+IMPORTRANGE(""https://docs.google.com/spreadsheets/d/1JWG2rZePOz9pe-f-ObA-yDr0VoOX2kSb0qIix2m"&amp;"TUo8/edit?usp=share_link"",""ตาก!J84"")+IMPORTRANGE(""https://docs.google.com/spreadsheets/d/10nSRjK08hx8Y6HgSOQKNw81lyY46Zc7U_Cj72hBMp9U/edit?usp=share_link"",""นครสวรรค์!J84"")+IMPORTRANGE(""https://docs.google.com/spreadsheets/d/1gFVb7qd7amutrIxAAoM7lc"&amp;"y35hllxznovot8lyOfvDo/edit?usp=share_link"",""น่าน!J84"")+IMPORTRANGE(""https://docs.google.com/spreadsheets/d/1K0Aa9s-6EuHE5M0FG1F9aHLXRCOV917xvycTdLdct0w/edit?usp=share_link"",""พะเยา!J84"")+IMPORTRANGE(""https://docs.google.com/spreadsheets/d/1Y9LPKx95"&amp;"PyL5OKy09d-KbKJSuuEZCFdkhYjwC0XQjBA/edit?usp=share_link"",""พิจิตร!J84"")+IMPORTRANGE(""https://docs.google.com/spreadsheets/d/16OMuOwy2eVqZcYWOouQtTpa8X1L23h4660uVHc0C8os/edit?usp=share_link"",""พิษณุโลก!J84"")+IMPORTRANGE(""https://docs.google.com/sprea"&amp;"dsheets/d/1GfgTldLG6k77HXaMQzaafODklYuucJZQNs_GAPEfZyY/edit?usp=share_link"",""เพชรบูรณ์!J84"")+IMPORTRANGE(""https://docs.google.com/spreadsheets/d/1gvTMYAnm7v1yG1BKWFtr0DnaTsq59oW9dwWvFgq6hs0/edit?usp=share_link"",""แพร่!J84"")+IMPORTRANGE(""https://doc"&amp;"s.google.com/spreadsheets/d/1Wbcosgy-Xa1xXUArJSOenub6EfZHUSzc_bpJFWwQUf0/edit?usp=share_link"",""แม่ฮ่องสอน!J84"")+IMPORTRANGE(""https://docs.google.com/spreadsheets/d/1p7ERhsr0qZeSn-KSOdeHS9r0heI-lHtkcn2OH7hP0jQ/edit?usp=share_link"",""ลำปาง!J84"")+IMPOR"&amp;"TRANGE(""https://docs.google.com/spreadsheets/d/1-uUXvimVhiU2U0bMN-xi2te0tS4X7DI2GLPnMjzl8cA/edit?usp=share_link"",""ลำพูน!J84"")+IMPORTRANGE(""https://docs.google.com/spreadsheets/d/17HrOaa5pBUI1onckFfumXB8xlg35qb2uBAFfF1D-Myo/edit?usp=share_link"",""สุโ"&amp;"ขทัย!J84"")+IMPORTRANGE(""https://docs.google.com/spreadsheets/d/1ubs5cl16eYL9gHbdHTJtmtYb9MGzHBs7CAphn8kNCgM/edit?usp=share_link"",""อุตรดิตถ์!J84"")+IMPORTRANGE(""https://docs.google.com/spreadsheets/d/1kII0BjS6CtVrBvI8IrytgPdxDrlyQDyigzMsohRtDMs/edit?u"&amp;"sp=share_link"",""อุทัยธานี!J84"")
"),1)</f>
        <v>1</v>
      </c>
      <c r="K84" s="163">
        <f t="shared" ca="1" si="61"/>
        <v>9.0909090909090917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2">I98</f>
        <v>975</v>
      </c>
      <c r="J86" s="144">
        <f t="shared" ca="1" si="62"/>
        <v>840</v>
      </c>
      <c r="K86" s="145">
        <f t="shared" ref="K86:K87" ca="1" si="63">IF(I86&gt;0,J86*100/I86,0)</f>
        <v>86.15384615384616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4">I99</f>
        <v>325</v>
      </c>
      <c r="J87" s="144">
        <f t="shared" ca="1" si="64"/>
        <v>325</v>
      </c>
      <c r="K87" s="145">
        <f t="shared" ca="1" si="63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5">L89+L90</f>
        <v>2616900</v>
      </c>
      <c r="M88" s="155">
        <f t="shared" ca="1" si="65"/>
        <v>2007650</v>
      </c>
      <c r="N88" s="155">
        <f t="shared" ca="1" si="65"/>
        <v>1263963.95</v>
      </c>
      <c r="O88" s="155">
        <f t="shared" ref="O88:O96" ca="1" si="66">IF(L88&gt;0,N88*100/L88,0)</f>
        <v>48.30004776644121</v>
      </c>
      <c r="P88" s="155">
        <f t="shared" ref="P88:P96" ca="1" si="67">IF(M88&gt;0,N88*100/M88,0)</f>
        <v>62.957385500460738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8">L92+L95</f>
        <v>0</v>
      </c>
      <c r="M89" s="45">
        <f t="shared" si="68"/>
        <v>0</v>
      </c>
      <c r="N89" s="45">
        <f t="shared" si="68"/>
        <v>0</v>
      </c>
      <c r="O89" s="45">
        <f t="shared" si="66"/>
        <v>0</v>
      </c>
      <c r="P89" s="45">
        <f t="shared" si="67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9">L93+L96</f>
        <v>2616900</v>
      </c>
      <c r="M90" s="45">
        <f t="shared" ca="1" si="69"/>
        <v>2007650</v>
      </c>
      <c r="N90" s="45">
        <f t="shared" ca="1" si="69"/>
        <v>1263963.95</v>
      </c>
      <c r="O90" s="45">
        <f t="shared" ca="1" si="66"/>
        <v>48.30004776644121</v>
      </c>
      <c r="P90" s="45">
        <f t="shared" ca="1" si="67"/>
        <v>62.957385500460738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70">L92+L93</f>
        <v>2616900</v>
      </c>
      <c r="M91" s="38">
        <f t="shared" ca="1" si="70"/>
        <v>2007650</v>
      </c>
      <c r="N91" s="38">
        <f t="shared" ca="1" si="70"/>
        <v>1263963.95</v>
      </c>
      <c r="O91" s="38">
        <f t="shared" ca="1" si="66"/>
        <v>48.30004776644121</v>
      </c>
      <c r="P91" s="38">
        <f t="shared" ca="1" si="67"/>
        <v>62.957385500460738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6"/>
        <v>0</v>
      </c>
      <c r="P92" s="45">
        <f t="shared" si="67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KxicF4apzSqm0-jIpmueT4kyZtE-Cwn5zskl7GD4loQ/edit?usp=share_link"",""กำแพงเพชร!l93"")+IMPORTRANGE(""https://docs.google.com/spreadsheets/d/1ZNYWeiFoFA1K1U4xKWqRX29MBvEyRHXORjo734Gnq_c/edit?usp=share_lin"&amp;"k"",""เชียงราย!l93"")
+IMPORTRANGE(""https://docs.google.com/spreadsheets/d/1Jgv0Y7YlHDtsiDawwp-uvifEJ8HVaSn0k2aGHG8-hwM/edit?usp=share_link"",""เชียงใหม่!l93"")+IMPORTRANGE(""https://docs.google.com/spreadsheets/d/1JWG2rZePOz9pe-f-ObA-yDr0VoOX2kSb0qIix2m"&amp;"TUo8/edit?usp=share_link"",""ตาก!l93"")+IMPORTRANGE(""https://docs.google.com/spreadsheets/d/10nSRjK08hx8Y6HgSOQKNw81lyY46Zc7U_Cj72hBMp9U/edit?usp=share_link"",""นครสวรรค์!l93"")+IMPORTRANGE(""https://docs.google.com/spreadsheets/d/1gFVb7qd7amutrIxAAoM7lc"&amp;"y35hllxznovot8lyOfvDo/edit?usp=share_link"",""น่าน!l93"")+IMPORTRANGE(""https://docs.google.com/spreadsheets/d/1K0Aa9s-6EuHE5M0FG1F9aHLXRCOV917xvycTdLdct0w/edit?usp=share_link"",""พะเยา!l93"")+IMPORTRANGE(""https://docs.google.com/spreadsheets/d/1Y9LPKx95"&amp;"PyL5OKy09d-KbKJSuuEZCFdkhYjwC0XQjBA/edit?usp=share_link"",""พิจิตร!l93"")+IMPORTRANGE(""https://docs.google.com/spreadsheets/d/16OMuOwy2eVqZcYWOouQtTpa8X1L23h4660uVHc0C8os/edit?usp=share_link"",""พิษณุโลก!l93"")+IMPORTRANGE(""https://docs.google.com/sprea"&amp;"dsheets/d/1GfgTldLG6k77HXaMQzaafODklYuucJZQNs_GAPEfZyY/edit?usp=share_link"",""เพชรบูรณ์!l93"")+IMPORTRANGE(""https://docs.google.com/spreadsheets/d/1gvTMYAnm7v1yG1BKWFtr0DnaTsq59oW9dwWvFgq6hs0/edit?usp=share_link"",""แพร่!l93"")+IMPORTRANGE(""https://doc"&amp;"s.google.com/spreadsheets/d/1Wbcosgy-Xa1xXUArJSOenub6EfZHUSzc_bpJFWwQUf0/edit?usp=share_link"",""แม่ฮ่องสอน!l93"")+IMPORTRANGE(""https://docs.google.com/spreadsheets/d/1p7ERhsr0qZeSn-KSOdeHS9r0heI-lHtkcn2OH7hP0jQ/edit?usp=share_link"",""ลำปาง!l93"")+IMPOR"&amp;"TRANGE(""https://docs.google.com/spreadsheets/d/1-uUXvimVhiU2U0bMN-xi2te0tS4X7DI2GLPnMjzl8cA/edit?usp=share_link"",""ลำพูน!l93"")+IMPORTRANGE(""https://docs.google.com/spreadsheets/d/17HrOaa5pBUI1onckFfumXB8xlg35qb2uBAFfF1D-Myo/edit?usp=share_link"",""สุโ"&amp;"ขทัย!l93"")+IMPORTRANGE(""https://docs.google.com/spreadsheets/d/1ubs5cl16eYL9gHbdHTJtmtYb9MGzHBs7CAphn8kNCgM/edit?usp=share_link"",""อุตรดิตถ์!l93"")+IMPORTRANGE(""https://docs.google.com/spreadsheets/d/1kII0BjS6CtVrBvI8IrytgPdxDrlyQDyigzMsohRtDMs/edit?u"&amp;"sp=share_link"",""อุทัยธานี!l93"")
"),2616900)</f>
        <v>2616900</v>
      </c>
      <c r="M93" s="45">
        <f ca="1">IFERROR(__xludf.DUMMYFUNCTION("IMPORTRANGE(""https://docs.google.com/spreadsheets/d/1KxicF4apzSqm0-jIpmueT4kyZtE-Cwn5zskl7GD4loQ/edit?usp=share_link"",""กำแพงเพชร!m93"")+IMPORTRANGE(""https://docs.google.com/spreadsheets/d/1ZNYWeiFoFA1K1U4xKWqRX29MBvEyRHXORjo734Gnq_c/edit?usp=share_lin"&amp;"k"",""เชียงราย!m93"")
+IMPORTRANGE(""https://docs.google.com/spreadsheets/d/1Jgv0Y7YlHDtsiDawwp-uvifEJ8HVaSn0k2aGHG8-hwM/edit?usp=share_link"",""เชียงใหม่!m93"")+IMPORTRANGE(""https://docs.google.com/spreadsheets/d/1JWG2rZePOz9pe-f-ObA-yDr0VoOX2kSb0qIix2m"&amp;"TUo8/edit?usp=share_link"",""ตาก!m93"")+IMPORTRANGE(""https://docs.google.com/spreadsheets/d/10nSRjK08hx8Y6HgSOQKNw81lyY46Zc7U_Cj72hBMp9U/edit?usp=share_link"",""นครสวรรค์!m93"")+IMPORTRANGE(""https://docs.google.com/spreadsheets/d/1gFVb7qd7amutrIxAAoM7lc"&amp;"y35hllxznovot8lyOfvDo/edit?usp=share_link"",""น่าน!m93"")+IMPORTRANGE(""https://docs.google.com/spreadsheets/d/1K0Aa9s-6EuHE5M0FG1F9aHLXRCOV917xvycTdLdct0w/edit?usp=share_link"",""พะเยา!m93"")+IMPORTRANGE(""https://docs.google.com/spreadsheets/d/1Y9LPKx95"&amp;"PyL5OKy09d-KbKJSuuEZCFdkhYjwC0XQjBA/edit?usp=share_link"",""พิจิตร!m93"")+IMPORTRANGE(""https://docs.google.com/spreadsheets/d/16OMuOwy2eVqZcYWOouQtTpa8X1L23h4660uVHc0C8os/edit?usp=share_link"",""พิษณุโลก!m93"")+IMPORTRANGE(""https://docs.google.com/sprea"&amp;"dsheets/d/1GfgTldLG6k77HXaMQzaafODklYuucJZQNs_GAPEfZyY/edit?usp=share_link"",""เพชรบูรณ์!m93"")+IMPORTRANGE(""https://docs.google.com/spreadsheets/d/1gvTMYAnm7v1yG1BKWFtr0DnaTsq59oW9dwWvFgq6hs0/edit?usp=share_link"",""แพร่!m93"")+IMPORTRANGE(""https://doc"&amp;"s.google.com/spreadsheets/d/1Wbcosgy-Xa1xXUArJSOenub6EfZHUSzc_bpJFWwQUf0/edit?usp=share_link"",""แม่ฮ่องสอน!m93"")+IMPORTRANGE(""https://docs.google.com/spreadsheets/d/1p7ERhsr0qZeSn-KSOdeHS9r0heI-lHtkcn2OH7hP0jQ/edit?usp=share_link"",""ลำปาง!m93"")+IMPOR"&amp;"TRANGE(""https://docs.google.com/spreadsheets/d/1-uUXvimVhiU2U0bMN-xi2te0tS4X7DI2GLPnMjzl8cA/edit?usp=share_link"",""ลำพูน!m93"")+IMPORTRANGE(""https://docs.google.com/spreadsheets/d/17HrOaa5pBUI1onckFfumXB8xlg35qb2uBAFfF1D-Myo/edit?usp=share_link"",""สุโ"&amp;"ขทัย!m93"")+IMPORTRANGE(""https://docs.google.com/spreadsheets/d/1ubs5cl16eYL9gHbdHTJtmtYb9MGzHBs7CAphn8kNCgM/edit?usp=share_link"",""อุตรดิตถ์!m93"")+IMPORTRANGE(""https://docs.google.com/spreadsheets/d/1kII0BjS6CtVrBvI8IrytgPdxDrlyQDyigzMsohRtDMs/edit?u"&amp;"sp=share_link"",""อุทัยธานี!m93"")
"),2007650)</f>
        <v>2007650</v>
      </c>
      <c r="N93" s="45">
        <f ca="1">IFERROR(__xludf.DUMMYFUNCTION("IMPORTRANGE(""https://docs.google.com/spreadsheets/d/1KxicF4apzSqm0-jIpmueT4kyZtE-Cwn5zskl7GD4loQ/edit?usp=share_link"",""กำแพงเพชร!n93"")+IMPORTRANGE(""https://docs.google.com/spreadsheets/d/1ZNYWeiFoFA1K1U4xKWqRX29MBvEyRHXORjo734Gnq_c/edit?usp=share_lin"&amp;"k"",""เชียงราย!n93"")
+IMPORTRANGE(""https://docs.google.com/spreadsheets/d/1Jgv0Y7YlHDtsiDawwp-uvifEJ8HVaSn0k2aGHG8-hwM/edit?usp=share_link"",""เชียงใหม่!n93"")+IMPORTRANGE(""https://docs.google.com/spreadsheets/d/1JWG2rZePOz9pe-f-ObA-yDr0VoOX2kSb0qIix2m"&amp;"TUo8/edit?usp=share_link"",""ตาก!n93"")+IMPORTRANGE(""https://docs.google.com/spreadsheets/d/10nSRjK08hx8Y6HgSOQKNw81lyY46Zc7U_Cj72hBMp9U/edit?usp=share_link"",""นครสวรรค์!n93"")+IMPORTRANGE(""https://docs.google.com/spreadsheets/d/1gFVb7qd7amutrIxAAoM7lc"&amp;"y35hllxznovot8lyOfvDo/edit?usp=share_link"",""น่าน!n93"")+IMPORTRANGE(""https://docs.google.com/spreadsheets/d/1K0Aa9s-6EuHE5M0FG1F9aHLXRCOV917xvycTdLdct0w/edit?usp=share_link"",""พะเยา!n93"")+IMPORTRANGE(""https://docs.google.com/spreadsheets/d/1Y9LPKx95"&amp;"PyL5OKy09d-KbKJSuuEZCFdkhYjwC0XQjBA/edit?usp=share_link"",""พิจิตร!n93"")+IMPORTRANGE(""https://docs.google.com/spreadsheets/d/16OMuOwy2eVqZcYWOouQtTpa8X1L23h4660uVHc0C8os/edit?usp=share_link"",""พิษณุโลก!n93"")+IMPORTRANGE(""https://docs.google.com/sprea"&amp;"dsheets/d/1GfgTldLG6k77HXaMQzaafODklYuucJZQNs_GAPEfZyY/edit?usp=share_link"",""เพชรบูรณ์!n93"")+IMPORTRANGE(""https://docs.google.com/spreadsheets/d/1gvTMYAnm7v1yG1BKWFtr0DnaTsq59oW9dwWvFgq6hs0/edit?usp=share_link"",""แพร่!n93"")+IMPORTRANGE(""https://doc"&amp;"s.google.com/spreadsheets/d/1Wbcosgy-Xa1xXUArJSOenub6EfZHUSzc_bpJFWwQUf0/edit?usp=share_link"",""แม่ฮ่องสอน!n93"")+IMPORTRANGE(""https://docs.google.com/spreadsheets/d/1p7ERhsr0qZeSn-KSOdeHS9r0heI-lHtkcn2OH7hP0jQ/edit?usp=share_link"",""ลำปาง!n93"")+IMPOR"&amp;"TRANGE(""https://docs.google.com/spreadsheets/d/1-uUXvimVhiU2U0bMN-xi2te0tS4X7DI2GLPnMjzl8cA/edit?usp=share_link"",""ลำพูน!n93"")+IMPORTRANGE(""https://docs.google.com/spreadsheets/d/17HrOaa5pBUI1onckFfumXB8xlg35qb2uBAFfF1D-Myo/edit?usp=share_link"",""สุโ"&amp;"ขทัย!n93"")+IMPORTRANGE(""https://docs.google.com/spreadsheets/d/1ubs5cl16eYL9gHbdHTJtmtYb9MGzHBs7CAphn8kNCgM/edit?usp=share_link"",""อุตรดิตถ์!n93"")+IMPORTRANGE(""https://docs.google.com/spreadsheets/d/1kII0BjS6CtVrBvI8IrytgPdxDrlyQDyigzMsohRtDMs/edit?u"&amp;"sp=share_link"",""อุทัยธานี!n93"")
"),1263963.95)</f>
        <v>1263963.95</v>
      </c>
      <c r="O93" s="45">
        <f t="shared" ca="1" si="66"/>
        <v>48.30004776644121</v>
      </c>
      <c r="P93" s="45">
        <f t="shared" ca="1" si="67"/>
        <v>62.957385500460738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1">L95+L96</f>
        <v>0</v>
      </c>
      <c r="M94" s="38">
        <f t="shared" ca="1" si="71"/>
        <v>0</v>
      </c>
      <c r="N94" s="38">
        <f t="shared" ca="1" si="71"/>
        <v>0</v>
      </c>
      <c r="O94" s="38">
        <f t="shared" ca="1" si="66"/>
        <v>0</v>
      </c>
      <c r="P94" s="38">
        <f t="shared" ca="1" si="67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6"/>
        <v>0</v>
      </c>
      <c r="P95" s="45">
        <f t="shared" si="67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KxicF4apzSqm0-jIpmueT4kyZtE-Cwn5zskl7GD4loQ/edit?usp=share_link"",""กำแพงเพชร!l96"")+IMPORTRANGE(""https://docs.google.com/spreadsheets/d/1ZNYWeiFoFA1K1U4xKWqRX29MBvEyRHXORjo734Gnq_c/edit?usp=share_lin"&amp;"k"",""เชียงราย!l96"")
+IMPORTRANGE(""https://docs.google.com/spreadsheets/d/1Jgv0Y7YlHDtsiDawwp-uvifEJ8HVaSn0k2aGHG8-hwM/edit?usp=share_link"",""เชียงใหม่!l96"")+IMPORTRANGE(""https://docs.google.com/spreadsheets/d/1JWG2rZePOz9pe-f-ObA-yDr0VoOX2kSb0qIix2m"&amp;"TUo8/edit?usp=share_link"",""ตาก!l96"")+IMPORTRANGE(""https://docs.google.com/spreadsheets/d/10nSRjK08hx8Y6HgSOQKNw81lyY46Zc7U_Cj72hBMp9U/edit?usp=share_link"",""นครสวรรค์!l96"")+IMPORTRANGE(""https://docs.google.com/spreadsheets/d/1gFVb7qd7amutrIxAAoM7lc"&amp;"y35hllxznovot8lyOfvDo/edit?usp=share_link"",""น่าน!l96"")+IMPORTRANGE(""https://docs.google.com/spreadsheets/d/1K0Aa9s-6EuHE5M0FG1F9aHLXRCOV917xvycTdLdct0w/edit?usp=share_link"",""พะเยา!l96"")+IMPORTRANGE(""https://docs.google.com/spreadsheets/d/1Y9LPKx95"&amp;"PyL5OKy09d-KbKJSuuEZCFdkhYjwC0XQjBA/edit?usp=share_link"",""พิจิตร!l96"")+IMPORTRANGE(""https://docs.google.com/spreadsheets/d/16OMuOwy2eVqZcYWOouQtTpa8X1L23h4660uVHc0C8os/edit?usp=share_link"",""พิษณุโลก!l96"")+IMPORTRANGE(""https://docs.google.com/sprea"&amp;"dsheets/d/1GfgTldLG6k77HXaMQzaafODklYuucJZQNs_GAPEfZyY/edit?usp=share_link"",""เพชรบูรณ์!l96"")+IMPORTRANGE(""https://docs.google.com/spreadsheets/d/1gvTMYAnm7v1yG1BKWFtr0DnaTsq59oW9dwWvFgq6hs0/edit?usp=share_link"",""แพร่!l96"")+IMPORTRANGE(""https://doc"&amp;"s.google.com/spreadsheets/d/1Wbcosgy-Xa1xXUArJSOenub6EfZHUSzc_bpJFWwQUf0/edit?usp=share_link"",""แม่ฮ่องสอน!l96"")+IMPORTRANGE(""https://docs.google.com/spreadsheets/d/1p7ERhsr0qZeSn-KSOdeHS9r0heI-lHtkcn2OH7hP0jQ/edit?usp=share_link"",""ลำปาง!l96"")+IMPOR"&amp;"TRANGE(""https://docs.google.com/spreadsheets/d/1-uUXvimVhiU2U0bMN-xi2te0tS4X7DI2GLPnMjzl8cA/edit?usp=share_link"",""ลำพูน!l96"")+IMPORTRANGE(""https://docs.google.com/spreadsheets/d/17HrOaa5pBUI1onckFfumXB8xlg35qb2uBAFfF1D-Myo/edit?usp=share_link"",""สุโ"&amp;"ขทัย!l96"")+IMPORTRANGE(""https://docs.google.com/spreadsheets/d/1ubs5cl16eYL9gHbdHTJtmtYb9MGzHBs7CAphn8kNCgM/edit?usp=share_link"",""อุตรดิตถ์!l96"")+IMPORTRANGE(""https://docs.google.com/spreadsheets/d/1kII0BjS6CtVrBvI8IrytgPdxDrlyQDyigzMsohRtDMs/edit?u"&amp;"sp=share_link"",""อุทัยธานี!l96"")
"),0)</f>
        <v>0</v>
      </c>
      <c r="M96" s="45">
        <f ca="1">IFERROR(__xludf.DUMMYFUNCTION("IMPORTRANGE(""https://docs.google.com/spreadsheets/d/1KxicF4apzSqm0-jIpmueT4kyZtE-Cwn5zskl7GD4loQ/edit?usp=share_link"",""กำแพงเพชร!m96"")+IMPORTRANGE(""https://docs.google.com/spreadsheets/d/1ZNYWeiFoFA1K1U4xKWqRX29MBvEyRHXORjo734Gnq_c/edit?usp=share_lin"&amp;"k"",""เชียงราย!m96"")
+IMPORTRANGE(""https://docs.google.com/spreadsheets/d/1Jgv0Y7YlHDtsiDawwp-uvifEJ8HVaSn0k2aGHG8-hwM/edit?usp=share_link"",""เชียงใหม่!m96"")+IMPORTRANGE(""https://docs.google.com/spreadsheets/d/1JWG2rZePOz9pe-f-ObA-yDr0VoOX2kSb0qIix2m"&amp;"TUo8/edit?usp=share_link"",""ตาก!m96"")+IMPORTRANGE(""https://docs.google.com/spreadsheets/d/10nSRjK08hx8Y6HgSOQKNw81lyY46Zc7U_Cj72hBMp9U/edit?usp=share_link"",""นครสวรรค์!m96"")+IMPORTRANGE(""https://docs.google.com/spreadsheets/d/1gFVb7qd7amutrIxAAoM7lc"&amp;"y35hllxznovot8lyOfvDo/edit?usp=share_link"",""น่าน!m96"")+IMPORTRANGE(""https://docs.google.com/spreadsheets/d/1K0Aa9s-6EuHE5M0FG1F9aHLXRCOV917xvycTdLdct0w/edit?usp=share_link"",""พะเยา!m96"")+IMPORTRANGE(""https://docs.google.com/spreadsheets/d/1Y9LPKx95"&amp;"PyL5OKy09d-KbKJSuuEZCFdkhYjwC0XQjBA/edit?usp=share_link"",""พิจิตร!m96"")+IMPORTRANGE(""https://docs.google.com/spreadsheets/d/16OMuOwy2eVqZcYWOouQtTpa8X1L23h4660uVHc0C8os/edit?usp=share_link"",""พิษณุโลก!m96"")+IMPORTRANGE(""https://docs.google.com/sprea"&amp;"dsheets/d/1GfgTldLG6k77HXaMQzaafODklYuucJZQNs_GAPEfZyY/edit?usp=share_link"",""เพชรบูรณ์!m96"")+IMPORTRANGE(""https://docs.google.com/spreadsheets/d/1gvTMYAnm7v1yG1BKWFtr0DnaTsq59oW9dwWvFgq6hs0/edit?usp=share_link"",""แพร่!m96"")+IMPORTRANGE(""https://doc"&amp;"s.google.com/spreadsheets/d/1Wbcosgy-Xa1xXUArJSOenub6EfZHUSzc_bpJFWwQUf0/edit?usp=share_link"",""แม่ฮ่องสอน!m96"")+IMPORTRANGE(""https://docs.google.com/spreadsheets/d/1p7ERhsr0qZeSn-KSOdeHS9r0heI-lHtkcn2OH7hP0jQ/edit?usp=share_link"",""ลำปาง!m96"")+IMPOR"&amp;"TRANGE(""https://docs.google.com/spreadsheets/d/1-uUXvimVhiU2U0bMN-xi2te0tS4X7DI2GLPnMjzl8cA/edit?usp=share_link"",""ลำพูน!m96"")+IMPORTRANGE(""https://docs.google.com/spreadsheets/d/17HrOaa5pBUI1onckFfumXB8xlg35qb2uBAFfF1D-Myo/edit?usp=share_link"",""สุโ"&amp;"ขทัย!m96"")+IMPORTRANGE(""https://docs.google.com/spreadsheets/d/1ubs5cl16eYL9gHbdHTJtmtYb9MGzHBs7CAphn8kNCgM/edit?usp=share_link"",""อุตรดิตถ์!m96"")+IMPORTRANGE(""https://docs.google.com/spreadsheets/d/1kII0BjS6CtVrBvI8IrytgPdxDrlyQDyigzMsohRtDMs/edit?u"&amp;"sp=share_link"",""อุทัยธานี!m96"")
"),0)</f>
        <v>0</v>
      </c>
      <c r="N96" s="45">
        <f ca="1">IFERROR(__xludf.DUMMYFUNCTION("IMPORTRANGE(""https://docs.google.com/spreadsheets/d/1KxicF4apzSqm0-jIpmueT4kyZtE-Cwn5zskl7GD4loQ/edit?usp=share_link"",""กำแพงเพชร!n96"")+IMPORTRANGE(""https://docs.google.com/spreadsheets/d/1ZNYWeiFoFA1K1U4xKWqRX29MBvEyRHXORjo734Gnq_c/edit?usp=share_lin"&amp;"k"",""เชียงราย!n96"")
+IMPORTRANGE(""https://docs.google.com/spreadsheets/d/1Jgv0Y7YlHDtsiDawwp-uvifEJ8HVaSn0k2aGHG8-hwM/edit?usp=share_link"",""เชียงใหม่!n96"")+IMPORTRANGE(""https://docs.google.com/spreadsheets/d/1JWG2rZePOz9pe-f-ObA-yDr0VoOX2kSb0qIix2m"&amp;"TUo8/edit?usp=share_link"",""ตาก!n96"")+IMPORTRANGE(""https://docs.google.com/spreadsheets/d/10nSRjK08hx8Y6HgSOQKNw81lyY46Zc7U_Cj72hBMp9U/edit?usp=share_link"",""นครสวรรค์!n96"")+IMPORTRANGE(""https://docs.google.com/spreadsheets/d/1gFVb7qd7amutrIxAAoM7lc"&amp;"y35hllxznovot8lyOfvDo/edit?usp=share_link"",""น่าน!n96"")+IMPORTRANGE(""https://docs.google.com/spreadsheets/d/1K0Aa9s-6EuHE5M0FG1F9aHLXRCOV917xvycTdLdct0w/edit?usp=share_link"",""พะเยา!n96"")+IMPORTRANGE(""https://docs.google.com/spreadsheets/d/1Y9LPKx95"&amp;"PyL5OKy09d-KbKJSuuEZCFdkhYjwC0XQjBA/edit?usp=share_link"",""พิจิตร!n96"")+IMPORTRANGE(""https://docs.google.com/spreadsheets/d/16OMuOwy2eVqZcYWOouQtTpa8X1L23h4660uVHc0C8os/edit?usp=share_link"",""พิษณุโลก!n96"")+IMPORTRANGE(""https://docs.google.com/sprea"&amp;"dsheets/d/1GfgTldLG6k77HXaMQzaafODklYuucJZQNs_GAPEfZyY/edit?usp=share_link"",""เพชรบูรณ์!n96"")+IMPORTRANGE(""https://docs.google.com/spreadsheets/d/1gvTMYAnm7v1yG1BKWFtr0DnaTsq59oW9dwWvFgq6hs0/edit?usp=share_link"",""แพร่!n96"")+IMPORTRANGE(""https://doc"&amp;"s.google.com/spreadsheets/d/1Wbcosgy-Xa1xXUArJSOenub6EfZHUSzc_bpJFWwQUf0/edit?usp=share_link"",""แม่ฮ่องสอน!n96"")+IMPORTRANGE(""https://docs.google.com/spreadsheets/d/1p7ERhsr0qZeSn-KSOdeHS9r0heI-lHtkcn2OH7hP0jQ/edit?usp=share_link"",""ลำปาง!n96"")+IMPOR"&amp;"TRANGE(""https://docs.google.com/spreadsheets/d/1-uUXvimVhiU2U0bMN-xi2te0tS4X7DI2GLPnMjzl8cA/edit?usp=share_link"",""ลำพูน!n96"")+IMPORTRANGE(""https://docs.google.com/spreadsheets/d/17HrOaa5pBUI1onckFfumXB8xlg35qb2uBAFfF1D-Myo/edit?usp=share_link"",""สุโ"&amp;"ขทัย!n96"")+IMPORTRANGE(""https://docs.google.com/spreadsheets/d/1ubs5cl16eYL9gHbdHTJtmtYb9MGzHBs7CAphn8kNCgM/edit?usp=share_link"",""อุตรดิตถ์!n96"")+IMPORTRANGE(""https://docs.google.com/spreadsheets/d/1kII0BjS6CtVrBvI8IrytgPdxDrlyQDyigzMsohRtDMs/edit?u"&amp;"sp=share_link"",""อุทัยธานี!n96"")
"),0)</f>
        <v>0</v>
      </c>
      <c r="O96" s="45">
        <f t="shared" ca="1" si="66"/>
        <v>0</v>
      </c>
      <c r="P96" s="45">
        <f t="shared" ca="1" si="67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18.75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KxicF4apzSqm0-jIpmueT4kyZtE-Cwn5zskl7GD4loQ/edit?usp=share_link"",""กำแพงเพชร!i98"")+IMPORTRANGE(""https://docs.google.com/spreadsheets/d/1ZNYWeiFoFA1K1U4xKWqRX29MBvEyRHXORjo734Gnq_c/edit?usp=share_lin"&amp;"k"",""เชียงราย!i98"")
+IMPORTRANGE(""https://docs.google.com/spreadsheets/d/1Jgv0Y7YlHDtsiDawwp-uvifEJ8HVaSn0k2aGHG8-hwM/edit?usp=share_link"",""เชียงใหม่!i98"")+IMPORTRANGE(""https://docs.google.com/spreadsheets/d/1JWG2rZePOz9pe-f-ObA-yDr0VoOX2kSb0qIix2m"&amp;"TUo8/edit?usp=share_link"",""ตาก!i98"")+IMPORTRANGE(""https://docs.google.com/spreadsheets/d/10nSRjK08hx8Y6HgSOQKNw81lyY46Zc7U_Cj72hBMp9U/edit?usp=share_link"",""นครสวรรค์!i98"")+IMPORTRANGE(""https://docs.google.com/spreadsheets/d/1gFVb7qd7amutrIxAAoM7lc"&amp;"y35hllxznovot8lyOfvDo/edit?usp=share_link"",""น่าน!i98"")+IMPORTRANGE(""https://docs.google.com/spreadsheets/d/1K0Aa9s-6EuHE5M0FG1F9aHLXRCOV917xvycTdLdct0w/edit?usp=share_link"",""พะเยา!i98"")+IMPORTRANGE(""https://docs.google.com/spreadsheets/d/1Y9LPKx95"&amp;"PyL5OKy09d-KbKJSuuEZCFdkhYjwC0XQjBA/edit?usp=share_link"",""พิจิตร!i98"")+IMPORTRANGE(""https://docs.google.com/spreadsheets/d/16OMuOwy2eVqZcYWOouQtTpa8X1L23h4660uVHc0C8os/edit?usp=share_link"",""พิษณุโลก!i98"")+IMPORTRANGE(""https://docs.google.com/sprea"&amp;"dsheets/d/1GfgTldLG6k77HXaMQzaafODklYuucJZQNs_GAPEfZyY/edit?usp=share_link"",""เพชรบูรณ์!i98"")+IMPORTRANGE(""https://docs.google.com/spreadsheets/d/1gvTMYAnm7v1yG1BKWFtr0DnaTsq59oW9dwWvFgq6hs0/edit?usp=share_link"",""แพร่!i98"")+IMPORTRANGE(""https://doc"&amp;"s.google.com/spreadsheets/d/1Wbcosgy-Xa1xXUArJSOenub6EfZHUSzc_bpJFWwQUf0/edit?usp=share_link"",""แม่ฮ่องสอน!i98"")+IMPORTRANGE(""https://docs.google.com/spreadsheets/d/1p7ERhsr0qZeSn-KSOdeHS9r0heI-lHtkcn2OH7hP0jQ/edit?usp=share_link"",""ลำปาง!i98"")+IMPOR"&amp;"TRANGE(""https://docs.google.com/spreadsheets/d/1-uUXvimVhiU2U0bMN-xi2te0tS4X7DI2GLPnMjzl8cA/edit?usp=share_link"",""ลำพูน!i98"")+IMPORTRANGE(""https://docs.google.com/spreadsheets/d/17HrOaa5pBUI1onckFfumXB8xlg35qb2uBAFfF1D-Myo/edit?usp=share_link"",""สุโ"&amp;"ขทัย!i98"")+IMPORTRANGE(""https://docs.google.com/spreadsheets/d/1ubs5cl16eYL9gHbdHTJtmtYb9MGzHBs7CAphn8kNCgM/edit?usp=share_link"",""อุตรดิตถ์!i98"")+IMPORTRANGE(""https://docs.google.com/spreadsheets/d/1kII0BjS6CtVrBvI8IrytgPdxDrlyQDyigzMsohRtDMs/edit?u"&amp;"sp=share_link"",""อุทัยธานี!i98"")
"),975)</f>
        <v>975</v>
      </c>
      <c r="J98" s="37">
        <f ca="1">J102</f>
        <v>840</v>
      </c>
      <c r="K98" s="38">
        <f t="shared" ref="K98:K100" ca="1" si="72">IF(I98&gt;0,J98*100/I98,0)</f>
        <v>86.15384615384616</v>
      </c>
      <c r="L98" s="38"/>
      <c r="M98" s="38"/>
      <c r="N98" s="38"/>
      <c r="O98" s="163"/>
      <c r="P98" s="163"/>
    </row>
    <row r="99" spans="1:16" ht="18.75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KxicF4apzSqm0-jIpmueT4kyZtE-Cwn5zskl7GD4loQ/edit?usp=share_link"",""กำแพงเพชร!i99"")+IMPORTRANGE(""https://docs.google.com/spreadsheets/d/1ZNYWeiFoFA1K1U4xKWqRX29MBvEyRHXORjo734Gnq_c/edit?usp=share_lin"&amp;"k"",""เชียงราย!i99"")
+IMPORTRANGE(""https://docs.google.com/spreadsheets/d/1Jgv0Y7YlHDtsiDawwp-uvifEJ8HVaSn0k2aGHG8-hwM/edit?usp=share_link"",""เชียงใหม่!i99"")+IMPORTRANGE(""https://docs.google.com/spreadsheets/d/1JWG2rZePOz9pe-f-ObA-yDr0VoOX2kSb0qIix2m"&amp;"TUo8/edit?usp=share_link"",""ตาก!i99"")+IMPORTRANGE(""https://docs.google.com/spreadsheets/d/10nSRjK08hx8Y6HgSOQKNw81lyY46Zc7U_Cj72hBMp9U/edit?usp=share_link"",""นครสวรรค์!i99"")+IMPORTRANGE(""https://docs.google.com/spreadsheets/d/1gFVb7qd7amutrIxAAoM7lc"&amp;"y35hllxznovot8lyOfvDo/edit?usp=share_link"",""น่าน!i99"")+IMPORTRANGE(""https://docs.google.com/spreadsheets/d/1K0Aa9s-6EuHE5M0FG1F9aHLXRCOV917xvycTdLdct0w/edit?usp=share_link"",""พะเยา!i99"")+IMPORTRANGE(""https://docs.google.com/spreadsheets/d/1Y9LPKx95"&amp;"PyL5OKy09d-KbKJSuuEZCFdkhYjwC0XQjBA/edit?usp=share_link"",""พิจิตร!i99"")+IMPORTRANGE(""https://docs.google.com/spreadsheets/d/16OMuOwy2eVqZcYWOouQtTpa8X1L23h4660uVHc0C8os/edit?usp=share_link"",""พิษณุโลก!i99"")+IMPORTRANGE(""https://docs.google.com/sprea"&amp;"dsheets/d/1GfgTldLG6k77HXaMQzaafODklYuucJZQNs_GAPEfZyY/edit?usp=share_link"",""เพชรบูรณ์!i99"")+IMPORTRANGE(""https://docs.google.com/spreadsheets/d/1gvTMYAnm7v1yG1BKWFtr0DnaTsq59oW9dwWvFgq6hs0/edit?usp=share_link"",""แพร่!i99"")+IMPORTRANGE(""https://doc"&amp;"s.google.com/spreadsheets/d/1Wbcosgy-Xa1xXUArJSOenub6EfZHUSzc_bpJFWwQUf0/edit?usp=share_link"",""แม่ฮ่องสอน!i99"")+IMPORTRANGE(""https://docs.google.com/spreadsheets/d/1p7ERhsr0qZeSn-KSOdeHS9r0heI-lHtkcn2OH7hP0jQ/edit?usp=share_link"",""ลำปาง!i99"")+IMPOR"&amp;"TRANGE(""https://docs.google.com/spreadsheets/d/1-uUXvimVhiU2U0bMN-xi2te0tS4X7DI2GLPnMjzl8cA/edit?usp=share_link"",""ลำพูน!i99"")+IMPORTRANGE(""https://docs.google.com/spreadsheets/d/17HrOaa5pBUI1onckFfumXB8xlg35qb2uBAFfF1D-Myo/edit?usp=share_link"",""สุโ"&amp;"ขทัย!i99"")+IMPORTRANGE(""https://docs.google.com/spreadsheets/d/1ubs5cl16eYL9gHbdHTJtmtYb9MGzHBs7CAphn8kNCgM/edit?usp=share_link"",""อุตรดิตถ์!i99"")+IMPORTRANGE(""https://docs.google.com/spreadsheets/d/1kII0BjS6CtVrBvI8IrytgPdxDrlyQDyigzMsohRtDMs/edit?u"&amp;"sp=share_link"",""อุทัยธานี!i99"")
"),325)</f>
        <v>325</v>
      </c>
      <c r="J99" s="37">
        <f ca="1">J104</f>
        <v>325</v>
      </c>
      <c r="K99" s="38">
        <f t="shared" ca="1" si="72"/>
        <v>100</v>
      </c>
      <c r="L99" s="38"/>
      <c r="M99" s="38"/>
      <c r="N99" s="3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KxicF4apzSqm0-jIpmueT4kyZtE-Cwn5zskl7GD4loQ/edit?usp=share_link"",""กำแพงเพชร!i100"")+IMPORTRANGE(""https://docs.google.com/spreadsheets/d/1ZNYWeiFoFA1K1U4xKWqRX29MBvEyRHXORjo734Gnq_c/edit?usp=share_li"&amp;"nk"",""เชียงราย!i100"")
+IMPORTRANGE(""https://docs.google.com/spreadsheets/d/1Jgv0Y7YlHDtsiDawwp-uvifEJ8HVaSn0k2aGHG8-hwM/edit?usp=share_link"",""เชียงใหม่!i100"")+IMPORTRANGE(""https://docs.google.com/spreadsheets/d/1JWG2rZePOz9pe-f-ObA-yDr0VoOX2kSb0qIi"&amp;"x2mTUo8/edit?usp=share_link"",""ตาก!i100"")+IMPORTRANGE(""https://docs.google.com/spreadsheets/d/10nSRjK08hx8Y6HgSOQKNw81lyY46Zc7U_Cj72hBMp9U/edit?usp=share_link"",""นครสวรรค์!i100"")+IMPORTRANGE(""https://docs.google.com/spreadsheets/d/1gFVb7qd7amutrIxAA"&amp;"oM7lcy35hllxznovot8lyOfvDo/edit?usp=share_link"",""น่าน!i100"")+IMPORTRANGE(""https://docs.google.com/spreadsheets/d/1K0Aa9s-6EuHE5M0FG1F9aHLXRCOV917xvycTdLdct0w/edit?usp=share_link"",""พะเยา!i100"")+IMPORTRANGE(""https://docs.google.com/spreadsheets/d/1Y"&amp;"9LPKx95PyL5OKy09d-KbKJSuuEZCFdkhYjwC0XQjBA/edit?usp=share_link"",""พิจิตร!i100"")+IMPORTRANGE(""https://docs.google.com/spreadsheets/d/16OMuOwy2eVqZcYWOouQtTpa8X1L23h4660uVHc0C8os/edit?usp=share_link"",""พิษณุโลก!i100"")+IMPORTRANGE(""https://docs.google."&amp;"com/spreadsheets/d/1GfgTldLG6k77HXaMQzaafODklYuucJZQNs_GAPEfZyY/edit?usp=share_link"",""เพชรบูรณ์!i100"")+IMPORTRANGE(""https://docs.google.com/spreadsheets/d/1gvTMYAnm7v1yG1BKWFtr0DnaTsq59oW9dwWvFgq6hs0/edit?usp=share_link"",""แพร่!i100"")+IMPORTRANGE("""&amp;"https://docs.google.com/spreadsheets/d/1Wbcosgy-Xa1xXUArJSOenub6EfZHUSzc_bpJFWwQUf0/edit?usp=share_link"",""แม่ฮ่องสอน!i100"")+IMPORTRANGE(""https://docs.google.com/spreadsheets/d/1p7ERhsr0qZeSn-KSOdeHS9r0heI-lHtkcn2OH7hP0jQ/edit?usp=share_link"",""ลำปาง!"&amp;"i100"")+IMPORTRANGE(""https://docs.google.com/spreadsheets/d/1-uUXvimVhiU2U0bMN-xi2te0tS4X7DI2GLPnMjzl8cA/edit?usp=share_link"",""ลำพูน!i100"")+IMPORTRANGE(""https://docs.google.com/spreadsheets/d/17HrOaa5pBUI1onckFfumXB8xlg35qb2uBAFfF1D-Myo/edit?usp=shar"&amp;"e_link"",""สุโขทัย!i100"")+IMPORTRANGE(""https://docs.google.com/spreadsheets/d/1ubs5cl16eYL9gHbdHTJtmtYb9MGzHBs7CAphn8kNCgM/edit?usp=share_link"",""อุตรดิตถ์!i100"")+IMPORTRANGE(""https://docs.google.com/spreadsheets/d/1kII0BjS6CtVrBvI8IrytgPdxDrlyQDyigz"&amp;"MsohRtDMs/edit?usp=share_link"",""อุทัยธานี!i100"")
"),30)</f>
        <v>30</v>
      </c>
      <c r="J100" s="37">
        <f ca="1">J107+J110</f>
        <v>8</v>
      </c>
      <c r="K100" s="38">
        <f t="shared" ca="1" si="72"/>
        <v>26.666666666666668</v>
      </c>
      <c r="L100" s="38"/>
      <c r="M100" s="38"/>
      <c r="N100" s="38"/>
      <c r="O100" s="163"/>
      <c r="P100" s="163"/>
    </row>
    <row r="101" spans="1:16" ht="19.5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18.75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KxicF4apzSqm0-jIpmueT4kyZtE-Cwn5zskl7GD4loQ/edit?usp=share_link"",""กำแพงเพชร!i102"")+IMPORTRANGE(""https://docs.google.com/spreadsheets/d/1ZNYWeiFoFA1K1U4xKWqRX29MBvEyRHXORjo734Gnq_c/edit?usp=share_li"&amp;"nk"",""เชียงราย!i102"")
+IMPORTRANGE(""https://docs.google.com/spreadsheets/d/1Jgv0Y7YlHDtsiDawwp-uvifEJ8HVaSn0k2aGHG8-hwM/edit?usp=share_link"",""เชียงใหม่!i102"")+IMPORTRANGE(""https://docs.google.com/spreadsheets/d/1JWG2rZePOz9pe-f-ObA-yDr0VoOX2kSb0qIi"&amp;"x2mTUo8/edit?usp=share_link"",""ตาก!i102"")+IMPORTRANGE(""https://docs.google.com/spreadsheets/d/10nSRjK08hx8Y6HgSOQKNw81lyY46Zc7U_Cj72hBMp9U/edit?usp=share_link"",""นครสวรรค์!i102"")+IMPORTRANGE(""https://docs.google.com/spreadsheets/d/1gFVb7qd7amutrIxAA"&amp;"oM7lcy35hllxznovot8lyOfvDo/edit?usp=share_link"",""น่าน!i102"")+IMPORTRANGE(""https://docs.google.com/spreadsheets/d/1K0Aa9s-6EuHE5M0FG1F9aHLXRCOV917xvycTdLdct0w/edit?usp=share_link"",""พะเยา!i102"")+IMPORTRANGE(""https://docs.google.com/spreadsheets/d/1Y"&amp;"9LPKx95PyL5OKy09d-KbKJSuuEZCFdkhYjwC0XQjBA/edit?usp=share_link"",""พิจิตร!i102"")+IMPORTRANGE(""https://docs.google.com/spreadsheets/d/16OMuOwy2eVqZcYWOouQtTpa8X1L23h4660uVHc0C8os/edit?usp=share_link"",""พิษณุโลก!i102"")+IMPORTRANGE(""https://docs.google."&amp;"com/spreadsheets/d/1GfgTldLG6k77HXaMQzaafODklYuucJZQNs_GAPEfZyY/edit?usp=share_link"",""เพชรบูรณ์!i102"")+IMPORTRANGE(""https://docs.google.com/spreadsheets/d/1gvTMYAnm7v1yG1BKWFtr0DnaTsq59oW9dwWvFgq6hs0/edit?usp=share_link"",""แพร่!i102"")+IMPORTRANGE("""&amp;"https://docs.google.com/spreadsheets/d/1Wbcosgy-Xa1xXUArJSOenub6EfZHUSzc_bpJFWwQUf0/edit?usp=share_link"",""แม่ฮ่องสอน!i102"")+IMPORTRANGE(""https://docs.google.com/spreadsheets/d/1p7ERhsr0qZeSn-KSOdeHS9r0heI-lHtkcn2OH7hP0jQ/edit?usp=share_link"",""ลำปาง!"&amp;"i102"")+IMPORTRANGE(""https://docs.google.com/spreadsheets/d/1-uUXvimVhiU2U0bMN-xi2te0tS4X7DI2GLPnMjzl8cA/edit?usp=share_link"",""ลำพูน!i102"")+IMPORTRANGE(""https://docs.google.com/spreadsheets/d/17HrOaa5pBUI1onckFfumXB8xlg35qb2uBAFfF1D-Myo/edit?usp=shar"&amp;"e_link"",""สุโขทัย!i102"")+IMPORTRANGE(""https://docs.google.com/spreadsheets/d/1ubs5cl16eYL9gHbdHTJtmtYb9MGzHBs7CAphn8kNCgM/edit?usp=share_link"",""อุตรดิตถ์!i102"")+IMPORTRANGE(""https://docs.google.com/spreadsheets/d/1kII0BjS6CtVrBvI8IrytgPdxDrlyQDyigz"&amp;"MsohRtDMs/edit?usp=share_link"",""อุทัยธานี!i102"")
"),975)</f>
        <v>975</v>
      </c>
      <c r="J102" s="183">
        <f ca="1">IFERROR(__xludf.DUMMYFUNCTION("IMPORTRANGE(""https://docs.google.com/spreadsheets/d/1KxicF4apzSqm0-jIpmueT4kyZtE-Cwn5zskl7GD4loQ/edit?usp=share_link"",""กำแพงเพชร!J102"")+IMPORTRANGE(""https://docs.google.com/spreadsheets/d/1ZNYWeiFoFA1K1U4xKWqRX29MBvEyRHXORjo734Gnq_c/edit?usp=share_li"&amp;"nk"",""เชียงราย!J102"")
+IMPORTRANGE(""https://docs.google.com/spreadsheets/d/1Jgv0Y7YlHDtsiDawwp-uvifEJ8HVaSn0k2aGHG8-hwM/edit?usp=share_link"",""เชียงใหม่!J102"")+IMPORTRANGE(""https://docs.google.com/spreadsheets/d/1JWG2rZePOz9pe-f-ObA-yDr0VoOX2kSb0qIi"&amp;"x2mTUo8/edit?usp=share_link"",""ตาก!J102"")+IMPORTRANGE(""https://docs.google.com/spreadsheets/d/10nSRjK08hx8Y6HgSOQKNw81lyY46Zc7U_Cj72hBMp9U/edit?usp=share_link"",""นครสวรรค์!J102"")+IMPORTRANGE(""https://docs.google.com/spreadsheets/d/1gFVb7qd7amutrIxAA"&amp;"oM7lcy35hllxznovot8lyOfvDo/edit?usp=share_link"",""น่าน!J102"")+IMPORTRANGE(""https://docs.google.com/spreadsheets/d/1K0Aa9s-6EuHE5M0FG1F9aHLXRCOV917xvycTdLdct0w/edit?usp=share_link"",""พะเยา!J102"")+IMPORTRANGE(""https://docs.google.com/spreadsheets/d/1Y"&amp;"9LPKx95PyL5OKy09d-KbKJSuuEZCFdkhYjwC0XQjBA/edit?usp=share_link"",""พิจิตร!J102"")+IMPORTRANGE(""https://docs.google.com/spreadsheets/d/16OMuOwy2eVqZcYWOouQtTpa8X1L23h4660uVHc0C8os/edit?usp=share_link"",""พิษณุโลก!J102"")+IMPORTRANGE(""https://docs.google."&amp;"com/spreadsheets/d/1GfgTldLG6k77HXaMQzaafODklYuucJZQNs_GAPEfZyY/edit?usp=share_link"",""เพชรบูรณ์!J102"")+IMPORTRANGE(""https://docs.google.com/spreadsheets/d/1gvTMYAnm7v1yG1BKWFtr0DnaTsq59oW9dwWvFgq6hs0/edit?usp=share_link"",""แพร่!J102"")+IMPORTRANGE("""&amp;"https://docs.google.com/spreadsheets/d/1Wbcosgy-Xa1xXUArJSOenub6EfZHUSzc_bpJFWwQUf0/edit?usp=share_link"",""แม่ฮ่องสอน!J102"")+IMPORTRANGE(""https://docs.google.com/spreadsheets/d/1p7ERhsr0qZeSn-KSOdeHS9r0heI-lHtkcn2OH7hP0jQ/edit?usp=share_link"",""ลำปาง!"&amp;"J102"")+IMPORTRANGE(""https://docs.google.com/spreadsheets/d/1-uUXvimVhiU2U0bMN-xi2te0tS4X7DI2GLPnMjzl8cA/edit?usp=share_link"",""ลำพูน!J102"")+IMPORTRANGE(""https://docs.google.com/spreadsheets/d/17HrOaa5pBUI1onckFfumXB8xlg35qb2uBAFfF1D-Myo/edit?usp=shar"&amp;"e_link"",""สุโขทัย!J102"")+IMPORTRANGE(""https://docs.google.com/spreadsheets/d/1ubs5cl16eYL9gHbdHTJtmtYb9MGzHBs7CAphn8kNCgM/edit?usp=share_link"",""อุตรดิตถ์!J102"")+IMPORTRANGE(""https://docs.google.com/spreadsheets/d/1kII0BjS6CtVrBvI8IrytgPdxDrlyQDyigz"&amp;"MsohRtDMs/edit?usp=share_link"",""อุทัยธานี!J102"")
"),840)</f>
        <v>840</v>
      </c>
      <c r="K102" s="38">
        <f t="shared" ref="K102:K104" ca="1" si="73">IF(I102&gt;0,J102*100/I102,0)</f>
        <v>86.15384615384616</v>
      </c>
      <c r="L102" s="38"/>
      <c r="M102" s="38"/>
      <c r="N102" s="38"/>
      <c r="O102" s="163"/>
      <c r="P102" s="163"/>
    </row>
    <row r="103" spans="1:16" ht="19.5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KxicF4apzSqm0-jIpmueT4kyZtE-Cwn5zskl7GD4loQ/edit?usp=share_link"",""กำแพงเพชร!i103"")+IMPORTRANGE(""https://docs.google.com/spreadsheets/d/1ZNYWeiFoFA1K1U4xKWqRX29MBvEyRHXORjo734Gnq_c/edit?usp=share_li"&amp;"nk"",""เชียงราย!i103"")
+IMPORTRANGE(""https://docs.google.com/spreadsheets/d/1Jgv0Y7YlHDtsiDawwp-uvifEJ8HVaSn0k2aGHG8-hwM/edit?usp=share_link"",""เชียงใหม่!i103"")+IMPORTRANGE(""https://docs.google.com/spreadsheets/d/1JWG2rZePOz9pe-f-ObA-yDr0VoOX2kSb0qIi"&amp;"x2mTUo8/edit?usp=share_link"",""ตาก!i103"")+IMPORTRANGE(""https://docs.google.com/spreadsheets/d/10nSRjK08hx8Y6HgSOQKNw81lyY46Zc7U_Cj72hBMp9U/edit?usp=share_link"",""นครสวรรค์!i103"")+IMPORTRANGE(""https://docs.google.com/spreadsheets/d/1gFVb7qd7amutrIxAA"&amp;"oM7lcy35hllxznovot8lyOfvDo/edit?usp=share_link"",""น่าน!i103"")+IMPORTRANGE(""https://docs.google.com/spreadsheets/d/1K0Aa9s-6EuHE5M0FG1F9aHLXRCOV917xvycTdLdct0w/edit?usp=share_link"",""พะเยา!i103"")+IMPORTRANGE(""https://docs.google.com/spreadsheets/d/1Y"&amp;"9LPKx95PyL5OKy09d-KbKJSuuEZCFdkhYjwC0XQjBA/edit?usp=share_link"",""พิจิตร!i103"")+IMPORTRANGE(""https://docs.google.com/spreadsheets/d/16OMuOwy2eVqZcYWOouQtTpa8X1L23h4660uVHc0C8os/edit?usp=share_link"",""พิษณุโลก!i103"")+IMPORTRANGE(""https://docs.google."&amp;"com/spreadsheets/d/1GfgTldLG6k77HXaMQzaafODklYuucJZQNs_GAPEfZyY/edit?usp=share_link"",""เพชรบูรณ์!i103"")+IMPORTRANGE(""https://docs.google.com/spreadsheets/d/1gvTMYAnm7v1yG1BKWFtr0DnaTsq59oW9dwWvFgq6hs0/edit?usp=share_link"",""แพร่!i103"")+IMPORTRANGE("""&amp;"https://docs.google.com/spreadsheets/d/1Wbcosgy-Xa1xXUArJSOenub6EfZHUSzc_bpJFWwQUf0/edit?usp=share_link"",""แม่ฮ่องสอน!i103"")+IMPORTRANGE(""https://docs.google.com/spreadsheets/d/1p7ERhsr0qZeSn-KSOdeHS9r0heI-lHtkcn2OH7hP0jQ/edit?usp=share_link"",""ลำปาง!"&amp;"i103"")+IMPORTRANGE(""https://docs.google.com/spreadsheets/d/1-uUXvimVhiU2U0bMN-xi2te0tS4X7DI2GLPnMjzl8cA/edit?usp=share_link"",""ลำพูน!i103"")+IMPORTRANGE(""https://docs.google.com/spreadsheets/d/17HrOaa5pBUI1onckFfumXB8xlg35qb2uBAFfF1D-Myo/edit?usp=shar"&amp;"e_link"",""สุโขทัย!i103"")+IMPORTRANGE(""https://docs.google.com/spreadsheets/d/1ubs5cl16eYL9gHbdHTJtmtYb9MGzHBs7CAphn8kNCgM/edit?usp=share_link"",""อุตรดิตถ์!i103"")+IMPORTRANGE(""https://docs.google.com/spreadsheets/d/1kII0BjS6CtVrBvI8IrytgPdxDrlyQDyigz"&amp;"MsohRtDMs/edit?usp=share_link"",""อุทัยธานี!i103"")
"),325)</f>
        <v>325</v>
      </c>
      <c r="J103" s="183">
        <f ca="1">IFERROR(__xludf.DUMMYFUNCTION("IMPORTRANGE(""https://docs.google.com/spreadsheets/d/1KxicF4apzSqm0-jIpmueT4kyZtE-Cwn5zskl7GD4loQ/edit?usp=share_link"",""กำแพงเพชร!J103"")+IMPORTRANGE(""https://docs.google.com/spreadsheets/d/1ZNYWeiFoFA1K1U4xKWqRX29MBvEyRHXORjo734Gnq_c/edit?usp=share_li"&amp;"nk"",""เชียงราย!J103"")
+IMPORTRANGE(""https://docs.google.com/spreadsheets/d/1Jgv0Y7YlHDtsiDawwp-uvifEJ8HVaSn0k2aGHG8-hwM/edit?usp=share_link"",""เชียงใหม่!J103"")+IMPORTRANGE(""https://docs.google.com/spreadsheets/d/1JWG2rZePOz9pe-f-ObA-yDr0VoOX2kSb0qIi"&amp;"x2mTUo8/edit?usp=share_link"",""ตาก!J103"")+IMPORTRANGE(""https://docs.google.com/spreadsheets/d/10nSRjK08hx8Y6HgSOQKNw81lyY46Zc7U_Cj72hBMp9U/edit?usp=share_link"",""นครสวรรค์!J103"")+IMPORTRANGE(""https://docs.google.com/spreadsheets/d/1gFVb7qd7amutrIxAA"&amp;"oM7lcy35hllxznovot8lyOfvDo/edit?usp=share_link"",""น่าน!J103"")+IMPORTRANGE(""https://docs.google.com/spreadsheets/d/1K0Aa9s-6EuHE5M0FG1F9aHLXRCOV917xvycTdLdct0w/edit?usp=share_link"",""พะเยา!J103"")+IMPORTRANGE(""https://docs.google.com/spreadsheets/d/1Y"&amp;"9LPKx95PyL5OKy09d-KbKJSuuEZCFdkhYjwC0XQjBA/edit?usp=share_link"",""พิจิตร!J103"")+IMPORTRANGE(""https://docs.google.com/spreadsheets/d/16OMuOwy2eVqZcYWOouQtTpa8X1L23h4660uVHc0C8os/edit?usp=share_link"",""พิษณุโลก!J103"")+IMPORTRANGE(""https://docs.google."&amp;"com/spreadsheets/d/1GfgTldLG6k77HXaMQzaafODklYuucJZQNs_GAPEfZyY/edit?usp=share_link"",""เพชรบูรณ์!J103"")+IMPORTRANGE(""https://docs.google.com/spreadsheets/d/1gvTMYAnm7v1yG1BKWFtr0DnaTsq59oW9dwWvFgq6hs0/edit?usp=share_link"",""แพร่!J103"")+IMPORTRANGE("""&amp;"https://docs.google.com/spreadsheets/d/1Wbcosgy-Xa1xXUArJSOenub6EfZHUSzc_bpJFWwQUf0/edit?usp=share_link"",""แม่ฮ่องสอน!J103"")+IMPORTRANGE(""https://docs.google.com/spreadsheets/d/1p7ERhsr0qZeSn-KSOdeHS9r0heI-lHtkcn2OH7hP0jQ/edit?usp=share_link"",""ลำปาง!"&amp;"J103"")+IMPORTRANGE(""https://docs.google.com/spreadsheets/d/1-uUXvimVhiU2U0bMN-xi2te0tS4X7DI2GLPnMjzl8cA/edit?usp=share_link"",""ลำพูน!J103"")+IMPORTRANGE(""https://docs.google.com/spreadsheets/d/17HrOaa5pBUI1onckFfumXB8xlg35qb2uBAFfF1D-Myo/edit?usp=shar"&amp;"e_link"",""สุโขทัย!J103"")+IMPORTRANGE(""https://docs.google.com/spreadsheets/d/1ubs5cl16eYL9gHbdHTJtmtYb9MGzHBs7CAphn8kNCgM/edit?usp=share_link"",""อุตรดิตถ์!J103"")+IMPORTRANGE(""https://docs.google.com/spreadsheets/d/1kII0BjS6CtVrBvI8IrytgPdxDrlyQDyigz"&amp;"MsohRtDMs/edit?usp=share_link"",""อุทัยธานี!J103"")
"),325)</f>
        <v>325</v>
      </c>
      <c r="K103" s="38">
        <f t="shared" ca="1" si="73"/>
        <v>100</v>
      </c>
      <c r="L103" s="38"/>
      <c r="M103" s="38"/>
      <c r="N103" s="3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KxicF4apzSqm0-jIpmueT4kyZtE-Cwn5zskl7GD4loQ/edit?usp=share_link"",""กำแพงเพชร!i104"")+IMPORTRANGE(""https://docs.google.com/spreadsheets/d/1ZNYWeiFoFA1K1U4xKWqRX29MBvEyRHXORjo734Gnq_c/edit?usp=share_li"&amp;"nk"",""เชียงราย!i104"")
+IMPORTRANGE(""https://docs.google.com/spreadsheets/d/1Jgv0Y7YlHDtsiDawwp-uvifEJ8HVaSn0k2aGHG8-hwM/edit?usp=share_link"",""เชียงใหม่!i104"")+IMPORTRANGE(""https://docs.google.com/spreadsheets/d/1JWG2rZePOz9pe-f-ObA-yDr0VoOX2kSb0qIi"&amp;"x2mTUo8/edit?usp=share_link"",""ตาก!i104"")+IMPORTRANGE(""https://docs.google.com/spreadsheets/d/10nSRjK08hx8Y6HgSOQKNw81lyY46Zc7U_Cj72hBMp9U/edit?usp=share_link"",""นครสวรรค์!i104"")+IMPORTRANGE(""https://docs.google.com/spreadsheets/d/1gFVb7qd7amutrIxAA"&amp;"oM7lcy35hllxznovot8lyOfvDo/edit?usp=share_link"",""น่าน!i104"")+IMPORTRANGE(""https://docs.google.com/spreadsheets/d/1K0Aa9s-6EuHE5M0FG1F9aHLXRCOV917xvycTdLdct0w/edit?usp=share_link"",""พะเยา!i104"")+IMPORTRANGE(""https://docs.google.com/spreadsheets/d/1Y"&amp;"9LPKx95PyL5OKy09d-KbKJSuuEZCFdkhYjwC0XQjBA/edit?usp=share_link"",""พิจิตร!i104"")+IMPORTRANGE(""https://docs.google.com/spreadsheets/d/16OMuOwy2eVqZcYWOouQtTpa8X1L23h4660uVHc0C8os/edit?usp=share_link"",""พิษณุโลก!i104"")+IMPORTRANGE(""https://docs.google."&amp;"com/spreadsheets/d/1GfgTldLG6k77HXaMQzaafODklYuucJZQNs_GAPEfZyY/edit?usp=share_link"",""เพชรบูรณ์!i104"")+IMPORTRANGE(""https://docs.google.com/spreadsheets/d/1gvTMYAnm7v1yG1BKWFtr0DnaTsq59oW9dwWvFgq6hs0/edit?usp=share_link"",""แพร่!i104"")+IMPORTRANGE("""&amp;"https://docs.google.com/spreadsheets/d/1Wbcosgy-Xa1xXUArJSOenub6EfZHUSzc_bpJFWwQUf0/edit?usp=share_link"",""แม่ฮ่องสอน!i104"")+IMPORTRANGE(""https://docs.google.com/spreadsheets/d/1p7ERhsr0qZeSn-KSOdeHS9r0heI-lHtkcn2OH7hP0jQ/edit?usp=share_link"",""ลำปาง!"&amp;"i104"")+IMPORTRANGE(""https://docs.google.com/spreadsheets/d/1-uUXvimVhiU2U0bMN-xi2te0tS4X7DI2GLPnMjzl8cA/edit?usp=share_link"",""ลำพูน!i104"")+IMPORTRANGE(""https://docs.google.com/spreadsheets/d/17HrOaa5pBUI1onckFfumXB8xlg35qb2uBAFfF1D-Myo/edit?usp=shar"&amp;"e_link"",""สุโขทัย!i104"")+IMPORTRANGE(""https://docs.google.com/spreadsheets/d/1ubs5cl16eYL9gHbdHTJtmtYb9MGzHBs7CAphn8kNCgM/edit?usp=share_link"",""อุตรดิตถ์!i104"")+IMPORTRANGE(""https://docs.google.com/spreadsheets/d/1kII0BjS6CtVrBvI8IrytgPdxDrlyQDyigz"&amp;"MsohRtDMs/edit?usp=share_link"",""อุทัยธานี!i104"")
"),325)</f>
        <v>325</v>
      </c>
      <c r="J104" s="183">
        <f ca="1">IFERROR(__xludf.DUMMYFUNCTION("IMPORTRANGE(""https://docs.google.com/spreadsheets/d/1KxicF4apzSqm0-jIpmueT4kyZtE-Cwn5zskl7GD4loQ/edit?usp=share_link"",""กำแพงเพชร!J104"")+IMPORTRANGE(""https://docs.google.com/spreadsheets/d/1ZNYWeiFoFA1K1U4xKWqRX29MBvEyRHXORjo734Gnq_c/edit?usp=share_li"&amp;"nk"",""เชียงราย!J104"")
+IMPORTRANGE(""https://docs.google.com/spreadsheets/d/1Jgv0Y7YlHDtsiDawwp-uvifEJ8HVaSn0k2aGHG8-hwM/edit?usp=share_link"",""เชียงใหม่!J104"")+IMPORTRANGE(""https://docs.google.com/spreadsheets/d/1JWG2rZePOz9pe-f-ObA-yDr0VoOX2kSb0qIi"&amp;"x2mTUo8/edit?usp=share_link"",""ตาก!J104"")+IMPORTRANGE(""https://docs.google.com/spreadsheets/d/10nSRjK08hx8Y6HgSOQKNw81lyY46Zc7U_Cj72hBMp9U/edit?usp=share_link"",""นครสวรรค์!J104"")+IMPORTRANGE(""https://docs.google.com/spreadsheets/d/1gFVb7qd7amutrIxAA"&amp;"oM7lcy35hllxznovot8lyOfvDo/edit?usp=share_link"",""น่าน!J104"")+IMPORTRANGE(""https://docs.google.com/spreadsheets/d/1K0Aa9s-6EuHE5M0FG1F9aHLXRCOV917xvycTdLdct0w/edit?usp=share_link"",""พะเยา!J104"")+IMPORTRANGE(""https://docs.google.com/spreadsheets/d/1Y"&amp;"9LPKx95PyL5OKy09d-KbKJSuuEZCFdkhYjwC0XQjBA/edit?usp=share_link"",""พิจิตร!J104"")+IMPORTRANGE(""https://docs.google.com/spreadsheets/d/16OMuOwy2eVqZcYWOouQtTpa8X1L23h4660uVHc0C8os/edit?usp=share_link"",""พิษณุโลก!J104"")+IMPORTRANGE(""https://docs.google."&amp;"com/spreadsheets/d/1GfgTldLG6k77HXaMQzaafODklYuucJZQNs_GAPEfZyY/edit?usp=share_link"",""เพชรบูรณ์!J104"")+IMPORTRANGE(""https://docs.google.com/spreadsheets/d/1gvTMYAnm7v1yG1BKWFtr0DnaTsq59oW9dwWvFgq6hs0/edit?usp=share_link"",""แพร่!J104"")+IMPORTRANGE("""&amp;"https://docs.google.com/spreadsheets/d/1Wbcosgy-Xa1xXUArJSOenub6EfZHUSzc_bpJFWwQUf0/edit?usp=share_link"",""แม่ฮ่องสอน!J104"")+IMPORTRANGE(""https://docs.google.com/spreadsheets/d/1p7ERhsr0qZeSn-KSOdeHS9r0heI-lHtkcn2OH7hP0jQ/edit?usp=share_link"",""ลำปาง!"&amp;"J104"")+IMPORTRANGE(""https://docs.google.com/spreadsheets/d/1-uUXvimVhiU2U0bMN-xi2te0tS4X7DI2GLPnMjzl8cA/edit?usp=share_link"",""ลำพูน!J104"")+IMPORTRANGE(""https://docs.google.com/spreadsheets/d/17HrOaa5pBUI1onckFfumXB8xlg35qb2uBAFfF1D-Myo/edit?usp=shar"&amp;"e_link"",""สุโขทัย!J104"")+IMPORTRANGE(""https://docs.google.com/spreadsheets/d/1ubs5cl16eYL9gHbdHTJtmtYb9MGzHBs7CAphn8kNCgM/edit?usp=share_link"",""อุตรดิตถ์!J104"")+IMPORTRANGE(""https://docs.google.com/spreadsheets/d/1kII0BjS6CtVrBvI8IrytgPdxDrlyQDyigz"&amp;"MsohRtDMs/edit?usp=share_link"",""อุทัยธานี!J104"")
"),325)</f>
        <v>325</v>
      </c>
      <c r="K104" s="38">
        <f t="shared" ca="1" si="73"/>
        <v>100</v>
      </c>
      <c r="L104" s="38"/>
      <c r="M104" s="38"/>
      <c r="N104" s="38"/>
      <c r="O104" s="163"/>
      <c r="P104" s="163"/>
    </row>
    <row r="105" spans="1:16" ht="19.5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19.5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KxicF4apzSqm0-jIpmueT4kyZtE-Cwn5zskl7GD4loQ/edit?usp=share_link"",""กำแพงเพชร!i106"")+IMPORTRANGE(""https://docs.google.com/spreadsheets/d/1ZNYWeiFoFA1K1U4xKWqRX29MBvEyRHXORjo734Gnq_c/edit?usp=share_li"&amp;"nk"",""เชียงราย!i106"")
+IMPORTRANGE(""https://docs.google.com/spreadsheets/d/1Jgv0Y7YlHDtsiDawwp-uvifEJ8HVaSn0k2aGHG8-hwM/edit?usp=share_link"",""เชียงใหม่!i106"")+IMPORTRANGE(""https://docs.google.com/spreadsheets/d/1JWG2rZePOz9pe-f-ObA-yDr0VoOX2kSb0qIi"&amp;"x2mTUo8/edit?usp=share_link"",""ตาก!i106"")+IMPORTRANGE(""https://docs.google.com/spreadsheets/d/10nSRjK08hx8Y6HgSOQKNw81lyY46Zc7U_Cj72hBMp9U/edit?usp=share_link"",""นครสวรรค์!i106"")+IMPORTRANGE(""https://docs.google.com/spreadsheets/d/1gFVb7qd7amutrIxAA"&amp;"oM7lcy35hllxznovot8lyOfvDo/edit?usp=share_link"",""น่าน!i106"")+IMPORTRANGE(""https://docs.google.com/spreadsheets/d/1K0Aa9s-6EuHE5M0FG1F9aHLXRCOV917xvycTdLdct0w/edit?usp=share_link"",""พะเยา!i106"")+IMPORTRANGE(""https://docs.google.com/spreadsheets/d/1Y"&amp;"9LPKx95PyL5OKy09d-KbKJSuuEZCFdkhYjwC0XQjBA/edit?usp=share_link"",""พิจิตร!i106"")+IMPORTRANGE(""https://docs.google.com/spreadsheets/d/16OMuOwy2eVqZcYWOouQtTpa8X1L23h4660uVHc0C8os/edit?usp=share_link"",""พิษณุโลก!i106"")+IMPORTRANGE(""https://docs.google."&amp;"com/spreadsheets/d/1GfgTldLG6k77HXaMQzaafODklYuucJZQNs_GAPEfZyY/edit?usp=share_link"",""เพชรบูรณ์!i106"")+IMPORTRANGE(""https://docs.google.com/spreadsheets/d/1gvTMYAnm7v1yG1BKWFtr0DnaTsq59oW9dwWvFgq6hs0/edit?usp=share_link"",""แพร่!i106"")+IMPORTRANGE("""&amp;"https://docs.google.com/spreadsheets/d/1Wbcosgy-Xa1xXUArJSOenub6EfZHUSzc_bpJFWwQUf0/edit?usp=share_link"",""แม่ฮ่องสอน!i106"")+IMPORTRANGE(""https://docs.google.com/spreadsheets/d/1p7ERhsr0qZeSn-KSOdeHS9r0heI-lHtkcn2OH7hP0jQ/edit?usp=share_link"",""ลำปาง!"&amp;"i106"")+IMPORTRANGE(""https://docs.google.com/spreadsheets/d/1-uUXvimVhiU2U0bMN-xi2te0tS4X7DI2GLPnMjzl8cA/edit?usp=share_link"",""ลำพูน!i106"")+IMPORTRANGE(""https://docs.google.com/spreadsheets/d/17HrOaa5pBUI1onckFfumXB8xlg35qb2uBAFfF1D-Myo/edit?usp=shar"&amp;"e_link"",""สุโขทัย!i106"")+IMPORTRANGE(""https://docs.google.com/spreadsheets/d/1ubs5cl16eYL9gHbdHTJtmtYb9MGzHBs7CAphn8kNCgM/edit?usp=share_link"",""อุตรดิตถ์!i106"")+IMPORTRANGE(""https://docs.google.com/spreadsheets/d/1kII0BjS6CtVrBvI8IrytgPdxDrlyQDyigz"&amp;"MsohRtDMs/edit?usp=share_link"",""อุทัยธานี!i106"")
"),14)</f>
        <v>14</v>
      </c>
      <c r="J106" s="183">
        <f ca="1">IFERROR(__xludf.DUMMYFUNCTION("IMPORTRANGE(""https://docs.google.com/spreadsheets/d/1KxicF4apzSqm0-jIpmueT4kyZtE-Cwn5zskl7GD4loQ/edit?usp=share_link"",""กำแพงเพชร!J106"")+IMPORTRANGE(""https://docs.google.com/spreadsheets/d/1ZNYWeiFoFA1K1U4xKWqRX29MBvEyRHXORjo734Gnq_c/edit?usp=share_li"&amp;"nk"",""เชียงราย!J106"")
+IMPORTRANGE(""https://docs.google.com/spreadsheets/d/1Jgv0Y7YlHDtsiDawwp-uvifEJ8HVaSn0k2aGHG8-hwM/edit?usp=share_link"",""เชียงใหม่!J106"")+IMPORTRANGE(""https://docs.google.com/spreadsheets/d/1JWG2rZePOz9pe-f-ObA-yDr0VoOX2kSb0qIi"&amp;"x2mTUo8/edit?usp=share_link"",""ตาก!J106"")+IMPORTRANGE(""https://docs.google.com/spreadsheets/d/10nSRjK08hx8Y6HgSOQKNw81lyY46Zc7U_Cj72hBMp9U/edit?usp=share_link"",""นครสวรรค์!J106"")+IMPORTRANGE(""https://docs.google.com/spreadsheets/d/1gFVb7qd7amutrIxAA"&amp;"oM7lcy35hllxznovot8lyOfvDo/edit?usp=share_link"",""น่าน!J106"")+IMPORTRANGE(""https://docs.google.com/spreadsheets/d/1K0Aa9s-6EuHE5M0FG1F9aHLXRCOV917xvycTdLdct0w/edit?usp=share_link"",""พะเยา!J106"")+IMPORTRANGE(""https://docs.google.com/spreadsheets/d/1Y"&amp;"9LPKx95PyL5OKy09d-KbKJSuuEZCFdkhYjwC0XQjBA/edit?usp=share_link"",""พิจิตร!J106"")+IMPORTRANGE(""https://docs.google.com/spreadsheets/d/16OMuOwy2eVqZcYWOouQtTpa8X1L23h4660uVHc0C8os/edit?usp=share_link"",""พิษณุโลก!J106"")+IMPORTRANGE(""https://docs.google."&amp;"com/spreadsheets/d/1GfgTldLG6k77HXaMQzaafODklYuucJZQNs_GAPEfZyY/edit?usp=share_link"",""เพชรบูรณ์!J106"")+IMPORTRANGE(""https://docs.google.com/spreadsheets/d/1gvTMYAnm7v1yG1BKWFtr0DnaTsq59oW9dwWvFgq6hs0/edit?usp=share_link"",""แพร่!J106"")+IMPORTRANGE("""&amp;"https://docs.google.com/spreadsheets/d/1Wbcosgy-Xa1xXUArJSOenub6EfZHUSzc_bpJFWwQUf0/edit?usp=share_link"",""แม่ฮ่องสอน!J106"")+IMPORTRANGE(""https://docs.google.com/spreadsheets/d/1p7ERhsr0qZeSn-KSOdeHS9r0heI-lHtkcn2OH7hP0jQ/edit?usp=share_link"",""ลำปาง!"&amp;"J106"")+IMPORTRANGE(""https://docs.google.com/spreadsheets/d/1-uUXvimVhiU2U0bMN-xi2te0tS4X7DI2GLPnMjzl8cA/edit?usp=share_link"",""ลำพูน!J106"")+IMPORTRANGE(""https://docs.google.com/spreadsheets/d/17HrOaa5pBUI1onckFfumXB8xlg35qb2uBAFfF1D-Myo/edit?usp=shar"&amp;"e_link"",""สุโขทัย!J106"")+IMPORTRANGE(""https://docs.google.com/spreadsheets/d/1ubs5cl16eYL9gHbdHTJtmtYb9MGzHBs7CAphn8kNCgM/edit?usp=share_link"",""อุตรดิตถ์!J106"")+IMPORTRANGE(""https://docs.google.com/spreadsheets/d/1kII0BjS6CtVrBvI8IrytgPdxDrlyQDyigz"&amp;"MsohRtDMs/edit?usp=share_link"",""อุทัยธานี!J106"")
"),6)</f>
        <v>6</v>
      </c>
      <c r="K106" s="38">
        <f t="shared" ref="K106:K107" ca="1" si="74">IF(I106&gt;0,J106*100/I106,0)</f>
        <v>42.857142857142854</v>
      </c>
      <c r="L106" s="38"/>
      <c r="M106" s="38"/>
      <c r="N106" s="3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KxicF4apzSqm0-jIpmueT4kyZtE-Cwn5zskl7GD4loQ/edit?usp=share_link"",""กำแพงเพชร!i107"")+IMPORTRANGE(""https://docs.google.com/spreadsheets/d/1ZNYWeiFoFA1K1U4xKWqRX29MBvEyRHXORjo734Gnq_c/edit?usp=share_li"&amp;"nk"",""เชียงราย!i107"")
+IMPORTRANGE(""https://docs.google.com/spreadsheets/d/1Jgv0Y7YlHDtsiDawwp-uvifEJ8HVaSn0k2aGHG8-hwM/edit?usp=share_link"",""เชียงใหม่!i107"")+IMPORTRANGE(""https://docs.google.com/spreadsheets/d/1JWG2rZePOz9pe-f-ObA-yDr0VoOX2kSb0qIi"&amp;"x2mTUo8/edit?usp=share_link"",""ตาก!i107"")+IMPORTRANGE(""https://docs.google.com/spreadsheets/d/10nSRjK08hx8Y6HgSOQKNw81lyY46Zc7U_Cj72hBMp9U/edit?usp=share_link"",""นครสวรรค์!i107"")+IMPORTRANGE(""https://docs.google.com/spreadsheets/d/1gFVb7qd7amutrIxAA"&amp;"oM7lcy35hllxznovot8lyOfvDo/edit?usp=share_link"",""น่าน!i107"")+IMPORTRANGE(""https://docs.google.com/spreadsheets/d/1K0Aa9s-6EuHE5M0FG1F9aHLXRCOV917xvycTdLdct0w/edit?usp=share_link"",""พะเยา!i107"")+IMPORTRANGE(""https://docs.google.com/spreadsheets/d/1Y"&amp;"9LPKx95PyL5OKy09d-KbKJSuuEZCFdkhYjwC0XQjBA/edit?usp=share_link"",""พิจิตร!i107"")+IMPORTRANGE(""https://docs.google.com/spreadsheets/d/16OMuOwy2eVqZcYWOouQtTpa8X1L23h4660uVHc0C8os/edit?usp=share_link"",""พิษณุโลก!i107"")+IMPORTRANGE(""https://docs.google."&amp;"com/spreadsheets/d/1GfgTldLG6k77HXaMQzaafODklYuucJZQNs_GAPEfZyY/edit?usp=share_link"",""เพชรบูรณ์!i107"")+IMPORTRANGE(""https://docs.google.com/spreadsheets/d/1gvTMYAnm7v1yG1BKWFtr0DnaTsq59oW9dwWvFgq6hs0/edit?usp=share_link"",""แพร่!i107"")+IMPORTRANGE("""&amp;"https://docs.google.com/spreadsheets/d/1Wbcosgy-Xa1xXUArJSOenub6EfZHUSzc_bpJFWwQUf0/edit?usp=share_link"",""แม่ฮ่องสอน!i107"")+IMPORTRANGE(""https://docs.google.com/spreadsheets/d/1p7ERhsr0qZeSn-KSOdeHS9r0heI-lHtkcn2OH7hP0jQ/edit?usp=share_link"",""ลำปาง!"&amp;"i107"")+IMPORTRANGE(""https://docs.google.com/spreadsheets/d/1-uUXvimVhiU2U0bMN-xi2te0tS4X7DI2GLPnMjzl8cA/edit?usp=share_link"",""ลำพูน!i107"")+IMPORTRANGE(""https://docs.google.com/spreadsheets/d/17HrOaa5pBUI1onckFfumXB8xlg35qb2uBAFfF1D-Myo/edit?usp=shar"&amp;"e_link"",""สุโขทัย!i107"")+IMPORTRANGE(""https://docs.google.com/spreadsheets/d/1ubs5cl16eYL9gHbdHTJtmtYb9MGzHBs7CAphn8kNCgM/edit?usp=share_link"",""อุตรดิตถ์!i107"")+IMPORTRANGE(""https://docs.google.com/spreadsheets/d/1kII0BjS6CtVrBvI8IrytgPdxDrlyQDyigz"&amp;"MsohRtDMs/edit?usp=share_link"",""อุทัยธานี!i107"")
"),14)</f>
        <v>14</v>
      </c>
      <c r="J107" s="183">
        <f ca="1">IFERROR(__xludf.DUMMYFUNCTION("IMPORTRANGE(""https://docs.google.com/spreadsheets/d/1KxicF4apzSqm0-jIpmueT4kyZtE-Cwn5zskl7GD4loQ/edit?usp=share_link"",""กำแพงเพชร!J107"")+IMPORTRANGE(""https://docs.google.com/spreadsheets/d/1ZNYWeiFoFA1K1U4xKWqRX29MBvEyRHXORjo734Gnq_c/edit?usp=share_li"&amp;"nk"",""เชียงราย!J107"")
+IMPORTRANGE(""https://docs.google.com/spreadsheets/d/1Jgv0Y7YlHDtsiDawwp-uvifEJ8HVaSn0k2aGHG8-hwM/edit?usp=share_link"",""เชียงใหม่!J107"")+IMPORTRANGE(""https://docs.google.com/spreadsheets/d/1JWG2rZePOz9pe-f-ObA-yDr0VoOX2kSb0qIi"&amp;"x2mTUo8/edit?usp=share_link"",""ตาก!J107"")+IMPORTRANGE(""https://docs.google.com/spreadsheets/d/10nSRjK08hx8Y6HgSOQKNw81lyY46Zc7U_Cj72hBMp9U/edit?usp=share_link"",""นครสวรรค์!J107"")+IMPORTRANGE(""https://docs.google.com/spreadsheets/d/1gFVb7qd7amutrIxAA"&amp;"oM7lcy35hllxznovot8lyOfvDo/edit?usp=share_link"",""น่าน!J107"")+IMPORTRANGE(""https://docs.google.com/spreadsheets/d/1K0Aa9s-6EuHE5M0FG1F9aHLXRCOV917xvycTdLdct0w/edit?usp=share_link"",""พะเยา!J107"")+IMPORTRANGE(""https://docs.google.com/spreadsheets/d/1Y"&amp;"9LPKx95PyL5OKy09d-KbKJSuuEZCFdkhYjwC0XQjBA/edit?usp=share_link"",""พิจิตร!J107"")+IMPORTRANGE(""https://docs.google.com/spreadsheets/d/16OMuOwy2eVqZcYWOouQtTpa8X1L23h4660uVHc0C8os/edit?usp=share_link"",""พิษณุโลก!J107"")+IMPORTRANGE(""https://docs.google."&amp;"com/spreadsheets/d/1GfgTldLG6k77HXaMQzaafODklYuucJZQNs_GAPEfZyY/edit?usp=share_link"",""เพชรบูรณ์!J107"")+IMPORTRANGE(""https://docs.google.com/spreadsheets/d/1gvTMYAnm7v1yG1BKWFtr0DnaTsq59oW9dwWvFgq6hs0/edit?usp=share_link"",""แพร่!J107"")+IMPORTRANGE("""&amp;"https://docs.google.com/spreadsheets/d/1Wbcosgy-Xa1xXUArJSOenub6EfZHUSzc_bpJFWwQUf0/edit?usp=share_link"",""แม่ฮ่องสอน!J107"")+IMPORTRANGE(""https://docs.google.com/spreadsheets/d/1p7ERhsr0qZeSn-KSOdeHS9r0heI-lHtkcn2OH7hP0jQ/edit?usp=share_link"",""ลำปาง!"&amp;"J107"")+IMPORTRANGE(""https://docs.google.com/spreadsheets/d/1-uUXvimVhiU2U0bMN-xi2te0tS4X7DI2GLPnMjzl8cA/edit?usp=share_link"",""ลำพูน!J107"")+IMPORTRANGE(""https://docs.google.com/spreadsheets/d/17HrOaa5pBUI1onckFfumXB8xlg35qb2uBAFfF1D-Myo/edit?usp=shar"&amp;"e_link"",""สุโขทัย!J107"")+IMPORTRANGE(""https://docs.google.com/spreadsheets/d/1ubs5cl16eYL9gHbdHTJtmtYb9MGzHBs7CAphn8kNCgM/edit?usp=share_link"",""อุตรดิตถ์!J107"")+IMPORTRANGE(""https://docs.google.com/spreadsheets/d/1kII0BjS6CtVrBvI8IrytgPdxDrlyQDyigz"&amp;"MsohRtDMs/edit?usp=share_link"",""อุทัยธานี!J107"")
"),5)</f>
        <v>5</v>
      </c>
      <c r="K107" s="38">
        <f t="shared" ca="1" si="74"/>
        <v>35.714285714285715</v>
      </c>
      <c r="L107" s="38"/>
      <c r="M107" s="38"/>
      <c r="N107" s="38"/>
      <c r="O107" s="163"/>
      <c r="P107" s="163"/>
    </row>
    <row r="108" spans="1:16" ht="19.5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19.5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KxicF4apzSqm0-jIpmueT4kyZtE-Cwn5zskl7GD4loQ/edit?usp=share_link"",""กำแพงเพชร!i109"")+IMPORTRANGE(""https://docs.google.com/spreadsheets/d/1ZNYWeiFoFA1K1U4xKWqRX29MBvEyRHXORjo734Gnq_c/edit?usp=share_li"&amp;"nk"",""เชียงราย!i109"")
+IMPORTRANGE(""https://docs.google.com/spreadsheets/d/1Jgv0Y7YlHDtsiDawwp-uvifEJ8HVaSn0k2aGHG8-hwM/edit?usp=share_link"",""เชียงใหม่!i109"")+IMPORTRANGE(""https://docs.google.com/spreadsheets/d/1JWG2rZePOz9pe-f-ObA-yDr0VoOX2kSb0qIi"&amp;"x2mTUo8/edit?usp=share_link"",""ตาก!i109"")+IMPORTRANGE(""https://docs.google.com/spreadsheets/d/10nSRjK08hx8Y6HgSOQKNw81lyY46Zc7U_Cj72hBMp9U/edit?usp=share_link"",""นครสวรรค์!i109"")+IMPORTRANGE(""https://docs.google.com/spreadsheets/d/1gFVb7qd7amutrIxAA"&amp;"oM7lcy35hllxznovot8lyOfvDo/edit?usp=share_link"",""น่าน!i109"")+IMPORTRANGE(""https://docs.google.com/spreadsheets/d/1K0Aa9s-6EuHE5M0FG1F9aHLXRCOV917xvycTdLdct0w/edit?usp=share_link"",""พะเยา!i109"")+IMPORTRANGE(""https://docs.google.com/spreadsheets/d/1Y"&amp;"9LPKx95PyL5OKy09d-KbKJSuuEZCFdkhYjwC0XQjBA/edit?usp=share_link"",""พิจิตร!i109"")+IMPORTRANGE(""https://docs.google.com/spreadsheets/d/16OMuOwy2eVqZcYWOouQtTpa8X1L23h4660uVHc0C8os/edit?usp=share_link"",""พิษณุโลก!i109"")+IMPORTRANGE(""https://docs.google."&amp;"com/spreadsheets/d/1GfgTldLG6k77HXaMQzaafODklYuucJZQNs_GAPEfZyY/edit?usp=share_link"",""เพชรบูรณ์!i109"")+IMPORTRANGE(""https://docs.google.com/spreadsheets/d/1gvTMYAnm7v1yG1BKWFtr0DnaTsq59oW9dwWvFgq6hs0/edit?usp=share_link"",""แพร่!i109"")+IMPORTRANGE("""&amp;"https://docs.google.com/spreadsheets/d/1Wbcosgy-Xa1xXUArJSOenub6EfZHUSzc_bpJFWwQUf0/edit?usp=share_link"",""แม่ฮ่องสอน!i109"")+IMPORTRANGE(""https://docs.google.com/spreadsheets/d/1p7ERhsr0qZeSn-KSOdeHS9r0heI-lHtkcn2OH7hP0jQ/edit?usp=share_link"",""ลำปาง!"&amp;"i109"")+IMPORTRANGE(""https://docs.google.com/spreadsheets/d/1-uUXvimVhiU2U0bMN-xi2te0tS4X7DI2GLPnMjzl8cA/edit?usp=share_link"",""ลำพูน!i109"")+IMPORTRANGE(""https://docs.google.com/spreadsheets/d/17HrOaa5pBUI1onckFfumXB8xlg35qb2uBAFfF1D-Myo/edit?usp=shar"&amp;"e_link"",""สุโขทัย!i109"")+IMPORTRANGE(""https://docs.google.com/spreadsheets/d/1ubs5cl16eYL9gHbdHTJtmtYb9MGzHBs7CAphn8kNCgM/edit?usp=share_link"",""อุตรดิตถ์!i109"")+IMPORTRANGE(""https://docs.google.com/spreadsheets/d/1kII0BjS6CtVrBvI8IrytgPdxDrlyQDyigz"&amp;"MsohRtDMs/edit?usp=share_link"",""อุทัยธานี!i109"")
"),16)</f>
        <v>16</v>
      </c>
      <c r="J109" s="183">
        <f ca="1">IFERROR(__xludf.DUMMYFUNCTION("IMPORTRANGE(""https://docs.google.com/spreadsheets/d/1KxicF4apzSqm0-jIpmueT4kyZtE-Cwn5zskl7GD4loQ/edit?usp=share_link"",""กำแพงเพชร!J109"")+IMPORTRANGE(""https://docs.google.com/spreadsheets/d/1ZNYWeiFoFA1K1U4xKWqRX29MBvEyRHXORjo734Gnq_c/edit?usp=share_li"&amp;"nk"",""เชียงราย!J109"")
+IMPORTRANGE(""https://docs.google.com/spreadsheets/d/1Jgv0Y7YlHDtsiDawwp-uvifEJ8HVaSn0k2aGHG8-hwM/edit?usp=share_link"",""เชียงใหม่!J109"")+IMPORTRANGE(""https://docs.google.com/spreadsheets/d/1JWG2rZePOz9pe-f-ObA-yDr0VoOX2kSb0qIi"&amp;"x2mTUo8/edit?usp=share_link"",""ตาก!J109"")+IMPORTRANGE(""https://docs.google.com/spreadsheets/d/10nSRjK08hx8Y6HgSOQKNw81lyY46Zc7U_Cj72hBMp9U/edit?usp=share_link"",""นครสวรรค์!J109"")+IMPORTRANGE(""https://docs.google.com/spreadsheets/d/1gFVb7qd7amutrIxAA"&amp;"oM7lcy35hllxznovot8lyOfvDo/edit?usp=share_link"",""น่าน!J109"")+IMPORTRANGE(""https://docs.google.com/spreadsheets/d/1K0Aa9s-6EuHE5M0FG1F9aHLXRCOV917xvycTdLdct0w/edit?usp=share_link"",""พะเยา!J109"")+IMPORTRANGE(""https://docs.google.com/spreadsheets/d/1Y"&amp;"9LPKx95PyL5OKy09d-KbKJSuuEZCFdkhYjwC0XQjBA/edit?usp=share_link"",""พิจิตร!J109"")+IMPORTRANGE(""https://docs.google.com/spreadsheets/d/16OMuOwy2eVqZcYWOouQtTpa8X1L23h4660uVHc0C8os/edit?usp=share_link"",""พิษณุโลก!J109"")+IMPORTRANGE(""https://docs.google."&amp;"com/spreadsheets/d/1GfgTldLG6k77HXaMQzaafODklYuucJZQNs_GAPEfZyY/edit?usp=share_link"",""เพชรบูรณ์!J109"")+IMPORTRANGE(""https://docs.google.com/spreadsheets/d/1gvTMYAnm7v1yG1BKWFtr0DnaTsq59oW9dwWvFgq6hs0/edit?usp=share_link"",""แพร่!J109"")+IMPORTRANGE("""&amp;"https://docs.google.com/spreadsheets/d/1Wbcosgy-Xa1xXUArJSOenub6EfZHUSzc_bpJFWwQUf0/edit?usp=share_link"",""แม่ฮ่องสอน!J109"")+IMPORTRANGE(""https://docs.google.com/spreadsheets/d/1p7ERhsr0qZeSn-KSOdeHS9r0heI-lHtkcn2OH7hP0jQ/edit?usp=share_link"",""ลำปาง!"&amp;"J109"")+IMPORTRANGE(""https://docs.google.com/spreadsheets/d/1-uUXvimVhiU2U0bMN-xi2te0tS4X7DI2GLPnMjzl8cA/edit?usp=share_link"",""ลำพูน!J109"")+IMPORTRANGE(""https://docs.google.com/spreadsheets/d/17HrOaa5pBUI1onckFfumXB8xlg35qb2uBAFfF1D-Myo/edit?usp=shar"&amp;"e_link"",""สุโขทัย!J109"")+IMPORTRANGE(""https://docs.google.com/spreadsheets/d/1ubs5cl16eYL9gHbdHTJtmtYb9MGzHBs7CAphn8kNCgM/edit?usp=share_link"",""อุตรดิตถ์!J109"")+IMPORTRANGE(""https://docs.google.com/spreadsheets/d/1kII0BjS6CtVrBvI8IrytgPdxDrlyQDyigz"&amp;"MsohRtDMs/edit?usp=share_link"",""อุทัยธานี!J109"")
"),5)</f>
        <v>5</v>
      </c>
      <c r="K109" s="38">
        <f t="shared" ref="K109:K116" ca="1" si="75">IF(I109&gt;0,J109*100/I109,0)</f>
        <v>31.25</v>
      </c>
      <c r="L109" s="38"/>
      <c r="M109" s="38"/>
      <c r="N109" s="3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KxicF4apzSqm0-jIpmueT4kyZtE-Cwn5zskl7GD4loQ/edit?usp=share_link"",""กำแพงเพชร!i110"")+IMPORTRANGE(""https://docs.google.com/spreadsheets/d/1ZNYWeiFoFA1K1U4xKWqRX29MBvEyRHXORjo734Gnq_c/edit?usp=share_li"&amp;"nk"",""เชียงราย!i110"")
+IMPORTRANGE(""https://docs.google.com/spreadsheets/d/1Jgv0Y7YlHDtsiDawwp-uvifEJ8HVaSn0k2aGHG8-hwM/edit?usp=share_link"",""เชียงใหม่!i110"")+IMPORTRANGE(""https://docs.google.com/spreadsheets/d/1JWG2rZePOz9pe-f-ObA-yDr0VoOX2kSb0qIi"&amp;"x2mTUo8/edit?usp=share_link"",""ตาก!i110"")+IMPORTRANGE(""https://docs.google.com/spreadsheets/d/10nSRjK08hx8Y6HgSOQKNw81lyY46Zc7U_Cj72hBMp9U/edit?usp=share_link"",""นครสวรรค์!i110"")+IMPORTRANGE(""https://docs.google.com/spreadsheets/d/1gFVb7qd7amutrIxAA"&amp;"oM7lcy35hllxznovot8lyOfvDo/edit?usp=share_link"",""น่าน!i110"")+IMPORTRANGE(""https://docs.google.com/spreadsheets/d/1K0Aa9s-6EuHE5M0FG1F9aHLXRCOV917xvycTdLdct0w/edit?usp=share_link"",""พะเยา!i110"")+IMPORTRANGE(""https://docs.google.com/spreadsheets/d/1Y"&amp;"9LPKx95PyL5OKy09d-KbKJSuuEZCFdkhYjwC0XQjBA/edit?usp=share_link"",""พิจิตร!i110"")+IMPORTRANGE(""https://docs.google.com/spreadsheets/d/16OMuOwy2eVqZcYWOouQtTpa8X1L23h4660uVHc0C8os/edit?usp=share_link"",""พิษณุโลก!i110"")+IMPORTRANGE(""https://docs.google."&amp;"com/spreadsheets/d/1GfgTldLG6k77HXaMQzaafODklYuucJZQNs_GAPEfZyY/edit?usp=share_link"",""เพชรบูรณ์!i110"")+IMPORTRANGE(""https://docs.google.com/spreadsheets/d/1gvTMYAnm7v1yG1BKWFtr0DnaTsq59oW9dwWvFgq6hs0/edit?usp=share_link"",""แพร่!i110"")+IMPORTRANGE("""&amp;"https://docs.google.com/spreadsheets/d/1Wbcosgy-Xa1xXUArJSOenub6EfZHUSzc_bpJFWwQUf0/edit?usp=share_link"",""แม่ฮ่องสอน!i110"")+IMPORTRANGE(""https://docs.google.com/spreadsheets/d/1p7ERhsr0qZeSn-KSOdeHS9r0heI-lHtkcn2OH7hP0jQ/edit?usp=share_link"",""ลำปาง!"&amp;"i110"")+IMPORTRANGE(""https://docs.google.com/spreadsheets/d/1-uUXvimVhiU2U0bMN-xi2te0tS4X7DI2GLPnMjzl8cA/edit?usp=share_link"",""ลำพูน!i110"")+IMPORTRANGE(""https://docs.google.com/spreadsheets/d/17HrOaa5pBUI1onckFfumXB8xlg35qb2uBAFfF1D-Myo/edit?usp=shar"&amp;"e_link"",""สุโขทัย!i110"")+IMPORTRANGE(""https://docs.google.com/spreadsheets/d/1ubs5cl16eYL9gHbdHTJtmtYb9MGzHBs7CAphn8kNCgM/edit?usp=share_link"",""อุตรดิตถ์!i110"")+IMPORTRANGE(""https://docs.google.com/spreadsheets/d/1kII0BjS6CtVrBvI8IrytgPdxDrlyQDyigz"&amp;"MsohRtDMs/edit?usp=share_link"",""อุทัยธานี!i110"")
"),16)</f>
        <v>16</v>
      </c>
      <c r="J110" s="183">
        <f ca="1">IFERROR(__xludf.DUMMYFUNCTION("IMPORTRANGE(""https://docs.google.com/spreadsheets/d/1KxicF4apzSqm0-jIpmueT4kyZtE-Cwn5zskl7GD4loQ/edit?usp=share_link"",""กำแพงเพชร!J110"")+IMPORTRANGE(""https://docs.google.com/spreadsheets/d/1ZNYWeiFoFA1K1U4xKWqRX29MBvEyRHXORjo734Gnq_c/edit?usp=share_li"&amp;"nk"",""เชียงราย!J110"")
+IMPORTRANGE(""https://docs.google.com/spreadsheets/d/1Jgv0Y7YlHDtsiDawwp-uvifEJ8HVaSn0k2aGHG8-hwM/edit?usp=share_link"",""เชียงใหม่!J110"")+IMPORTRANGE(""https://docs.google.com/spreadsheets/d/1JWG2rZePOz9pe-f-ObA-yDr0VoOX2kSb0qIi"&amp;"x2mTUo8/edit?usp=share_link"",""ตาก!J110"")+IMPORTRANGE(""https://docs.google.com/spreadsheets/d/10nSRjK08hx8Y6HgSOQKNw81lyY46Zc7U_Cj72hBMp9U/edit?usp=share_link"",""นครสวรรค์!J110"")+IMPORTRANGE(""https://docs.google.com/spreadsheets/d/1gFVb7qd7amutrIxAA"&amp;"oM7lcy35hllxznovot8lyOfvDo/edit?usp=share_link"",""น่าน!J110"")+IMPORTRANGE(""https://docs.google.com/spreadsheets/d/1K0Aa9s-6EuHE5M0FG1F9aHLXRCOV917xvycTdLdct0w/edit?usp=share_link"",""พะเยา!J110"")+IMPORTRANGE(""https://docs.google.com/spreadsheets/d/1Y"&amp;"9LPKx95PyL5OKy09d-KbKJSuuEZCFdkhYjwC0XQjBA/edit?usp=share_link"",""พิจิตร!J110"")+IMPORTRANGE(""https://docs.google.com/spreadsheets/d/16OMuOwy2eVqZcYWOouQtTpa8X1L23h4660uVHc0C8os/edit?usp=share_link"",""พิษณุโลก!J110"")+IMPORTRANGE(""https://docs.google."&amp;"com/spreadsheets/d/1GfgTldLG6k77HXaMQzaafODklYuucJZQNs_GAPEfZyY/edit?usp=share_link"",""เพชรบูรณ์!J110"")+IMPORTRANGE(""https://docs.google.com/spreadsheets/d/1gvTMYAnm7v1yG1BKWFtr0DnaTsq59oW9dwWvFgq6hs0/edit?usp=share_link"",""แพร่!J110"")+IMPORTRANGE("""&amp;"https://docs.google.com/spreadsheets/d/1Wbcosgy-Xa1xXUArJSOenub6EfZHUSzc_bpJFWwQUf0/edit?usp=share_link"",""แม่ฮ่องสอน!J110"")+IMPORTRANGE(""https://docs.google.com/spreadsheets/d/1p7ERhsr0qZeSn-KSOdeHS9r0heI-lHtkcn2OH7hP0jQ/edit?usp=share_link"",""ลำปาง!"&amp;"J110"")+IMPORTRANGE(""https://docs.google.com/spreadsheets/d/1-uUXvimVhiU2U0bMN-xi2te0tS4X7DI2GLPnMjzl8cA/edit?usp=share_link"",""ลำพูน!J110"")+IMPORTRANGE(""https://docs.google.com/spreadsheets/d/17HrOaa5pBUI1onckFfumXB8xlg35qb2uBAFfF1D-Myo/edit?usp=shar"&amp;"e_link"",""สุโขทัย!J110"")+IMPORTRANGE(""https://docs.google.com/spreadsheets/d/1ubs5cl16eYL9gHbdHTJtmtYb9MGzHBs7CAphn8kNCgM/edit?usp=share_link"",""อุตรดิตถ์!J110"")+IMPORTRANGE(""https://docs.google.com/spreadsheets/d/1kII0BjS6CtVrBvI8IrytgPdxDrlyQDyigz"&amp;"MsohRtDMs/edit?usp=share_link"",""อุทัยธานี!J110"")
"),3)</f>
        <v>3</v>
      </c>
      <c r="K110" s="38">
        <f t="shared" ca="1" si="75"/>
        <v>18.75</v>
      </c>
      <c r="L110" s="38"/>
      <c r="M110" s="38"/>
      <c r="N110" s="38"/>
      <c r="O110" s="163"/>
      <c r="P110" s="163"/>
    </row>
    <row r="111" spans="1:16" ht="19.5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KxicF4apzSqm0-jIpmueT4kyZtE-Cwn5zskl7GD4loQ/edit?usp=share_link"",""กำแพงเพชร!i111"")+IMPORTRANGE(""https://docs.google.com/spreadsheets/d/1ZNYWeiFoFA1K1U4xKWqRX29MBvEyRHXORjo734Gnq_c/edit?usp=share_li"&amp;"nk"",""เชียงราย!i111"")
+IMPORTRANGE(""https://docs.google.com/spreadsheets/d/1Jgv0Y7YlHDtsiDawwp-uvifEJ8HVaSn0k2aGHG8-hwM/edit?usp=share_link"",""เชียงใหม่!i111"")+IMPORTRANGE(""https://docs.google.com/spreadsheets/d/1JWG2rZePOz9pe-f-ObA-yDr0VoOX2kSb0qIi"&amp;"x2mTUo8/edit?usp=share_link"",""ตาก!i111"")+IMPORTRANGE(""https://docs.google.com/spreadsheets/d/10nSRjK08hx8Y6HgSOQKNw81lyY46Zc7U_Cj72hBMp9U/edit?usp=share_link"",""นครสวรรค์!i111"")+IMPORTRANGE(""https://docs.google.com/spreadsheets/d/1gFVb7qd7amutrIxAA"&amp;"oM7lcy35hllxznovot8lyOfvDo/edit?usp=share_link"",""น่าน!i111"")+IMPORTRANGE(""https://docs.google.com/spreadsheets/d/1K0Aa9s-6EuHE5M0FG1F9aHLXRCOV917xvycTdLdct0w/edit?usp=share_link"",""พะเยา!i111"")+IMPORTRANGE(""https://docs.google.com/spreadsheets/d/1Y"&amp;"9LPKx95PyL5OKy09d-KbKJSuuEZCFdkhYjwC0XQjBA/edit?usp=share_link"",""พิจิตร!i111"")+IMPORTRANGE(""https://docs.google.com/spreadsheets/d/16OMuOwy2eVqZcYWOouQtTpa8X1L23h4660uVHc0C8os/edit?usp=share_link"",""พิษณุโลก!i111"")+IMPORTRANGE(""https://docs.google."&amp;"com/spreadsheets/d/1GfgTldLG6k77HXaMQzaafODklYuucJZQNs_GAPEfZyY/edit?usp=share_link"",""เพชรบูรณ์!i111"")+IMPORTRANGE(""https://docs.google.com/spreadsheets/d/1gvTMYAnm7v1yG1BKWFtr0DnaTsq59oW9dwWvFgq6hs0/edit?usp=share_link"",""แพร่!i111"")+IMPORTRANGE("""&amp;"https://docs.google.com/spreadsheets/d/1Wbcosgy-Xa1xXUArJSOenub6EfZHUSzc_bpJFWwQUf0/edit?usp=share_link"",""แม่ฮ่องสอน!i111"")+IMPORTRANGE(""https://docs.google.com/spreadsheets/d/1p7ERhsr0qZeSn-KSOdeHS9r0heI-lHtkcn2OH7hP0jQ/edit?usp=share_link"",""ลำปาง!"&amp;"i111"")+IMPORTRANGE(""https://docs.google.com/spreadsheets/d/1-uUXvimVhiU2U0bMN-xi2te0tS4X7DI2GLPnMjzl8cA/edit?usp=share_link"",""ลำพูน!i111"")+IMPORTRANGE(""https://docs.google.com/spreadsheets/d/17HrOaa5pBUI1onckFfumXB8xlg35qb2uBAFfF1D-Myo/edit?usp=shar"&amp;"e_link"",""สุโขทัย!i111"")+IMPORTRANGE(""https://docs.google.com/spreadsheets/d/1ubs5cl16eYL9gHbdHTJtmtYb9MGzHBs7CAphn8kNCgM/edit?usp=share_link"",""อุตรดิตถ์!i111"")+IMPORTRANGE(""https://docs.google.com/spreadsheets/d/1kII0BjS6CtVrBvI8IrytgPdxDrlyQDyigz"&amp;"MsohRtDMs/edit?usp=share_link"",""อุทัยธานี!i111"")
"),325)</f>
        <v>325</v>
      </c>
      <c r="J111" s="194">
        <f ca="1">J114</f>
        <v>30</v>
      </c>
      <c r="K111" s="195">
        <f t="shared" ca="1" si="75"/>
        <v>9.2307692307692299</v>
      </c>
      <c r="L111" s="38"/>
      <c r="M111" s="38"/>
      <c r="N111" s="3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6">I115+I116</f>
        <v>30</v>
      </c>
      <c r="J112" s="194">
        <f t="shared" ca="1" si="76"/>
        <v>0</v>
      </c>
      <c r="K112" s="195">
        <f t="shared" ca="1" si="75"/>
        <v>0</v>
      </c>
      <c r="L112" s="38"/>
      <c r="M112" s="38"/>
      <c r="N112" s="38"/>
      <c r="O112" s="163"/>
      <c r="P112" s="163"/>
    </row>
    <row r="113" spans="1:26" ht="19.5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KxicF4apzSqm0-jIpmueT4kyZtE-Cwn5zskl7GD4loQ/edit?usp=share_link"",""กำแพงเพชร!i113"")+IMPORTRANGE(""https://docs.google.com/spreadsheets/d/1ZNYWeiFoFA1K1U4xKWqRX29MBvEyRHXORjo734Gnq_c/edit?usp=share_li"&amp;"nk"",""เชียงราย!i113"")
+IMPORTRANGE(""https://docs.google.com/spreadsheets/d/1Jgv0Y7YlHDtsiDawwp-uvifEJ8HVaSn0k2aGHG8-hwM/edit?usp=share_link"",""เชียงใหม่!i113"")+IMPORTRANGE(""https://docs.google.com/spreadsheets/d/1JWG2rZePOz9pe-f-ObA-yDr0VoOX2kSb0qIi"&amp;"x2mTUo8/edit?usp=share_link"",""ตาก!i113"")+IMPORTRANGE(""https://docs.google.com/spreadsheets/d/10nSRjK08hx8Y6HgSOQKNw81lyY46Zc7U_Cj72hBMp9U/edit?usp=share_link"",""นครสวรรค์!i113"")+IMPORTRANGE(""https://docs.google.com/spreadsheets/d/1gFVb7qd7amutrIxAA"&amp;"oM7lcy35hllxznovot8lyOfvDo/edit?usp=share_link"",""น่าน!i113"")+IMPORTRANGE(""https://docs.google.com/spreadsheets/d/1K0Aa9s-6EuHE5M0FG1F9aHLXRCOV917xvycTdLdct0w/edit?usp=share_link"",""พะเยา!i113"")+IMPORTRANGE(""https://docs.google.com/spreadsheets/d/1Y"&amp;"9LPKx95PyL5OKy09d-KbKJSuuEZCFdkhYjwC0XQjBA/edit?usp=share_link"",""พิจิตร!i113"")+IMPORTRANGE(""https://docs.google.com/spreadsheets/d/16OMuOwy2eVqZcYWOouQtTpa8X1L23h4660uVHc0C8os/edit?usp=share_link"",""พิษณุโลก!i113"")+IMPORTRANGE(""https://docs.google."&amp;"com/spreadsheets/d/1GfgTldLG6k77HXaMQzaafODklYuucJZQNs_GAPEfZyY/edit?usp=share_link"",""เพชรบูรณ์!i113"")+IMPORTRANGE(""https://docs.google.com/spreadsheets/d/1gvTMYAnm7v1yG1BKWFtr0DnaTsq59oW9dwWvFgq6hs0/edit?usp=share_link"",""แพร่!i113"")+IMPORTRANGE("""&amp;"https://docs.google.com/spreadsheets/d/1Wbcosgy-Xa1xXUArJSOenub6EfZHUSzc_bpJFWwQUf0/edit?usp=share_link"",""แม่ฮ่องสอน!i113"")+IMPORTRANGE(""https://docs.google.com/spreadsheets/d/1p7ERhsr0qZeSn-KSOdeHS9r0heI-lHtkcn2OH7hP0jQ/edit?usp=share_link"",""ลำปาง!"&amp;"i113"")+IMPORTRANGE(""https://docs.google.com/spreadsheets/d/1-uUXvimVhiU2U0bMN-xi2te0tS4X7DI2GLPnMjzl8cA/edit?usp=share_link"",""ลำพูน!i113"")+IMPORTRANGE(""https://docs.google.com/spreadsheets/d/17HrOaa5pBUI1onckFfumXB8xlg35qb2uBAFfF1D-Myo/edit?usp=shar"&amp;"e_link"",""สุโขทัย!i113"")+IMPORTRANGE(""https://docs.google.com/spreadsheets/d/1ubs5cl16eYL9gHbdHTJtmtYb9MGzHBs7CAphn8kNCgM/edit?usp=share_link"",""อุตรดิตถ์!i113"")+IMPORTRANGE(""https://docs.google.com/spreadsheets/d/1kII0BjS6CtVrBvI8IrytgPdxDrlyQDyigz"&amp;"MsohRtDMs/edit?usp=share_link"",""อุทัยธานี!i113"")
"),325)</f>
        <v>325</v>
      </c>
      <c r="J113" s="183">
        <f ca="1">IFERROR(__xludf.DUMMYFUNCTION("IMPORTRANGE(""https://docs.google.com/spreadsheets/d/1KxicF4apzSqm0-jIpmueT4kyZtE-Cwn5zskl7GD4loQ/edit?usp=share_link"",""กำแพงเพชร!J113"")+IMPORTRANGE(""https://docs.google.com/spreadsheets/d/1ZNYWeiFoFA1K1U4xKWqRX29MBvEyRHXORjo734Gnq_c/edit?usp=share_li"&amp;"nk"",""เชียงราย!J113"")
+IMPORTRANGE(""https://docs.google.com/spreadsheets/d/1Jgv0Y7YlHDtsiDawwp-uvifEJ8HVaSn0k2aGHG8-hwM/edit?usp=share_link"",""เชียงใหม่!J113"")+IMPORTRANGE(""https://docs.google.com/spreadsheets/d/1JWG2rZePOz9pe-f-ObA-yDr0VoOX2kSb0qIi"&amp;"x2mTUo8/edit?usp=share_link"",""ตาก!J113"")+IMPORTRANGE(""https://docs.google.com/spreadsheets/d/10nSRjK08hx8Y6HgSOQKNw81lyY46Zc7U_Cj72hBMp9U/edit?usp=share_link"",""นครสวรรค์!J113"")+IMPORTRANGE(""https://docs.google.com/spreadsheets/d/1gFVb7qd7amutrIxAA"&amp;"oM7lcy35hllxznovot8lyOfvDo/edit?usp=share_link"",""น่าน!J113"")+IMPORTRANGE(""https://docs.google.com/spreadsheets/d/1K0Aa9s-6EuHE5M0FG1F9aHLXRCOV917xvycTdLdct0w/edit?usp=share_link"",""พะเยา!J113"")+IMPORTRANGE(""https://docs.google.com/spreadsheets/d/1Y"&amp;"9LPKx95PyL5OKy09d-KbKJSuuEZCFdkhYjwC0XQjBA/edit?usp=share_link"",""พิจิตร!J113"")+IMPORTRANGE(""https://docs.google.com/spreadsheets/d/16OMuOwy2eVqZcYWOouQtTpa8X1L23h4660uVHc0C8os/edit?usp=share_link"",""พิษณุโลก!J113"")+IMPORTRANGE(""https://docs.google."&amp;"com/spreadsheets/d/1GfgTldLG6k77HXaMQzaafODklYuucJZQNs_GAPEfZyY/edit?usp=share_link"",""เพชรบูรณ์!J113"")+IMPORTRANGE(""https://docs.google.com/spreadsheets/d/1gvTMYAnm7v1yG1BKWFtr0DnaTsq59oW9dwWvFgq6hs0/edit?usp=share_link"",""แพร่!J113"")+IMPORTRANGE("""&amp;"https://docs.google.com/spreadsheets/d/1Wbcosgy-Xa1xXUArJSOenub6EfZHUSzc_bpJFWwQUf0/edit?usp=share_link"",""แม่ฮ่องสอน!J113"")+IMPORTRANGE(""https://docs.google.com/spreadsheets/d/1p7ERhsr0qZeSn-KSOdeHS9r0heI-lHtkcn2OH7hP0jQ/edit?usp=share_link"",""ลำปาง!"&amp;"J113"")+IMPORTRANGE(""https://docs.google.com/spreadsheets/d/1-uUXvimVhiU2U0bMN-xi2te0tS4X7DI2GLPnMjzl8cA/edit?usp=share_link"",""ลำพูน!J113"")+IMPORTRANGE(""https://docs.google.com/spreadsheets/d/17HrOaa5pBUI1onckFfumXB8xlg35qb2uBAFfF1D-Myo/edit?usp=shar"&amp;"e_link"",""สุโขทัย!J113"")+IMPORTRANGE(""https://docs.google.com/spreadsheets/d/1ubs5cl16eYL9gHbdHTJtmtYb9MGzHBs7CAphn8kNCgM/edit?usp=share_link"",""อุตรดิตถ์!J113"")+IMPORTRANGE(""https://docs.google.com/spreadsheets/d/1kII0BjS6CtVrBvI8IrytgPdxDrlyQDyigz"&amp;"MsohRtDMs/edit?usp=share_link"",""อุทัยธานี!J113"")
"),30)</f>
        <v>30</v>
      </c>
      <c r="K113" s="38">
        <f t="shared" ca="1" si="75"/>
        <v>9.2307692307692299</v>
      </c>
      <c r="L113" s="38"/>
      <c r="M113" s="38"/>
      <c r="N113" s="38"/>
      <c r="O113" s="163"/>
      <c r="P113" s="163"/>
    </row>
    <row r="114" spans="1:26" ht="19.5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114" s="183">
        <f ca="1">IFERROR(__xludf.DUMMYFUNCTION("IMPORTRANGE(""https://docs.google.com/spreadsheets/d/1KxicF4apzSqm0-jIpmueT4kyZtE-Cwn5zskl7GD4loQ/edit?usp=share_link"",""กำแพงเพชร!J114"")+IMPORTRANGE(""https://docs.google.com/spreadsheets/d/1ZNYWeiFoFA1K1U4xKWqRX29MBvEyRHXORjo734Gnq_c/edit?usp=share_li"&amp;"nk"",""เชียงราย!J114"")
+IMPORTRANGE(""https://docs.google.com/spreadsheets/d/1Jgv0Y7YlHDtsiDawwp-uvifEJ8HVaSn0k2aGHG8-hwM/edit?usp=share_link"",""เชียงใหม่!J114"")+IMPORTRANGE(""https://docs.google.com/spreadsheets/d/1JWG2rZePOz9pe-f-ObA-yDr0VoOX2kSb0qIi"&amp;"x2mTUo8/edit?usp=share_link"",""ตาก!J114"")+IMPORTRANGE(""https://docs.google.com/spreadsheets/d/10nSRjK08hx8Y6HgSOQKNw81lyY46Zc7U_Cj72hBMp9U/edit?usp=share_link"",""นครสวรรค์!J114"")+IMPORTRANGE(""https://docs.google.com/spreadsheets/d/1gFVb7qd7amutrIxAA"&amp;"oM7lcy35hllxznovot8lyOfvDo/edit?usp=share_link"",""น่าน!J114"")+IMPORTRANGE(""https://docs.google.com/spreadsheets/d/1K0Aa9s-6EuHE5M0FG1F9aHLXRCOV917xvycTdLdct0w/edit?usp=share_link"",""พะเยา!J114"")+IMPORTRANGE(""https://docs.google.com/spreadsheets/d/1Y"&amp;"9LPKx95PyL5OKy09d-KbKJSuuEZCFdkhYjwC0XQjBA/edit?usp=share_link"",""พิจิตร!J114"")+IMPORTRANGE(""https://docs.google.com/spreadsheets/d/16OMuOwy2eVqZcYWOouQtTpa8X1L23h4660uVHc0C8os/edit?usp=share_link"",""พิษณุโลก!J114"")+IMPORTRANGE(""https://docs.google."&amp;"com/spreadsheets/d/1GfgTldLG6k77HXaMQzaafODklYuucJZQNs_GAPEfZyY/edit?usp=share_link"",""เพชรบูรณ์!J114"")+IMPORTRANGE(""https://docs.google.com/spreadsheets/d/1gvTMYAnm7v1yG1BKWFtr0DnaTsq59oW9dwWvFgq6hs0/edit?usp=share_link"",""แพร่!J114"")+IMPORTRANGE("""&amp;"https://docs.google.com/spreadsheets/d/1Wbcosgy-Xa1xXUArJSOenub6EfZHUSzc_bpJFWwQUf0/edit?usp=share_link"",""แม่ฮ่องสอน!J114"")+IMPORTRANGE(""https://docs.google.com/spreadsheets/d/1p7ERhsr0qZeSn-KSOdeHS9r0heI-lHtkcn2OH7hP0jQ/edit?usp=share_link"",""ลำปาง!"&amp;"J114"")+IMPORTRANGE(""https://docs.google.com/spreadsheets/d/1-uUXvimVhiU2U0bMN-xi2te0tS4X7DI2GLPnMjzl8cA/edit?usp=share_link"",""ลำพูน!J114"")+IMPORTRANGE(""https://docs.google.com/spreadsheets/d/17HrOaa5pBUI1onckFfumXB8xlg35qb2uBAFfF1D-Myo/edit?usp=shar"&amp;"e_link"",""สุโขทัย!J114"")+IMPORTRANGE(""https://docs.google.com/spreadsheets/d/1ubs5cl16eYL9gHbdHTJtmtYb9MGzHBs7CAphn8kNCgM/edit?usp=share_link"",""อุตรดิตถ์!J114"")+IMPORTRANGE(""https://docs.google.com/spreadsheets/d/1kII0BjS6CtVrBvI8IrytgPdxDrlyQDyigz"&amp;"MsohRtDMs/edit?usp=share_link"",""อุทัยธานี!J114"")
"),30)</f>
        <v>30</v>
      </c>
      <c r="K114" s="38">
        <f t="shared" ca="1" si="75"/>
        <v>750</v>
      </c>
      <c r="L114" s="38"/>
      <c r="M114" s="38"/>
      <c r="N114" s="38"/>
      <c r="O114" s="163"/>
      <c r="P114" s="163"/>
    </row>
    <row r="115" spans="1:26" ht="18.75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KxicF4apzSqm0-jIpmueT4kyZtE-Cwn5zskl7GD4loQ/edit?usp=share_link"",""กำแพงเพชร!I115"")+IMPORTRANGE(""https://docs.google.com/spreadsheets/d/1ZNYWeiFoFA1K1U4xKWqRX29MBvEyRHXORjo734Gnq_c/edit?usp=share_li"&amp;"nk"",""เชียงราย!I115"")
+IMPORTRANGE(""https://docs.google.com/spreadsheets/d/1Jgv0Y7YlHDtsiDawwp-uvifEJ8HVaSn0k2aGHG8-hwM/edit?usp=share_link"",""เชียงใหม่!I115"")+IMPORTRANGE(""https://docs.google.com/spreadsheets/d/1JWG2rZePOz9pe-f-ObA-yDr0VoOX2kSb0qIi"&amp;"x2mTUo8/edit?usp=share_link"",""ตาก!I115"")+IMPORTRANGE(""https://docs.google.com/spreadsheets/d/10nSRjK08hx8Y6HgSOQKNw81lyY46Zc7U_Cj72hBMp9U/edit?usp=share_link"",""นครสวรรค์!I115"")+IMPORTRANGE(""https://docs.google.com/spreadsheets/d/1gFVb7qd7amutrIxAA"&amp;"oM7lcy35hllxznovot8lyOfvDo/edit?usp=share_link"",""น่าน!I115"")+IMPORTRANGE(""https://docs.google.com/spreadsheets/d/1K0Aa9s-6EuHE5M0FG1F9aHLXRCOV917xvycTdLdct0w/edit?usp=share_link"",""พะเยา!I115"")+IMPORTRANGE(""https://docs.google.com/spreadsheets/d/1Y"&amp;"9LPKx95PyL5OKy09d-KbKJSuuEZCFdkhYjwC0XQjBA/edit?usp=share_link"",""พิจิตร!I115"")+IMPORTRANGE(""https://docs.google.com/spreadsheets/d/16OMuOwy2eVqZcYWOouQtTpa8X1L23h4660uVHc0C8os/edit?usp=share_link"",""พิษณุโลก!I115"")+IMPORTRANGE(""https://docs.google."&amp;"com/spreadsheets/d/1GfgTldLG6k77HXaMQzaafODklYuucJZQNs_GAPEfZyY/edit?usp=share_link"",""เพชรบูรณ์!I115"")+IMPORTRANGE(""https://docs.google.com/spreadsheets/d/1gvTMYAnm7v1yG1BKWFtr0DnaTsq59oW9dwWvFgq6hs0/edit?usp=share_link"",""แพร่!I115"")+IMPORTRANGE("""&amp;"https://docs.google.com/spreadsheets/d/1Wbcosgy-Xa1xXUArJSOenub6EfZHUSzc_bpJFWwQUf0/edit?usp=share_link"",""แม่ฮ่องสอน!I115"")+IMPORTRANGE(""https://docs.google.com/spreadsheets/d/1p7ERhsr0qZeSn-KSOdeHS9r0heI-lHtkcn2OH7hP0jQ/edit?usp=share_link"",""ลำปาง!"&amp;"I115"")+IMPORTRANGE(""https://docs.google.com/spreadsheets/d/1-uUXvimVhiU2U0bMN-xi2te0tS4X7DI2GLPnMjzl8cA/edit?usp=share_link"",""ลำพูน!I115"")+IMPORTRANGE(""https://docs.google.com/spreadsheets/d/17HrOaa5pBUI1onckFfumXB8xlg35qb2uBAFfF1D-Myo/edit?usp=shar"&amp;"e_link"",""สุโขทัย!I115"")+IMPORTRANGE(""https://docs.google.com/spreadsheets/d/1ubs5cl16eYL9gHbdHTJtmtYb9MGzHBs7CAphn8kNCgM/edit?usp=share_link"",""อุตรดิตถ์!I115"")+IMPORTRANGE(""https://docs.google.com/spreadsheets/d/1kII0BjS6CtVrBvI8IrytgPdxDrlyQDyigz"&amp;"MsohRtDMs/edit?usp=share_link"",""อุทัยธานี!I115"")
"),14)</f>
        <v>14</v>
      </c>
      <c r="J115" s="183">
        <f ca="1">IFERROR(__xludf.DUMMYFUNCTION("IMPORTRANGE(""https://docs.google.com/spreadsheets/d/1KxicF4apzSqm0-jIpmueT4kyZtE-Cwn5zskl7GD4loQ/edit?usp=share_link"",""กำแพงเพชร!J115"")+IMPORTRANGE(""https://docs.google.com/spreadsheets/d/1ZNYWeiFoFA1K1U4xKWqRX29MBvEyRHXORjo734Gnq_c/edit?usp=share_li"&amp;"nk"",""เชียงราย!J115"")
+IMPORTRANGE(""https://docs.google.com/spreadsheets/d/1Jgv0Y7YlHDtsiDawwp-uvifEJ8HVaSn0k2aGHG8-hwM/edit?usp=share_link"",""เชียงใหม่!J115"")+IMPORTRANGE(""https://docs.google.com/spreadsheets/d/1JWG2rZePOz9pe-f-ObA-yDr0VoOX2kSb0qIi"&amp;"x2mTUo8/edit?usp=share_link"",""ตาก!J115"")+IMPORTRANGE(""https://docs.google.com/spreadsheets/d/10nSRjK08hx8Y6HgSOQKNw81lyY46Zc7U_Cj72hBMp9U/edit?usp=share_link"",""นครสวรรค์!J115"")+IMPORTRANGE(""https://docs.google.com/spreadsheets/d/1gFVb7qd7amutrIxAA"&amp;"oM7lcy35hllxznovot8lyOfvDo/edit?usp=share_link"",""น่าน!J115"")+IMPORTRANGE(""https://docs.google.com/spreadsheets/d/1K0Aa9s-6EuHE5M0FG1F9aHLXRCOV917xvycTdLdct0w/edit?usp=share_link"",""พะเยา!J115"")+IMPORTRANGE(""https://docs.google.com/spreadsheets/d/1Y"&amp;"9LPKx95PyL5OKy09d-KbKJSuuEZCFdkhYjwC0XQjBA/edit?usp=share_link"",""พิจิตร!J115"")+IMPORTRANGE(""https://docs.google.com/spreadsheets/d/16OMuOwy2eVqZcYWOouQtTpa8X1L23h4660uVHc0C8os/edit?usp=share_link"",""พิษณุโลก!J115"")+IMPORTRANGE(""https://docs.google."&amp;"com/spreadsheets/d/1GfgTldLG6k77HXaMQzaafODklYuucJZQNs_GAPEfZyY/edit?usp=share_link"",""เพชรบูรณ์!J115"")+IMPORTRANGE(""https://docs.google.com/spreadsheets/d/1gvTMYAnm7v1yG1BKWFtr0DnaTsq59oW9dwWvFgq6hs0/edit?usp=share_link"",""แพร่!J115"")+IMPORTRANGE("""&amp;"https://docs.google.com/spreadsheets/d/1Wbcosgy-Xa1xXUArJSOenub6EfZHUSzc_bpJFWwQUf0/edit?usp=share_link"",""แม่ฮ่องสอน!J115"")+IMPORTRANGE(""https://docs.google.com/spreadsheets/d/1p7ERhsr0qZeSn-KSOdeHS9r0heI-lHtkcn2OH7hP0jQ/edit?usp=share_link"",""ลำปาง!"&amp;"J115"")+IMPORTRANGE(""https://docs.google.com/spreadsheets/d/1-uUXvimVhiU2U0bMN-xi2te0tS4X7DI2GLPnMjzl8cA/edit?usp=share_link"",""ลำพูน!J115"")+IMPORTRANGE(""https://docs.google.com/spreadsheets/d/17HrOaa5pBUI1onckFfumXB8xlg35qb2uBAFfF1D-Myo/edit?usp=shar"&amp;"e_link"",""สุโขทัย!J115"")+IMPORTRANGE(""https://docs.google.com/spreadsheets/d/1ubs5cl16eYL9gHbdHTJtmtYb9MGzHBs7CAphn8kNCgM/edit?usp=share_link"",""อุตรดิตถ์!J115"")+IMPORTRANGE(""https://docs.google.com/spreadsheets/d/1kII0BjS6CtVrBvI8IrytgPdxDrlyQDyigz"&amp;"MsohRtDMs/edit?usp=share_link"",""อุทัยธานี!J115"")
"),0)</f>
        <v>0</v>
      </c>
      <c r="K115" s="38">
        <f t="shared" ca="1" si="75"/>
        <v>0</v>
      </c>
      <c r="L115" s="38"/>
      <c r="M115" s="38"/>
      <c r="N115" s="38"/>
      <c r="O115" s="163"/>
      <c r="P115" s="163"/>
    </row>
    <row r="116" spans="1:26" ht="18.75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KxicF4apzSqm0-jIpmueT4kyZtE-Cwn5zskl7GD4loQ/edit?usp=share_link"",""กำแพงเพชร!I116"")+IMPORTRANGE(""https://docs.google.com/spreadsheets/d/1ZNYWeiFoFA1K1U4xKWqRX29MBvEyRHXORjo734Gnq_c/edit?usp=share_li"&amp;"nk"",""เชียงราย!I116"")
+IMPORTRANGE(""https://docs.google.com/spreadsheets/d/1Jgv0Y7YlHDtsiDawwp-uvifEJ8HVaSn0k2aGHG8-hwM/edit?usp=share_link"",""เชียงใหม่!I116"")+IMPORTRANGE(""https://docs.google.com/spreadsheets/d/1JWG2rZePOz9pe-f-ObA-yDr0VoOX2kSb0qIi"&amp;"x2mTUo8/edit?usp=share_link"",""ตาก!I116"")+IMPORTRANGE(""https://docs.google.com/spreadsheets/d/10nSRjK08hx8Y6HgSOQKNw81lyY46Zc7U_Cj72hBMp9U/edit?usp=share_link"",""นครสวรรค์!I116"")+IMPORTRANGE(""https://docs.google.com/spreadsheets/d/1gFVb7qd7amutrIxAA"&amp;"oM7lcy35hllxznovot8lyOfvDo/edit?usp=share_link"",""น่าน!I116"")+IMPORTRANGE(""https://docs.google.com/spreadsheets/d/1K0Aa9s-6EuHE5M0FG1F9aHLXRCOV917xvycTdLdct0w/edit?usp=share_link"",""พะเยา!I116"")+IMPORTRANGE(""https://docs.google.com/spreadsheets/d/1Y"&amp;"9LPKx95PyL5OKy09d-KbKJSuuEZCFdkhYjwC0XQjBA/edit?usp=share_link"",""พิจิตร!I116"")+IMPORTRANGE(""https://docs.google.com/spreadsheets/d/16OMuOwy2eVqZcYWOouQtTpa8X1L23h4660uVHc0C8os/edit?usp=share_link"",""พิษณุโลก!I116"")+IMPORTRANGE(""https://docs.google."&amp;"com/spreadsheets/d/1GfgTldLG6k77HXaMQzaafODklYuucJZQNs_GAPEfZyY/edit?usp=share_link"",""เพชรบูรณ์!I116"")+IMPORTRANGE(""https://docs.google.com/spreadsheets/d/1gvTMYAnm7v1yG1BKWFtr0DnaTsq59oW9dwWvFgq6hs0/edit?usp=share_link"",""แพร่!I116"")+IMPORTRANGE("""&amp;"https://docs.google.com/spreadsheets/d/1Wbcosgy-Xa1xXUArJSOenub6EfZHUSzc_bpJFWwQUf0/edit?usp=share_link"",""แม่ฮ่องสอน!I116"")+IMPORTRANGE(""https://docs.google.com/spreadsheets/d/1p7ERhsr0qZeSn-KSOdeHS9r0heI-lHtkcn2OH7hP0jQ/edit?usp=share_link"",""ลำปาง!"&amp;"I116"")+IMPORTRANGE(""https://docs.google.com/spreadsheets/d/1-uUXvimVhiU2U0bMN-xi2te0tS4X7DI2GLPnMjzl8cA/edit?usp=share_link"",""ลำพูน!I116"")+IMPORTRANGE(""https://docs.google.com/spreadsheets/d/17HrOaa5pBUI1onckFfumXB8xlg35qb2uBAFfF1D-Myo/edit?usp=shar"&amp;"e_link"",""สุโขทัย!I116"")+IMPORTRANGE(""https://docs.google.com/spreadsheets/d/1ubs5cl16eYL9gHbdHTJtmtYb9MGzHBs7CAphn8kNCgM/edit?usp=share_link"",""อุตรดิตถ์!I116"")+IMPORTRANGE(""https://docs.google.com/spreadsheets/d/1kII0BjS6CtVrBvI8IrytgPdxDrlyQDyigz"&amp;"MsohRtDMs/edit?usp=share_link"",""อุทัยธานี!I116"")
"),16)</f>
        <v>16</v>
      </c>
      <c r="J116" s="183">
        <f ca="1">IFERROR(__xludf.DUMMYFUNCTION("IMPORTRANGE(""https://docs.google.com/spreadsheets/d/1KxicF4apzSqm0-jIpmueT4kyZtE-Cwn5zskl7GD4loQ/edit?usp=share_link"",""กำแพงเพชร!J116"")+IMPORTRANGE(""https://docs.google.com/spreadsheets/d/1ZNYWeiFoFA1K1U4xKWqRX29MBvEyRHXORjo734Gnq_c/edit?usp=share_li"&amp;"nk"",""เชียงราย!J116"")
+IMPORTRANGE(""https://docs.google.com/spreadsheets/d/1Jgv0Y7YlHDtsiDawwp-uvifEJ8HVaSn0k2aGHG8-hwM/edit?usp=share_link"",""เชียงใหม่!J116"")+IMPORTRANGE(""https://docs.google.com/spreadsheets/d/1JWG2rZePOz9pe-f-ObA-yDr0VoOX2kSb0qIi"&amp;"x2mTUo8/edit?usp=share_link"",""ตาก!J116"")+IMPORTRANGE(""https://docs.google.com/spreadsheets/d/10nSRjK08hx8Y6HgSOQKNw81lyY46Zc7U_Cj72hBMp9U/edit?usp=share_link"",""นครสวรรค์!J116"")+IMPORTRANGE(""https://docs.google.com/spreadsheets/d/1gFVb7qd7amutrIxAA"&amp;"oM7lcy35hllxznovot8lyOfvDo/edit?usp=share_link"",""น่าน!J116"")+IMPORTRANGE(""https://docs.google.com/spreadsheets/d/1K0Aa9s-6EuHE5M0FG1F9aHLXRCOV917xvycTdLdct0w/edit?usp=share_link"",""พะเยา!J116"")+IMPORTRANGE(""https://docs.google.com/spreadsheets/d/1Y"&amp;"9LPKx95PyL5OKy09d-KbKJSuuEZCFdkhYjwC0XQjBA/edit?usp=share_link"",""พิจิตร!J116"")+IMPORTRANGE(""https://docs.google.com/spreadsheets/d/16OMuOwy2eVqZcYWOouQtTpa8X1L23h4660uVHc0C8os/edit?usp=share_link"",""พิษณุโลก!J116"")+IMPORTRANGE(""https://docs.google."&amp;"com/spreadsheets/d/1GfgTldLG6k77HXaMQzaafODklYuucJZQNs_GAPEfZyY/edit?usp=share_link"",""เพชรบูรณ์!J116"")+IMPORTRANGE(""https://docs.google.com/spreadsheets/d/1gvTMYAnm7v1yG1BKWFtr0DnaTsq59oW9dwWvFgq6hs0/edit?usp=share_link"",""แพร่!J116"")+IMPORTRANGE("""&amp;"https://docs.google.com/spreadsheets/d/1Wbcosgy-Xa1xXUArJSOenub6EfZHUSzc_bpJFWwQUf0/edit?usp=share_link"",""แม่ฮ่องสอน!J116"")+IMPORTRANGE(""https://docs.google.com/spreadsheets/d/1p7ERhsr0qZeSn-KSOdeHS9r0heI-lHtkcn2OH7hP0jQ/edit?usp=share_link"",""ลำปาง!"&amp;"J116"")+IMPORTRANGE(""https://docs.google.com/spreadsheets/d/1-uUXvimVhiU2U0bMN-xi2te0tS4X7DI2GLPnMjzl8cA/edit?usp=share_link"",""ลำพูน!J116"")+IMPORTRANGE(""https://docs.google.com/spreadsheets/d/17HrOaa5pBUI1onckFfumXB8xlg35qb2uBAFfF1D-Myo/edit?usp=shar"&amp;"e_link"",""สุโขทัย!J116"")+IMPORTRANGE(""https://docs.google.com/spreadsheets/d/1ubs5cl16eYL9gHbdHTJtmtYb9MGzHBs7CAphn8kNCgM/edit?usp=share_link"",""อุตรดิตถ์!J116"")+IMPORTRANGE(""https://docs.google.com/spreadsheets/d/1kII0BjS6CtVrBvI8IrytgPdxDrlyQDyigz"&amp;"MsohRtDMs/edit?usp=share_link"",""อุทัยธานี!J116"")
"),0)</f>
        <v>0</v>
      </c>
      <c r="K116" s="38">
        <f t="shared" ca="1" si="75"/>
        <v>0</v>
      </c>
      <c r="L116" s="38"/>
      <c r="M116" s="38"/>
      <c r="N116" s="3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KxicF4apzSqm0-jIpmueT4kyZtE-Cwn5zskl7GD4loQ/edit?usp=share_link"",""กำแพงเพชร!I118"")+IMPORTRANGE(""https://docs.google.com/spreadsheets/d/1ZNYWeiFoFA1K1U4xKWqRX29MBvEyRHXORjo734Gnq_c/edit?usp=share_li"&amp;"nk"",""เชียงราย!I118"")
+IMPORTRANGE(""https://docs.google.com/spreadsheets/d/1Jgv0Y7YlHDtsiDawwp-uvifEJ8HVaSn0k2aGHG8-hwM/edit?usp=share_link"",""เชียงใหม่!I118"")+IMPORTRANGE(""https://docs.google.com/spreadsheets/d/1JWG2rZePOz9pe-f-ObA-yDr0VoOX2kSb0qIi"&amp;"x2mTUo8/edit?usp=share_link"",""ตาก!I118"")+IMPORTRANGE(""https://docs.google.com/spreadsheets/d/10nSRjK08hx8Y6HgSOQKNw81lyY46Zc7U_Cj72hBMp9U/edit?usp=share_link"",""นครสวรรค์!I118"")+IMPORTRANGE(""https://docs.google.com/spreadsheets/d/1gFVb7qd7amutrIxAA"&amp;"oM7lcy35hllxznovot8lyOfvDo/edit?usp=share_link"",""น่าน!I118"")+IMPORTRANGE(""https://docs.google.com/spreadsheets/d/1K0Aa9s-6EuHE5M0FG1F9aHLXRCOV917xvycTdLdct0w/edit?usp=share_link"",""พะเยา!I118"")+IMPORTRANGE(""https://docs.google.com/spreadsheets/d/1Y"&amp;"9LPKx95PyL5OKy09d-KbKJSuuEZCFdkhYjwC0XQjBA/edit?usp=share_link"",""พิจิตร!I118"")+IMPORTRANGE(""https://docs.google.com/spreadsheets/d/16OMuOwy2eVqZcYWOouQtTpa8X1L23h4660uVHc0C8os/edit?usp=share_link"",""พิษณุโลก!I118"")+IMPORTRANGE(""https://docs.google."&amp;"com/spreadsheets/d/1GfgTldLG6k77HXaMQzaafODklYuucJZQNs_GAPEfZyY/edit?usp=share_link"",""เพชรบูรณ์!I118"")+IMPORTRANGE(""https://docs.google.com/spreadsheets/d/1gvTMYAnm7v1yG1BKWFtr0DnaTsq59oW9dwWvFgq6hs0/edit?usp=share_link"",""แพร่!I118"")+IMPORTRANGE("""&amp;"https://docs.google.com/spreadsheets/d/1Wbcosgy-Xa1xXUArJSOenub6EfZHUSzc_bpJFWwQUf0/edit?usp=share_link"",""แม่ฮ่องสอน!I118"")+IMPORTRANGE(""https://docs.google.com/spreadsheets/d/1p7ERhsr0qZeSn-KSOdeHS9r0heI-lHtkcn2OH7hP0jQ/edit?usp=share_link"",""ลำปาง!"&amp;"I118"")+IMPORTRANGE(""https://docs.google.com/spreadsheets/d/1-uUXvimVhiU2U0bMN-xi2te0tS4X7DI2GLPnMjzl8cA/edit?usp=share_link"",""ลำพูน!I118"")+IMPORTRANGE(""https://docs.google.com/spreadsheets/d/17HrOaa5pBUI1onckFfumXB8xlg35qb2uBAFfF1D-Myo/edit?usp=shar"&amp;"e_link"",""สุโขทัย!I118"")+IMPORTRANGE(""https://docs.google.com/spreadsheets/d/1ubs5cl16eYL9gHbdHTJtmtYb9MGzHBs7CAphn8kNCgM/edit?usp=share_link"",""อุตรดิตถ์!I118"")+IMPORTRANGE(""https://docs.google.com/spreadsheets/d/1kII0BjS6CtVrBvI8IrytgPdxDrlyQDyigz"&amp;"MsohRtDMs/edit?usp=share_link"",""อุทัยธานี!I118"")
"),10)</f>
        <v>10</v>
      </c>
      <c r="J118" s="144">
        <f ca="1">IFERROR(__xludf.DUMMYFUNCTION("IMPORTRANGE(""https://docs.google.com/spreadsheets/d/1KxicF4apzSqm0-jIpmueT4kyZtE-Cwn5zskl7GD4loQ/edit?usp=share_link"",""กำแพงเพชร!J118"")+IMPORTRANGE(""https://docs.google.com/spreadsheets/d/1ZNYWeiFoFA1K1U4xKWqRX29MBvEyRHXORjo734Gnq_c/edit?usp=share_li"&amp;"nk"",""เชียงราย!J118"")
+IMPORTRANGE(""https://docs.google.com/spreadsheets/d/1Jgv0Y7YlHDtsiDawwp-uvifEJ8HVaSn0k2aGHG8-hwM/edit?usp=share_link"",""เชียงใหม่!J118"")+IMPORTRANGE(""https://docs.google.com/spreadsheets/d/1JWG2rZePOz9pe-f-ObA-yDr0VoOX2kSb0qIi"&amp;"x2mTUo8/edit?usp=share_link"",""ตาก!J118"")+IMPORTRANGE(""https://docs.google.com/spreadsheets/d/10nSRjK08hx8Y6HgSOQKNw81lyY46Zc7U_Cj72hBMp9U/edit?usp=share_link"",""นครสวรรค์!J118"")+IMPORTRANGE(""https://docs.google.com/spreadsheets/d/1gFVb7qd7amutrIxAA"&amp;"oM7lcy35hllxznovot8lyOfvDo/edit?usp=share_link"",""น่าน!J118"")+IMPORTRANGE(""https://docs.google.com/spreadsheets/d/1K0Aa9s-6EuHE5M0FG1F9aHLXRCOV917xvycTdLdct0w/edit?usp=share_link"",""พะเยา!J118"")+IMPORTRANGE(""https://docs.google.com/spreadsheets/d/1Y"&amp;"9LPKx95PyL5OKy09d-KbKJSuuEZCFdkhYjwC0XQjBA/edit?usp=share_link"",""พิจิตร!J118"")+IMPORTRANGE(""https://docs.google.com/spreadsheets/d/16OMuOwy2eVqZcYWOouQtTpa8X1L23h4660uVHc0C8os/edit?usp=share_link"",""พิษณุโลก!J118"")+IMPORTRANGE(""https://docs.google."&amp;"com/spreadsheets/d/1GfgTldLG6k77HXaMQzaafODklYuucJZQNs_GAPEfZyY/edit?usp=share_link"",""เพชรบูรณ์!J118"")+IMPORTRANGE(""https://docs.google.com/spreadsheets/d/1gvTMYAnm7v1yG1BKWFtr0DnaTsq59oW9dwWvFgq6hs0/edit?usp=share_link"",""แพร่!J118"")+IMPORTRANGE("""&amp;"https://docs.google.com/spreadsheets/d/1Wbcosgy-Xa1xXUArJSOenub6EfZHUSzc_bpJFWwQUf0/edit?usp=share_link"",""แม่ฮ่องสอน!J118"")+IMPORTRANGE(""https://docs.google.com/spreadsheets/d/1p7ERhsr0qZeSn-KSOdeHS9r0heI-lHtkcn2OH7hP0jQ/edit?usp=share_link"",""ลำปาง!"&amp;"J118"")+IMPORTRANGE(""https://docs.google.com/spreadsheets/d/1-uUXvimVhiU2U0bMN-xi2te0tS4X7DI2GLPnMjzl8cA/edit?usp=share_link"",""ลำพูน!J118"")+IMPORTRANGE(""https://docs.google.com/spreadsheets/d/17HrOaa5pBUI1onckFfumXB8xlg35qb2uBAFfF1D-Myo/edit?usp=shar"&amp;"e_link"",""สุโขทัย!J118"")+IMPORTRANGE(""https://docs.google.com/spreadsheets/d/1ubs5cl16eYL9gHbdHTJtmtYb9MGzHBs7CAphn8kNCgM/edit?usp=share_link"",""อุตรดิตถ์!J118"")+IMPORTRANGE(""https://docs.google.com/spreadsheets/d/1kII0BjS6CtVrBvI8IrytgPdxDrlyQDyigz"&amp;"MsohRtDMs/edit?usp=share_link"",""อุทัยธานี!J118"")
"),8)</f>
        <v>8</v>
      </c>
      <c r="K118" s="145">
        <f ca="1">IF(I118&gt;0,J118*100/I118,0)</f>
        <v>80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7">L120+L121</f>
        <v>2312300</v>
      </c>
      <c r="M119" s="155">
        <f t="shared" ca="1" si="77"/>
        <v>2136550</v>
      </c>
      <c r="N119" s="155">
        <f t="shared" ca="1" si="77"/>
        <v>2136550</v>
      </c>
      <c r="O119" s="155">
        <f t="shared" ref="O119:O127" ca="1" si="78">IF(L119&gt;0,N119*100/L119,0)</f>
        <v>92.399342645850453</v>
      </c>
      <c r="P119" s="155">
        <f t="shared" ref="P119:P127" ca="1" si="79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80">L123+L126</f>
        <v>0</v>
      </c>
      <c r="M120" s="45">
        <f t="shared" si="80"/>
        <v>0</v>
      </c>
      <c r="N120" s="45">
        <f t="shared" si="80"/>
        <v>0</v>
      </c>
      <c r="O120" s="45">
        <f t="shared" si="78"/>
        <v>0</v>
      </c>
      <c r="P120" s="45">
        <f t="shared" si="79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1">L124+L127</f>
        <v>2312300</v>
      </c>
      <c r="M121" s="45">
        <f t="shared" ca="1" si="81"/>
        <v>2136550</v>
      </c>
      <c r="N121" s="45">
        <f t="shared" ca="1" si="81"/>
        <v>2136550</v>
      </c>
      <c r="O121" s="45">
        <f t="shared" ca="1" si="78"/>
        <v>92.399342645850453</v>
      </c>
      <c r="P121" s="45">
        <f t="shared" ca="1" si="79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2">L123+L124</f>
        <v>0</v>
      </c>
      <c r="M122" s="38">
        <f t="shared" ca="1" si="82"/>
        <v>0</v>
      </c>
      <c r="N122" s="38">
        <f t="shared" ca="1" si="82"/>
        <v>0</v>
      </c>
      <c r="O122" s="38">
        <f t="shared" ca="1" si="78"/>
        <v>0</v>
      </c>
      <c r="P122" s="38">
        <f t="shared" ca="1" si="79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8"/>
        <v>0</v>
      </c>
      <c r="P123" s="45">
        <f t="shared" si="79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KxicF4apzSqm0-jIpmueT4kyZtE-Cwn5zskl7GD4loQ/edit?usp=share_link"",""กำแพงเพชร!l124"")+IMPORTRANGE(""https://docs.google.com/spreadsheets/d/1ZNYWeiFoFA1K1U4xKWqRX29MBvEyRHXORjo734Gnq_c/edit?usp=share_li"&amp;"nk"",""เชียงราย!l124"")
+IMPORTRANGE(""https://docs.google.com/spreadsheets/d/1Jgv0Y7YlHDtsiDawwp-uvifEJ8HVaSn0k2aGHG8-hwM/edit?usp=share_link"",""เชียงใหม่!l124"")+IMPORTRANGE(""https://docs.google.com/spreadsheets/d/1JWG2rZePOz9pe-f-ObA-yDr0VoOX2kSb0qIi"&amp;"x2mTUo8/edit?usp=share_link"",""ตาก!l124"")+IMPORTRANGE(""https://docs.google.com/spreadsheets/d/10nSRjK08hx8Y6HgSOQKNw81lyY46Zc7U_Cj72hBMp9U/edit?usp=share_link"",""นครสวรรค์!l124"")+IMPORTRANGE(""https://docs.google.com/spreadsheets/d/1gFVb7qd7amutrIxAA"&amp;"oM7lcy35hllxznovot8lyOfvDo/edit?usp=share_link"",""น่าน!l124"")+IMPORTRANGE(""https://docs.google.com/spreadsheets/d/1K0Aa9s-6EuHE5M0FG1F9aHLXRCOV917xvycTdLdct0w/edit?usp=share_link"",""พะเยา!l124"")+IMPORTRANGE(""https://docs.google.com/spreadsheets/d/1Y"&amp;"9LPKx95PyL5OKy09d-KbKJSuuEZCFdkhYjwC0XQjBA/edit?usp=share_link"",""พิจิตร!l124"")+IMPORTRANGE(""https://docs.google.com/spreadsheets/d/16OMuOwy2eVqZcYWOouQtTpa8X1L23h4660uVHc0C8os/edit?usp=share_link"",""พิษณุโลก!l124"")+IMPORTRANGE(""https://docs.google."&amp;"com/spreadsheets/d/1GfgTldLG6k77HXaMQzaafODklYuucJZQNs_GAPEfZyY/edit?usp=share_link"",""เพชรบูรณ์!l124"")+IMPORTRANGE(""https://docs.google.com/spreadsheets/d/1gvTMYAnm7v1yG1BKWFtr0DnaTsq59oW9dwWvFgq6hs0/edit?usp=share_link"",""แพร่!l124"")+IMPORTRANGE("""&amp;"https://docs.google.com/spreadsheets/d/1Wbcosgy-Xa1xXUArJSOenub6EfZHUSzc_bpJFWwQUf0/edit?usp=share_link"",""แม่ฮ่องสอน!l124"")+IMPORTRANGE(""https://docs.google.com/spreadsheets/d/1p7ERhsr0qZeSn-KSOdeHS9r0heI-lHtkcn2OH7hP0jQ/edit?usp=share_link"",""ลำปาง!"&amp;"l124"")+IMPORTRANGE(""https://docs.google.com/spreadsheets/d/1-uUXvimVhiU2U0bMN-xi2te0tS4X7DI2GLPnMjzl8cA/edit?usp=share_link"",""ลำพูน!l124"")+IMPORTRANGE(""https://docs.google.com/spreadsheets/d/17HrOaa5pBUI1onckFfumXB8xlg35qb2uBAFfF1D-Myo/edit?usp=shar"&amp;"e_link"",""สุโขทัย!l124"")+IMPORTRANGE(""https://docs.google.com/spreadsheets/d/1ubs5cl16eYL9gHbdHTJtmtYb9MGzHBs7CAphn8kNCgM/edit?usp=share_link"",""อุตรดิตถ์!l124"")+IMPORTRANGE(""https://docs.google.com/spreadsheets/d/1kII0BjS6CtVrBvI8IrytgPdxDrlyQDyigz"&amp;"MsohRtDMs/edit?usp=share_link"",""อุทัยธานี!l124"")
"),0)</f>
        <v>0</v>
      </c>
      <c r="M124" s="45">
        <f ca="1">IFERROR(__xludf.DUMMYFUNCTION("IMPORTRANGE(""https://docs.google.com/spreadsheets/d/1KxicF4apzSqm0-jIpmueT4kyZtE-Cwn5zskl7GD4loQ/edit?usp=share_link"",""กำแพงเพชร!m124"")+IMPORTRANGE(""https://docs.google.com/spreadsheets/d/1ZNYWeiFoFA1K1U4xKWqRX29MBvEyRHXORjo734Gnq_c/edit?usp=share_li"&amp;"nk"",""เชียงราย!m124"")
+IMPORTRANGE(""https://docs.google.com/spreadsheets/d/1Jgv0Y7YlHDtsiDawwp-uvifEJ8HVaSn0k2aGHG8-hwM/edit?usp=share_link"",""เชียงใหม่!m124"")+IMPORTRANGE(""https://docs.google.com/spreadsheets/d/1JWG2rZePOz9pe-f-ObA-yDr0VoOX2kSb0qIi"&amp;"x2mTUo8/edit?usp=share_link"",""ตาก!m124"")+IMPORTRANGE(""https://docs.google.com/spreadsheets/d/10nSRjK08hx8Y6HgSOQKNw81lyY46Zc7U_Cj72hBMp9U/edit?usp=share_link"",""นครสวรรค์!m124"")+IMPORTRANGE(""https://docs.google.com/spreadsheets/d/1gFVb7qd7amutrIxAA"&amp;"oM7lcy35hllxznovot8lyOfvDo/edit?usp=share_link"",""น่าน!m124"")+IMPORTRANGE(""https://docs.google.com/spreadsheets/d/1K0Aa9s-6EuHE5M0FG1F9aHLXRCOV917xvycTdLdct0w/edit?usp=share_link"",""พะเยา!m124"")+IMPORTRANGE(""https://docs.google.com/spreadsheets/d/1Y"&amp;"9LPKx95PyL5OKy09d-KbKJSuuEZCFdkhYjwC0XQjBA/edit?usp=share_link"",""พิจิตร!m124"")+IMPORTRANGE(""https://docs.google.com/spreadsheets/d/16OMuOwy2eVqZcYWOouQtTpa8X1L23h4660uVHc0C8os/edit?usp=share_link"",""พิษณุโลก!m124"")+IMPORTRANGE(""https://docs.google."&amp;"com/spreadsheets/d/1GfgTldLG6k77HXaMQzaafODklYuucJZQNs_GAPEfZyY/edit?usp=share_link"",""เพชรบูรณ์!m124"")+IMPORTRANGE(""https://docs.google.com/spreadsheets/d/1gvTMYAnm7v1yG1BKWFtr0DnaTsq59oW9dwWvFgq6hs0/edit?usp=share_link"",""แพร่!m124"")+IMPORTRANGE("""&amp;"https://docs.google.com/spreadsheets/d/1Wbcosgy-Xa1xXUArJSOenub6EfZHUSzc_bpJFWwQUf0/edit?usp=share_link"",""แม่ฮ่องสอน!m124"")+IMPORTRANGE(""https://docs.google.com/spreadsheets/d/1p7ERhsr0qZeSn-KSOdeHS9r0heI-lHtkcn2OH7hP0jQ/edit?usp=share_link"",""ลำปาง!"&amp;"m124"")+IMPORTRANGE(""https://docs.google.com/spreadsheets/d/1-uUXvimVhiU2U0bMN-xi2te0tS4X7DI2GLPnMjzl8cA/edit?usp=share_link"",""ลำพูน!m124"")+IMPORTRANGE(""https://docs.google.com/spreadsheets/d/17HrOaa5pBUI1onckFfumXB8xlg35qb2uBAFfF1D-Myo/edit?usp=shar"&amp;"e_link"",""สุโขทัย!m124"")+IMPORTRANGE(""https://docs.google.com/spreadsheets/d/1ubs5cl16eYL9gHbdHTJtmtYb9MGzHBs7CAphn8kNCgM/edit?usp=share_link"",""อุตรดิตถ์!m124"")+IMPORTRANGE(""https://docs.google.com/spreadsheets/d/1kII0BjS6CtVrBvI8IrytgPdxDrlyQDyigz"&amp;"MsohRtDMs/edit?usp=share_link"",""อุทัยธานี!m124"")
"),0)</f>
        <v>0</v>
      </c>
      <c r="N124" s="45">
        <f ca="1">IFERROR(__xludf.DUMMYFUNCTION("IMPORTRANGE(""https://docs.google.com/spreadsheets/d/1KxicF4apzSqm0-jIpmueT4kyZtE-Cwn5zskl7GD4loQ/edit?usp=share_link"",""กำแพงเพชร!n124"")+IMPORTRANGE(""https://docs.google.com/spreadsheets/d/1ZNYWeiFoFA1K1U4xKWqRX29MBvEyRHXORjo734Gnq_c/edit?usp=share_li"&amp;"nk"",""เชียงราย!n124"")
+IMPORTRANGE(""https://docs.google.com/spreadsheets/d/1Jgv0Y7YlHDtsiDawwp-uvifEJ8HVaSn0k2aGHG8-hwM/edit?usp=share_link"",""เชียงใหม่!n124"")+IMPORTRANGE(""https://docs.google.com/spreadsheets/d/1JWG2rZePOz9pe-f-ObA-yDr0VoOX2kSb0qIi"&amp;"x2mTUo8/edit?usp=share_link"",""ตาก!n124"")+IMPORTRANGE(""https://docs.google.com/spreadsheets/d/10nSRjK08hx8Y6HgSOQKNw81lyY46Zc7U_Cj72hBMp9U/edit?usp=share_link"",""นครสวรรค์!n124"")+IMPORTRANGE(""https://docs.google.com/spreadsheets/d/1gFVb7qd7amutrIxAA"&amp;"oM7lcy35hllxznovot8lyOfvDo/edit?usp=share_link"",""น่าน!n124"")+IMPORTRANGE(""https://docs.google.com/spreadsheets/d/1K0Aa9s-6EuHE5M0FG1F9aHLXRCOV917xvycTdLdct0w/edit?usp=share_link"",""พะเยา!n124"")+IMPORTRANGE(""https://docs.google.com/spreadsheets/d/1Y"&amp;"9LPKx95PyL5OKy09d-KbKJSuuEZCFdkhYjwC0XQjBA/edit?usp=share_link"",""พิจิตร!n124"")+IMPORTRANGE(""https://docs.google.com/spreadsheets/d/16OMuOwy2eVqZcYWOouQtTpa8X1L23h4660uVHc0C8os/edit?usp=share_link"",""พิษณุโลก!n124"")+IMPORTRANGE(""https://docs.google."&amp;"com/spreadsheets/d/1GfgTldLG6k77HXaMQzaafODklYuucJZQNs_GAPEfZyY/edit?usp=share_link"",""เพชรบูรณ์!n124"")+IMPORTRANGE(""https://docs.google.com/spreadsheets/d/1gvTMYAnm7v1yG1BKWFtr0DnaTsq59oW9dwWvFgq6hs0/edit?usp=share_link"",""แพร่!n124"")+IMPORTRANGE("""&amp;"https://docs.google.com/spreadsheets/d/1Wbcosgy-Xa1xXUArJSOenub6EfZHUSzc_bpJFWwQUf0/edit?usp=share_link"",""แม่ฮ่องสอน!n124"")+IMPORTRANGE(""https://docs.google.com/spreadsheets/d/1p7ERhsr0qZeSn-KSOdeHS9r0heI-lHtkcn2OH7hP0jQ/edit?usp=share_link"",""ลำปาง!"&amp;"n124"")+IMPORTRANGE(""https://docs.google.com/spreadsheets/d/1-uUXvimVhiU2U0bMN-xi2te0tS4X7DI2GLPnMjzl8cA/edit?usp=share_link"",""ลำพูน!n124"")+IMPORTRANGE(""https://docs.google.com/spreadsheets/d/17HrOaa5pBUI1onckFfumXB8xlg35qb2uBAFfF1D-Myo/edit?usp=shar"&amp;"e_link"",""สุโขทัย!n124"")+IMPORTRANGE(""https://docs.google.com/spreadsheets/d/1ubs5cl16eYL9gHbdHTJtmtYb9MGzHBs7CAphn8kNCgM/edit?usp=share_link"",""อุตรดิตถ์!n124"")+IMPORTRANGE(""https://docs.google.com/spreadsheets/d/1kII0BjS6CtVrBvI8IrytgPdxDrlyQDyigz"&amp;"MsohRtDMs/edit?usp=share_link"",""อุทัยธานี!n124"")
"),0)</f>
        <v>0</v>
      </c>
      <c r="O124" s="45">
        <f t="shared" ca="1" si="78"/>
        <v>0</v>
      </c>
      <c r="P124" s="45">
        <f t="shared" ca="1" si="79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3">L126+L127</f>
        <v>2312300</v>
      </c>
      <c r="M125" s="38">
        <f t="shared" ca="1" si="83"/>
        <v>2136550</v>
      </c>
      <c r="N125" s="38">
        <f t="shared" ca="1" si="83"/>
        <v>2136550</v>
      </c>
      <c r="O125" s="38">
        <f t="shared" ca="1" si="78"/>
        <v>92.399342645850453</v>
      </c>
      <c r="P125" s="38">
        <f t="shared" ca="1" si="79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8"/>
        <v>0</v>
      </c>
      <c r="P126" s="45">
        <f t="shared" si="79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KxicF4apzSqm0-jIpmueT4kyZtE-Cwn5zskl7GD4loQ/edit?usp=share_link"",""กำแพงเพชร!l127"")+IMPORTRANGE(""https://docs.google.com/spreadsheets/d/1ZNYWeiFoFA1K1U4xKWqRX29MBvEyRHXORjo734Gnq_c/edit?usp=share_li"&amp;"nk"",""เชียงราย!l127"")
+IMPORTRANGE(""https://docs.google.com/spreadsheets/d/1Jgv0Y7YlHDtsiDawwp-uvifEJ8HVaSn0k2aGHG8-hwM/edit?usp=share_link"",""เชียงใหม่!l127"")+IMPORTRANGE(""https://docs.google.com/spreadsheets/d/1JWG2rZePOz9pe-f-ObA-yDr0VoOX2kSb0qIi"&amp;"x2mTUo8/edit?usp=share_link"",""ตาก!l127"")+IMPORTRANGE(""https://docs.google.com/spreadsheets/d/10nSRjK08hx8Y6HgSOQKNw81lyY46Zc7U_Cj72hBMp9U/edit?usp=share_link"",""นครสวรรค์!l127"")+IMPORTRANGE(""https://docs.google.com/spreadsheets/d/1gFVb7qd7amutrIxAA"&amp;"oM7lcy35hllxznovot8lyOfvDo/edit?usp=share_link"",""น่าน!l127"")+IMPORTRANGE(""https://docs.google.com/spreadsheets/d/1K0Aa9s-6EuHE5M0FG1F9aHLXRCOV917xvycTdLdct0w/edit?usp=share_link"",""พะเยา!l127"")+IMPORTRANGE(""https://docs.google.com/spreadsheets/d/1Y"&amp;"9LPKx95PyL5OKy09d-KbKJSuuEZCFdkhYjwC0XQjBA/edit?usp=share_link"",""พิจิตร!l127"")+IMPORTRANGE(""https://docs.google.com/spreadsheets/d/16OMuOwy2eVqZcYWOouQtTpa8X1L23h4660uVHc0C8os/edit?usp=share_link"",""พิษณุโลก!l127"")+IMPORTRANGE(""https://docs.google."&amp;"com/spreadsheets/d/1GfgTldLG6k77HXaMQzaafODklYuucJZQNs_GAPEfZyY/edit?usp=share_link"",""เพชรบูรณ์!l127"")+IMPORTRANGE(""https://docs.google.com/spreadsheets/d/1gvTMYAnm7v1yG1BKWFtr0DnaTsq59oW9dwWvFgq6hs0/edit?usp=share_link"",""แพร่!l127"")+IMPORTRANGE("""&amp;"https://docs.google.com/spreadsheets/d/1Wbcosgy-Xa1xXUArJSOenub6EfZHUSzc_bpJFWwQUf0/edit?usp=share_link"",""แม่ฮ่องสอน!l127"")+IMPORTRANGE(""https://docs.google.com/spreadsheets/d/1p7ERhsr0qZeSn-KSOdeHS9r0heI-lHtkcn2OH7hP0jQ/edit?usp=share_link"",""ลำปาง!"&amp;"l127"")+IMPORTRANGE(""https://docs.google.com/spreadsheets/d/1-uUXvimVhiU2U0bMN-xi2te0tS4X7DI2GLPnMjzl8cA/edit?usp=share_link"",""ลำพูน!l127"")+IMPORTRANGE(""https://docs.google.com/spreadsheets/d/17HrOaa5pBUI1onckFfumXB8xlg35qb2uBAFfF1D-Myo/edit?usp=shar"&amp;"e_link"",""สุโขทัย!l127"")+IMPORTRANGE(""https://docs.google.com/spreadsheets/d/1ubs5cl16eYL9gHbdHTJtmtYb9MGzHBs7CAphn8kNCgM/edit?usp=share_link"",""อุตรดิตถ์!l127"")+IMPORTRANGE(""https://docs.google.com/spreadsheets/d/1kII0BjS6CtVrBvI8IrytgPdxDrlyQDyigz"&amp;"MsohRtDMs/edit?usp=share_link"",""อุทัยธานี!l127"")
"),2312300)</f>
        <v>2312300</v>
      </c>
      <c r="M127" s="45">
        <f ca="1">IFERROR(__xludf.DUMMYFUNCTION("IMPORTRANGE(""https://docs.google.com/spreadsheets/d/1KxicF4apzSqm0-jIpmueT4kyZtE-Cwn5zskl7GD4loQ/edit?usp=share_link"",""กำแพงเพชร!m127"")+IMPORTRANGE(""https://docs.google.com/spreadsheets/d/1ZNYWeiFoFA1K1U4xKWqRX29MBvEyRHXORjo734Gnq_c/edit?usp=share_li"&amp;"nk"",""เชียงราย!m127"")
+IMPORTRANGE(""https://docs.google.com/spreadsheets/d/1Jgv0Y7YlHDtsiDawwp-uvifEJ8HVaSn0k2aGHG8-hwM/edit?usp=share_link"",""เชียงใหม่!m127"")+IMPORTRANGE(""https://docs.google.com/spreadsheets/d/1JWG2rZePOz9pe-f-ObA-yDr0VoOX2kSb0qIi"&amp;"x2mTUo8/edit?usp=share_link"",""ตาก!m127"")+IMPORTRANGE(""https://docs.google.com/spreadsheets/d/10nSRjK08hx8Y6HgSOQKNw81lyY46Zc7U_Cj72hBMp9U/edit?usp=share_link"",""นครสวรรค์!m127"")+IMPORTRANGE(""https://docs.google.com/spreadsheets/d/1gFVb7qd7amutrIxAA"&amp;"oM7lcy35hllxznovot8lyOfvDo/edit?usp=share_link"",""น่าน!m127"")+IMPORTRANGE(""https://docs.google.com/spreadsheets/d/1K0Aa9s-6EuHE5M0FG1F9aHLXRCOV917xvycTdLdct0w/edit?usp=share_link"",""พะเยา!m127"")+IMPORTRANGE(""https://docs.google.com/spreadsheets/d/1Y"&amp;"9LPKx95PyL5OKy09d-KbKJSuuEZCFdkhYjwC0XQjBA/edit?usp=share_link"",""พิจิตร!m127"")+IMPORTRANGE(""https://docs.google.com/spreadsheets/d/16OMuOwy2eVqZcYWOouQtTpa8X1L23h4660uVHc0C8os/edit?usp=share_link"",""พิษณุโลก!m127"")+IMPORTRANGE(""https://docs.google."&amp;"com/spreadsheets/d/1GfgTldLG6k77HXaMQzaafODklYuucJZQNs_GAPEfZyY/edit?usp=share_link"",""เพชรบูรณ์!m127"")+IMPORTRANGE(""https://docs.google.com/spreadsheets/d/1gvTMYAnm7v1yG1BKWFtr0DnaTsq59oW9dwWvFgq6hs0/edit?usp=share_link"",""แพร่!m127"")+IMPORTRANGE("""&amp;"https://docs.google.com/spreadsheets/d/1Wbcosgy-Xa1xXUArJSOenub6EfZHUSzc_bpJFWwQUf0/edit?usp=share_link"",""แม่ฮ่องสอน!m127"")+IMPORTRANGE(""https://docs.google.com/spreadsheets/d/1p7ERhsr0qZeSn-KSOdeHS9r0heI-lHtkcn2OH7hP0jQ/edit?usp=share_link"",""ลำปาง!"&amp;"m127"")+IMPORTRANGE(""https://docs.google.com/spreadsheets/d/1-uUXvimVhiU2U0bMN-xi2te0tS4X7DI2GLPnMjzl8cA/edit?usp=share_link"",""ลำพูน!m127"")+IMPORTRANGE(""https://docs.google.com/spreadsheets/d/17HrOaa5pBUI1onckFfumXB8xlg35qb2uBAFfF1D-Myo/edit?usp=shar"&amp;"e_link"",""สุโขทัย!m127"")+IMPORTRANGE(""https://docs.google.com/spreadsheets/d/1ubs5cl16eYL9gHbdHTJtmtYb9MGzHBs7CAphn8kNCgM/edit?usp=share_link"",""อุตรดิตถ์!m127"")+IMPORTRANGE(""https://docs.google.com/spreadsheets/d/1kII0BjS6CtVrBvI8IrytgPdxDrlyQDyigz"&amp;"MsohRtDMs/edit?usp=share_link"",""อุทัยธานี!m127"")
"),2136550)</f>
        <v>2136550</v>
      </c>
      <c r="N127" s="45">
        <f ca="1">IFERROR(__xludf.DUMMYFUNCTION("IMPORTRANGE(""https://docs.google.com/spreadsheets/d/1KxicF4apzSqm0-jIpmueT4kyZtE-Cwn5zskl7GD4loQ/edit?usp=share_link"",""กำแพงเพชร!n127"")+IMPORTRANGE(""https://docs.google.com/spreadsheets/d/1ZNYWeiFoFA1K1U4xKWqRX29MBvEyRHXORjo734Gnq_c/edit?usp=share_li"&amp;"nk"",""เชียงราย!n127"")
+IMPORTRANGE(""https://docs.google.com/spreadsheets/d/1Jgv0Y7YlHDtsiDawwp-uvifEJ8HVaSn0k2aGHG8-hwM/edit?usp=share_link"",""เชียงใหม่!n127"")+IMPORTRANGE(""https://docs.google.com/spreadsheets/d/1JWG2rZePOz9pe-f-ObA-yDr0VoOX2kSb0qIi"&amp;"x2mTUo8/edit?usp=share_link"",""ตาก!n127"")+IMPORTRANGE(""https://docs.google.com/spreadsheets/d/10nSRjK08hx8Y6HgSOQKNw81lyY46Zc7U_Cj72hBMp9U/edit?usp=share_link"",""นครสวรรค์!n127"")+IMPORTRANGE(""https://docs.google.com/spreadsheets/d/1gFVb7qd7amutrIxAA"&amp;"oM7lcy35hllxznovot8lyOfvDo/edit?usp=share_link"",""น่าน!n127"")+IMPORTRANGE(""https://docs.google.com/spreadsheets/d/1K0Aa9s-6EuHE5M0FG1F9aHLXRCOV917xvycTdLdct0w/edit?usp=share_link"",""พะเยา!n127"")+IMPORTRANGE(""https://docs.google.com/spreadsheets/d/1Y"&amp;"9LPKx95PyL5OKy09d-KbKJSuuEZCFdkhYjwC0XQjBA/edit?usp=share_link"",""พิจิตร!n127"")+IMPORTRANGE(""https://docs.google.com/spreadsheets/d/16OMuOwy2eVqZcYWOouQtTpa8X1L23h4660uVHc0C8os/edit?usp=share_link"",""พิษณุโลก!n127"")+IMPORTRANGE(""https://docs.google."&amp;"com/spreadsheets/d/1GfgTldLG6k77HXaMQzaafODklYuucJZQNs_GAPEfZyY/edit?usp=share_link"",""เพชรบูรณ์!n127"")+IMPORTRANGE(""https://docs.google.com/spreadsheets/d/1gvTMYAnm7v1yG1BKWFtr0DnaTsq59oW9dwWvFgq6hs0/edit?usp=share_link"",""แพร่!n127"")+IMPORTRANGE("""&amp;"https://docs.google.com/spreadsheets/d/1Wbcosgy-Xa1xXUArJSOenub6EfZHUSzc_bpJFWwQUf0/edit?usp=share_link"",""แม่ฮ่องสอน!n127"")+IMPORTRANGE(""https://docs.google.com/spreadsheets/d/1p7ERhsr0qZeSn-KSOdeHS9r0heI-lHtkcn2OH7hP0jQ/edit?usp=share_link"",""ลำปาง!"&amp;"n127"")+IMPORTRANGE(""https://docs.google.com/spreadsheets/d/1-uUXvimVhiU2U0bMN-xi2te0tS4X7DI2GLPnMjzl8cA/edit?usp=share_link"",""ลำพูน!n127"")+IMPORTRANGE(""https://docs.google.com/spreadsheets/d/17HrOaa5pBUI1onckFfumXB8xlg35qb2uBAFfF1D-Myo/edit?usp=shar"&amp;"e_link"",""สุโขทัย!n127"")+IMPORTRANGE(""https://docs.google.com/spreadsheets/d/1ubs5cl16eYL9gHbdHTJtmtYb9MGzHBs7CAphn8kNCgM/edit?usp=share_link"",""อุตรดิตถ์!n127"")+IMPORTRANGE(""https://docs.google.com/spreadsheets/d/1kII0BjS6CtVrBvI8IrytgPdxDrlyQDyigz"&amp;"MsohRtDMs/edit?usp=share_link"",""อุทัยธานี!n127"")
"),2136550)</f>
        <v>2136550</v>
      </c>
      <c r="O127" s="45">
        <f t="shared" ca="1" si="78"/>
        <v>92.399342645850453</v>
      </c>
      <c r="P127" s="45">
        <f t="shared" ca="1" si="79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4">I146</f>
        <v>12</v>
      </c>
      <c r="J130" s="144">
        <f t="shared" ca="1" si="84"/>
        <v>10</v>
      </c>
      <c r="K130" s="145">
        <f t="shared" ref="K130:K131" ca="1" si="85">IF(I130&gt;0,J130*100/I130,0)</f>
        <v>83.333333333333329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6">I143</f>
        <v>120</v>
      </c>
      <c r="J131" s="144">
        <f t="shared" ca="1" si="86"/>
        <v>50</v>
      </c>
      <c r="K131" s="145">
        <f t="shared" ca="1" si="85"/>
        <v>41.666666666666664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7">L133+L134</f>
        <v>2170260</v>
      </c>
      <c r="M132" s="155">
        <f t="shared" ca="1" si="87"/>
        <v>1999800</v>
      </c>
      <c r="N132" s="155">
        <f t="shared" ca="1" si="87"/>
        <v>1573470.5</v>
      </c>
      <c r="O132" s="155">
        <f t="shared" ref="O132:O140" ca="1" si="88">IF(L132&gt;0,N132*100/L132,0)</f>
        <v>72.50147447771235</v>
      </c>
      <c r="P132" s="155">
        <f t="shared" ref="P132:P140" ca="1" si="89">IF(M132&gt;0,N132*100/M132,0)</f>
        <v>78.681393139313926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90">L136+L139</f>
        <v>0</v>
      </c>
      <c r="M133" s="45">
        <f t="shared" si="90"/>
        <v>0</v>
      </c>
      <c r="N133" s="45">
        <f t="shared" si="90"/>
        <v>0</v>
      </c>
      <c r="O133" s="45">
        <f t="shared" si="88"/>
        <v>0</v>
      </c>
      <c r="P133" s="45">
        <f t="shared" si="89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1">L137+L140</f>
        <v>2170260</v>
      </c>
      <c r="M134" s="45">
        <f t="shared" ca="1" si="91"/>
        <v>1999800</v>
      </c>
      <c r="N134" s="45">
        <f t="shared" ca="1" si="91"/>
        <v>1573470.5</v>
      </c>
      <c r="O134" s="45">
        <f t="shared" ca="1" si="88"/>
        <v>72.50147447771235</v>
      </c>
      <c r="P134" s="45">
        <f t="shared" ca="1" si="89"/>
        <v>78.681393139313926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2">L136+L137</f>
        <v>934260</v>
      </c>
      <c r="M135" s="38">
        <f t="shared" ca="1" si="92"/>
        <v>789300</v>
      </c>
      <c r="N135" s="38">
        <f t="shared" ca="1" si="92"/>
        <v>368970.5</v>
      </c>
      <c r="O135" s="38">
        <f t="shared" ca="1" si="88"/>
        <v>39.493342324406484</v>
      </c>
      <c r="P135" s="38">
        <f t="shared" ca="1" si="89"/>
        <v>46.746547573799567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8"/>
        <v>0</v>
      </c>
      <c r="P136" s="45">
        <f t="shared" si="89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KxicF4apzSqm0-jIpmueT4kyZtE-Cwn5zskl7GD4loQ/edit?usp=share_link"",""กำแพงเพชร!l137"")+IMPORTRANGE(""https://docs.google.com/spreadsheets/d/1ZNYWeiFoFA1K1U4xKWqRX29MBvEyRHXORjo734Gnq_c/edit?usp=share_li"&amp;"nk"",""เชียงราย!l137"")
+IMPORTRANGE(""https://docs.google.com/spreadsheets/d/1Jgv0Y7YlHDtsiDawwp-uvifEJ8HVaSn0k2aGHG8-hwM/edit?usp=share_link"",""เชียงใหม่!l137"")+IMPORTRANGE(""https://docs.google.com/spreadsheets/d/1JWG2rZePOz9pe-f-ObA-yDr0VoOX2kSb0qIi"&amp;"x2mTUo8/edit?usp=share_link"",""ตาก!l137"")+IMPORTRANGE(""https://docs.google.com/spreadsheets/d/10nSRjK08hx8Y6HgSOQKNw81lyY46Zc7U_Cj72hBMp9U/edit?usp=share_link"",""นครสวรรค์!l137"")+IMPORTRANGE(""https://docs.google.com/spreadsheets/d/1gFVb7qd7amutrIxAA"&amp;"oM7lcy35hllxznovot8lyOfvDo/edit?usp=share_link"",""น่าน!l137"")+IMPORTRANGE(""https://docs.google.com/spreadsheets/d/1K0Aa9s-6EuHE5M0FG1F9aHLXRCOV917xvycTdLdct0w/edit?usp=share_link"",""พะเยา!l137"")+IMPORTRANGE(""https://docs.google.com/spreadsheets/d/1Y"&amp;"9LPKx95PyL5OKy09d-KbKJSuuEZCFdkhYjwC0XQjBA/edit?usp=share_link"",""พิจิตร!l137"")+IMPORTRANGE(""https://docs.google.com/spreadsheets/d/16OMuOwy2eVqZcYWOouQtTpa8X1L23h4660uVHc0C8os/edit?usp=share_link"",""พิษณุโลก!l137"")+IMPORTRANGE(""https://docs.google."&amp;"com/spreadsheets/d/1GfgTldLG6k77HXaMQzaafODklYuucJZQNs_GAPEfZyY/edit?usp=share_link"",""เพชรบูรณ์!l137"")+IMPORTRANGE(""https://docs.google.com/spreadsheets/d/1gvTMYAnm7v1yG1BKWFtr0DnaTsq59oW9dwWvFgq6hs0/edit?usp=share_link"",""แพร่!l137"")+IMPORTRANGE("""&amp;"https://docs.google.com/spreadsheets/d/1Wbcosgy-Xa1xXUArJSOenub6EfZHUSzc_bpJFWwQUf0/edit?usp=share_link"",""แม่ฮ่องสอน!l137"")+IMPORTRANGE(""https://docs.google.com/spreadsheets/d/1p7ERhsr0qZeSn-KSOdeHS9r0heI-lHtkcn2OH7hP0jQ/edit?usp=share_link"",""ลำปาง!"&amp;"l137"")+IMPORTRANGE(""https://docs.google.com/spreadsheets/d/1-uUXvimVhiU2U0bMN-xi2te0tS4X7DI2GLPnMjzl8cA/edit?usp=share_link"",""ลำพูน!l137"")+IMPORTRANGE(""https://docs.google.com/spreadsheets/d/17HrOaa5pBUI1onckFfumXB8xlg35qb2uBAFfF1D-Myo/edit?usp=shar"&amp;"e_link"",""สุโขทัย!l137"")+IMPORTRANGE(""https://docs.google.com/spreadsheets/d/1ubs5cl16eYL9gHbdHTJtmtYb9MGzHBs7CAphn8kNCgM/edit?usp=share_link"",""อุตรดิตถ์!l137"")+IMPORTRANGE(""https://docs.google.com/spreadsheets/d/1kII0BjS6CtVrBvI8IrytgPdxDrlyQDyigz"&amp;"MsohRtDMs/edit?usp=share_link"",""อุทัยธานี!l137"")
"),934260)</f>
        <v>934260</v>
      </c>
      <c r="M137" s="45">
        <f ca="1">IFERROR(__xludf.DUMMYFUNCTION("IMPORTRANGE(""https://docs.google.com/spreadsheets/d/1KxicF4apzSqm0-jIpmueT4kyZtE-Cwn5zskl7GD4loQ/edit?usp=share_link"",""กำแพงเพชร!m137"")+IMPORTRANGE(""https://docs.google.com/spreadsheets/d/1ZNYWeiFoFA1K1U4xKWqRX29MBvEyRHXORjo734Gnq_c/edit?usp=share_li"&amp;"nk"",""เชียงราย!m137"")
+IMPORTRANGE(""https://docs.google.com/spreadsheets/d/1Jgv0Y7YlHDtsiDawwp-uvifEJ8HVaSn0k2aGHG8-hwM/edit?usp=share_link"",""เชียงใหม่!m137"")+IMPORTRANGE(""https://docs.google.com/spreadsheets/d/1JWG2rZePOz9pe-f-ObA-yDr0VoOX2kSb0qIi"&amp;"x2mTUo8/edit?usp=share_link"",""ตาก!m137"")+IMPORTRANGE(""https://docs.google.com/spreadsheets/d/10nSRjK08hx8Y6HgSOQKNw81lyY46Zc7U_Cj72hBMp9U/edit?usp=share_link"",""นครสวรรค์!m137"")+IMPORTRANGE(""https://docs.google.com/spreadsheets/d/1gFVb7qd7amutrIxAA"&amp;"oM7lcy35hllxznovot8lyOfvDo/edit?usp=share_link"",""น่าน!m137"")+IMPORTRANGE(""https://docs.google.com/spreadsheets/d/1K0Aa9s-6EuHE5M0FG1F9aHLXRCOV917xvycTdLdct0w/edit?usp=share_link"",""พะเยา!m137"")+IMPORTRANGE(""https://docs.google.com/spreadsheets/d/1Y"&amp;"9LPKx95PyL5OKy09d-KbKJSuuEZCFdkhYjwC0XQjBA/edit?usp=share_link"",""พิจิตร!m137"")+IMPORTRANGE(""https://docs.google.com/spreadsheets/d/16OMuOwy2eVqZcYWOouQtTpa8X1L23h4660uVHc0C8os/edit?usp=share_link"",""พิษณุโลก!m137"")+IMPORTRANGE(""https://docs.google."&amp;"com/spreadsheets/d/1GfgTldLG6k77HXaMQzaafODklYuucJZQNs_GAPEfZyY/edit?usp=share_link"",""เพชรบูรณ์!m137"")+IMPORTRANGE(""https://docs.google.com/spreadsheets/d/1gvTMYAnm7v1yG1BKWFtr0DnaTsq59oW9dwWvFgq6hs0/edit?usp=share_link"",""แพร่!m137"")+IMPORTRANGE("""&amp;"https://docs.google.com/spreadsheets/d/1Wbcosgy-Xa1xXUArJSOenub6EfZHUSzc_bpJFWwQUf0/edit?usp=share_link"",""แม่ฮ่องสอน!m137"")+IMPORTRANGE(""https://docs.google.com/spreadsheets/d/1p7ERhsr0qZeSn-KSOdeHS9r0heI-lHtkcn2OH7hP0jQ/edit?usp=share_link"",""ลำปาง!"&amp;"m137"")+IMPORTRANGE(""https://docs.google.com/spreadsheets/d/1-uUXvimVhiU2U0bMN-xi2te0tS4X7DI2GLPnMjzl8cA/edit?usp=share_link"",""ลำพูน!m137"")+IMPORTRANGE(""https://docs.google.com/spreadsheets/d/17HrOaa5pBUI1onckFfumXB8xlg35qb2uBAFfF1D-Myo/edit?usp=shar"&amp;"e_link"",""สุโขทัย!m137"")+IMPORTRANGE(""https://docs.google.com/spreadsheets/d/1ubs5cl16eYL9gHbdHTJtmtYb9MGzHBs7CAphn8kNCgM/edit?usp=share_link"",""อุตรดิตถ์!m137"")+IMPORTRANGE(""https://docs.google.com/spreadsheets/d/1kII0BjS6CtVrBvI8IrytgPdxDrlyQDyigz"&amp;"MsohRtDMs/edit?usp=share_link"",""อุทัยธานี!m137"")
"),789300)</f>
        <v>789300</v>
      </c>
      <c r="N137" s="45">
        <f ca="1">IFERROR(__xludf.DUMMYFUNCTION("IMPORTRANGE(""https://docs.google.com/spreadsheets/d/1KxicF4apzSqm0-jIpmueT4kyZtE-Cwn5zskl7GD4loQ/edit?usp=share_link"",""กำแพงเพชร!n137"")+IMPORTRANGE(""https://docs.google.com/spreadsheets/d/1ZNYWeiFoFA1K1U4xKWqRX29MBvEyRHXORjo734Gnq_c/edit?usp=share_li"&amp;"nk"",""เชียงราย!n137"")
+IMPORTRANGE(""https://docs.google.com/spreadsheets/d/1Jgv0Y7YlHDtsiDawwp-uvifEJ8HVaSn0k2aGHG8-hwM/edit?usp=share_link"",""เชียงใหม่!n137"")+IMPORTRANGE(""https://docs.google.com/spreadsheets/d/1JWG2rZePOz9pe-f-ObA-yDr0VoOX2kSb0qIi"&amp;"x2mTUo8/edit?usp=share_link"",""ตาก!n137"")+IMPORTRANGE(""https://docs.google.com/spreadsheets/d/10nSRjK08hx8Y6HgSOQKNw81lyY46Zc7U_Cj72hBMp9U/edit?usp=share_link"",""นครสวรรค์!n137"")+IMPORTRANGE(""https://docs.google.com/spreadsheets/d/1gFVb7qd7amutrIxAA"&amp;"oM7lcy35hllxznovot8lyOfvDo/edit?usp=share_link"",""น่าน!n137"")+IMPORTRANGE(""https://docs.google.com/spreadsheets/d/1K0Aa9s-6EuHE5M0FG1F9aHLXRCOV917xvycTdLdct0w/edit?usp=share_link"",""พะเยา!n137"")+IMPORTRANGE(""https://docs.google.com/spreadsheets/d/1Y"&amp;"9LPKx95PyL5OKy09d-KbKJSuuEZCFdkhYjwC0XQjBA/edit?usp=share_link"",""พิจิตร!n137"")+IMPORTRANGE(""https://docs.google.com/spreadsheets/d/16OMuOwy2eVqZcYWOouQtTpa8X1L23h4660uVHc0C8os/edit?usp=share_link"",""พิษณุโลก!n137"")+IMPORTRANGE(""https://docs.google."&amp;"com/spreadsheets/d/1GfgTldLG6k77HXaMQzaafODklYuucJZQNs_GAPEfZyY/edit?usp=share_link"",""เพชรบูรณ์!n137"")+IMPORTRANGE(""https://docs.google.com/spreadsheets/d/1gvTMYAnm7v1yG1BKWFtr0DnaTsq59oW9dwWvFgq6hs0/edit?usp=share_link"",""แพร่!n137"")+IMPORTRANGE("""&amp;"https://docs.google.com/spreadsheets/d/1Wbcosgy-Xa1xXUArJSOenub6EfZHUSzc_bpJFWwQUf0/edit?usp=share_link"",""แม่ฮ่องสอน!n137"")+IMPORTRANGE(""https://docs.google.com/spreadsheets/d/1p7ERhsr0qZeSn-KSOdeHS9r0heI-lHtkcn2OH7hP0jQ/edit?usp=share_link"",""ลำปาง!"&amp;"n137"")+IMPORTRANGE(""https://docs.google.com/spreadsheets/d/1-uUXvimVhiU2U0bMN-xi2te0tS4X7DI2GLPnMjzl8cA/edit?usp=share_link"",""ลำพูน!n137"")+IMPORTRANGE(""https://docs.google.com/spreadsheets/d/17HrOaa5pBUI1onckFfumXB8xlg35qb2uBAFfF1D-Myo/edit?usp=shar"&amp;"e_link"",""สุโขทัย!n137"")+IMPORTRANGE(""https://docs.google.com/spreadsheets/d/1ubs5cl16eYL9gHbdHTJtmtYb9MGzHBs7CAphn8kNCgM/edit?usp=share_link"",""อุตรดิตถ์!n137"")+IMPORTRANGE(""https://docs.google.com/spreadsheets/d/1kII0BjS6CtVrBvI8IrytgPdxDrlyQDyigz"&amp;"MsohRtDMs/edit?usp=share_link"",""อุทัยธานี!n137"")
"),368970.5)</f>
        <v>368970.5</v>
      </c>
      <c r="O137" s="45">
        <f t="shared" ca="1" si="88"/>
        <v>39.493342324406484</v>
      </c>
      <c r="P137" s="45">
        <f t="shared" ca="1" si="89"/>
        <v>46.746547573799567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3">L139+L140</f>
        <v>1236000</v>
      </c>
      <c r="M138" s="38">
        <f t="shared" ca="1" si="93"/>
        <v>1210500</v>
      </c>
      <c r="N138" s="38">
        <f t="shared" ca="1" si="93"/>
        <v>1204500</v>
      </c>
      <c r="O138" s="38">
        <f t="shared" ca="1" si="88"/>
        <v>97.451456310679617</v>
      </c>
      <c r="P138" s="38">
        <f t="shared" ca="1" si="89"/>
        <v>99.504337050805447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8"/>
        <v>0</v>
      </c>
      <c r="P139" s="45">
        <f t="shared" si="89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KxicF4apzSqm0-jIpmueT4kyZtE-Cwn5zskl7GD4loQ/edit?usp=share_link"",""กำแพงเพชร!l140"")+IMPORTRANGE(""https://docs.google.com/spreadsheets/d/1ZNYWeiFoFA1K1U4xKWqRX29MBvEyRHXORjo734Gnq_c/edit?usp=share_li"&amp;"nk"",""เชียงราย!l140"")
+IMPORTRANGE(""https://docs.google.com/spreadsheets/d/1Jgv0Y7YlHDtsiDawwp-uvifEJ8HVaSn0k2aGHG8-hwM/edit?usp=share_link"",""เชียงใหม่!l140"")+IMPORTRANGE(""https://docs.google.com/spreadsheets/d/1JWG2rZePOz9pe-f-ObA-yDr0VoOX2kSb0qIi"&amp;"x2mTUo8/edit?usp=share_link"",""ตาก!l140"")+IMPORTRANGE(""https://docs.google.com/spreadsheets/d/10nSRjK08hx8Y6HgSOQKNw81lyY46Zc7U_Cj72hBMp9U/edit?usp=share_link"",""นครสวรรค์!l140"")+IMPORTRANGE(""https://docs.google.com/spreadsheets/d/1gFVb7qd7amutrIxAA"&amp;"oM7lcy35hllxznovot8lyOfvDo/edit?usp=share_link"",""น่าน!l140"")+IMPORTRANGE(""https://docs.google.com/spreadsheets/d/1K0Aa9s-6EuHE5M0FG1F9aHLXRCOV917xvycTdLdct0w/edit?usp=share_link"",""พะเยา!l140"")+IMPORTRANGE(""https://docs.google.com/spreadsheets/d/1Y"&amp;"9LPKx95PyL5OKy09d-KbKJSuuEZCFdkhYjwC0XQjBA/edit?usp=share_link"",""พิจิตร!l140"")+IMPORTRANGE(""https://docs.google.com/spreadsheets/d/16OMuOwy2eVqZcYWOouQtTpa8X1L23h4660uVHc0C8os/edit?usp=share_link"",""พิษณุโลก!l140"")+IMPORTRANGE(""https://docs.google."&amp;"com/spreadsheets/d/1GfgTldLG6k77HXaMQzaafODklYuucJZQNs_GAPEfZyY/edit?usp=share_link"",""เพชรบูรณ์!l140"")+IMPORTRANGE(""https://docs.google.com/spreadsheets/d/1gvTMYAnm7v1yG1BKWFtr0DnaTsq59oW9dwWvFgq6hs0/edit?usp=share_link"",""แพร่!l140"")+IMPORTRANGE("""&amp;"https://docs.google.com/spreadsheets/d/1Wbcosgy-Xa1xXUArJSOenub6EfZHUSzc_bpJFWwQUf0/edit?usp=share_link"",""แม่ฮ่องสอน!l140"")+IMPORTRANGE(""https://docs.google.com/spreadsheets/d/1p7ERhsr0qZeSn-KSOdeHS9r0heI-lHtkcn2OH7hP0jQ/edit?usp=share_link"",""ลำปาง!"&amp;"l140"")+IMPORTRANGE(""https://docs.google.com/spreadsheets/d/1-uUXvimVhiU2U0bMN-xi2te0tS4X7DI2GLPnMjzl8cA/edit?usp=share_link"",""ลำพูน!l140"")+IMPORTRANGE(""https://docs.google.com/spreadsheets/d/17HrOaa5pBUI1onckFfumXB8xlg35qb2uBAFfF1D-Myo/edit?usp=shar"&amp;"e_link"",""สุโขทัย!l140"")+IMPORTRANGE(""https://docs.google.com/spreadsheets/d/1ubs5cl16eYL9gHbdHTJtmtYb9MGzHBs7CAphn8kNCgM/edit?usp=share_link"",""อุตรดิตถ์!l140"")+IMPORTRANGE(""https://docs.google.com/spreadsheets/d/1kII0BjS6CtVrBvI8IrytgPdxDrlyQDyigz"&amp;"MsohRtDMs/edit?usp=share_link"",""อุทัยธานี!l140"")
"),1236000)</f>
        <v>1236000</v>
      </c>
      <c r="M140" s="45">
        <f ca="1">IFERROR(__xludf.DUMMYFUNCTION("IMPORTRANGE(""https://docs.google.com/spreadsheets/d/1KxicF4apzSqm0-jIpmueT4kyZtE-Cwn5zskl7GD4loQ/edit?usp=share_link"",""กำแพงเพชร!m140"")+IMPORTRANGE(""https://docs.google.com/spreadsheets/d/1ZNYWeiFoFA1K1U4xKWqRX29MBvEyRHXORjo734Gnq_c/edit?usp=share_li"&amp;"nk"",""เชียงราย!m140"")
+IMPORTRANGE(""https://docs.google.com/spreadsheets/d/1Jgv0Y7YlHDtsiDawwp-uvifEJ8HVaSn0k2aGHG8-hwM/edit?usp=share_link"",""เชียงใหม่!m140"")+IMPORTRANGE(""https://docs.google.com/spreadsheets/d/1JWG2rZePOz9pe-f-ObA-yDr0VoOX2kSb0qIi"&amp;"x2mTUo8/edit?usp=share_link"",""ตาก!m140"")+IMPORTRANGE(""https://docs.google.com/spreadsheets/d/10nSRjK08hx8Y6HgSOQKNw81lyY46Zc7U_Cj72hBMp9U/edit?usp=share_link"",""นครสวรรค์!m140"")+IMPORTRANGE(""https://docs.google.com/spreadsheets/d/1gFVb7qd7amutrIxAA"&amp;"oM7lcy35hllxznovot8lyOfvDo/edit?usp=share_link"",""น่าน!m140"")+IMPORTRANGE(""https://docs.google.com/spreadsheets/d/1K0Aa9s-6EuHE5M0FG1F9aHLXRCOV917xvycTdLdct0w/edit?usp=share_link"",""พะเยา!m140"")+IMPORTRANGE(""https://docs.google.com/spreadsheets/d/1Y"&amp;"9LPKx95PyL5OKy09d-KbKJSuuEZCFdkhYjwC0XQjBA/edit?usp=share_link"",""พิจิตร!m140"")+IMPORTRANGE(""https://docs.google.com/spreadsheets/d/16OMuOwy2eVqZcYWOouQtTpa8X1L23h4660uVHc0C8os/edit?usp=share_link"",""พิษณุโลก!m140"")+IMPORTRANGE(""https://docs.google."&amp;"com/spreadsheets/d/1GfgTldLG6k77HXaMQzaafODklYuucJZQNs_GAPEfZyY/edit?usp=share_link"",""เพชรบูรณ์!m140"")+IMPORTRANGE(""https://docs.google.com/spreadsheets/d/1gvTMYAnm7v1yG1BKWFtr0DnaTsq59oW9dwWvFgq6hs0/edit?usp=share_link"",""แพร่!m140"")+IMPORTRANGE("""&amp;"https://docs.google.com/spreadsheets/d/1Wbcosgy-Xa1xXUArJSOenub6EfZHUSzc_bpJFWwQUf0/edit?usp=share_link"",""แม่ฮ่องสอน!m140"")+IMPORTRANGE(""https://docs.google.com/spreadsheets/d/1p7ERhsr0qZeSn-KSOdeHS9r0heI-lHtkcn2OH7hP0jQ/edit?usp=share_link"",""ลำปาง!"&amp;"m140"")+IMPORTRANGE(""https://docs.google.com/spreadsheets/d/1-uUXvimVhiU2U0bMN-xi2te0tS4X7DI2GLPnMjzl8cA/edit?usp=share_link"",""ลำพูน!m140"")+IMPORTRANGE(""https://docs.google.com/spreadsheets/d/17HrOaa5pBUI1onckFfumXB8xlg35qb2uBAFfF1D-Myo/edit?usp=shar"&amp;"e_link"",""สุโขทัย!m140"")+IMPORTRANGE(""https://docs.google.com/spreadsheets/d/1ubs5cl16eYL9gHbdHTJtmtYb9MGzHBs7CAphn8kNCgM/edit?usp=share_link"",""อุตรดิตถ์!m140"")+IMPORTRANGE(""https://docs.google.com/spreadsheets/d/1kII0BjS6CtVrBvI8IrytgPdxDrlyQDyigz"&amp;"MsohRtDMs/edit?usp=share_link"",""อุทัยธานี!m140"")
"),1210500)</f>
        <v>1210500</v>
      </c>
      <c r="N140" s="45">
        <f ca="1">IFERROR(__xludf.DUMMYFUNCTION("IMPORTRANGE(""https://docs.google.com/spreadsheets/d/1KxicF4apzSqm0-jIpmueT4kyZtE-Cwn5zskl7GD4loQ/edit?usp=share_link"",""กำแพงเพชร!n140"")+IMPORTRANGE(""https://docs.google.com/spreadsheets/d/1ZNYWeiFoFA1K1U4xKWqRX29MBvEyRHXORjo734Gnq_c/edit?usp=share_li"&amp;"nk"",""เชียงราย!n140"")
+IMPORTRANGE(""https://docs.google.com/spreadsheets/d/1Jgv0Y7YlHDtsiDawwp-uvifEJ8HVaSn0k2aGHG8-hwM/edit?usp=share_link"",""เชียงใหม่!n140"")+IMPORTRANGE(""https://docs.google.com/spreadsheets/d/1JWG2rZePOz9pe-f-ObA-yDr0VoOX2kSb0qIi"&amp;"x2mTUo8/edit?usp=share_link"",""ตาก!n140"")+IMPORTRANGE(""https://docs.google.com/spreadsheets/d/10nSRjK08hx8Y6HgSOQKNw81lyY46Zc7U_Cj72hBMp9U/edit?usp=share_link"",""นครสวรรค์!n140"")+IMPORTRANGE(""https://docs.google.com/spreadsheets/d/1gFVb7qd7amutrIxAA"&amp;"oM7lcy35hllxznovot8lyOfvDo/edit?usp=share_link"",""น่าน!n140"")+IMPORTRANGE(""https://docs.google.com/spreadsheets/d/1K0Aa9s-6EuHE5M0FG1F9aHLXRCOV917xvycTdLdct0w/edit?usp=share_link"",""พะเยา!n140"")+IMPORTRANGE(""https://docs.google.com/spreadsheets/d/1Y"&amp;"9LPKx95PyL5OKy09d-KbKJSuuEZCFdkhYjwC0XQjBA/edit?usp=share_link"",""พิจิตร!n140"")+IMPORTRANGE(""https://docs.google.com/spreadsheets/d/16OMuOwy2eVqZcYWOouQtTpa8X1L23h4660uVHc0C8os/edit?usp=share_link"",""พิษณุโลก!n140"")+IMPORTRANGE(""https://docs.google."&amp;"com/spreadsheets/d/1GfgTldLG6k77HXaMQzaafODklYuucJZQNs_GAPEfZyY/edit?usp=share_link"",""เพชรบูรณ์!n140"")+IMPORTRANGE(""https://docs.google.com/spreadsheets/d/1gvTMYAnm7v1yG1BKWFtr0DnaTsq59oW9dwWvFgq6hs0/edit?usp=share_link"",""แพร่!n140"")+IMPORTRANGE("""&amp;"https://docs.google.com/spreadsheets/d/1Wbcosgy-Xa1xXUArJSOenub6EfZHUSzc_bpJFWwQUf0/edit?usp=share_link"",""แม่ฮ่องสอน!n140"")+IMPORTRANGE(""https://docs.google.com/spreadsheets/d/1p7ERhsr0qZeSn-KSOdeHS9r0heI-lHtkcn2OH7hP0jQ/edit?usp=share_link"",""ลำปาง!"&amp;"n140"")+IMPORTRANGE(""https://docs.google.com/spreadsheets/d/1-uUXvimVhiU2U0bMN-xi2te0tS4X7DI2GLPnMjzl8cA/edit?usp=share_link"",""ลำพูน!n140"")+IMPORTRANGE(""https://docs.google.com/spreadsheets/d/17HrOaa5pBUI1onckFfumXB8xlg35qb2uBAFfF1D-Myo/edit?usp=shar"&amp;"e_link"",""สุโขทัย!n140"")+IMPORTRANGE(""https://docs.google.com/spreadsheets/d/1ubs5cl16eYL9gHbdHTJtmtYb9MGzHBs7CAphn8kNCgM/edit?usp=share_link"",""อุตรดิตถ์!n140"")+IMPORTRANGE(""https://docs.google.com/spreadsheets/d/1kII0BjS6CtVrBvI8IrytgPdxDrlyQDyigz"&amp;"MsohRtDMs/edit?usp=share_link"",""อุทัยธานี!n140"")
"),1204500)</f>
        <v>1204500</v>
      </c>
      <c r="O140" s="45">
        <f t="shared" ca="1" si="88"/>
        <v>97.451456310679617</v>
      </c>
      <c r="P140" s="45">
        <f t="shared" ca="1" si="89"/>
        <v>99.504337050805447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19.5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KxicF4apzSqm0-jIpmueT4kyZtE-Cwn5zskl7GD4loQ/edit?usp=share_link"",""กำแพงเพชร!J142"")+IMPORTRANGE(""https://docs.google.com/spreadsheets/d/1ZNYWeiFoFA1K1U4xKWqRX29MBvEyRHXORjo734Gnq_c/edit?usp=share_li"&amp;"nk"",""เชียงราย!J142"")
+IMPORTRANGE(""https://docs.google.com/spreadsheets/d/1Jgv0Y7YlHDtsiDawwp-uvifEJ8HVaSn0k2aGHG8-hwM/edit?usp=share_link"",""เชียงใหม่!J142"")+IMPORTRANGE(""https://docs.google.com/spreadsheets/d/1JWG2rZePOz9pe-f-ObA-yDr0VoOX2kSb0qIi"&amp;"x2mTUo8/edit?usp=share_link"",""ตาก!J142"")+IMPORTRANGE(""https://docs.google.com/spreadsheets/d/10nSRjK08hx8Y6HgSOQKNw81lyY46Zc7U_Cj72hBMp9U/edit?usp=share_link"",""นครสวรรค์!J142"")+IMPORTRANGE(""https://docs.google.com/spreadsheets/d/1gFVb7qd7amutrIxAA"&amp;"oM7lcy35hllxznovot8lyOfvDo/edit?usp=share_link"",""น่าน!J142"")+IMPORTRANGE(""https://docs.google.com/spreadsheets/d/1K0Aa9s-6EuHE5M0FG1F9aHLXRCOV917xvycTdLdct0w/edit?usp=share_link"",""พะเยา!J142"")+IMPORTRANGE(""https://docs.google.com/spreadsheets/d/1Y"&amp;"9LPKx95PyL5OKy09d-KbKJSuuEZCFdkhYjwC0XQjBA/edit?usp=share_link"",""พิจิตร!J142"")+IMPORTRANGE(""https://docs.google.com/spreadsheets/d/16OMuOwy2eVqZcYWOouQtTpa8X1L23h4660uVHc0C8os/edit?usp=share_link"",""พิษณุโลก!J142"")+IMPORTRANGE(""https://docs.google."&amp;"com/spreadsheets/d/1GfgTldLG6k77HXaMQzaafODklYuucJZQNs_GAPEfZyY/edit?usp=share_link"",""เพชรบูรณ์!J142"")+IMPORTRANGE(""https://docs.google.com/spreadsheets/d/1gvTMYAnm7v1yG1BKWFtr0DnaTsq59oW9dwWvFgq6hs0/edit?usp=share_link"",""แพร่!J142"")+IMPORTRANGE("""&amp;"https://docs.google.com/spreadsheets/d/1Wbcosgy-Xa1xXUArJSOenub6EfZHUSzc_bpJFWwQUf0/edit?usp=share_link"",""แม่ฮ่องสอน!J142"")+IMPORTRANGE(""https://docs.google.com/spreadsheets/d/1p7ERhsr0qZeSn-KSOdeHS9r0heI-lHtkcn2OH7hP0jQ/edit?usp=share_link"",""ลำปาง!"&amp;"J142"")+IMPORTRANGE(""https://docs.google.com/spreadsheets/d/1-uUXvimVhiU2U0bMN-xi2te0tS4X7DI2GLPnMjzl8cA/edit?usp=share_link"",""ลำพูน!J142"")+IMPORTRANGE(""https://docs.google.com/spreadsheets/d/17HrOaa5pBUI1onckFfumXB8xlg35qb2uBAFfF1D-Myo/edit?usp=shar"&amp;"e_link"",""สุโขทัย!J142"")+IMPORTRANGE(""https://docs.google.com/spreadsheets/d/1ubs5cl16eYL9gHbdHTJtmtYb9MGzHBs7CAphn8kNCgM/edit?usp=share_link"",""อุตรดิตถ์!J142"")+IMPORTRANGE(""https://docs.google.com/spreadsheets/d/1kII0BjS6CtVrBvI8IrytgPdxDrlyQDyigz"&amp;"MsohRtDMs/edit?usp=share_link"",""อุทัยธานี!J142"")
"),31)</f>
        <v>31</v>
      </c>
      <c r="K142" s="38"/>
      <c r="L142" s="38"/>
      <c r="M142" s="38"/>
      <c r="N142" s="38"/>
      <c r="O142" s="38"/>
      <c r="P142" s="38"/>
    </row>
    <row r="143" spans="1:26" ht="19.5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120</v>
      </c>
      <c r="J143" s="37">
        <f ca="1">IFERROR(__xludf.DUMMYFUNCTION("IMPORTRANGE(""https://docs.google.com/spreadsheets/d/1KxicF4apzSqm0-jIpmueT4kyZtE-Cwn5zskl7GD4loQ/edit?usp=share_link"",""กำแพงเพชร!J143"")+IMPORTRANGE(""https://docs.google.com/spreadsheets/d/1ZNYWeiFoFA1K1U4xKWqRX29MBvEyRHXORjo734Gnq_c/edit?usp=share_li"&amp;"nk"",""เชียงราย!J143"")
+IMPORTRANGE(""https://docs.google.com/spreadsheets/d/1Jgv0Y7YlHDtsiDawwp-uvifEJ8HVaSn0k2aGHG8-hwM/edit?usp=share_link"",""เชียงใหม่!J143"")+IMPORTRANGE(""https://docs.google.com/spreadsheets/d/1JWG2rZePOz9pe-f-ObA-yDr0VoOX2kSb0qIi"&amp;"x2mTUo8/edit?usp=share_link"",""ตาก!J143"")+IMPORTRANGE(""https://docs.google.com/spreadsheets/d/10nSRjK08hx8Y6HgSOQKNw81lyY46Zc7U_Cj72hBMp9U/edit?usp=share_link"",""นครสวรรค์!J143"")+IMPORTRANGE(""https://docs.google.com/spreadsheets/d/1gFVb7qd7amutrIxAA"&amp;"oM7lcy35hllxznovot8lyOfvDo/edit?usp=share_link"",""น่าน!J143"")+IMPORTRANGE(""https://docs.google.com/spreadsheets/d/1K0Aa9s-6EuHE5M0FG1F9aHLXRCOV917xvycTdLdct0w/edit?usp=share_link"",""พะเยา!J143"")+IMPORTRANGE(""https://docs.google.com/spreadsheets/d/1Y"&amp;"9LPKx95PyL5OKy09d-KbKJSuuEZCFdkhYjwC0XQjBA/edit?usp=share_link"",""พิจิตร!J143"")+IMPORTRANGE(""https://docs.google.com/spreadsheets/d/16OMuOwy2eVqZcYWOouQtTpa8X1L23h4660uVHc0C8os/edit?usp=share_link"",""พิษณุโลก!J143"")+IMPORTRANGE(""https://docs.google."&amp;"com/spreadsheets/d/1GfgTldLG6k77HXaMQzaafODklYuucJZQNs_GAPEfZyY/edit?usp=share_link"",""เพชรบูรณ์!J143"")+IMPORTRANGE(""https://docs.google.com/spreadsheets/d/1gvTMYAnm7v1yG1BKWFtr0DnaTsq59oW9dwWvFgq6hs0/edit?usp=share_link"",""แพร่!J143"")+IMPORTRANGE("""&amp;"https://docs.google.com/spreadsheets/d/1Wbcosgy-Xa1xXUArJSOenub6EfZHUSzc_bpJFWwQUf0/edit?usp=share_link"",""แม่ฮ่องสอน!J143"")+IMPORTRANGE(""https://docs.google.com/spreadsheets/d/1p7ERhsr0qZeSn-KSOdeHS9r0heI-lHtkcn2OH7hP0jQ/edit?usp=share_link"",""ลำปาง!"&amp;"J143"")+IMPORTRANGE(""https://docs.google.com/spreadsheets/d/1-uUXvimVhiU2U0bMN-xi2te0tS4X7DI2GLPnMjzl8cA/edit?usp=share_link"",""ลำพูน!J143"")+IMPORTRANGE(""https://docs.google.com/spreadsheets/d/17HrOaa5pBUI1onckFfumXB8xlg35qb2uBAFfF1D-Myo/edit?usp=shar"&amp;"e_link"",""สุโขทัย!J143"")+IMPORTRANGE(""https://docs.google.com/spreadsheets/d/1ubs5cl16eYL9gHbdHTJtmtYb9MGzHBs7CAphn8kNCgM/edit?usp=share_link"",""อุตรดิตถ์!J143"")+IMPORTRANGE(""https://docs.google.com/spreadsheets/d/1kII0BjS6CtVrBvI8IrytgPdxDrlyQDyigz"&amp;"MsohRtDMs/edit?usp=share_link"",""อุทัยธานี!J143"")
"),50)</f>
        <v>50</v>
      </c>
      <c r="K143" s="38">
        <f t="shared" ref="K143:K146" ca="1" si="94">IF(I143&gt;0,J143*100/I143,0)</f>
        <v>41.666666666666664</v>
      </c>
      <c r="L143" s="38"/>
      <c r="M143" s="38"/>
      <c r="N143" s="38"/>
      <c r="O143" s="38"/>
      <c r="P143" s="38"/>
    </row>
    <row r="144" spans="1:26" ht="19.5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KxicF4apzSqm0-jIpmueT4kyZtE-Cwn5zskl7GD4loQ/edit?usp=share_link"",""กำแพงเพชร!I144"")+IMPORTRANGE(""https://docs.google.com/spreadsheets/d/1ZNYWeiFoFA1K1U4xKWqRX29MBvEyRHXORjo734Gnq_c/edit?usp=share_li"&amp;"nk"",""เชียงราย!I144"")
+IMPORTRANGE(""https://docs.google.com/spreadsheets/d/1Jgv0Y7YlHDtsiDawwp-uvifEJ8HVaSn0k2aGHG8-hwM/edit?usp=share_link"",""เชียงใหม่!I144"")+IMPORTRANGE(""https://docs.google.com/spreadsheets/d/1JWG2rZePOz9pe-f-ObA-yDr0VoOX2kSb0qIi"&amp;"x2mTUo8/edit?usp=share_link"",""ตาก!I144"")+IMPORTRANGE(""https://docs.google.com/spreadsheets/d/10nSRjK08hx8Y6HgSOQKNw81lyY46Zc7U_Cj72hBMp9U/edit?usp=share_link"",""นครสวรรค์!I144"")+IMPORTRANGE(""https://docs.google.com/spreadsheets/d/1gFVb7qd7amutrIxAA"&amp;"oM7lcy35hllxznovot8lyOfvDo/edit?usp=share_link"",""น่าน!I144"")+IMPORTRANGE(""https://docs.google.com/spreadsheets/d/1K0Aa9s-6EuHE5M0FG1F9aHLXRCOV917xvycTdLdct0w/edit?usp=share_link"",""พะเยา!I144"")+IMPORTRANGE(""https://docs.google.com/spreadsheets/d/1Y"&amp;"9LPKx95PyL5OKy09d-KbKJSuuEZCFdkhYjwC0XQjBA/edit?usp=share_link"",""พิจิตร!I144"")+IMPORTRANGE(""https://docs.google.com/spreadsheets/d/16OMuOwy2eVqZcYWOouQtTpa8X1L23h4660uVHc0C8os/edit?usp=share_link"",""พิษณุโลก!I144"")+IMPORTRANGE(""https://docs.google."&amp;"com/spreadsheets/d/1GfgTldLG6k77HXaMQzaafODklYuucJZQNs_GAPEfZyY/edit?usp=share_link"",""เพชรบูรณ์!I144"")+IMPORTRANGE(""https://docs.google.com/spreadsheets/d/1gvTMYAnm7v1yG1BKWFtr0DnaTsq59oW9dwWvFgq6hs0/edit?usp=share_link"",""แพร่!I144"")+IMPORTRANGE("""&amp;"https://docs.google.com/spreadsheets/d/1Wbcosgy-Xa1xXUArJSOenub6EfZHUSzc_bpJFWwQUf0/edit?usp=share_link"",""แม่ฮ่องสอน!I144"")+IMPORTRANGE(""https://docs.google.com/spreadsheets/d/1p7ERhsr0qZeSn-KSOdeHS9r0heI-lHtkcn2OH7hP0jQ/edit?usp=share_link"",""ลำปาง!"&amp;"I144"")+IMPORTRANGE(""https://docs.google.com/spreadsheets/d/1-uUXvimVhiU2U0bMN-xi2te0tS4X7DI2GLPnMjzl8cA/edit?usp=share_link"",""ลำพูน!I144"")+IMPORTRANGE(""https://docs.google.com/spreadsheets/d/17HrOaa5pBUI1onckFfumXB8xlg35qb2uBAFfF1D-Myo/edit?usp=shar"&amp;"e_link"",""สุโขทัย!I144"")+IMPORTRANGE(""https://docs.google.com/spreadsheets/d/1ubs5cl16eYL9gHbdHTJtmtYb9MGzHBs7CAphn8kNCgM/edit?usp=share_link"",""อุตรดิตถ์!I144"")+IMPORTRANGE(""https://docs.google.com/spreadsheets/d/1kII0BjS6CtVrBvI8IrytgPdxDrlyQDyigz"&amp;"MsohRtDMs/edit?usp=share_link"",""อุทัยธานี!I144"")
"),60)</f>
        <v>60</v>
      </c>
      <c r="J144" s="183">
        <f ca="1">IFERROR(__xludf.DUMMYFUNCTION("IMPORTRANGE(""https://docs.google.com/spreadsheets/d/1KxicF4apzSqm0-jIpmueT4kyZtE-Cwn5zskl7GD4loQ/edit?usp=share_link"",""กำแพงเพชร!J144"")+IMPORTRANGE(""https://docs.google.com/spreadsheets/d/1ZNYWeiFoFA1K1U4xKWqRX29MBvEyRHXORjo734Gnq_c/edit?usp=share_li"&amp;"nk"",""เชียงราย!J144"")
+IMPORTRANGE(""https://docs.google.com/spreadsheets/d/1Jgv0Y7YlHDtsiDawwp-uvifEJ8HVaSn0k2aGHG8-hwM/edit?usp=share_link"",""เชียงใหม่!J144"")+IMPORTRANGE(""https://docs.google.com/spreadsheets/d/1JWG2rZePOz9pe-f-ObA-yDr0VoOX2kSb0qIi"&amp;"x2mTUo8/edit?usp=share_link"",""ตาก!J144"")+IMPORTRANGE(""https://docs.google.com/spreadsheets/d/10nSRjK08hx8Y6HgSOQKNw81lyY46Zc7U_Cj72hBMp9U/edit?usp=share_link"",""นครสวรรค์!J144"")+IMPORTRANGE(""https://docs.google.com/spreadsheets/d/1gFVb7qd7amutrIxAA"&amp;"oM7lcy35hllxznovot8lyOfvDo/edit?usp=share_link"",""น่าน!J144"")+IMPORTRANGE(""https://docs.google.com/spreadsheets/d/1K0Aa9s-6EuHE5M0FG1F9aHLXRCOV917xvycTdLdct0w/edit?usp=share_link"",""พะเยา!J144"")+IMPORTRANGE(""https://docs.google.com/spreadsheets/d/1Y"&amp;"9LPKx95PyL5OKy09d-KbKJSuuEZCFdkhYjwC0XQjBA/edit?usp=share_link"",""พิจิตร!J144"")+IMPORTRANGE(""https://docs.google.com/spreadsheets/d/16OMuOwy2eVqZcYWOouQtTpa8X1L23h4660uVHc0C8os/edit?usp=share_link"",""พิษณุโลก!J144"")+IMPORTRANGE(""https://docs.google."&amp;"com/spreadsheets/d/1GfgTldLG6k77HXaMQzaafODklYuucJZQNs_GAPEfZyY/edit?usp=share_link"",""เพชรบูรณ์!J144"")+IMPORTRANGE(""https://docs.google.com/spreadsheets/d/1gvTMYAnm7v1yG1BKWFtr0DnaTsq59oW9dwWvFgq6hs0/edit?usp=share_link"",""แพร่!J144"")+IMPORTRANGE("""&amp;"https://docs.google.com/spreadsheets/d/1Wbcosgy-Xa1xXUArJSOenub6EfZHUSzc_bpJFWwQUf0/edit?usp=share_link"",""แม่ฮ่องสอน!J144"")+IMPORTRANGE(""https://docs.google.com/spreadsheets/d/1p7ERhsr0qZeSn-KSOdeHS9r0heI-lHtkcn2OH7hP0jQ/edit?usp=share_link"",""ลำปาง!"&amp;"J144"")+IMPORTRANGE(""https://docs.google.com/spreadsheets/d/1-uUXvimVhiU2U0bMN-xi2te0tS4X7DI2GLPnMjzl8cA/edit?usp=share_link"",""ลำพูน!J144"")+IMPORTRANGE(""https://docs.google.com/spreadsheets/d/17HrOaa5pBUI1onckFfumXB8xlg35qb2uBAFfF1D-Myo/edit?usp=shar"&amp;"e_link"",""สุโขทัย!J144"")+IMPORTRANGE(""https://docs.google.com/spreadsheets/d/1ubs5cl16eYL9gHbdHTJtmtYb9MGzHBs7CAphn8kNCgM/edit?usp=share_link"",""อุตรดิตถ์!J144"")+IMPORTRANGE(""https://docs.google.com/spreadsheets/d/1kII0BjS6CtVrBvI8IrytgPdxDrlyQDyigz"&amp;"MsohRtDMs/edit?usp=share_link"",""อุทัยธานี!J144"")
"),70)</f>
        <v>70</v>
      </c>
      <c r="K144" s="38">
        <f t="shared" ca="1" si="94"/>
        <v>116.66666666666667</v>
      </c>
      <c r="L144" s="38"/>
      <c r="M144" s="38"/>
      <c r="N144" s="38"/>
      <c r="O144" s="38"/>
      <c r="P144" s="38"/>
    </row>
    <row r="145" spans="1:26" ht="19.5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KxicF4apzSqm0-jIpmueT4kyZtE-Cwn5zskl7GD4loQ/edit?usp=share_link"",""กำแพงเพชร!I145"")+IMPORTRANGE(""https://docs.google.com/spreadsheets/d/1ZNYWeiFoFA1K1U4xKWqRX29MBvEyRHXORjo734Gnq_c/edit?usp=share_li"&amp;"nk"",""เชียงราย!I145"")
+IMPORTRANGE(""https://docs.google.com/spreadsheets/d/1Jgv0Y7YlHDtsiDawwp-uvifEJ8HVaSn0k2aGHG8-hwM/edit?usp=share_link"",""เชียงใหม่!I145"")+IMPORTRANGE(""https://docs.google.com/spreadsheets/d/1JWG2rZePOz9pe-f-ObA-yDr0VoOX2kSb0qIi"&amp;"x2mTUo8/edit?usp=share_link"",""ตาก!I145"")+IMPORTRANGE(""https://docs.google.com/spreadsheets/d/10nSRjK08hx8Y6HgSOQKNw81lyY46Zc7U_Cj72hBMp9U/edit?usp=share_link"",""นครสวรรค์!I145"")+IMPORTRANGE(""https://docs.google.com/spreadsheets/d/1gFVb7qd7amutrIxAA"&amp;"oM7lcy35hllxznovot8lyOfvDo/edit?usp=share_link"",""น่าน!I145"")+IMPORTRANGE(""https://docs.google.com/spreadsheets/d/1K0Aa9s-6EuHE5M0FG1F9aHLXRCOV917xvycTdLdct0w/edit?usp=share_link"",""พะเยา!I145"")+IMPORTRANGE(""https://docs.google.com/spreadsheets/d/1Y"&amp;"9LPKx95PyL5OKy09d-KbKJSuuEZCFdkhYjwC0XQjBA/edit?usp=share_link"",""พิจิตร!I145"")+IMPORTRANGE(""https://docs.google.com/spreadsheets/d/16OMuOwy2eVqZcYWOouQtTpa8X1L23h4660uVHc0C8os/edit?usp=share_link"",""พิษณุโลก!I145"")+IMPORTRANGE(""https://docs.google."&amp;"com/spreadsheets/d/1GfgTldLG6k77HXaMQzaafODklYuucJZQNs_GAPEfZyY/edit?usp=share_link"",""เพชรบูรณ์!I145"")+IMPORTRANGE(""https://docs.google.com/spreadsheets/d/1gvTMYAnm7v1yG1BKWFtr0DnaTsq59oW9dwWvFgq6hs0/edit?usp=share_link"",""แพร่!I145"")+IMPORTRANGE("""&amp;"https://docs.google.com/spreadsheets/d/1Wbcosgy-Xa1xXUArJSOenub6EfZHUSzc_bpJFWwQUf0/edit?usp=share_link"",""แม่ฮ่องสอน!I145"")+IMPORTRANGE(""https://docs.google.com/spreadsheets/d/1p7ERhsr0qZeSn-KSOdeHS9r0heI-lHtkcn2OH7hP0jQ/edit?usp=share_link"",""ลำปาง!"&amp;"I145"")+IMPORTRANGE(""https://docs.google.com/spreadsheets/d/1-uUXvimVhiU2U0bMN-xi2te0tS4X7DI2GLPnMjzl8cA/edit?usp=share_link"",""ลำพูน!I145"")+IMPORTRANGE(""https://docs.google.com/spreadsheets/d/17HrOaa5pBUI1onckFfumXB8xlg35qb2uBAFfF1D-Myo/edit?usp=shar"&amp;"e_link"",""สุโขทัย!I145"")+IMPORTRANGE(""https://docs.google.com/spreadsheets/d/1ubs5cl16eYL9gHbdHTJtmtYb9MGzHBs7CAphn8kNCgM/edit?usp=share_link"",""อุตรดิตถ์!I145"")+IMPORTRANGE(""https://docs.google.com/spreadsheets/d/1kII0BjS6CtVrBvI8IrytgPdxDrlyQDyigz"&amp;"MsohRtDMs/edit?usp=share_link"",""อุทัยธานี!I145"")
"),120)</f>
        <v>120</v>
      </c>
      <c r="J145" s="183">
        <f ca="1">IFERROR(__xludf.DUMMYFUNCTION("IMPORTRANGE(""https://docs.google.com/spreadsheets/d/1KxicF4apzSqm0-jIpmueT4kyZtE-Cwn5zskl7GD4loQ/edit?usp=share_link"",""กำแพงเพชร!J145"")+IMPORTRANGE(""https://docs.google.com/spreadsheets/d/1ZNYWeiFoFA1K1U4xKWqRX29MBvEyRHXORjo734Gnq_c/edit?usp=share_li"&amp;"nk"",""เชียงราย!J145"")
+IMPORTRANGE(""https://docs.google.com/spreadsheets/d/1Jgv0Y7YlHDtsiDawwp-uvifEJ8HVaSn0k2aGHG8-hwM/edit?usp=share_link"",""เชียงใหม่!J145"")+IMPORTRANGE(""https://docs.google.com/spreadsheets/d/1JWG2rZePOz9pe-f-ObA-yDr0VoOX2kSb0qIi"&amp;"x2mTUo8/edit?usp=share_link"",""ตาก!J145"")+IMPORTRANGE(""https://docs.google.com/spreadsheets/d/10nSRjK08hx8Y6HgSOQKNw81lyY46Zc7U_Cj72hBMp9U/edit?usp=share_link"",""นครสวรรค์!J145"")+IMPORTRANGE(""https://docs.google.com/spreadsheets/d/1gFVb7qd7amutrIxAA"&amp;"oM7lcy35hllxznovot8lyOfvDo/edit?usp=share_link"",""น่าน!J145"")+IMPORTRANGE(""https://docs.google.com/spreadsheets/d/1K0Aa9s-6EuHE5M0FG1F9aHLXRCOV917xvycTdLdct0w/edit?usp=share_link"",""พะเยา!J145"")+IMPORTRANGE(""https://docs.google.com/spreadsheets/d/1Y"&amp;"9LPKx95PyL5OKy09d-KbKJSuuEZCFdkhYjwC0XQjBA/edit?usp=share_link"",""พิจิตร!J145"")+IMPORTRANGE(""https://docs.google.com/spreadsheets/d/16OMuOwy2eVqZcYWOouQtTpa8X1L23h4660uVHc0C8os/edit?usp=share_link"",""พิษณุโลก!J145"")+IMPORTRANGE(""https://docs.google."&amp;"com/spreadsheets/d/1GfgTldLG6k77HXaMQzaafODklYuucJZQNs_GAPEfZyY/edit?usp=share_link"",""เพชรบูรณ์!J145"")+IMPORTRANGE(""https://docs.google.com/spreadsheets/d/1gvTMYAnm7v1yG1BKWFtr0DnaTsq59oW9dwWvFgq6hs0/edit?usp=share_link"",""แพร่!J145"")+IMPORTRANGE("""&amp;"https://docs.google.com/spreadsheets/d/1Wbcosgy-Xa1xXUArJSOenub6EfZHUSzc_bpJFWwQUf0/edit?usp=share_link"",""แม่ฮ่องสอน!J145"")+IMPORTRANGE(""https://docs.google.com/spreadsheets/d/1p7ERhsr0qZeSn-KSOdeHS9r0heI-lHtkcn2OH7hP0jQ/edit?usp=share_link"",""ลำปาง!"&amp;"J145"")+IMPORTRANGE(""https://docs.google.com/spreadsheets/d/1-uUXvimVhiU2U0bMN-xi2te0tS4X7DI2GLPnMjzl8cA/edit?usp=share_link"",""ลำพูน!J145"")+IMPORTRANGE(""https://docs.google.com/spreadsheets/d/17HrOaa5pBUI1onckFfumXB8xlg35qb2uBAFfF1D-Myo/edit?usp=shar"&amp;"e_link"",""สุโขทัย!J145"")+IMPORTRANGE(""https://docs.google.com/spreadsheets/d/1ubs5cl16eYL9gHbdHTJtmtYb9MGzHBs7CAphn8kNCgM/edit?usp=share_link"",""อุตรดิตถ์!J145"")+IMPORTRANGE(""https://docs.google.com/spreadsheets/d/1kII0BjS6CtVrBvI8IrytgPdxDrlyQDyigz"&amp;"MsohRtDMs/edit?usp=share_link"",""อุทัยธานี!J145"")
"),50)</f>
        <v>50</v>
      </c>
      <c r="K145" s="38">
        <f t="shared" ca="1" si="94"/>
        <v>41.666666666666664</v>
      </c>
      <c r="L145" s="38"/>
      <c r="M145" s="38"/>
      <c r="N145" s="38"/>
      <c r="O145" s="38"/>
      <c r="P145" s="38"/>
    </row>
    <row r="146" spans="1:26" ht="19.5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KxicF4apzSqm0-jIpmueT4kyZtE-Cwn5zskl7GD4loQ/edit?usp=share_link"",""กำแพงเพชร!I146"")+IMPORTRANGE(""https://docs.google.com/spreadsheets/d/1ZNYWeiFoFA1K1U4xKWqRX29MBvEyRHXORjo734Gnq_c/edit?usp=share_li"&amp;"nk"",""เชียงราย!I146"")
+IMPORTRANGE(""https://docs.google.com/spreadsheets/d/1Jgv0Y7YlHDtsiDawwp-uvifEJ8HVaSn0k2aGHG8-hwM/edit?usp=share_link"",""เชียงใหม่!I146"")+IMPORTRANGE(""https://docs.google.com/spreadsheets/d/1JWG2rZePOz9pe-f-ObA-yDr0VoOX2kSb0qIi"&amp;"x2mTUo8/edit?usp=share_link"",""ตาก!I146"")+IMPORTRANGE(""https://docs.google.com/spreadsheets/d/10nSRjK08hx8Y6HgSOQKNw81lyY46Zc7U_Cj72hBMp9U/edit?usp=share_link"",""นครสวรรค์!I146"")+IMPORTRANGE(""https://docs.google.com/spreadsheets/d/1gFVb7qd7amutrIxAA"&amp;"oM7lcy35hllxznovot8lyOfvDo/edit?usp=share_link"",""น่าน!I146"")+IMPORTRANGE(""https://docs.google.com/spreadsheets/d/1K0Aa9s-6EuHE5M0FG1F9aHLXRCOV917xvycTdLdct0w/edit?usp=share_link"",""พะเยา!I146"")+IMPORTRANGE(""https://docs.google.com/spreadsheets/d/1Y"&amp;"9LPKx95PyL5OKy09d-KbKJSuuEZCFdkhYjwC0XQjBA/edit?usp=share_link"",""พิจิตร!I146"")+IMPORTRANGE(""https://docs.google.com/spreadsheets/d/16OMuOwy2eVqZcYWOouQtTpa8X1L23h4660uVHc0C8os/edit?usp=share_link"",""พิษณุโลก!I146"")+IMPORTRANGE(""https://docs.google."&amp;"com/spreadsheets/d/1GfgTldLG6k77HXaMQzaafODklYuucJZQNs_GAPEfZyY/edit?usp=share_link"",""เพชรบูรณ์!I146"")+IMPORTRANGE(""https://docs.google.com/spreadsheets/d/1gvTMYAnm7v1yG1BKWFtr0DnaTsq59oW9dwWvFgq6hs0/edit?usp=share_link"",""แพร่!I146"")+IMPORTRANGE("""&amp;"https://docs.google.com/spreadsheets/d/1Wbcosgy-Xa1xXUArJSOenub6EfZHUSzc_bpJFWwQUf0/edit?usp=share_link"",""แม่ฮ่องสอน!I146"")+IMPORTRANGE(""https://docs.google.com/spreadsheets/d/1p7ERhsr0qZeSn-KSOdeHS9r0heI-lHtkcn2OH7hP0jQ/edit?usp=share_link"",""ลำปาง!"&amp;"I146"")+IMPORTRANGE(""https://docs.google.com/spreadsheets/d/1-uUXvimVhiU2U0bMN-xi2te0tS4X7DI2GLPnMjzl8cA/edit?usp=share_link"",""ลำพูน!I146"")+IMPORTRANGE(""https://docs.google.com/spreadsheets/d/17HrOaa5pBUI1onckFfumXB8xlg35qb2uBAFfF1D-Myo/edit?usp=shar"&amp;"e_link"",""สุโขทัย!I146"")+IMPORTRANGE(""https://docs.google.com/spreadsheets/d/1ubs5cl16eYL9gHbdHTJtmtYb9MGzHBs7CAphn8kNCgM/edit?usp=share_link"",""อุตรดิตถ์!I146"")+IMPORTRANGE(""https://docs.google.com/spreadsheets/d/1kII0BjS6CtVrBvI8IrytgPdxDrlyQDyigz"&amp;"MsohRtDMs/edit?usp=share_link"",""อุทัยธานี!I146"")
"),12)</f>
        <v>12</v>
      </c>
      <c r="J146" s="183">
        <f ca="1">IFERROR(__xludf.DUMMYFUNCTION("IMPORTRANGE(""https://docs.google.com/spreadsheets/d/1KxicF4apzSqm0-jIpmueT4kyZtE-Cwn5zskl7GD4loQ/edit?usp=share_link"",""กำแพงเพชร!J146"")+IMPORTRANGE(""https://docs.google.com/spreadsheets/d/1ZNYWeiFoFA1K1U4xKWqRX29MBvEyRHXORjo734Gnq_c/edit?usp=share_li"&amp;"nk"",""เชียงราย!J146"")
+IMPORTRANGE(""https://docs.google.com/spreadsheets/d/1Jgv0Y7YlHDtsiDawwp-uvifEJ8HVaSn0k2aGHG8-hwM/edit?usp=share_link"",""เชียงใหม่!J146"")+IMPORTRANGE(""https://docs.google.com/spreadsheets/d/1JWG2rZePOz9pe-f-ObA-yDr0VoOX2kSb0qIi"&amp;"x2mTUo8/edit?usp=share_link"",""ตาก!J146"")+IMPORTRANGE(""https://docs.google.com/spreadsheets/d/10nSRjK08hx8Y6HgSOQKNw81lyY46Zc7U_Cj72hBMp9U/edit?usp=share_link"",""นครสวรรค์!J146"")+IMPORTRANGE(""https://docs.google.com/spreadsheets/d/1gFVb7qd7amutrIxAA"&amp;"oM7lcy35hllxznovot8lyOfvDo/edit?usp=share_link"",""น่าน!J146"")+IMPORTRANGE(""https://docs.google.com/spreadsheets/d/1K0Aa9s-6EuHE5M0FG1F9aHLXRCOV917xvycTdLdct0w/edit?usp=share_link"",""พะเยา!J146"")+IMPORTRANGE(""https://docs.google.com/spreadsheets/d/1Y"&amp;"9LPKx95PyL5OKy09d-KbKJSuuEZCFdkhYjwC0XQjBA/edit?usp=share_link"",""พิจิตร!J146"")+IMPORTRANGE(""https://docs.google.com/spreadsheets/d/16OMuOwy2eVqZcYWOouQtTpa8X1L23h4660uVHc0C8os/edit?usp=share_link"",""พิษณุโลก!J146"")+IMPORTRANGE(""https://docs.google."&amp;"com/spreadsheets/d/1GfgTldLG6k77HXaMQzaafODklYuucJZQNs_GAPEfZyY/edit?usp=share_link"",""เพชรบูรณ์!J146"")+IMPORTRANGE(""https://docs.google.com/spreadsheets/d/1gvTMYAnm7v1yG1BKWFtr0DnaTsq59oW9dwWvFgq6hs0/edit?usp=share_link"",""แพร่!J146"")+IMPORTRANGE("""&amp;"https://docs.google.com/spreadsheets/d/1Wbcosgy-Xa1xXUArJSOenub6EfZHUSzc_bpJFWwQUf0/edit?usp=share_link"",""แม่ฮ่องสอน!J146"")+IMPORTRANGE(""https://docs.google.com/spreadsheets/d/1p7ERhsr0qZeSn-KSOdeHS9r0heI-lHtkcn2OH7hP0jQ/edit?usp=share_link"",""ลำปาง!"&amp;"J146"")+IMPORTRANGE(""https://docs.google.com/spreadsheets/d/1-uUXvimVhiU2U0bMN-xi2te0tS4X7DI2GLPnMjzl8cA/edit?usp=share_link"",""ลำพูน!J146"")+IMPORTRANGE(""https://docs.google.com/spreadsheets/d/17HrOaa5pBUI1onckFfumXB8xlg35qb2uBAFfF1D-Myo/edit?usp=shar"&amp;"e_link"",""สุโขทัย!J146"")+IMPORTRANGE(""https://docs.google.com/spreadsheets/d/1ubs5cl16eYL9gHbdHTJtmtYb9MGzHBs7CAphn8kNCgM/edit?usp=share_link"",""อุตรดิตถ์!J146"")+IMPORTRANGE(""https://docs.google.com/spreadsheets/d/1kII0BjS6CtVrBvI8IrytgPdxDrlyQDyigz"&amp;"MsohRtDMs/edit?usp=share_link"",""อุทัยธานี!J146"")
"),10)</f>
        <v>10</v>
      </c>
      <c r="K146" s="38">
        <f t="shared" ca="1" si="94"/>
        <v>83.333333333333329</v>
      </c>
      <c r="L146" s="38"/>
      <c r="M146" s="38"/>
      <c r="N146" s="38"/>
      <c r="O146" s="38"/>
      <c r="P146" s="3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5">I159</f>
        <v>180</v>
      </c>
      <c r="J148" s="144">
        <f t="shared" ca="1" si="95"/>
        <v>185</v>
      </c>
      <c r="K148" s="145">
        <f ca="1">IF(I148&gt;0,J148*100/I148,0)</f>
        <v>102.77777777777777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6">L150+L151</f>
        <v>90000</v>
      </c>
      <c r="M149" s="155">
        <f t="shared" ca="1" si="96"/>
        <v>306140</v>
      </c>
      <c r="N149" s="155">
        <f t="shared" ca="1" si="96"/>
        <v>148216.78999999899</v>
      </c>
      <c r="O149" s="155">
        <f t="shared" ref="O149:O157" ca="1" si="97">IF(L149&gt;0,N149*100/L149,0)</f>
        <v>164.68532222222112</v>
      </c>
      <c r="P149" s="155">
        <f t="shared" ref="P149:P157" ca="1" si="98">IF(M149&gt;0,N149*100/M149,0)</f>
        <v>48.414708956686155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9">L153+L156</f>
        <v>0</v>
      </c>
      <c r="M150" s="45">
        <f t="shared" si="99"/>
        <v>0</v>
      </c>
      <c r="N150" s="45">
        <f t="shared" si="99"/>
        <v>0</v>
      </c>
      <c r="O150" s="45">
        <f t="shared" si="97"/>
        <v>0</v>
      </c>
      <c r="P150" s="45">
        <f t="shared" si="98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100">L154+L157</f>
        <v>90000</v>
      </c>
      <c r="M151" s="45">
        <f t="shared" ca="1" si="100"/>
        <v>306140</v>
      </c>
      <c r="N151" s="45">
        <f t="shared" ca="1" si="100"/>
        <v>148216.78999999899</v>
      </c>
      <c r="O151" s="45">
        <f t="shared" ca="1" si="97"/>
        <v>164.68532222222112</v>
      </c>
      <c r="P151" s="45">
        <f t="shared" ca="1" si="98"/>
        <v>48.414708956686155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1">L153+L154</f>
        <v>90000</v>
      </c>
      <c r="M152" s="38">
        <f t="shared" ca="1" si="101"/>
        <v>306140</v>
      </c>
      <c r="N152" s="38">
        <f t="shared" ca="1" si="101"/>
        <v>148216.78999999899</v>
      </c>
      <c r="O152" s="38">
        <f t="shared" ca="1" si="97"/>
        <v>164.68532222222112</v>
      </c>
      <c r="P152" s="38">
        <f t="shared" ca="1" si="98"/>
        <v>48.414708956686155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7"/>
        <v>0</v>
      </c>
      <c r="P153" s="45">
        <f t="shared" si="98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KxicF4apzSqm0-jIpmueT4kyZtE-Cwn5zskl7GD4loQ/edit?usp=share_link"",""กำแพงเพชร!l154"")+IMPORTRANGE(""https://docs.google.com/spreadsheets/d/1ZNYWeiFoFA1K1U4xKWqRX29MBvEyRHXORjo734Gnq_c/edit?usp=share_li"&amp;"nk"",""เชียงราย!l154"")
+IMPORTRANGE(""https://docs.google.com/spreadsheets/d/1Jgv0Y7YlHDtsiDawwp-uvifEJ8HVaSn0k2aGHG8-hwM/edit?usp=share_link"",""เชียงใหม่!l154"")+IMPORTRANGE(""https://docs.google.com/spreadsheets/d/1JWG2rZePOz9pe-f-ObA-yDr0VoOX2kSb0qIi"&amp;"x2mTUo8/edit?usp=share_link"",""ตาก!l154"")+IMPORTRANGE(""https://docs.google.com/spreadsheets/d/10nSRjK08hx8Y6HgSOQKNw81lyY46Zc7U_Cj72hBMp9U/edit?usp=share_link"",""นครสวรรค์!l154"")+IMPORTRANGE(""https://docs.google.com/spreadsheets/d/1gFVb7qd7amutrIxAA"&amp;"oM7lcy35hllxznovot8lyOfvDo/edit?usp=share_link"",""น่าน!l154"")+IMPORTRANGE(""https://docs.google.com/spreadsheets/d/1K0Aa9s-6EuHE5M0FG1F9aHLXRCOV917xvycTdLdct0w/edit?usp=share_link"",""พะเยา!l154"")+IMPORTRANGE(""https://docs.google.com/spreadsheets/d/1Y"&amp;"9LPKx95PyL5OKy09d-KbKJSuuEZCFdkhYjwC0XQjBA/edit?usp=share_link"",""พิจิตร!l154"")+IMPORTRANGE(""https://docs.google.com/spreadsheets/d/16OMuOwy2eVqZcYWOouQtTpa8X1L23h4660uVHc0C8os/edit?usp=share_link"",""พิษณุโลก!l154"")+IMPORTRANGE(""https://docs.google."&amp;"com/spreadsheets/d/1GfgTldLG6k77HXaMQzaafODklYuucJZQNs_GAPEfZyY/edit?usp=share_link"",""เพชรบูรณ์!l154"")+IMPORTRANGE(""https://docs.google.com/spreadsheets/d/1gvTMYAnm7v1yG1BKWFtr0DnaTsq59oW9dwWvFgq6hs0/edit?usp=share_link"",""แพร่!l154"")+IMPORTRANGE("""&amp;"https://docs.google.com/spreadsheets/d/1Wbcosgy-Xa1xXUArJSOenub6EfZHUSzc_bpJFWwQUf0/edit?usp=share_link"",""แม่ฮ่องสอน!l154"")+IMPORTRANGE(""https://docs.google.com/spreadsheets/d/1p7ERhsr0qZeSn-KSOdeHS9r0heI-lHtkcn2OH7hP0jQ/edit?usp=share_link"",""ลำปาง!"&amp;"l154"")+IMPORTRANGE(""https://docs.google.com/spreadsheets/d/1-uUXvimVhiU2U0bMN-xi2te0tS4X7DI2GLPnMjzl8cA/edit?usp=share_link"",""ลำพูน!l154"")+IMPORTRANGE(""https://docs.google.com/spreadsheets/d/17HrOaa5pBUI1onckFfumXB8xlg35qb2uBAFfF1D-Myo/edit?usp=shar"&amp;"e_link"",""สุโขทัย!l154"")+IMPORTRANGE(""https://docs.google.com/spreadsheets/d/1ubs5cl16eYL9gHbdHTJtmtYb9MGzHBs7CAphn8kNCgM/edit?usp=share_link"",""อุตรดิตถ์!l154"")+IMPORTRANGE(""https://docs.google.com/spreadsheets/d/1kII0BjS6CtVrBvI8IrytgPdxDrlyQDyigz"&amp;"MsohRtDMs/edit?usp=share_link"",""อุทัยธานี!l154"")
"),90000)</f>
        <v>90000</v>
      </c>
      <c r="M154" s="45">
        <f ca="1">IFERROR(__xludf.DUMMYFUNCTION("IMPORTRANGE(""https://docs.google.com/spreadsheets/d/1KxicF4apzSqm0-jIpmueT4kyZtE-Cwn5zskl7GD4loQ/edit?usp=share_link"",""กำแพงเพชร!m154"")+IMPORTRANGE(""https://docs.google.com/spreadsheets/d/1ZNYWeiFoFA1K1U4xKWqRX29MBvEyRHXORjo734Gnq_c/edit?usp=share_li"&amp;"nk"",""เชียงราย!m154"")
+IMPORTRANGE(""https://docs.google.com/spreadsheets/d/1Jgv0Y7YlHDtsiDawwp-uvifEJ8HVaSn0k2aGHG8-hwM/edit?usp=share_link"",""เชียงใหม่!m154"")+IMPORTRANGE(""https://docs.google.com/spreadsheets/d/1JWG2rZePOz9pe-f-ObA-yDr0VoOX2kSb0qIi"&amp;"x2mTUo8/edit?usp=share_link"",""ตาก!m154"")+IMPORTRANGE(""https://docs.google.com/spreadsheets/d/10nSRjK08hx8Y6HgSOQKNw81lyY46Zc7U_Cj72hBMp9U/edit?usp=share_link"",""นครสวรรค์!m154"")+IMPORTRANGE(""https://docs.google.com/spreadsheets/d/1gFVb7qd7amutrIxAA"&amp;"oM7lcy35hllxznovot8lyOfvDo/edit?usp=share_link"",""น่าน!m154"")+IMPORTRANGE(""https://docs.google.com/spreadsheets/d/1K0Aa9s-6EuHE5M0FG1F9aHLXRCOV917xvycTdLdct0w/edit?usp=share_link"",""พะเยา!m154"")+IMPORTRANGE(""https://docs.google.com/spreadsheets/d/1Y"&amp;"9LPKx95PyL5OKy09d-KbKJSuuEZCFdkhYjwC0XQjBA/edit?usp=share_link"",""พิจิตร!m154"")+IMPORTRANGE(""https://docs.google.com/spreadsheets/d/16OMuOwy2eVqZcYWOouQtTpa8X1L23h4660uVHc0C8os/edit?usp=share_link"",""พิษณุโลก!m154"")+IMPORTRANGE(""https://docs.google."&amp;"com/spreadsheets/d/1GfgTldLG6k77HXaMQzaafODklYuucJZQNs_GAPEfZyY/edit?usp=share_link"",""เพชรบูรณ์!m154"")+IMPORTRANGE(""https://docs.google.com/spreadsheets/d/1gvTMYAnm7v1yG1BKWFtr0DnaTsq59oW9dwWvFgq6hs0/edit?usp=share_link"",""แพร่!m154"")+IMPORTRANGE("""&amp;"https://docs.google.com/spreadsheets/d/1Wbcosgy-Xa1xXUArJSOenub6EfZHUSzc_bpJFWwQUf0/edit?usp=share_link"",""แม่ฮ่องสอน!m154"")+IMPORTRANGE(""https://docs.google.com/spreadsheets/d/1p7ERhsr0qZeSn-KSOdeHS9r0heI-lHtkcn2OH7hP0jQ/edit?usp=share_link"",""ลำปาง!"&amp;"m154"")+IMPORTRANGE(""https://docs.google.com/spreadsheets/d/1-uUXvimVhiU2U0bMN-xi2te0tS4X7DI2GLPnMjzl8cA/edit?usp=share_link"",""ลำพูน!m154"")+IMPORTRANGE(""https://docs.google.com/spreadsheets/d/17HrOaa5pBUI1onckFfumXB8xlg35qb2uBAFfF1D-Myo/edit?usp=shar"&amp;"e_link"",""สุโขทัย!m154"")+IMPORTRANGE(""https://docs.google.com/spreadsheets/d/1ubs5cl16eYL9gHbdHTJtmtYb9MGzHBs7CAphn8kNCgM/edit?usp=share_link"",""อุตรดิตถ์!m154"")+IMPORTRANGE(""https://docs.google.com/spreadsheets/d/1kII0BjS6CtVrBvI8IrytgPdxDrlyQDyigz"&amp;"MsohRtDMs/edit?usp=share_link"",""อุทัยธานี!m154"")
"),306140)</f>
        <v>306140</v>
      </c>
      <c r="N154" s="45">
        <f ca="1">IFERROR(__xludf.DUMMYFUNCTION("IMPORTRANGE(""https://docs.google.com/spreadsheets/d/1KxicF4apzSqm0-jIpmueT4kyZtE-Cwn5zskl7GD4loQ/edit?usp=share_link"",""กำแพงเพชร!n154"")+IMPORTRANGE(""https://docs.google.com/spreadsheets/d/1ZNYWeiFoFA1K1U4xKWqRX29MBvEyRHXORjo734Gnq_c/edit?usp=share_li"&amp;"nk"",""เชียงราย!n154"")
+IMPORTRANGE(""https://docs.google.com/spreadsheets/d/1Jgv0Y7YlHDtsiDawwp-uvifEJ8HVaSn0k2aGHG8-hwM/edit?usp=share_link"",""เชียงใหม่!n154"")+IMPORTRANGE(""https://docs.google.com/spreadsheets/d/1JWG2rZePOz9pe-f-ObA-yDr0VoOX2kSb0qIi"&amp;"x2mTUo8/edit?usp=share_link"",""ตาก!n154"")+IMPORTRANGE(""https://docs.google.com/spreadsheets/d/10nSRjK08hx8Y6HgSOQKNw81lyY46Zc7U_Cj72hBMp9U/edit?usp=share_link"",""นครสวรรค์!n154"")+IMPORTRANGE(""https://docs.google.com/spreadsheets/d/1gFVb7qd7amutrIxAA"&amp;"oM7lcy35hllxznovot8lyOfvDo/edit?usp=share_link"",""น่าน!n154"")+IMPORTRANGE(""https://docs.google.com/spreadsheets/d/1K0Aa9s-6EuHE5M0FG1F9aHLXRCOV917xvycTdLdct0w/edit?usp=share_link"",""พะเยา!n154"")+IMPORTRANGE(""https://docs.google.com/spreadsheets/d/1Y"&amp;"9LPKx95PyL5OKy09d-KbKJSuuEZCFdkhYjwC0XQjBA/edit?usp=share_link"",""พิจิตร!n154"")+IMPORTRANGE(""https://docs.google.com/spreadsheets/d/16OMuOwy2eVqZcYWOouQtTpa8X1L23h4660uVHc0C8os/edit?usp=share_link"",""พิษณุโลก!n154"")+IMPORTRANGE(""https://docs.google."&amp;"com/spreadsheets/d/1GfgTldLG6k77HXaMQzaafODklYuucJZQNs_GAPEfZyY/edit?usp=share_link"",""เพชรบูรณ์!n154"")+IMPORTRANGE(""https://docs.google.com/spreadsheets/d/1gvTMYAnm7v1yG1BKWFtr0DnaTsq59oW9dwWvFgq6hs0/edit?usp=share_link"",""แพร่!n154"")+IMPORTRANGE("""&amp;"https://docs.google.com/spreadsheets/d/1Wbcosgy-Xa1xXUArJSOenub6EfZHUSzc_bpJFWwQUf0/edit?usp=share_link"",""แม่ฮ่องสอน!n154"")+IMPORTRANGE(""https://docs.google.com/spreadsheets/d/1p7ERhsr0qZeSn-KSOdeHS9r0heI-lHtkcn2OH7hP0jQ/edit?usp=share_link"",""ลำปาง!"&amp;"n154"")+IMPORTRANGE(""https://docs.google.com/spreadsheets/d/1-uUXvimVhiU2U0bMN-xi2te0tS4X7DI2GLPnMjzl8cA/edit?usp=share_link"",""ลำพูน!n154"")+IMPORTRANGE(""https://docs.google.com/spreadsheets/d/17HrOaa5pBUI1onckFfumXB8xlg35qb2uBAFfF1D-Myo/edit?usp=shar"&amp;"e_link"",""สุโขทัย!n154"")+IMPORTRANGE(""https://docs.google.com/spreadsheets/d/1ubs5cl16eYL9gHbdHTJtmtYb9MGzHBs7CAphn8kNCgM/edit?usp=share_link"",""อุตรดิตถ์!n154"")+IMPORTRANGE(""https://docs.google.com/spreadsheets/d/1kII0BjS6CtVrBvI8IrytgPdxDrlyQDyigz"&amp;"MsohRtDMs/edit?usp=share_link"",""อุทัยธานี!n154"")
"),148216.789999999)</f>
        <v>148216.78999999899</v>
      </c>
      <c r="O154" s="45">
        <f t="shared" ca="1" si="97"/>
        <v>164.68532222222112</v>
      </c>
      <c r="P154" s="45">
        <f t="shared" ca="1" si="98"/>
        <v>48.414708956686155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2">L156+L157</f>
        <v>0</v>
      </c>
      <c r="M155" s="38">
        <f t="shared" ca="1" si="102"/>
        <v>0</v>
      </c>
      <c r="N155" s="38">
        <f t="shared" ca="1" si="102"/>
        <v>0</v>
      </c>
      <c r="O155" s="38">
        <f t="shared" ca="1" si="97"/>
        <v>0</v>
      </c>
      <c r="P155" s="38">
        <f t="shared" ca="1" si="98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7"/>
        <v>0</v>
      </c>
      <c r="P156" s="45">
        <f t="shared" si="98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KxicF4apzSqm0-jIpmueT4kyZtE-Cwn5zskl7GD4loQ/edit?usp=share_link"",""กำแพงเพชร!l157"")+IMPORTRANGE(""https://docs.google.com/spreadsheets/d/1ZNYWeiFoFA1K1U4xKWqRX29MBvEyRHXORjo734Gnq_c/edit?usp=share_li"&amp;"nk"",""เชียงราย!l157"")
+IMPORTRANGE(""https://docs.google.com/spreadsheets/d/1Jgv0Y7YlHDtsiDawwp-uvifEJ8HVaSn0k2aGHG8-hwM/edit?usp=share_link"",""เชียงใหม่!l157"")+IMPORTRANGE(""https://docs.google.com/spreadsheets/d/1JWG2rZePOz9pe-f-ObA-yDr0VoOX2kSb0qIi"&amp;"x2mTUo8/edit?usp=share_link"",""ตาก!l157"")+IMPORTRANGE(""https://docs.google.com/spreadsheets/d/10nSRjK08hx8Y6HgSOQKNw81lyY46Zc7U_Cj72hBMp9U/edit?usp=share_link"",""นครสวรรค์!l157"")+IMPORTRANGE(""https://docs.google.com/spreadsheets/d/1gFVb7qd7amutrIxAA"&amp;"oM7lcy35hllxznovot8lyOfvDo/edit?usp=share_link"",""น่าน!l157"")+IMPORTRANGE(""https://docs.google.com/spreadsheets/d/1K0Aa9s-6EuHE5M0FG1F9aHLXRCOV917xvycTdLdct0w/edit?usp=share_link"",""พะเยา!l157"")+IMPORTRANGE(""https://docs.google.com/spreadsheets/d/1Y"&amp;"9LPKx95PyL5OKy09d-KbKJSuuEZCFdkhYjwC0XQjBA/edit?usp=share_link"",""พิจิตร!l157"")+IMPORTRANGE(""https://docs.google.com/spreadsheets/d/16OMuOwy2eVqZcYWOouQtTpa8X1L23h4660uVHc0C8os/edit?usp=share_link"",""พิษณุโลก!l157"")+IMPORTRANGE(""https://docs.google."&amp;"com/spreadsheets/d/1GfgTldLG6k77HXaMQzaafODklYuucJZQNs_GAPEfZyY/edit?usp=share_link"",""เพชรบูรณ์!l157"")+IMPORTRANGE(""https://docs.google.com/spreadsheets/d/1gvTMYAnm7v1yG1BKWFtr0DnaTsq59oW9dwWvFgq6hs0/edit?usp=share_link"",""แพร่!l157"")+IMPORTRANGE("""&amp;"https://docs.google.com/spreadsheets/d/1Wbcosgy-Xa1xXUArJSOenub6EfZHUSzc_bpJFWwQUf0/edit?usp=share_link"",""แม่ฮ่องสอน!l157"")+IMPORTRANGE(""https://docs.google.com/spreadsheets/d/1p7ERhsr0qZeSn-KSOdeHS9r0heI-lHtkcn2OH7hP0jQ/edit?usp=share_link"",""ลำปาง!"&amp;"l157"")+IMPORTRANGE(""https://docs.google.com/spreadsheets/d/1-uUXvimVhiU2U0bMN-xi2te0tS4X7DI2GLPnMjzl8cA/edit?usp=share_link"",""ลำพูน!l157"")+IMPORTRANGE(""https://docs.google.com/spreadsheets/d/17HrOaa5pBUI1onckFfumXB8xlg35qb2uBAFfF1D-Myo/edit?usp=shar"&amp;"e_link"",""สุโขทัย!l157"")+IMPORTRANGE(""https://docs.google.com/spreadsheets/d/1ubs5cl16eYL9gHbdHTJtmtYb9MGzHBs7CAphn8kNCgM/edit?usp=share_link"",""อุตรดิตถ์!l157"")+IMPORTRANGE(""https://docs.google.com/spreadsheets/d/1kII0BjS6CtVrBvI8IrytgPdxDrlyQDyigz"&amp;"MsohRtDMs/edit?usp=share_link"",""อุทัยธานี!l157"")
"),0)</f>
        <v>0</v>
      </c>
      <c r="M157" s="45">
        <f ca="1">IFERROR(__xludf.DUMMYFUNCTION("IMPORTRANGE(""https://docs.google.com/spreadsheets/d/1KxicF4apzSqm0-jIpmueT4kyZtE-Cwn5zskl7GD4loQ/edit?usp=share_link"",""กำแพงเพชร!m157"")+IMPORTRANGE(""https://docs.google.com/spreadsheets/d/1ZNYWeiFoFA1K1U4xKWqRX29MBvEyRHXORjo734Gnq_c/edit?usp=share_li"&amp;"nk"",""เชียงราย!m157"")
+IMPORTRANGE(""https://docs.google.com/spreadsheets/d/1Jgv0Y7YlHDtsiDawwp-uvifEJ8HVaSn0k2aGHG8-hwM/edit?usp=share_link"",""เชียงใหม่!m157"")+IMPORTRANGE(""https://docs.google.com/spreadsheets/d/1JWG2rZePOz9pe-f-ObA-yDr0VoOX2kSb0qIi"&amp;"x2mTUo8/edit?usp=share_link"",""ตาก!m157"")+IMPORTRANGE(""https://docs.google.com/spreadsheets/d/10nSRjK08hx8Y6HgSOQKNw81lyY46Zc7U_Cj72hBMp9U/edit?usp=share_link"",""นครสวรรค์!m157"")+IMPORTRANGE(""https://docs.google.com/spreadsheets/d/1gFVb7qd7amutrIxAA"&amp;"oM7lcy35hllxznovot8lyOfvDo/edit?usp=share_link"",""น่าน!m157"")+IMPORTRANGE(""https://docs.google.com/spreadsheets/d/1K0Aa9s-6EuHE5M0FG1F9aHLXRCOV917xvycTdLdct0w/edit?usp=share_link"",""พะเยา!m157"")+IMPORTRANGE(""https://docs.google.com/spreadsheets/d/1Y"&amp;"9LPKx95PyL5OKy09d-KbKJSuuEZCFdkhYjwC0XQjBA/edit?usp=share_link"",""พิจิตร!m157"")+IMPORTRANGE(""https://docs.google.com/spreadsheets/d/16OMuOwy2eVqZcYWOouQtTpa8X1L23h4660uVHc0C8os/edit?usp=share_link"",""พิษณุโลก!m157"")+IMPORTRANGE(""https://docs.google."&amp;"com/spreadsheets/d/1GfgTldLG6k77HXaMQzaafODklYuucJZQNs_GAPEfZyY/edit?usp=share_link"",""เพชรบูรณ์!m157"")+IMPORTRANGE(""https://docs.google.com/spreadsheets/d/1gvTMYAnm7v1yG1BKWFtr0DnaTsq59oW9dwWvFgq6hs0/edit?usp=share_link"",""แพร่!m157"")+IMPORTRANGE("""&amp;"https://docs.google.com/spreadsheets/d/1Wbcosgy-Xa1xXUArJSOenub6EfZHUSzc_bpJFWwQUf0/edit?usp=share_link"",""แม่ฮ่องสอน!m157"")+IMPORTRANGE(""https://docs.google.com/spreadsheets/d/1p7ERhsr0qZeSn-KSOdeHS9r0heI-lHtkcn2OH7hP0jQ/edit?usp=share_link"",""ลำปาง!"&amp;"m157"")+IMPORTRANGE(""https://docs.google.com/spreadsheets/d/1-uUXvimVhiU2U0bMN-xi2te0tS4X7DI2GLPnMjzl8cA/edit?usp=share_link"",""ลำพูน!m157"")+IMPORTRANGE(""https://docs.google.com/spreadsheets/d/17HrOaa5pBUI1onckFfumXB8xlg35qb2uBAFfF1D-Myo/edit?usp=shar"&amp;"e_link"",""สุโขทัย!m157"")+IMPORTRANGE(""https://docs.google.com/spreadsheets/d/1ubs5cl16eYL9gHbdHTJtmtYb9MGzHBs7CAphn8kNCgM/edit?usp=share_link"",""อุตรดิตถ์!m157"")+IMPORTRANGE(""https://docs.google.com/spreadsheets/d/1kII0BjS6CtVrBvI8IrytgPdxDrlyQDyigz"&amp;"MsohRtDMs/edit?usp=share_link"",""อุทัยธานี!m157"")
"),0)</f>
        <v>0</v>
      </c>
      <c r="N157" s="45">
        <f ca="1">IFERROR(__xludf.DUMMYFUNCTION("IMPORTRANGE(""https://docs.google.com/spreadsheets/d/1KxicF4apzSqm0-jIpmueT4kyZtE-Cwn5zskl7GD4loQ/edit?usp=share_link"",""กำแพงเพชร!n157"")+IMPORTRANGE(""https://docs.google.com/spreadsheets/d/1ZNYWeiFoFA1K1U4xKWqRX29MBvEyRHXORjo734Gnq_c/edit?usp=share_li"&amp;"nk"",""เชียงราย!n157"")
+IMPORTRANGE(""https://docs.google.com/spreadsheets/d/1Jgv0Y7YlHDtsiDawwp-uvifEJ8HVaSn0k2aGHG8-hwM/edit?usp=share_link"",""เชียงใหม่!n157"")+IMPORTRANGE(""https://docs.google.com/spreadsheets/d/1JWG2rZePOz9pe-f-ObA-yDr0VoOX2kSb0qIi"&amp;"x2mTUo8/edit?usp=share_link"",""ตาก!n157"")+IMPORTRANGE(""https://docs.google.com/spreadsheets/d/10nSRjK08hx8Y6HgSOQKNw81lyY46Zc7U_Cj72hBMp9U/edit?usp=share_link"",""นครสวรรค์!n157"")+IMPORTRANGE(""https://docs.google.com/spreadsheets/d/1gFVb7qd7amutrIxAA"&amp;"oM7lcy35hllxznovot8lyOfvDo/edit?usp=share_link"",""น่าน!n157"")+IMPORTRANGE(""https://docs.google.com/spreadsheets/d/1K0Aa9s-6EuHE5M0FG1F9aHLXRCOV917xvycTdLdct0w/edit?usp=share_link"",""พะเยา!n157"")+IMPORTRANGE(""https://docs.google.com/spreadsheets/d/1Y"&amp;"9LPKx95PyL5OKy09d-KbKJSuuEZCFdkhYjwC0XQjBA/edit?usp=share_link"",""พิจิตร!n157"")+IMPORTRANGE(""https://docs.google.com/spreadsheets/d/16OMuOwy2eVqZcYWOouQtTpa8X1L23h4660uVHc0C8os/edit?usp=share_link"",""พิษณุโลก!n157"")+IMPORTRANGE(""https://docs.google."&amp;"com/spreadsheets/d/1GfgTldLG6k77HXaMQzaafODklYuucJZQNs_GAPEfZyY/edit?usp=share_link"",""เพชรบูรณ์!n157"")+IMPORTRANGE(""https://docs.google.com/spreadsheets/d/1gvTMYAnm7v1yG1BKWFtr0DnaTsq59oW9dwWvFgq6hs0/edit?usp=share_link"",""แพร่!n157"")+IMPORTRANGE("""&amp;"https://docs.google.com/spreadsheets/d/1Wbcosgy-Xa1xXUArJSOenub6EfZHUSzc_bpJFWwQUf0/edit?usp=share_link"",""แม่ฮ่องสอน!n157"")+IMPORTRANGE(""https://docs.google.com/spreadsheets/d/1p7ERhsr0qZeSn-KSOdeHS9r0heI-lHtkcn2OH7hP0jQ/edit?usp=share_link"",""ลำปาง!"&amp;"n157"")+IMPORTRANGE(""https://docs.google.com/spreadsheets/d/1-uUXvimVhiU2U0bMN-xi2te0tS4X7DI2GLPnMjzl8cA/edit?usp=share_link"",""ลำพูน!n157"")+IMPORTRANGE(""https://docs.google.com/spreadsheets/d/17HrOaa5pBUI1onckFfumXB8xlg35qb2uBAFfF1D-Myo/edit?usp=shar"&amp;"e_link"",""สุโขทัย!n157"")+IMPORTRANGE(""https://docs.google.com/spreadsheets/d/1ubs5cl16eYL9gHbdHTJtmtYb9MGzHBs7CAphn8kNCgM/edit?usp=share_link"",""อุตรดิตถ์!n157"")+IMPORTRANGE(""https://docs.google.com/spreadsheets/d/1kII0BjS6CtVrBvI8IrytgPdxDrlyQDyigz"&amp;"MsohRtDMs/edit?usp=share_link"",""อุทัยธานี!n157"")
"),0)</f>
        <v>0</v>
      </c>
      <c r="O157" s="45">
        <f t="shared" ca="1" si="97"/>
        <v>0</v>
      </c>
      <c r="P157" s="45">
        <f t="shared" ca="1" si="98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19.5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KxicF4apzSqm0-jIpmueT4kyZtE-Cwn5zskl7GD4loQ/edit?usp=share_link"",""กำแพงเพชร!I159"")+IMPORTRANGE(""https://docs.google.com/spreadsheets/d/1ZNYWeiFoFA1K1U4xKWqRX29MBvEyRHXORjo734Gnq_c/edit?usp=share_li"&amp;"nk"",""เชียงราย!I159"")
+IMPORTRANGE(""https://docs.google.com/spreadsheets/d/1Jgv0Y7YlHDtsiDawwp-uvifEJ8HVaSn0k2aGHG8-hwM/edit?usp=share_link"",""เชียงใหม่!I159"")+IMPORTRANGE(""https://docs.google.com/spreadsheets/d/1JWG2rZePOz9pe-f-ObA-yDr0VoOX2kSb0qIi"&amp;"x2mTUo8/edit?usp=share_link"",""ตาก!I159"")+IMPORTRANGE(""https://docs.google.com/spreadsheets/d/10nSRjK08hx8Y6HgSOQKNw81lyY46Zc7U_Cj72hBMp9U/edit?usp=share_link"",""นครสวรรค์!I159"")+IMPORTRANGE(""https://docs.google.com/spreadsheets/d/1gFVb7qd7amutrIxAA"&amp;"oM7lcy35hllxznovot8lyOfvDo/edit?usp=share_link"",""น่าน!I159"")+IMPORTRANGE(""https://docs.google.com/spreadsheets/d/1K0Aa9s-6EuHE5M0FG1F9aHLXRCOV917xvycTdLdct0w/edit?usp=share_link"",""พะเยา!I159"")+IMPORTRANGE(""https://docs.google.com/spreadsheets/d/1Y"&amp;"9LPKx95PyL5OKy09d-KbKJSuuEZCFdkhYjwC0XQjBA/edit?usp=share_link"",""พิจิตร!I159"")+IMPORTRANGE(""https://docs.google.com/spreadsheets/d/16OMuOwy2eVqZcYWOouQtTpa8X1L23h4660uVHc0C8os/edit?usp=share_link"",""พิษณุโลก!I159"")+IMPORTRANGE(""https://docs.google."&amp;"com/spreadsheets/d/1GfgTldLG6k77HXaMQzaafODklYuucJZQNs_GAPEfZyY/edit?usp=share_link"",""เพชรบูรณ์!I159"")+IMPORTRANGE(""https://docs.google.com/spreadsheets/d/1gvTMYAnm7v1yG1BKWFtr0DnaTsq59oW9dwWvFgq6hs0/edit?usp=share_link"",""แพร่!I159"")+IMPORTRANGE("""&amp;"https://docs.google.com/spreadsheets/d/1Wbcosgy-Xa1xXUArJSOenub6EfZHUSzc_bpJFWwQUf0/edit?usp=share_link"",""แม่ฮ่องสอน!I159"")+IMPORTRANGE(""https://docs.google.com/spreadsheets/d/1p7ERhsr0qZeSn-KSOdeHS9r0heI-lHtkcn2OH7hP0jQ/edit?usp=share_link"",""ลำปาง!"&amp;"I159"")+IMPORTRANGE(""https://docs.google.com/spreadsheets/d/1-uUXvimVhiU2U0bMN-xi2te0tS4X7DI2GLPnMjzl8cA/edit?usp=share_link"",""ลำพูน!I159"")+IMPORTRANGE(""https://docs.google.com/spreadsheets/d/17HrOaa5pBUI1onckFfumXB8xlg35qb2uBAFfF1D-Myo/edit?usp=shar"&amp;"e_link"",""สุโขทัย!I159"")+IMPORTRANGE(""https://docs.google.com/spreadsheets/d/1ubs5cl16eYL9gHbdHTJtmtYb9MGzHBs7CAphn8kNCgM/edit?usp=share_link"",""อุตรดิตถ์!I159"")+IMPORTRANGE(""https://docs.google.com/spreadsheets/d/1kII0BjS6CtVrBvI8IrytgPdxDrlyQDyigz"&amp;"MsohRtDMs/edit?usp=share_link"",""อุทัยธานี!I159"")
"),180)</f>
        <v>180</v>
      </c>
      <c r="J159" s="183">
        <f ca="1">IFERROR(__xludf.DUMMYFUNCTION("IMPORTRANGE(""https://docs.google.com/spreadsheets/d/1KxicF4apzSqm0-jIpmueT4kyZtE-Cwn5zskl7GD4loQ/edit?usp=share_link"",""กำแพงเพชร!J159"")+IMPORTRANGE(""https://docs.google.com/spreadsheets/d/1ZNYWeiFoFA1K1U4xKWqRX29MBvEyRHXORjo734Gnq_c/edit?usp=share_li"&amp;"nk"",""เชียงราย!J159"")
+IMPORTRANGE(""https://docs.google.com/spreadsheets/d/1Jgv0Y7YlHDtsiDawwp-uvifEJ8HVaSn0k2aGHG8-hwM/edit?usp=share_link"",""เชียงใหม่!J159"")+IMPORTRANGE(""https://docs.google.com/spreadsheets/d/1JWG2rZePOz9pe-f-ObA-yDr0VoOX2kSb0qIi"&amp;"x2mTUo8/edit?usp=share_link"",""ตาก!J159"")+IMPORTRANGE(""https://docs.google.com/spreadsheets/d/10nSRjK08hx8Y6HgSOQKNw81lyY46Zc7U_Cj72hBMp9U/edit?usp=share_link"",""นครสวรรค์!J159"")+IMPORTRANGE(""https://docs.google.com/spreadsheets/d/1gFVb7qd7amutrIxAA"&amp;"oM7lcy35hllxznovot8lyOfvDo/edit?usp=share_link"",""น่าน!J159"")+IMPORTRANGE(""https://docs.google.com/spreadsheets/d/1K0Aa9s-6EuHE5M0FG1F9aHLXRCOV917xvycTdLdct0w/edit?usp=share_link"",""พะเยา!J159"")+IMPORTRANGE(""https://docs.google.com/spreadsheets/d/1Y"&amp;"9LPKx95PyL5OKy09d-KbKJSuuEZCFdkhYjwC0XQjBA/edit?usp=share_link"",""พิจิตร!J159"")+IMPORTRANGE(""https://docs.google.com/spreadsheets/d/16OMuOwy2eVqZcYWOouQtTpa8X1L23h4660uVHc0C8os/edit?usp=share_link"",""พิษณุโลก!J159"")+IMPORTRANGE(""https://docs.google."&amp;"com/spreadsheets/d/1GfgTldLG6k77HXaMQzaafODklYuucJZQNs_GAPEfZyY/edit?usp=share_link"",""เพชรบูรณ์!J159"")+IMPORTRANGE(""https://docs.google.com/spreadsheets/d/1gvTMYAnm7v1yG1BKWFtr0DnaTsq59oW9dwWvFgq6hs0/edit?usp=share_link"",""แพร่!J159"")+IMPORTRANGE("""&amp;"https://docs.google.com/spreadsheets/d/1Wbcosgy-Xa1xXUArJSOenub6EfZHUSzc_bpJFWwQUf0/edit?usp=share_link"",""แม่ฮ่องสอน!J159"")+IMPORTRANGE(""https://docs.google.com/spreadsheets/d/1p7ERhsr0qZeSn-KSOdeHS9r0heI-lHtkcn2OH7hP0jQ/edit?usp=share_link"",""ลำปาง!"&amp;"J159"")+IMPORTRANGE(""https://docs.google.com/spreadsheets/d/1-uUXvimVhiU2U0bMN-xi2te0tS4X7DI2GLPnMjzl8cA/edit?usp=share_link"",""ลำพูน!J159"")+IMPORTRANGE(""https://docs.google.com/spreadsheets/d/17HrOaa5pBUI1onckFfumXB8xlg35qb2uBAFfF1D-Myo/edit?usp=shar"&amp;"e_link"",""สุโขทัย!J159"")+IMPORTRANGE(""https://docs.google.com/spreadsheets/d/1ubs5cl16eYL9gHbdHTJtmtYb9MGzHBs7CAphn8kNCgM/edit?usp=share_link"",""อุตรดิตถ์!J159"")+IMPORTRANGE(""https://docs.google.com/spreadsheets/d/1kII0BjS6CtVrBvI8IrytgPdxDrlyQDyigz"&amp;"MsohRtDMs/edit?usp=share_link"",""อุทัยธานี!J159"")
"),185)</f>
        <v>185</v>
      </c>
      <c r="K159" s="38">
        <f ca="1">IF(I159&gt;0,J159*100/I159,0)</f>
        <v>102.77777777777777</v>
      </c>
      <c r="L159" s="38"/>
      <c r="M159" s="38"/>
      <c r="N159" s="38"/>
      <c r="O159" s="38"/>
      <c r="P159" s="3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3">I174+I177</f>
        <v>185</v>
      </c>
      <c r="J164" s="253">
        <f t="shared" ca="1" si="103"/>
        <v>163</v>
      </c>
      <c r="K164" s="254">
        <f ca="1">IF(I164&gt;0,J164*100/I164,0)</f>
        <v>88.108108108108112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4">L166+L167</f>
        <v>372925</v>
      </c>
      <c r="M165" s="155">
        <f t="shared" ca="1" si="104"/>
        <v>657895</v>
      </c>
      <c r="N165" s="155">
        <f t="shared" ca="1" si="104"/>
        <v>559416</v>
      </c>
      <c r="O165" s="155">
        <f t="shared" ref="O165:O173" ca="1" si="105">IF(L165&gt;0,N165*100/L165,0)</f>
        <v>150.00764228732319</v>
      </c>
      <c r="P165" s="155">
        <f t="shared" ref="P165:P173" ca="1" si="106">IF(M165&gt;0,N165*100/M165,0)</f>
        <v>85.031197987520798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7">L169+L172</f>
        <v>0</v>
      </c>
      <c r="M166" s="45">
        <f t="shared" si="107"/>
        <v>0</v>
      </c>
      <c r="N166" s="45">
        <f t="shared" si="107"/>
        <v>0</v>
      </c>
      <c r="O166" s="45">
        <f t="shared" si="105"/>
        <v>0</v>
      </c>
      <c r="P166" s="45">
        <f t="shared" si="10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8">L170+L173</f>
        <v>372925</v>
      </c>
      <c r="M167" s="45">
        <f t="shared" ca="1" si="108"/>
        <v>657895</v>
      </c>
      <c r="N167" s="45">
        <f t="shared" ca="1" si="108"/>
        <v>559416</v>
      </c>
      <c r="O167" s="45">
        <f t="shared" ca="1" si="105"/>
        <v>150.00764228732319</v>
      </c>
      <c r="P167" s="45">
        <f t="shared" ca="1" si="106"/>
        <v>85.031197987520798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9">L169+L170</f>
        <v>372925</v>
      </c>
      <c r="M168" s="38">
        <f t="shared" ca="1" si="109"/>
        <v>657895</v>
      </c>
      <c r="N168" s="38">
        <f t="shared" ca="1" si="109"/>
        <v>559416</v>
      </c>
      <c r="O168" s="38">
        <f t="shared" ca="1" si="105"/>
        <v>150.00764228732319</v>
      </c>
      <c r="P168" s="38">
        <f t="shared" ca="1" si="106"/>
        <v>85.031197987520798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5"/>
        <v>0</v>
      </c>
      <c r="P169" s="45">
        <f t="shared" si="10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KxicF4apzSqm0-jIpmueT4kyZtE-Cwn5zskl7GD4loQ/edit?usp=share_link"",""กำแพงเพชร!l170"")+IMPORTRANGE(""https://docs.google.com/spreadsheets/d/1ZNYWeiFoFA1K1U4xKWqRX29MBvEyRHXORjo734Gnq_c/edit?usp=share_li"&amp;"nk"",""เชียงราย!l170"")
+IMPORTRANGE(""https://docs.google.com/spreadsheets/d/1Jgv0Y7YlHDtsiDawwp-uvifEJ8HVaSn0k2aGHG8-hwM/edit?usp=share_link"",""เชียงใหม่!l170"")+IMPORTRANGE(""https://docs.google.com/spreadsheets/d/1JWG2rZePOz9pe-f-ObA-yDr0VoOX2kSb0qIi"&amp;"x2mTUo8/edit?usp=share_link"",""ตาก!l170"")+IMPORTRANGE(""https://docs.google.com/spreadsheets/d/10nSRjK08hx8Y6HgSOQKNw81lyY46Zc7U_Cj72hBMp9U/edit?usp=share_link"",""นครสวรรค์!l170"")+IMPORTRANGE(""https://docs.google.com/spreadsheets/d/1gFVb7qd7amutrIxAA"&amp;"oM7lcy35hllxznovot8lyOfvDo/edit?usp=share_link"",""น่าน!l170"")+IMPORTRANGE(""https://docs.google.com/spreadsheets/d/1K0Aa9s-6EuHE5M0FG1F9aHLXRCOV917xvycTdLdct0w/edit?usp=share_link"",""พะเยา!l170"")+IMPORTRANGE(""https://docs.google.com/spreadsheets/d/1Y"&amp;"9LPKx95PyL5OKy09d-KbKJSuuEZCFdkhYjwC0XQjBA/edit?usp=share_link"",""พิจิตร!l170"")+IMPORTRANGE(""https://docs.google.com/spreadsheets/d/16OMuOwy2eVqZcYWOouQtTpa8X1L23h4660uVHc0C8os/edit?usp=share_link"",""พิษณุโลก!l170"")+IMPORTRANGE(""https://docs.google."&amp;"com/spreadsheets/d/1GfgTldLG6k77HXaMQzaafODklYuucJZQNs_GAPEfZyY/edit?usp=share_link"",""เพชรบูรณ์!l170"")+IMPORTRANGE(""https://docs.google.com/spreadsheets/d/1gvTMYAnm7v1yG1BKWFtr0DnaTsq59oW9dwWvFgq6hs0/edit?usp=share_link"",""แพร่!l170"")+IMPORTRANGE("""&amp;"https://docs.google.com/spreadsheets/d/1Wbcosgy-Xa1xXUArJSOenub6EfZHUSzc_bpJFWwQUf0/edit?usp=share_link"",""แม่ฮ่องสอน!l170"")+IMPORTRANGE(""https://docs.google.com/spreadsheets/d/1p7ERhsr0qZeSn-KSOdeHS9r0heI-lHtkcn2OH7hP0jQ/edit?usp=share_link"",""ลำปาง!"&amp;"l170"")+IMPORTRANGE(""https://docs.google.com/spreadsheets/d/1-uUXvimVhiU2U0bMN-xi2te0tS4X7DI2GLPnMjzl8cA/edit?usp=share_link"",""ลำพูน!l170"")+IMPORTRANGE(""https://docs.google.com/spreadsheets/d/17HrOaa5pBUI1onckFfumXB8xlg35qb2uBAFfF1D-Myo/edit?usp=shar"&amp;"e_link"",""สุโขทัย!l170"")+IMPORTRANGE(""https://docs.google.com/spreadsheets/d/1ubs5cl16eYL9gHbdHTJtmtYb9MGzHBs7CAphn8kNCgM/edit?usp=share_link"",""อุตรดิตถ์!l170"")+IMPORTRANGE(""https://docs.google.com/spreadsheets/d/1kII0BjS6CtVrBvI8IrytgPdxDrlyQDyigz"&amp;"MsohRtDMs/edit?usp=share_link"",""อุทัยธานี!l170"")
"),372925)</f>
        <v>372925</v>
      </c>
      <c r="M170" s="45">
        <f ca="1">IFERROR(__xludf.DUMMYFUNCTION("IMPORTRANGE(""https://docs.google.com/spreadsheets/d/1KxicF4apzSqm0-jIpmueT4kyZtE-Cwn5zskl7GD4loQ/edit?usp=share_link"",""กำแพงเพชร!m170"")+IMPORTRANGE(""https://docs.google.com/spreadsheets/d/1ZNYWeiFoFA1K1U4xKWqRX29MBvEyRHXORjo734Gnq_c/edit?usp=share_li"&amp;"nk"",""เชียงราย!m170"")
+IMPORTRANGE(""https://docs.google.com/spreadsheets/d/1Jgv0Y7YlHDtsiDawwp-uvifEJ8HVaSn0k2aGHG8-hwM/edit?usp=share_link"",""เชียงใหม่!m170"")+IMPORTRANGE(""https://docs.google.com/spreadsheets/d/1JWG2rZePOz9pe-f-ObA-yDr0VoOX2kSb0qIi"&amp;"x2mTUo8/edit?usp=share_link"",""ตาก!m170"")+IMPORTRANGE(""https://docs.google.com/spreadsheets/d/10nSRjK08hx8Y6HgSOQKNw81lyY46Zc7U_Cj72hBMp9U/edit?usp=share_link"",""นครสวรรค์!m170"")+IMPORTRANGE(""https://docs.google.com/spreadsheets/d/1gFVb7qd7amutrIxAA"&amp;"oM7lcy35hllxznovot8lyOfvDo/edit?usp=share_link"",""น่าน!m170"")+IMPORTRANGE(""https://docs.google.com/spreadsheets/d/1K0Aa9s-6EuHE5M0FG1F9aHLXRCOV917xvycTdLdct0w/edit?usp=share_link"",""พะเยา!m170"")+IMPORTRANGE(""https://docs.google.com/spreadsheets/d/1Y"&amp;"9LPKx95PyL5OKy09d-KbKJSuuEZCFdkhYjwC0XQjBA/edit?usp=share_link"",""พิจิตร!m170"")+IMPORTRANGE(""https://docs.google.com/spreadsheets/d/16OMuOwy2eVqZcYWOouQtTpa8X1L23h4660uVHc0C8os/edit?usp=share_link"",""พิษณุโลก!m170"")+IMPORTRANGE(""https://docs.google."&amp;"com/spreadsheets/d/1GfgTldLG6k77HXaMQzaafODklYuucJZQNs_GAPEfZyY/edit?usp=share_link"",""เพชรบูรณ์!m170"")+IMPORTRANGE(""https://docs.google.com/spreadsheets/d/1gvTMYAnm7v1yG1BKWFtr0DnaTsq59oW9dwWvFgq6hs0/edit?usp=share_link"",""แพร่!m170"")+IMPORTRANGE("""&amp;"https://docs.google.com/spreadsheets/d/1Wbcosgy-Xa1xXUArJSOenub6EfZHUSzc_bpJFWwQUf0/edit?usp=share_link"",""แม่ฮ่องสอน!m170"")+IMPORTRANGE(""https://docs.google.com/spreadsheets/d/1p7ERhsr0qZeSn-KSOdeHS9r0heI-lHtkcn2OH7hP0jQ/edit?usp=share_link"",""ลำปาง!"&amp;"m170"")+IMPORTRANGE(""https://docs.google.com/spreadsheets/d/1-uUXvimVhiU2U0bMN-xi2te0tS4X7DI2GLPnMjzl8cA/edit?usp=share_link"",""ลำพูน!m170"")+IMPORTRANGE(""https://docs.google.com/spreadsheets/d/17HrOaa5pBUI1onckFfumXB8xlg35qb2uBAFfF1D-Myo/edit?usp=shar"&amp;"e_link"",""สุโขทัย!m170"")+IMPORTRANGE(""https://docs.google.com/spreadsheets/d/1ubs5cl16eYL9gHbdHTJtmtYb9MGzHBs7CAphn8kNCgM/edit?usp=share_link"",""อุตรดิตถ์!m170"")+IMPORTRANGE(""https://docs.google.com/spreadsheets/d/1kII0BjS6CtVrBvI8IrytgPdxDrlyQDyigz"&amp;"MsohRtDMs/edit?usp=share_link"",""อุทัยธานี!m170"")
"),657895)</f>
        <v>657895</v>
      </c>
      <c r="N170" s="45">
        <f ca="1">IFERROR(__xludf.DUMMYFUNCTION("IMPORTRANGE(""https://docs.google.com/spreadsheets/d/1KxicF4apzSqm0-jIpmueT4kyZtE-Cwn5zskl7GD4loQ/edit?usp=share_link"",""กำแพงเพชร!n170"")+IMPORTRANGE(""https://docs.google.com/spreadsheets/d/1ZNYWeiFoFA1K1U4xKWqRX29MBvEyRHXORjo734Gnq_c/edit?usp=share_li"&amp;"nk"",""เชียงราย!n170"")
+IMPORTRANGE(""https://docs.google.com/spreadsheets/d/1Jgv0Y7YlHDtsiDawwp-uvifEJ8HVaSn0k2aGHG8-hwM/edit?usp=share_link"",""เชียงใหม่!n170"")+IMPORTRANGE(""https://docs.google.com/spreadsheets/d/1JWG2rZePOz9pe-f-ObA-yDr0VoOX2kSb0qIi"&amp;"x2mTUo8/edit?usp=share_link"",""ตาก!n170"")+IMPORTRANGE(""https://docs.google.com/spreadsheets/d/10nSRjK08hx8Y6HgSOQKNw81lyY46Zc7U_Cj72hBMp9U/edit?usp=share_link"",""นครสวรรค์!n170"")+IMPORTRANGE(""https://docs.google.com/spreadsheets/d/1gFVb7qd7amutrIxAA"&amp;"oM7lcy35hllxznovot8lyOfvDo/edit?usp=share_link"",""น่าน!n170"")+IMPORTRANGE(""https://docs.google.com/spreadsheets/d/1K0Aa9s-6EuHE5M0FG1F9aHLXRCOV917xvycTdLdct0w/edit?usp=share_link"",""พะเยา!n170"")+IMPORTRANGE(""https://docs.google.com/spreadsheets/d/1Y"&amp;"9LPKx95PyL5OKy09d-KbKJSuuEZCFdkhYjwC0XQjBA/edit?usp=share_link"",""พิจิตร!n170"")+IMPORTRANGE(""https://docs.google.com/spreadsheets/d/16OMuOwy2eVqZcYWOouQtTpa8X1L23h4660uVHc0C8os/edit?usp=share_link"",""พิษณุโลก!n170"")+IMPORTRANGE(""https://docs.google."&amp;"com/spreadsheets/d/1GfgTldLG6k77HXaMQzaafODklYuucJZQNs_GAPEfZyY/edit?usp=share_link"",""เพชรบูรณ์!n170"")+IMPORTRANGE(""https://docs.google.com/spreadsheets/d/1gvTMYAnm7v1yG1BKWFtr0DnaTsq59oW9dwWvFgq6hs0/edit?usp=share_link"",""แพร่!n170"")+IMPORTRANGE("""&amp;"https://docs.google.com/spreadsheets/d/1Wbcosgy-Xa1xXUArJSOenub6EfZHUSzc_bpJFWwQUf0/edit?usp=share_link"",""แม่ฮ่องสอน!n170"")+IMPORTRANGE(""https://docs.google.com/spreadsheets/d/1p7ERhsr0qZeSn-KSOdeHS9r0heI-lHtkcn2OH7hP0jQ/edit?usp=share_link"",""ลำปาง!"&amp;"n170"")+IMPORTRANGE(""https://docs.google.com/spreadsheets/d/1-uUXvimVhiU2U0bMN-xi2te0tS4X7DI2GLPnMjzl8cA/edit?usp=share_link"",""ลำพูน!n170"")+IMPORTRANGE(""https://docs.google.com/spreadsheets/d/17HrOaa5pBUI1onckFfumXB8xlg35qb2uBAFfF1D-Myo/edit?usp=shar"&amp;"e_link"",""สุโขทัย!n170"")+IMPORTRANGE(""https://docs.google.com/spreadsheets/d/1ubs5cl16eYL9gHbdHTJtmtYb9MGzHBs7CAphn8kNCgM/edit?usp=share_link"",""อุตรดิตถ์!n170"")+IMPORTRANGE(""https://docs.google.com/spreadsheets/d/1kII0BjS6CtVrBvI8IrytgPdxDrlyQDyigz"&amp;"MsohRtDMs/edit?usp=share_link"",""อุทัยธานี!n170"")
"),559416)</f>
        <v>559416</v>
      </c>
      <c r="O170" s="45">
        <f t="shared" ca="1" si="105"/>
        <v>150.00764228732319</v>
      </c>
      <c r="P170" s="45">
        <f t="shared" ca="1" si="106"/>
        <v>85.031197987520798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10">L172+L173</f>
        <v>0</v>
      </c>
      <c r="M171" s="38">
        <f t="shared" ca="1" si="110"/>
        <v>0</v>
      </c>
      <c r="N171" s="38">
        <f t="shared" ca="1" si="110"/>
        <v>0</v>
      </c>
      <c r="O171" s="38">
        <f t="shared" ca="1" si="105"/>
        <v>0</v>
      </c>
      <c r="P171" s="38">
        <f t="shared" ca="1" si="10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5"/>
        <v>0</v>
      </c>
      <c r="P172" s="45">
        <f t="shared" si="10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KxicF4apzSqm0-jIpmueT4kyZtE-Cwn5zskl7GD4loQ/edit?usp=share_link"",""กำแพงเพชร!l173"")+IMPORTRANGE(""https://docs.google.com/spreadsheets/d/1ZNYWeiFoFA1K1U4xKWqRX29MBvEyRHXORjo734Gnq_c/edit?usp=share_li"&amp;"nk"",""เชียงราย!l173"")
+IMPORTRANGE(""https://docs.google.com/spreadsheets/d/1Jgv0Y7YlHDtsiDawwp-uvifEJ8HVaSn0k2aGHG8-hwM/edit?usp=share_link"",""เชียงใหม่!l173"")+IMPORTRANGE(""https://docs.google.com/spreadsheets/d/1JWG2rZePOz9pe-f-ObA-yDr0VoOX2kSb0qIi"&amp;"x2mTUo8/edit?usp=share_link"",""ตาก!l173"")+IMPORTRANGE(""https://docs.google.com/spreadsheets/d/10nSRjK08hx8Y6HgSOQKNw81lyY46Zc7U_Cj72hBMp9U/edit?usp=share_link"",""นครสวรรค์!l173"")+IMPORTRANGE(""https://docs.google.com/spreadsheets/d/1gFVb7qd7amutrIxAA"&amp;"oM7lcy35hllxznovot8lyOfvDo/edit?usp=share_link"",""น่าน!l173"")+IMPORTRANGE(""https://docs.google.com/spreadsheets/d/1K0Aa9s-6EuHE5M0FG1F9aHLXRCOV917xvycTdLdct0w/edit?usp=share_link"",""พะเยา!l173"")+IMPORTRANGE(""https://docs.google.com/spreadsheets/d/1Y"&amp;"9LPKx95PyL5OKy09d-KbKJSuuEZCFdkhYjwC0XQjBA/edit?usp=share_link"",""พิจิตร!l173"")+IMPORTRANGE(""https://docs.google.com/spreadsheets/d/16OMuOwy2eVqZcYWOouQtTpa8X1L23h4660uVHc0C8os/edit?usp=share_link"",""พิษณุโลก!l173"")+IMPORTRANGE(""https://docs.google."&amp;"com/spreadsheets/d/1GfgTldLG6k77HXaMQzaafODklYuucJZQNs_GAPEfZyY/edit?usp=share_link"",""เพชรบูรณ์!l173"")+IMPORTRANGE(""https://docs.google.com/spreadsheets/d/1gvTMYAnm7v1yG1BKWFtr0DnaTsq59oW9dwWvFgq6hs0/edit?usp=share_link"",""แพร่!l173"")+IMPORTRANGE("""&amp;"https://docs.google.com/spreadsheets/d/1Wbcosgy-Xa1xXUArJSOenub6EfZHUSzc_bpJFWwQUf0/edit?usp=share_link"",""แม่ฮ่องสอน!l173"")+IMPORTRANGE(""https://docs.google.com/spreadsheets/d/1p7ERhsr0qZeSn-KSOdeHS9r0heI-lHtkcn2OH7hP0jQ/edit?usp=share_link"",""ลำปาง!"&amp;"l173"")+IMPORTRANGE(""https://docs.google.com/spreadsheets/d/1-uUXvimVhiU2U0bMN-xi2te0tS4X7DI2GLPnMjzl8cA/edit?usp=share_link"",""ลำพูน!l173"")+IMPORTRANGE(""https://docs.google.com/spreadsheets/d/17HrOaa5pBUI1onckFfumXB8xlg35qb2uBAFfF1D-Myo/edit?usp=shar"&amp;"e_link"",""สุโขทัย!l173"")+IMPORTRANGE(""https://docs.google.com/spreadsheets/d/1ubs5cl16eYL9gHbdHTJtmtYb9MGzHBs7CAphn8kNCgM/edit?usp=share_link"",""อุตรดิตถ์!l173"")+IMPORTRANGE(""https://docs.google.com/spreadsheets/d/1kII0BjS6CtVrBvI8IrytgPdxDrlyQDyigz"&amp;"MsohRtDMs/edit?usp=share_link"",""อุทัยธานี!l173"")
"),0)</f>
        <v>0</v>
      </c>
      <c r="M173" s="45">
        <f ca="1">IFERROR(__xludf.DUMMYFUNCTION("IMPORTRANGE(""https://docs.google.com/spreadsheets/d/1KxicF4apzSqm0-jIpmueT4kyZtE-Cwn5zskl7GD4loQ/edit?usp=share_link"",""กำแพงเพชร!m173"")+IMPORTRANGE(""https://docs.google.com/spreadsheets/d/1ZNYWeiFoFA1K1U4xKWqRX29MBvEyRHXORjo734Gnq_c/edit?usp=share_li"&amp;"nk"",""เชียงราย!m173"")
+IMPORTRANGE(""https://docs.google.com/spreadsheets/d/1Jgv0Y7YlHDtsiDawwp-uvifEJ8HVaSn0k2aGHG8-hwM/edit?usp=share_link"",""เชียงใหม่!m173"")+IMPORTRANGE(""https://docs.google.com/spreadsheets/d/1JWG2rZePOz9pe-f-ObA-yDr0VoOX2kSb0qIi"&amp;"x2mTUo8/edit?usp=share_link"",""ตาก!m173"")+IMPORTRANGE(""https://docs.google.com/spreadsheets/d/10nSRjK08hx8Y6HgSOQKNw81lyY46Zc7U_Cj72hBMp9U/edit?usp=share_link"",""นครสวรรค์!m173"")+IMPORTRANGE(""https://docs.google.com/spreadsheets/d/1gFVb7qd7amutrIxAA"&amp;"oM7lcy35hllxznovot8lyOfvDo/edit?usp=share_link"",""น่าน!m173"")+IMPORTRANGE(""https://docs.google.com/spreadsheets/d/1K0Aa9s-6EuHE5M0FG1F9aHLXRCOV917xvycTdLdct0w/edit?usp=share_link"",""พะเยา!m173"")+IMPORTRANGE(""https://docs.google.com/spreadsheets/d/1Y"&amp;"9LPKx95PyL5OKy09d-KbKJSuuEZCFdkhYjwC0XQjBA/edit?usp=share_link"",""พิจิตร!m173"")+IMPORTRANGE(""https://docs.google.com/spreadsheets/d/16OMuOwy2eVqZcYWOouQtTpa8X1L23h4660uVHc0C8os/edit?usp=share_link"",""พิษณุโลก!m173"")+IMPORTRANGE(""https://docs.google."&amp;"com/spreadsheets/d/1GfgTldLG6k77HXaMQzaafODklYuucJZQNs_GAPEfZyY/edit?usp=share_link"",""เพชรบูรณ์!m173"")+IMPORTRANGE(""https://docs.google.com/spreadsheets/d/1gvTMYAnm7v1yG1BKWFtr0DnaTsq59oW9dwWvFgq6hs0/edit?usp=share_link"",""แพร่!m173"")+IMPORTRANGE("""&amp;"https://docs.google.com/spreadsheets/d/1Wbcosgy-Xa1xXUArJSOenub6EfZHUSzc_bpJFWwQUf0/edit?usp=share_link"",""แม่ฮ่องสอน!m173"")+IMPORTRANGE(""https://docs.google.com/spreadsheets/d/1p7ERhsr0qZeSn-KSOdeHS9r0heI-lHtkcn2OH7hP0jQ/edit?usp=share_link"",""ลำปาง!"&amp;"m173"")+IMPORTRANGE(""https://docs.google.com/spreadsheets/d/1-uUXvimVhiU2U0bMN-xi2te0tS4X7DI2GLPnMjzl8cA/edit?usp=share_link"",""ลำพูน!m173"")+IMPORTRANGE(""https://docs.google.com/spreadsheets/d/17HrOaa5pBUI1onckFfumXB8xlg35qb2uBAFfF1D-Myo/edit?usp=shar"&amp;"e_link"",""สุโขทัย!m173"")+IMPORTRANGE(""https://docs.google.com/spreadsheets/d/1ubs5cl16eYL9gHbdHTJtmtYb9MGzHBs7CAphn8kNCgM/edit?usp=share_link"",""อุตรดิตถ์!m173"")+IMPORTRANGE(""https://docs.google.com/spreadsheets/d/1kII0BjS6CtVrBvI8IrytgPdxDrlyQDyigz"&amp;"MsohRtDMs/edit?usp=share_link"",""อุทัยธานี!m173"")
"),0)</f>
        <v>0</v>
      </c>
      <c r="N173" s="45">
        <f ca="1">IFERROR(__xludf.DUMMYFUNCTION("IMPORTRANGE(""https://docs.google.com/spreadsheets/d/1KxicF4apzSqm0-jIpmueT4kyZtE-Cwn5zskl7GD4loQ/edit?usp=share_link"",""กำแพงเพชร!n173"")+IMPORTRANGE(""https://docs.google.com/spreadsheets/d/1ZNYWeiFoFA1K1U4xKWqRX29MBvEyRHXORjo734Gnq_c/edit?usp=share_li"&amp;"nk"",""เชียงราย!n173"")
+IMPORTRANGE(""https://docs.google.com/spreadsheets/d/1Jgv0Y7YlHDtsiDawwp-uvifEJ8HVaSn0k2aGHG8-hwM/edit?usp=share_link"",""เชียงใหม่!n173"")+IMPORTRANGE(""https://docs.google.com/spreadsheets/d/1JWG2rZePOz9pe-f-ObA-yDr0VoOX2kSb0qIi"&amp;"x2mTUo8/edit?usp=share_link"",""ตาก!n173"")+IMPORTRANGE(""https://docs.google.com/spreadsheets/d/10nSRjK08hx8Y6HgSOQKNw81lyY46Zc7U_Cj72hBMp9U/edit?usp=share_link"",""นครสวรรค์!n173"")+IMPORTRANGE(""https://docs.google.com/spreadsheets/d/1gFVb7qd7amutrIxAA"&amp;"oM7lcy35hllxznovot8lyOfvDo/edit?usp=share_link"",""น่าน!n173"")+IMPORTRANGE(""https://docs.google.com/spreadsheets/d/1K0Aa9s-6EuHE5M0FG1F9aHLXRCOV917xvycTdLdct0w/edit?usp=share_link"",""พะเยา!n173"")+IMPORTRANGE(""https://docs.google.com/spreadsheets/d/1Y"&amp;"9LPKx95PyL5OKy09d-KbKJSuuEZCFdkhYjwC0XQjBA/edit?usp=share_link"",""พิจิตร!n173"")+IMPORTRANGE(""https://docs.google.com/spreadsheets/d/16OMuOwy2eVqZcYWOouQtTpa8X1L23h4660uVHc0C8os/edit?usp=share_link"",""พิษณุโลก!n173"")+IMPORTRANGE(""https://docs.google."&amp;"com/spreadsheets/d/1GfgTldLG6k77HXaMQzaafODklYuucJZQNs_GAPEfZyY/edit?usp=share_link"",""เพชรบูรณ์!n173"")+IMPORTRANGE(""https://docs.google.com/spreadsheets/d/1gvTMYAnm7v1yG1BKWFtr0DnaTsq59oW9dwWvFgq6hs0/edit?usp=share_link"",""แพร่!n173"")+IMPORTRANGE("""&amp;"https://docs.google.com/spreadsheets/d/1Wbcosgy-Xa1xXUArJSOenub6EfZHUSzc_bpJFWwQUf0/edit?usp=share_link"",""แม่ฮ่องสอน!n173"")+IMPORTRANGE(""https://docs.google.com/spreadsheets/d/1p7ERhsr0qZeSn-KSOdeHS9r0heI-lHtkcn2OH7hP0jQ/edit?usp=share_link"",""ลำปาง!"&amp;"n173"")+IMPORTRANGE(""https://docs.google.com/spreadsheets/d/1-uUXvimVhiU2U0bMN-xi2te0tS4X7DI2GLPnMjzl8cA/edit?usp=share_link"",""ลำพูน!n173"")+IMPORTRANGE(""https://docs.google.com/spreadsheets/d/17HrOaa5pBUI1onckFfumXB8xlg35qb2uBAFfF1D-Myo/edit?usp=shar"&amp;"e_link"",""สุโขทัย!n173"")+IMPORTRANGE(""https://docs.google.com/spreadsheets/d/1ubs5cl16eYL9gHbdHTJtmtYb9MGzHBs7CAphn8kNCgM/edit?usp=share_link"",""อุตรดิตถ์!n173"")+IMPORTRANGE(""https://docs.google.com/spreadsheets/d/1kII0BjS6CtVrBvI8IrytgPdxDrlyQDyigz"&amp;"MsohRtDMs/edit?usp=share_link"",""อุทัยธานี!n173"")
"),0)</f>
        <v>0</v>
      </c>
      <c r="O173" s="45">
        <f t="shared" ca="1" si="105"/>
        <v>0</v>
      </c>
      <c r="P173" s="45">
        <f t="shared" ca="1" si="10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1">I176</f>
        <v>185</v>
      </c>
      <c r="J174" s="261">
        <f t="shared" ca="1" si="111"/>
        <v>163</v>
      </c>
      <c r="K174" s="262">
        <f ca="1">IF(I174&gt;0,J174*100/I174,0)</f>
        <v>88.108108108108112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KxicF4apzSqm0-jIpmueT4kyZtE-Cwn5zskl7GD4loQ/edit?usp=share_link"",""กำแพงเพชร!I176"")+IMPORTRANGE(""https://docs.google.com/spreadsheets/d/1ZNYWeiFoFA1K1U4xKWqRX29MBvEyRHXORjo734Gnq_c/edit?usp=share_li"&amp;"nk"",""เชียงราย!I176"")
+IMPORTRANGE(""https://docs.google.com/spreadsheets/d/1Jgv0Y7YlHDtsiDawwp-uvifEJ8HVaSn0k2aGHG8-hwM/edit?usp=share_link"",""เชียงใหม่!I176"")+IMPORTRANGE(""https://docs.google.com/spreadsheets/d/1JWG2rZePOz9pe-f-ObA-yDr0VoOX2kSb0qIi"&amp;"x2mTUo8/edit?usp=share_link"",""ตาก!I176"")+IMPORTRANGE(""https://docs.google.com/spreadsheets/d/10nSRjK08hx8Y6HgSOQKNw81lyY46Zc7U_Cj72hBMp9U/edit?usp=share_link"",""นครสวรรค์!I176"")+IMPORTRANGE(""https://docs.google.com/spreadsheets/d/1gFVb7qd7amutrIxAA"&amp;"oM7lcy35hllxznovot8lyOfvDo/edit?usp=share_link"",""น่าน!I176"")+IMPORTRANGE(""https://docs.google.com/spreadsheets/d/1K0Aa9s-6EuHE5M0FG1F9aHLXRCOV917xvycTdLdct0w/edit?usp=share_link"",""พะเยา!I176"")+IMPORTRANGE(""https://docs.google.com/spreadsheets/d/1Y"&amp;"9LPKx95PyL5OKy09d-KbKJSuuEZCFdkhYjwC0XQjBA/edit?usp=share_link"",""พิจิตร!I176"")+IMPORTRANGE(""https://docs.google.com/spreadsheets/d/16OMuOwy2eVqZcYWOouQtTpa8X1L23h4660uVHc0C8os/edit?usp=share_link"",""พิษณุโลก!I176"")+IMPORTRANGE(""https://docs.google."&amp;"com/spreadsheets/d/1GfgTldLG6k77HXaMQzaafODklYuucJZQNs_GAPEfZyY/edit?usp=share_link"",""เพชรบูรณ์!I176"")+IMPORTRANGE(""https://docs.google.com/spreadsheets/d/1gvTMYAnm7v1yG1BKWFtr0DnaTsq59oW9dwWvFgq6hs0/edit?usp=share_link"",""แพร่!I176"")+IMPORTRANGE("""&amp;"https://docs.google.com/spreadsheets/d/1Wbcosgy-Xa1xXUArJSOenub6EfZHUSzc_bpJFWwQUf0/edit?usp=share_link"",""แม่ฮ่องสอน!I176"")+IMPORTRANGE(""https://docs.google.com/spreadsheets/d/1p7ERhsr0qZeSn-KSOdeHS9r0heI-lHtkcn2OH7hP0jQ/edit?usp=share_link"",""ลำปาง!"&amp;"I176"")+IMPORTRANGE(""https://docs.google.com/spreadsheets/d/1-uUXvimVhiU2U0bMN-xi2te0tS4X7DI2GLPnMjzl8cA/edit?usp=share_link"",""ลำพูน!I176"")+IMPORTRANGE(""https://docs.google.com/spreadsheets/d/17HrOaa5pBUI1onckFfumXB8xlg35qb2uBAFfF1D-Myo/edit?usp=shar"&amp;"e_link"",""สุโขทัย!I176"")+IMPORTRANGE(""https://docs.google.com/spreadsheets/d/1ubs5cl16eYL9gHbdHTJtmtYb9MGzHBs7CAphn8kNCgM/edit?usp=share_link"",""อุตรดิตถ์!I176"")+IMPORTRANGE(""https://docs.google.com/spreadsheets/d/1kII0BjS6CtVrBvI8IrytgPdxDrlyQDyigz"&amp;"MsohRtDMs/edit?usp=share_link"",""อุทัยธานี!I176"")
"),185)</f>
        <v>185</v>
      </c>
      <c r="J176" s="183">
        <f ca="1">IFERROR(__xludf.DUMMYFUNCTION("IMPORTRANGE(""https://docs.google.com/spreadsheets/d/1KxicF4apzSqm0-jIpmueT4kyZtE-Cwn5zskl7GD4loQ/edit?usp=share_link"",""กำแพงเพชร!J176"")+IMPORTRANGE(""https://docs.google.com/spreadsheets/d/1ZNYWeiFoFA1K1U4xKWqRX29MBvEyRHXORjo734Gnq_c/edit?usp=share_li"&amp;"nk"",""เชียงราย!J176"")
+IMPORTRANGE(""https://docs.google.com/spreadsheets/d/1Jgv0Y7YlHDtsiDawwp-uvifEJ8HVaSn0k2aGHG8-hwM/edit?usp=share_link"",""เชียงใหม่!J176"")+IMPORTRANGE(""https://docs.google.com/spreadsheets/d/1JWG2rZePOz9pe-f-ObA-yDr0VoOX2kSb0qIi"&amp;"x2mTUo8/edit?usp=share_link"",""ตาก!J176"")+IMPORTRANGE(""https://docs.google.com/spreadsheets/d/10nSRjK08hx8Y6HgSOQKNw81lyY46Zc7U_Cj72hBMp9U/edit?usp=share_link"",""นครสวรรค์!J176"")+IMPORTRANGE(""https://docs.google.com/spreadsheets/d/1gFVb7qd7amutrIxAA"&amp;"oM7lcy35hllxznovot8lyOfvDo/edit?usp=share_link"",""น่าน!J176"")+IMPORTRANGE(""https://docs.google.com/spreadsheets/d/1K0Aa9s-6EuHE5M0FG1F9aHLXRCOV917xvycTdLdct0w/edit?usp=share_link"",""พะเยา!J176"")+IMPORTRANGE(""https://docs.google.com/spreadsheets/d/1Y"&amp;"9LPKx95PyL5OKy09d-KbKJSuuEZCFdkhYjwC0XQjBA/edit?usp=share_link"",""พิจิตร!J176"")+IMPORTRANGE(""https://docs.google.com/spreadsheets/d/16OMuOwy2eVqZcYWOouQtTpa8X1L23h4660uVHc0C8os/edit?usp=share_link"",""พิษณุโลก!J176"")+IMPORTRANGE(""https://docs.google."&amp;"com/spreadsheets/d/1GfgTldLG6k77HXaMQzaafODklYuucJZQNs_GAPEfZyY/edit?usp=share_link"",""เพชรบูรณ์!J176"")+IMPORTRANGE(""https://docs.google.com/spreadsheets/d/1gvTMYAnm7v1yG1BKWFtr0DnaTsq59oW9dwWvFgq6hs0/edit?usp=share_link"",""แพร่!J176"")+IMPORTRANGE("""&amp;"https://docs.google.com/spreadsheets/d/1Wbcosgy-Xa1xXUArJSOenub6EfZHUSzc_bpJFWwQUf0/edit?usp=share_link"",""แม่ฮ่องสอน!J176"")+IMPORTRANGE(""https://docs.google.com/spreadsheets/d/1p7ERhsr0qZeSn-KSOdeHS9r0heI-lHtkcn2OH7hP0jQ/edit?usp=share_link"",""ลำปาง!"&amp;"J176"")+IMPORTRANGE(""https://docs.google.com/spreadsheets/d/1-uUXvimVhiU2U0bMN-xi2te0tS4X7DI2GLPnMjzl8cA/edit?usp=share_link"",""ลำพูน!J176"")+IMPORTRANGE(""https://docs.google.com/spreadsheets/d/17HrOaa5pBUI1onckFfumXB8xlg35qb2uBAFfF1D-Myo/edit?usp=shar"&amp;"e_link"",""สุโขทัย!J176"")+IMPORTRANGE(""https://docs.google.com/spreadsheets/d/1ubs5cl16eYL9gHbdHTJtmtYb9MGzHBs7CAphn8kNCgM/edit?usp=share_link"",""อุตรดิตถ์!J176"")+IMPORTRANGE(""https://docs.google.com/spreadsheets/d/1kII0BjS6CtVrBvI8IrytgPdxDrlyQDyigz"&amp;"MsohRtDMs/edit?usp=share_link"",""อุทัยธานี!J176"")
"),163)</f>
        <v>163</v>
      </c>
      <c r="K176" s="163">
        <f ca="1">IF(I176&gt;0,J176*100/I176,0)</f>
        <v>88.108108108108112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2">I225+I226</f>
        <v>360</v>
      </c>
      <c r="J180" s="253">
        <f t="shared" ca="1" si="112"/>
        <v>300</v>
      </c>
      <c r="K180" s="254">
        <f ca="1">IF(I180&gt;0,J180*100/I180,0)</f>
        <v>83.333333333333329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3">L182+L183</f>
        <v>4729330</v>
      </c>
      <c r="M181" s="155">
        <f t="shared" ca="1" si="113"/>
        <v>3715005</v>
      </c>
      <c r="N181" s="155">
        <f t="shared" ca="1" si="113"/>
        <v>2253301.1999999899</v>
      </c>
      <c r="O181" s="155">
        <f t="shared" ref="O181:O189" ca="1" si="114">IF(L181&gt;0,N181*100/L181,0)</f>
        <v>47.645252075875227</v>
      </c>
      <c r="P181" s="155">
        <f t="shared" ref="P181:P189" ca="1" si="115">IF(M181&gt;0,N181*100/M181,0)</f>
        <v>60.654055647300339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6">L185+L188</f>
        <v>0</v>
      </c>
      <c r="M182" s="45">
        <f t="shared" si="116"/>
        <v>0</v>
      </c>
      <c r="N182" s="45">
        <f t="shared" si="116"/>
        <v>0</v>
      </c>
      <c r="O182" s="45">
        <f t="shared" si="114"/>
        <v>0</v>
      </c>
      <c r="P182" s="45">
        <f t="shared" si="11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7">L186+L189</f>
        <v>4729330</v>
      </c>
      <c r="M183" s="45">
        <f t="shared" ca="1" si="117"/>
        <v>3715005</v>
      </c>
      <c r="N183" s="45">
        <f t="shared" ca="1" si="117"/>
        <v>2253301.1999999899</v>
      </c>
      <c r="O183" s="45">
        <f t="shared" ca="1" si="114"/>
        <v>47.645252075875227</v>
      </c>
      <c r="P183" s="45">
        <f t="shared" ca="1" si="115"/>
        <v>60.654055647300339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8">L185+L186</f>
        <v>4729330</v>
      </c>
      <c r="M184" s="38">
        <f t="shared" ca="1" si="118"/>
        <v>3715005</v>
      </c>
      <c r="N184" s="38">
        <f t="shared" ca="1" si="118"/>
        <v>2253301.1999999899</v>
      </c>
      <c r="O184" s="38">
        <f t="shared" ca="1" si="114"/>
        <v>47.645252075875227</v>
      </c>
      <c r="P184" s="38">
        <f t="shared" ca="1" si="115"/>
        <v>60.654055647300339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4"/>
        <v>0</v>
      </c>
      <c r="P185" s="45">
        <f t="shared" si="11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KxicF4apzSqm0-jIpmueT4kyZtE-Cwn5zskl7GD4loQ/edit?usp=share_link"",""กำแพงเพชร!l186"")+IMPORTRANGE(""https://docs.google.com/spreadsheets/d/1ZNYWeiFoFA1K1U4xKWqRX29MBvEyRHXORjo734Gnq_c/edit?usp=share_li"&amp;"nk"",""เชียงราย!l186"")
+IMPORTRANGE(""https://docs.google.com/spreadsheets/d/1Jgv0Y7YlHDtsiDawwp-uvifEJ8HVaSn0k2aGHG8-hwM/edit?usp=share_link"",""เชียงใหม่!l186"")+IMPORTRANGE(""https://docs.google.com/spreadsheets/d/1JWG2rZePOz9pe-f-ObA-yDr0VoOX2kSb0qIi"&amp;"x2mTUo8/edit?usp=share_link"",""ตาก!l186"")+IMPORTRANGE(""https://docs.google.com/spreadsheets/d/10nSRjK08hx8Y6HgSOQKNw81lyY46Zc7U_Cj72hBMp9U/edit?usp=share_link"",""นครสวรรค์!l186"")+IMPORTRANGE(""https://docs.google.com/spreadsheets/d/1gFVb7qd7amutrIxAA"&amp;"oM7lcy35hllxznovot8lyOfvDo/edit?usp=share_link"",""น่าน!l186"")+IMPORTRANGE(""https://docs.google.com/spreadsheets/d/1K0Aa9s-6EuHE5M0FG1F9aHLXRCOV917xvycTdLdct0w/edit?usp=share_link"",""พะเยา!l186"")+IMPORTRANGE(""https://docs.google.com/spreadsheets/d/1Y"&amp;"9LPKx95PyL5OKy09d-KbKJSuuEZCFdkhYjwC0XQjBA/edit?usp=share_link"",""พิจิตร!l186"")+IMPORTRANGE(""https://docs.google.com/spreadsheets/d/16OMuOwy2eVqZcYWOouQtTpa8X1L23h4660uVHc0C8os/edit?usp=share_link"",""พิษณุโลก!l186"")+IMPORTRANGE(""https://docs.google."&amp;"com/spreadsheets/d/1GfgTldLG6k77HXaMQzaafODklYuucJZQNs_GAPEfZyY/edit?usp=share_link"",""เพชรบูรณ์!l186"")+IMPORTRANGE(""https://docs.google.com/spreadsheets/d/1gvTMYAnm7v1yG1BKWFtr0DnaTsq59oW9dwWvFgq6hs0/edit?usp=share_link"",""แพร่!l186"")+IMPORTRANGE("""&amp;"https://docs.google.com/spreadsheets/d/1Wbcosgy-Xa1xXUArJSOenub6EfZHUSzc_bpJFWwQUf0/edit?usp=share_link"",""แม่ฮ่องสอน!l186"")+IMPORTRANGE(""https://docs.google.com/spreadsheets/d/1p7ERhsr0qZeSn-KSOdeHS9r0heI-lHtkcn2OH7hP0jQ/edit?usp=share_link"",""ลำปาง!"&amp;"l186"")+IMPORTRANGE(""https://docs.google.com/spreadsheets/d/1-uUXvimVhiU2U0bMN-xi2te0tS4X7DI2GLPnMjzl8cA/edit?usp=share_link"",""ลำพูน!l186"")+IMPORTRANGE(""https://docs.google.com/spreadsheets/d/17HrOaa5pBUI1onckFfumXB8xlg35qb2uBAFfF1D-Myo/edit?usp=shar"&amp;"e_link"",""สุโขทัย!l186"")+IMPORTRANGE(""https://docs.google.com/spreadsheets/d/1ubs5cl16eYL9gHbdHTJtmtYb9MGzHBs7CAphn8kNCgM/edit?usp=share_link"",""อุตรดิตถ์!l186"")+IMPORTRANGE(""https://docs.google.com/spreadsheets/d/1kII0BjS6CtVrBvI8IrytgPdxDrlyQDyigz"&amp;"MsohRtDMs/edit?usp=share_link"",""อุทัยธานี!l186"")
"),4729330)</f>
        <v>4729330</v>
      </c>
      <c r="M186" s="45">
        <f ca="1">IFERROR(__xludf.DUMMYFUNCTION("IMPORTRANGE(""https://docs.google.com/spreadsheets/d/1KxicF4apzSqm0-jIpmueT4kyZtE-Cwn5zskl7GD4loQ/edit?usp=share_link"",""กำแพงเพชร!m186"")+IMPORTRANGE(""https://docs.google.com/spreadsheets/d/1ZNYWeiFoFA1K1U4xKWqRX29MBvEyRHXORjo734Gnq_c/edit?usp=share_li"&amp;"nk"",""เชียงราย!m186"")
+IMPORTRANGE(""https://docs.google.com/spreadsheets/d/1Jgv0Y7YlHDtsiDawwp-uvifEJ8HVaSn0k2aGHG8-hwM/edit?usp=share_link"",""เชียงใหม่!m186"")+IMPORTRANGE(""https://docs.google.com/spreadsheets/d/1JWG2rZePOz9pe-f-ObA-yDr0VoOX2kSb0qIi"&amp;"x2mTUo8/edit?usp=share_link"",""ตาก!m186"")+IMPORTRANGE(""https://docs.google.com/spreadsheets/d/10nSRjK08hx8Y6HgSOQKNw81lyY46Zc7U_Cj72hBMp9U/edit?usp=share_link"",""นครสวรรค์!m186"")+IMPORTRANGE(""https://docs.google.com/spreadsheets/d/1gFVb7qd7amutrIxAA"&amp;"oM7lcy35hllxznovot8lyOfvDo/edit?usp=share_link"",""น่าน!m186"")+IMPORTRANGE(""https://docs.google.com/spreadsheets/d/1K0Aa9s-6EuHE5M0FG1F9aHLXRCOV917xvycTdLdct0w/edit?usp=share_link"",""พะเยา!m186"")+IMPORTRANGE(""https://docs.google.com/spreadsheets/d/1Y"&amp;"9LPKx95PyL5OKy09d-KbKJSuuEZCFdkhYjwC0XQjBA/edit?usp=share_link"",""พิจิตร!m186"")+IMPORTRANGE(""https://docs.google.com/spreadsheets/d/16OMuOwy2eVqZcYWOouQtTpa8X1L23h4660uVHc0C8os/edit?usp=share_link"",""พิษณุโลก!m186"")+IMPORTRANGE(""https://docs.google."&amp;"com/spreadsheets/d/1GfgTldLG6k77HXaMQzaafODklYuucJZQNs_GAPEfZyY/edit?usp=share_link"",""เพชรบูรณ์!m186"")+IMPORTRANGE(""https://docs.google.com/spreadsheets/d/1gvTMYAnm7v1yG1BKWFtr0DnaTsq59oW9dwWvFgq6hs0/edit?usp=share_link"",""แพร่!m186"")+IMPORTRANGE("""&amp;"https://docs.google.com/spreadsheets/d/1Wbcosgy-Xa1xXUArJSOenub6EfZHUSzc_bpJFWwQUf0/edit?usp=share_link"",""แม่ฮ่องสอน!m186"")+IMPORTRANGE(""https://docs.google.com/spreadsheets/d/1p7ERhsr0qZeSn-KSOdeHS9r0heI-lHtkcn2OH7hP0jQ/edit?usp=share_link"",""ลำปาง!"&amp;"m186"")+IMPORTRANGE(""https://docs.google.com/spreadsheets/d/1-uUXvimVhiU2U0bMN-xi2te0tS4X7DI2GLPnMjzl8cA/edit?usp=share_link"",""ลำพูน!m186"")+IMPORTRANGE(""https://docs.google.com/spreadsheets/d/17HrOaa5pBUI1onckFfumXB8xlg35qb2uBAFfF1D-Myo/edit?usp=shar"&amp;"e_link"",""สุโขทัย!m186"")+IMPORTRANGE(""https://docs.google.com/spreadsheets/d/1ubs5cl16eYL9gHbdHTJtmtYb9MGzHBs7CAphn8kNCgM/edit?usp=share_link"",""อุตรดิตถ์!m186"")+IMPORTRANGE(""https://docs.google.com/spreadsheets/d/1kII0BjS6CtVrBvI8IrytgPdxDrlyQDyigz"&amp;"MsohRtDMs/edit?usp=share_link"",""อุทัยธานี!m186"")
"),3715005)</f>
        <v>3715005</v>
      </c>
      <c r="N186" s="45">
        <f ca="1">IFERROR(__xludf.DUMMYFUNCTION("IMPORTRANGE(""https://docs.google.com/spreadsheets/d/1KxicF4apzSqm0-jIpmueT4kyZtE-Cwn5zskl7GD4loQ/edit?usp=share_link"",""กำแพงเพชร!n186"")+IMPORTRANGE(""https://docs.google.com/spreadsheets/d/1ZNYWeiFoFA1K1U4xKWqRX29MBvEyRHXORjo734Gnq_c/edit?usp=share_li"&amp;"nk"",""เชียงราย!n186"")
+IMPORTRANGE(""https://docs.google.com/spreadsheets/d/1Jgv0Y7YlHDtsiDawwp-uvifEJ8HVaSn0k2aGHG8-hwM/edit?usp=share_link"",""เชียงใหม่!n186"")+IMPORTRANGE(""https://docs.google.com/spreadsheets/d/1JWG2rZePOz9pe-f-ObA-yDr0VoOX2kSb0qIi"&amp;"x2mTUo8/edit?usp=share_link"",""ตาก!n186"")+IMPORTRANGE(""https://docs.google.com/spreadsheets/d/10nSRjK08hx8Y6HgSOQKNw81lyY46Zc7U_Cj72hBMp9U/edit?usp=share_link"",""นครสวรรค์!n186"")+IMPORTRANGE(""https://docs.google.com/spreadsheets/d/1gFVb7qd7amutrIxAA"&amp;"oM7lcy35hllxznovot8lyOfvDo/edit?usp=share_link"",""น่าน!n186"")+IMPORTRANGE(""https://docs.google.com/spreadsheets/d/1K0Aa9s-6EuHE5M0FG1F9aHLXRCOV917xvycTdLdct0w/edit?usp=share_link"",""พะเยา!n186"")+IMPORTRANGE(""https://docs.google.com/spreadsheets/d/1Y"&amp;"9LPKx95PyL5OKy09d-KbKJSuuEZCFdkhYjwC0XQjBA/edit?usp=share_link"",""พิจิตร!n186"")+IMPORTRANGE(""https://docs.google.com/spreadsheets/d/16OMuOwy2eVqZcYWOouQtTpa8X1L23h4660uVHc0C8os/edit?usp=share_link"",""พิษณุโลก!n186"")+IMPORTRANGE(""https://docs.google."&amp;"com/spreadsheets/d/1GfgTldLG6k77HXaMQzaafODklYuucJZQNs_GAPEfZyY/edit?usp=share_link"",""เพชรบูรณ์!n186"")+IMPORTRANGE(""https://docs.google.com/spreadsheets/d/1gvTMYAnm7v1yG1BKWFtr0DnaTsq59oW9dwWvFgq6hs0/edit?usp=share_link"",""แพร่!n186"")+IMPORTRANGE("""&amp;"https://docs.google.com/spreadsheets/d/1Wbcosgy-Xa1xXUArJSOenub6EfZHUSzc_bpJFWwQUf0/edit?usp=share_link"",""แม่ฮ่องสอน!n186"")+IMPORTRANGE(""https://docs.google.com/spreadsheets/d/1p7ERhsr0qZeSn-KSOdeHS9r0heI-lHtkcn2OH7hP0jQ/edit?usp=share_link"",""ลำปาง!"&amp;"n186"")+IMPORTRANGE(""https://docs.google.com/spreadsheets/d/1-uUXvimVhiU2U0bMN-xi2te0tS4X7DI2GLPnMjzl8cA/edit?usp=share_link"",""ลำพูน!n186"")+IMPORTRANGE(""https://docs.google.com/spreadsheets/d/17HrOaa5pBUI1onckFfumXB8xlg35qb2uBAFfF1D-Myo/edit?usp=shar"&amp;"e_link"",""สุโขทัย!n186"")+IMPORTRANGE(""https://docs.google.com/spreadsheets/d/1ubs5cl16eYL9gHbdHTJtmtYb9MGzHBs7CAphn8kNCgM/edit?usp=share_link"",""อุตรดิตถ์!n186"")+IMPORTRANGE(""https://docs.google.com/spreadsheets/d/1kII0BjS6CtVrBvI8IrytgPdxDrlyQDyigz"&amp;"MsohRtDMs/edit?usp=share_link"",""อุทัยธานี!n186"")
"),2253301.19999999)</f>
        <v>2253301.1999999899</v>
      </c>
      <c r="O186" s="45">
        <f t="shared" ca="1" si="114"/>
        <v>47.645252075875227</v>
      </c>
      <c r="P186" s="45">
        <f t="shared" ca="1" si="115"/>
        <v>60.654055647300339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9">L188+L189</f>
        <v>0</v>
      </c>
      <c r="M187" s="38">
        <f t="shared" ca="1" si="119"/>
        <v>0</v>
      </c>
      <c r="N187" s="38">
        <f t="shared" ca="1" si="119"/>
        <v>0</v>
      </c>
      <c r="O187" s="38">
        <f t="shared" ca="1" si="114"/>
        <v>0</v>
      </c>
      <c r="P187" s="38">
        <f t="shared" ca="1" si="11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4"/>
        <v>0</v>
      </c>
      <c r="P188" s="45">
        <f t="shared" si="11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KxicF4apzSqm0-jIpmueT4kyZtE-Cwn5zskl7GD4loQ/edit?usp=share_link"",""กำแพงเพชร!l189"")+IMPORTRANGE(""https://docs.google.com/spreadsheets/d/1ZNYWeiFoFA1K1U4xKWqRX29MBvEyRHXORjo734Gnq_c/edit?usp=share_li"&amp;"nk"",""เชียงราย!l189"")
+IMPORTRANGE(""https://docs.google.com/spreadsheets/d/1Jgv0Y7YlHDtsiDawwp-uvifEJ8HVaSn0k2aGHG8-hwM/edit?usp=share_link"",""เชียงใหม่!l189"")+IMPORTRANGE(""https://docs.google.com/spreadsheets/d/1JWG2rZePOz9pe-f-ObA-yDr0VoOX2kSb0qIi"&amp;"x2mTUo8/edit?usp=share_link"",""ตาก!l189"")+IMPORTRANGE(""https://docs.google.com/spreadsheets/d/10nSRjK08hx8Y6HgSOQKNw81lyY46Zc7U_Cj72hBMp9U/edit?usp=share_link"",""นครสวรรค์!l189"")+IMPORTRANGE(""https://docs.google.com/spreadsheets/d/1gFVb7qd7amutrIxAA"&amp;"oM7lcy35hllxznovot8lyOfvDo/edit?usp=share_link"",""น่าน!l189"")+IMPORTRANGE(""https://docs.google.com/spreadsheets/d/1K0Aa9s-6EuHE5M0FG1F9aHLXRCOV917xvycTdLdct0w/edit?usp=share_link"",""พะเยา!l189"")+IMPORTRANGE(""https://docs.google.com/spreadsheets/d/1Y"&amp;"9LPKx95PyL5OKy09d-KbKJSuuEZCFdkhYjwC0XQjBA/edit?usp=share_link"",""พิจิตร!l189"")+IMPORTRANGE(""https://docs.google.com/spreadsheets/d/16OMuOwy2eVqZcYWOouQtTpa8X1L23h4660uVHc0C8os/edit?usp=share_link"",""พิษณุโลก!l189"")+IMPORTRANGE(""https://docs.google."&amp;"com/spreadsheets/d/1GfgTldLG6k77HXaMQzaafODklYuucJZQNs_GAPEfZyY/edit?usp=share_link"",""เพชรบูรณ์!l189"")+IMPORTRANGE(""https://docs.google.com/spreadsheets/d/1gvTMYAnm7v1yG1BKWFtr0DnaTsq59oW9dwWvFgq6hs0/edit?usp=share_link"",""แพร่!l189"")+IMPORTRANGE("""&amp;"https://docs.google.com/spreadsheets/d/1Wbcosgy-Xa1xXUArJSOenub6EfZHUSzc_bpJFWwQUf0/edit?usp=share_link"",""แม่ฮ่องสอน!l189"")+IMPORTRANGE(""https://docs.google.com/spreadsheets/d/1p7ERhsr0qZeSn-KSOdeHS9r0heI-lHtkcn2OH7hP0jQ/edit?usp=share_link"",""ลำปาง!"&amp;"l189"")+IMPORTRANGE(""https://docs.google.com/spreadsheets/d/1-uUXvimVhiU2U0bMN-xi2te0tS4X7DI2GLPnMjzl8cA/edit?usp=share_link"",""ลำพูน!l189"")+IMPORTRANGE(""https://docs.google.com/spreadsheets/d/17HrOaa5pBUI1onckFfumXB8xlg35qb2uBAFfF1D-Myo/edit?usp=shar"&amp;"e_link"",""สุโขทัย!l189"")+IMPORTRANGE(""https://docs.google.com/spreadsheets/d/1ubs5cl16eYL9gHbdHTJtmtYb9MGzHBs7CAphn8kNCgM/edit?usp=share_link"",""อุตรดิตถ์!l189"")+IMPORTRANGE(""https://docs.google.com/spreadsheets/d/1kII0BjS6CtVrBvI8IrytgPdxDrlyQDyigz"&amp;"MsohRtDMs/edit?usp=share_link"",""อุทัยธานี!l189"")
"),0)</f>
        <v>0</v>
      </c>
      <c r="M189" s="45">
        <f ca="1">IFERROR(__xludf.DUMMYFUNCTION("IMPORTRANGE(""https://docs.google.com/spreadsheets/d/1KxicF4apzSqm0-jIpmueT4kyZtE-Cwn5zskl7GD4loQ/edit?usp=share_link"",""กำแพงเพชร!m189"")+IMPORTRANGE(""https://docs.google.com/spreadsheets/d/1ZNYWeiFoFA1K1U4xKWqRX29MBvEyRHXORjo734Gnq_c/edit?usp=share_li"&amp;"nk"",""เชียงราย!m189"")
+IMPORTRANGE(""https://docs.google.com/spreadsheets/d/1Jgv0Y7YlHDtsiDawwp-uvifEJ8HVaSn0k2aGHG8-hwM/edit?usp=share_link"",""เชียงใหม่!m189"")+IMPORTRANGE(""https://docs.google.com/spreadsheets/d/1JWG2rZePOz9pe-f-ObA-yDr0VoOX2kSb0qIi"&amp;"x2mTUo8/edit?usp=share_link"",""ตาก!m189"")+IMPORTRANGE(""https://docs.google.com/spreadsheets/d/10nSRjK08hx8Y6HgSOQKNw81lyY46Zc7U_Cj72hBMp9U/edit?usp=share_link"",""นครสวรรค์!m189"")+IMPORTRANGE(""https://docs.google.com/spreadsheets/d/1gFVb7qd7amutrIxAA"&amp;"oM7lcy35hllxznovot8lyOfvDo/edit?usp=share_link"",""น่าน!m189"")+IMPORTRANGE(""https://docs.google.com/spreadsheets/d/1K0Aa9s-6EuHE5M0FG1F9aHLXRCOV917xvycTdLdct0w/edit?usp=share_link"",""พะเยา!m189"")+IMPORTRANGE(""https://docs.google.com/spreadsheets/d/1Y"&amp;"9LPKx95PyL5OKy09d-KbKJSuuEZCFdkhYjwC0XQjBA/edit?usp=share_link"",""พิจิตร!m189"")+IMPORTRANGE(""https://docs.google.com/spreadsheets/d/16OMuOwy2eVqZcYWOouQtTpa8X1L23h4660uVHc0C8os/edit?usp=share_link"",""พิษณุโลก!m189"")+IMPORTRANGE(""https://docs.google."&amp;"com/spreadsheets/d/1GfgTldLG6k77HXaMQzaafODklYuucJZQNs_GAPEfZyY/edit?usp=share_link"",""เพชรบูรณ์!m189"")+IMPORTRANGE(""https://docs.google.com/spreadsheets/d/1gvTMYAnm7v1yG1BKWFtr0DnaTsq59oW9dwWvFgq6hs0/edit?usp=share_link"",""แพร่!m189"")+IMPORTRANGE("""&amp;"https://docs.google.com/spreadsheets/d/1Wbcosgy-Xa1xXUArJSOenub6EfZHUSzc_bpJFWwQUf0/edit?usp=share_link"",""แม่ฮ่องสอน!m189"")+IMPORTRANGE(""https://docs.google.com/spreadsheets/d/1p7ERhsr0qZeSn-KSOdeHS9r0heI-lHtkcn2OH7hP0jQ/edit?usp=share_link"",""ลำปาง!"&amp;"m189"")+IMPORTRANGE(""https://docs.google.com/spreadsheets/d/1-uUXvimVhiU2U0bMN-xi2te0tS4X7DI2GLPnMjzl8cA/edit?usp=share_link"",""ลำพูน!m189"")+IMPORTRANGE(""https://docs.google.com/spreadsheets/d/17HrOaa5pBUI1onckFfumXB8xlg35qb2uBAFfF1D-Myo/edit?usp=shar"&amp;"e_link"",""สุโขทัย!m189"")+IMPORTRANGE(""https://docs.google.com/spreadsheets/d/1ubs5cl16eYL9gHbdHTJtmtYb9MGzHBs7CAphn8kNCgM/edit?usp=share_link"",""อุตรดิตถ์!m189"")+IMPORTRANGE(""https://docs.google.com/spreadsheets/d/1kII0BjS6CtVrBvI8IrytgPdxDrlyQDyigz"&amp;"MsohRtDMs/edit?usp=share_link"",""อุทัยธานี!m189"")
"),0)</f>
        <v>0</v>
      </c>
      <c r="N189" s="45">
        <f ca="1">IFERROR(__xludf.DUMMYFUNCTION("IMPORTRANGE(""https://docs.google.com/spreadsheets/d/1KxicF4apzSqm0-jIpmueT4kyZtE-Cwn5zskl7GD4loQ/edit?usp=share_link"",""กำแพงเพชร!n189"")+IMPORTRANGE(""https://docs.google.com/spreadsheets/d/1ZNYWeiFoFA1K1U4xKWqRX29MBvEyRHXORjo734Gnq_c/edit?usp=share_li"&amp;"nk"",""เชียงราย!n189"")
+IMPORTRANGE(""https://docs.google.com/spreadsheets/d/1Jgv0Y7YlHDtsiDawwp-uvifEJ8HVaSn0k2aGHG8-hwM/edit?usp=share_link"",""เชียงใหม่!n189"")+IMPORTRANGE(""https://docs.google.com/spreadsheets/d/1JWG2rZePOz9pe-f-ObA-yDr0VoOX2kSb0qIi"&amp;"x2mTUo8/edit?usp=share_link"",""ตาก!n189"")+IMPORTRANGE(""https://docs.google.com/spreadsheets/d/10nSRjK08hx8Y6HgSOQKNw81lyY46Zc7U_Cj72hBMp9U/edit?usp=share_link"",""นครสวรรค์!n189"")+IMPORTRANGE(""https://docs.google.com/spreadsheets/d/1gFVb7qd7amutrIxAA"&amp;"oM7lcy35hllxznovot8lyOfvDo/edit?usp=share_link"",""น่าน!n189"")+IMPORTRANGE(""https://docs.google.com/spreadsheets/d/1K0Aa9s-6EuHE5M0FG1F9aHLXRCOV917xvycTdLdct0w/edit?usp=share_link"",""พะเยา!n189"")+IMPORTRANGE(""https://docs.google.com/spreadsheets/d/1Y"&amp;"9LPKx95PyL5OKy09d-KbKJSuuEZCFdkhYjwC0XQjBA/edit?usp=share_link"",""พิจิตร!n189"")+IMPORTRANGE(""https://docs.google.com/spreadsheets/d/16OMuOwy2eVqZcYWOouQtTpa8X1L23h4660uVHc0C8os/edit?usp=share_link"",""พิษณุโลก!n189"")+IMPORTRANGE(""https://docs.google."&amp;"com/spreadsheets/d/1GfgTldLG6k77HXaMQzaafODklYuucJZQNs_GAPEfZyY/edit?usp=share_link"",""เพชรบูรณ์!n189"")+IMPORTRANGE(""https://docs.google.com/spreadsheets/d/1gvTMYAnm7v1yG1BKWFtr0DnaTsq59oW9dwWvFgq6hs0/edit?usp=share_link"",""แพร่!n189"")+IMPORTRANGE("""&amp;"https://docs.google.com/spreadsheets/d/1Wbcosgy-Xa1xXUArJSOenub6EfZHUSzc_bpJFWwQUf0/edit?usp=share_link"",""แม่ฮ่องสอน!n189"")+IMPORTRANGE(""https://docs.google.com/spreadsheets/d/1p7ERhsr0qZeSn-KSOdeHS9r0heI-lHtkcn2OH7hP0jQ/edit?usp=share_link"",""ลำปาง!"&amp;"n189"")+IMPORTRANGE(""https://docs.google.com/spreadsheets/d/1-uUXvimVhiU2U0bMN-xi2te0tS4X7DI2GLPnMjzl8cA/edit?usp=share_link"",""ลำพูน!n189"")+IMPORTRANGE(""https://docs.google.com/spreadsheets/d/17HrOaa5pBUI1onckFfumXB8xlg35qb2uBAFfF1D-Myo/edit?usp=shar"&amp;"e_link"",""สุโขทัย!n189"")+IMPORTRANGE(""https://docs.google.com/spreadsheets/d/1ubs5cl16eYL9gHbdHTJtmtYb9MGzHBs7CAphn8kNCgM/edit?usp=share_link"",""อุตรดิตถ์!n189"")+IMPORTRANGE(""https://docs.google.com/spreadsheets/d/1kII0BjS6CtVrBvI8IrytgPdxDrlyQDyigz"&amp;"MsohRtDMs/edit?usp=share_link"",""อุทัยธานี!n189"")
"),0)</f>
        <v>0</v>
      </c>
      <c r="O189" s="45">
        <f t="shared" ca="1" si="114"/>
        <v>0</v>
      </c>
      <c r="P189" s="45">
        <f t="shared" ca="1" si="11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20">I193</f>
        <v>68</v>
      </c>
      <c r="J190" s="272">
        <f t="shared" ca="1" si="120"/>
        <v>28</v>
      </c>
      <c r="K190" s="273">
        <f ca="1">IF(I190&gt;0,J190*100/I190,0)</f>
        <v>41.176470588235297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KxicF4apzSqm0-jIpmueT4kyZtE-Cwn5zskl7GD4loQ/edit?usp=share_link"",""กำแพงเพชร!l191"")+IMPORTRANGE(""https://docs.google.com/spreadsheets/d/1ZNYWeiFoFA1K1U4xKWqRX29MBvEyRHXORjo734Gnq_c/edit?usp=share_li"&amp;"nk"",""เชียงราย!l191"")
+IMPORTRANGE(""https://docs.google.com/spreadsheets/d/1Jgv0Y7YlHDtsiDawwp-uvifEJ8HVaSn0k2aGHG8-hwM/edit?usp=share_link"",""เชียงใหม่!l191"")+IMPORTRANGE(""https://docs.google.com/spreadsheets/d/1JWG2rZePOz9pe-f-ObA-yDr0VoOX2kSb0qIi"&amp;"x2mTUo8/edit?usp=share_link"",""ตาก!l191"")+IMPORTRANGE(""https://docs.google.com/spreadsheets/d/10nSRjK08hx8Y6HgSOQKNw81lyY46Zc7U_Cj72hBMp9U/edit?usp=share_link"",""นครสวรรค์!l191"")+IMPORTRANGE(""https://docs.google.com/spreadsheets/d/1gFVb7qd7amutrIxAA"&amp;"oM7lcy35hllxznovot8lyOfvDo/edit?usp=share_link"",""น่าน!l191"")+IMPORTRANGE(""https://docs.google.com/spreadsheets/d/1K0Aa9s-6EuHE5M0FG1F9aHLXRCOV917xvycTdLdct0w/edit?usp=share_link"",""พะเยา!l191"")+IMPORTRANGE(""https://docs.google.com/spreadsheets/d/1Y"&amp;"9LPKx95PyL5OKy09d-KbKJSuuEZCFdkhYjwC0XQjBA/edit?usp=share_link"",""พิจิตร!l191"")+IMPORTRANGE(""https://docs.google.com/spreadsheets/d/16OMuOwy2eVqZcYWOouQtTpa8X1L23h4660uVHc0C8os/edit?usp=share_link"",""พิษณุโลก!l191"")+IMPORTRANGE(""https://docs.google."&amp;"com/spreadsheets/d/1GfgTldLG6k77HXaMQzaafODklYuucJZQNs_GAPEfZyY/edit?usp=share_link"",""เพชรบูรณ์!l191"")+IMPORTRANGE(""https://docs.google.com/spreadsheets/d/1gvTMYAnm7v1yG1BKWFtr0DnaTsq59oW9dwWvFgq6hs0/edit?usp=share_link"",""แพร่!l191"")+IMPORTRANGE("""&amp;"https://docs.google.com/spreadsheets/d/1Wbcosgy-Xa1xXUArJSOenub6EfZHUSzc_bpJFWwQUf0/edit?usp=share_link"",""แม่ฮ่องสอน!l191"")+IMPORTRANGE(""https://docs.google.com/spreadsheets/d/1p7ERhsr0qZeSn-KSOdeHS9r0heI-lHtkcn2OH7hP0jQ/edit?usp=share_link"",""ลำปาง!"&amp;"l191"")+IMPORTRANGE(""https://docs.google.com/spreadsheets/d/1-uUXvimVhiU2U0bMN-xi2te0tS4X7DI2GLPnMjzl8cA/edit?usp=share_link"",""ลำพูน!l191"")+IMPORTRANGE(""https://docs.google.com/spreadsheets/d/17HrOaa5pBUI1onckFfumXB8xlg35qb2uBAFfF1D-Myo/edit?usp=shar"&amp;"e_link"",""สุโขทัย!l191"")+IMPORTRANGE(""https://docs.google.com/spreadsheets/d/1ubs5cl16eYL9gHbdHTJtmtYb9MGzHBs7CAphn8kNCgM/edit?usp=share_link"",""อุตรดิตถ์!l191"")+IMPORTRANGE(""https://docs.google.com/spreadsheets/d/1kII0BjS6CtVrBvI8IrytgPdxDrlyQDyigz"&amp;"MsohRtDMs/edit?usp=share_link"",""อุทัยธานี!l191"")
"),102000)</f>
        <v>102000</v>
      </c>
      <c r="M191" s="155"/>
      <c r="N191" s="276">
        <f ca="1">IFERROR(__xludf.DUMMYFUNCTION("IMPORTRANGE(""https://docs.google.com/spreadsheets/d/1KxicF4apzSqm0-jIpmueT4kyZtE-Cwn5zskl7GD4loQ/edit?usp=share_link"",""กำแพงเพชร!n191"")+IMPORTRANGE(""https://docs.google.com/spreadsheets/d/1ZNYWeiFoFA1K1U4xKWqRX29MBvEyRHXORjo734Gnq_c/edit?usp=share_li"&amp;"nk"",""เชียงราย!n191"")
+IMPORTRANGE(""https://docs.google.com/spreadsheets/d/1Jgv0Y7YlHDtsiDawwp-uvifEJ8HVaSn0k2aGHG8-hwM/edit?usp=share_link"",""เชียงใหม่!n191"")+IMPORTRANGE(""https://docs.google.com/spreadsheets/d/1JWG2rZePOz9pe-f-ObA-yDr0VoOX2kSb0qIi"&amp;"x2mTUo8/edit?usp=share_link"",""ตาก!n191"")+IMPORTRANGE(""https://docs.google.com/spreadsheets/d/10nSRjK08hx8Y6HgSOQKNw81lyY46Zc7U_Cj72hBMp9U/edit?usp=share_link"",""นครสวรรค์!n191"")+IMPORTRANGE(""https://docs.google.com/spreadsheets/d/1gFVb7qd7amutrIxAA"&amp;"oM7lcy35hllxznovot8lyOfvDo/edit?usp=share_link"",""น่าน!n191"")+IMPORTRANGE(""https://docs.google.com/spreadsheets/d/1K0Aa9s-6EuHE5M0FG1F9aHLXRCOV917xvycTdLdct0w/edit?usp=share_link"",""พะเยา!n191"")+IMPORTRANGE(""https://docs.google.com/spreadsheets/d/1Y"&amp;"9LPKx95PyL5OKy09d-KbKJSuuEZCFdkhYjwC0XQjBA/edit?usp=share_link"",""พิจิตร!n191"")+IMPORTRANGE(""https://docs.google.com/spreadsheets/d/16OMuOwy2eVqZcYWOouQtTpa8X1L23h4660uVHc0C8os/edit?usp=share_link"",""พิษณุโลก!n191"")+IMPORTRANGE(""https://docs.google."&amp;"com/spreadsheets/d/1GfgTldLG6k77HXaMQzaafODklYuucJZQNs_GAPEfZyY/edit?usp=share_link"",""เพชรบูรณ์!n191"")+IMPORTRANGE(""https://docs.google.com/spreadsheets/d/1gvTMYAnm7v1yG1BKWFtr0DnaTsq59oW9dwWvFgq6hs0/edit?usp=share_link"",""แพร่!n191"")+IMPORTRANGE("""&amp;"https://docs.google.com/spreadsheets/d/1Wbcosgy-Xa1xXUArJSOenub6EfZHUSzc_bpJFWwQUf0/edit?usp=share_link"",""แม่ฮ่องสอน!n191"")+IMPORTRANGE(""https://docs.google.com/spreadsheets/d/1p7ERhsr0qZeSn-KSOdeHS9r0heI-lHtkcn2OH7hP0jQ/edit?usp=share_link"",""ลำปาง!"&amp;"n191"")+IMPORTRANGE(""https://docs.google.com/spreadsheets/d/1-uUXvimVhiU2U0bMN-xi2te0tS4X7DI2GLPnMjzl8cA/edit?usp=share_link"",""ลำพูน!n191"")+IMPORTRANGE(""https://docs.google.com/spreadsheets/d/17HrOaa5pBUI1onckFfumXB8xlg35qb2uBAFfF1D-Myo/edit?usp=shar"&amp;"e_link"",""สุโขทัย!n191"")+IMPORTRANGE(""https://docs.google.com/spreadsheets/d/1ubs5cl16eYL9gHbdHTJtmtYb9MGzHBs7CAphn8kNCgM/edit?usp=share_link"",""อุตรดิตถ์!n191"")+IMPORTRANGE(""https://docs.google.com/spreadsheets/d/1kII0BjS6CtVrBvI8IrytgPdxDrlyQDyigz"&amp;"MsohRtDMs/edit?usp=share_link"",""อุทัยธานี!n191"")
"),25072.44)</f>
        <v>25072.44</v>
      </c>
      <c r="O191" s="155">
        <f ca="1">IF(L191&gt;0,N191*100/L191,0)</f>
        <v>24.580823529411763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KxicF4apzSqm0-jIpmueT4kyZtE-Cwn5zskl7GD4loQ/edit?usp=share_link"",""กำแพงเพชร!I193"")+IMPORTRANGE(""https://docs.google.com/spreadsheets/d/1ZNYWeiFoFA1K1U4xKWqRX29MBvEyRHXORjo734Gnq_c/edit?usp=share_li"&amp;"nk"",""เชียงราย!I193"")
+IMPORTRANGE(""https://docs.google.com/spreadsheets/d/1Jgv0Y7YlHDtsiDawwp-uvifEJ8HVaSn0k2aGHG8-hwM/edit?usp=share_link"",""เชียงใหม่!I193"")+IMPORTRANGE(""https://docs.google.com/spreadsheets/d/1JWG2rZePOz9pe-f-ObA-yDr0VoOX2kSb0qIi"&amp;"x2mTUo8/edit?usp=share_link"",""ตาก!I193"")+IMPORTRANGE(""https://docs.google.com/spreadsheets/d/10nSRjK08hx8Y6HgSOQKNw81lyY46Zc7U_Cj72hBMp9U/edit?usp=share_link"",""นครสวรรค์!I193"")+IMPORTRANGE(""https://docs.google.com/spreadsheets/d/1gFVb7qd7amutrIxAA"&amp;"oM7lcy35hllxznovot8lyOfvDo/edit?usp=share_link"",""น่าน!I193"")+IMPORTRANGE(""https://docs.google.com/spreadsheets/d/1K0Aa9s-6EuHE5M0FG1F9aHLXRCOV917xvycTdLdct0w/edit?usp=share_link"",""พะเยา!I193"")+IMPORTRANGE(""https://docs.google.com/spreadsheets/d/1Y"&amp;"9LPKx95PyL5OKy09d-KbKJSuuEZCFdkhYjwC0XQjBA/edit?usp=share_link"",""พิจิตร!I193"")+IMPORTRANGE(""https://docs.google.com/spreadsheets/d/16OMuOwy2eVqZcYWOouQtTpa8X1L23h4660uVHc0C8os/edit?usp=share_link"",""พิษณุโลก!I193"")+IMPORTRANGE(""https://docs.google."&amp;"com/spreadsheets/d/1GfgTldLG6k77HXaMQzaafODklYuucJZQNs_GAPEfZyY/edit?usp=share_link"",""เพชรบูรณ์!I193"")+IMPORTRANGE(""https://docs.google.com/spreadsheets/d/1gvTMYAnm7v1yG1BKWFtr0DnaTsq59oW9dwWvFgq6hs0/edit?usp=share_link"",""แพร่!I193"")+IMPORTRANGE("""&amp;"https://docs.google.com/spreadsheets/d/1Wbcosgy-Xa1xXUArJSOenub6EfZHUSzc_bpJFWwQUf0/edit?usp=share_link"",""แม่ฮ่องสอน!I193"")+IMPORTRANGE(""https://docs.google.com/spreadsheets/d/1p7ERhsr0qZeSn-KSOdeHS9r0heI-lHtkcn2OH7hP0jQ/edit?usp=share_link"",""ลำปาง!"&amp;"I193"")+IMPORTRANGE(""https://docs.google.com/spreadsheets/d/1-uUXvimVhiU2U0bMN-xi2te0tS4X7DI2GLPnMjzl8cA/edit?usp=share_link"",""ลำพูน!I193"")+IMPORTRANGE(""https://docs.google.com/spreadsheets/d/17HrOaa5pBUI1onckFfumXB8xlg35qb2uBAFfF1D-Myo/edit?usp=shar"&amp;"e_link"",""สุโขทัย!I193"")+IMPORTRANGE(""https://docs.google.com/spreadsheets/d/1ubs5cl16eYL9gHbdHTJtmtYb9MGzHBs7CAphn8kNCgM/edit?usp=share_link"",""อุตรดิตถ์!I193"")+IMPORTRANGE(""https://docs.google.com/spreadsheets/d/1kII0BjS6CtVrBvI8IrytgPdxDrlyQDyigz"&amp;"MsohRtDMs/edit?usp=share_link"",""อุทัยธานี!I193"")
"),68)</f>
        <v>68</v>
      </c>
      <c r="J193" s="183">
        <f ca="1">IFERROR(__xludf.DUMMYFUNCTION("IMPORTRANGE(""https://docs.google.com/spreadsheets/d/1KxicF4apzSqm0-jIpmueT4kyZtE-Cwn5zskl7GD4loQ/edit?usp=share_link"",""กำแพงเพชร!J193"")+IMPORTRANGE(""https://docs.google.com/spreadsheets/d/1ZNYWeiFoFA1K1U4xKWqRX29MBvEyRHXORjo734Gnq_c/edit?usp=share_li"&amp;"nk"",""เชียงราย!J193"")
+IMPORTRANGE(""https://docs.google.com/spreadsheets/d/1Jgv0Y7YlHDtsiDawwp-uvifEJ8HVaSn0k2aGHG8-hwM/edit?usp=share_link"",""เชียงใหม่!J193"")+IMPORTRANGE(""https://docs.google.com/spreadsheets/d/1JWG2rZePOz9pe-f-ObA-yDr0VoOX2kSb0qIi"&amp;"x2mTUo8/edit?usp=share_link"",""ตาก!J193"")+IMPORTRANGE(""https://docs.google.com/spreadsheets/d/10nSRjK08hx8Y6HgSOQKNw81lyY46Zc7U_Cj72hBMp9U/edit?usp=share_link"",""นครสวรรค์!J193"")+IMPORTRANGE(""https://docs.google.com/spreadsheets/d/1gFVb7qd7amutrIxAA"&amp;"oM7lcy35hllxznovot8lyOfvDo/edit?usp=share_link"",""น่าน!J193"")+IMPORTRANGE(""https://docs.google.com/spreadsheets/d/1K0Aa9s-6EuHE5M0FG1F9aHLXRCOV917xvycTdLdct0w/edit?usp=share_link"",""พะเยา!J193"")+IMPORTRANGE(""https://docs.google.com/spreadsheets/d/1Y"&amp;"9LPKx95PyL5OKy09d-KbKJSuuEZCFdkhYjwC0XQjBA/edit?usp=share_link"",""พิจิตร!J193"")+IMPORTRANGE(""https://docs.google.com/spreadsheets/d/16OMuOwy2eVqZcYWOouQtTpa8X1L23h4660uVHc0C8os/edit?usp=share_link"",""พิษณุโลก!J193"")+IMPORTRANGE(""https://docs.google."&amp;"com/spreadsheets/d/1GfgTldLG6k77HXaMQzaafODklYuucJZQNs_GAPEfZyY/edit?usp=share_link"",""เพชรบูรณ์!J193"")+IMPORTRANGE(""https://docs.google.com/spreadsheets/d/1gvTMYAnm7v1yG1BKWFtr0DnaTsq59oW9dwWvFgq6hs0/edit?usp=share_link"",""แพร่!J193"")+IMPORTRANGE("""&amp;"https://docs.google.com/spreadsheets/d/1Wbcosgy-Xa1xXUArJSOenub6EfZHUSzc_bpJFWwQUf0/edit?usp=share_link"",""แม่ฮ่องสอน!J193"")+IMPORTRANGE(""https://docs.google.com/spreadsheets/d/1p7ERhsr0qZeSn-KSOdeHS9r0heI-lHtkcn2OH7hP0jQ/edit?usp=share_link"",""ลำปาง!"&amp;"J193"")+IMPORTRANGE(""https://docs.google.com/spreadsheets/d/1-uUXvimVhiU2U0bMN-xi2te0tS4X7DI2GLPnMjzl8cA/edit?usp=share_link"",""ลำพูน!J193"")+IMPORTRANGE(""https://docs.google.com/spreadsheets/d/17HrOaa5pBUI1onckFfumXB8xlg35qb2uBAFfF1D-Myo/edit?usp=shar"&amp;"e_link"",""สุโขทัย!J193"")+IMPORTRANGE(""https://docs.google.com/spreadsheets/d/1ubs5cl16eYL9gHbdHTJtmtYb9MGzHBs7CAphn8kNCgM/edit?usp=share_link"",""อุตรดิตถ์!J193"")+IMPORTRANGE(""https://docs.google.com/spreadsheets/d/1kII0BjS6CtVrBvI8IrytgPdxDrlyQDyigz"&amp;"MsohRtDMs/edit?usp=share_link"",""อุทัยธานี!J193"")
"),28)</f>
        <v>28</v>
      </c>
      <c r="K193" s="38">
        <f ca="1">IF(I193&gt;0,J193*100/I193,0)</f>
        <v>41.176470588235297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887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KxicF4apzSqm0-jIpmueT4kyZtE-Cwn5zskl7GD4loQ/edit?usp=share_link"",""กำแพงเพชร!J195"")+IMPORTRANGE(""https://docs.google.com/spreadsheets/d/1ZNYWeiFoFA1K1U4xKWqRX29MBvEyRHXORjo734Gnq_c/edit?usp=share_li"&amp;"nk"",""เชียงราย!J195"")
+IMPORTRANGE(""https://docs.google.com/spreadsheets/d/1Jgv0Y7YlHDtsiDawwp-uvifEJ8HVaSn0k2aGHG8-hwM/edit?usp=share_link"",""เชียงใหม่!J195"")+IMPORTRANGE(""https://docs.google.com/spreadsheets/d/1JWG2rZePOz9pe-f-ObA-yDr0VoOX2kSb0qIi"&amp;"x2mTUo8/edit?usp=share_link"",""ตาก!J195"")+IMPORTRANGE(""https://docs.google.com/spreadsheets/d/10nSRjK08hx8Y6HgSOQKNw81lyY46Zc7U_Cj72hBMp9U/edit?usp=share_link"",""นครสวรรค์!J195"")+IMPORTRANGE(""https://docs.google.com/spreadsheets/d/1gFVb7qd7amutrIxAA"&amp;"oM7lcy35hllxznovot8lyOfvDo/edit?usp=share_link"",""น่าน!J195"")+IMPORTRANGE(""https://docs.google.com/spreadsheets/d/1K0Aa9s-6EuHE5M0FG1F9aHLXRCOV917xvycTdLdct0w/edit?usp=share_link"",""พะเยา!J195"")+IMPORTRANGE(""https://docs.google.com/spreadsheets/d/1Y"&amp;"9LPKx95PyL5OKy09d-KbKJSuuEZCFdkhYjwC0XQjBA/edit?usp=share_link"",""พิจิตร!J195"")+IMPORTRANGE(""https://docs.google.com/spreadsheets/d/16OMuOwy2eVqZcYWOouQtTpa8X1L23h4660uVHc0C8os/edit?usp=share_link"",""พิษณุโลก!J195"")+IMPORTRANGE(""https://docs.google."&amp;"com/spreadsheets/d/1GfgTldLG6k77HXaMQzaafODklYuucJZQNs_GAPEfZyY/edit?usp=share_link"",""เพชรบูรณ์!J195"")+IMPORTRANGE(""https://docs.google.com/spreadsheets/d/1gvTMYAnm7v1yG1BKWFtr0DnaTsq59oW9dwWvFgq6hs0/edit?usp=share_link"",""แพร่!J195"")+IMPORTRANGE("""&amp;"https://docs.google.com/spreadsheets/d/1Wbcosgy-Xa1xXUArJSOenub6EfZHUSzc_bpJFWwQUf0/edit?usp=share_link"",""แม่ฮ่องสอน!J195"")+IMPORTRANGE(""https://docs.google.com/spreadsheets/d/1p7ERhsr0qZeSn-KSOdeHS9r0heI-lHtkcn2OH7hP0jQ/edit?usp=share_link"",""ลำปาง!"&amp;"J195"")+IMPORTRANGE(""https://docs.google.com/spreadsheets/d/1-uUXvimVhiU2U0bMN-xi2te0tS4X7DI2GLPnMjzl8cA/edit?usp=share_link"",""ลำพูน!J195"")+IMPORTRANGE(""https://docs.google.com/spreadsheets/d/17HrOaa5pBUI1onckFfumXB8xlg35qb2uBAFfF1D-Myo/edit?usp=shar"&amp;"e_link"",""สุโขทัย!J195"")+IMPORTRANGE(""https://docs.google.com/spreadsheets/d/1ubs5cl16eYL9gHbdHTJtmtYb9MGzHBs7CAphn8kNCgM/edit?usp=share_link"",""อุตรดิตถ์!J195"")+IMPORTRANGE(""https://docs.google.com/spreadsheets/d/1kII0BjS6CtVrBvI8IrytgPdxDrlyQDyigz"&amp;"MsohRtDMs/edit?usp=share_link"",""อุทัยธานี!J195"")
"),887)</f>
        <v>887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KxicF4apzSqm0-jIpmueT4kyZtE-Cwn5zskl7GD4loQ/edit?usp=share_link"",""กำแพงเพชร!J196"")+IMPORTRANGE(""https://docs.google.com/spreadsheets/d/1ZNYWeiFoFA1K1U4xKWqRX29MBvEyRHXORjo734Gnq_c/edit?usp=share_li"&amp;"nk"",""เชียงราย!J196"")
+IMPORTRANGE(""https://docs.google.com/spreadsheets/d/1Jgv0Y7YlHDtsiDawwp-uvifEJ8HVaSn0k2aGHG8-hwM/edit?usp=share_link"",""เชียงใหม่!J196"")+IMPORTRANGE(""https://docs.google.com/spreadsheets/d/1JWG2rZePOz9pe-f-ObA-yDr0VoOX2kSb0qIi"&amp;"x2mTUo8/edit?usp=share_link"",""ตาก!J196"")+IMPORTRANGE(""https://docs.google.com/spreadsheets/d/10nSRjK08hx8Y6HgSOQKNw81lyY46Zc7U_Cj72hBMp9U/edit?usp=share_link"",""นครสวรรค์!J196"")+IMPORTRANGE(""https://docs.google.com/spreadsheets/d/1gFVb7qd7amutrIxAA"&amp;"oM7lcy35hllxznovot8lyOfvDo/edit?usp=share_link"",""น่าน!J196"")+IMPORTRANGE(""https://docs.google.com/spreadsheets/d/1K0Aa9s-6EuHE5M0FG1F9aHLXRCOV917xvycTdLdct0w/edit?usp=share_link"",""พะเยา!J196"")+IMPORTRANGE(""https://docs.google.com/spreadsheets/d/1Y"&amp;"9LPKx95PyL5OKy09d-KbKJSuuEZCFdkhYjwC0XQjBA/edit?usp=share_link"",""พิจิตร!J196"")+IMPORTRANGE(""https://docs.google.com/spreadsheets/d/16OMuOwy2eVqZcYWOouQtTpa8X1L23h4660uVHc0C8os/edit?usp=share_link"",""พิษณุโลก!J196"")+IMPORTRANGE(""https://docs.google."&amp;"com/spreadsheets/d/1GfgTldLG6k77HXaMQzaafODklYuucJZQNs_GAPEfZyY/edit?usp=share_link"",""เพชรบูรณ์!J196"")+IMPORTRANGE(""https://docs.google.com/spreadsheets/d/1gvTMYAnm7v1yG1BKWFtr0DnaTsq59oW9dwWvFgq6hs0/edit?usp=share_link"",""แพร่!J196"")+IMPORTRANGE("""&amp;"https://docs.google.com/spreadsheets/d/1Wbcosgy-Xa1xXUArJSOenub6EfZHUSzc_bpJFWwQUf0/edit?usp=share_link"",""แม่ฮ่องสอน!J196"")+IMPORTRANGE(""https://docs.google.com/spreadsheets/d/1p7ERhsr0qZeSn-KSOdeHS9r0heI-lHtkcn2OH7hP0jQ/edit?usp=share_link"",""ลำปาง!"&amp;"J196"")+IMPORTRANGE(""https://docs.google.com/spreadsheets/d/1-uUXvimVhiU2U0bMN-xi2te0tS4X7DI2GLPnMjzl8cA/edit?usp=share_link"",""ลำพูน!J196"")+IMPORTRANGE(""https://docs.google.com/spreadsheets/d/17HrOaa5pBUI1onckFfumXB8xlg35qb2uBAFfF1D-Myo/edit?usp=shar"&amp;"e_link"",""สุโขทัย!J196"")+IMPORTRANGE(""https://docs.google.com/spreadsheets/d/1ubs5cl16eYL9gHbdHTJtmtYb9MGzHBs7CAphn8kNCgM/edit?usp=share_link"",""อุตรดิตถ์!J196"")+IMPORTRANGE(""https://docs.google.com/spreadsheets/d/1kII0BjS6CtVrBvI8IrytgPdxDrlyQDyigz"&amp;"MsohRtDMs/edit?usp=share_link"",""อุทัยธานี!J196"")
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1">I204</f>
        <v>50</v>
      </c>
      <c r="J197" s="272">
        <f t="shared" ca="1" si="121"/>
        <v>42</v>
      </c>
      <c r="K197" s="273">
        <f ca="1">IF(I197&gt;0,J197*100/I197,0)</f>
        <v>84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665000</v>
      </c>
      <c r="M198" s="155"/>
      <c r="N198" s="155">
        <f ca="1">N199+N200+N201+N202</f>
        <v>322362.90000000002</v>
      </c>
      <c r="O198" s="155">
        <f ca="1">IF(L198&gt;0,N198*100/L198,0)</f>
        <v>48.475624060150381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KxicF4apzSqm0-jIpmueT4kyZtE-Cwn5zskl7GD4loQ/edit?usp=share_link"",""กำแพงเพชร!l199"")+IMPORTRANGE(""https://docs.google.com/spreadsheets/d/1ZNYWeiFoFA1K1U4xKWqRX29MBvEyRHXORjo734Gnq_c/edit?usp=share_li"&amp;"nk"",""เชียงราย!l199"")
+IMPORTRANGE(""https://docs.google.com/spreadsheets/d/1Jgv0Y7YlHDtsiDawwp-uvifEJ8HVaSn0k2aGHG8-hwM/edit?usp=share_link"",""เชียงใหม่!l199"")+IMPORTRANGE(""https://docs.google.com/spreadsheets/d/1JWG2rZePOz9pe-f-ObA-yDr0VoOX2kSb0qIi"&amp;"x2mTUo8/edit?usp=share_link"",""ตาก!l199"")+IMPORTRANGE(""https://docs.google.com/spreadsheets/d/10nSRjK08hx8Y6HgSOQKNw81lyY46Zc7U_Cj72hBMp9U/edit?usp=share_link"",""นครสวรรค์!l199"")+IMPORTRANGE(""https://docs.google.com/spreadsheets/d/1gFVb7qd7amutrIxAA"&amp;"oM7lcy35hllxznovot8lyOfvDo/edit?usp=share_link"",""น่าน!l199"")+IMPORTRANGE(""https://docs.google.com/spreadsheets/d/1K0Aa9s-6EuHE5M0FG1F9aHLXRCOV917xvycTdLdct0w/edit?usp=share_link"",""พะเยา!l199"")+IMPORTRANGE(""https://docs.google.com/spreadsheets/d/1Y"&amp;"9LPKx95PyL5OKy09d-KbKJSuuEZCFdkhYjwC0XQjBA/edit?usp=share_link"",""พิจิตร!l199"")+IMPORTRANGE(""https://docs.google.com/spreadsheets/d/16OMuOwy2eVqZcYWOouQtTpa8X1L23h4660uVHc0C8os/edit?usp=share_link"",""พิษณุโลก!l199"")+IMPORTRANGE(""https://docs.google."&amp;"com/spreadsheets/d/1GfgTldLG6k77HXaMQzaafODklYuucJZQNs_GAPEfZyY/edit?usp=share_link"",""เพชรบูรณ์!l199"")+IMPORTRANGE(""https://docs.google.com/spreadsheets/d/1gvTMYAnm7v1yG1BKWFtr0DnaTsq59oW9dwWvFgq6hs0/edit?usp=share_link"",""แพร่!l199"")+IMPORTRANGE("""&amp;"https://docs.google.com/spreadsheets/d/1Wbcosgy-Xa1xXUArJSOenub6EfZHUSzc_bpJFWwQUf0/edit?usp=share_link"",""แม่ฮ่องสอน!l199"")+IMPORTRANGE(""https://docs.google.com/spreadsheets/d/1p7ERhsr0qZeSn-KSOdeHS9r0heI-lHtkcn2OH7hP0jQ/edit?usp=share_link"",""ลำปาง!"&amp;"l199"")+IMPORTRANGE(""https://docs.google.com/spreadsheets/d/1-uUXvimVhiU2U0bMN-xi2te0tS4X7DI2GLPnMjzl8cA/edit?usp=share_link"",""ลำพูน!l199"")+IMPORTRANGE(""https://docs.google.com/spreadsheets/d/17HrOaa5pBUI1onckFfumXB8xlg35qb2uBAFfF1D-Myo/edit?usp=shar"&amp;"e_link"",""สุโขทัย!l199"")+IMPORTRANGE(""https://docs.google.com/spreadsheets/d/1ubs5cl16eYL9gHbdHTJtmtYb9MGzHBs7CAphn8kNCgM/edit?usp=share_link"",""อุตรดิตถ์!l199"")+IMPORTRANGE(""https://docs.google.com/spreadsheets/d/1kII0BjS6CtVrBvI8IrytgPdxDrlyQDyigz"&amp;"MsohRtDMs/edit?usp=share_link"",""อุทัยธานี!l199"")
"),50000)</f>
        <v>50000</v>
      </c>
      <c r="M199" s="38"/>
      <c r="N199" s="283">
        <f ca="1">IFERROR(__xludf.DUMMYFUNCTION("IMPORTRANGE(""https://docs.google.com/spreadsheets/d/1KxicF4apzSqm0-jIpmueT4kyZtE-Cwn5zskl7GD4loQ/edit?usp=share_link"",""กำแพงเพชร!n199"")+IMPORTRANGE(""https://docs.google.com/spreadsheets/d/1ZNYWeiFoFA1K1U4xKWqRX29MBvEyRHXORjo734Gnq_c/edit?usp=share_li"&amp;"nk"",""เชียงราย!n199"")
+IMPORTRANGE(""https://docs.google.com/spreadsheets/d/1Jgv0Y7YlHDtsiDawwp-uvifEJ8HVaSn0k2aGHG8-hwM/edit?usp=share_link"",""เชียงใหม่!n199"")+IMPORTRANGE(""https://docs.google.com/spreadsheets/d/1JWG2rZePOz9pe-f-ObA-yDr0VoOX2kSb0qIi"&amp;"x2mTUo8/edit?usp=share_link"",""ตาก!n199"")+IMPORTRANGE(""https://docs.google.com/spreadsheets/d/10nSRjK08hx8Y6HgSOQKNw81lyY46Zc7U_Cj72hBMp9U/edit?usp=share_link"",""นครสวรรค์!n199"")+IMPORTRANGE(""https://docs.google.com/spreadsheets/d/1gFVb7qd7amutrIxAA"&amp;"oM7lcy35hllxznovot8lyOfvDo/edit?usp=share_link"",""น่าน!n199"")+IMPORTRANGE(""https://docs.google.com/spreadsheets/d/1K0Aa9s-6EuHE5M0FG1F9aHLXRCOV917xvycTdLdct0w/edit?usp=share_link"",""พะเยา!n199"")+IMPORTRANGE(""https://docs.google.com/spreadsheets/d/1Y"&amp;"9LPKx95PyL5OKy09d-KbKJSuuEZCFdkhYjwC0XQjBA/edit?usp=share_link"",""พิจิตร!n199"")+IMPORTRANGE(""https://docs.google.com/spreadsheets/d/16OMuOwy2eVqZcYWOouQtTpa8X1L23h4660uVHc0C8os/edit?usp=share_link"",""พิษณุโลก!n199"")+IMPORTRANGE(""https://docs.google."&amp;"com/spreadsheets/d/1GfgTldLG6k77HXaMQzaafODklYuucJZQNs_GAPEfZyY/edit?usp=share_link"",""เพชรบูรณ์!n199"")+IMPORTRANGE(""https://docs.google.com/spreadsheets/d/1gvTMYAnm7v1yG1BKWFtr0DnaTsq59oW9dwWvFgq6hs0/edit?usp=share_link"",""แพร่!n199"")+IMPORTRANGE("""&amp;"https://docs.google.com/spreadsheets/d/1Wbcosgy-Xa1xXUArJSOenub6EfZHUSzc_bpJFWwQUf0/edit?usp=share_link"",""แม่ฮ่องสอน!n199"")+IMPORTRANGE(""https://docs.google.com/spreadsheets/d/1p7ERhsr0qZeSn-KSOdeHS9r0heI-lHtkcn2OH7hP0jQ/edit?usp=share_link"",""ลำปาง!"&amp;"n199"")+IMPORTRANGE(""https://docs.google.com/spreadsheets/d/1-uUXvimVhiU2U0bMN-xi2te0tS4X7DI2GLPnMjzl8cA/edit?usp=share_link"",""ลำพูน!n199"")+IMPORTRANGE(""https://docs.google.com/spreadsheets/d/17HrOaa5pBUI1onckFfumXB8xlg35qb2uBAFfF1D-Myo/edit?usp=shar"&amp;"e_link"",""สุโขทัย!n199"")+IMPORTRANGE(""https://docs.google.com/spreadsheets/d/1ubs5cl16eYL9gHbdHTJtmtYb9MGzHBs7CAphn8kNCgM/edit?usp=share_link"",""อุตรดิตถ์!n199"")+IMPORTRANGE(""https://docs.google.com/spreadsheets/d/1kII0BjS6CtVrBvI8IrytgPdxDrlyQDyigz"&amp;"MsohRtDMs/edit?usp=share_link"",""อุทัยธานี!n199"")
"),16905)</f>
        <v>16905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KxicF4apzSqm0-jIpmueT4kyZtE-Cwn5zskl7GD4loQ/edit?usp=share_link"",""กำแพงเพชร!l200"")+IMPORTRANGE(""https://docs.google.com/spreadsheets/d/1ZNYWeiFoFA1K1U4xKWqRX29MBvEyRHXORjo734Gnq_c/edit?usp=share_li"&amp;"nk"",""เชียงราย!l200"")
+IMPORTRANGE(""https://docs.google.com/spreadsheets/d/1Jgv0Y7YlHDtsiDawwp-uvifEJ8HVaSn0k2aGHG8-hwM/edit?usp=share_link"",""เชียงใหม่!l200"")+IMPORTRANGE(""https://docs.google.com/spreadsheets/d/1JWG2rZePOz9pe-f-ObA-yDr0VoOX2kSb0qIi"&amp;"x2mTUo8/edit?usp=share_link"",""ตาก!l200"")+IMPORTRANGE(""https://docs.google.com/spreadsheets/d/10nSRjK08hx8Y6HgSOQKNw81lyY46Zc7U_Cj72hBMp9U/edit?usp=share_link"",""นครสวรรค์!l200"")+IMPORTRANGE(""https://docs.google.com/spreadsheets/d/1gFVb7qd7amutrIxAA"&amp;"oM7lcy35hllxznovot8lyOfvDo/edit?usp=share_link"",""น่าน!l200"")+IMPORTRANGE(""https://docs.google.com/spreadsheets/d/1K0Aa9s-6EuHE5M0FG1F9aHLXRCOV917xvycTdLdct0w/edit?usp=share_link"",""พะเยา!l200"")+IMPORTRANGE(""https://docs.google.com/spreadsheets/d/1Y"&amp;"9LPKx95PyL5OKy09d-KbKJSuuEZCFdkhYjwC0XQjBA/edit?usp=share_link"",""พิจิตร!l200"")+IMPORTRANGE(""https://docs.google.com/spreadsheets/d/16OMuOwy2eVqZcYWOouQtTpa8X1L23h4660uVHc0C8os/edit?usp=share_link"",""พิษณุโลก!l200"")+IMPORTRANGE(""https://docs.google."&amp;"com/spreadsheets/d/1GfgTldLG6k77HXaMQzaafODklYuucJZQNs_GAPEfZyY/edit?usp=share_link"",""เพชรบูรณ์!l200"")+IMPORTRANGE(""https://docs.google.com/spreadsheets/d/1gvTMYAnm7v1yG1BKWFtr0DnaTsq59oW9dwWvFgq6hs0/edit?usp=share_link"",""แพร่!l200"")+IMPORTRANGE("""&amp;"https://docs.google.com/spreadsheets/d/1Wbcosgy-Xa1xXUArJSOenub6EfZHUSzc_bpJFWwQUf0/edit?usp=share_link"",""แม่ฮ่องสอน!l200"")+IMPORTRANGE(""https://docs.google.com/spreadsheets/d/1p7ERhsr0qZeSn-KSOdeHS9r0heI-lHtkcn2OH7hP0jQ/edit?usp=share_link"",""ลำปาง!"&amp;"l200"")+IMPORTRANGE(""https://docs.google.com/spreadsheets/d/1-uUXvimVhiU2U0bMN-xi2te0tS4X7DI2GLPnMjzl8cA/edit?usp=share_link"",""ลำพูน!l200"")+IMPORTRANGE(""https://docs.google.com/spreadsheets/d/17HrOaa5pBUI1onckFfumXB8xlg35qb2uBAFfF1D-Myo/edit?usp=shar"&amp;"e_link"",""สุโขทัย!l200"")+IMPORTRANGE(""https://docs.google.com/spreadsheets/d/1ubs5cl16eYL9gHbdHTJtmtYb9MGzHBs7CAphn8kNCgM/edit?usp=share_link"",""อุตรดิตถ์!l200"")+IMPORTRANGE(""https://docs.google.com/spreadsheets/d/1kII0BjS6CtVrBvI8IrytgPdxDrlyQDyigz"&amp;"MsohRtDMs/edit?usp=share_link"",""อุทัยธานี!l200"")
"),400000)</f>
        <v>400000</v>
      </c>
      <c r="M200" s="38"/>
      <c r="N200" s="283">
        <f ca="1">IFERROR(__xludf.DUMMYFUNCTION("IMPORTRANGE(""https://docs.google.com/spreadsheets/d/1KxicF4apzSqm0-jIpmueT4kyZtE-Cwn5zskl7GD4loQ/edit?usp=share_link"",""กำแพงเพชร!n200"")+IMPORTRANGE(""https://docs.google.com/spreadsheets/d/1ZNYWeiFoFA1K1U4xKWqRX29MBvEyRHXORjo734Gnq_c/edit?usp=share_li"&amp;"nk"",""เชียงราย!n200"")
+IMPORTRANGE(""https://docs.google.com/spreadsheets/d/1Jgv0Y7YlHDtsiDawwp-uvifEJ8HVaSn0k2aGHG8-hwM/edit?usp=share_link"",""เชียงใหม่!n200"")+IMPORTRANGE(""https://docs.google.com/spreadsheets/d/1JWG2rZePOz9pe-f-ObA-yDr0VoOX2kSb0qIi"&amp;"x2mTUo8/edit?usp=share_link"",""ตาก!n200"")+IMPORTRANGE(""https://docs.google.com/spreadsheets/d/10nSRjK08hx8Y6HgSOQKNw81lyY46Zc7U_Cj72hBMp9U/edit?usp=share_link"",""นครสวรรค์!n200"")+IMPORTRANGE(""https://docs.google.com/spreadsheets/d/1gFVb7qd7amutrIxAA"&amp;"oM7lcy35hllxznovot8lyOfvDo/edit?usp=share_link"",""น่าน!n200"")+IMPORTRANGE(""https://docs.google.com/spreadsheets/d/1K0Aa9s-6EuHE5M0FG1F9aHLXRCOV917xvycTdLdct0w/edit?usp=share_link"",""พะเยา!n200"")+IMPORTRANGE(""https://docs.google.com/spreadsheets/d/1Y"&amp;"9LPKx95PyL5OKy09d-KbKJSuuEZCFdkhYjwC0XQjBA/edit?usp=share_link"",""พิจิตร!n200"")+IMPORTRANGE(""https://docs.google.com/spreadsheets/d/16OMuOwy2eVqZcYWOouQtTpa8X1L23h4660uVHc0C8os/edit?usp=share_link"",""พิษณุโลก!n200"")+IMPORTRANGE(""https://docs.google."&amp;"com/spreadsheets/d/1GfgTldLG6k77HXaMQzaafODklYuucJZQNs_GAPEfZyY/edit?usp=share_link"",""เพชรบูรณ์!n200"")+IMPORTRANGE(""https://docs.google.com/spreadsheets/d/1gvTMYAnm7v1yG1BKWFtr0DnaTsq59oW9dwWvFgq6hs0/edit?usp=share_link"",""แพร่!n200"")+IMPORTRANGE("""&amp;"https://docs.google.com/spreadsheets/d/1Wbcosgy-Xa1xXUArJSOenub6EfZHUSzc_bpJFWwQUf0/edit?usp=share_link"",""แม่ฮ่องสอน!n200"")+IMPORTRANGE(""https://docs.google.com/spreadsheets/d/1p7ERhsr0qZeSn-KSOdeHS9r0heI-lHtkcn2OH7hP0jQ/edit?usp=share_link"",""ลำปาง!"&amp;"n200"")+IMPORTRANGE(""https://docs.google.com/spreadsheets/d/1-uUXvimVhiU2U0bMN-xi2te0tS4X7DI2GLPnMjzl8cA/edit?usp=share_link"",""ลำพูน!n200"")+IMPORTRANGE(""https://docs.google.com/spreadsheets/d/17HrOaa5pBUI1onckFfumXB8xlg35qb2uBAFfF1D-Myo/edit?usp=shar"&amp;"e_link"",""สุโขทัย!n200"")+IMPORTRANGE(""https://docs.google.com/spreadsheets/d/1ubs5cl16eYL9gHbdHTJtmtYb9MGzHBs7CAphn8kNCgM/edit?usp=share_link"",""อุตรดิตถ์!n200"")+IMPORTRANGE(""https://docs.google.com/spreadsheets/d/1kII0BjS6CtVrBvI8IrytgPdxDrlyQDyigz"&amp;"MsohRtDMs/edit?usp=share_link"",""อุทัยธานี!n200"")
"),287460)</f>
        <v>287460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KxicF4apzSqm0-jIpmueT4kyZtE-Cwn5zskl7GD4loQ/edit?usp=share_link"",""กำแพงเพชร!l201"")+IMPORTRANGE(""https://docs.google.com/spreadsheets/d/1ZNYWeiFoFA1K1U4xKWqRX29MBvEyRHXORjo734Gnq_c/edit?usp=share_li"&amp;"nk"",""เชียงราย!l201"")
+IMPORTRANGE(""https://docs.google.com/spreadsheets/d/1Jgv0Y7YlHDtsiDawwp-uvifEJ8HVaSn0k2aGHG8-hwM/edit?usp=share_link"",""เชียงใหม่!l201"")+IMPORTRANGE(""https://docs.google.com/spreadsheets/d/1JWG2rZePOz9pe-f-ObA-yDr0VoOX2kSb0qIi"&amp;"x2mTUo8/edit?usp=share_link"",""ตาก!l201"")+IMPORTRANGE(""https://docs.google.com/spreadsheets/d/10nSRjK08hx8Y6HgSOQKNw81lyY46Zc7U_Cj72hBMp9U/edit?usp=share_link"",""นครสวรรค์!l201"")+IMPORTRANGE(""https://docs.google.com/spreadsheets/d/1gFVb7qd7amutrIxAA"&amp;"oM7lcy35hllxznovot8lyOfvDo/edit?usp=share_link"",""น่าน!l201"")+IMPORTRANGE(""https://docs.google.com/spreadsheets/d/1K0Aa9s-6EuHE5M0FG1F9aHLXRCOV917xvycTdLdct0w/edit?usp=share_link"",""พะเยา!l201"")+IMPORTRANGE(""https://docs.google.com/spreadsheets/d/1Y"&amp;"9LPKx95PyL5OKy09d-KbKJSuuEZCFdkhYjwC0XQjBA/edit?usp=share_link"",""พิจิตร!l201"")+IMPORTRANGE(""https://docs.google.com/spreadsheets/d/16OMuOwy2eVqZcYWOouQtTpa8X1L23h4660uVHc0C8os/edit?usp=share_link"",""พิษณุโลก!l201"")+IMPORTRANGE(""https://docs.google."&amp;"com/spreadsheets/d/1GfgTldLG6k77HXaMQzaafODklYuucJZQNs_GAPEfZyY/edit?usp=share_link"",""เพชรบูรณ์!l201"")+IMPORTRANGE(""https://docs.google.com/spreadsheets/d/1gvTMYAnm7v1yG1BKWFtr0DnaTsq59oW9dwWvFgq6hs0/edit?usp=share_link"",""แพร่!l201"")+IMPORTRANGE("""&amp;"https://docs.google.com/spreadsheets/d/1Wbcosgy-Xa1xXUArJSOenub6EfZHUSzc_bpJFWwQUf0/edit?usp=share_link"",""แม่ฮ่องสอน!l201"")+IMPORTRANGE(""https://docs.google.com/spreadsheets/d/1p7ERhsr0qZeSn-KSOdeHS9r0heI-lHtkcn2OH7hP0jQ/edit?usp=share_link"",""ลำปาง!"&amp;"l201"")+IMPORTRANGE(""https://docs.google.com/spreadsheets/d/1-uUXvimVhiU2U0bMN-xi2te0tS4X7DI2GLPnMjzl8cA/edit?usp=share_link"",""ลำพูน!l201"")+IMPORTRANGE(""https://docs.google.com/spreadsheets/d/17HrOaa5pBUI1onckFfumXB8xlg35qb2uBAFfF1D-Myo/edit?usp=shar"&amp;"e_link"",""สุโขทัย!l201"")+IMPORTRANGE(""https://docs.google.com/spreadsheets/d/1ubs5cl16eYL9gHbdHTJtmtYb9MGzHBs7CAphn8kNCgM/edit?usp=share_link"",""อุตรดิตถ์!l201"")+IMPORTRANGE(""https://docs.google.com/spreadsheets/d/1kII0BjS6CtVrBvI8IrytgPdxDrlyQDyigz"&amp;"MsohRtDMs/edit?usp=share_link"",""อุทัยธานี!l201"")
"),200000)</f>
        <v>200000</v>
      </c>
      <c r="M201" s="38"/>
      <c r="N201" s="283">
        <f ca="1">IFERROR(__xludf.DUMMYFUNCTION("IMPORTRANGE(""https://docs.google.com/spreadsheets/d/1KxicF4apzSqm0-jIpmueT4kyZtE-Cwn5zskl7GD4loQ/edit?usp=share_link"",""กำแพงเพชร!N201"")+IMPORTRANGE(""https://docs.google.com/spreadsheets/d/1ZNYWeiFoFA1K1U4xKWqRX29MBvEyRHXORjo734Gnq_c/edit?usp=share_li"&amp;"nk"",""เชียงราย!N201"")
+IMPORTRANGE(""https://docs.google.com/spreadsheets/d/1Jgv0Y7YlHDtsiDawwp-uvifEJ8HVaSn0k2aGHG8-hwM/edit?usp=share_link"",""เชียงใหม่!N201"")+IMPORTRANGE(""https://docs.google.com/spreadsheets/d/1JWG2rZePOz9pe-f-ObA-yDr0VoOX2kSb0qIi"&amp;"x2mTUo8/edit?usp=share_link"",""ตาก!N201"")+IMPORTRANGE(""https://docs.google.com/spreadsheets/d/10nSRjK08hx8Y6HgSOQKNw81lyY46Zc7U_Cj72hBMp9U/edit?usp=share_link"",""นครสวรรค์!N201"")+IMPORTRANGE(""https://docs.google.com/spreadsheets/d/1gFVb7qd7amutrIxAA"&amp;"oM7lcy35hllxznovot8lyOfvDo/edit?usp=share_link"",""น่าน!N201"")+IMPORTRANGE(""https://docs.google.com/spreadsheets/d/1K0Aa9s-6EuHE5M0FG1F9aHLXRCOV917xvycTdLdct0w/edit?usp=share_link"",""พะเยา!N201"")+IMPORTRANGE(""https://docs.google.com/spreadsheets/d/1Y"&amp;"9LPKx95PyL5OKy09d-KbKJSuuEZCFdkhYjwC0XQjBA/edit?usp=share_link"",""พิจิตร!N201"")+IMPORTRANGE(""https://docs.google.com/spreadsheets/d/16OMuOwy2eVqZcYWOouQtTpa8X1L23h4660uVHc0C8os/edit?usp=share_link"",""พิษณุโลก!N201"")+IMPORTRANGE(""https://docs.google."&amp;"com/spreadsheets/d/1GfgTldLG6k77HXaMQzaafODklYuucJZQNs_GAPEfZyY/edit?usp=share_link"",""เพชรบูรณ์!N201"")+IMPORTRANGE(""https://docs.google.com/spreadsheets/d/1gvTMYAnm7v1yG1BKWFtr0DnaTsq59oW9dwWvFgq6hs0/edit?usp=share_link"",""แพร่!N201"")+IMPORTRANGE("""&amp;"https://docs.google.com/spreadsheets/d/1Wbcosgy-Xa1xXUArJSOenub6EfZHUSzc_bpJFWwQUf0/edit?usp=share_link"",""แม่ฮ่องสอน!N201"")+IMPORTRANGE(""https://docs.google.com/spreadsheets/d/1p7ERhsr0qZeSn-KSOdeHS9r0heI-lHtkcn2OH7hP0jQ/edit?usp=share_link"",""ลำปาง!"&amp;"N201"")+IMPORTRANGE(""https://docs.google.com/spreadsheets/d/1-uUXvimVhiU2U0bMN-xi2te0tS4X7DI2GLPnMjzl8cA/edit?usp=share_link"",""ลำพูน!N201"")+IMPORTRANGE(""https://docs.google.com/spreadsheets/d/17HrOaa5pBUI1onckFfumXB8xlg35qb2uBAFfF1D-Myo/edit?usp=shar"&amp;"e_link"",""สุโขทัย!N201"")+IMPORTRANGE(""https://docs.google.com/spreadsheets/d/1ubs5cl16eYL9gHbdHTJtmtYb9MGzHBs7CAphn8kNCgM/edit?usp=share_link"",""อุตรดิตถ์!N201"")+IMPORTRANGE(""https://docs.google.com/spreadsheets/d/1kII0BjS6CtVrBvI8IrytgPdxDrlyQDyigz"&amp;"MsohRtDMs/edit?usp=share_link"",""อุทัยธานี!N201"")
"),17997.9)</f>
        <v>17997.900000000001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KxicF4apzSqm0-jIpmueT4kyZtE-Cwn5zskl7GD4loQ/edit?usp=share_link"",""กำแพงเพชร!l202"")+IMPORTRANGE(""https://docs.google.com/spreadsheets/d/1ZNYWeiFoFA1K1U4xKWqRX29MBvEyRHXORjo734Gnq_c/edit?usp=share_li"&amp;"nk"",""เชียงราย!l202"")
+IMPORTRANGE(""https://docs.google.com/spreadsheets/d/1Jgv0Y7YlHDtsiDawwp-uvifEJ8HVaSn0k2aGHG8-hwM/edit?usp=share_link"",""เชียงใหม่!l202"")+IMPORTRANGE(""https://docs.google.com/spreadsheets/d/1JWG2rZePOz9pe-f-ObA-yDr0VoOX2kSb0qIi"&amp;"x2mTUo8/edit?usp=share_link"",""ตาก!l202"")+IMPORTRANGE(""https://docs.google.com/spreadsheets/d/10nSRjK08hx8Y6HgSOQKNw81lyY46Zc7U_Cj72hBMp9U/edit?usp=share_link"",""นครสวรรค์!l202"")+IMPORTRANGE(""https://docs.google.com/spreadsheets/d/1gFVb7qd7amutrIxAA"&amp;"oM7lcy35hllxznovot8lyOfvDo/edit?usp=share_link"",""น่าน!l202"")+IMPORTRANGE(""https://docs.google.com/spreadsheets/d/1K0Aa9s-6EuHE5M0FG1F9aHLXRCOV917xvycTdLdct0w/edit?usp=share_link"",""พะเยา!l202"")+IMPORTRANGE(""https://docs.google.com/spreadsheets/d/1Y"&amp;"9LPKx95PyL5OKy09d-KbKJSuuEZCFdkhYjwC0XQjBA/edit?usp=share_link"",""พิจิตร!l202"")+IMPORTRANGE(""https://docs.google.com/spreadsheets/d/16OMuOwy2eVqZcYWOouQtTpa8X1L23h4660uVHc0C8os/edit?usp=share_link"",""พิษณุโลก!l202"")+IMPORTRANGE(""https://docs.google."&amp;"com/spreadsheets/d/1GfgTldLG6k77HXaMQzaafODklYuucJZQNs_GAPEfZyY/edit?usp=share_link"",""เพชรบูรณ์!l202"")+IMPORTRANGE(""https://docs.google.com/spreadsheets/d/1gvTMYAnm7v1yG1BKWFtr0DnaTsq59oW9dwWvFgq6hs0/edit?usp=share_link"",""แพร่!l202"")+IMPORTRANGE("""&amp;"https://docs.google.com/spreadsheets/d/1Wbcosgy-Xa1xXUArJSOenub6EfZHUSzc_bpJFWwQUf0/edit?usp=share_link"",""แม่ฮ่องสอน!l202"")+IMPORTRANGE(""https://docs.google.com/spreadsheets/d/1p7ERhsr0qZeSn-KSOdeHS9r0heI-lHtkcn2OH7hP0jQ/edit?usp=share_link"",""ลำปาง!"&amp;"l202"")+IMPORTRANGE(""https://docs.google.com/spreadsheets/d/1-uUXvimVhiU2U0bMN-xi2te0tS4X7DI2GLPnMjzl8cA/edit?usp=share_link"",""ลำพูน!l202"")+IMPORTRANGE(""https://docs.google.com/spreadsheets/d/17HrOaa5pBUI1onckFfumXB8xlg35qb2uBAFfF1D-Myo/edit?usp=shar"&amp;"e_link"",""สุโขทัย!l202"")+IMPORTRANGE(""https://docs.google.com/spreadsheets/d/1ubs5cl16eYL9gHbdHTJtmtYb9MGzHBs7CAphn8kNCgM/edit?usp=share_link"",""อุตรดิตถ์!l202"")+IMPORTRANGE(""https://docs.google.com/spreadsheets/d/1kII0BjS6CtVrBvI8IrytgPdxDrlyQDyigz"&amp;"MsohRtDMs/edit?usp=share_link"",""อุทัยธานี!l202"")
"),15000)</f>
        <v>15000</v>
      </c>
      <c r="M202" s="38"/>
      <c r="N202" s="283">
        <f ca="1">IFERROR(__xludf.DUMMYFUNCTION("IMPORTRANGE(""https://docs.google.com/spreadsheets/d/1KxicF4apzSqm0-jIpmueT4kyZtE-Cwn5zskl7GD4loQ/edit?usp=share_link"",""กำแพงเพชร!n202"")+IMPORTRANGE(""https://docs.google.com/spreadsheets/d/1ZNYWeiFoFA1K1U4xKWqRX29MBvEyRHXORjo734Gnq_c/edit?usp=share_li"&amp;"nk"",""เชียงราย!n202"")
+IMPORTRANGE(""https://docs.google.com/spreadsheets/d/1Jgv0Y7YlHDtsiDawwp-uvifEJ8HVaSn0k2aGHG8-hwM/edit?usp=share_link"",""เชียงใหม่!n202"")+IMPORTRANGE(""https://docs.google.com/spreadsheets/d/1JWG2rZePOz9pe-f-ObA-yDr0VoOX2kSb0qIi"&amp;"x2mTUo8/edit?usp=share_link"",""ตาก!n202"")+IMPORTRANGE(""https://docs.google.com/spreadsheets/d/10nSRjK08hx8Y6HgSOQKNw81lyY46Zc7U_Cj72hBMp9U/edit?usp=share_link"",""นครสวรรค์!n202"")+IMPORTRANGE(""https://docs.google.com/spreadsheets/d/1gFVb7qd7amutrIxAA"&amp;"oM7lcy35hllxznovot8lyOfvDo/edit?usp=share_link"",""น่าน!n202"")+IMPORTRANGE(""https://docs.google.com/spreadsheets/d/1K0Aa9s-6EuHE5M0FG1F9aHLXRCOV917xvycTdLdct0w/edit?usp=share_link"",""พะเยา!n202"")+IMPORTRANGE(""https://docs.google.com/spreadsheets/d/1Y"&amp;"9LPKx95PyL5OKy09d-KbKJSuuEZCFdkhYjwC0XQjBA/edit?usp=share_link"",""พิจิตร!n202"")+IMPORTRANGE(""https://docs.google.com/spreadsheets/d/16OMuOwy2eVqZcYWOouQtTpa8X1L23h4660uVHc0C8os/edit?usp=share_link"",""พิษณุโลก!n202"")+IMPORTRANGE(""https://docs.google."&amp;"com/spreadsheets/d/1GfgTldLG6k77HXaMQzaafODklYuucJZQNs_GAPEfZyY/edit?usp=share_link"",""เพชรบูรณ์!n202"")+IMPORTRANGE(""https://docs.google.com/spreadsheets/d/1gvTMYAnm7v1yG1BKWFtr0DnaTsq59oW9dwWvFgq6hs0/edit?usp=share_link"",""แพร่!n202"")+IMPORTRANGE("""&amp;"https://docs.google.com/spreadsheets/d/1Wbcosgy-Xa1xXUArJSOenub6EfZHUSzc_bpJFWwQUf0/edit?usp=share_link"",""แม่ฮ่องสอน!n202"")+IMPORTRANGE(""https://docs.google.com/spreadsheets/d/1p7ERhsr0qZeSn-KSOdeHS9r0heI-lHtkcn2OH7hP0jQ/edit?usp=share_link"",""ลำปาง!"&amp;"n202"")+IMPORTRANGE(""https://docs.google.com/spreadsheets/d/1-uUXvimVhiU2U0bMN-xi2te0tS4X7DI2GLPnMjzl8cA/edit?usp=share_link"",""ลำพูน!n202"")+IMPORTRANGE(""https://docs.google.com/spreadsheets/d/17HrOaa5pBUI1onckFfumXB8xlg35qb2uBAFfF1D-Myo/edit?usp=shar"&amp;"e_link"",""สุโขทัย!n202"")+IMPORTRANGE(""https://docs.google.com/spreadsheets/d/1ubs5cl16eYL9gHbdHTJtmtYb9MGzHBs7CAphn8kNCgM/edit?usp=share_link"",""อุตรดิตถ์!n202"")+IMPORTRANGE(""https://docs.google.com/spreadsheets/d/1kII0BjS6CtVrBvI8IrytgPdxDrlyQDyigz"&amp;"MsohRtDMs/edit?usp=share_link"",""อุทัยธานี!n202"")
"),0)</f>
        <v>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KxicF4apzSqm0-jIpmueT4kyZtE-Cwn5zskl7GD4loQ/edit?usp=share_link"",""กำแพงเพชร!I204"")+IMPORTRANGE(""https://docs.google.com/spreadsheets/d/1ZNYWeiFoFA1K1U4xKWqRX29MBvEyRHXORjo734Gnq_c/edit?usp=share_li"&amp;"nk"",""เชียงราย!I204"")
+IMPORTRANGE(""https://docs.google.com/spreadsheets/d/1Jgv0Y7YlHDtsiDawwp-uvifEJ8HVaSn0k2aGHG8-hwM/edit?usp=share_link"",""เชียงใหม่!I204"")+IMPORTRANGE(""https://docs.google.com/spreadsheets/d/1JWG2rZePOz9pe-f-ObA-yDr0VoOX2kSb0qIi"&amp;"x2mTUo8/edit?usp=share_link"",""ตาก!I204"")+IMPORTRANGE(""https://docs.google.com/spreadsheets/d/10nSRjK08hx8Y6HgSOQKNw81lyY46Zc7U_Cj72hBMp9U/edit?usp=share_link"",""นครสวรรค์!I204"")+IMPORTRANGE(""https://docs.google.com/spreadsheets/d/1gFVb7qd7amutrIxAA"&amp;"oM7lcy35hllxznovot8lyOfvDo/edit?usp=share_link"",""น่าน!I204"")+IMPORTRANGE(""https://docs.google.com/spreadsheets/d/1K0Aa9s-6EuHE5M0FG1F9aHLXRCOV917xvycTdLdct0w/edit?usp=share_link"",""พะเยา!I204"")+IMPORTRANGE(""https://docs.google.com/spreadsheets/d/1Y"&amp;"9LPKx95PyL5OKy09d-KbKJSuuEZCFdkhYjwC0XQjBA/edit?usp=share_link"",""พิจิตร!I204"")+IMPORTRANGE(""https://docs.google.com/spreadsheets/d/16OMuOwy2eVqZcYWOouQtTpa8X1L23h4660uVHc0C8os/edit?usp=share_link"",""พิษณุโลก!I204"")+IMPORTRANGE(""https://docs.google."&amp;"com/spreadsheets/d/1GfgTldLG6k77HXaMQzaafODklYuucJZQNs_GAPEfZyY/edit?usp=share_link"",""เพชรบูรณ์!I204"")+IMPORTRANGE(""https://docs.google.com/spreadsheets/d/1gvTMYAnm7v1yG1BKWFtr0DnaTsq59oW9dwWvFgq6hs0/edit?usp=share_link"",""แพร่!I204"")+IMPORTRANGE("""&amp;"https://docs.google.com/spreadsheets/d/1Wbcosgy-Xa1xXUArJSOenub6EfZHUSzc_bpJFWwQUf0/edit?usp=share_link"",""แม่ฮ่องสอน!I204"")+IMPORTRANGE(""https://docs.google.com/spreadsheets/d/1p7ERhsr0qZeSn-KSOdeHS9r0heI-lHtkcn2OH7hP0jQ/edit?usp=share_link"",""ลำปาง!"&amp;"I204"")+IMPORTRANGE(""https://docs.google.com/spreadsheets/d/1-uUXvimVhiU2U0bMN-xi2te0tS4X7DI2GLPnMjzl8cA/edit?usp=share_link"",""ลำพูน!I204"")+IMPORTRANGE(""https://docs.google.com/spreadsheets/d/17HrOaa5pBUI1onckFfumXB8xlg35qb2uBAFfF1D-Myo/edit?usp=shar"&amp;"e_link"",""สุโขทัย!I204"")+IMPORTRANGE(""https://docs.google.com/spreadsheets/d/1ubs5cl16eYL9gHbdHTJtmtYb9MGzHBs7CAphn8kNCgM/edit?usp=share_link"",""อุตรดิตถ์!I204"")+IMPORTRANGE(""https://docs.google.com/spreadsheets/d/1kII0BjS6CtVrBvI8IrytgPdxDrlyQDyigz"&amp;"MsohRtDMs/edit?usp=share_link"",""อุทัยธานี!I204"")
"),50)</f>
        <v>50</v>
      </c>
      <c r="J204" s="183">
        <f ca="1">IFERROR(__xludf.DUMMYFUNCTION("IMPORTRANGE(""https://docs.google.com/spreadsheets/d/1KxicF4apzSqm0-jIpmueT4kyZtE-Cwn5zskl7GD4loQ/edit?usp=share_link"",""กำแพงเพชร!J204"")+IMPORTRANGE(""https://docs.google.com/spreadsheets/d/1ZNYWeiFoFA1K1U4xKWqRX29MBvEyRHXORjo734Gnq_c/edit?usp=share_li"&amp;"nk"",""เชียงราย!J204"")
+IMPORTRANGE(""https://docs.google.com/spreadsheets/d/1Jgv0Y7YlHDtsiDawwp-uvifEJ8HVaSn0k2aGHG8-hwM/edit?usp=share_link"",""เชียงใหม่!J204"")+IMPORTRANGE(""https://docs.google.com/spreadsheets/d/1JWG2rZePOz9pe-f-ObA-yDr0VoOX2kSb0qIi"&amp;"x2mTUo8/edit?usp=share_link"",""ตาก!J204"")+IMPORTRANGE(""https://docs.google.com/spreadsheets/d/10nSRjK08hx8Y6HgSOQKNw81lyY46Zc7U_Cj72hBMp9U/edit?usp=share_link"",""นครสวรรค์!J204"")+IMPORTRANGE(""https://docs.google.com/spreadsheets/d/1gFVb7qd7amutrIxAA"&amp;"oM7lcy35hllxznovot8lyOfvDo/edit?usp=share_link"",""น่าน!J204"")+IMPORTRANGE(""https://docs.google.com/spreadsheets/d/1K0Aa9s-6EuHE5M0FG1F9aHLXRCOV917xvycTdLdct0w/edit?usp=share_link"",""พะเยา!J204"")+IMPORTRANGE(""https://docs.google.com/spreadsheets/d/1Y"&amp;"9LPKx95PyL5OKy09d-KbKJSuuEZCFdkhYjwC0XQjBA/edit?usp=share_link"",""พิจิตร!J204"")+IMPORTRANGE(""https://docs.google.com/spreadsheets/d/16OMuOwy2eVqZcYWOouQtTpa8X1L23h4660uVHc0C8os/edit?usp=share_link"",""พิษณุโลก!J204"")+IMPORTRANGE(""https://docs.google."&amp;"com/spreadsheets/d/1GfgTldLG6k77HXaMQzaafODklYuucJZQNs_GAPEfZyY/edit?usp=share_link"",""เพชรบูรณ์!J204"")+IMPORTRANGE(""https://docs.google.com/spreadsheets/d/1gvTMYAnm7v1yG1BKWFtr0DnaTsq59oW9dwWvFgq6hs0/edit?usp=share_link"",""แพร่!J204"")+IMPORTRANGE("""&amp;"https://docs.google.com/spreadsheets/d/1Wbcosgy-Xa1xXUArJSOenub6EfZHUSzc_bpJFWwQUf0/edit?usp=share_link"",""แม่ฮ่องสอน!J204"")+IMPORTRANGE(""https://docs.google.com/spreadsheets/d/1p7ERhsr0qZeSn-KSOdeHS9r0heI-lHtkcn2OH7hP0jQ/edit?usp=share_link"",""ลำปาง!"&amp;"J204"")+IMPORTRANGE(""https://docs.google.com/spreadsheets/d/1-uUXvimVhiU2U0bMN-xi2te0tS4X7DI2GLPnMjzl8cA/edit?usp=share_link"",""ลำพูน!J204"")+IMPORTRANGE(""https://docs.google.com/spreadsheets/d/17HrOaa5pBUI1onckFfumXB8xlg35qb2uBAFfF1D-Myo/edit?usp=shar"&amp;"e_link"",""สุโขทัย!J204"")+IMPORTRANGE(""https://docs.google.com/spreadsheets/d/1ubs5cl16eYL9gHbdHTJtmtYb9MGzHBs7CAphn8kNCgM/edit?usp=share_link"",""อุตรดิตถ์!J204"")+IMPORTRANGE(""https://docs.google.com/spreadsheets/d/1kII0BjS6CtVrBvI8IrytgPdxDrlyQDyigz"&amp;"MsohRtDMs/edit?usp=share_link"",""อุทัยธานี!J204"")
"),42)</f>
        <v>42</v>
      </c>
      <c r="K204" s="163">
        <f ca="1">IF(I204&gt;0,J204*100/I204,0)</f>
        <v>84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KxicF4apzSqm0-jIpmueT4kyZtE-Cwn5zskl7GD4loQ/edit?usp=share_link"",""กำแพงเพชร!I206"")+IMPORTRANGE(""https://docs.google.com/spreadsheets/d/1ZNYWeiFoFA1K1U4xKWqRX29MBvEyRHXORjo734Gnq_c/edit?usp=share_li"&amp;"nk"",""เชียงราย!I206"")
+IMPORTRANGE(""https://docs.google.com/spreadsheets/d/1Jgv0Y7YlHDtsiDawwp-uvifEJ8HVaSn0k2aGHG8-hwM/edit?usp=share_link"",""เชียงใหม่!I206"")+IMPORTRANGE(""https://docs.google.com/spreadsheets/d/1JWG2rZePOz9pe-f-ObA-yDr0VoOX2kSb0qIi"&amp;"x2mTUo8/edit?usp=share_link"",""ตาก!I206"")+IMPORTRANGE(""https://docs.google.com/spreadsheets/d/10nSRjK08hx8Y6HgSOQKNw81lyY46Zc7U_Cj72hBMp9U/edit?usp=share_link"",""นครสวรรค์!I206"")+IMPORTRANGE(""https://docs.google.com/spreadsheets/d/1gFVb7qd7amutrIxAA"&amp;"oM7lcy35hllxznovot8lyOfvDo/edit?usp=share_link"",""น่าน!I206"")+IMPORTRANGE(""https://docs.google.com/spreadsheets/d/1K0Aa9s-6EuHE5M0FG1F9aHLXRCOV917xvycTdLdct0w/edit?usp=share_link"",""พะเยา!I206"")+IMPORTRANGE(""https://docs.google.com/spreadsheets/d/1Y"&amp;"9LPKx95PyL5OKy09d-KbKJSuuEZCFdkhYjwC0XQjBA/edit?usp=share_link"",""พิจิตร!I206"")+IMPORTRANGE(""https://docs.google.com/spreadsheets/d/16OMuOwy2eVqZcYWOouQtTpa8X1L23h4660uVHc0C8os/edit?usp=share_link"",""พิษณุโลก!I206"")+IMPORTRANGE(""https://docs.google."&amp;"com/spreadsheets/d/1GfgTldLG6k77HXaMQzaafODklYuucJZQNs_GAPEfZyY/edit?usp=share_link"",""เพชรบูรณ์!I206"")+IMPORTRANGE(""https://docs.google.com/spreadsheets/d/1gvTMYAnm7v1yG1BKWFtr0DnaTsq59oW9dwWvFgq6hs0/edit?usp=share_link"",""แพร่!I206"")+IMPORTRANGE("""&amp;"https://docs.google.com/spreadsheets/d/1Wbcosgy-Xa1xXUArJSOenub6EfZHUSzc_bpJFWwQUf0/edit?usp=share_link"",""แม่ฮ่องสอน!I206"")+IMPORTRANGE(""https://docs.google.com/spreadsheets/d/1p7ERhsr0qZeSn-KSOdeHS9r0heI-lHtkcn2OH7hP0jQ/edit?usp=share_link"",""ลำปาง!"&amp;"I206"")+IMPORTRANGE(""https://docs.google.com/spreadsheets/d/1-uUXvimVhiU2U0bMN-xi2te0tS4X7DI2GLPnMjzl8cA/edit?usp=share_link"",""ลำพูน!I206"")+IMPORTRANGE(""https://docs.google.com/spreadsheets/d/17HrOaa5pBUI1onckFfumXB8xlg35qb2uBAFfF1D-Myo/edit?usp=shar"&amp;"e_link"",""สุโขทัย!I206"")+IMPORTRANGE(""https://docs.google.com/spreadsheets/d/1ubs5cl16eYL9gHbdHTJtmtYb9MGzHBs7CAphn8kNCgM/edit?usp=share_link"",""อุตรดิตถ์!I206"")+IMPORTRANGE(""https://docs.google.com/spreadsheets/d/1kII0BjS6CtVrBvI8IrytgPdxDrlyQDyigz"&amp;"MsohRtDMs/edit?usp=share_link"",""อุทัยธานี!I206"")
"),50)</f>
        <v>50</v>
      </c>
      <c r="J206" s="183">
        <f ca="1">IFERROR(__xludf.DUMMYFUNCTION("IMPORTRANGE(""https://docs.google.com/spreadsheets/d/1KxicF4apzSqm0-jIpmueT4kyZtE-Cwn5zskl7GD4loQ/edit?usp=share_link"",""กำแพงเพชร!J206"")+IMPORTRANGE(""https://docs.google.com/spreadsheets/d/1ZNYWeiFoFA1K1U4xKWqRX29MBvEyRHXORjo734Gnq_c/edit?usp=share_li"&amp;"nk"",""เชียงราย!J206"")
+IMPORTRANGE(""https://docs.google.com/spreadsheets/d/1Jgv0Y7YlHDtsiDawwp-uvifEJ8HVaSn0k2aGHG8-hwM/edit?usp=share_link"",""เชียงใหม่!J206"")+IMPORTRANGE(""https://docs.google.com/spreadsheets/d/1JWG2rZePOz9pe-f-ObA-yDr0VoOX2kSb0qIi"&amp;"x2mTUo8/edit?usp=share_link"",""ตาก!J206"")+IMPORTRANGE(""https://docs.google.com/spreadsheets/d/10nSRjK08hx8Y6HgSOQKNw81lyY46Zc7U_Cj72hBMp9U/edit?usp=share_link"",""นครสวรรค์!J206"")+IMPORTRANGE(""https://docs.google.com/spreadsheets/d/1gFVb7qd7amutrIxAA"&amp;"oM7lcy35hllxznovot8lyOfvDo/edit?usp=share_link"",""น่าน!J206"")+IMPORTRANGE(""https://docs.google.com/spreadsheets/d/1K0Aa9s-6EuHE5M0FG1F9aHLXRCOV917xvycTdLdct0w/edit?usp=share_link"",""พะเยา!J206"")+IMPORTRANGE(""https://docs.google.com/spreadsheets/d/1Y"&amp;"9LPKx95PyL5OKy09d-KbKJSuuEZCFdkhYjwC0XQjBA/edit?usp=share_link"",""พิจิตร!J206"")+IMPORTRANGE(""https://docs.google.com/spreadsheets/d/16OMuOwy2eVqZcYWOouQtTpa8X1L23h4660uVHc0C8os/edit?usp=share_link"",""พิษณุโลก!J206"")+IMPORTRANGE(""https://docs.google."&amp;"com/spreadsheets/d/1GfgTldLG6k77HXaMQzaafODklYuucJZQNs_GAPEfZyY/edit?usp=share_link"",""เพชรบูรณ์!J206"")+IMPORTRANGE(""https://docs.google.com/spreadsheets/d/1gvTMYAnm7v1yG1BKWFtr0DnaTsq59oW9dwWvFgq6hs0/edit?usp=share_link"",""แพร่!J206"")+IMPORTRANGE("""&amp;"https://docs.google.com/spreadsheets/d/1Wbcosgy-Xa1xXUArJSOenub6EfZHUSzc_bpJFWwQUf0/edit?usp=share_link"",""แม่ฮ่องสอน!J206"")+IMPORTRANGE(""https://docs.google.com/spreadsheets/d/1p7ERhsr0qZeSn-KSOdeHS9r0heI-lHtkcn2OH7hP0jQ/edit?usp=share_link"",""ลำปาง!"&amp;"J206"")+IMPORTRANGE(""https://docs.google.com/spreadsheets/d/1-uUXvimVhiU2U0bMN-xi2te0tS4X7DI2GLPnMjzl8cA/edit?usp=share_link"",""ลำพูน!J206"")+IMPORTRANGE(""https://docs.google.com/spreadsheets/d/17HrOaa5pBUI1onckFfumXB8xlg35qb2uBAFfF1D-Myo/edit?usp=shar"&amp;"e_link"",""สุโขทัย!J206"")+IMPORTRANGE(""https://docs.google.com/spreadsheets/d/1ubs5cl16eYL9gHbdHTJtmtYb9MGzHBs7CAphn8kNCgM/edit?usp=share_link"",""อุตรดิตถ์!J206"")+IMPORTRANGE(""https://docs.google.com/spreadsheets/d/1kII0BjS6CtVrBvI8IrytgPdxDrlyQDyigz"&amp;"MsohRtDMs/edit?usp=share_link"",""อุทัยธานี!J206"")
"),24)</f>
        <v>24</v>
      </c>
      <c r="K206" s="163">
        <f t="shared" ref="K206:K208" ca="1" si="122">IF(I206&gt;0,J206*100/I206,0)</f>
        <v>48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KxicF4apzSqm0-jIpmueT4kyZtE-Cwn5zskl7GD4loQ/edit?usp=share_link"",""กำแพงเพชร!I207"")+IMPORTRANGE(""https://docs.google.com/spreadsheets/d/1ZNYWeiFoFA1K1U4xKWqRX29MBvEyRHXORjo734Gnq_c/edit?usp=share_li"&amp;"nk"",""เชียงราย!I207"")
+IMPORTRANGE(""https://docs.google.com/spreadsheets/d/1Jgv0Y7YlHDtsiDawwp-uvifEJ8HVaSn0k2aGHG8-hwM/edit?usp=share_link"",""เชียงใหม่!I207"")+IMPORTRANGE(""https://docs.google.com/spreadsheets/d/1JWG2rZePOz9pe-f-ObA-yDr0VoOX2kSb0qIi"&amp;"x2mTUo8/edit?usp=share_link"",""ตาก!I207"")+IMPORTRANGE(""https://docs.google.com/spreadsheets/d/10nSRjK08hx8Y6HgSOQKNw81lyY46Zc7U_Cj72hBMp9U/edit?usp=share_link"",""นครสวรรค์!I207"")+IMPORTRANGE(""https://docs.google.com/spreadsheets/d/1gFVb7qd7amutrIxAA"&amp;"oM7lcy35hllxznovot8lyOfvDo/edit?usp=share_link"",""น่าน!I207"")+IMPORTRANGE(""https://docs.google.com/spreadsheets/d/1K0Aa9s-6EuHE5M0FG1F9aHLXRCOV917xvycTdLdct0w/edit?usp=share_link"",""พะเยา!I207"")+IMPORTRANGE(""https://docs.google.com/spreadsheets/d/1Y"&amp;"9LPKx95PyL5OKy09d-KbKJSuuEZCFdkhYjwC0XQjBA/edit?usp=share_link"",""พิจิตร!I207"")+IMPORTRANGE(""https://docs.google.com/spreadsheets/d/16OMuOwy2eVqZcYWOouQtTpa8X1L23h4660uVHc0C8os/edit?usp=share_link"",""พิษณุโลก!I207"")+IMPORTRANGE(""https://docs.google."&amp;"com/spreadsheets/d/1GfgTldLG6k77HXaMQzaafODklYuucJZQNs_GAPEfZyY/edit?usp=share_link"",""เพชรบูรณ์!I207"")+IMPORTRANGE(""https://docs.google.com/spreadsheets/d/1gvTMYAnm7v1yG1BKWFtr0DnaTsq59oW9dwWvFgq6hs0/edit?usp=share_link"",""แพร่!I207"")+IMPORTRANGE("""&amp;"https://docs.google.com/spreadsheets/d/1Wbcosgy-Xa1xXUArJSOenub6EfZHUSzc_bpJFWwQUf0/edit?usp=share_link"",""แม่ฮ่องสอน!I207"")+IMPORTRANGE(""https://docs.google.com/spreadsheets/d/1p7ERhsr0qZeSn-KSOdeHS9r0heI-lHtkcn2OH7hP0jQ/edit?usp=share_link"",""ลำปาง!"&amp;"I207"")+IMPORTRANGE(""https://docs.google.com/spreadsheets/d/1-uUXvimVhiU2U0bMN-xi2te0tS4X7DI2GLPnMjzl8cA/edit?usp=share_link"",""ลำพูน!I207"")+IMPORTRANGE(""https://docs.google.com/spreadsheets/d/17HrOaa5pBUI1onckFfumXB8xlg35qb2uBAFfF1D-Myo/edit?usp=shar"&amp;"e_link"",""สุโขทัย!I207"")+IMPORTRANGE(""https://docs.google.com/spreadsheets/d/1ubs5cl16eYL9gHbdHTJtmtYb9MGzHBs7CAphn8kNCgM/edit?usp=share_link"",""อุตรดิตถ์!I207"")+IMPORTRANGE(""https://docs.google.com/spreadsheets/d/1kII0BjS6CtVrBvI8IrytgPdxDrlyQDyigz"&amp;"MsohRtDMs/edit?usp=share_link"",""อุทัยธานี!I207"")
"),3)</f>
        <v>3</v>
      </c>
      <c r="J207" s="183">
        <f ca="1">IFERROR(__xludf.DUMMYFUNCTION("IMPORTRANGE(""https://docs.google.com/spreadsheets/d/1KxicF4apzSqm0-jIpmueT4kyZtE-Cwn5zskl7GD4loQ/edit?usp=share_link"",""กำแพงเพชร!J207"")+IMPORTRANGE(""https://docs.google.com/spreadsheets/d/1ZNYWeiFoFA1K1U4xKWqRX29MBvEyRHXORjo734Gnq_c/edit?usp=share_li"&amp;"nk"",""เชียงราย!J207"")
+IMPORTRANGE(""https://docs.google.com/spreadsheets/d/1Jgv0Y7YlHDtsiDawwp-uvifEJ8HVaSn0k2aGHG8-hwM/edit?usp=share_link"",""เชียงใหม่!J207"")+IMPORTRANGE(""https://docs.google.com/spreadsheets/d/1JWG2rZePOz9pe-f-ObA-yDr0VoOX2kSb0qIi"&amp;"x2mTUo8/edit?usp=share_link"",""ตาก!J207"")+IMPORTRANGE(""https://docs.google.com/spreadsheets/d/10nSRjK08hx8Y6HgSOQKNw81lyY46Zc7U_Cj72hBMp9U/edit?usp=share_link"",""นครสวรรค์!J207"")+IMPORTRANGE(""https://docs.google.com/spreadsheets/d/1gFVb7qd7amutrIxAA"&amp;"oM7lcy35hllxznovot8lyOfvDo/edit?usp=share_link"",""น่าน!J207"")+IMPORTRANGE(""https://docs.google.com/spreadsheets/d/1K0Aa9s-6EuHE5M0FG1F9aHLXRCOV917xvycTdLdct0w/edit?usp=share_link"",""พะเยา!J207"")+IMPORTRANGE(""https://docs.google.com/spreadsheets/d/1Y"&amp;"9LPKx95PyL5OKy09d-KbKJSuuEZCFdkhYjwC0XQjBA/edit?usp=share_link"",""พิจิตร!J207"")+IMPORTRANGE(""https://docs.google.com/spreadsheets/d/16OMuOwy2eVqZcYWOouQtTpa8X1L23h4660uVHc0C8os/edit?usp=share_link"",""พิษณุโลก!J207"")+IMPORTRANGE(""https://docs.google."&amp;"com/spreadsheets/d/1GfgTldLG6k77HXaMQzaafODklYuucJZQNs_GAPEfZyY/edit?usp=share_link"",""เพชรบูรณ์!J207"")+IMPORTRANGE(""https://docs.google.com/spreadsheets/d/1gvTMYAnm7v1yG1BKWFtr0DnaTsq59oW9dwWvFgq6hs0/edit?usp=share_link"",""แพร่!J207"")+IMPORTRANGE("""&amp;"https://docs.google.com/spreadsheets/d/1Wbcosgy-Xa1xXUArJSOenub6EfZHUSzc_bpJFWwQUf0/edit?usp=share_link"",""แม่ฮ่องสอน!J207"")+IMPORTRANGE(""https://docs.google.com/spreadsheets/d/1p7ERhsr0qZeSn-KSOdeHS9r0heI-lHtkcn2OH7hP0jQ/edit?usp=share_link"",""ลำปาง!"&amp;"J207"")+IMPORTRANGE(""https://docs.google.com/spreadsheets/d/1-uUXvimVhiU2U0bMN-xi2te0tS4X7DI2GLPnMjzl8cA/edit?usp=share_link"",""ลำพูน!J207"")+IMPORTRANGE(""https://docs.google.com/spreadsheets/d/17HrOaa5pBUI1onckFfumXB8xlg35qb2uBAFfF1D-Myo/edit?usp=shar"&amp;"e_link"",""สุโขทัย!J207"")+IMPORTRANGE(""https://docs.google.com/spreadsheets/d/1ubs5cl16eYL9gHbdHTJtmtYb9MGzHBs7CAphn8kNCgM/edit?usp=share_link"",""อุตรดิตถ์!J207"")+IMPORTRANGE(""https://docs.google.com/spreadsheets/d/1kII0BjS6CtVrBvI8IrytgPdxDrlyQDyigz"&amp;"MsohRtDMs/edit?usp=share_link"",""อุทัยธานี!J207"")
"),0)</f>
        <v>0</v>
      </c>
      <c r="K207" s="163">
        <f t="shared" ca="1" si="122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3">I215</f>
        <v>4</v>
      </c>
      <c r="J208" s="272">
        <f t="shared" ca="1" si="123"/>
        <v>4</v>
      </c>
      <c r="K208" s="273">
        <f t="shared" ca="1" si="122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56000</v>
      </c>
      <c r="M209" s="155"/>
      <c r="N209" s="155">
        <f ca="1">N210+N211+N212</f>
        <v>22000</v>
      </c>
      <c r="O209" s="155">
        <f ca="1">IF(L209&gt;0,N209*100/L209,0)</f>
        <v>39.285714285714285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KxicF4apzSqm0-jIpmueT4kyZtE-Cwn5zskl7GD4loQ/edit?usp=share_link"",""กำแพงเพชร!l210"")+IMPORTRANGE(""https://docs.google.com/spreadsheets/d/1ZNYWeiFoFA1K1U4xKWqRX29MBvEyRHXORjo734Gnq_c/edit?usp=share_li"&amp;"nk"",""เชียงราย!l210"")
+IMPORTRANGE(""https://docs.google.com/spreadsheets/d/1Jgv0Y7YlHDtsiDawwp-uvifEJ8HVaSn0k2aGHG8-hwM/edit?usp=share_link"",""เชียงใหม่!l210"")+IMPORTRANGE(""https://docs.google.com/spreadsheets/d/1JWG2rZePOz9pe-f-ObA-yDr0VoOX2kSb0qIi"&amp;"x2mTUo8/edit?usp=share_link"",""ตาก!l210"")+IMPORTRANGE(""https://docs.google.com/spreadsheets/d/10nSRjK08hx8Y6HgSOQKNw81lyY46Zc7U_Cj72hBMp9U/edit?usp=share_link"",""นครสวรรค์!l210"")+IMPORTRANGE(""https://docs.google.com/spreadsheets/d/1gFVb7qd7amutrIxAA"&amp;"oM7lcy35hllxznovot8lyOfvDo/edit?usp=share_link"",""น่าน!l210"")+IMPORTRANGE(""https://docs.google.com/spreadsheets/d/1K0Aa9s-6EuHE5M0FG1F9aHLXRCOV917xvycTdLdct0w/edit?usp=share_link"",""พะเยา!l210"")+IMPORTRANGE(""https://docs.google.com/spreadsheets/d/1Y"&amp;"9LPKx95PyL5OKy09d-KbKJSuuEZCFdkhYjwC0XQjBA/edit?usp=share_link"",""พิจิตร!l210"")+IMPORTRANGE(""https://docs.google.com/spreadsheets/d/16OMuOwy2eVqZcYWOouQtTpa8X1L23h4660uVHc0C8os/edit?usp=share_link"",""พิษณุโลก!l210"")+IMPORTRANGE(""https://docs.google."&amp;"com/spreadsheets/d/1GfgTldLG6k77HXaMQzaafODklYuucJZQNs_GAPEfZyY/edit?usp=share_link"",""เพชรบูรณ์!l210"")+IMPORTRANGE(""https://docs.google.com/spreadsheets/d/1gvTMYAnm7v1yG1BKWFtr0DnaTsq59oW9dwWvFgq6hs0/edit?usp=share_link"",""แพร่!l210"")+IMPORTRANGE("""&amp;"https://docs.google.com/spreadsheets/d/1Wbcosgy-Xa1xXUArJSOenub6EfZHUSzc_bpJFWwQUf0/edit?usp=share_link"",""แม่ฮ่องสอน!l210"")+IMPORTRANGE(""https://docs.google.com/spreadsheets/d/1p7ERhsr0qZeSn-KSOdeHS9r0heI-lHtkcn2OH7hP0jQ/edit?usp=share_link"",""ลำปาง!"&amp;"l210"")+IMPORTRANGE(""https://docs.google.com/spreadsheets/d/1-uUXvimVhiU2U0bMN-xi2te0tS4X7DI2GLPnMjzl8cA/edit?usp=share_link"",""ลำพูน!l210"")+IMPORTRANGE(""https://docs.google.com/spreadsheets/d/17HrOaa5pBUI1onckFfumXB8xlg35qb2uBAFfF1D-Myo/edit?usp=shar"&amp;"e_link"",""สุโขทัย!l210"")+IMPORTRANGE(""https://docs.google.com/spreadsheets/d/1ubs5cl16eYL9gHbdHTJtmtYb9MGzHBs7CAphn8kNCgM/edit?usp=share_link"",""อุตรดิตถ์!l210"")+IMPORTRANGE(""https://docs.google.com/spreadsheets/d/1kII0BjS6CtVrBvI8IrytgPdxDrlyQDyigz"&amp;"MsohRtDMs/edit?usp=share_link"",""อุทัยธานี!l210"")
"),4000)</f>
        <v>4000</v>
      </c>
      <c r="M210" s="38"/>
      <c r="N210" s="283">
        <f ca="1">IFERROR(__xludf.DUMMYFUNCTION("IMPORTRANGE(""https://docs.google.com/spreadsheets/d/1KxicF4apzSqm0-jIpmueT4kyZtE-Cwn5zskl7GD4loQ/edit?usp=share_link"",""กำแพงเพชร!n210"")+IMPORTRANGE(""https://docs.google.com/spreadsheets/d/1ZNYWeiFoFA1K1U4xKWqRX29MBvEyRHXORjo734Gnq_c/edit?usp=share_li"&amp;"nk"",""เชียงราย!n210"")
+IMPORTRANGE(""https://docs.google.com/spreadsheets/d/1Jgv0Y7YlHDtsiDawwp-uvifEJ8HVaSn0k2aGHG8-hwM/edit?usp=share_link"",""เชียงใหม่!n210"")+IMPORTRANGE(""https://docs.google.com/spreadsheets/d/1JWG2rZePOz9pe-f-ObA-yDr0VoOX2kSb0qIi"&amp;"x2mTUo8/edit?usp=share_link"",""ตาก!n210"")+IMPORTRANGE(""https://docs.google.com/spreadsheets/d/10nSRjK08hx8Y6HgSOQKNw81lyY46Zc7U_Cj72hBMp9U/edit?usp=share_link"",""นครสวรรค์!n210"")+IMPORTRANGE(""https://docs.google.com/spreadsheets/d/1gFVb7qd7amutrIxAA"&amp;"oM7lcy35hllxznovot8lyOfvDo/edit?usp=share_link"",""น่าน!n210"")+IMPORTRANGE(""https://docs.google.com/spreadsheets/d/1K0Aa9s-6EuHE5M0FG1F9aHLXRCOV917xvycTdLdct0w/edit?usp=share_link"",""พะเยา!n210"")+IMPORTRANGE(""https://docs.google.com/spreadsheets/d/1Y"&amp;"9LPKx95PyL5OKy09d-KbKJSuuEZCFdkhYjwC0XQjBA/edit?usp=share_link"",""พิจิตร!n210"")+IMPORTRANGE(""https://docs.google.com/spreadsheets/d/16OMuOwy2eVqZcYWOouQtTpa8X1L23h4660uVHc0C8os/edit?usp=share_link"",""พิษณุโลก!n210"")+IMPORTRANGE(""https://docs.google."&amp;"com/spreadsheets/d/1GfgTldLG6k77HXaMQzaafODklYuucJZQNs_GAPEfZyY/edit?usp=share_link"",""เพชรบูรณ์!n210"")+IMPORTRANGE(""https://docs.google.com/spreadsheets/d/1gvTMYAnm7v1yG1BKWFtr0DnaTsq59oW9dwWvFgq6hs0/edit?usp=share_link"",""แพร่!n210"")+IMPORTRANGE("""&amp;"https://docs.google.com/spreadsheets/d/1Wbcosgy-Xa1xXUArJSOenub6EfZHUSzc_bpJFWwQUf0/edit?usp=share_link"",""แม่ฮ่องสอน!n210"")+IMPORTRANGE(""https://docs.google.com/spreadsheets/d/1p7ERhsr0qZeSn-KSOdeHS9r0heI-lHtkcn2OH7hP0jQ/edit?usp=share_link"",""ลำปาง!"&amp;"n210"")+IMPORTRANGE(""https://docs.google.com/spreadsheets/d/1-uUXvimVhiU2U0bMN-xi2te0tS4X7DI2GLPnMjzl8cA/edit?usp=share_link"",""ลำพูน!n210"")+IMPORTRANGE(""https://docs.google.com/spreadsheets/d/17HrOaa5pBUI1onckFfumXB8xlg35qb2uBAFfF1D-Myo/edit?usp=shar"&amp;"e_link"",""สุโขทัย!n210"")+IMPORTRANGE(""https://docs.google.com/spreadsheets/d/1ubs5cl16eYL9gHbdHTJtmtYb9MGzHBs7CAphn8kNCgM/edit?usp=share_link"",""อุตรดิตถ์!n210"")+IMPORTRANGE(""https://docs.google.com/spreadsheets/d/1kII0BjS6CtVrBvI8IrytgPdxDrlyQDyigz"&amp;"MsohRtDMs/edit?usp=share_link"",""อุทัยธานี!n210"")
"),1000)</f>
        <v>1000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KxicF4apzSqm0-jIpmueT4kyZtE-Cwn5zskl7GD4loQ/edit?usp=share_link"",""กำแพงเพชร!l211"")+IMPORTRANGE(""https://docs.google.com/spreadsheets/d/1ZNYWeiFoFA1K1U4xKWqRX29MBvEyRHXORjo734Gnq_c/edit?usp=share_li"&amp;"nk"",""เชียงราย!l211"")
+IMPORTRANGE(""https://docs.google.com/spreadsheets/d/1Jgv0Y7YlHDtsiDawwp-uvifEJ8HVaSn0k2aGHG8-hwM/edit?usp=share_link"",""เชียงใหม่!l211"")+IMPORTRANGE(""https://docs.google.com/spreadsheets/d/1JWG2rZePOz9pe-f-ObA-yDr0VoOX2kSb0qIi"&amp;"x2mTUo8/edit?usp=share_link"",""ตาก!l211"")+IMPORTRANGE(""https://docs.google.com/spreadsheets/d/10nSRjK08hx8Y6HgSOQKNw81lyY46Zc7U_Cj72hBMp9U/edit?usp=share_link"",""นครสวรรค์!l211"")+IMPORTRANGE(""https://docs.google.com/spreadsheets/d/1gFVb7qd7amutrIxAA"&amp;"oM7lcy35hllxznovot8lyOfvDo/edit?usp=share_link"",""น่าน!l211"")+IMPORTRANGE(""https://docs.google.com/spreadsheets/d/1K0Aa9s-6EuHE5M0FG1F9aHLXRCOV917xvycTdLdct0w/edit?usp=share_link"",""พะเยา!l211"")+IMPORTRANGE(""https://docs.google.com/spreadsheets/d/1Y"&amp;"9LPKx95PyL5OKy09d-KbKJSuuEZCFdkhYjwC0XQjBA/edit?usp=share_link"",""พิจิตร!l211"")+IMPORTRANGE(""https://docs.google.com/spreadsheets/d/16OMuOwy2eVqZcYWOouQtTpa8X1L23h4660uVHc0C8os/edit?usp=share_link"",""พิษณุโลก!l211"")+IMPORTRANGE(""https://docs.google."&amp;"com/spreadsheets/d/1GfgTldLG6k77HXaMQzaafODklYuucJZQNs_GAPEfZyY/edit?usp=share_link"",""เพชรบูรณ์!l211"")+IMPORTRANGE(""https://docs.google.com/spreadsheets/d/1gvTMYAnm7v1yG1BKWFtr0DnaTsq59oW9dwWvFgq6hs0/edit?usp=share_link"",""แพร่!l211"")+IMPORTRANGE("""&amp;"https://docs.google.com/spreadsheets/d/1Wbcosgy-Xa1xXUArJSOenub6EfZHUSzc_bpJFWwQUf0/edit?usp=share_link"",""แม่ฮ่องสอน!l211"")+IMPORTRANGE(""https://docs.google.com/spreadsheets/d/1p7ERhsr0qZeSn-KSOdeHS9r0heI-lHtkcn2OH7hP0jQ/edit?usp=share_link"",""ลำปาง!"&amp;"l211"")+IMPORTRANGE(""https://docs.google.com/spreadsheets/d/1-uUXvimVhiU2U0bMN-xi2te0tS4X7DI2GLPnMjzl8cA/edit?usp=share_link"",""ลำพูน!l211"")+IMPORTRANGE(""https://docs.google.com/spreadsheets/d/17HrOaa5pBUI1onckFfumXB8xlg35qb2uBAFfF1D-Myo/edit?usp=shar"&amp;"e_link"",""สุโขทัย!l211"")+IMPORTRANGE(""https://docs.google.com/spreadsheets/d/1ubs5cl16eYL9gHbdHTJtmtYb9MGzHBs7CAphn8kNCgM/edit?usp=share_link"",""อุตรดิตถ์!l211"")+IMPORTRANGE(""https://docs.google.com/spreadsheets/d/1kII0BjS6CtVrBvI8IrytgPdxDrlyQDyigz"&amp;"MsohRtDMs/edit?usp=share_link"",""อุทัยธานี!l211"")
"),20000)</f>
        <v>20000</v>
      </c>
      <c r="M211" s="38"/>
      <c r="N211" s="283">
        <f ca="1">IFERROR(__xludf.DUMMYFUNCTION("IMPORTRANGE(""https://docs.google.com/spreadsheets/d/1KxicF4apzSqm0-jIpmueT4kyZtE-Cwn5zskl7GD4loQ/edit?usp=share_link"",""กำแพงเพชร!n211"")+IMPORTRANGE(""https://docs.google.com/spreadsheets/d/1ZNYWeiFoFA1K1U4xKWqRX29MBvEyRHXORjo734Gnq_c/edit?usp=share_li"&amp;"nk"",""เชียงราย!n211"")
+IMPORTRANGE(""https://docs.google.com/spreadsheets/d/1Jgv0Y7YlHDtsiDawwp-uvifEJ8HVaSn0k2aGHG8-hwM/edit?usp=share_link"",""เชียงใหม่!n211"")+IMPORTRANGE(""https://docs.google.com/spreadsheets/d/1JWG2rZePOz9pe-f-ObA-yDr0VoOX2kSb0qIi"&amp;"x2mTUo8/edit?usp=share_link"",""ตาก!n211"")+IMPORTRANGE(""https://docs.google.com/spreadsheets/d/10nSRjK08hx8Y6HgSOQKNw81lyY46Zc7U_Cj72hBMp9U/edit?usp=share_link"",""นครสวรรค์!n211"")+IMPORTRANGE(""https://docs.google.com/spreadsheets/d/1gFVb7qd7amutrIxAA"&amp;"oM7lcy35hllxznovot8lyOfvDo/edit?usp=share_link"",""น่าน!n211"")+IMPORTRANGE(""https://docs.google.com/spreadsheets/d/1K0Aa9s-6EuHE5M0FG1F9aHLXRCOV917xvycTdLdct0w/edit?usp=share_link"",""พะเยา!n211"")+IMPORTRANGE(""https://docs.google.com/spreadsheets/d/1Y"&amp;"9LPKx95PyL5OKy09d-KbKJSuuEZCFdkhYjwC0XQjBA/edit?usp=share_link"",""พิจิตร!n211"")+IMPORTRANGE(""https://docs.google.com/spreadsheets/d/16OMuOwy2eVqZcYWOouQtTpa8X1L23h4660uVHc0C8os/edit?usp=share_link"",""พิษณุโลก!n211"")+IMPORTRANGE(""https://docs.google."&amp;"com/spreadsheets/d/1GfgTldLG6k77HXaMQzaafODklYuucJZQNs_GAPEfZyY/edit?usp=share_link"",""เพชรบูรณ์!n211"")+IMPORTRANGE(""https://docs.google.com/spreadsheets/d/1gvTMYAnm7v1yG1BKWFtr0DnaTsq59oW9dwWvFgq6hs0/edit?usp=share_link"",""แพร่!n211"")+IMPORTRANGE("""&amp;"https://docs.google.com/spreadsheets/d/1Wbcosgy-Xa1xXUArJSOenub6EfZHUSzc_bpJFWwQUf0/edit?usp=share_link"",""แม่ฮ่องสอน!n211"")+IMPORTRANGE(""https://docs.google.com/spreadsheets/d/1p7ERhsr0qZeSn-KSOdeHS9r0heI-lHtkcn2OH7hP0jQ/edit?usp=share_link"",""ลำปาง!"&amp;"n211"")+IMPORTRANGE(""https://docs.google.com/spreadsheets/d/1-uUXvimVhiU2U0bMN-xi2te0tS4X7DI2GLPnMjzl8cA/edit?usp=share_link"",""ลำพูน!n211"")+IMPORTRANGE(""https://docs.google.com/spreadsheets/d/17HrOaa5pBUI1onckFfumXB8xlg35qb2uBAFfF1D-Myo/edit?usp=shar"&amp;"e_link"",""สุโขทัย!n211"")+IMPORTRANGE(""https://docs.google.com/spreadsheets/d/1ubs5cl16eYL9gHbdHTJtmtYb9MGzHBs7CAphn8kNCgM/edit?usp=share_link"",""อุตรดิตถ์!n211"")+IMPORTRANGE(""https://docs.google.com/spreadsheets/d/1kII0BjS6CtVrBvI8IrytgPdxDrlyQDyigz"&amp;"MsohRtDMs/edit?usp=share_link"",""อุทัยธานี!n211"")
"),5000)</f>
        <v>5000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KxicF4apzSqm0-jIpmueT4kyZtE-Cwn5zskl7GD4loQ/edit?usp=share_link"",""กำแพงเพชร!l212"")+IMPORTRANGE(""https://docs.google.com/spreadsheets/d/1ZNYWeiFoFA1K1U4xKWqRX29MBvEyRHXORjo734Gnq_c/edit?usp=share_li"&amp;"nk"",""เชียงราย!l212"")
+IMPORTRANGE(""https://docs.google.com/spreadsheets/d/1Jgv0Y7YlHDtsiDawwp-uvifEJ8HVaSn0k2aGHG8-hwM/edit?usp=share_link"",""เชียงใหม่!l212"")+IMPORTRANGE(""https://docs.google.com/spreadsheets/d/1JWG2rZePOz9pe-f-ObA-yDr0VoOX2kSb0qIi"&amp;"x2mTUo8/edit?usp=share_link"",""ตาก!l212"")+IMPORTRANGE(""https://docs.google.com/spreadsheets/d/10nSRjK08hx8Y6HgSOQKNw81lyY46Zc7U_Cj72hBMp9U/edit?usp=share_link"",""นครสวรรค์!l212"")+IMPORTRANGE(""https://docs.google.com/spreadsheets/d/1gFVb7qd7amutrIxAA"&amp;"oM7lcy35hllxznovot8lyOfvDo/edit?usp=share_link"",""น่าน!l212"")+IMPORTRANGE(""https://docs.google.com/spreadsheets/d/1K0Aa9s-6EuHE5M0FG1F9aHLXRCOV917xvycTdLdct0w/edit?usp=share_link"",""พะเยา!l212"")+IMPORTRANGE(""https://docs.google.com/spreadsheets/d/1Y"&amp;"9LPKx95PyL5OKy09d-KbKJSuuEZCFdkhYjwC0XQjBA/edit?usp=share_link"",""พิจิตร!l212"")+IMPORTRANGE(""https://docs.google.com/spreadsheets/d/16OMuOwy2eVqZcYWOouQtTpa8X1L23h4660uVHc0C8os/edit?usp=share_link"",""พิษณุโลก!l212"")+IMPORTRANGE(""https://docs.google."&amp;"com/spreadsheets/d/1GfgTldLG6k77HXaMQzaafODklYuucJZQNs_GAPEfZyY/edit?usp=share_link"",""เพชรบูรณ์!l212"")+IMPORTRANGE(""https://docs.google.com/spreadsheets/d/1gvTMYAnm7v1yG1BKWFtr0DnaTsq59oW9dwWvFgq6hs0/edit?usp=share_link"",""แพร่!l212"")+IMPORTRANGE("""&amp;"https://docs.google.com/spreadsheets/d/1Wbcosgy-Xa1xXUArJSOenub6EfZHUSzc_bpJFWwQUf0/edit?usp=share_link"",""แม่ฮ่องสอน!l212"")+IMPORTRANGE(""https://docs.google.com/spreadsheets/d/1p7ERhsr0qZeSn-KSOdeHS9r0heI-lHtkcn2OH7hP0jQ/edit?usp=share_link"",""ลำปาง!"&amp;"l212"")+IMPORTRANGE(""https://docs.google.com/spreadsheets/d/1-uUXvimVhiU2U0bMN-xi2te0tS4X7DI2GLPnMjzl8cA/edit?usp=share_link"",""ลำพูน!l212"")+IMPORTRANGE(""https://docs.google.com/spreadsheets/d/17HrOaa5pBUI1onckFfumXB8xlg35qb2uBAFfF1D-Myo/edit?usp=shar"&amp;"e_link"",""สุโขทัย!l212"")+IMPORTRANGE(""https://docs.google.com/spreadsheets/d/1ubs5cl16eYL9gHbdHTJtmtYb9MGzHBs7CAphn8kNCgM/edit?usp=share_link"",""อุตรดิตถ์!l212"")+IMPORTRANGE(""https://docs.google.com/spreadsheets/d/1kII0BjS6CtVrBvI8IrytgPdxDrlyQDyigz"&amp;"MsohRtDMs/edit?usp=share_link"",""อุทัยธานี!l212"")
"),32000)</f>
        <v>32000</v>
      </c>
      <c r="M212" s="38"/>
      <c r="N212" s="283">
        <f ca="1">IFERROR(__xludf.DUMMYFUNCTION("IMPORTRANGE(""https://docs.google.com/spreadsheets/d/1KxicF4apzSqm0-jIpmueT4kyZtE-Cwn5zskl7GD4loQ/edit?usp=share_link"",""กำแพงเพชร!n212"")+IMPORTRANGE(""https://docs.google.com/spreadsheets/d/1ZNYWeiFoFA1K1U4xKWqRX29MBvEyRHXORjo734Gnq_c/edit?usp=share_li"&amp;"nk"",""เชียงราย!n212"")
+IMPORTRANGE(""https://docs.google.com/spreadsheets/d/1Jgv0Y7YlHDtsiDawwp-uvifEJ8HVaSn0k2aGHG8-hwM/edit?usp=share_link"",""เชียงใหม่!n212"")+IMPORTRANGE(""https://docs.google.com/spreadsheets/d/1JWG2rZePOz9pe-f-ObA-yDr0VoOX2kSb0qIi"&amp;"x2mTUo8/edit?usp=share_link"",""ตาก!n212"")+IMPORTRANGE(""https://docs.google.com/spreadsheets/d/10nSRjK08hx8Y6HgSOQKNw81lyY46Zc7U_Cj72hBMp9U/edit?usp=share_link"",""นครสวรรค์!n212"")+IMPORTRANGE(""https://docs.google.com/spreadsheets/d/1gFVb7qd7amutrIxAA"&amp;"oM7lcy35hllxznovot8lyOfvDo/edit?usp=share_link"",""น่าน!n212"")+IMPORTRANGE(""https://docs.google.com/spreadsheets/d/1K0Aa9s-6EuHE5M0FG1F9aHLXRCOV917xvycTdLdct0w/edit?usp=share_link"",""พะเยา!n212"")+IMPORTRANGE(""https://docs.google.com/spreadsheets/d/1Y"&amp;"9LPKx95PyL5OKy09d-KbKJSuuEZCFdkhYjwC0XQjBA/edit?usp=share_link"",""พิจิตร!n212"")+IMPORTRANGE(""https://docs.google.com/spreadsheets/d/16OMuOwy2eVqZcYWOouQtTpa8X1L23h4660uVHc0C8os/edit?usp=share_link"",""พิษณุโลก!n212"")+IMPORTRANGE(""https://docs.google."&amp;"com/spreadsheets/d/1GfgTldLG6k77HXaMQzaafODklYuucJZQNs_GAPEfZyY/edit?usp=share_link"",""เพชรบูรณ์!n212"")+IMPORTRANGE(""https://docs.google.com/spreadsheets/d/1gvTMYAnm7v1yG1BKWFtr0DnaTsq59oW9dwWvFgq6hs0/edit?usp=share_link"",""แพร่!n212"")+IMPORTRANGE("""&amp;"https://docs.google.com/spreadsheets/d/1Wbcosgy-Xa1xXUArJSOenub6EfZHUSzc_bpJFWwQUf0/edit?usp=share_link"",""แม่ฮ่องสอน!n212"")+IMPORTRANGE(""https://docs.google.com/spreadsheets/d/1p7ERhsr0qZeSn-KSOdeHS9r0heI-lHtkcn2OH7hP0jQ/edit?usp=share_link"",""ลำปาง!"&amp;"n212"")+IMPORTRANGE(""https://docs.google.com/spreadsheets/d/1-uUXvimVhiU2U0bMN-xi2te0tS4X7DI2GLPnMjzl8cA/edit?usp=share_link"",""ลำพูน!n212"")+IMPORTRANGE(""https://docs.google.com/spreadsheets/d/17HrOaa5pBUI1onckFfumXB8xlg35qb2uBAFfF1D-Myo/edit?usp=shar"&amp;"e_link"",""สุโขทัย!n212"")+IMPORTRANGE(""https://docs.google.com/spreadsheets/d/1ubs5cl16eYL9gHbdHTJtmtYb9MGzHBs7CAphn8kNCgM/edit?usp=share_link"",""อุตรดิตถ์!n212"")+IMPORTRANGE(""https://docs.google.com/spreadsheets/d/1kII0BjS6CtVrBvI8IrytgPdxDrlyQDyigz"&amp;"MsohRtDMs/edit?usp=share_link"",""อุทัยธานี!n212"")
"),16000)</f>
        <v>16000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KxicF4apzSqm0-jIpmueT4kyZtE-Cwn5zskl7GD4loQ/edit?usp=share_link"",""กำแพงเพชร!I214"")+IMPORTRANGE(""https://docs.google.com/spreadsheets/d/1ZNYWeiFoFA1K1U4xKWqRX29MBvEyRHXORjo734Gnq_c/edit?usp=share_li"&amp;"nk"",""เชียงราย!I214"")
+IMPORTRANGE(""https://docs.google.com/spreadsheets/d/1Jgv0Y7YlHDtsiDawwp-uvifEJ8HVaSn0k2aGHG8-hwM/edit?usp=share_link"",""เชียงใหม่!I214"")+IMPORTRANGE(""https://docs.google.com/spreadsheets/d/1JWG2rZePOz9pe-f-ObA-yDr0VoOX2kSb0qIi"&amp;"x2mTUo8/edit?usp=share_link"",""ตาก!I214"")+IMPORTRANGE(""https://docs.google.com/spreadsheets/d/10nSRjK08hx8Y6HgSOQKNw81lyY46Zc7U_Cj72hBMp9U/edit?usp=share_link"",""นครสวรรค์!I214"")+IMPORTRANGE(""https://docs.google.com/spreadsheets/d/1gFVb7qd7amutrIxAA"&amp;"oM7lcy35hllxznovot8lyOfvDo/edit?usp=share_link"",""น่าน!I214"")+IMPORTRANGE(""https://docs.google.com/spreadsheets/d/1K0Aa9s-6EuHE5M0FG1F9aHLXRCOV917xvycTdLdct0w/edit?usp=share_link"",""พะเยา!I214"")+IMPORTRANGE(""https://docs.google.com/spreadsheets/d/1Y"&amp;"9LPKx95PyL5OKy09d-KbKJSuuEZCFdkhYjwC0XQjBA/edit?usp=share_link"",""พิจิตร!I214"")+IMPORTRANGE(""https://docs.google.com/spreadsheets/d/16OMuOwy2eVqZcYWOouQtTpa8X1L23h4660uVHc0C8os/edit?usp=share_link"",""พิษณุโลก!I214"")+IMPORTRANGE(""https://docs.google."&amp;"com/spreadsheets/d/1GfgTldLG6k77HXaMQzaafODklYuucJZQNs_GAPEfZyY/edit?usp=share_link"",""เพชรบูรณ์!I214"")+IMPORTRANGE(""https://docs.google.com/spreadsheets/d/1gvTMYAnm7v1yG1BKWFtr0DnaTsq59oW9dwWvFgq6hs0/edit?usp=share_link"",""แพร่!I214"")+IMPORTRANGE("""&amp;"https://docs.google.com/spreadsheets/d/1Wbcosgy-Xa1xXUArJSOenub6EfZHUSzc_bpJFWwQUf0/edit?usp=share_link"",""แม่ฮ่องสอน!I214"")+IMPORTRANGE(""https://docs.google.com/spreadsheets/d/1p7ERhsr0qZeSn-KSOdeHS9r0heI-lHtkcn2OH7hP0jQ/edit?usp=share_link"",""ลำปาง!"&amp;"I214"")+IMPORTRANGE(""https://docs.google.com/spreadsheets/d/1-uUXvimVhiU2U0bMN-xi2te0tS4X7DI2GLPnMjzl8cA/edit?usp=share_link"",""ลำพูน!I214"")+IMPORTRANGE(""https://docs.google.com/spreadsheets/d/17HrOaa5pBUI1onckFfumXB8xlg35qb2uBAFfF1D-Myo/edit?usp=shar"&amp;"e_link"",""สุโขทัย!I214"")+IMPORTRANGE(""https://docs.google.com/spreadsheets/d/1ubs5cl16eYL9gHbdHTJtmtYb9MGzHBs7CAphn8kNCgM/edit?usp=share_link"",""อุตรดิตถ์!I214"")+IMPORTRANGE(""https://docs.google.com/spreadsheets/d/1kII0BjS6CtVrBvI8IrytgPdxDrlyQDyigz"&amp;"MsohRtDMs/edit?usp=share_link"",""อุทัยธานี!I214"")
"),4)</f>
        <v>4</v>
      </c>
      <c r="J214" s="183">
        <f ca="1">IFERROR(__xludf.DUMMYFUNCTION("IMPORTRANGE(""https://docs.google.com/spreadsheets/d/1KxicF4apzSqm0-jIpmueT4kyZtE-Cwn5zskl7GD4loQ/edit?usp=share_link"",""กำแพงเพชร!J214"")+IMPORTRANGE(""https://docs.google.com/spreadsheets/d/1ZNYWeiFoFA1K1U4xKWqRX29MBvEyRHXORjo734Gnq_c/edit?usp=share_li"&amp;"nk"",""เชียงราย!J214"")
+IMPORTRANGE(""https://docs.google.com/spreadsheets/d/1Jgv0Y7YlHDtsiDawwp-uvifEJ8HVaSn0k2aGHG8-hwM/edit?usp=share_link"",""เชียงใหม่!J214"")+IMPORTRANGE(""https://docs.google.com/spreadsheets/d/1JWG2rZePOz9pe-f-ObA-yDr0VoOX2kSb0qIi"&amp;"x2mTUo8/edit?usp=share_link"",""ตาก!J214"")+IMPORTRANGE(""https://docs.google.com/spreadsheets/d/10nSRjK08hx8Y6HgSOQKNw81lyY46Zc7U_Cj72hBMp9U/edit?usp=share_link"",""นครสวรรค์!J214"")+IMPORTRANGE(""https://docs.google.com/spreadsheets/d/1gFVb7qd7amutrIxAA"&amp;"oM7lcy35hllxznovot8lyOfvDo/edit?usp=share_link"",""น่าน!J214"")+IMPORTRANGE(""https://docs.google.com/spreadsheets/d/1K0Aa9s-6EuHE5M0FG1F9aHLXRCOV917xvycTdLdct0w/edit?usp=share_link"",""พะเยา!J214"")+IMPORTRANGE(""https://docs.google.com/spreadsheets/d/1Y"&amp;"9LPKx95PyL5OKy09d-KbKJSuuEZCFdkhYjwC0XQjBA/edit?usp=share_link"",""พิจิตร!J214"")+IMPORTRANGE(""https://docs.google.com/spreadsheets/d/16OMuOwy2eVqZcYWOouQtTpa8X1L23h4660uVHc0C8os/edit?usp=share_link"",""พิษณุโลก!J214"")+IMPORTRANGE(""https://docs.google."&amp;"com/spreadsheets/d/1GfgTldLG6k77HXaMQzaafODklYuucJZQNs_GAPEfZyY/edit?usp=share_link"",""เพชรบูรณ์!J214"")+IMPORTRANGE(""https://docs.google.com/spreadsheets/d/1gvTMYAnm7v1yG1BKWFtr0DnaTsq59oW9dwWvFgq6hs0/edit?usp=share_link"",""แพร่!J214"")+IMPORTRANGE("""&amp;"https://docs.google.com/spreadsheets/d/1Wbcosgy-Xa1xXUArJSOenub6EfZHUSzc_bpJFWwQUf0/edit?usp=share_link"",""แม่ฮ่องสอน!J214"")+IMPORTRANGE(""https://docs.google.com/spreadsheets/d/1p7ERhsr0qZeSn-KSOdeHS9r0heI-lHtkcn2OH7hP0jQ/edit?usp=share_link"",""ลำปาง!"&amp;"J214"")+IMPORTRANGE(""https://docs.google.com/spreadsheets/d/1-uUXvimVhiU2U0bMN-xi2te0tS4X7DI2GLPnMjzl8cA/edit?usp=share_link"",""ลำพูน!J214"")+IMPORTRANGE(""https://docs.google.com/spreadsheets/d/17HrOaa5pBUI1onckFfumXB8xlg35qb2uBAFfF1D-Myo/edit?usp=shar"&amp;"e_link"",""สุโขทัย!J214"")+IMPORTRANGE(""https://docs.google.com/spreadsheets/d/1ubs5cl16eYL9gHbdHTJtmtYb9MGzHBs7CAphn8kNCgM/edit?usp=share_link"",""อุตรดิตถ์!J214"")+IMPORTRANGE(""https://docs.google.com/spreadsheets/d/1kII0BjS6CtVrBvI8IrytgPdxDrlyQDyigz"&amp;"MsohRtDMs/edit?usp=share_link"",""อุทัยธานี!J214"")
"),1)</f>
        <v>1</v>
      </c>
      <c r="K214" s="38">
        <f t="shared" ref="K214:K216" ca="1" si="124">IF(I214&gt;0,J214*100/I214,0)</f>
        <v>25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KxicF4apzSqm0-jIpmueT4kyZtE-Cwn5zskl7GD4loQ/edit?usp=share_link"",""กำแพงเพชร!I215"")+IMPORTRANGE(""https://docs.google.com/spreadsheets/d/1ZNYWeiFoFA1K1U4xKWqRX29MBvEyRHXORjo734Gnq_c/edit?usp=share_li"&amp;"nk"",""เชียงราย!I215"")
+IMPORTRANGE(""https://docs.google.com/spreadsheets/d/1Jgv0Y7YlHDtsiDawwp-uvifEJ8HVaSn0k2aGHG8-hwM/edit?usp=share_link"",""เชียงใหม่!I215"")+IMPORTRANGE(""https://docs.google.com/spreadsheets/d/1JWG2rZePOz9pe-f-ObA-yDr0VoOX2kSb0qIi"&amp;"x2mTUo8/edit?usp=share_link"",""ตาก!I215"")+IMPORTRANGE(""https://docs.google.com/spreadsheets/d/10nSRjK08hx8Y6HgSOQKNw81lyY46Zc7U_Cj72hBMp9U/edit?usp=share_link"",""นครสวรรค์!I215"")+IMPORTRANGE(""https://docs.google.com/spreadsheets/d/1gFVb7qd7amutrIxAA"&amp;"oM7lcy35hllxznovot8lyOfvDo/edit?usp=share_link"",""น่าน!I215"")+IMPORTRANGE(""https://docs.google.com/spreadsheets/d/1K0Aa9s-6EuHE5M0FG1F9aHLXRCOV917xvycTdLdct0w/edit?usp=share_link"",""พะเยา!I215"")+IMPORTRANGE(""https://docs.google.com/spreadsheets/d/1Y"&amp;"9LPKx95PyL5OKy09d-KbKJSuuEZCFdkhYjwC0XQjBA/edit?usp=share_link"",""พิจิตร!I215"")+IMPORTRANGE(""https://docs.google.com/spreadsheets/d/16OMuOwy2eVqZcYWOouQtTpa8X1L23h4660uVHc0C8os/edit?usp=share_link"",""พิษณุโลก!I215"")+IMPORTRANGE(""https://docs.google."&amp;"com/spreadsheets/d/1GfgTldLG6k77HXaMQzaafODklYuucJZQNs_GAPEfZyY/edit?usp=share_link"",""เพชรบูรณ์!I215"")+IMPORTRANGE(""https://docs.google.com/spreadsheets/d/1gvTMYAnm7v1yG1BKWFtr0DnaTsq59oW9dwWvFgq6hs0/edit?usp=share_link"",""แพร่!I215"")+IMPORTRANGE("""&amp;"https://docs.google.com/spreadsheets/d/1Wbcosgy-Xa1xXUArJSOenub6EfZHUSzc_bpJFWwQUf0/edit?usp=share_link"",""แม่ฮ่องสอน!I215"")+IMPORTRANGE(""https://docs.google.com/spreadsheets/d/1p7ERhsr0qZeSn-KSOdeHS9r0heI-lHtkcn2OH7hP0jQ/edit?usp=share_link"",""ลำปาง!"&amp;"I215"")+IMPORTRANGE(""https://docs.google.com/spreadsheets/d/1-uUXvimVhiU2U0bMN-xi2te0tS4X7DI2GLPnMjzl8cA/edit?usp=share_link"",""ลำพูน!I215"")+IMPORTRANGE(""https://docs.google.com/spreadsheets/d/17HrOaa5pBUI1onckFfumXB8xlg35qb2uBAFfF1D-Myo/edit?usp=shar"&amp;"e_link"",""สุโขทัย!I215"")+IMPORTRANGE(""https://docs.google.com/spreadsheets/d/1ubs5cl16eYL9gHbdHTJtmtYb9MGzHBs7CAphn8kNCgM/edit?usp=share_link"",""อุตรดิตถ์!I215"")+IMPORTRANGE(""https://docs.google.com/spreadsheets/d/1kII0BjS6CtVrBvI8IrytgPdxDrlyQDyigz"&amp;"MsohRtDMs/edit?usp=share_link"",""อุทัยธานี!I215"")
"),4)</f>
        <v>4</v>
      </c>
      <c r="J215" s="183">
        <f ca="1">IFERROR(__xludf.DUMMYFUNCTION("IMPORTRANGE(""https://docs.google.com/spreadsheets/d/1KxicF4apzSqm0-jIpmueT4kyZtE-Cwn5zskl7GD4loQ/edit?usp=share_link"",""กำแพงเพชร!J215"")+IMPORTRANGE(""https://docs.google.com/spreadsheets/d/1ZNYWeiFoFA1K1U4xKWqRX29MBvEyRHXORjo734Gnq_c/edit?usp=share_li"&amp;"nk"",""เชียงราย!J215"")
+IMPORTRANGE(""https://docs.google.com/spreadsheets/d/1Jgv0Y7YlHDtsiDawwp-uvifEJ8HVaSn0k2aGHG8-hwM/edit?usp=share_link"",""เชียงใหม่!J215"")+IMPORTRANGE(""https://docs.google.com/spreadsheets/d/1JWG2rZePOz9pe-f-ObA-yDr0VoOX2kSb0qIi"&amp;"x2mTUo8/edit?usp=share_link"",""ตาก!J215"")+IMPORTRANGE(""https://docs.google.com/spreadsheets/d/10nSRjK08hx8Y6HgSOQKNw81lyY46Zc7U_Cj72hBMp9U/edit?usp=share_link"",""นครสวรรค์!J215"")+IMPORTRANGE(""https://docs.google.com/spreadsheets/d/1gFVb7qd7amutrIxAA"&amp;"oM7lcy35hllxznovot8lyOfvDo/edit?usp=share_link"",""น่าน!J215"")+IMPORTRANGE(""https://docs.google.com/spreadsheets/d/1K0Aa9s-6EuHE5M0FG1F9aHLXRCOV917xvycTdLdct0w/edit?usp=share_link"",""พะเยา!J215"")+IMPORTRANGE(""https://docs.google.com/spreadsheets/d/1Y"&amp;"9LPKx95PyL5OKy09d-KbKJSuuEZCFdkhYjwC0XQjBA/edit?usp=share_link"",""พิจิตร!J215"")+IMPORTRANGE(""https://docs.google.com/spreadsheets/d/16OMuOwy2eVqZcYWOouQtTpa8X1L23h4660uVHc0C8os/edit?usp=share_link"",""พิษณุโลก!J215"")+IMPORTRANGE(""https://docs.google."&amp;"com/spreadsheets/d/1GfgTldLG6k77HXaMQzaafODklYuucJZQNs_GAPEfZyY/edit?usp=share_link"",""เพชรบูรณ์!J215"")+IMPORTRANGE(""https://docs.google.com/spreadsheets/d/1gvTMYAnm7v1yG1BKWFtr0DnaTsq59oW9dwWvFgq6hs0/edit?usp=share_link"",""แพร่!J215"")+IMPORTRANGE("""&amp;"https://docs.google.com/spreadsheets/d/1Wbcosgy-Xa1xXUArJSOenub6EfZHUSzc_bpJFWwQUf0/edit?usp=share_link"",""แม่ฮ่องสอน!J215"")+IMPORTRANGE(""https://docs.google.com/spreadsheets/d/1p7ERhsr0qZeSn-KSOdeHS9r0heI-lHtkcn2OH7hP0jQ/edit?usp=share_link"",""ลำปาง!"&amp;"J215"")+IMPORTRANGE(""https://docs.google.com/spreadsheets/d/1-uUXvimVhiU2U0bMN-xi2te0tS4X7DI2GLPnMjzl8cA/edit?usp=share_link"",""ลำพูน!J215"")+IMPORTRANGE(""https://docs.google.com/spreadsheets/d/17HrOaa5pBUI1onckFfumXB8xlg35qb2uBAFfF1D-Myo/edit?usp=shar"&amp;"e_link"",""สุโขทัย!J215"")+IMPORTRANGE(""https://docs.google.com/spreadsheets/d/1ubs5cl16eYL9gHbdHTJtmtYb9MGzHBs7CAphn8kNCgM/edit?usp=share_link"",""อุตรดิตถ์!J215"")+IMPORTRANGE(""https://docs.google.com/spreadsheets/d/1kII0BjS6CtVrBvI8IrytgPdxDrlyQDyigz"&amp;"MsohRtDMs/edit?usp=share_link"",""อุทัยธานี!J215"")
"),4)</f>
        <v>4</v>
      </c>
      <c r="K215" s="38">
        <f t="shared" ca="1" si="124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5">I224</f>
        <v>1001000</v>
      </c>
      <c r="J216" s="272">
        <f t="shared" ca="1" si="125"/>
        <v>0</v>
      </c>
      <c r="K216" s="273">
        <f t="shared" ca="1" si="124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389300</v>
      </c>
      <c r="M217" s="155"/>
      <c r="N217" s="155">
        <f ca="1">N218+N219+N220</f>
        <v>38475</v>
      </c>
      <c r="O217" s="155">
        <f ca="1">IF(L217&gt;0,N217*100/L217,0)</f>
        <v>9.8831235550988961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KxicF4apzSqm0-jIpmueT4kyZtE-Cwn5zskl7GD4loQ/edit?usp=share_link"",""กำแพงเพชร!l218"")+IMPORTRANGE(""https://docs.google.com/spreadsheets/d/1ZNYWeiFoFA1K1U4xKWqRX29MBvEyRHXORjo734Gnq_c/edit?usp=share_li"&amp;"nk"",""เชียงราย!l218"")
+IMPORTRANGE(""https://docs.google.com/spreadsheets/d/1Jgv0Y7YlHDtsiDawwp-uvifEJ8HVaSn0k2aGHG8-hwM/edit?usp=share_link"",""เชียงใหม่!l218"")+IMPORTRANGE(""https://docs.google.com/spreadsheets/d/1JWG2rZePOz9pe-f-ObA-yDr0VoOX2kSb0qIi"&amp;"x2mTUo8/edit?usp=share_link"",""ตาก!l218"")+IMPORTRANGE(""https://docs.google.com/spreadsheets/d/10nSRjK08hx8Y6HgSOQKNw81lyY46Zc7U_Cj72hBMp9U/edit?usp=share_link"",""นครสวรรค์!l218"")+IMPORTRANGE(""https://docs.google.com/spreadsheets/d/1gFVb7qd7amutrIxAA"&amp;"oM7lcy35hllxznovot8lyOfvDo/edit?usp=share_link"",""น่าน!l218"")+IMPORTRANGE(""https://docs.google.com/spreadsheets/d/1K0Aa9s-6EuHE5M0FG1F9aHLXRCOV917xvycTdLdct0w/edit?usp=share_link"",""พะเยา!l218"")+IMPORTRANGE(""https://docs.google.com/spreadsheets/d/1Y"&amp;"9LPKx95PyL5OKy09d-KbKJSuuEZCFdkhYjwC0XQjBA/edit?usp=share_link"",""พิจิตร!l218"")+IMPORTRANGE(""https://docs.google.com/spreadsheets/d/16OMuOwy2eVqZcYWOouQtTpa8X1L23h4660uVHc0C8os/edit?usp=share_link"",""พิษณุโลก!l218"")+IMPORTRANGE(""https://docs.google."&amp;"com/spreadsheets/d/1GfgTldLG6k77HXaMQzaafODklYuucJZQNs_GAPEfZyY/edit?usp=share_link"",""เพชรบูรณ์!l218"")+IMPORTRANGE(""https://docs.google.com/spreadsheets/d/1gvTMYAnm7v1yG1BKWFtr0DnaTsq59oW9dwWvFgq6hs0/edit?usp=share_link"",""แพร่!l218"")+IMPORTRANGE("""&amp;"https://docs.google.com/spreadsheets/d/1Wbcosgy-Xa1xXUArJSOenub6EfZHUSzc_bpJFWwQUf0/edit?usp=share_link"",""แม่ฮ่องสอน!l218"")+IMPORTRANGE(""https://docs.google.com/spreadsheets/d/1p7ERhsr0qZeSn-KSOdeHS9r0heI-lHtkcn2OH7hP0jQ/edit?usp=share_link"",""ลำปาง!"&amp;"l218"")+IMPORTRANGE(""https://docs.google.com/spreadsheets/d/1-uUXvimVhiU2U0bMN-xi2te0tS4X7DI2GLPnMjzl8cA/edit?usp=share_link"",""ลำพูน!l218"")+IMPORTRANGE(""https://docs.google.com/spreadsheets/d/17HrOaa5pBUI1onckFfumXB8xlg35qb2uBAFfF1D-Myo/edit?usp=shar"&amp;"e_link"",""สุโขทัย!l218"")+IMPORTRANGE(""https://docs.google.com/spreadsheets/d/1ubs5cl16eYL9gHbdHTJtmtYb9MGzHBs7CAphn8kNCgM/edit?usp=share_link"",""อุตรดิตถ์!l218"")+IMPORTRANGE(""https://docs.google.com/spreadsheets/d/1kII0BjS6CtVrBvI8IrytgPdxDrlyQDyigz"&amp;"MsohRtDMs/edit?usp=share_link"",""อุทัยธานี!l218"")
"),87000)</f>
        <v>87000</v>
      </c>
      <c r="M218" s="38"/>
      <c r="N218" s="283">
        <f ca="1">IFERROR(__xludf.DUMMYFUNCTION("IMPORTRANGE(""https://docs.google.com/spreadsheets/d/1KxicF4apzSqm0-jIpmueT4kyZtE-Cwn5zskl7GD4loQ/edit?usp=share_link"",""กำแพงเพชร!n218"")+IMPORTRANGE(""https://docs.google.com/spreadsheets/d/1ZNYWeiFoFA1K1U4xKWqRX29MBvEyRHXORjo734Gnq_c/edit?usp=share_li"&amp;"nk"",""เชียงราย!n218"")
+IMPORTRANGE(""https://docs.google.com/spreadsheets/d/1Jgv0Y7YlHDtsiDawwp-uvifEJ8HVaSn0k2aGHG8-hwM/edit?usp=share_link"",""เชียงใหม่!n218"")+IMPORTRANGE(""https://docs.google.com/spreadsheets/d/1JWG2rZePOz9pe-f-ObA-yDr0VoOX2kSb0qIi"&amp;"x2mTUo8/edit?usp=share_link"",""ตาก!n218"")+IMPORTRANGE(""https://docs.google.com/spreadsheets/d/10nSRjK08hx8Y6HgSOQKNw81lyY46Zc7U_Cj72hBMp9U/edit?usp=share_link"",""นครสวรรค์!n218"")+IMPORTRANGE(""https://docs.google.com/spreadsheets/d/1gFVb7qd7amutrIxAA"&amp;"oM7lcy35hllxznovot8lyOfvDo/edit?usp=share_link"",""น่าน!n218"")+IMPORTRANGE(""https://docs.google.com/spreadsheets/d/1K0Aa9s-6EuHE5M0FG1F9aHLXRCOV917xvycTdLdct0w/edit?usp=share_link"",""พะเยา!n218"")+IMPORTRANGE(""https://docs.google.com/spreadsheets/d/1Y"&amp;"9LPKx95PyL5OKy09d-KbKJSuuEZCFdkhYjwC0XQjBA/edit?usp=share_link"",""พิจิตร!n218"")+IMPORTRANGE(""https://docs.google.com/spreadsheets/d/16OMuOwy2eVqZcYWOouQtTpa8X1L23h4660uVHc0C8os/edit?usp=share_link"",""พิษณุโลก!n218"")+IMPORTRANGE(""https://docs.google."&amp;"com/spreadsheets/d/1GfgTldLG6k77HXaMQzaafODklYuucJZQNs_GAPEfZyY/edit?usp=share_link"",""เพชรบูรณ์!n218"")+IMPORTRANGE(""https://docs.google.com/spreadsheets/d/1gvTMYAnm7v1yG1BKWFtr0DnaTsq59oW9dwWvFgq6hs0/edit?usp=share_link"",""แพร่!n218"")+IMPORTRANGE("""&amp;"https://docs.google.com/spreadsheets/d/1Wbcosgy-Xa1xXUArJSOenub6EfZHUSzc_bpJFWwQUf0/edit?usp=share_link"",""แม่ฮ่องสอน!n218"")+IMPORTRANGE(""https://docs.google.com/spreadsheets/d/1p7ERhsr0qZeSn-KSOdeHS9r0heI-lHtkcn2OH7hP0jQ/edit?usp=share_link"",""ลำปาง!"&amp;"n218"")+IMPORTRANGE(""https://docs.google.com/spreadsheets/d/1-uUXvimVhiU2U0bMN-xi2te0tS4X7DI2GLPnMjzl8cA/edit?usp=share_link"",""ลำพูน!n218"")+IMPORTRANGE(""https://docs.google.com/spreadsheets/d/17HrOaa5pBUI1onckFfumXB8xlg35qb2uBAFfF1D-Myo/edit?usp=shar"&amp;"e_link"",""สุโขทัย!n218"")+IMPORTRANGE(""https://docs.google.com/spreadsheets/d/1ubs5cl16eYL9gHbdHTJtmtYb9MGzHBs7CAphn8kNCgM/edit?usp=share_link"",""อุตรดิตถ์!n218"")+IMPORTRANGE(""https://docs.google.com/spreadsheets/d/1kII0BjS6CtVrBvI8IrytgPdxDrlyQDyigz"&amp;"MsohRtDMs/edit?usp=share_link"",""อุทัยธานี!n218"")
"),1620)</f>
        <v>1620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KxicF4apzSqm0-jIpmueT4kyZtE-Cwn5zskl7GD4loQ/edit?usp=share_link"",""กำแพงเพชร!l219"")+IMPORTRANGE(""https://docs.google.com/spreadsheets/d/1ZNYWeiFoFA1K1U4xKWqRX29MBvEyRHXORjo734Gnq_c/edit?usp=share_li"&amp;"nk"",""เชียงราย!l219"")
+IMPORTRANGE(""https://docs.google.com/spreadsheets/d/1Jgv0Y7YlHDtsiDawwp-uvifEJ8HVaSn0k2aGHG8-hwM/edit?usp=share_link"",""เชียงใหม่!l219"")+IMPORTRANGE(""https://docs.google.com/spreadsheets/d/1JWG2rZePOz9pe-f-ObA-yDr0VoOX2kSb0qIi"&amp;"x2mTUo8/edit?usp=share_link"",""ตาก!l219"")+IMPORTRANGE(""https://docs.google.com/spreadsheets/d/10nSRjK08hx8Y6HgSOQKNw81lyY46Zc7U_Cj72hBMp9U/edit?usp=share_link"",""นครสวรรค์!l219"")+IMPORTRANGE(""https://docs.google.com/spreadsheets/d/1gFVb7qd7amutrIxAA"&amp;"oM7lcy35hllxznovot8lyOfvDo/edit?usp=share_link"",""น่าน!l219"")+IMPORTRANGE(""https://docs.google.com/spreadsheets/d/1K0Aa9s-6EuHE5M0FG1F9aHLXRCOV917xvycTdLdct0w/edit?usp=share_link"",""พะเยา!l219"")+IMPORTRANGE(""https://docs.google.com/spreadsheets/d/1Y"&amp;"9LPKx95PyL5OKy09d-KbKJSuuEZCFdkhYjwC0XQjBA/edit?usp=share_link"",""พิจิตร!l219"")+IMPORTRANGE(""https://docs.google.com/spreadsheets/d/16OMuOwy2eVqZcYWOouQtTpa8X1L23h4660uVHc0C8os/edit?usp=share_link"",""พิษณุโลก!l219"")+IMPORTRANGE(""https://docs.google."&amp;"com/spreadsheets/d/1GfgTldLG6k77HXaMQzaafODklYuucJZQNs_GAPEfZyY/edit?usp=share_link"",""เพชรบูรณ์!l219"")+IMPORTRANGE(""https://docs.google.com/spreadsheets/d/1gvTMYAnm7v1yG1BKWFtr0DnaTsq59oW9dwWvFgq6hs0/edit?usp=share_link"",""แพร่!l219"")+IMPORTRANGE("""&amp;"https://docs.google.com/spreadsheets/d/1Wbcosgy-Xa1xXUArJSOenub6EfZHUSzc_bpJFWwQUf0/edit?usp=share_link"",""แม่ฮ่องสอน!l219"")+IMPORTRANGE(""https://docs.google.com/spreadsheets/d/1p7ERhsr0qZeSn-KSOdeHS9r0heI-lHtkcn2OH7hP0jQ/edit?usp=share_link"",""ลำปาง!"&amp;"l219"")+IMPORTRANGE(""https://docs.google.com/spreadsheets/d/1-uUXvimVhiU2U0bMN-xi2te0tS4X7DI2GLPnMjzl8cA/edit?usp=share_link"",""ลำพูน!l219"")+IMPORTRANGE(""https://docs.google.com/spreadsheets/d/17HrOaa5pBUI1onckFfumXB8xlg35qb2uBAFfF1D-Myo/edit?usp=shar"&amp;"e_link"",""สุโขทัย!l219"")+IMPORTRANGE(""https://docs.google.com/spreadsheets/d/1ubs5cl16eYL9gHbdHTJtmtYb9MGzHBs7CAphn8kNCgM/edit?usp=share_link"",""อุตรดิตถ์!l219"")+IMPORTRANGE(""https://docs.google.com/spreadsheets/d/1kII0BjS6CtVrBvI8IrytgPdxDrlyQDyigz"&amp;"MsohRtDMs/edit?usp=share_link"",""อุทัยธานี!l219"")
"),262300)</f>
        <v>262300</v>
      </c>
      <c r="M219" s="38"/>
      <c r="N219" s="283">
        <f ca="1">IFERROR(__xludf.DUMMYFUNCTION("IMPORTRANGE(""https://docs.google.com/spreadsheets/d/1KxicF4apzSqm0-jIpmueT4kyZtE-Cwn5zskl7GD4loQ/edit?usp=share_link"",""กำแพงเพชร!n219"")+IMPORTRANGE(""https://docs.google.com/spreadsheets/d/1ZNYWeiFoFA1K1U4xKWqRX29MBvEyRHXORjo734Gnq_c/edit?usp=share_li"&amp;"nk"",""เชียงราย!n219"")
+IMPORTRANGE(""https://docs.google.com/spreadsheets/d/1Jgv0Y7YlHDtsiDawwp-uvifEJ8HVaSn0k2aGHG8-hwM/edit?usp=share_link"",""เชียงใหม่!n219"")+IMPORTRANGE(""https://docs.google.com/spreadsheets/d/1JWG2rZePOz9pe-f-ObA-yDr0VoOX2kSb0qIi"&amp;"x2mTUo8/edit?usp=share_link"",""ตาก!n219"")+IMPORTRANGE(""https://docs.google.com/spreadsheets/d/10nSRjK08hx8Y6HgSOQKNw81lyY46Zc7U_Cj72hBMp9U/edit?usp=share_link"",""นครสวรรค์!n219"")+IMPORTRANGE(""https://docs.google.com/spreadsheets/d/1gFVb7qd7amutrIxAA"&amp;"oM7lcy35hllxznovot8lyOfvDo/edit?usp=share_link"",""น่าน!n219"")+IMPORTRANGE(""https://docs.google.com/spreadsheets/d/1K0Aa9s-6EuHE5M0FG1F9aHLXRCOV917xvycTdLdct0w/edit?usp=share_link"",""พะเยา!n219"")+IMPORTRANGE(""https://docs.google.com/spreadsheets/d/1Y"&amp;"9LPKx95PyL5OKy09d-KbKJSuuEZCFdkhYjwC0XQjBA/edit?usp=share_link"",""พิจิตร!n219"")+IMPORTRANGE(""https://docs.google.com/spreadsheets/d/16OMuOwy2eVqZcYWOouQtTpa8X1L23h4660uVHc0C8os/edit?usp=share_link"",""พิษณุโลก!n219"")+IMPORTRANGE(""https://docs.google."&amp;"com/spreadsheets/d/1GfgTldLG6k77HXaMQzaafODklYuucJZQNs_GAPEfZyY/edit?usp=share_link"",""เพชรบูรณ์!n219"")+IMPORTRANGE(""https://docs.google.com/spreadsheets/d/1gvTMYAnm7v1yG1BKWFtr0DnaTsq59oW9dwWvFgq6hs0/edit?usp=share_link"",""แพร่!n219"")+IMPORTRANGE("""&amp;"https://docs.google.com/spreadsheets/d/1Wbcosgy-Xa1xXUArJSOenub6EfZHUSzc_bpJFWwQUf0/edit?usp=share_link"",""แม่ฮ่องสอน!n219"")+IMPORTRANGE(""https://docs.google.com/spreadsheets/d/1p7ERhsr0qZeSn-KSOdeHS9r0heI-lHtkcn2OH7hP0jQ/edit?usp=share_link"",""ลำปาง!"&amp;"n219"")+IMPORTRANGE(""https://docs.google.com/spreadsheets/d/1-uUXvimVhiU2U0bMN-xi2te0tS4X7DI2GLPnMjzl8cA/edit?usp=share_link"",""ลำพูน!n219"")+IMPORTRANGE(""https://docs.google.com/spreadsheets/d/17HrOaa5pBUI1onckFfumXB8xlg35qb2uBAFfF1D-Myo/edit?usp=shar"&amp;"e_link"",""สุโขทัย!n219"")+IMPORTRANGE(""https://docs.google.com/spreadsheets/d/1ubs5cl16eYL9gHbdHTJtmtYb9MGzHBs7CAphn8kNCgM/edit?usp=share_link"",""อุตรดิตถ์!n219"")+IMPORTRANGE(""https://docs.google.com/spreadsheets/d/1kII0BjS6CtVrBvI8IrytgPdxDrlyQDyigz"&amp;"MsohRtDMs/edit?usp=share_link"",""อุทัยธานี!n219"")
"),0)</f>
        <v>0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KxicF4apzSqm0-jIpmueT4kyZtE-Cwn5zskl7GD4loQ/edit?usp=share_link"",""กำแพงเพชร!l220"")+IMPORTRANGE(""https://docs.google.com/spreadsheets/d/1ZNYWeiFoFA1K1U4xKWqRX29MBvEyRHXORjo734Gnq_c/edit?usp=share_li"&amp;"nk"",""เชียงราย!l220"")
+IMPORTRANGE(""https://docs.google.com/spreadsheets/d/1Jgv0Y7YlHDtsiDawwp-uvifEJ8HVaSn0k2aGHG8-hwM/edit?usp=share_link"",""เชียงใหม่!l220"")+IMPORTRANGE(""https://docs.google.com/spreadsheets/d/1JWG2rZePOz9pe-f-ObA-yDr0VoOX2kSb0qIi"&amp;"x2mTUo8/edit?usp=share_link"",""ตาก!l220"")+IMPORTRANGE(""https://docs.google.com/spreadsheets/d/10nSRjK08hx8Y6HgSOQKNw81lyY46Zc7U_Cj72hBMp9U/edit?usp=share_link"",""นครสวรรค์!l220"")+IMPORTRANGE(""https://docs.google.com/spreadsheets/d/1gFVb7qd7amutrIxAA"&amp;"oM7lcy35hllxznovot8lyOfvDo/edit?usp=share_link"",""น่าน!l220"")+IMPORTRANGE(""https://docs.google.com/spreadsheets/d/1K0Aa9s-6EuHE5M0FG1F9aHLXRCOV917xvycTdLdct0w/edit?usp=share_link"",""พะเยา!l220"")+IMPORTRANGE(""https://docs.google.com/spreadsheets/d/1Y"&amp;"9LPKx95PyL5OKy09d-KbKJSuuEZCFdkhYjwC0XQjBA/edit?usp=share_link"",""พิจิตร!l220"")+IMPORTRANGE(""https://docs.google.com/spreadsheets/d/16OMuOwy2eVqZcYWOouQtTpa8X1L23h4660uVHc0C8os/edit?usp=share_link"",""พิษณุโลก!l220"")+IMPORTRANGE(""https://docs.google."&amp;"com/spreadsheets/d/1GfgTldLG6k77HXaMQzaafODklYuucJZQNs_GAPEfZyY/edit?usp=share_link"",""เพชรบูรณ์!l220"")+IMPORTRANGE(""https://docs.google.com/spreadsheets/d/1gvTMYAnm7v1yG1BKWFtr0DnaTsq59oW9dwWvFgq6hs0/edit?usp=share_link"",""แพร่!l220"")+IMPORTRANGE("""&amp;"https://docs.google.com/spreadsheets/d/1Wbcosgy-Xa1xXUArJSOenub6EfZHUSzc_bpJFWwQUf0/edit?usp=share_link"",""แม่ฮ่องสอน!l220"")+IMPORTRANGE(""https://docs.google.com/spreadsheets/d/1p7ERhsr0qZeSn-KSOdeHS9r0heI-lHtkcn2OH7hP0jQ/edit?usp=share_link"",""ลำปาง!"&amp;"l220"")+IMPORTRANGE(""https://docs.google.com/spreadsheets/d/1-uUXvimVhiU2U0bMN-xi2te0tS4X7DI2GLPnMjzl8cA/edit?usp=share_link"",""ลำพูน!l220"")+IMPORTRANGE(""https://docs.google.com/spreadsheets/d/17HrOaa5pBUI1onckFfumXB8xlg35qb2uBAFfF1D-Myo/edit?usp=shar"&amp;"e_link"",""สุโขทัย!l220"")+IMPORTRANGE(""https://docs.google.com/spreadsheets/d/1ubs5cl16eYL9gHbdHTJtmtYb9MGzHBs7CAphn8kNCgM/edit?usp=share_link"",""อุตรดิตถ์!l220"")+IMPORTRANGE(""https://docs.google.com/spreadsheets/d/1kII0BjS6CtVrBvI8IrytgPdxDrlyQDyigz"&amp;"MsohRtDMs/edit?usp=share_link"",""อุทัยธานี!l220"")
"),40000)</f>
        <v>40000</v>
      </c>
      <c r="M220" s="38"/>
      <c r="N220" s="283">
        <f ca="1">IFERROR(__xludf.DUMMYFUNCTION("IMPORTRANGE(""https://docs.google.com/spreadsheets/d/1KxicF4apzSqm0-jIpmueT4kyZtE-Cwn5zskl7GD4loQ/edit?usp=share_link"",""กำแพงเพชร!n220"")+IMPORTRANGE(""https://docs.google.com/spreadsheets/d/1ZNYWeiFoFA1K1U4xKWqRX29MBvEyRHXORjo734Gnq_c/edit?usp=share_li"&amp;"nk"",""เชียงราย!n220"")
+IMPORTRANGE(""https://docs.google.com/spreadsheets/d/1Jgv0Y7YlHDtsiDawwp-uvifEJ8HVaSn0k2aGHG8-hwM/edit?usp=share_link"",""เชียงใหม่!n220"")+IMPORTRANGE(""https://docs.google.com/spreadsheets/d/1JWG2rZePOz9pe-f-ObA-yDr0VoOX2kSb0qIi"&amp;"x2mTUo8/edit?usp=share_link"",""ตาก!n220"")+IMPORTRANGE(""https://docs.google.com/spreadsheets/d/10nSRjK08hx8Y6HgSOQKNw81lyY46Zc7U_Cj72hBMp9U/edit?usp=share_link"",""นครสวรรค์!n220"")+IMPORTRANGE(""https://docs.google.com/spreadsheets/d/1gFVb7qd7amutrIxAA"&amp;"oM7lcy35hllxznovot8lyOfvDo/edit?usp=share_link"",""น่าน!n220"")+IMPORTRANGE(""https://docs.google.com/spreadsheets/d/1K0Aa9s-6EuHE5M0FG1F9aHLXRCOV917xvycTdLdct0w/edit?usp=share_link"",""พะเยา!n220"")+IMPORTRANGE(""https://docs.google.com/spreadsheets/d/1Y"&amp;"9LPKx95PyL5OKy09d-KbKJSuuEZCFdkhYjwC0XQjBA/edit?usp=share_link"",""พิจิตร!n220"")+IMPORTRANGE(""https://docs.google.com/spreadsheets/d/16OMuOwy2eVqZcYWOouQtTpa8X1L23h4660uVHc0C8os/edit?usp=share_link"",""พิษณุโลก!n220"")+IMPORTRANGE(""https://docs.google."&amp;"com/spreadsheets/d/1GfgTldLG6k77HXaMQzaafODklYuucJZQNs_GAPEfZyY/edit?usp=share_link"",""เพชรบูรณ์!n220"")+IMPORTRANGE(""https://docs.google.com/spreadsheets/d/1gvTMYAnm7v1yG1BKWFtr0DnaTsq59oW9dwWvFgq6hs0/edit?usp=share_link"",""แพร่!n220"")+IMPORTRANGE("""&amp;"https://docs.google.com/spreadsheets/d/1Wbcosgy-Xa1xXUArJSOenub6EfZHUSzc_bpJFWwQUf0/edit?usp=share_link"",""แม่ฮ่องสอน!n220"")+IMPORTRANGE(""https://docs.google.com/spreadsheets/d/1p7ERhsr0qZeSn-KSOdeHS9r0heI-lHtkcn2OH7hP0jQ/edit?usp=share_link"",""ลำปาง!"&amp;"n220"")+IMPORTRANGE(""https://docs.google.com/spreadsheets/d/1-uUXvimVhiU2U0bMN-xi2te0tS4X7DI2GLPnMjzl8cA/edit?usp=share_link"",""ลำพูน!n220"")+IMPORTRANGE(""https://docs.google.com/spreadsheets/d/17HrOaa5pBUI1onckFfumXB8xlg35qb2uBAFfF1D-Myo/edit?usp=shar"&amp;"e_link"",""สุโขทัย!n220"")+IMPORTRANGE(""https://docs.google.com/spreadsheets/d/1ubs5cl16eYL9gHbdHTJtmtYb9MGzHBs7CAphn8kNCgM/edit?usp=share_link"",""อุตรดิตถ์!n220"")+IMPORTRANGE(""https://docs.google.com/spreadsheets/d/1kII0BjS6CtVrBvI8IrytgPdxDrlyQDyigz"&amp;"MsohRtDMs/edit?usp=share_link"",""อุทัยธานี!n220"")
"),36855)</f>
        <v>36855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KxicF4apzSqm0-jIpmueT4kyZtE-Cwn5zskl7GD4loQ/edit?usp=share_link"",""กำแพงเพชร!I223"")+IMPORTRANGE(""https://docs.google.com/spreadsheets/d/1ZNYWeiFoFA1K1U4xKWqRX29MBvEyRHXORjo734Gnq_c/edit?usp=share_li"&amp;"nk"",""เชียงราย!I223"")
+IMPORTRANGE(""https://docs.google.com/spreadsheets/d/1Jgv0Y7YlHDtsiDawwp-uvifEJ8HVaSn0k2aGHG8-hwM/edit?usp=share_link"",""เชียงใหม่!I223"")+IMPORTRANGE(""https://docs.google.com/spreadsheets/d/1JWG2rZePOz9pe-f-ObA-yDr0VoOX2kSb0qIi"&amp;"x2mTUo8/edit?usp=share_link"",""ตาก!I223"")+IMPORTRANGE(""https://docs.google.com/spreadsheets/d/10nSRjK08hx8Y6HgSOQKNw81lyY46Zc7U_Cj72hBMp9U/edit?usp=share_link"",""นครสวรรค์!I223"")+IMPORTRANGE(""https://docs.google.com/spreadsheets/d/1gFVb7qd7amutrIxAA"&amp;"oM7lcy35hllxznovot8lyOfvDo/edit?usp=share_link"",""น่าน!I223"")+IMPORTRANGE(""https://docs.google.com/spreadsheets/d/1K0Aa9s-6EuHE5M0FG1F9aHLXRCOV917xvycTdLdct0w/edit?usp=share_link"",""พะเยา!I223"")+IMPORTRANGE(""https://docs.google.com/spreadsheets/d/1Y"&amp;"9LPKx95PyL5OKy09d-KbKJSuuEZCFdkhYjwC0XQjBA/edit?usp=share_link"",""พิจิตร!I223"")+IMPORTRANGE(""https://docs.google.com/spreadsheets/d/16OMuOwy2eVqZcYWOouQtTpa8X1L23h4660uVHc0C8os/edit?usp=share_link"",""พิษณุโลก!I223"")+IMPORTRANGE(""https://docs.google."&amp;"com/spreadsheets/d/1GfgTldLG6k77HXaMQzaafODklYuucJZQNs_GAPEfZyY/edit?usp=share_link"",""เพชรบูรณ์!I223"")+IMPORTRANGE(""https://docs.google.com/spreadsheets/d/1gvTMYAnm7v1yG1BKWFtr0DnaTsq59oW9dwWvFgq6hs0/edit?usp=share_link"",""แพร่!I223"")+IMPORTRANGE("""&amp;"https://docs.google.com/spreadsheets/d/1Wbcosgy-Xa1xXUArJSOenub6EfZHUSzc_bpJFWwQUf0/edit?usp=share_link"",""แม่ฮ่องสอน!I223"")+IMPORTRANGE(""https://docs.google.com/spreadsheets/d/1p7ERhsr0qZeSn-KSOdeHS9r0heI-lHtkcn2OH7hP0jQ/edit?usp=share_link"",""ลำปาง!"&amp;"I223"")+IMPORTRANGE(""https://docs.google.com/spreadsheets/d/1-uUXvimVhiU2U0bMN-xi2te0tS4X7DI2GLPnMjzl8cA/edit?usp=share_link"",""ลำพูน!I223"")+IMPORTRANGE(""https://docs.google.com/spreadsheets/d/17HrOaa5pBUI1onckFfumXB8xlg35qb2uBAFfF1D-Myo/edit?usp=shar"&amp;"e_link"",""สุโขทัย!I223"")+IMPORTRANGE(""https://docs.google.com/spreadsheets/d/1ubs5cl16eYL9gHbdHTJtmtYb9MGzHBs7CAphn8kNCgM/edit?usp=share_link"",""อุตรดิตถ์!I223"")+IMPORTRANGE(""https://docs.google.com/spreadsheets/d/1kII0BjS6CtVrBvI8IrytgPdxDrlyQDyigz"&amp;"MsohRtDMs/edit?usp=share_link"",""อุทัยธานี!I223"")
"),1001000)</f>
        <v>1001000</v>
      </c>
      <c r="J223" s="183">
        <f ca="1">IFERROR(__xludf.DUMMYFUNCTION("IMPORTRANGE(""https://docs.google.com/spreadsheets/d/1KxicF4apzSqm0-jIpmueT4kyZtE-Cwn5zskl7GD4loQ/edit?usp=share_link"",""กำแพงเพชร!J223"")+IMPORTRANGE(""https://docs.google.com/spreadsheets/d/1ZNYWeiFoFA1K1U4xKWqRX29MBvEyRHXORjo734Gnq_c/edit?usp=share_li"&amp;"nk"",""เชียงราย!J223"")
+IMPORTRANGE(""https://docs.google.com/spreadsheets/d/1Jgv0Y7YlHDtsiDawwp-uvifEJ8HVaSn0k2aGHG8-hwM/edit?usp=share_link"",""เชียงใหม่!J223"")+IMPORTRANGE(""https://docs.google.com/spreadsheets/d/1JWG2rZePOz9pe-f-ObA-yDr0VoOX2kSb0qIi"&amp;"x2mTUo8/edit?usp=share_link"",""ตาก!J223"")+IMPORTRANGE(""https://docs.google.com/spreadsheets/d/10nSRjK08hx8Y6HgSOQKNw81lyY46Zc7U_Cj72hBMp9U/edit?usp=share_link"",""นครสวรรค์!J223"")+IMPORTRANGE(""https://docs.google.com/spreadsheets/d/1gFVb7qd7amutrIxAA"&amp;"oM7lcy35hllxznovot8lyOfvDo/edit?usp=share_link"",""น่าน!J223"")+IMPORTRANGE(""https://docs.google.com/spreadsheets/d/1K0Aa9s-6EuHE5M0FG1F9aHLXRCOV917xvycTdLdct0w/edit?usp=share_link"",""พะเยา!J223"")+IMPORTRANGE(""https://docs.google.com/spreadsheets/d/1Y"&amp;"9LPKx95PyL5OKy09d-KbKJSuuEZCFdkhYjwC0XQjBA/edit?usp=share_link"",""พิจิตร!J223"")+IMPORTRANGE(""https://docs.google.com/spreadsheets/d/16OMuOwy2eVqZcYWOouQtTpa8X1L23h4660uVHc0C8os/edit?usp=share_link"",""พิษณุโลก!J223"")+IMPORTRANGE(""https://docs.google."&amp;"com/spreadsheets/d/1GfgTldLG6k77HXaMQzaafODklYuucJZQNs_GAPEfZyY/edit?usp=share_link"",""เพชรบูรณ์!J223"")+IMPORTRANGE(""https://docs.google.com/spreadsheets/d/1gvTMYAnm7v1yG1BKWFtr0DnaTsq59oW9dwWvFgq6hs0/edit?usp=share_link"",""แพร่!J223"")+IMPORTRANGE("""&amp;"https://docs.google.com/spreadsheets/d/1Wbcosgy-Xa1xXUArJSOenub6EfZHUSzc_bpJFWwQUf0/edit?usp=share_link"",""แม่ฮ่องสอน!J223"")+IMPORTRANGE(""https://docs.google.com/spreadsheets/d/1p7ERhsr0qZeSn-KSOdeHS9r0heI-lHtkcn2OH7hP0jQ/edit?usp=share_link"",""ลำปาง!"&amp;"J223"")+IMPORTRANGE(""https://docs.google.com/spreadsheets/d/1-uUXvimVhiU2U0bMN-xi2te0tS4X7DI2GLPnMjzl8cA/edit?usp=share_link"",""ลำพูน!J223"")+IMPORTRANGE(""https://docs.google.com/spreadsheets/d/17HrOaa5pBUI1onckFfumXB8xlg35qb2uBAFfF1D-Myo/edit?usp=shar"&amp;"e_link"",""สุโขทัย!J223"")+IMPORTRANGE(""https://docs.google.com/spreadsheets/d/1ubs5cl16eYL9gHbdHTJtmtYb9MGzHBs7CAphn8kNCgM/edit?usp=share_link"",""อุตรดิตถ์!J223"")+IMPORTRANGE(""https://docs.google.com/spreadsheets/d/1kII0BjS6CtVrBvI8IrytgPdxDrlyQDyigz"&amp;"MsohRtDMs/edit?usp=share_link"",""อุทัยธานี!J223"")
"),228000)</f>
        <v>228000</v>
      </c>
      <c r="K223" s="163">
        <f t="shared" ref="K223:K226" ca="1" si="126">IF(I223&gt;0,J223*100/I223,0)</f>
        <v>22.777222777222779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KxicF4apzSqm0-jIpmueT4kyZtE-Cwn5zskl7GD4loQ/edit?usp=share_link"",""กำแพงเพชร!I224"")+IMPORTRANGE(""https://docs.google.com/spreadsheets/d/1ZNYWeiFoFA1K1U4xKWqRX29MBvEyRHXORjo734Gnq_c/edit?usp=share_li"&amp;"nk"",""เชียงราย!I224"")
+IMPORTRANGE(""https://docs.google.com/spreadsheets/d/1Jgv0Y7YlHDtsiDawwp-uvifEJ8HVaSn0k2aGHG8-hwM/edit?usp=share_link"",""เชียงใหม่!I224"")+IMPORTRANGE(""https://docs.google.com/spreadsheets/d/1JWG2rZePOz9pe-f-ObA-yDr0VoOX2kSb0qIi"&amp;"x2mTUo8/edit?usp=share_link"",""ตาก!I224"")+IMPORTRANGE(""https://docs.google.com/spreadsheets/d/10nSRjK08hx8Y6HgSOQKNw81lyY46Zc7U_Cj72hBMp9U/edit?usp=share_link"",""นครสวรรค์!I224"")+IMPORTRANGE(""https://docs.google.com/spreadsheets/d/1gFVb7qd7amutrIxAA"&amp;"oM7lcy35hllxznovot8lyOfvDo/edit?usp=share_link"",""น่าน!I224"")+IMPORTRANGE(""https://docs.google.com/spreadsheets/d/1K0Aa9s-6EuHE5M0FG1F9aHLXRCOV917xvycTdLdct0w/edit?usp=share_link"",""พะเยา!I224"")+IMPORTRANGE(""https://docs.google.com/spreadsheets/d/1Y"&amp;"9LPKx95PyL5OKy09d-KbKJSuuEZCFdkhYjwC0XQjBA/edit?usp=share_link"",""พิจิตร!I224"")+IMPORTRANGE(""https://docs.google.com/spreadsheets/d/16OMuOwy2eVqZcYWOouQtTpa8X1L23h4660uVHc0C8os/edit?usp=share_link"",""พิษณุโลก!I224"")+IMPORTRANGE(""https://docs.google."&amp;"com/spreadsheets/d/1GfgTldLG6k77HXaMQzaafODklYuucJZQNs_GAPEfZyY/edit?usp=share_link"",""เพชรบูรณ์!I224"")+IMPORTRANGE(""https://docs.google.com/spreadsheets/d/1gvTMYAnm7v1yG1BKWFtr0DnaTsq59oW9dwWvFgq6hs0/edit?usp=share_link"",""แพร่!I224"")+IMPORTRANGE("""&amp;"https://docs.google.com/spreadsheets/d/1Wbcosgy-Xa1xXUArJSOenub6EfZHUSzc_bpJFWwQUf0/edit?usp=share_link"",""แม่ฮ่องสอน!I224"")+IMPORTRANGE(""https://docs.google.com/spreadsheets/d/1p7ERhsr0qZeSn-KSOdeHS9r0heI-lHtkcn2OH7hP0jQ/edit?usp=share_link"",""ลำปาง!"&amp;"I224"")+IMPORTRANGE(""https://docs.google.com/spreadsheets/d/1-uUXvimVhiU2U0bMN-xi2te0tS4X7DI2GLPnMjzl8cA/edit?usp=share_link"",""ลำพูน!I224"")+IMPORTRANGE(""https://docs.google.com/spreadsheets/d/17HrOaa5pBUI1onckFfumXB8xlg35qb2uBAFfF1D-Myo/edit?usp=shar"&amp;"e_link"",""สุโขทัย!I224"")+IMPORTRANGE(""https://docs.google.com/spreadsheets/d/1ubs5cl16eYL9gHbdHTJtmtYb9MGzHBs7CAphn8kNCgM/edit?usp=share_link"",""อุตรดิตถ์!I224"")+IMPORTRANGE(""https://docs.google.com/spreadsheets/d/1kII0BjS6CtVrBvI8IrytgPdxDrlyQDyigz"&amp;"MsohRtDMs/edit?usp=share_link"",""อุทัยธานี!I224"")
"),1001000)</f>
        <v>1001000</v>
      </c>
      <c r="J224" s="183">
        <f ca="1">IFERROR(__xludf.DUMMYFUNCTION("IMPORTRANGE(""https://docs.google.com/spreadsheets/d/1fb2B9NLcpJgjIieIJvenUTNPn0TimZDUi0OtYeiSQ_s/edit?usp=share_link"",""กาฬสินธุ์!J224"")+IMPORTRANGE(""https://docs.google.com/spreadsheets/d/1SaMnqrwRGmFYNR0MhpWmHuL5niYUd5E7vDq8X7whAlI/edit?usp=share_li"&amp;"nk"",""ขอนแก่น!J224"")
+IMPORTRANGE(""https://docs.google.com/spreadsheets/d/1xQzEtGHhTTgxHh6YUkKY1P4dRyjVhS74dGswLfAASA4/edit?usp=share_link"",""ชัยภูมิ!J224"")+IMPORTRANGE(""https://docs.google.com/spreadsheets/d/1EXMBoBxU3OFbjT2TRpneM33qFjqDzrKmn9ydcfl"&amp;"fI0o/edit?usp=share_link"",""นครพนม!J224"")+IMPORTRANGE(""https://docs.google.com/spreadsheets/d/1bDQrolntRWtHumK8W-x-HXKntwxB9S3sF5aDeRS66Ko/edit?usp=share_link"",""นครราชสีมา!J224"")+IMPORTRANGE(""https://docs.google.com/spreadsheets/d/1_MzZ-2gVPiCW-d2V"&amp;"cafoCmFJQTSrZ6SQyFcMqRRQQ2w/edit?usp=share_link"",""บึงกาฬ!J224"")
+IMPORTRANGE(""https://docs.google.com/spreadsheets/d/1B3lPpzOuaNwVItLwLEZYl_qEblfcx7dRnbRkAw0l-pE/edit?usp=share_link"",""บุรีรัมย์!J224"")+IMPORTRANGE(""https://docs.google.com/spreadshe"&amp;"ets/d/19GOkiOqnzYbevLYWrMk4qFOXe3rX14BkSA8X-mq-a40/edit?usp=share_link"",""มหาสารคาม!J224"")+IMPORTRANGE(""https://docs.google.com/spreadsheets/d/1uMKqWwuNQ-TCKboGA3Bb1qXb5uj2-faACNUINCz8PN4/edit?usp=share_link"",""มุกดาหาร!J224"")+IMPORTRANGE(""https://d"&amp;"ocs.google.com/spreadsheets/d/1oKaccgDdQABndOzGr688Dbfxb_V3YcF67VqEPBtdzsc/edit?usp=share_link"",""ยโสธร!J224"")+IMPORTRANGE(""https://docs.google.com/spreadsheets/d/1BRgc8xKpxZ0PX-gauieMVkV_IOxKSotf0yW8MabGprQ/edit?usp=share_link"",""ร้อยเอ็ด!J224"")+IMP"&amp;"ORTRANGE(""https://docs.google.com/spreadsheets/d/1IdolZc-dfdgMwAm_KZxYJl1sUOcIgnbGQzbWOlddedo/edit?usp=share_link"",""เลย!J224"")+IMPORTRANGE(""https://docs.google.com/spreadsheets/d/1tZ0nmtGuIRCaGAMXHlQU8EpR9LOAJvyKfc4f7EFmE34/edit?usp=share_link"",""ศร"&amp;"ีสะเกษ!J224"")+IMPORTRANGE(""https://docs.google.com/spreadsheets/d/1QC8psz9w0f9IVE9Xuc2FT_btkaOzZbbUSgYObpBuetM/edit?usp=share_link"",""สกลนคร!J224"")+IMPORTRANGE(""https://docs.google.com/spreadsheets/d/1wPdvRbu02d33MYVlbsCnyTiZpefEBs9NNktAnT1HZvw/edit?"&amp;"usp=share_link"",""สุรินทร์!J224"")+IMPORTRANGE(""https://docs.google.com/spreadsheets/d/1GVExpf-Exi_2gmuqTYH28fseTB9MoKPXWcXCbSt_YrM/edit?usp=share_link"",""หนองคาย!J224"")+IMPORTRANGE(""https://docs.google.com/spreadsheets/d/16UeMz0UgOB5BZcoxP75eYGcLFtG"&amp;"YRn9GoesD4OX9m5U/edit?usp=share_link"",""หนองบัวลำภู!J224"")+IMPORTRANGE(""https://docs.google.com/spreadsheets/d/1uUP8Zo1-qaJLuIkRU0qlwLSE3DHkbdrrj2JGJiWBQZE/edit?usp=share_link"",""อำนาจเจริญ!J224"")+IMPORTRANGE(""https://docs.google.com/spreadsheets/d/"&amp;"1hb_taSOHanzRjqfzWPiFo8yiT83VV1L7vvUCLhOiHKc/edit?usp=share_link"",""อุดรธานี!J224"")+IMPORTRANGE(""https://docs.google.com/spreadsheets/d/17IOkEwkUd63EGNfyNDnM5de9YlZ7rwzTiW6-dokVjKI/edit?usp=share_link"",""อุบลราชธานี!J224"")
"),0)</f>
        <v>0</v>
      </c>
      <c r="K224" s="163">
        <f t="shared" ca="1" si="126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KxicF4apzSqm0-jIpmueT4kyZtE-Cwn5zskl7GD4loQ/edit?usp=share_link"",""กำแพงเพชร!I225"")+IMPORTRANGE(""https://docs.google.com/spreadsheets/d/1ZNYWeiFoFA1K1U4xKWqRX29MBvEyRHXORjo734Gnq_c/edit?usp=share_li"&amp;"nk"",""เชียงราย!I225"")
+IMPORTRANGE(""https://docs.google.com/spreadsheets/d/1Jgv0Y7YlHDtsiDawwp-uvifEJ8HVaSn0k2aGHG8-hwM/edit?usp=share_link"",""เชียงใหม่!I225"")+IMPORTRANGE(""https://docs.google.com/spreadsheets/d/1JWG2rZePOz9pe-f-ObA-yDr0VoOX2kSb0qIi"&amp;"x2mTUo8/edit?usp=share_link"",""ตาก!I225"")+IMPORTRANGE(""https://docs.google.com/spreadsheets/d/10nSRjK08hx8Y6HgSOQKNw81lyY46Zc7U_Cj72hBMp9U/edit?usp=share_link"",""นครสวรรค์!I225"")+IMPORTRANGE(""https://docs.google.com/spreadsheets/d/1gFVb7qd7amutrIxAA"&amp;"oM7lcy35hllxznovot8lyOfvDo/edit?usp=share_link"",""น่าน!I225"")+IMPORTRANGE(""https://docs.google.com/spreadsheets/d/1K0Aa9s-6EuHE5M0FG1F9aHLXRCOV917xvycTdLdct0w/edit?usp=share_link"",""พะเยา!I225"")+IMPORTRANGE(""https://docs.google.com/spreadsheets/d/1Y"&amp;"9LPKx95PyL5OKy09d-KbKJSuuEZCFdkhYjwC0XQjBA/edit?usp=share_link"",""พิจิตร!I225"")+IMPORTRANGE(""https://docs.google.com/spreadsheets/d/16OMuOwy2eVqZcYWOouQtTpa8X1L23h4660uVHc0C8os/edit?usp=share_link"",""พิษณุโลก!I225"")+IMPORTRANGE(""https://docs.google."&amp;"com/spreadsheets/d/1GfgTldLG6k77HXaMQzaafODklYuucJZQNs_GAPEfZyY/edit?usp=share_link"",""เพชรบูรณ์!I225"")+IMPORTRANGE(""https://docs.google.com/spreadsheets/d/1gvTMYAnm7v1yG1BKWFtr0DnaTsq59oW9dwWvFgq6hs0/edit?usp=share_link"",""แพร่!I225"")+IMPORTRANGE("""&amp;"https://docs.google.com/spreadsheets/d/1Wbcosgy-Xa1xXUArJSOenub6EfZHUSzc_bpJFWwQUf0/edit?usp=share_link"",""แม่ฮ่องสอน!I225"")+IMPORTRANGE(""https://docs.google.com/spreadsheets/d/1p7ERhsr0qZeSn-KSOdeHS9r0heI-lHtkcn2OH7hP0jQ/edit?usp=share_link"",""ลำปาง!"&amp;"I225"")+IMPORTRANGE(""https://docs.google.com/spreadsheets/d/1-uUXvimVhiU2U0bMN-xi2te0tS4X7DI2GLPnMjzl8cA/edit?usp=share_link"",""ลำพูน!I225"")+IMPORTRANGE(""https://docs.google.com/spreadsheets/d/17HrOaa5pBUI1onckFfumXB8xlg35qb2uBAFfF1D-Myo/edit?usp=shar"&amp;"e_link"",""สุโขทัย!I225"")+IMPORTRANGE(""https://docs.google.com/spreadsheets/d/1ubs5cl16eYL9gHbdHTJtmtYb9MGzHBs7CAphn8kNCgM/edit?usp=share_link"",""อุตรดิตถ์!I225"")+IMPORTRANGE(""https://docs.google.com/spreadsheets/d/1kII0BjS6CtVrBvI8IrytgPdxDrlyQDyigz"&amp;"MsohRtDMs/edit?usp=share_link"",""อุทัยธานี!I225"")
"),40)</f>
        <v>40</v>
      </c>
      <c r="J225" s="183">
        <f ca="1">IFERROR(__xludf.DUMMYFUNCTION("IMPORTRANGE(""https://docs.google.com/spreadsheets/d/1KxicF4apzSqm0-jIpmueT4kyZtE-Cwn5zskl7GD4loQ/edit?usp=share_link"",""กำแพงเพชร!J225"")+IMPORTRANGE(""https://docs.google.com/spreadsheets/d/1ZNYWeiFoFA1K1U4xKWqRX29MBvEyRHXORjo734Gnq_c/edit?usp=share_li"&amp;"nk"",""เชียงราย!J225"")
+IMPORTRANGE(""https://docs.google.com/spreadsheets/d/1Jgv0Y7YlHDtsiDawwp-uvifEJ8HVaSn0k2aGHG8-hwM/edit?usp=share_link"",""เชียงใหม่!J225"")+IMPORTRANGE(""https://docs.google.com/spreadsheets/d/1JWG2rZePOz9pe-f-ObA-yDr0VoOX2kSb0qIi"&amp;"x2mTUo8/edit?usp=share_link"",""ตาก!J225"")+IMPORTRANGE(""https://docs.google.com/spreadsheets/d/10nSRjK08hx8Y6HgSOQKNw81lyY46Zc7U_Cj72hBMp9U/edit?usp=share_link"",""นครสวรรค์!J225"")+IMPORTRANGE(""https://docs.google.com/spreadsheets/d/1gFVb7qd7amutrIxAA"&amp;"oM7lcy35hllxznovot8lyOfvDo/edit?usp=share_link"",""น่าน!J225"")+IMPORTRANGE(""https://docs.google.com/spreadsheets/d/1K0Aa9s-6EuHE5M0FG1F9aHLXRCOV917xvycTdLdct0w/edit?usp=share_link"",""พะเยา!J225"")+IMPORTRANGE(""https://docs.google.com/spreadsheets/d/1Y"&amp;"9LPKx95PyL5OKy09d-KbKJSuuEZCFdkhYjwC0XQjBA/edit?usp=share_link"",""พิจิตร!J225"")+IMPORTRANGE(""https://docs.google.com/spreadsheets/d/16OMuOwy2eVqZcYWOouQtTpa8X1L23h4660uVHc0C8os/edit?usp=share_link"",""พิษณุโลก!J225"")+IMPORTRANGE(""https://docs.google."&amp;"com/spreadsheets/d/1GfgTldLG6k77HXaMQzaafODklYuucJZQNs_GAPEfZyY/edit?usp=share_link"",""เพชรบูรณ์!J225"")+IMPORTRANGE(""https://docs.google.com/spreadsheets/d/1gvTMYAnm7v1yG1BKWFtr0DnaTsq59oW9dwWvFgq6hs0/edit?usp=share_link"",""แพร่!J225"")+IMPORTRANGE("""&amp;"https://docs.google.com/spreadsheets/d/1Wbcosgy-Xa1xXUArJSOenub6EfZHUSzc_bpJFWwQUf0/edit?usp=share_link"",""แม่ฮ่องสอน!J225"")+IMPORTRANGE(""https://docs.google.com/spreadsheets/d/1p7ERhsr0qZeSn-KSOdeHS9r0heI-lHtkcn2OH7hP0jQ/edit?usp=share_link"",""ลำปาง!"&amp;"J225"")+IMPORTRANGE(""https://docs.google.com/spreadsheets/d/1-uUXvimVhiU2U0bMN-xi2te0tS4X7DI2GLPnMjzl8cA/edit?usp=share_link"",""ลำพูน!J225"")+IMPORTRANGE(""https://docs.google.com/spreadsheets/d/17HrOaa5pBUI1onckFfumXB8xlg35qb2uBAFfF1D-Myo/edit?usp=shar"&amp;"e_link"",""สุโขทัย!J225"")+IMPORTRANGE(""https://docs.google.com/spreadsheets/d/1ubs5cl16eYL9gHbdHTJtmtYb9MGzHBs7CAphn8kNCgM/edit?usp=share_link"",""อุตรดิตถ์!J225"")+IMPORTRANGE(""https://docs.google.com/spreadsheets/d/1kII0BjS6CtVrBvI8IrytgPdxDrlyQDyigz"&amp;"MsohRtDMs/edit?usp=share_link"",""อุทัยธานี!J225"")
"),30)</f>
        <v>30</v>
      </c>
      <c r="K225" s="163">
        <f t="shared" ca="1" si="126"/>
        <v>75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7">I237+I248</f>
        <v>320</v>
      </c>
      <c r="J226" s="299">
        <f t="shared" ca="1" si="127"/>
        <v>270</v>
      </c>
      <c r="K226" s="300">
        <f t="shared" ca="1" si="126"/>
        <v>84.375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19.5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8">L238+L249</f>
        <v>1907530</v>
      </c>
      <c r="M227" s="311"/>
      <c r="N227" s="311">
        <f t="shared" ref="N227:N231" ca="1" si="129">N238+N249</f>
        <v>3778376.03</v>
      </c>
      <c r="O227" s="312"/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18.75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8"/>
        <v>1098900</v>
      </c>
      <c r="M228" s="322"/>
      <c r="N228" s="322">
        <f t="shared" ca="1" si="129"/>
        <v>429748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19.5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8"/>
        <v>553630</v>
      </c>
      <c r="M229" s="322"/>
      <c r="N229" s="322">
        <f t="shared" ca="1" si="129"/>
        <v>461542.27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19.5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8"/>
        <v>85000</v>
      </c>
      <c r="M230" s="322"/>
      <c r="N230" s="322">
        <f t="shared" ca="1" si="129"/>
        <v>2887085.76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19.5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8"/>
        <v>170000</v>
      </c>
      <c r="M231" s="322"/>
      <c r="N231" s="322">
        <f t="shared" ca="1" si="129"/>
        <v>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19.5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18.75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30">I244+I255</f>
        <v>320</v>
      </c>
      <c r="J233" s="326">
        <f t="shared" ca="1" si="130"/>
        <v>270</v>
      </c>
      <c r="K233" s="322">
        <f ca="1">IF(I233&gt;0,J233*100/I233,0)</f>
        <v>84.375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18.75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18.75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1">I246+I257</f>
        <v>120</v>
      </c>
      <c r="J235" s="326">
        <f t="shared" ca="1" si="131"/>
        <v>0</v>
      </c>
      <c r="K235" s="322">
        <f t="shared" ref="K235:K237" ca="1" si="132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18.75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3">I247+I258</f>
        <v>9</v>
      </c>
      <c r="J236" s="326">
        <f t="shared" ca="1" si="133"/>
        <v>0</v>
      </c>
      <c r="K236" s="322">
        <f t="shared" ca="1" si="132"/>
        <v>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19.5" hidden="1">
      <c r="A237" s="256"/>
      <c r="B237" s="264"/>
      <c r="C237" s="340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34">I244</f>
        <v>280</v>
      </c>
      <c r="J237" s="272">
        <f t="shared" ca="1" si="134"/>
        <v>230</v>
      </c>
      <c r="K237" s="273">
        <f t="shared" ca="1" si="132"/>
        <v>82.142857142857139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150" t="s">
        <v>17</v>
      </c>
      <c r="E238" s="148"/>
      <c r="F238" s="148"/>
      <c r="G238" s="151"/>
      <c r="H238" s="275" t="s">
        <v>12</v>
      </c>
      <c r="I238" s="279"/>
      <c r="J238" s="279"/>
      <c r="K238" s="280"/>
      <c r="L238" s="155">
        <f ca="1">L239+L240+L241+L242</f>
        <v>1629930</v>
      </c>
      <c r="M238" s="155"/>
      <c r="N238" s="155">
        <f ca="1">N239+N240+N241+N242</f>
        <v>794380.27</v>
      </c>
      <c r="O238" s="155">
        <f ca="1">IF(L238&gt;0,N238*100/L238,0)</f>
        <v>48.737078892958593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17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KxicF4apzSqm0-jIpmueT4kyZtE-Cwn5zskl7GD4loQ/edit?usp=share_link"",""กำแพงเพชร!l239"")+IMPORTRANGE(""https://docs.google.com/spreadsheets/d/1ZNYWeiFoFA1K1U4xKWqRX29MBvEyRHXORjo734Gnq_c/edit?usp=share_li"&amp;"nk"",""เชียงราย!l239"")
+IMPORTRANGE(""https://docs.google.com/spreadsheets/d/1Jgv0Y7YlHDtsiDawwp-uvifEJ8HVaSn0k2aGHG8-hwM/edit?usp=share_link"",""เชียงใหม่!l239"")+IMPORTRANGE(""https://docs.google.com/spreadsheets/d/1JWG2rZePOz9pe-f-ObA-yDr0VoOX2kSb0qIi"&amp;"x2mTUo8/edit?usp=share_link"",""ตาก!l239"")+IMPORTRANGE(""https://docs.google.com/spreadsheets/d/10nSRjK08hx8Y6HgSOQKNw81lyY46Zc7U_Cj72hBMp9U/edit?usp=share_link"",""นครสวรรค์!l239"")+IMPORTRANGE(""https://docs.google.com/spreadsheets/d/1gFVb7qd7amutrIxAA"&amp;"oM7lcy35hllxznovot8lyOfvDo/edit?usp=share_link"",""น่าน!l239"")+IMPORTRANGE(""https://docs.google.com/spreadsheets/d/1K0Aa9s-6EuHE5M0FG1F9aHLXRCOV917xvycTdLdct0w/edit?usp=share_link"",""พะเยา!l239"")+IMPORTRANGE(""https://docs.google.com/spreadsheets/d/1Y"&amp;"9LPKx95PyL5OKy09d-KbKJSuuEZCFdkhYjwC0XQjBA/edit?usp=share_link"",""พิจิตร!l239"")+IMPORTRANGE(""https://docs.google.com/spreadsheets/d/16OMuOwy2eVqZcYWOouQtTpa8X1L23h4660uVHc0C8os/edit?usp=share_link"",""พิษณุโลก!l239"")+IMPORTRANGE(""https://docs.google."&amp;"com/spreadsheets/d/1GfgTldLG6k77HXaMQzaafODklYuucJZQNs_GAPEfZyY/edit?usp=share_link"",""เพชรบูรณ์!l239"")+IMPORTRANGE(""https://docs.google.com/spreadsheets/d/1gvTMYAnm7v1yG1BKWFtr0DnaTsq59oW9dwWvFgq6hs0/edit?usp=share_link"",""แพร่!l239"")+IMPORTRANGE("""&amp;"https://docs.google.com/spreadsheets/d/1Wbcosgy-Xa1xXUArJSOenub6EfZHUSzc_bpJFWwQUf0/edit?usp=share_link"",""แม่ฮ่องสอน!l239"")+IMPORTRANGE(""https://docs.google.com/spreadsheets/d/1p7ERhsr0qZeSn-KSOdeHS9r0heI-lHtkcn2OH7hP0jQ/edit?usp=share_link"",""ลำปาง!"&amp;"l239"")+IMPORTRANGE(""https://docs.google.com/spreadsheets/d/1-uUXvimVhiU2U0bMN-xi2te0tS4X7DI2GLPnMjzl8cA/edit?usp=share_link"",""ลำพูน!l239"")+IMPORTRANGE(""https://docs.google.com/spreadsheets/d/17HrOaa5pBUI1onckFfumXB8xlg35qb2uBAFfF1D-Myo/edit?usp=shar"&amp;"e_link"",""สุโขทัย!l239"")+IMPORTRANGE(""https://docs.google.com/spreadsheets/d/1ubs5cl16eYL9gHbdHTJtmtYb9MGzHBs7CAphn8kNCgM/edit?usp=share_link"",""อุตรดิตถ์!l239"")+IMPORTRANGE(""https://docs.google.com/spreadsheets/d/1kII0BjS6CtVrBvI8IrytgPdxDrlyQDyigz"&amp;"MsohRtDMs/edit?usp=share_link"",""อุทัยธานี!l239"")
"),933900)</f>
        <v>933900</v>
      </c>
      <c r="M239" s="322"/>
      <c r="N239" s="341">
        <f ca="1">IFERROR(__xludf.DUMMYFUNCTION("IMPORTRANGE(""https://docs.google.com/spreadsheets/d/1KxicF4apzSqm0-jIpmueT4kyZtE-Cwn5zskl7GD4loQ/edit?usp=share_link"",""กำแพงเพชร!n239"")+IMPORTRANGE(""https://docs.google.com/spreadsheets/d/1ZNYWeiFoFA1K1U4xKWqRX29MBvEyRHXORjo734Gnq_c/edit?usp=share_li"&amp;"nk"",""เชียงราย!n239"")
+IMPORTRANGE(""https://docs.google.com/spreadsheets/d/1Jgv0Y7YlHDtsiDawwp-uvifEJ8HVaSn0k2aGHG8-hwM/edit?usp=share_link"",""เชียงใหม่!n239"")+IMPORTRANGE(""https://docs.google.com/spreadsheets/d/1JWG2rZePOz9pe-f-ObA-yDr0VoOX2kSb0qIi"&amp;"x2mTUo8/edit?usp=share_link"",""ตาก!n239"")+IMPORTRANGE(""https://docs.google.com/spreadsheets/d/10nSRjK08hx8Y6HgSOQKNw81lyY46Zc7U_Cj72hBMp9U/edit?usp=share_link"",""นครสวรรค์!n239"")+IMPORTRANGE(""https://docs.google.com/spreadsheets/d/1gFVb7qd7amutrIxAA"&amp;"oM7lcy35hllxznovot8lyOfvDo/edit?usp=share_link"",""น่าน!n239"")+IMPORTRANGE(""https://docs.google.com/spreadsheets/d/1K0Aa9s-6EuHE5M0FG1F9aHLXRCOV917xvycTdLdct0w/edit?usp=share_link"",""พะเยา!n239"")+IMPORTRANGE(""https://docs.google.com/spreadsheets/d/1Y"&amp;"9LPKx95PyL5OKy09d-KbKJSuuEZCFdkhYjwC0XQjBA/edit?usp=share_link"",""พิจิตร!n239"")+IMPORTRANGE(""https://docs.google.com/spreadsheets/d/16OMuOwy2eVqZcYWOouQtTpa8X1L23h4660uVHc0C8os/edit?usp=share_link"",""พิษณุโลก!n239"")+IMPORTRANGE(""https://docs.google."&amp;"com/spreadsheets/d/1GfgTldLG6k77HXaMQzaafODklYuucJZQNs_GAPEfZyY/edit?usp=share_link"",""เพชรบูรณ์!n239"")+IMPORTRANGE(""https://docs.google.com/spreadsheets/d/1gvTMYAnm7v1yG1BKWFtr0DnaTsq59oW9dwWvFgq6hs0/edit?usp=share_link"",""แพร่!n239"")+IMPORTRANGE("""&amp;"https://docs.google.com/spreadsheets/d/1Wbcosgy-Xa1xXUArJSOenub6EfZHUSzc_bpJFWwQUf0/edit?usp=share_link"",""แม่ฮ่องสอน!n239"")+IMPORTRANGE(""https://docs.google.com/spreadsheets/d/1p7ERhsr0qZeSn-KSOdeHS9r0heI-lHtkcn2OH7hP0jQ/edit?usp=share_link"",""ลำปาง!"&amp;"n239"")+IMPORTRANGE(""https://docs.google.com/spreadsheets/d/1-uUXvimVhiU2U0bMN-xi2te0tS4X7DI2GLPnMjzl8cA/edit?usp=share_link"",""ลำพูน!n239"")+IMPORTRANGE(""https://docs.google.com/spreadsheets/d/17HrOaa5pBUI1onckFfumXB8xlg35qb2uBAFfF1D-Myo/edit?usp=shar"&amp;"e_link"",""สุโขทัย!n239"")+IMPORTRANGE(""https://docs.google.com/spreadsheets/d/1ubs5cl16eYL9gHbdHTJtmtYb9MGzHBs7CAphn8kNCgM/edit?usp=share_link"",""อุตรดิตถ์!n239"")+IMPORTRANGE(""https://docs.google.com/spreadsheets/d/1kII0BjS6CtVrBvI8IrytgPdxDrlyQDyigz"&amp;"MsohRtDMs/edit?usp=share_link"",""อุทัยธานี!n239"")
"),367208)</f>
        <v>367208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KxicF4apzSqm0-jIpmueT4kyZtE-Cwn5zskl7GD4loQ/edit?usp=share_link"",""กำแพงเพชร!l240"")+IMPORTRANGE(""https://docs.google.com/spreadsheets/d/1ZNYWeiFoFA1K1U4xKWqRX29MBvEyRHXORjo734Gnq_c/edit?usp=share_li"&amp;"nk"",""เชียงราย!l240"")
+IMPORTRANGE(""https://docs.google.com/spreadsheets/d/1Jgv0Y7YlHDtsiDawwp-uvifEJ8HVaSn0k2aGHG8-hwM/edit?usp=share_link"",""เชียงใหม่!l240"")+IMPORTRANGE(""https://docs.google.com/spreadsheets/d/1JWG2rZePOz9pe-f-ObA-yDr0VoOX2kSb0qIi"&amp;"x2mTUo8/edit?usp=share_link"",""ตาก!l240"")+IMPORTRANGE(""https://docs.google.com/spreadsheets/d/10nSRjK08hx8Y6HgSOQKNw81lyY46Zc7U_Cj72hBMp9U/edit?usp=share_link"",""นครสวรรค์!l240"")+IMPORTRANGE(""https://docs.google.com/spreadsheets/d/1gFVb7qd7amutrIxAA"&amp;"oM7lcy35hllxznovot8lyOfvDo/edit?usp=share_link"",""น่าน!l240"")+IMPORTRANGE(""https://docs.google.com/spreadsheets/d/1K0Aa9s-6EuHE5M0FG1F9aHLXRCOV917xvycTdLdct0w/edit?usp=share_link"",""พะเยา!l240"")+IMPORTRANGE(""https://docs.google.com/spreadsheets/d/1Y"&amp;"9LPKx95PyL5OKy09d-KbKJSuuEZCFdkhYjwC0XQjBA/edit?usp=share_link"",""พิจิตร!l240"")+IMPORTRANGE(""https://docs.google.com/spreadsheets/d/16OMuOwy2eVqZcYWOouQtTpa8X1L23h4660uVHc0C8os/edit?usp=share_link"",""พิษณุโลก!l240"")+IMPORTRANGE(""https://docs.google."&amp;"com/spreadsheets/d/1GfgTldLG6k77HXaMQzaafODklYuucJZQNs_GAPEfZyY/edit?usp=share_link"",""เพชรบูรณ์!l240"")+IMPORTRANGE(""https://docs.google.com/spreadsheets/d/1gvTMYAnm7v1yG1BKWFtr0DnaTsq59oW9dwWvFgq6hs0/edit?usp=share_link"",""แพร่!l240"")+IMPORTRANGE("""&amp;"https://docs.google.com/spreadsheets/d/1Wbcosgy-Xa1xXUArJSOenub6EfZHUSzc_bpJFWwQUf0/edit?usp=share_link"",""แม่ฮ่องสอน!l240"")+IMPORTRANGE(""https://docs.google.com/spreadsheets/d/1p7ERhsr0qZeSn-KSOdeHS9r0heI-lHtkcn2OH7hP0jQ/edit?usp=share_link"",""ลำปาง!"&amp;"l240"")+IMPORTRANGE(""https://docs.google.com/spreadsheets/d/1-uUXvimVhiU2U0bMN-xi2te0tS4X7DI2GLPnMjzl8cA/edit?usp=share_link"",""ลำพูน!l240"")+IMPORTRANGE(""https://docs.google.com/spreadsheets/d/17HrOaa5pBUI1onckFfumXB8xlg35qb2uBAFfF1D-Myo/edit?usp=shar"&amp;"e_link"",""สุโขทัย!l240"")+IMPORTRANGE(""https://docs.google.com/spreadsheets/d/1ubs5cl16eYL9gHbdHTJtmtYb9MGzHBs7CAphn8kNCgM/edit?usp=share_link"",""อุตรดิตถ์!l240"")+IMPORTRANGE(""https://docs.google.com/spreadsheets/d/1kII0BjS6CtVrBvI8IrytgPdxDrlyQDyigz"&amp;"MsohRtDMs/edit?usp=share_link"",""อุทัยธานี!l240"")
"),496030)</f>
        <v>496030</v>
      </c>
      <c r="M240" s="322"/>
      <c r="N240" s="341">
        <f ca="1">IFERROR(__xludf.DUMMYFUNCTION("IMPORTRANGE(""https://docs.google.com/spreadsheets/d/1KxicF4apzSqm0-jIpmueT4kyZtE-Cwn5zskl7GD4loQ/edit?usp=share_link"",""กำแพงเพชร!n240"")+IMPORTRANGE(""https://docs.google.com/spreadsheets/d/1ZNYWeiFoFA1K1U4xKWqRX29MBvEyRHXORjo734Gnq_c/edit?usp=share_li"&amp;"nk"",""เชียงราย!n240"")
+IMPORTRANGE(""https://docs.google.com/spreadsheets/d/1Jgv0Y7YlHDtsiDawwp-uvifEJ8HVaSn0k2aGHG8-hwM/edit?usp=share_link"",""เชียงใหม่!n240"")+IMPORTRANGE(""https://docs.google.com/spreadsheets/d/1JWG2rZePOz9pe-f-ObA-yDr0VoOX2kSb0qIi"&amp;"x2mTUo8/edit?usp=share_link"",""ตาก!n240"")+IMPORTRANGE(""https://docs.google.com/spreadsheets/d/10nSRjK08hx8Y6HgSOQKNw81lyY46Zc7U_Cj72hBMp9U/edit?usp=share_link"",""นครสวรรค์!n240"")+IMPORTRANGE(""https://docs.google.com/spreadsheets/d/1gFVb7qd7amutrIxAA"&amp;"oM7lcy35hllxznovot8lyOfvDo/edit?usp=share_link"",""น่าน!n240"")+IMPORTRANGE(""https://docs.google.com/spreadsheets/d/1K0Aa9s-6EuHE5M0FG1F9aHLXRCOV917xvycTdLdct0w/edit?usp=share_link"",""พะเยา!n240"")+IMPORTRANGE(""https://docs.google.com/spreadsheets/d/1Y"&amp;"9LPKx95PyL5OKy09d-KbKJSuuEZCFdkhYjwC0XQjBA/edit?usp=share_link"",""พิจิตร!n240"")+IMPORTRANGE(""https://docs.google.com/spreadsheets/d/16OMuOwy2eVqZcYWOouQtTpa8X1L23h4660uVHc0C8os/edit?usp=share_link"",""พิษณุโลก!n240"")+IMPORTRANGE(""https://docs.google."&amp;"com/spreadsheets/d/1GfgTldLG6k77HXaMQzaafODklYuucJZQNs_GAPEfZyY/edit?usp=share_link"",""เพชรบูรณ์!n240"")+IMPORTRANGE(""https://docs.google.com/spreadsheets/d/1gvTMYAnm7v1yG1BKWFtr0DnaTsq59oW9dwWvFgq6hs0/edit?usp=share_link"",""แพร่!n240"")+IMPORTRANGE("""&amp;"https://docs.google.com/spreadsheets/d/1Wbcosgy-Xa1xXUArJSOenub6EfZHUSzc_bpJFWwQUf0/edit?usp=share_link"",""แม่ฮ่องสอน!n240"")+IMPORTRANGE(""https://docs.google.com/spreadsheets/d/1p7ERhsr0qZeSn-KSOdeHS9r0heI-lHtkcn2OH7hP0jQ/edit?usp=share_link"",""ลำปาง!"&amp;"n240"")+IMPORTRANGE(""https://docs.google.com/spreadsheets/d/1-uUXvimVhiU2U0bMN-xi2te0tS4X7DI2GLPnMjzl8cA/edit?usp=share_link"",""ลำพูน!n240"")+IMPORTRANGE(""https://docs.google.com/spreadsheets/d/17HrOaa5pBUI1onckFfumXB8xlg35qb2uBAFfF1D-Myo/edit?usp=shar"&amp;"e_link"",""สุโขทัย!n240"")+IMPORTRANGE(""https://docs.google.com/spreadsheets/d/1ubs5cl16eYL9gHbdHTJtmtYb9MGzHBs7CAphn8kNCgM/edit?usp=share_link"",""อุตรดิตถ์!n240"")+IMPORTRANGE(""https://docs.google.com/spreadsheets/d/1kII0BjS6CtVrBvI8IrytgPdxDrlyQDyigz"&amp;"MsohRtDMs/edit?usp=share_link"",""อุทัยธานี!n240"")
"),427172.27)</f>
        <v>427172.27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KxicF4apzSqm0-jIpmueT4kyZtE-Cwn5zskl7GD4loQ/edit?usp=share_link"",""กำแพงเพชร!l241"")+IMPORTRANGE(""https://docs.google.com/spreadsheets/d/1ZNYWeiFoFA1K1U4xKWqRX29MBvEyRHXORjo734Gnq_c/edit?usp=share_li"&amp;"nk"",""เชียงราย!l241"")
+IMPORTRANGE(""https://docs.google.com/spreadsheets/d/1Jgv0Y7YlHDtsiDawwp-uvifEJ8HVaSn0k2aGHG8-hwM/edit?usp=share_link"",""เชียงใหม่!l241"")+IMPORTRANGE(""https://docs.google.com/spreadsheets/d/1JWG2rZePOz9pe-f-ObA-yDr0VoOX2kSb0qIi"&amp;"x2mTUo8/edit?usp=share_link"",""ตาก!l241"")+IMPORTRANGE(""https://docs.google.com/spreadsheets/d/10nSRjK08hx8Y6HgSOQKNw81lyY46Zc7U_Cj72hBMp9U/edit?usp=share_link"",""นครสวรรค์!l241"")+IMPORTRANGE(""https://docs.google.com/spreadsheets/d/1gFVb7qd7amutrIxAA"&amp;"oM7lcy35hllxznovot8lyOfvDo/edit?usp=share_link"",""น่าน!l241"")+IMPORTRANGE(""https://docs.google.com/spreadsheets/d/1K0Aa9s-6EuHE5M0FG1F9aHLXRCOV917xvycTdLdct0w/edit?usp=share_link"",""พะเยา!l241"")+IMPORTRANGE(""https://docs.google.com/spreadsheets/d/1Y"&amp;"9LPKx95PyL5OKy09d-KbKJSuuEZCFdkhYjwC0XQjBA/edit?usp=share_link"",""พิจิตร!l241"")+IMPORTRANGE(""https://docs.google.com/spreadsheets/d/16OMuOwy2eVqZcYWOouQtTpa8X1L23h4660uVHc0C8os/edit?usp=share_link"",""พิษณุโลก!l241"")+IMPORTRANGE(""https://docs.google."&amp;"com/spreadsheets/d/1GfgTldLG6k77HXaMQzaafODklYuucJZQNs_GAPEfZyY/edit?usp=share_link"",""เพชรบูรณ์!l241"")+IMPORTRANGE(""https://docs.google.com/spreadsheets/d/1gvTMYAnm7v1yG1BKWFtr0DnaTsq59oW9dwWvFgq6hs0/edit?usp=share_link"",""แพร่!l241"")+IMPORTRANGE("""&amp;"https://docs.google.com/spreadsheets/d/1Wbcosgy-Xa1xXUArJSOenub6EfZHUSzc_bpJFWwQUf0/edit?usp=share_link"",""แม่ฮ่องสอน!l241"")+IMPORTRANGE(""https://docs.google.com/spreadsheets/d/1p7ERhsr0qZeSn-KSOdeHS9r0heI-lHtkcn2OH7hP0jQ/edit?usp=share_link"",""ลำปาง!"&amp;"l241"")+IMPORTRANGE(""https://docs.google.com/spreadsheets/d/1-uUXvimVhiU2U0bMN-xi2te0tS4X7DI2GLPnMjzl8cA/edit?usp=share_link"",""ลำพูน!l241"")+IMPORTRANGE(""https://docs.google.com/spreadsheets/d/17HrOaa5pBUI1onckFfumXB8xlg35qb2uBAFfF1D-Myo/edit?usp=shar"&amp;"e_link"",""สุโขทัย!l241"")+IMPORTRANGE(""https://docs.google.com/spreadsheets/d/1ubs5cl16eYL9gHbdHTJtmtYb9MGzHBs7CAphn8kNCgM/edit?usp=share_link"",""อุตรดิตถ์!l241"")+IMPORTRANGE(""https://docs.google.com/spreadsheets/d/1kII0BjS6CtVrBvI8IrytgPdxDrlyQDyigz"&amp;"MsohRtDMs/edit?usp=share_link"",""อุทัยธานี!l241"")
"),40000)</f>
        <v>40000</v>
      </c>
      <c r="M241" s="322"/>
      <c r="N241" s="341">
        <f ca="1">IFERROR(__xludf.DUMMYFUNCTION("IMPORTRANGE(""https://docs.google.com/spreadsheets/d/1KxicF4apzSqm0-jIpmueT4kyZtE-Cwn5zskl7GD4loQ/edit?usp=share_link"",""กำแพงเพชร!n241"")+IMPORTRANGE(""https://docs.google.com/spreadsheets/d/1ZNYWeiFoFA1K1U4xKWqRX29MBvEyRHXORjo734Gnq_c/edit?usp=share_li"&amp;"nk"",""เชียงราย!n241"")
+IMPORTRANGE(""https://docs.google.com/spreadsheets/d/1Jgv0Y7YlHDtsiDawwp-uvifEJ8HVaSn0k2aGHG8-hwM/edit?usp=share_link"",""เชียงใหม่!n241"")+IMPORTRANGE(""https://docs.google.com/spreadsheets/d/1JWG2rZePOz9pe-f-ObA-yDr0VoOX2kSb0qIi"&amp;"x2mTUo8/edit?usp=share_link"",""ตาก!n241"")+IMPORTRANGE(""https://docs.google.com/spreadsheets/d/10nSRjK08hx8Y6HgSOQKNw81lyY46Zc7U_Cj72hBMp9U/edit?usp=share_link"",""นครสวรรค์!n241"")+IMPORTRANGE(""https://docs.google.com/spreadsheets/d/1gFVb7qd7amutrIxAA"&amp;"oM7lcy35hllxznovot8lyOfvDo/edit?usp=share_link"",""น่าน!n241"")+IMPORTRANGE(""https://docs.google.com/spreadsheets/d/1K0Aa9s-6EuHE5M0FG1F9aHLXRCOV917xvycTdLdct0w/edit?usp=share_link"",""พะเยา!n241"")+IMPORTRANGE(""https://docs.google.com/spreadsheets/d/1Y"&amp;"9LPKx95PyL5OKy09d-KbKJSuuEZCFdkhYjwC0XQjBA/edit?usp=share_link"",""พิจิตร!n241"")+IMPORTRANGE(""https://docs.google.com/spreadsheets/d/16OMuOwy2eVqZcYWOouQtTpa8X1L23h4660uVHc0C8os/edit?usp=share_link"",""พิษณุโลก!n241"")+IMPORTRANGE(""https://docs.google."&amp;"com/spreadsheets/d/1GfgTldLG6k77HXaMQzaafODklYuucJZQNs_GAPEfZyY/edit?usp=share_link"",""เพชรบูรณ์!n241"")+IMPORTRANGE(""https://docs.google.com/spreadsheets/d/1gvTMYAnm7v1yG1BKWFtr0DnaTsq59oW9dwWvFgq6hs0/edit?usp=share_link"",""แพร่!n241"")+IMPORTRANGE("""&amp;"https://docs.google.com/spreadsheets/d/1Wbcosgy-Xa1xXUArJSOenub6EfZHUSzc_bpJFWwQUf0/edit?usp=share_link"",""แม่ฮ่องสอน!n241"")+IMPORTRANGE(""https://docs.google.com/spreadsheets/d/1p7ERhsr0qZeSn-KSOdeHS9r0heI-lHtkcn2OH7hP0jQ/edit?usp=share_link"",""ลำปาง!"&amp;"n241"")+IMPORTRANGE(""https://docs.google.com/spreadsheets/d/1-uUXvimVhiU2U0bMN-xi2te0tS4X7DI2GLPnMjzl8cA/edit?usp=share_link"",""ลำพูน!n241"")+IMPORTRANGE(""https://docs.google.com/spreadsheets/d/17HrOaa5pBUI1onckFfumXB8xlg35qb2uBAFfF1D-Myo/edit?usp=shar"&amp;"e_link"",""สุโขทัย!n241"")+IMPORTRANGE(""https://docs.google.com/spreadsheets/d/1ubs5cl16eYL9gHbdHTJtmtYb9MGzHBs7CAphn8kNCgM/edit?usp=share_link"",""อุตรดิตถ์!n241"")+IMPORTRANGE(""https://docs.google.com/spreadsheets/d/1kII0BjS6CtVrBvI8IrytgPdxDrlyQDyigz"&amp;"MsohRtDMs/edit?usp=share_link"",""อุทัยธานี!n241"")
"),0)</f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KxicF4apzSqm0-jIpmueT4kyZtE-Cwn5zskl7GD4loQ/edit?usp=share_link"",""กำแพงเพชร!l242"")+IMPORTRANGE(""https://docs.google.com/spreadsheets/d/1ZNYWeiFoFA1K1U4xKWqRX29MBvEyRHXORjo734Gnq_c/edit?usp=share_li"&amp;"nk"",""เชียงราย!l242"")
+IMPORTRANGE(""https://docs.google.com/spreadsheets/d/1Jgv0Y7YlHDtsiDawwp-uvifEJ8HVaSn0k2aGHG8-hwM/edit?usp=share_link"",""เชียงใหม่!l242"")+IMPORTRANGE(""https://docs.google.com/spreadsheets/d/1JWG2rZePOz9pe-f-ObA-yDr0VoOX2kSb0qIi"&amp;"x2mTUo8/edit?usp=share_link"",""ตาก!l242"")+IMPORTRANGE(""https://docs.google.com/spreadsheets/d/10nSRjK08hx8Y6HgSOQKNw81lyY46Zc7U_Cj72hBMp9U/edit?usp=share_link"",""นครสวรรค์!l242"")+IMPORTRANGE(""https://docs.google.com/spreadsheets/d/1gFVb7qd7amutrIxAA"&amp;"oM7lcy35hllxznovot8lyOfvDo/edit?usp=share_link"",""น่าน!l242"")+IMPORTRANGE(""https://docs.google.com/spreadsheets/d/1K0Aa9s-6EuHE5M0FG1F9aHLXRCOV917xvycTdLdct0w/edit?usp=share_link"",""พะเยา!l242"")+IMPORTRANGE(""https://docs.google.com/spreadsheets/d/1Y"&amp;"9LPKx95PyL5OKy09d-KbKJSuuEZCFdkhYjwC0XQjBA/edit?usp=share_link"",""พิจิตร!l242"")+IMPORTRANGE(""https://docs.google.com/spreadsheets/d/16OMuOwy2eVqZcYWOouQtTpa8X1L23h4660uVHc0C8os/edit?usp=share_link"",""พิษณุโลก!l242"")+IMPORTRANGE(""https://docs.google."&amp;"com/spreadsheets/d/1GfgTldLG6k77HXaMQzaafODklYuucJZQNs_GAPEfZyY/edit?usp=share_link"",""เพชรบูรณ์!l242"")+IMPORTRANGE(""https://docs.google.com/spreadsheets/d/1gvTMYAnm7v1yG1BKWFtr0DnaTsq59oW9dwWvFgq6hs0/edit?usp=share_link"",""แพร่!l242"")+IMPORTRANGE("""&amp;"https://docs.google.com/spreadsheets/d/1Wbcosgy-Xa1xXUArJSOenub6EfZHUSzc_bpJFWwQUf0/edit?usp=share_link"",""แม่ฮ่องสอน!l242"")+IMPORTRANGE(""https://docs.google.com/spreadsheets/d/1p7ERhsr0qZeSn-KSOdeHS9r0heI-lHtkcn2OH7hP0jQ/edit?usp=share_link"",""ลำปาง!"&amp;"l242"")+IMPORTRANGE(""https://docs.google.com/spreadsheets/d/1-uUXvimVhiU2U0bMN-xi2te0tS4X7DI2GLPnMjzl8cA/edit?usp=share_link"",""ลำพูน!l242"")+IMPORTRANGE(""https://docs.google.com/spreadsheets/d/17HrOaa5pBUI1onckFfumXB8xlg35qb2uBAFfF1D-Myo/edit?usp=shar"&amp;"e_link"",""สุโขทัย!l242"")+IMPORTRANGE(""https://docs.google.com/spreadsheets/d/1ubs5cl16eYL9gHbdHTJtmtYb9MGzHBs7CAphn8kNCgM/edit?usp=share_link"",""อุตรดิตถ์!l242"")+IMPORTRANGE(""https://docs.google.com/spreadsheets/d/1kII0BjS6CtVrBvI8IrytgPdxDrlyQDyigz"&amp;"MsohRtDMs/edit?usp=share_link"",""อุทัยธานี!l242"")
"),160000)</f>
        <v>160000</v>
      </c>
      <c r="M242" s="322"/>
      <c r="N242" s="341">
        <f ca="1">IFERROR(__xludf.DUMMYFUNCTION("IMPORTRANGE(""https://docs.google.com/spreadsheets/d/1KxicF4apzSqm0-jIpmueT4kyZtE-Cwn5zskl7GD4loQ/edit?usp=share_link"",""กำแพงเพชร!n242"")+IMPORTRANGE(""https://docs.google.com/spreadsheets/d/1ZNYWeiFoFA1K1U4xKWqRX29MBvEyRHXORjo734Gnq_c/edit?usp=share_li"&amp;"nk"",""เชียงราย!n242"")
+IMPORTRANGE(""https://docs.google.com/spreadsheets/d/1Jgv0Y7YlHDtsiDawwp-uvifEJ8HVaSn0k2aGHG8-hwM/edit?usp=share_link"",""เชียงใหม่!n242"")+IMPORTRANGE(""https://docs.google.com/spreadsheets/d/1JWG2rZePOz9pe-f-ObA-yDr0VoOX2kSb0qIi"&amp;"x2mTUo8/edit?usp=share_link"",""ตาก!n242"")+IMPORTRANGE(""https://docs.google.com/spreadsheets/d/10nSRjK08hx8Y6HgSOQKNw81lyY46Zc7U_Cj72hBMp9U/edit?usp=share_link"",""นครสวรรค์!n242"")+IMPORTRANGE(""https://docs.google.com/spreadsheets/d/1gFVb7qd7amutrIxAA"&amp;"oM7lcy35hllxznovot8lyOfvDo/edit?usp=share_link"",""น่าน!n242"")+IMPORTRANGE(""https://docs.google.com/spreadsheets/d/1K0Aa9s-6EuHE5M0FG1F9aHLXRCOV917xvycTdLdct0w/edit?usp=share_link"",""พะเยา!n242"")+IMPORTRANGE(""https://docs.google.com/spreadsheets/d/1Y"&amp;"9LPKx95PyL5OKy09d-KbKJSuuEZCFdkhYjwC0XQjBA/edit?usp=share_link"",""พิจิตร!n242"")+IMPORTRANGE(""https://docs.google.com/spreadsheets/d/16OMuOwy2eVqZcYWOouQtTpa8X1L23h4660uVHc0C8os/edit?usp=share_link"",""พิษณุโลก!n242"")+IMPORTRANGE(""https://docs.google."&amp;"com/spreadsheets/d/1GfgTldLG6k77HXaMQzaafODklYuucJZQNs_GAPEfZyY/edit?usp=share_link"",""เพชรบูรณ์!n242"")+IMPORTRANGE(""https://docs.google.com/spreadsheets/d/1gvTMYAnm7v1yG1BKWFtr0DnaTsq59oW9dwWvFgq6hs0/edit?usp=share_link"",""แพร่!n242"")+IMPORTRANGE("""&amp;"https://docs.google.com/spreadsheets/d/1Wbcosgy-Xa1xXUArJSOenub6EfZHUSzc_bpJFWwQUf0/edit?usp=share_link"",""แม่ฮ่องสอน!n242"")+IMPORTRANGE(""https://docs.google.com/spreadsheets/d/1p7ERhsr0qZeSn-KSOdeHS9r0heI-lHtkcn2OH7hP0jQ/edit?usp=share_link"",""ลำปาง!"&amp;"n242"")+IMPORTRANGE(""https://docs.google.com/spreadsheets/d/1-uUXvimVhiU2U0bMN-xi2te0tS4X7DI2GLPnMjzl8cA/edit?usp=share_link"",""ลำพูน!n242"")+IMPORTRANGE(""https://docs.google.com/spreadsheets/d/17HrOaa5pBUI1onckFfumXB8xlg35qb2uBAFfF1D-Myo/edit?usp=shar"&amp;"e_link"",""สุโขทัย!n242"")+IMPORTRANGE(""https://docs.google.com/spreadsheets/d/1ubs5cl16eYL9gHbdHTJtmtYb9MGzHBs7CAphn8kNCgM/edit?usp=share_link"",""อุตรดิตถ์!n242"")+IMPORTRANGE(""https://docs.google.com/spreadsheets/d/1kII0BjS6CtVrBvI8IrytgPdxDrlyQDyigz"&amp;"MsohRtDMs/edit?usp=share_link"",""อุทัยธานี!n242"")
"),0)</f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172" t="s">
        <v>38</v>
      </c>
      <c r="E243" s="173"/>
      <c r="F243" s="173"/>
      <c r="G243" s="174"/>
      <c r="H243" s="175"/>
      <c r="I243" s="162"/>
      <c r="J243" s="37"/>
      <c r="K243" s="38"/>
      <c r="L243" s="38"/>
      <c r="M243" s="38"/>
      <c r="N243" s="3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181" t="s">
        <v>117</v>
      </c>
      <c r="E244" s="178"/>
      <c r="F244" s="178"/>
      <c r="G244" s="179"/>
      <c r="H244" s="182" t="s">
        <v>35</v>
      </c>
      <c r="I244" s="37">
        <f ca="1">IFERROR(__xludf.DUMMYFUNCTION("IMPORTRANGE(""https://docs.google.com/spreadsheets/d/1KxicF4apzSqm0-jIpmueT4kyZtE-Cwn5zskl7GD4loQ/edit?usp=share_link"",""กำแพงเพชร!I244"")+IMPORTRANGE(""https://docs.google.com/spreadsheets/d/1ZNYWeiFoFA1K1U4xKWqRX29MBvEyRHXORjo734Gnq_c/edit?usp=share_li"&amp;"nk"",""เชียงราย!I244"")
+IMPORTRANGE(""https://docs.google.com/spreadsheets/d/1Jgv0Y7YlHDtsiDawwp-uvifEJ8HVaSn0k2aGHG8-hwM/edit?usp=share_link"",""เชียงใหม่!I244"")+IMPORTRANGE(""https://docs.google.com/spreadsheets/d/1JWG2rZePOz9pe-f-ObA-yDr0VoOX2kSb0qIi"&amp;"x2mTUo8/edit?usp=share_link"",""ตาก!I244"")+IMPORTRANGE(""https://docs.google.com/spreadsheets/d/10nSRjK08hx8Y6HgSOQKNw81lyY46Zc7U_Cj72hBMp9U/edit?usp=share_link"",""นครสวรรค์!I244"")+IMPORTRANGE(""https://docs.google.com/spreadsheets/d/1gFVb7qd7amutrIxAA"&amp;"oM7lcy35hllxznovot8lyOfvDo/edit?usp=share_link"",""น่าน!I244"")+IMPORTRANGE(""https://docs.google.com/spreadsheets/d/1K0Aa9s-6EuHE5M0FG1F9aHLXRCOV917xvycTdLdct0w/edit?usp=share_link"",""พะเยา!I244"")+IMPORTRANGE(""https://docs.google.com/spreadsheets/d/1Y"&amp;"9LPKx95PyL5OKy09d-KbKJSuuEZCFdkhYjwC0XQjBA/edit?usp=share_link"",""พิจิตร!I244"")+IMPORTRANGE(""https://docs.google.com/spreadsheets/d/16OMuOwy2eVqZcYWOouQtTpa8X1L23h4660uVHc0C8os/edit?usp=share_link"",""พิษณุโลก!I244"")+IMPORTRANGE(""https://docs.google."&amp;"com/spreadsheets/d/1GfgTldLG6k77HXaMQzaafODklYuucJZQNs_GAPEfZyY/edit?usp=share_link"",""เพชรบูรณ์!I244"")+IMPORTRANGE(""https://docs.google.com/spreadsheets/d/1gvTMYAnm7v1yG1BKWFtr0DnaTsq59oW9dwWvFgq6hs0/edit?usp=share_link"",""แพร่!I244"")+IMPORTRANGE("""&amp;"https://docs.google.com/spreadsheets/d/1Wbcosgy-Xa1xXUArJSOenub6EfZHUSzc_bpJFWwQUf0/edit?usp=share_link"",""แม่ฮ่องสอน!I244"")+IMPORTRANGE(""https://docs.google.com/spreadsheets/d/1p7ERhsr0qZeSn-KSOdeHS9r0heI-lHtkcn2OH7hP0jQ/edit?usp=share_link"",""ลำปาง!"&amp;"I244"")+IMPORTRANGE(""https://docs.google.com/spreadsheets/d/1-uUXvimVhiU2U0bMN-xi2te0tS4X7DI2GLPnMjzl8cA/edit?usp=share_link"",""ลำพูน!I244"")+IMPORTRANGE(""https://docs.google.com/spreadsheets/d/17HrOaa5pBUI1onckFfumXB8xlg35qb2uBAFfF1D-Myo/edit?usp=shar"&amp;"e_link"",""สุโขทัย!I244"")+IMPORTRANGE(""https://docs.google.com/spreadsheets/d/1ubs5cl16eYL9gHbdHTJtmtYb9MGzHBs7CAphn8kNCgM/edit?usp=share_link"",""อุตรดิตถ์!I244"")+IMPORTRANGE(""https://docs.google.com/spreadsheets/d/1kII0BjS6CtVrBvI8IrytgPdxDrlyQDyigz"&amp;"MsohRtDMs/edit?usp=share_link"",""อุทัยธานี!I244"")
"),280)</f>
        <v>280</v>
      </c>
      <c r="J244" s="183">
        <f ca="1">IFERROR(__xludf.DUMMYFUNCTION("IMPORTRANGE(""https://docs.google.com/spreadsheets/d/1KxicF4apzSqm0-jIpmueT4kyZtE-Cwn5zskl7GD4loQ/edit?usp=share_link"",""กำแพงเพชร!J244"")+IMPORTRANGE(""https://docs.google.com/spreadsheets/d/1ZNYWeiFoFA1K1U4xKWqRX29MBvEyRHXORjo734Gnq_c/edit?usp=share_li"&amp;"nk"",""เชียงราย!J244"")
+IMPORTRANGE(""https://docs.google.com/spreadsheets/d/1Jgv0Y7YlHDtsiDawwp-uvifEJ8HVaSn0k2aGHG8-hwM/edit?usp=share_link"",""เชียงใหม่!J244"")+IMPORTRANGE(""https://docs.google.com/spreadsheets/d/1JWG2rZePOz9pe-f-ObA-yDr0VoOX2kSb0qIi"&amp;"x2mTUo8/edit?usp=share_link"",""ตาก!J244"")+IMPORTRANGE(""https://docs.google.com/spreadsheets/d/10nSRjK08hx8Y6HgSOQKNw81lyY46Zc7U_Cj72hBMp9U/edit?usp=share_link"",""นครสวรรค์!J244"")+IMPORTRANGE(""https://docs.google.com/spreadsheets/d/1gFVb7qd7amutrIxAA"&amp;"oM7lcy35hllxznovot8lyOfvDo/edit?usp=share_link"",""น่าน!J244"")+IMPORTRANGE(""https://docs.google.com/spreadsheets/d/1K0Aa9s-6EuHE5M0FG1F9aHLXRCOV917xvycTdLdct0w/edit?usp=share_link"",""พะเยา!J244"")+IMPORTRANGE(""https://docs.google.com/spreadsheets/d/1Y"&amp;"9LPKx95PyL5OKy09d-KbKJSuuEZCFdkhYjwC0XQjBA/edit?usp=share_link"",""พิจิตร!J244"")+IMPORTRANGE(""https://docs.google.com/spreadsheets/d/16OMuOwy2eVqZcYWOouQtTpa8X1L23h4660uVHc0C8os/edit?usp=share_link"",""พิษณุโลก!J244"")+IMPORTRANGE(""https://docs.google."&amp;"com/spreadsheets/d/1GfgTldLG6k77HXaMQzaafODklYuucJZQNs_GAPEfZyY/edit?usp=share_link"",""เพชรบูรณ์!J244"")+IMPORTRANGE(""https://docs.google.com/spreadsheets/d/1gvTMYAnm7v1yG1BKWFtr0DnaTsq59oW9dwWvFgq6hs0/edit?usp=share_link"",""แพร่!J244"")+IMPORTRANGE("""&amp;"https://docs.google.com/spreadsheets/d/1Wbcosgy-Xa1xXUArJSOenub6EfZHUSzc_bpJFWwQUf0/edit?usp=share_link"",""แม่ฮ่องสอน!J244"")+IMPORTRANGE(""https://docs.google.com/spreadsheets/d/1p7ERhsr0qZeSn-KSOdeHS9r0heI-lHtkcn2OH7hP0jQ/edit?usp=share_link"",""ลำปาง!"&amp;"J244"")+IMPORTRANGE(""https://docs.google.com/spreadsheets/d/1-uUXvimVhiU2U0bMN-xi2te0tS4X7DI2GLPnMjzl8cA/edit?usp=share_link"",""ลำพูน!J244"")+IMPORTRANGE(""https://docs.google.com/spreadsheets/d/17HrOaa5pBUI1onckFfumXB8xlg35qb2uBAFfF1D-Myo/edit?usp=shar"&amp;"e_link"",""สุโขทัย!J244"")+IMPORTRANGE(""https://docs.google.com/spreadsheets/d/1ubs5cl16eYL9gHbdHTJtmtYb9MGzHBs7CAphn8kNCgM/edit?usp=share_link"",""อุตรดิตถ์!J244"")+IMPORTRANGE(""https://docs.google.com/spreadsheets/d/1kII0BjS6CtVrBvI8IrytgPdxDrlyQDyigz"&amp;"MsohRtDMs/edit?usp=share_link"",""อุทัยธานี!J244"")
"),230)</f>
        <v>230</v>
      </c>
      <c r="K244" s="38">
        <f ca="1">IF(I244&gt;0,J244*100/I244,0)</f>
        <v>82.142857142857139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178"/>
      <c r="G245" s="179"/>
      <c r="H245" s="182"/>
      <c r="I245" s="37"/>
      <c r="J245" s="37"/>
      <c r="K245" s="38"/>
      <c r="L245" s="38"/>
      <c r="M245" s="38"/>
      <c r="N245" s="3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178"/>
      <c r="G246" s="179"/>
      <c r="H246" s="182" t="s">
        <v>35</v>
      </c>
      <c r="I246" s="37">
        <f ca="1">IFERROR(__xludf.DUMMYFUNCTION("IMPORTRANGE(""https://docs.google.com/spreadsheets/d/1KxicF4apzSqm0-jIpmueT4kyZtE-Cwn5zskl7GD4loQ/edit?usp=share_link"",""กำแพงเพชร!I246"")+IMPORTRANGE(""https://docs.google.com/spreadsheets/d/1ZNYWeiFoFA1K1U4xKWqRX29MBvEyRHXORjo734Gnq_c/edit?usp=share_li"&amp;"nk"",""เชียงราย!I246"")
+IMPORTRANGE(""https://docs.google.com/spreadsheets/d/1Jgv0Y7YlHDtsiDawwp-uvifEJ8HVaSn0k2aGHG8-hwM/edit?usp=share_link"",""เชียงใหม่!I246"")+IMPORTRANGE(""https://docs.google.com/spreadsheets/d/1JWG2rZePOz9pe-f-ObA-yDr0VoOX2kSb0qIi"&amp;"x2mTUo8/edit?usp=share_link"",""ตาก!I246"")+IMPORTRANGE(""https://docs.google.com/spreadsheets/d/10nSRjK08hx8Y6HgSOQKNw81lyY46Zc7U_Cj72hBMp9U/edit?usp=share_link"",""นครสวรรค์!I246"")+IMPORTRANGE(""https://docs.google.com/spreadsheets/d/1gFVb7qd7amutrIxAA"&amp;"oM7lcy35hllxznovot8lyOfvDo/edit?usp=share_link"",""น่าน!I246"")+IMPORTRANGE(""https://docs.google.com/spreadsheets/d/1K0Aa9s-6EuHE5M0FG1F9aHLXRCOV917xvycTdLdct0w/edit?usp=share_link"",""พะเยา!I246"")+IMPORTRANGE(""https://docs.google.com/spreadsheets/d/1Y"&amp;"9LPKx95PyL5OKy09d-KbKJSuuEZCFdkhYjwC0XQjBA/edit?usp=share_link"",""พิจิตร!I246"")+IMPORTRANGE(""https://docs.google.com/spreadsheets/d/16OMuOwy2eVqZcYWOouQtTpa8X1L23h4660uVHc0C8os/edit?usp=share_link"",""พิษณุโลก!I246"")+IMPORTRANGE(""https://docs.google."&amp;"com/spreadsheets/d/1GfgTldLG6k77HXaMQzaafODklYuucJZQNs_GAPEfZyY/edit?usp=share_link"",""เพชรบูรณ์!I246"")+IMPORTRANGE(""https://docs.google.com/spreadsheets/d/1gvTMYAnm7v1yG1BKWFtr0DnaTsq59oW9dwWvFgq6hs0/edit?usp=share_link"",""แพร่!I246"")+IMPORTRANGE("""&amp;"https://docs.google.com/spreadsheets/d/1Wbcosgy-Xa1xXUArJSOenub6EfZHUSzc_bpJFWwQUf0/edit?usp=share_link"",""แม่ฮ่องสอน!I246"")+IMPORTRANGE(""https://docs.google.com/spreadsheets/d/1p7ERhsr0qZeSn-KSOdeHS9r0heI-lHtkcn2OH7hP0jQ/edit?usp=share_link"",""ลำปาง!"&amp;"I246"")+IMPORTRANGE(""https://docs.google.com/spreadsheets/d/1-uUXvimVhiU2U0bMN-xi2te0tS4X7DI2GLPnMjzl8cA/edit?usp=share_link"",""ลำพูน!I246"")+IMPORTRANGE(""https://docs.google.com/spreadsheets/d/17HrOaa5pBUI1onckFfumXB8xlg35qb2uBAFfF1D-Myo/edit?usp=shar"&amp;"e_link"",""สุโขทัย!I246"")+IMPORTRANGE(""https://docs.google.com/spreadsheets/d/1ubs5cl16eYL9gHbdHTJtmtYb9MGzHBs7CAphn8kNCgM/edit?usp=share_link"",""อุตรดิตถ์!I246"")+IMPORTRANGE(""https://docs.google.com/spreadsheets/d/1kII0BjS6CtVrBvI8IrytgPdxDrlyQDyigz"&amp;"MsohRtDMs/edit?usp=share_link"",""อุทัยธานี!I246"")
"),80)</f>
        <v>80</v>
      </c>
      <c r="J246" s="183">
        <f ca="1">IFERROR(__xludf.DUMMYFUNCTION("IMPORTRANGE(""https://docs.google.com/spreadsheets/d/1KxicF4apzSqm0-jIpmueT4kyZtE-Cwn5zskl7GD4loQ/edit?usp=share_link"",""กำแพงเพชร!J246"")+IMPORTRANGE(""https://docs.google.com/spreadsheets/d/1ZNYWeiFoFA1K1U4xKWqRX29MBvEyRHXORjo734Gnq_c/edit?usp=share_li"&amp;"nk"",""เชียงราย!J246"")
+IMPORTRANGE(""https://docs.google.com/spreadsheets/d/1Jgv0Y7YlHDtsiDawwp-uvifEJ8HVaSn0k2aGHG8-hwM/edit?usp=share_link"",""เชียงใหม่!J246"")+IMPORTRANGE(""https://docs.google.com/spreadsheets/d/1JWG2rZePOz9pe-f-ObA-yDr0VoOX2kSb0qIi"&amp;"x2mTUo8/edit?usp=share_link"",""ตาก!J246"")+IMPORTRANGE(""https://docs.google.com/spreadsheets/d/10nSRjK08hx8Y6HgSOQKNw81lyY46Zc7U_Cj72hBMp9U/edit?usp=share_link"",""นครสวรรค์!J246"")+IMPORTRANGE(""https://docs.google.com/spreadsheets/d/1gFVb7qd7amutrIxAA"&amp;"oM7lcy35hllxznovot8lyOfvDo/edit?usp=share_link"",""น่าน!J246"")+IMPORTRANGE(""https://docs.google.com/spreadsheets/d/1K0Aa9s-6EuHE5M0FG1F9aHLXRCOV917xvycTdLdct0w/edit?usp=share_link"",""พะเยา!J246"")+IMPORTRANGE(""https://docs.google.com/spreadsheets/d/1Y"&amp;"9LPKx95PyL5OKy09d-KbKJSuuEZCFdkhYjwC0XQjBA/edit?usp=share_link"",""พิจิตร!J246"")+IMPORTRANGE(""https://docs.google.com/spreadsheets/d/16OMuOwy2eVqZcYWOouQtTpa8X1L23h4660uVHc0C8os/edit?usp=share_link"",""พิษณุโลก!J246"")+IMPORTRANGE(""https://docs.google."&amp;"com/spreadsheets/d/1GfgTldLG6k77HXaMQzaafODklYuucJZQNs_GAPEfZyY/edit?usp=share_link"",""เพชรบูรณ์!J246"")+IMPORTRANGE(""https://docs.google.com/spreadsheets/d/1gvTMYAnm7v1yG1BKWFtr0DnaTsq59oW9dwWvFgq6hs0/edit?usp=share_link"",""แพร่!J246"")+IMPORTRANGE("""&amp;"https://docs.google.com/spreadsheets/d/1Wbcosgy-Xa1xXUArJSOenub6EfZHUSzc_bpJFWwQUf0/edit?usp=share_link"",""แม่ฮ่องสอน!J246"")+IMPORTRANGE(""https://docs.google.com/spreadsheets/d/1p7ERhsr0qZeSn-KSOdeHS9r0heI-lHtkcn2OH7hP0jQ/edit?usp=share_link"",""ลำปาง!"&amp;"J246"")+IMPORTRANGE(""https://docs.google.com/spreadsheets/d/1-uUXvimVhiU2U0bMN-xi2te0tS4X7DI2GLPnMjzl8cA/edit?usp=share_link"",""ลำพูน!J246"")+IMPORTRANGE(""https://docs.google.com/spreadsheets/d/17HrOaa5pBUI1onckFfumXB8xlg35qb2uBAFfF1D-Myo/edit?usp=shar"&amp;"e_link"",""สุโขทัย!J246"")+IMPORTRANGE(""https://docs.google.com/spreadsheets/d/1ubs5cl16eYL9gHbdHTJtmtYb9MGzHBs7CAphn8kNCgM/edit?usp=share_link"",""อุตรดิตถ์!J246"")+IMPORTRANGE(""https://docs.google.com/spreadsheets/d/1kII0BjS6CtVrBvI8IrytgPdxDrlyQDyigz"&amp;"MsohRtDMs/edit?usp=share_link"",""อุทัยธานี!J246"")
"),0)</f>
        <v>0</v>
      </c>
      <c r="K246" s="38">
        <f t="shared" ref="K246:K248" ca="1" si="135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182" t="s">
        <v>66</v>
      </c>
      <c r="I247" s="37">
        <f ca="1">IFERROR(__xludf.DUMMYFUNCTION("IMPORTRANGE(""https://docs.google.com/spreadsheets/d/1KxicF4apzSqm0-jIpmueT4kyZtE-Cwn5zskl7GD4loQ/edit?usp=share_link"",""กำแพงเพชร!I247"")+IMPORTRANGE(""https://docs.google.com/spreadsheets/d/1ZNYWeiFoFA1K1U4xKWqRX29MBvEyRHXORjo734Gnq_c/edit?usp=share_li"&amp;"nk"",""เชียงราย!I247"")
+IMPORTRANGE(""https://docs.google.com/spreadsheets/d/1Jgv0Y7YlHDtsiDawwp-uvifEJ8HVaSn0k2aGHG8-hwM/edit?usp=share_link"",""เชียงใหม่!I247"")+IMPORTRANGE(""https://docs.google.com/spreadsheets/d/1JWG2rZePOz9pe-f-ObA-yDr0VoOX2kSb0qIi"&amp;"x2mTUo8/edit?usp=share_link"",""ตาก!I247"")+IMPORTRANGE(""https://docs.google.com/spreadsheets/d/10nSRjK08hx8Y6HgSOQKNw81lyY46Zc7U_Cj72hBMp9U/edit?usp=share_link"",""นครสวรรค์!I247"")+IMPORTRANGE(""https://docs.google.com/spreadsheets/d/1gFVb7qd7amutrIxAA"&amp;"oM7lcy35hllxznovot8lyOfvDo/edit?usp=share_link"",""น่าน!I247"")+IMPORTRANGE(""https://docs.google.com/spreadsheets/d/1K0Aa9s-6EuHE5M0FG1F9aHLXRCOV917xvycTdLdct0w/edit?usp=share_link"",""พะเยา!I247"")+IMPORTRANGE(""https://docs.google.com/spreadsheets/d/1Y"&amp;"9LPKx95PyL5OKy09d-KbKJSuuEZCFdkhYjwC0XQjBA/edit?usp=share_link"",""พิจิตร!I247"")+IMPORTRANGE(""https://docs.google.com/spreadsheets/d/16OMuOwy2eVqZcYWOouQtTpa8X1L23h4660uVHc0C8os/edit?usp=share_link"",""พิษณุโลก!I247"")+IMPORTRANGE(""https://docs.google."&amp;"com/spreadsheets/d/1GfgTldLG6k77HXaMQzaafODklYuucJZQNs_GAPEfZyY/edit?usp=share_link"",""เพชรบูรณ์!I247"")+IMPORTRANGE(""https://docs.google.com/spreadsheets/d/1gvTMYAnm7v1yG1BKWFtr0DnaTsq59oW9dwWvFgq6hs0/edit?usp=share_link"",""แพร่!I247"")+IMPORTRANGE("""&amp;"https://docs.google.com/spreadsheets/d/1Wbcosgy-Xa1xXUArJSOenub6EfZHUSzc_bpJFWwQUf0/edit?usp=share_link"",""แม่ฮ่องสอน!I247"")+IMPORTRANGE(""https://docs.google.com/spreadsheets/d/1p7ERhsr0qZeSn-KSOdeHS9r0heI-lHtkcn2OH7hP0jQ/edit?usp=share_link"",""ลำปาง!"&amp;"I247"")+IMPORTRANGE(""https://docs.google.com/spreadsheets/d/1-uUXvimVhiU2U0bMN-xi2te0tS4X7DI2GLPnMjzl8cA/edit?usp=share_link"",""ลำพูน!I247"")+IMPORTRANGE(""https://docs.google.com/spreadsheets/d/17HrOaa5pBUI1onckFfumXB8xlg35qb2uBAFfF1D-Myo/edit?usp=shar"&amp;"e_link"",""สุโขทัย!I247"")+IMPORTRANGE(""https://docs.google.com/spreadsheets/d/1ubs5cl16eYL9gHbdHTJtmtYb9MGzHBs7CAphn8kNCgM/edit?usp=share_link"",""อุตรดิตถ์!I247"")+IMPORTRANGE(""https://docs.google.com/spreadsheets/d/1kII0BjS6CtVrBvI8IrytgPdxDrlyQDyigz"&amp;"MsohRtDMs/edit?usp=share_link"",""อุทัยธานี!I247"")
"),8)</f>
        <v>8</v>
      </c>
      <c r="J247" s="183">
        <f ca="1">IFERROR(__xludf.DUMMYFUNCTION("IMPORTRANGE(""https://docs.google.com/spreadsheets/d/1KxicF4apzSqm0-jIpmueT4kyZtE-Cwn5zskl7GD4loQ/edit?usp=share_link"",""กำแพงเพชร!J247"")+IMPORTRANGE(""https://docs.google.com/spreadsheets/d/1ZNYWeiFoFA1K1U4xKWqRX29MBvEyRHXORjo734Gnq_c/edit?usp=share_li"&amp;"nk"",""เชียงราย!J247"")
+IMPORTRANGE(""https://docs.google.com/spreadsheets/d/1Jgv0Y7YlHDtsiDawwp-uvifEJ8HVaSn0k2aGHG8-hwM/edit?usp=share_link"",""เชียงใหม่!J247"")+IMPORTRANGE(""https://docs.google.com/spreadsheets/d/1JWG2rZePOz9pe-f-ObA-yDr0VoOX2kSb0qIi"&amp;"x2mTUo8/edit?usp=share_link"",""ตาก!J247"")+IMPORTRANGE(""https://docs.google.com/spreadsheets/d/10nSRjK08hx8Y6HgSOQKNw81lyY46Zc7U_Cj72hBMp9U/edit?usp=share_link"",""นครสวรรค์!J247"")+IMPORTRANGE(""https://docs.google.com/spreadsheets/d/1gFVb7qd7amutrIxAA"&amp;"oM7lcy35hllxznovot8lyOfvDo/edit?usp=share_link"",""น่าน!J247"")+IMPORTRANGE(""https://docs.google.com/spreadsheets/d/1K0Aa9s-6EuHE5M0FG1F9aHLXRCOV917xvycTdLdct0w/edit?usp=share_link"",""พะเยา!J247"")+IMPORTRANGE(""https://docs.google.com/spreadsheets/d/1Y"&amp;"9LPKx95PyL5OKy09d-KbKJSuuEZCFdkhYjwC0XQjBA/edit?usp=share_link"",""พิจิตร!J247"")+IMPORTRANGE(""https://docs.google.com/spreadsheets/d/16OMuOwy2eVqZcYWOouQtTpa8X1L23h4660uVHc0C8os/edit?usp=share_link"",""พิษณุโลก!J247"")+IMPORTRANGE(""https://docs.google."&amp;"com/spreadsheets/d/1GfgTldLG6k77HXaMQzaafODklYuucJZQNs_GAPEfZyY/edit?usp=share_link"",""เพชรบูรณ์!J247"")+IMPORTRANGE(""https://docs.google.com/spreadsheets/d/1gvTMYAnm7v1yG1BKWFtr0DnaTsq59oW9dwWvFgq6hs0/edit?usp=share_link"",""แพร่!J247"")+IMPORTRANGE("""&amp;"https://docs.google.com/spreadsheets/d/1Wbcosgy-Xa1xXUArJSOenub6EfZHUSzc_bpJFWwQUf0/edit?usp=share_link"",""แม่ฮ่องสอน!J247"")+IMPORTRANGE(""https://docs.google.com/spreadsheets/d/1p7ERhsr0qZeSn-KSOdeHS9r0heI-lHtkcn2OH7hP0jQ/edit?usp=share_link"",""ลำปาง!"&amp;"J247"")+IMPORTRANGE(""https://docs.google.com/spreadsheets/d/1-uUXvimVhiU2U0bMN-xi2te0tS4X7DI2GLPnMjzl8cA/edit?usp=share_link"",""ลำพูน!J247"")+IMPORTRANGE(""https://docs.google.com/spreadsheets/d/17HrOaa5pBUI1onckFfumXB8xlg35qb2uBAFfF1D-Myo/edit?usp=shar"&amp;"e_link"",""สุโขทัย!J247"")+IMPORTRANGE(""https://docs.google.com/spreadsheets/d/1ubs5cl16eYL9gHbdHTJtmtYb9MGzHBs7CAphn8kNCgM/edit?usp=share_link"",""อุตรดิตถ์!J247"")+IMPORTRANGE(""https://docs.google.com/spreadsheets/d/1kII0BjS6CtVrBvI8IrytgPdxDrlyQDyigz"&amp;"MsohRtDMs/edit?usp=share_link"",""อุทัยธานี!J247"")
"),0)</f>
        <v>0</v>
      </c>
      <c r="K247" s="38">
        <f t="shared" ca="1" si="135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36">I255</f>
        <v>40</v>
      </c>
      <c r="J248" s="272">
        <f t="shared" ca="1" si="136"/>
        <v>40</v>
      </c>
      <c r="K248" s="273">
        <f t="shared" ca="1" si="135"/>
        <v>100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274" t="s">
        <v>17</v>
      </c>
      <c r="E249" s="148"/>
      <c r="F249" s="148"/>
      <c r="G249" s="151"/>
      <c r="H249" s="275" t="s">
        <v>12</v>
      </c>
      <c r="I249" s="279"/>
      <c r="J249" s="279"/>
      <c r="K249" s="280"/>
      <c r="L249" s="155">
        <f ca="1">L250+L251+L252+L253</f>
        <v>277600</v>
      </c>
      <c r="M249" s="155"/>
      <c r="N249" s="155">
        <f ca="1">N250+N251+N252+N253</f>
        <v>2983995.76</v>
      </c>
      <c r="O249" s="155">
        <f ca="1">IF(L249&gt;0,N249*100/L249,0)</f>
        <v>1074.9264265129682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17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KxicF4apzSqm0-jIpmueT4kyZtE-Cwn5zskl7GD4loQ/edit?usp=share_link"",""กำแพงเพชร!l250"")+IMPORTRANGE(""https://docs.google.com/spreadsheets/d/1ZNYWeiFoFA1K1U4xKWqRX29MBvEyRHXORjo734Gnq_c/edit?usp=share_li"&amp;"nk"",""เชียงราย!l250"")
+IMPORTRANGE(""https://docs.google.com/spreadsheets/d/1Jgv0Y7YlHDtsiDawwp-uvifEJ8HVaSn0k2aGHG8-hwM/edit?usp=share_link"",""เชียงใหม่!l250"")+IMPORTRANGE(""https://docs.google.com/spreadsheets/d/1JWG2rZePOz9pe-f-ObA-yDr0VoOX2kSb0qIi"&amp;"x2mTUo8/edit?usp=share_link"",""ตาก!l250"")+IMPORTRANGE(""https://docs.google.com/spreadsheets/d/10nSRjK08hx8Y6HgSOQKNw81lyY46Zc7U_Cj72hBMp9U/edit?usp=share_link"",""นครสวรรค์!l250"")+IMPORTRANGE(""https://docs.google.com/spreadsheets/d/1gFVb7qd7amutrIxAA"&amp;"oM7lcy35hllxznovot8lyOfvDo/edit?usp=share_link"",""น่าน!l250"")+IMPORTRANGE(""https://docs.google.com/spreadsheets/d/1K0Aa9s-6EuHE5M0FG1F9aHLXRCOV917xvycTdLdct0w/edit?usp=share_link"",""พะเยา!l250"")+IMPORTRANGE(""https://docs.google.com/spreadsheets/d/1Y"&amp;"9LPKx95PyL5OKy09d-KbKJSuuEZCFdkhYjwC0XQjBA/edit?usp=share_link"",""พิจิตร!l250"")+IMPORTRANGE(""https://docs.google.com/spreadsheets/d/16OMuOwy2eVqZcYWOouQtTpa8X1L23h4660uVHc0C8os/edit?usp=share_link"",""พิษณุโลก!l250"")+IMPORTRANGE(""https://docs.google."&amp;"com/spreadsheets/d/1GfgTldLG6k77HXaMQzaafODklYuucJZQNs_GAPEfZyY/edit?usp=share_link"",""เพชรบูรณ์!l250"")+IMPORTRANGE(""https://docs.google.com/spreadsheets/d/1gvTMYAnm7v1yG1BKWFtr0DnaTsq59oW9dwWvFgq6hs0/edit?usp=share_link"",""แพร่!l250"")+IMPORTRANGE("""&amp;"https://docs.google.com/spreadsheets/d/1Wbcosgy-Xa1xXUArJSOenub6EfZHUSzc_bpJFWwQUf0/edit?usp=share_link"",""แม่ฮ่องสอน!l250"")+IMPORTRANGE(""https://docs.google.com/spreadsheets/d/1p7ERhsr0qZeSn-KSOdeHS9r0heI-lHtkcn2OH7hP0jQ/edit?usp=share_link"",""ลำปาง!"&amp;"l250"")+IMPORTRANGE(""https://docs.google.com/spreadsheets/d/1-uUXvimVhiU2U0bMN-xi2te0tS4X7DI2GLPnMjzl8cA/edit?usp=share_link"",""ลำพูน!l250"")+IMPORTRANGE(""https://docs.google.com/spreadsheets/d/17HrOaa5pBUI1onckFfumXB8xlg35qb2uBAFfF1D-Myo/edit?usp=shar"&amp;"e_link"",""สุโขทัย!l250"")+IMPORTRANGE(""https://docs.google.com/spreadsheets/d/1ubs5cl16eYL9gHbdHTJtmtYb9MGzHBs7CAphn8kNCgM/edit?usp=share_link"",""อุตรดิตถ์!l250"")+IMPORTRANGE(""https://docs.google.com/spreadsheets/d/1kII0BjS6CtVrBvI8IrytgPdxDrlyQDyigz"&amp;"MsohRtDMs/edit?usp=share_link"",""อุทัยธานี!l250"")
"),165000)</f>
        <v>165000</v>
      </c>
      <c r="M250" s="322"/>
      <c r="N250" s="341">
        <f ca="1">IFERROR(__xludf.DUMMYFUNCTION("IMPORTRANGE(""https://docs.google.com/spreadsheets/d/1KxicF4apzSqm0-jIpmueT4kyZtE-Cwn5zskl7GD4loQ/edit?usp=share_link"",""กำแพงเพชร!n250"")+IMPORTRANGE(""https://docs.google.com/spreadsheets/d/1ZNYWeiFoFA1K1U4xKWqRX29MBvEyRHXORjo734Gnq_c/edit?usp=share_li"&amp;"nk"",""เชียงราย!n250"")
+IMPORTRANGE(""https://docs.google.com/spreadsheets/d/1Jgv0Y7YlHDtsiDawwp-uvifEJ8HVaSn0k2aGHG8-hwM/edit?usp=share_link"",""เชียงใหม่!n250"")+IMPORTRANGE(""https://docs.google.com/spreadsheets/d/1JWG2rZePOz9pe-f-ObA-yDr0VoOX2kSb0qIi"&amp;"x2mTUo8/edit?usp=share_link"",""ตาก!n250"")+IMPORTRANGE(""https://docs.google.com/spreadsheets/d/10nSRjK08hx8Y6HgSOQKNw81lyY46Zc7U_Cj72hBMp9U/edit?usp=share_link"",""นครสวรรค์!n250"")+IMPORTRANGE(""https://docs.google.com/spreadsheets/d/1gFVb7qd7amutrIxAA"&amp;"oM7lcy35hllxznovot8lyOfvDo/edit?usp=share_link"",""น่าน!n250"")+IMPORTRANGE(""https://docs.google.com/spreadsheets/d/1K0Aa9s-6EuHE5M0FG1F9aHLXRCOV917xvycTdLdct0w/edit?usp=share_link"",""พะเยา!n250"")+IMPORTRANGE(""https://docs.google.com/spreadsheets/d/1Y"&amp;"9LPKx95PyL5OKy09d-KbKJSuuEZCFdkhYjwC0XQjBA/edit?usp=share_link"",""พิจิตร!n250"")+IMPORTRANGE(""https://docs.google.com/spreadsheets/d/16OMuOwy2eVqZcYWOouQtTpa8X1L23h4660uVHc0C8os/edit?usp=share_link"",""พิษณุโลก!n250"")+IMPORTRANGE(""https://docs.google."&amp;"com/spreadsheets/d/1GfgTldLG6k77HXaMQzaafODklYuucJZQNs_GAPEfZyY/edit?usp=share_link"",""เพชรบูรณ์!n250"")+IMPORTRANGE(""https://docs.google.com/spreadsheets/d/1gvTMYAnm7v1yG1BKWFtr0DnaTsq59oW9dwWvFgq6hs0/edit?usp=share_link"",""แพร่!n250"")+IMPORTRANGE("""&amp;"https://docs.google.com/spreadsheets/d/1Wbcosgy-Xa1xXUArJSOenub6EfZHUSzc_bpJFWwQUf0/edit?usp=share_link"",""แม่ฮ่องสอน!n250"")+IMPORTRANGE(""https://docs.google.com/spreadsheets/d/1p7ERhsr0qZeSn-KSOdeHS9r0heI-lHtkcn2OH7hP0jQ/edit?usp=share_link"",""ลำปาง!"&amp;"n250"")+IMPORTRANGE(""https://docs.google.com/spreadsheets/d/1-uUXvimVhiU2U0bMN-xi2te0tS4X7DI2GLPnMjzl8cA/edit?usp=share_link"",""ลำพูน!n250"")+IMPORTRANGE(""https://docs.google.com/spreadsheets/d/17HrOaa5pBUI1onckFfumXB8xlg35qb2uBAFfF1D-Myo/edit?usp=shar"&amp;"e_link"",""สุโขทัย!n250"")+IMPORTRANGE(""https://docs.google.com/spreadsheets/d/1ubs5cl16eYL9gHbdHTJtmtYb9MGzHBs7CAphn8kNCgM/edit?usp=share_link"",""อุตรดิตถ์!n250"")+IMPORTRANGE(""https://docs.google.com/spreadsheets/d/1kII0BjS6CtVrBvI8IrytgPdxDrlyQDyigz"&amp;"MsohRtDMs/edit?usp=share_link"",""อุทัยธานี!n250"")
"),62540)</f>
        <v>62540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KxicF4apzSqm0-jIpmueT4kyZtE-Cwn5zskl7GD4loQ/edit?usp=share_link"",""กำแพงเพชร!l251"")+IMPORTRANGE(""https://docs.google.com/spreadsheets/d/1ZNYWeiFoFA1K1U4xKWqRX29MBvEyRHXORjo734Gnq_c/edit?usp=share_li"&amp;"nk"",""เชียงราย!l251"")
+IMPORTRANGE(""https://docs.google.com/spreadsheets/d/1Jgv0Y7YlHDtsiDawwp-uvifEJ8HVaSn0k2aGHG8-hwM/edit?usp=share_link"",""เชียงใหม่!l251"")+IMPORTRANGE(""https://docs.google.com/spreadsheets/d/1JWG2rZePOz9pe-f-ObA-yDr0VoOX2kSb0qIi"&amp;"x2mTUo8/edit?usp=share_link"",""ตาก!l251"")+IMPORTRANGE(""https://docs.google.com/spreadsheets/d/10nSRjK08hx8Y6HgSOQKNw81lyY46Zc7U_Cj72hBMp9U/edit?usp=share_link"",""นครสวรรค์!l251"")+IMPORTRANGE(""https://docs.google.com/spreadsheets/d/1gFVb7qd7amutrIxAA"&amp;"oM7lcy35hllxznovot8lyOfvDo/edit?usp=share_link"",""น่าน!l251"")+IMPORTRANGE(""https://docs.google.com/spreadsheets/d/1K0Aa9s-6EuHE5M0FG1F9aHLXRCOV917xvycTdLdct0w/edit?usp=share_link"",""พะเยา!l251"")+IMPORTRANGE(""https://docs.google.com/spreadsheets/d/1Y"&amp;"9LPKx95PyL5OKy09d-KbKJSuuEZCFdkhYjwC0XQjBA/edit?usp=share_link"",""พิจิตร!l251"")+IMPORTRANGE(""https://docs.google.com/spreadsheets/d/16OMuOwy2eVqZcYWOouQtTpa8X1L23h4660uVHc0C8os/edit?usp=share_link"",""พิษณุโลก!l251"")+IMPORTRANGE(""https://docs.google."&amp;"com/spreadsheets/d/1GfgTldLG6k77HXaMQzaafODklYuucJZQNs_GAPEfZyY/edit?usp=share_link"",""เพชรบูรณ์!l251"")+IMPORTRANGE(""https://docs.google.com/spreadsheets/d/1gvTMYAnm7v1yG1BKWFtr0DnaTsq59oW9dwWvFgq6hs0/edit?usp=share_link"",""แพร่!l251"")+IMPORTRANGE("""&amp;"https://docs.google.com/spreadsheets/d/1Wbcosgy-Xa1xXUArJSOenub6EfZHUSzc_bpJFWwQUf0/edit?usp=share_link"",""แม่ฮ่องสอน!l251"")+IMPORTRANGE(""https://docs.google.com/spreadsheets/d/1p7ERhsr0qZeSn-KSOdeHS9r0heI-lHtkcn2OH7hP0jQ/edit?usp=share_link"",""ลำปาง!"&amp;"l251"")+IMPORTRANGE(""https://docs.google.com/spreadsheets/d/1-uUXvimVhiU2U0bMN-xi2te0tS4X7DI2GLPnMjzl8cA/edit?usp=share_link"",""ลำพูน!l251"")+IMPORTRANGE(""https://docs.google.com/spreadsheets/d/17HrOaa5pBUI1onckFfumXB8xlg35qb2uBAFfF1D-Myo/edit?usp=shar"&amp;"e_link"",""สุโขทัย!l251"")+IMPORTRANGE(""https://docs.google.com/spreadsheets/d/1ubs5cl16eYL9gHbdHTJtmtYb9MGzHBs7CAphn8kNCgM/edit?usp=share_link"",""อุตรดิตถ์!l251"")+IMPORTRANGE(""https://docs.google.com/spreadsheets/d/1kII0BjS6CtVrBvI8IrytgPdxDrlyQDyigz"&amp;"MsohRtDMs/edit?usp=share_link"",""อุทัยธานี!l251"")
"),57600)</f>
        <v>57600</v>
      </c>
      <c r="M251" s="322"/>
      <c r="N251" s="341">
        <f ca="1">IFERROR(__xludf.DUMMYFUNCTION("IMPORTRANGE(""https://docs.google.com/spreadsheets/d/1KxicF4apzSqm0-jIpmueT4kyZtE-Cwn5zskl7GD4loQ/edit?usp=share_link"",""กำแพงเพชร!n251"")+IMPORTRANGE(""https://docs.google.com/spreadsheets/d/1ZNYWeiFoFA1K1U4xKWqRX29MBvEyRHXORjo734Gnq_c/edit?usp=share_li"&amp;"nk"",""เชียงราย!n251"")
+IMPORTRANGE(""https://docs.google.com/spreadsheets/d/1Jgv0Y7YlHDtsiDawwp-uvifEJ8HVaSn0k2aGHG8-hwM/edit?usp=share_link"",""เชียงใหม่!n251"")+IMPORTRANGE(""https://docs.google.com/spreadsheets/d/1JWG2rZePOz9pe-f-ObA-yDr0VoOX2kSb0qIi"&amp;"x2mTUo8/edit?usp=share_link"",""ตาก!n251"")+IMPORTRANGE(""https://docs.google.com/spreadsheets/d/10nSRjK08hx8Y6HgSOQKNw81lyY46Zc7U_Cj72hBMp9U/edit?usp=share_link"",""นครสวรรค์!n251"")+IMPORTRANGE(""https://docs.google.com/spreadsheets/d/1gFVb7qd7amutrIxAA"&amp;"oM7lcy35hllxznovot8lyOfvDo/edit?usp=share_link"",""น่าน!n251"")+IMPORTRANGE(""https://docs.google.com/spreadsheets/d/1K0Aa9s-6EuHE5M0FG1F9aHLXRCOV917xvycTdLdct0w/edit?usp=share_link"",""พะเยา!n251"")+IMPORTRANGE(""https://docs.google.com/spreadsheets/d/1Y"&amp;"9LPKx95PyL5OKy09d-KbKJSuuEZCFdkhYjwC0XQjBA/edit?usp=share_link"",""พิจิตร!n251"")+IMPORTRANGE(""https://docs.google.com/spreadsheets/d/16OMuOwy2eVqZcYWOouQtTpa8X1L23h4660uVHc0C8os/edit?usp=share_link"",""พิษณุโลก!n251"")+IMPORTRANGE(""https://docs.google."&amp;"com/spreadsheets/d/1GfgTldLG6k77HXaMQzaafODklYuucJZQNs_GAPEfZyY/edit?usp=share_link"",""เพชรบูรณ์!n251"")+IMPORTRANGE(""https://docs.google.com/spreadsheets/d/1gvTMYAnm7v1yG1BKWFtr0DnaTsq59oW9dwWvFgq6hs0/edit?usp=share_link"",""แพร่!n251"")+IMPORTRANGE("""&amp;"https://docs.google.com/spreadsheets/d/1Wbcosgy-Xa1xXUArJSOenub6EfZHUSzc_bpJFWwQUf0/edit?usp=share_link"",""แม่ฮ่องสอน!n251"")+IMPORTRANGE(""https://docs.google.com/spreadsheets/d/1p7ERhsr0qZeSn-KSOdeHS9r0heI-lHtkcn2OH7hP0jQ/edit?usp=share_link"",""ลำปาง!"&amp;"n251"")+IMPORTRANGE(""https://docs.google.com/spreadsheets/d/1-uUXvimVhiU2U0bMN-xi2te0tS4X7DI2GLPnMjzl8cA/edit?usp=share_link"",""ลำพูน!n251"")+IMPORTRANGE(""https://docs.google.com/spreadsheets/d/17HrOaa5pBUI1onckFfumXB8xlg35qb2uBAFfF1D-Myo/edit?usp=shar"&amp;"e_link"",""สุโขทัย!n251"")+IMPORTRANGE(""https://docs.google.com/spreadsheets/d/1ubs5cl16eYL9gHbdHTJtmtYb9MGzHBs7CAphn8kNCgM/edit?usp=share_link"",""อุตรดิตถ์!n251"")+IMPORTRANGE(""https://docs.google.com/spreadsheets/d/1kII0BjS6CtVrBvI8IrytgPdxDrlyQDyigz"&amp;"MsohRtDMs/edit?usp=share_link"",""อุทัยธานี!n251"")
"),34370)</f>
        <v>34370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KxicF4apzSqm0-jIpmueT4kyZtE-Cwn5zskl7GD4loQ/edit?usp=share_link"",""กำแพงเพชร!l252"")+IMPORTRANGE(""https://docs.google.com/spreadsheets/d/1ZNYWeiFoFA1K1U4xKWqRX29MBvEyRHXORjo734Gnq_c/edit?usp=share_li"&amp;"nk"",""เชียงราย!l252"")
+IMPORTRANGE(""https://docs.google.com/spreadsheets/d/1Jgv0Y7YlHDtsiDawwp-uvifEJ8HVaSn0k2aGHG8-hwM/edit?usp=share_link"",""เชียงใหม่!l252"")+IMPORTRANGE(""https://docs.google.com/spreadsheets/d/1JWG2rZePOz9pe-f-ObA-yDr0VoOX2kSb0qIi"&amp;"x2mTUo8/edit?usp=share_link"",""ตาก!l252"")+IMPORTRANGE(""https://docs.google.com/spreadsheets/d/10nSRjK08hx8Y6HgSOQKNw81lyY46Zc7U_Cj72hBMp9U/edit?usp=share_link"",""นครสวรรค์!l252"")+IMPORTRANGE(""https://docs.google.com/spreadsheets/d/1gFVb7qd7amutrIxAA"&amp;"oM7lcy35hllxznovot8lyOfvDo/edit?usp=share_link"",""น่าน!l252"")+IMPORTRANGE(""https://docs.google.com/spreadsheets/d/1K0Aa9s-6EuHE5M0FG1F9aHLXRCOV917xvycTdLdct0w/edit?usp=share_link"",""พะเยา!l252"")+IMPORTRANGE(""https://docs.google.com/spreadsheets/d/1Y"&amp;"9LPKx95PyL5OKy09d-KbKJSuuEZCFdkhYjwC0XQjBA/edit?usp=share_link"",""พิจิตร!l252"")+IMPORTRANGE(""https://docs.google.com/spreadsheets/d/16OMuOwy2eVqZcYWOouQtTpa8X1L23h4660uVHc0C8os/edit?usp=share_link"",""พิษณุโลก!l252"")+IMPORTRANGE(""https://docs.google."&amp;"com/spreadsheets/d/1GfgTldLG6k77HXaMQzaafODklYuucJZQNs_GAPEfZyY/edit?usp=share_link"",""เพชรบูรณ์!l252"")+IMPORTRANGE(""https://docs.google.com/spreadsheets/d/1gvTMYAnm7v1yG1BKWFtr0DnaTsq59oW9dwWvFgq6hs0/edit?usp=share_link"",""แพร่!l252"")+IMPORTRANGE("""&amp;"https://docs.google.com/spreadsheets/d/1Wbcosgy-Xa1xXUArJSOenub6EfZHUSzc_bpJFWwQUf0/edit?usp=share_link"",""แม่ฮ่องสอน!l252"")+IMPORTRANGE(""https://docs.google.com/spreadsheets/d/1p7ERhsr0qZeSn-KSOdeHS9r0heI-lHtkcn2OH7hP0jQ/edit?usp=share_link"",""ลำปาง!"&amp;"l252"")+IMPORTRANGE(""https://docs.google.com/spreadsheets/d/1-uUXvimVhiU2U0bMN-xi2te0tS4X7DI2GLPnMjzl8cA/edit?usp=share_link"",""ลำพูน!l252"")+IMPORTRANGE(""https://docs.google.com/spreadsheets/d/17HrOaa5pBUI1onckFfumXB8xlg35qb2uBAFfF1D-Myo/edit?usp=shar"&amp;"e_link"",""สุโขทัย!l252"")+IMPORTRANGE(""https://docs.google.com/spreadsheets/d/1ubs5cl16eYL9gHbdHTJtmtYb9MGzHBs7CAphn8kNCgM/edit?usp=share_link"",""อุตรดิตถ์!l252"")+IMPORTRANGE(""https://docs.google.com/spreadsheets/d/1kII0BjS6CtVrBvI8IrytgPdxDrlyQDyigz"&amp;"MsohRtDMs/edit?usp=share_link"",""อุทัยธานี!l252"")
"),45000)</f>
        <v>45000</v>
      </c>
      <c r="M252" s="322"/>
      <c r="N252" s="341">
        <f ca="1">IFERROR(__xludf.DUMMYFUNCTION("IMPORTRANGE(""https://docs.google.com/spreadsheets/d/1KxicF4apzSqm0-jIpmueT4kyZtE-Cwn5zskl7GD4loQ/edit?usp=share_link"",""กำแพงเพชร!N71"")+IMPORTRANGE(""https://docs.google.com/spreadsheets/d/1ZNYWeiFoFA1K1U4xKWqRX29MBvEyRHXORjo734Gnq_c/edit?usp=share_lin"&amp;"k"",""เชียงราย!N71"")
+IMPORTRANGE(""https://docs.google.com/spreadsheets/d/1Jgv0Y7YlHDtsiDawwp-uvifEJ8HVaSn0k2aGHG8-hwM/edit?usp=share_link"",""เชียงใหม่!N71"")+IMPORTRANGE(""https://docs.google.com/spreadsheets/d/1JWG2rZePOz9pe-f-ObA-yDr0VoOX2kSb0qIix2m"&amp;"TUo8/edit?usp=share_link"",""ตาก!N71"")+IMPORTRANGE(""https://docs.google.com/spreadsheets/d/10nSRjK08hx8Y6HgSOQKNw81lyY46Zc7U_Cj72hBMp9U/edit?usp=share_link"",""นครสวรรค์!N71"")+IMPORTRANGE(""https://docs.google.com/spreadsheets/d/1gFVb7qd7amutrIxAAoM7lc"&amp;"y35hllxznovot8lyOfvDo/edit?usp=share_link"",""น่าน!N71"")+IMPORTRANGE(""https://docs.google.com/spreadsheets/d/1K0Aa9s-6EuHE5M0FG1F9aHLXRCOV917xvycTdLdct0w/edit?usp=share_link"",""พะเยา!N71"")+IMPORTRANGE(""https://docs.google.com/spreadsheets/d/1Y9LPKx95"&amp;"PyL5OKy09d-KbKJSuuEZCFdkhYjwC0XQjBA/edit?usp=share_link"",""พิจิตร!N71"")+IMPORTRANGE(""https://docs.google.com/spreadsheets/d/16OMuOwy2eVqZcYWOouQtTpa8X1L23h4660uVHc0C8os/edit?usp=share_link"",""พิษณุโลก!N71"")+IMPORTRANGE(""https://docs.google.com/sprea"&amp;"dsheets/d/1GfgTldLG6k77HXaMQzaafODklYuucJZQNs_GAPEfZyY/edit?usp=share_link"",""เพชรบูรณ์!N71"")+IMPORTRANGE(""https://docs.google.com/spreadsheets/d/1gvTMYAnm7v1yG1BKWFtr0DnaTsq59oW9dwWvFgq6hs0/edit?usp=share_link"",""แพร่!N71"")+IMPORTRANGE(""https://doc"&amp;"s.google.com/spreadsheets/d/1Wbcosgy-Xa1xXUArJSOenub6EfZHUSzc_bpJFWwQUf0/edit?usp=share_link"",""แม่ฮ่องสอน!N71"")+IMPORTRANGE(""https://docs.google.com/spreadsheets/d/1p7ERhsr0qZeSn-KSOdeHS9r0heI-lHtkcn2OH7hP0jQ/edit?usp=share_link"",""ลำปาง!N71"")+IMPOR"&amp;"TRANGE(""https://docs.google.com/spreadsheets/d/1-uUXvimVhiU2U0bMN-xi2te0tS4X7DI2GLPnMjzl8cA/edit?usp=share_link"",""ลำพูน!N71"")+IMPORTRANGE(""https://docs.google.com/spreadsheets/d/17HrOaa5pBUI1onckFfumXB8xlg35qb2uBAFfF1D-Myo/edit?usp=share_link"",""สุโ"&amp;"ขทัย!N71"")+IMPORTRANGE(""https://docs.google.com/spreadsheets/d/1ubs5cl16eYL9gHbdHTJtmtYb9MGzHBs7CAphn8kNCgM/edit?usp=share_link"",""อุตรดิตถ์!N71"")+IMPORTRANGE(""https://docs.google.com/spreadsheets/d/1kII0BjS6CtVrBvI8IrytgPdxDrlyQDyigzMsohRtDMs/edit?u"&amp;"sp=share_link"",""อุทัยธานี!N71"")
"),2887085.76)</f>
        <v>2887085.76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KxicF4apzSqm0-jIpmueT4kyZtE-Cwn5zskl7GD4loQ/edit?usp=share_link"",""กำแพงเพชร!l253"")+IMPORTRANGE(""https://docs.google.com/spreadsheets/d/1ZNYWeiFoFA1K1U4xKWqRX29MBvEyRHXORjo734Gnq_c/edit?usp=share_li"&amp;"nk"",""เชียงราย!l253"")
+IMPORTRANGE(""https://docs.google.com/spreadsheets/d/1Jgv0Y7YlHDtsiDawwp-uvifEJ8HVaSn0k2aGHG8-hwM/edit?usp=share_link"",""เชียงใหม่!l253"")+IMPORTRANGE(""https://docs.google.com/spreadsheets/d/1JWG2rZePOz9pe-f-ObA-yDr0VoOX2kSb0qIi"&amp;"x2mTUo8/edit?usp=share_link"",""ตาก!l253"")+IMPORTRANGE(""https://docs.google.com/spreadsheets/d/10nSRjK08hx8Y6HgSOQKNw81lyY46Zc7U_Cj72hBMp9U/edit?usp=share_link"",""นครสวรรค์!l253"")+IMPORTRANGE(""https://docs.google.com/spreadsheets/d/1gFVb7qd7amutrIxAA"&amp;"oM7lcy35hllxznovot8lyOfvDo/edit?usp=share_link"",""น่าน!l253"")+IMPORTRANGE(""https://docs.google.com/spreadsheets/d/1K0Aa9s-6EuHE5M0FG1F9aHLXRCOV917xvycTdLdct0w/edit?usp=share_link"",""พะเยา!l253"")+IMPORTRANGE(""https://docs.google.com/spreadsheets/d/1Y"&amp;"9LPKx95PyL5OKy09d-KbKJSuuEZCFdkhYjwC0XQjBA/edit?usp=share_link"",""พิจิตร!l253"")+IMPORTRANGE(""https://docs.google.com/spreadsheets/d/16OMuOwy2eVqZcYWOouQtTpa8X1L23h4660uVHc0C8os/edit?usp=share_link"",""พิษณุโลก!l253"")+IMPORTRANGE(""https://docs.google."&amp;"com/spreadsheets/d/1GfgTldLG6k77HXaMQzaafODklYuucJZQNs_GAPEfZyY/edit?usp=share_link"",""เพชรบูรณ์!l253"")+IMPORTRANGE(""https://docs.google.com/spreadsheets/d/1gvTMYAnm7v1yG1BKWFtr0DnaTsq59oW9dwWvFgq6hs0/edit?usp=share_link"",""แพร่!l253"")+IMPORTRANGE("""&amp;"https://docs.google.com/spreadsheets/d/1Wbcosgy-Xa1xXUArJSOenub6EfZHUSzc_bpJFWwQUf0/edit?usp=share_link"",""แม่ฮ่องสอน!l253"")+IMPORTRANGE(""https://docs.google.com/spreadsheets/d/1p7ERhsr0qZeSn-KSOdeHS9r0heI-lHtkcn2OH7hP0jQ/edit?usp=share_link"",""ลำปาง!"&amp;"l253"")+IMPORTRANGE(""https://docs.google.com/spreadsheets/d/1-uUXvimVhiU2U0bMN-xi2te0tS4X7DI2GLPnMjzl8cA/edit?usp=share_link"",""ลำพูน!l253"")+IMPORTRANGE(""https://docs.google.com/spreadsheets/d/17HrOaa5pBUI1onckFfumXB8xlg35qb2uBAFfF1D-Myo/edit?usp=shar"&amp;"e_link"",""สุโขทัย!l253"")+IMPORTRANGE(""https://docs.google.com/spreadsheets/d/1ubs5cl16eYL9gHbdHTJtmtYb9MGzHBs7CAphn8kNCgM/edit?usp=share_link"",""อุตรดิตถ์!l253"")+IMPORTRANGE(""https://docs.google.com/spreadsheets/d/1kII0BjS6CtVrBvI8IrytgPdxDrlyQDyigz"&amp;"MsohRtDMs/edit?usp=share_link"",""อุทัยธานี!l253"")
"),10000)</f>
        <v>10000</v>
      </c>
      <c r="M253" s="322"/>
      <c r="N253" s="341">
        <f ca="1">IFERROR(__xludf.DUMMYFUNCTION("IMPORTRANGE(""https://docs.google.com/spreadsheets/d/1KxicF4apzSqm0-jIpmueT4kyZtE-Cwn5zskl7GD4loQ/edit?usp=share_link"",""กำแพงเพชร!n253"")+IMPORTRANGE(""https://docs.google.com/spreadsheets/d/1ZNYWeiFoFA1K1U4xKWqRX29MBvEyRHXORjo734Gnq_c/edit?usp=share_li"&amp;"nk"",""เชียงราย!n253"")
+IMPORTRANGE(""https://docs.google.com/spreadsheets/d/1Jgv0Y7YlHDtsiDawwp-uvifEJ8HVaSn0k2aGHG8-hwM/edit?usp=share_link"",""เชียงใหม่!n253"")+IMPORTRANGE(""https://docs.google.com/spreadsheets/d/1JWG2rZePOz9pe-f-ObA-yDr0VoOX2kSb0qIi"&amp;"x2mTUo8/edit?usp=share_link"",""ตาก!n253"")+IMPORTRANGE(""https://docs.google.com/spreadsheets/d/10nSRjK08hx8Y6HgSOQKNw81lyY46Zc7U_Cj72hBMp9U/edit?usp=share_link"",""นครสวรรค์!n253"")+IMPORTRANGE(""https://docs.google.com/spreadsheets/d/1gFVb7qd7amutrIxAA"&amp;"oM7lcy35hllxznovot8lyOfvDo/edit?usp=share_link"",""น่าน!n253"")+IMPORTRANGE(""https://docs.google.com/spreadsheets/d/1K0Aa9s-6EuHE5M0FG1F9aHLXRCOV917xvycTdLdct0w/edit?usp=share_link"",""พะเยา!n253"")+IMPORTRANGE(""https://docs.google.com/spreadsheets/d/1Y"&amp;"9LPKx95PyL5OKy09d-KbKJSuuEZCFdkhYjwC0XQjBA/edit?usp=share_link"",""พิจิตร!n253"")+IMPORTRANGE(""https://docs.google.com/spreadsheets/d/16OMuOwy2eVqZcYWOouQtTpa8X1L23h4660uVHc0C8os/edit?usp=share_link"",""พิษณุโลก!n253"")+IMPORTRANGE(""https://docs.google."&amp;"com/spreadsheets/d/1GfgTldLG6k77HXaMQzaafODklYuucJZQNs_GAPEfZyY/edit?usp=share_link"",""เพชรบูรณ์!n253"")+IMPORTRANGE(""https://docs.google.com/spreadsheets/d/1gvTMYAnm7v1yG1BKWFtr0DnaTsq59oW9dwWvFgq6hs0/edit?usp=share_link"",""แพร่!n253"")+IMPORTRANGE("""&amp;"https://docs.google.com/spreadsheets/d/1Wbcosgy-Xa1xXUArJSOenub6EfZHUSzc_bpJFWwQUf0/edit?usp=share_link"",""แม่ฮ่องสอน!n253"")+IMPORTRANGE(""https://docs.google.com/spreadsheets/d/1p7ERhsr0qZeSn-KSOdeHS9r0heI-lHtkcn2OH7hP0jQ/edit?usp=share_link"",""ลำปาง!"&amp;"n253"")+IMPORTRANGE(""https://docs.google.com/spreadsheets/d/1-uUXvimVhiU2U0bMN-xi2te0tS4X7DI2GLPnMjzl8cA/edit?usp=share_link"",""ลำพูน!n253"")+IMPORTRANGE(""https://docs.google.com/spreadsheets/d/17HrOaa5pBUI1onckFfumXB8xlg35qb2uBAFfF1D-Myo/edit?usp=shar"&amp;"e_link"",""สุโขทัย!n253"")+IMPORTRANGE(""https://docs.google.com/spreadsheets/d/1ubs5cl16eYL9gHbdHTJtmtYb9MGzHBs7CAphn8kNCgM/edit?usp=share_link"",""อุตรดิตถ์!n253"")+IMPORTRANGE(""https://docs.google.com/spreadsheets/d/1kII0BjS6CtVrBvI8IrytgPdxDrlyQDyigz"&amp;"MsohRtDMs/edit?usp=share_link"",""อุทัยธานี!n253"")
"),0)</f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172" t="s">
        <v>38</v>
      </c>
      <c r="E254" s="173"/>
      <c r="F254" s="173"/>
      <c r="G254" s="174"/>
      <c r="H254" s="175"/>
      <c r="I254" s="162"/>
      <c r="J254" s="37"/>
      <c r="K254" s="38"/>
      <c r="L254" s="38"/>
      <c r="M254" s="38"/>
      <c r="N254" s="3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181" t="s">
        <v>117</v>
      </c>
      <c r="E255" s="178"/>
      <c r="F255" s="178"/>
      <c r="G255" s="179"/>
      <c r="H255" s="182" t="s">
        <v>35</v>
      </c>
      <c r="I255" s="37">
        <f ca="1">IFERROR(__xludf.DUMMYFUNCTION("IMPORTRANGE(""https://docs.google.com/spreadsheets/d/1KxicF4apzSqm0-jIpmueT4kyZtE-Cwn5zskl7GD4loQ/edit?usp=share_link"",""กำแพงเพชร!I255"")+IMPORTRANGE(""https://docs.google.com/spreadsheets/d/1ZNYWeiFoFA1K1U4xKWqRX29MBvEyRHXORjo734Gnq_c/edit?usp=share_li"&amp;"nk"",""เชียงราย!I255"")
+IMPORTRANGE(""https://docs.google.com/spreadsheets/d/1Jgv0Y7YlHDtsiDawwp-uvifEJ8HVaSn0k2aGHG8-hwM/edit?usp=share_link"",""เชียงใหม่!I255"")+IMPORTRANGE(""https://docs.google.com/spreadsheets/d/1JWG2rZePOz9pe-f-ObA-yDr0VoOX2kSb0qIi"&amp;"x2mTUo8/edit?usp=share_link"",""ตาก!I255"")+IMPORTRANGE(""https://docs.google.com/spreadsheets/d/10nSRjK08hx8Y6HgSOQKNw81lyY46Zc7U_Cj72hBMp9U/edit?usp=share_link"",""นครสวรรค์!I255"")+IMPORTRANGE(""https://docs.google.com/spreadsheets/d/1gFVb7qd7amutrIxAA"&amp;"oM7lcy35hllxznovot8lyOfvDo/edit?usp=share_link"",""น่าน!I255"")+IMPORTRANGE(""https://docs.google.com/spreadsheets/d/1K0Aa9s-6EuHE5M0FG1F9aHLXRCOV917xvycTdLdct0w/edit?usp=share_link"",""พะเยา!I255"")+IMPORTRANGE(""https://docs.google.com/spreadsheets/d/1Y"&amp;"9LPKx95PyL5OKy09d-KbKJSuuEZCFdkhYjwC0XQjBA/edit?usp=share_link"",""พิจิตร!I255"")+IMPORTRANGE(""https://docs.google.com/spreadsheets/d/16OMuOwy2eVqZcYWOouQtTpa8X1L23h4660uVHc0C8os/edit?usp=share_link"",""พิษณุโลก!I255"")+IMPORTRANGE(""https://docs.google."&amp;"com/spreadsheets/d/1GfgTldLG6k77HXaMQzaafODklYuucJZQNs_GAPEfZyY/edit?usp=share_link"",""เพชรบูรณ์!I255"")+IMPORTRANGE(""https://docs.google.com/spreadsheets/d/1gvTMYAnm7v1yG1BKWFtr0DnaTsq59oW9dwWvFgq6hs0/edit?usp=share_link"",""แพร่!I255"")+IMPORTRANGE("""&amp;"https://docs.google.com/spreadsheets/d/1Wbcosgy-Xa1xXUArJSOenub6EfZHUSzc_bpJFWwQUf0/edit?usp=share_link"",""แม่ฮ่องสอน!I255"")+IMPORTRANGE(""https://docs.google.com/spreadsheets/d/1p7ERhsr0qZeSn-KSOdeHS9r0heI-lHtkcn2OH7hP0jQ/edit?usp=share_link"",""ลำปาง!"&amp;"I255"")+IMPORTRANGE(""https://docs.google.com/spreadsheets/d/1-uUXvimVhiU2U0bMN-xi2te0tS4X7DI2GLPnMjzl8cA/edit?usp=share_link"",""ลำพูน!I255"")+IMPORTRANGE(""https://docs.google.com/spreadsheets/d/17HrOaa5pBUI1onckFfumXB8xlg35qb2uBAFfF1D-Myo/edit?usp=shar"&amp;"e_link"",""สุโขทัย!I255"")+IMPORTRANGE(""https://docs.google.com/spreadsheets/d/1ubs5cl16eYL9gHbdHTJtmtYb9MGzHBs7CAphn8kNCgM/edit?usp=share_link"",""อุตรดิตถ์!I255"")+IMPORTRANGE(""https://docs.google.com/spreadsheets/d/1kII0BjS6CtVrBvI8IrytgPdxDrlyQDyigz"&amp;"MsohRtDMs/edit?usp=share_link"",""อุทัยธานี!I255"")
"),40)</f>
        <v>40</v>
      </c>
      <c r="J255" s="183">
        <f ca="1">IFERROR(__xludf.DUMMYFUNCTION("IMPORTRANGE(""https://docs.google.com/spreadsheets/d/1KxicF4apzSqm0-jIpmueT4kyZtE-Cwn5zskl7GD4loQ/edit?usp=share_link"",""กำแพงเพชร!J255"")+IMPORTRANGE(""https://docs.google.com/spreadsheets/d/1ZNYWeiFoFA1K1U4xKWqRX29MBvEyRHXORjo734Gnq_c/edit?usp=share_li"&amp;"nk"",""เชียงราย!J255"")
+IMPORTRANGE(""https://docs.google.com/spreadsheets/d/1Jgv0Y7YlHDtsiDawwp-uvifEJ8HVaSn0k2aGHG8-hwM/edit?usp=share_link"",""เชียงใหม่!J255"")+IMPORTRANGE(""https://docs.google.com/spreadsheets/d/1JWG2rZePOz9pe-f-ObA-yDr0VoOX2kSb0qIi"&amp;"x2mTUo8/edit?usp=share_link"",""ตาก!J255"")+IMPORTRANGE(""https://docs.google.com/spreadsheets/d/10nSRjK08hx8Y6HgSOQKNw81lyY46Zc7U_Cj72hBMp9U/edit?usp=share_link"",""นครสวรรค์!J255"")+IMPORTRANGE(""https://docs.google.com/spreadsheets/d/1gFVb7qd7amutrIxAA"&amp;"oM7lcy35hllxznovot8lyOfvDo/edit?usp=share_link"",""น่าน!J255"")+IMPORTRANGE(""https://docs.google.com/spreadsheets/d/1K0Aa9s-6EuHE5M0FG1F9aHLXRCOV917xvycTdLdct0w/edit?usp=share_link"",""พะเยา!J255"")+IMPORTRANGE(""https://docs.google.com/spreadsheets/d/1Y"&amp;"9LPKx95PyL5OKy09d-KbKJSuuEZCFdkhYjwC0XQjBA/edit?usp=share_link"",""พิจิตร!J255"")+IMPORTRANGE(""https://docs.google.com/spreadsheets/d/16OMuOwy2eVqZcYWOouQtTpa8X1L23h4660uVHc0C8os/edit?usp=share_link"",""พิษณุโลก!J255"")+IMPORTRANGE(""https://docs.google."&amp;"com/spreadsheets/d/1GfgTldLG6k77HXaMQzaafODklYuucJZQNs_GAPEfZyY/edit?usp=share_link"",""เพชรบูรณ์!J255"")+IMPORTRANGE(""https://docs.google.com/spreadsheets/d/1gvTMYAnm7v1yG1BKWFtr0DnaTsq59oW9dwWvFgq6hs0/edit?usp=share_link"",""แพร่!J255"")+IMPORTRANGE("""&amp;"https://docs.google.com/spreadsheets/d/1Wbcosgy-Xa1xXUArJSOenub6EfZHUSzc_bpJFWwQUf0/edit?usp=share_link"",""แม่ฮ่องสอน!J255"")+IMPORTRANGE(""https://docs.google.com/spreadsheets/d/1p7ERhsr0qZeSn-KSOdeHS9r0heI-lHtkcn2OH7hP0jQ/edit?usp=share_link"",""ลำปาง!"&amp;"J255"")+IMPORTRANGE(""https://docs.google.com/spreadsheets/d/1-uUXvimVhiU2U0bMN-xi2te0tS4X7DI2GLPnMjzl8cA/edit?usp=share_link"",""ลำพูน!J255"")+IMPORTRANGE(""https://docs.google.com/spreadsheets/d/17HrOaa5pBUI1onckFfumXB8xlg35qb2uBAFfF1D-Myo/edit?usp=shar"&amp;"e_link"",""สุโขทัย!J255"")+IMPORTRANGE(""https://docs.google.com/spreadsheets/d/1ubs5cl16eYL9gHbdHTJtmtYb9MGzHBs7CAphn8kNCgM/edit?usp=share_link"",""อุตรดิตถ์!J255"")+IMPORTRANGE(""https://docs.google.com/spreadsheets/d/1kII0BjS6CtVrBvI8IrytgPdxDrlyQDyigz"&amp;"MsohRtDMs/edit?usp=share_link"",""อุทัยธานี!J255"")
"),40)</f>
        <v>40</v>
      </c>
      <c r="K255" s="38">
        <f ca="1">IF(I255&gt;0,J255*100/I255,0)</f>
        <v>100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178"/>
      <c r="G256" s="179"/>
      <c r="H256" s="182"/>
      <c r="I256" s="37"/>
      <c r="J256" s="37"/>
      <c r="K256" s="38"/>
      <c r="L256" s="38"/>
      <c r="M256" s="38"/>
      <c r="N256" s="3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178"/>
      <c r="G257" s="179"/>
      <c r="H257" s="182" t="s">
        <v>35</v>
      </c>
      <c r="I257" s="37">
        <f ca="1">IFERROR(__xludf.DUMMYFUNCTION("IMPORTRANGE(""https://docs.google.com/spreadsheets/d/1KxicF4apzSqm0-jIpmueT4kyZtE-Cwn5zskl7GD4loQ/edit?usp=share_link"",""กำแพงเพชร!I257"")+IMPORTRANGE(""https://docs.google.com/spreadsheets/d/1ZNYWeiFoFA1K1U4xKWqRX29MBvEyRHXORjo734Gnq_c/edit?usp=share_li"&amp;"nk"",""เชียงราย!I257"")
+IMPORTRANGE(""https://docs.google.com/spreadsheets/d/1Jgv0Y7YlHDtsiDawwp-uvifEJ8HVaSn0k2aGHG8-hwM/edit?usp=share_link"",""เชียงใหม่!I257"")+IMPORTRANGE(""https://docs.google.com/spreadsheets/d/1JWG2rZePOz9pe-f-ObA-yDr0VoOX2kSb0qIi"&amp;"x2mTUo8/edit?usp=share_link"",""ตาก!I257"")+IMPORTRANGE(""https://docs.google.com/spreadsheets/d/10nSRjK08hx8Y6HgSOQKNw81lyY46Zc7U_Cj72hBMp9U/edit?usp=share_link"",""นครสวรรค์!I257"")+IMPORTRANGE(""https://docs.google.com/spreadsheets/d/1gFVb7qd7amutrIxAA"&amp;"oM7lcy35hllxznovot8lyOfvDo/edit?usp=share_link"",""น่าน!I257"")+IMPORTRANGE(""https://docs.google.com/spreadsheets/d/1K0Aa9s-6EuHE5M0FG1F9aHLXRCOV917xvycTdLdct0w/edit?usp=share_link"",""พะเยา!I257"")+IMPORTRANGE(""https://docs.google.com/spreadsheets/d/1Y"&amp;"9LPKx95PyL5OKy09d-KbKJSuuEZCFdkhYjwC0XQjBA/edit?usp=share_link"",""พิจิตร!I257"")+IMPORTRANGE(""https://docs.google.com/spreadsheets/d/16OMuOwy2eVqZcYWOouQtTpa8X1L23h4660uVHc0C8os/edit?usp=share_link"",""พิษณุโลก!I257"")+IMPORTRANGE(""https://docs.google."&amp;"com/spreadsheets/d/1GfgTldLG6k77HXaMQzaafODklYuucJZQNs_GAPEfZyY/edit?usp=share_link"",""เพชรบูรณ์!I257"")+IMPORTRANGE(""https://docs.google.com/spreadsheets/d/1gvTMYAnm7v1yG1BKWFtr0DnaTsq59oW9dwWvFgq6hs0/edit?usp=share_link"",""แพร่!I257"")+IMPORTRANGE("""&amp;"https://docs.google.com/spreadsheets/d/1Wbcosgy-Xa1xXUArJSOenub6EfZHUSzc_bpJFWwQUf0/edit?usp=share_link"",""แม่ฮ่องสอน!I257"")+IMPORTRANGE(""https://docs.google.com/spreadsheets/d/1p7ERhsr0qZeSn-KSOdeHS9r0heI-lHtkcn2OH7hP0jQ/edit?usp=share_link"",""ลำปาง!"&amp;"I257"")+IMPORTRANGE(""https://docs.google.com/spreadsheets/d/1-uUXvimVhiU2U0bMN-xi2te0tS4X7DI2GLPnMjzl8cA/edit?usp=share_link"",""ลำพูน!I257"")+IMPORTRANGE(""https://docs.google.com/spreadsheets/d/17HrOaa5pBUI1onckFfumXB8xlg35qb2uBAFfF1D-Myo/edit?usp=shar"&amp;"e_link"",""สุโขทัย!I257"")+IMPORTRANGE(""https://docs.google.com/spreadsheets/d/1ubs5cl16eYL9gHbdHTJtmtYb9MGzHBs7CAphn8kNCgM/edit?usp=share_link"",""อุตรดิตถ์!I257"")+IMPORTRANGE(""https://docs.google.com/spreadsheets/d/1kII0BjS6CtVrBvI8IrytgPdxDrlyQDyigz"&amp;"MsohRtDMs/edit?usp=share_link"",""อุทัยธานี!I257"")
"),40)</f>
        <v>40</v>
      </c>
      <c r="J257" s="183">
        <f ca="1">IFERROR(__xludf.DUMMYFUNCTION("IMPORTRANGE(""https://docs.google.com/spreadsheets/d/1KxicF4apzSqm0-jIpmueT4kyZtE-Cwn5zskl7GD4loQ/edit?usp=share_link"",""กำแพงเพชร!J257"")+IMPORTRANGE(""https://docs.google.com/spreadsheets/d/1ZNYWeiFoFA1K1U4xKWqRX29MBvEyRHXORjo734Gnq_c/edit?usp=share_li"&amp;"nk"",""เชียงราย!J257"")
+IMPORTRANGE(""https://docs.google.com/spreadsheets/d/1Jgv0Y7YlHDtsiDawwp-uvifEJ8HVaSn0k2aGHG8-hwM/edit?usp=share_link"",""เชียงใหม่!J257"")+IMPORTRANGE(""https://docs.google.com/spreadsheets/d/1JWG2rZePOz9pe-f-ObA-yDr0VoOX2kSb0qIi"&amp;"x2mTUo8/edit?usp=share_link"",""ตาก!J257"")+IMPORTRANGE(""https://docs.google.com/spreadsheets/d/10nSRjK08hx8Y6HgSOQKNw81lyY46Zc7U_Cj72hBMp9U/edit?usp=share_link"",""นครสวรรค์!J257"")+IMPORTRANGE(""https://docs.google.com/spreadsheets/d/1gFVb7qd7amutrIxAA"&amp;"oM7lcy35hllxznovot8lyOfvDo/edit?usp=share_link"",""น่าน!J257"")+IMPORTRANGE(""https://docs.google.com/spreadsheets/d/1K0Aa9s-6EuHE5M0FG1F9aHLXRCOV917xvycTdLdct0w/edit?usp=share_link"",""พะเยา!J257"")+IMPORTRANGE(""https://docs.google.com/spreadsheets/d/1Y"&amp;"9LPKx95PyL5OKy09d-KbKJSuuEZCFdkhYjwC0XQjBA/edit?usp=share_link"",""พิจิตร!J257"")+IMPORTRANGE(""https://docs.google.com/spreadsheets/d/16OMuOwy2eVqZcYWOouQtTpa8X1L23h4660uVHc0C8os/edit?usp=share_link"",""พิษณุโลก!J257"")+IMPORTRANGE(""https://docs.google."&amp;"com/spreadsheets/d/1GfgTldLG6k77HXaMQzaafODklYuucJZQNs_GAPEfZyY/edit?usp=share_link"",""เพชรบูรณ์!J257"")+IMPORTRANGE(""https://docs.google.com/spreadsheets/d/1gvTMYAnm7v1yG1BKWFtr0DnaTsq59oW9dwWvFgq6hs0/edit?usp=share_link"",""แพร่!J257"")+IMPORTRANGE("""&amp;"https://docs.google.com/spreadsheets/d/1Wbcosgy-Xa1xXUArJSOenub6EfZHUSzc_bpJFWwQUf0/edit?usp=share_link"",""แม่ฮ่องสอน!J257"")+IMPORTRANGE(""https://docs.google.com/spreadsheets/d/1p7ERhsr0qZeSn-KSOdeHS9r0heI-lHtkcn2OH7hP0jQ/edit?usp=share_link"",""ลำปาง!"&amp;"J257"")+IMPORTRANGE(""https://docs.google.com/spreadsheets/d/1-uUXvimVhiU2U0bMN-xi2te0tS4X7DI2GLPnMjzl8cA/edit?usp=share_link"",""ลำพูน!J257"")+IMPORTRANGE(""https://docs.google.com/spreadsheets/d/17HrOaa5pBUI1onckFfumXB8xlg35qb2uBAFfF1D-Myo/edit?usp=shar"&amp;"e_link"",""สุโขทัย!J257"")+IMPORTRANGE(""https://docs.google.com/spreadsheets/d/1ubs5cl16eYL9gHbdHTJtmtYb9MGzHBs7CAphn8kNCgM/edit?usp=share_link"",""อุตรดิตถ์!J257"")+IMPORTRANGE(""https://docs.google.com/spreadsheets/d/1kII0BjS6CtVrBvI8IrytgPdxDrlyQDyigz"&amp;"MsohRtDMs/edit?usp=share_link"",""อุทัยธานี!J257"")
"),0)</f>
        <v>0</v>
      </c>
      <c r="K257" s="38">
        <f t="shared" ref="K257:K258" ca="1" si="137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182" t="s">
        <v>66</v>
      </c>
      <c r="I258" s="37">
        <f ca="1">IFERROR(__xludf.DUMMYFUNCTION("IMPORTRANGE(""https://docs.google.com/spreadsheets/d/1KxicF4apzSqm0-jIpmueT4kyZtE-Cwn5zskl7GD4loQ/edit?usp=share_link"",""กำแพงเพชร!I258"")+IMPORTRANGE(""https://docs.google.com/spreadsheets/d/1ZNYWeiFoFA1K1U4xKWqRX29MBvEyRHXORjo734Gnq_c/edit?usp=share_li"&amp;"nk"",""เชียงราย!I258"")
+IMPORTRANGE(""https://docs.google.com/spreadsheets/d/1Jgv0Y7YlHDtsiDawwp-uvifEJ8HVaSn0k2aGHG8-hwM/edit?usp=share_link"",""เชียงใหม่!I258"")+IMPORTRANGE(""https://docs.google.com/spreadsheets/d/1JWG2rZePOz9pe-f-ObA-yDr0VoOX2kSb0qIi"&amp;"x2mTUo8/edit?usp=share_link"",""ตาก!I258"")+IMPORTRANGE(""https://docs.google.com/spreadsheets/d/10nSRjK08hx8Y6HgSOQKNw81lyY46Zc7U_Cj72hBMp9U/edit?usp=share_link"",""นครสวรรค์!I258"")+IMPORTRANGE(""https://docs.google.com/spreadsheets/d/1gFVb7qd7amutrIxAA"&amp;"oM7lcy35hllxznovot8lyOfvDo/edit?usp=share_link"",""น่าน!I258"")+IMPORTRANGE(""https://docs.google.com/spreadsheets/d/1K0Aa9s-6EuHE5M0FG1F9aHLXRCOV917xvycTdLdct0w/edit?usp=share_link"",""พะเยา!I258"")+IMPORTRANGE(""https://docs.google.com/spreadsheets/d/1Y"&amp;"9LPKx95PyL5OKy09d-KbKJSuuEZCFdkhYjwC0XQjBA/edit?usp=share_link"",""พิจิตร!I258"")+IMPORTRANGE(""https://docs.google.com/spreadsheets/d/16OMuOwy2eVqZcYWOouQtTpa8X1L23h4660uVHc0C8os/edit?usp=share_link"",""พิษณุโลก!I258"")+IMPORTRANGE(""https://docs.google."&amp;"com/spreadsheets/d/1GfgTldLG6k77HXaMQzaafODklYuucJZQNs_GAPEfZyY/edit?usp=share_link"",""เพชรบูรณ์!I258"")+IMPORTRANGE(""https://docs.google.com/spreadsheets/d/1gvTMYAnm7v1yG1BKWFtr0DnaTsq59oW9dwWvFgq6hs0/edit?usp=share_link"",""แพร่!I258"")+IMPORTRANGE("""&amp;"https://docs.google.com/spreadsheets/d/1Wbcosgy-Xa1xXUArJSOenub6EfZHUSzc_bpJFWwQUf0/edit?usp=share_link"",""แม่ฮ่องสอน!I258"")+IMPORTRANGE(""https://docs.google.com/spreadsheets/d/1p7ERhsr0qZeSn-KSOdeHS9r0heI-lHtkcn2OH7hP0jQ/edit?usp=share_link"",""ลำปาง!"&amp;"I258"")+IMPORTRANGE(""https://docs.google.com/spreadsheets/d/1-uUXvimVhiU2U0bMN-xi2te0tS4X7DI2GLPnMjzl8cA/edit?usp=share_link"",""ลำพูน!I258"")+IMPORTRANGE(""https://docs.google.com/spreadsheets/d/17HrOaa5pBUI1onckFfumXB8xlg35qb2uBAFfF1D-Myo/edit?usp=shar"&amp;"e_link"",""สุโขทัย!I258"")+IMPORTRANGE(""https://docs.google.com/spreadsheets/d/1ubs5cl16eYL9gHbdHTJtmtYb9MGzHBs7CAphn8kNCgM/edit?usp=share_link"",""อุตรดิตถ์!I258"")+IMPORTRANGE(""https://docs.google.com/spreadsheets/d/1kII0BjS6CtVrBvI8IrytgPdxDrlyQDyigz"&amp;"MsohRtDMs/edit?usp=share_link"",""อุทัยธานี!I258"")
"),1)</f>
        <v>1</v>
      </c>
      <c r="J258" s="183">
        <f ca="1">IFERROR(__xludf.DUMMYFUNCTION("IMPORTRANGE(""https://docs.google.com/spreadsheets/d/1KxicF4apzSqm0-jIpmueT4kyZtE-Cwn5zskl7GD4loQ/edit?usp=share_link"",""กำแพงเพชร!J258"")+IMPORTRANGE(""https://docs.google.com/spreadsheets/d/1ZNYWeiFoFA1K1U4xKWqRX29MBvEyRHXORjo734Gnq_c/edit?usp=share_li"&amp;"nk"",""เชียงราย!J258"")
+IMPORTRANGE(""https://docs.google.com/spreadsheets/d/1Jgv0Y7YlHDtsiDawwp-uvifEJ8HVaSn0k2aGHG8-hwM/edit?usp=share_link"",""เชียงใหม่!J258"")+IMPORTRANGE(""https://docs.google.com/spreadsheets/d/1JWG2rZePOz9pe-f-ObA-yDr0VoOX2kSb0qIi"&amp;"x2mTUo8/edit?usp=share_link"",""ตาก!J258"")+IMPORTRANGE(""https://docs.google.com/spreadsheets/d/10nSRjK08hx8Y6HgSOQKNw81lyY46Zc7U_Cj72hBMp9U/edit?usp=share_link"",""นครสวรรค์!J258"")+IMPORTRANGE(""https://docs.google.com/spreadsheets/d/1gFVb7qd7amutrIxAA"&amp;"oM7lcy35hllxznovot8lyOfvDo/edit?usp=share_link"",""น่าน!J258"")+IMPORTRANGE(""https://docs.google.com/spreadsheets/d/1K0Aa9s-6EuHE5M0FG1F9aHLXRCOV917xvycTdLdct0w/edit?usp=share_link"",""พะเยา!J258"")+IMPORTRANGE(""https://docs.google.com/spreadsheets/d/1Y"&amp;"9LPKx95PyL5OKy09d-KbKJSuuEZCFdkhYjwC0XQjBA/edit?usp=share_link"",""พิจิตร!J258"")+IMPORTRANGE(""https://docs.google.com/spreadsheets/d/16OMuOwy2eVqZcYWOouQtTpa8X1L23h4660uVHc0C8os/edit?usp=share_link"",""พิษณุโลก!J258"")+IMPORTRANGE(""https://docs.google."&amp;"com/spreadsheets/d/1GfgTldLG6k77HXaMQzaafODklYuucJZQNs_GAPEfZyY/edit?usp=share_link"",""เพชรบูรณ์!J258"")+IMPORTRANGE(""https://docs.google.com/spreadsheets/d/1gvTMYAnm7v1yG1BKWFtr0DnaTsq59oW9dwWvFgq6hs0/edit?usp=share_link"",""แพร่!J258"")+IMPORTRANGE("""&amp;"https://docs.google.com/spreadsheets/d/1Wbcosgy-Xa1xXUArJSOenub6EfZHUSzc_bpJFWwQUf0/edit?usp=share_link"",""แม่ฮ่องสอน!J258"")+IMPORTRANGE(""https://docs.google.com/spreadsheets/d/1p7ERhsr0qZeSn-KSOdeHS9r0heI-lHtkcn2OH7hP0jQ/edit?usp=share_link"",""ลำปาง!"&amp;"J258"")+IMPORTRANGE(""https://docs.google.com/spreadsheets/d/1-uUXvimVhiU2U0bMN-xi2te0tS4X7DI2GLPnMjzl8cA/edit?usp=share_link"",""ลำพูน!J258"")+IMPORTRANGE(""https://docs.google.com/spreadsheets/d/17HrOaa5pBUI1onckFfumXB8xlg35qb2uBAFfF1D-Myo/edit?usp=shar"&amp;"e_link"",""สุโขทัย!J258"")+IMPORTRANGE(""https://docs.google.com/spreadsheets/d/1ubs5cl16eYL9gHbdHTJtmtYb9MGzHBs7CAphn8kNCgM/edit?usp=share_link"",""อุตรดิตถ์!J258"")+IMPORTRANGE(""https://docs.google.com/spreadsheets/d/1kII0BjS6CtVrBvI8IrytgPdxDrlyQDyigz"&amp;"MsohRtDMs/edit?usp=share_link"",""อุทัยธานี!J258"")
"),0)</f>
        <v>0</v>
      </c>
      <c r="K258" s="38">
        <f t="shared" ca="1" si="137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8">I271</f>
        <v>396</v>
      </c>
      <c r="J260" s="253">
        <f t="shared" ca="1" si="138"/>
        <v>374</v>
      </c>
      <c r="K260" s="254">
        <f ca="1">IF(I260&gt;0,J260*100/I260,0)</f>
        <v>94.444444444444443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9">L262+L263</f>
        <v>1193200</v>
      </c>
      <c r="M261" s="155">
        <f t="shared" ca="1" si="139"/>
        <v>947200</v>
      </c>
      <c r="N261" s="155">
        <f t="shared" ca="1" si="139"/>
        <v>610880.43999999994</v>
      </c>
      <c r="O261" s="155">
        <f t="shared" ref="O261:O269" ca="1" si="140">IF(L261&gt;0,N261*100/L261,0)</f>
        <v>51.196818638954063</v>
      </c>
      <c r="P261" s="155">
        <f t="shared" ref="P261:P269" ca="1" si="141">IF(M261&gt;0,N261*100/M261,0)</f>
        <v>64.493289695945933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2">L265+L268</f>
        <v>0</v>
      </c>
      <c r="M262" s="45">
        <f t="shared" si="142"/>
        <v>0</v>
      </c>
      <c r="N262" s="45">
        <f t="shared" si="142"/>
        <v>0</v>
      </c>
      <c r="O262" s="45">
        <f t="shared" si="140"/>
        <v>0</v>
      </c>
      <c r="P262" s="45">
        <f t="shared" si="141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3">L266+L269</f>
        <v>1193200</v>
      </c>
      <c r="M263" s="45">
        <f t="shared" ca="1" si="143"/>
        <v>947200</v>
      </c>
      <c r="N263" s="45">
        <f t="shared" ca="1" si="143"/>
        <v>610880.43999999994</v>
      </c>
      <c r="O263" s="45">
        <f t="shared" ca="1" si="140"/>
        <v>51.196818638954063</v>
      </c>
      <c r="P263" s="45">
        <f t="shared" ca="1" si="141"/>
        <v>64.493289695945933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4">L265+L266</f>
        <v>1193200</v>
      </c>
      <c r="M264" s="38">
        <f t="shared" ca="1" si="144"/>
        <v>947200</v>
      </c>
      <c r="N264" s="38">
        <f t="shared" ca="1" si="144"/>
        <v>610880.43999999994</v>
      </c>
      <c r="O264" s="38">
        <f t="shared" ca="1" si="140"/>
        <v>51.196818638954063</v>
      </c>
      <c r="P264" s="38">
        <f t="shared" ca="1" si="141"/>
        <v>64.493289695945933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40"/>
        <v>0</v>
      </c>
      <c r="P265" s="45">
        <f t="shared" si="141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KxicF4apzSqm0-jIpmueT4kyZtE-Cwn5zskl7GD4loQ/edit?usp=share_link"",""กำแพงเพชร!l266"")+IMPORTRANGE(""https://docs.google.com/spreadsheets/d/1ZNYWeiFoFA1K1U4xKWqRX29MBvEyRHXORjo734Gnq_c/edit?usp=share_li"&amp;"nk"",""เชียงราย!l266"")
+IMPORTRANGE(""https://docs.google.com/spreadsheets/d/1Jgv0Y7YlHDtsiDawwp-uvifEJ8HVaSn0k2aGHG8-hwM/edit?usp=share_link"",""เชียงใหม่!l266"")+IMPORTRANGE(""https://docs.google.com/spreadsheets/d/1JWG2rZePOz9pe-f-ObA-yDr0VoOX2kSb0qIi"&amp;"x2mTUo8/edit?usp=share_link"",""ตาก!l266"")+IMPORTRANGE(""https://docs.google.com/spreadsheets/d/10nSRjK08hx8Y6HgSOQKNw81lyY46Zc7U_Cj72hBMp9U/edit?usp=share_link"",""นครสวรรค์!l266"")+IMPORTRANGE(""https://docs.google.com/spreadsheets/d/1gFVb7qd7amutrIxAA"&amp;"oM7lcy35hllxznovot8lyOfvDo/edit?usp=share_link"",""น่าน!l266"")+IMPORTRANGE(""https://docs.google.com/spreadsheets/d/1K0Aa9s-6EuHE5M0FG1F9aHLXRCOV917xvycTdLdct0w/edit?usp=share_link"",""พะเยา!l266"")+IMPORTRANGE(""https://docs.google.com/spreadsheets/d/1Y"&amp;"9LPKx95PyL5OKy09d-KbKJSuuEZCFdkhYjwC0XQjBA/edit?usp=share_link"",""พิจิตร!l266"")+IMPORTRANGE(""https://docs.google.com/spreadsheets/d/16OMuOwy2eVqZcYWOouQtTpa8X1L23h4660uVHc0C8os/edit?usp=share_link"",""พิษณุโลก!l266"")+IMPORTRANGE(""https://docs.google."&amp;"com/spreadsheets/d/1GfgTldLG6k77HXaMQzaafODklYuucJZQNs_GAPEfZyY/edit?usp=share_link"",""เพชรบูรณ์!l266"")+IMPORTRANGE(""https://docs.google.com/spreadsheets/d/1gvTMYAnm7v1yG1BKWFtr0DnaTsq59oW9dwWvFgq6hs0/edit?usp=share_link"",""แพร่!l266"")+IMPORTRANGE("""&amp;"https://docs.google.com/spreadsheets/d/1Wbcosgy-Xa1xXUArJSOenub6EfZHUSzc_bpJFWwQUf0/edit?usp=share_link"",""แม่ฮ่องสอน!l266"")+IMPORTRANGE(""https://docs.google.com/spreadsheets/d/1p7ERhsr0qZeSn-KSOdeHS9r0heI-lHtkcn2OH7hP0jQ/edit?usp=share_link"",""ลำปาง!"&amp;"l266"")+IMPORTRANGE(""https://docs.google.com/spreadsheets/d/1-uUXvimVhiU2U0bMN-xi2te0tS4X7DI2GLPnMjzl8cA/edit?usp=share_link"",""ลำพูน!l266"")+IMPORTRANGE(""https://docs.google.com/spreadsheets/d/17HrOaa5pBUI1onckFfumXB8xlg35qb2uBAFfF1D-Myo/edit?usp=shar"&amp;"e_link"",""สุโขทัย!l266"")+IMPORTRANGE(""https://docs.google.com/spreadsheets/d/1ubs5cl16eYL9gHbdHTJtmtYb9MGzHBs7CAphn8kNCgM/edit?usp=share_link"",""อุตรดิตถ์!l266"")+IMPORTRANGE(""https://docs.google.com/spreadsheets/d/1kII0BjS6CtVrBvI8IrytgPdxDrlyQDyigz"&amp;"MsohRtDMs/edit?usp=share_link"",""อุทัยธานี!l266"")
"),1193200)</f>
        <v>1193200</v>
      </c>
      <c r="M266" s="45">
        <f ca="1">IFERROR(__xludf.DUMMYFUNCTION("IMPORTRANGE(""https://docs.google.com/spreadsheets/d/1KxicF4apzSqm0-jIpmueT4kyZtE-Cwn5zskl7GD4loQ/edit?usp=share_link"",""กำแพงเพชร!m266"")+IMPORTRANGE(""https://docs.google.com/spreadsheets/d/1ZNYWeiFoFA1K1U4xKWqRX29MBvEyRHXORjo734Gnq_c/edit?usp=share_li"&amp;"nk"",""เชียงราย!m266"")
+IMPORTRANGE(""https://docs.google.com/spreadsheets/d/1Jgv0Y7YlHDtsiDawwp-uvifEJ8HVaSn0k2aGHG8-hwM/edit?usp=share_link"",""เชียงใหม่!m266"")+IMPORTRANGE(""https://docs.google.com/spreadsheets/d/1JWG2rZePOz9pe-f-ObA-yDr0VoOX2kSb0qIi"&amp;"x2mTUo8/edit?usp=share_link"",""ตาก!m266"")+IMPORTRANGE(""https://docs.google.com/spreadsheets/d/10nSRjK08hx8Y6HgSOQKNw81lyY46Zc7U_Cj72hBMp9U/edit?usp=share_link"",""นครสวรรค์!m266"")+IMPORTRANGE(""https://docs.google.com/spreadsheets/d/1gFVb7qd7amutrIxAA"&amp;"oM7lcy35hllxznovot8lyOfvDo/edit?usp=share_link"",""น่าน!m266"")+IMPORTRANGE(""https://docs.google.com/spreadsheets/d/1K0Aa9s-6EuHE5M0FG1F9aHLXRCOV917xvycTdLdct0w/edit?usp=share_link"",""พะเยา!m266"")+IMPORTRANGE(""https://docs.google.com/spreadsheets/d/1Y"&amp;"9LPKx95PyL5OKy09d-KbKJSuuEZCFdkhYjwC0XQjBA/edit?usp=share_link"",""พิจิตร!m266"")+IMPORTRANGE(""https://docs.google.com/spreadsheets/d/16OMuOwy2eVqZcYWOouQtTpa8X1L23h4660uVHc0C8os/edit?usp=share_link"",""พิษณุโลก!m266"")+IMPORTRANGE(""https://docs.google."&amp;"com/spreadsheets/d/1GfgTldLG6k77HXaMQzaafODklYuucJZQNs_GAPEfZyY/edit?usp=share_link"",""เพชรบูรณ์!m266"")+IMPORTRANGE(""https://docs.google.com/spreadsheets/d/1gvTMYAnm7v1yG1BKWFtr0DnaTsq59oW9dwWvFgq6hs0/edit?usp=share_link"",""แพร่!m266"")+IMPORTRANGE("""&amp;"https://docs.google.com/spreadsheets/d/1Wbcosgy-Xa1xXUArJSOenub6EfZHUSzc_bpJFWwQUf0/edit?usp=share_link"",""แม่ฮ่องสอน!m266"")+IMPORTRANGE(""https://docs.google.com/spreadsheets/d/1p7ERhsr0qZeSn-KSOdeHS9r0heI-lHtkcn2OH7hP0jQ/edit?usp=share_link"",""ลำปาง!"&amp;"m266"")+IMPORTRANGE(""https://docs.google.com/spreadsheets/d/1-uUXvimVhiU2U0bMN-xi2te0tS4X7DI2GLPnMjzl8cA/edit?usp=share_link"",""ลำพูน!m266"")+IMPORTRANGE(""https://docs.google.com/spreadsheets/d/17HrOaa5pBUI1onckFfumXB8xlg35qb2uBAFfF1D-Myo/edit?usp=shar"&amp;"e_link"",""สุโขทัย!m266"")+IMPORTRANGE(""https://docs.google.com/spreadsheets/d/1ubs5cl16eYL9gHbdHTJtmtYb9MGzHBs7CAphn8kNCgM/edit?usp=share_link"",""อุตรดิตถ์!m266"")+IMPORTRANGE(""https://docs.google.com/spreadsheets/d/1kII0BjS6CtVrBvI8IrytgPdxDrlyQDyigz"&amp;"MsohRtDMs/edit?usp=share_link"",""อุทัยธานี!m266"")
"),947200)</f>
        <v>947200</v>
      </c>
      <c r="N266" s="45">
        <f ca="1">IFERROR(__xludf.DUMMYFUNCTION("IMPORTRANGE(""https://docs.google.com/spreadsheets/d/1KxicF4apzSqm0-jIpmueT4kyZtE-Cwn5zskl7GD4loQ/edit?usp=share_link"",""กำแพงเพชร!n266"")+IMPORTRANGE(""https://docs.google.com/spreadsheets/d/1ZNYWeiFoFA1K1U4xKWqRX29MBvEyRHXORjo734Gnq_c/edit?usp=share_li"&amp;"nk"",""เชียงราย!n266"")
+IMPORTRANGE(""https://docs.google.com/spreadsheets/d/1Jgv0Y7YlHDtsiDawwp-uvifEJ8HVaSn0k2aGHG8-hwM/edit?usp=share_link"",""เชียงใหม่!n266"")+IMPORTRANGE(""https://docs.google.com/spreadsheets/d/1JWG2rZePOz9pe-f-ObA-yDr0VoOX2kSb0qIi"&amp;"x2mTUo8/edit?usp=share_link"",""ตาก!n266"")+IMPORTRANGE(""https://docs.google.com/spreadsheets/d/10nSRjK08hx8Y6HgSOQKNw81lyY46Zc7U_Cj72hBMp9U/edit?usp=share_link"",""นครสวรรค์!n266"")+IMPORTRANGE(""https://docs.google.com/spreadsheets/d/1gFVb7qd7amutrIxAA"&amp;"oM7lcy35hllxznovot8lyOfvDo/edit?usp=share_link"",""น่าน!n266"")+IMPORTRANGE(""https://docs.google.com/spreadsheets/d/1K0Aa9s-6EuHE5M0FG1F9aHLXRCOV917xvycTdLdct0w/edit?usp=share_link"",""พะเยา!n266"")+IMPORTRANGE(""https://docs.google.com/spreadsheets/d/1Y"&amp;"9LPKx95PyL5OKy09d-KbKJSuuEZCFdkhYjwC0XQjBA/edit?usp=share_link"",""พิจิตร!n266"")+IMPORTRANGE(""https://docs.google.com/spreadsheets/d/16OMuOwy2eVqZcYWOouQtTpa8X1L23h4660uVHc0C8os/edit?usp=share_link"",""พิษณุโลก!n266"")+IMPORTRANGE(""https://docs.google."&amp;"com/spreadsheets/d/1GfgTldLG6k77HXaMQzaafODklYuucJZQNs_GAPEfZyY/edit?usp=share_link"",""เพชรบูรณ์!n266"")+IMPORTRANGE(""https://docs.google.com/spreadsheets/d/1gvTMYAnm7v1yG1BKWFtr0DnaTsq59oW9dwWvFgq6hs0/edit?usp=share_link"",""แพร่!n266"")+IMPORTRANGE("""&amp;"https://docs.google.com/spreadsheets/d/1Wbcosgy-Xa1xXUArJSOenub6EfZHUSzc_bpJFWwQUf0/edit?usp=share_link"",""แม่ฮ่องสอน!n266"")+IMPORTRANGE(""https://docs.google.com/spreadsheets/d/1p7ERhsr0qZeSn-KSOdeHS9r0heI-lHtkcn2OH7hP0jQ/edit?usp=share_link"",""ลำปาง!"&amp;"n266"")+IMPORTRANGE(""https://docs.google.com/spreadsheets/d/1-uUXvimVhiU2U0bMN-xi2te0tS4X7DI2GLPnMjzl8cA/edit?usp=share_link"",""ลำพูน!n266"")+IMPORTRANGE(""https://docs.google.com/spreadsheets/d/17HrOaa5pBUI1onckFfumXB8xlg35qb2uBAFfF1D-Myo/edit?usp=shar"&amp;"e_link"",""สุโขทัย!n266"")+IMPORTRANGE(""https://docs.google.com/spreadsheets/d/1ubs5cl16eYL9gHbdHTJtmtYb9MGzHBs7CAphn8kNCgM/edit?usp=share_link"",""อุตรดิตถ์!n266"")+IMPORTRANGE(""https://docs.google.com/spreadsheets/d/1kII0BjS6CtVrBvI8IrytgPdxDrlyQDyigz"&amp;"MsohRtDMs/edit?usp=share_link"",""อุทัยธานี!n266"")
"),610880.44)</f>
        <v>610880.43999999994</v>
      </c>
      <c r="O266" s="45">
        <f t="shared" ca="1" si="140"/>
        <v>51.196818638954063</v>
      </c>
      <c r="P266" s="45">
        <f t="shared" ca="1" si="141"/>
        <v>64.493289695945933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5">L268+L269</f>
        <v>0</v>
      </c>
      <c r="M267" s="38">
        <f t="shared" ca="1" si="145"/>
        <v>0</v>
      </c>
      <c r="N267" s="38">
        <f t="shared" ca="1" si="145"/>
        <v>0</v>
      </c>
      <c r="O267" s="38">
        <f t="shared" ca="1" si="140"/>
        <v>0</v>
      </c>
      <c r="P267" s="38">
        <f t="shared" ca="1" si="141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40"/>
        <v>0</v>
      </c>
      <c r="P268" s="45">
        <f t="shared" si="141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KxicF4apzSqm0-jIpmueT4kyZtE-Cwn5zskl7GD4loQ/edit?usp=share_link"",""กำแพงเพชร!l269"")+IMPORTRANGE(""https://docs.google.com/spreadsheets/d/1ZNYWeiFoFA1K1U4xKWqRX29MBvEyRHXORjo734Gnq_c/edit?usp=share_li"&amp;"nk"",""เชียงราย!l269"")
+IMPORTRANGE(""https://docs.google.com/spreadsheets/d/1Jgv0Y7YlHDtsiDawwp-uvifEJ8HVaSn0k2aGHG8-hwM/edit?usp=share_link"",""เชียงใหม่!l269"")+IMPORTRANGE(""https://docs.google.com/spreadsheets/d/1JWG2rZePOz9pe-f-ObA-yDr0VoOX2kSb0qIi"&amp;"x2mTUo8/edit?usp=share_link"",""ตาก!l269"")+IMPORTRANGE(""https://docs.google.com/spreadsheets/d/10nSRjK08hx8Y6HgSOQKNw81lyY46Zc7U_Cj72hBMp9U/edit?usp=share_link"",""นครสวรรค์!l269"")+IMPORTRANGE(""https://docs.google.com/spreadsheets/d/1gFVb7qd7amutrIxAA"&amp;"oM7lcy35hllxznovot8lyOfvDo/edit?usp=share_link"",""น่าน!l269"")+IMPORTRANGE(""https://docs.google.com/spreadsheets/d/1K0Aa9s-6EuHE5M0FG1F9aHLXRCOV917xvycTdLdct0w/edit?usp=share_link"",""พะเยา!l269"")+IMPORTRANGE(""https://docs.google.com/spreadsheets/d/1Y"&amp;"9LPKx95PyL5OKy09d-KbKJSuuEZCFdkhYjwC0XQjBA/edit?usp=share_link"",""พิจิตร!l269"")+IMPORTRANGE(""https://docs.google.com/spreadsheets/d/16OMuOwy2eVqZcYWOouQtTpa8X1L23h4660uVHc0C8os/edit?usp=share_link"",""พิษณุโลก!l269"")+IMPORTRANGE(""https://docs.google."&amp;"com/spreadsheets/d/1GfgTldLG6k77HXaMQzaafODklYuucJZQNs_GAPEfZyY/edit?usp=share_link"",""เพชรบูรณ์!l269"")+IMPORTRANGE(""https://docs.google.com/spreadsheets/d/1gvTMYAnm7v1yG1BKWFtr0DnaTsq59oW9dwWvFgq6hs0/edit?usp=share_link"",""แพร่!l269"")+IMPORTRANGE("""&amp;"https://docs.google.com/spreadsheets/d/1Wbcosgy-Xa1xXUArJSOenub6EfZHUSzc_bpJFWwQUf0/edit?usp=share_link"",""แม่ฮ่องสอน!l269"")+IMPORTRANGE(""https://docs.google.com/spreadsheets/d/1p7ERhsr0qZeSn-KSOdeHS9r0heI-lHtkcn2OH7hP0jQ/edit?usp=share_link"",""ลำปาง!"&amp;"l269"")+IMPORTRANGE(""https://docs.google.com/spreadsheets/d/1-uUXvimVhiU2U0bMN-xi2te0tS4X7DI2GLPnMjzl8cA/edit?usp=share_link"",""ลำพูน!l269"")+IMPORTRANGE(""https://docs.google.com/spreadsheets/d/17HrOaa5pBUI1onckFfumXB8xlg35qb2uBAFfF1D-Myo/edit?usp=shar"&amp;"e_link"",""สุโขทัย!l269"")+IMPORTRANGE(""https://docs.google.com/spreadsheets/d/1ubs5cl16eYL9gHbdHTJtmtYb9MGzHBs7CAphn8kNCgM/edit?usp=share_link"",""อุตรดิตถ์!l269"")+IMPORTRANGE(""https://docs.google.com/spreadsheets/d/1kII0BjS6CtVrBvI8IrytgPdxDrlyQDyigz"&amp;"MsohRtDMs/edit?usp=share_link"",""อุทัยธานี!l269"")
"),0)</f>
        <v>0</v>
      </c>
      <c r="M269" s="45">
        <f ca="1">IFERROR(__xludf.DUMMYFUNCTION("IMPORTRANGE(""https://docs.google.com/spreadsheets/d/1KxicF4apzSqm0-jIpmueT4kyZtE-Cwn5zskl7GD4loQ/edit?usp=share_link"",""กำแพงเพชร!m269"")+IMPORTRANGE(""https://docs.google.com/spreadsheets/d/1ZNYWeiFoFA1K1U4xKWqRX29MBvEyRHXORjo734Gnq_c/edit?usp=share_li"&amp;"nk"",""เชียงราย!m269"")
+IMPORTRANGE(""https://docs.google.com/spreadsheets/d/1Jgv0Y7YlHDtsiDawwp-uvifEJ8HVaSn0k2aGHG8-hwM/edit?usp=share_link"",""เชียงใหม่!m269"")+IMPORTRANGE(""https://docs.google.com/spreadsheets/d/1JWG2rZePOz9pe-f-ObA-yDr0VoOX2kSb0qIi"&amp;"x2mTUo8/edit?usp=share_link"",""ตาก!m269"")+IMPORTRANGE(""https://docs.google.com/spreadsheets/d/10nSRjK08hx8Y6HgSOQKNw81lyY46Zc7U_Cj72hBMp9U/edit?usp=share_link"",""นครสวรรค์!m269"")+IMPORTRANGE(""https://docs.google.com/spreadsheets/d/1gFVb7qd7amutrIxAA"&amp;"oM7lcy35hllxznovot8lyOfvDo/edit?usp=share_link"",""น่าน!m269"")+IMPORTRANGE(""https://docs.google.com/spreadsheets/d/1K0Aa9s-6EuHE5M0FG1F9aHLXRCOV917xvycTdLdct0w/edit?usp=share_link"",""พะเยา!m269"")+IMPORTRANGE(""https://docs.google.com/spreadsheets/d/1Y"&amp;"9LPKx95PyL5OKy09d-KbKJSuuEZCFdkhYjwC0XQjBA/edit?usp=share_link"",""พิจิตร!m269"")+IMPORTRANGE(""https://docs.google.com/spreadsheets/d/16OMuOwy2eVqZcYWOouQtTpa8X1L23h4660uVHc0C8os/edit?usp=share_link"",""พิษณุโลก!m269"")+IMPORTRANGE(""https://docs.google."&amp;"com/spreadsheets/d/1GfgTldLG6k77HXaMQzaafODklYuucJZQNs_GAPEfZyY/edit?usp=share_link"",""เพชรบูรณ์!m269"")+IMPORTRANGE(""https://docs.google.com/spreadsheets/d/1gvTMYAnm7v1yG1BKWFtr0DnaTsq59oW9dwWvFgq6hs0/edit?usp=share_link"",""แพร่!m269"")+IMPORTRANGE("""&amp;"https://docs.google.com/spreadsheets/d/1Wbcosgy-Xa1xXUArJSOenub6EfZHUSzc_bpJFWwQUf0/edit?usp=share_link"",""แม่ฮ่องสอน!m269"")+IMPORTRANGE(""https://docs.google.com/spreadsheets/d/1p7ERhsr0qZeSn-KSOdeHS9r0heI-lHtkcn2OH7hP0jQ/edit?usp=share_link"",""ลำปาง!"&amp;"m269"")+IMPORTRANGE(""https://docs.google.com/spreadsheets/d/1-uUXvimVhiU2U0bMN-xi2te0tS4X7DI2GLPnMjzl8cA/edit?usp=share_link"",""ลำพูน!m269"")+IMPORTRANGE(""https://docs.google.com/spreadsheets/d/17HrOaa5pBUI1onckFfumXB8xlg35qb2uBAFfF1D-Myo/edit?usp=shar"&amp;"e_link"",""สุโขทัย!m269"")+IMPORTRANGE(""https://docs.google.com/spreadsheets/d/1ubs5cl16eYL9gHbdHTJtmtYb9MGzHBs7CAphn8kNCgM/edit?usp=share_link"",""อุตรดิตถ์!m269"")+IMPORTRANGE(""https://docs.google.com/spreadsheets/d/1kII0BjS6CtVrBvI8IrytgPdxDrlyQDyigz"&amp;"MsohRtDMs/edit?usp=share_link"",""อุทัยธานี!m269"")
"),0)</f>
        <v>0</v>
      </c>
      <c r="N269" s="45">
        <f ca="1">IFERROR(__xludf.DUMMYFUNCTION("IMPORTRANGE(""https://docs.google.com/spreadsheets/d/1KxicF4apzSqm0-jIpmueT4kyZtE-Cwn5zskl7GD4loQ/edit?usp=share_link"",""กำแพงเพชร!n269"")+IMPORTRANGE(""https://docs.google.com/spreadsheets/d/1ZNYWeiFoFA1K1U4xKWqRX29MBvEyRHXORjo734Gnq_c/edit?usp=share_li"&amp;"nk"",""เชียงราย!n269"")
+IMPORTRANGE(""https://docs.google.com/spreadsheets/d/1Jgv0Y7YlHDtsiDawwp-uvifEJ8HVaSn0k2aGHG8-hwM/edit?usp=share_link"",""เชียงใหม่!n269"")+IMPORTRANGE(""https://docs.google.com/spreadsheets/d/1JWG2rZePOz9pe-f-ObA-yDr0VoOX2kSb0qIi"&amp;"x2mTUo8/edit?usp=share_link"",""ตาก!n269"")+IMPORTRANGE(""https://docs.google.com/spreadsheets/d/10nSRjK08hx8Y6HgSOQKNw81lyY46Zc7U_Cj72hBMp9U/edit?usp=share_link"",""นครสวรรค์!n269"")+IMPORTRANGE(""https://docs.google.com/spreadsheets/d/1gFVb7qd7amutrIxAA"&amp;"oM7lcy35hllxznovot8lyOfvDo/edit?usp=share_link"",""น่าน!n269"")+IMPORTRANGE(""https://docs.google.com/spreadsheets/d/1K0Aa9s-6EuHE5M0FG1F9aHLXRCOV917xvycTdLdct0w/edit?usp=share_link"",""พะเยา!n269"")+IMPORTRANGE(""https://docs.google.com/spreadsheets/d/1Y"&amp;"9LPKx95PyL5OKy09d-KbKJSuuEZCFdkhYjwC0XQjBA/edit?usp=share_link"",""พิจิตร!n269"")+IMPORTRANGE(""https://docs.google.com/spreadsheets/d/16OMuOwy2eVqZcYWOouQtTpa8X1L23h4660uVHc0C8os/edit?usp=share_link"",""พิษณุโลก!n269"")+IMPORTRANGE(""https://docs.google."&amp;"com/spreadsheets/d/1GfgTldLG6k77HXaMQzaafODklYuucJZQNs_GAPEfZyY/edit?usp=share_link"",""เพชรบูรณ์!n269"")+IMPORTRANGE(""https://docs.google.com/spreadsheets/d/1gvTMYAnm7v1yG1BKWFtr0DnaTsq59oW9dwWvFgq6hs0/edit?usp=share_link"",""แพร่!n269"")+IMPORTRANGE("""&amp;"https://docs.google.com/spreadsheets/d/1Wbcosgy-Xa1xXUArJSOenub6EfZHUSzc_bpJFWwQUf0/edit?usp=share_link"",""แม่ฮ่องสอน!n269"")+IMPORTRANGE(""https://docs.google.com/spreadsheets/d/1p7ERhsr0qZeSn-KSOdeHS9r0heI-lHtkcn2OH7hP0jQ/edit?usp=share_link"",""ลำปาง!"&amp;"n269"")+IMPORTRANGE(""https://docs.google.com/spreadsheets/d/1-uUXvimVhiU2U0bMN-xi2te0tS4X7DI2GLPnMjzl8cA/edit?usp=share_link"",""ลำพูน!n269"")+IMPORTRANGE(""https://docs.google.com/spreadsheets/d/17HrOaa5pBUI1onckFfumXB8xlg35qb2uBAFfF1D-Myo/edit?usp=shar"&amp;"e_link"",""สุโขทัย!n269"")+IMPORTRANGE(""https://docs.google.com/spreadsheets/d/1ubs5cl16eYL9gHbdHTJtmtYb9MGzHBs7CAphn8kNCgM/edit?usp=share_link"",""อุตรดิตถ์!n269"")+IMPORTRANGE(""https://docs.google.com/spreadsheets/d/1kII0BjS6CtVrBvI8IrytgPdxDrlyQDyigz"&amp;"MsohRtDMs/edit?usp=share_link"",""อุทัยธานี!n269"")
"),0)</f>
        <v>0</v>
      </c>
      <c r="O269" s="45">
        <f t="shared" ca="1" si="140"/>
        <v>0</v>
      </c>
      <c r="P269" s="45">
        <f t="shared" ca="1" si="141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178"/>
      <c r="F271" s="269"/>
      <c r="G271" s="179"/>
      <c r="H271" s="346" t="s">
        <v>35</v>
      </c>
      <c r="I271" s="37">
        <f ca="1">IFERROR(__xludf.DUMMYFUNCTION("IMPORTRANGE(""https://docs.google.com/spreadsheets/d/1KxicF4apzSqm0-jIpmueT4kyZtE-Cwn5zskl7GD4loQ/edit?usp=share_link"",""กำแพงเพชร!I271"")+IMPORTRANGE(""https://docs.google.com/spreadsheets/d/1ZNYWeiFoFA1K1U4xKWqRX29MBvEyRHXORjo734Gnq_c/edit?usp=share_li"&amp;"nk"",""เชียงราย!I271"")
+IMPORTRANGE(""https://docs.google.com/spreadsheets/d/1Jgv0Y7YlHDtsiDawwp-uvifEJ8HVaSn0k2aGHG8-hwM/edit?usp=share_link"",""เชียงใหม่!I271"")+IMPORTRANGE(""https://docs.google.com/spreadsheets/d/1JWG2rZePOz9pe-f-ObA-yDr0VoOX2kSb0qIi"&amp;"x2mTUo8/edit?usp=share_link"",""ตาก!I271"")+IMPORTRANGE(""https://docs.google.com/spreadsheets/d/10nSRjK08hx8Y6HgSOQKNw81lyY46Zc7U_Cj72hBMp9U/edit?usp=share_link"",""นครสวรรค์!I271"")+IMPORTRANGE(""https://docs.google.com/spreadsheets/d/1gFVb7qd7amutrIxAA"&amp;"oM7lcy35hllxznovot8lyOfvDo/edit?usp=share_link"",""น่าน!I271"")+IMPORTRANGE(""https://docs.google.com/spreadsheets/d/1K0Aa9s-6EuHE5M0FG1F9aHLXRCOV917xvycTdLdct0w/edit?usp=share_link"",""พะเยา!I271"")+IMPORTRANGE(""https://docs.google.com/spreadsheets/d/1Y"&amp;"9LPKx95PyL5OKy09d-KbKJSuuEZCFdkhYjwC0XQjBA/edit?usp=share_link"",""พิจิตร!I271"")+IMPORTRANGE(""https://docs.google.com/spreadsheets/d/16OMuOwy2eVqZcYWOouQtTpa8X1L23h4660uVHc0C8os/edit?usp=share_link"",""พิษณุโลก!I271"")+IMPORTRANGE(""https://docs.google."&amp;"com/spreadsheets/d/1GfgTldLG6k77HXaMQzaafODklYuucJZQNs_GAPEfZyY/edit?usp=share_link"",""เพชรบูรณ์!I271"")+IMPORTRANGE(""https://docs.google.com/spreadsheets/d/1gvTMYAnm7v1yG1BKWFtr0DnaTsq59oW9dwWvFgq6hs0/edit?usp=share_link"",""แพร่!I271"")+IMPORTRANGE("""&amp;"https://docs.google.com/spreadsheets/d/1Wbcosgy-Xa1xXUArJSOenub6EfZHUSzc_bpJFWwQUf0/edit?usp=share_link"",""แม่ฮ่องสอน!I271"")+IMPORTRANGE(""https://docs.google.com/spreadsheets/d/1p7ERhsr0qZeSn-KSOdeHS9r0heI-lHtkcn2OH7hP0jQ/edit?usp=share_link"",""ลำปาง!"&amp;"I271"")+IMPORTRANGE(""https://docs.google.com/spreadsheets/d/1-uUXvimVhiU2U0bMN-xi2te0tS4X7DI2GLPnMjzl8cA/edit?usp=share_link"",""ลำพูน!I271"")+IMPORTRANGE(""https://docs.google.com/spreadsheets/d/17HrOaa5pBUI1onckFfumXB8xlg35qb2uBAFfF1D-Myo/edit?usp=shar"&amp;"e_link"",""สุโขทัย!I271"")+IMPORTRANGE(""https://docs.google.com/spreadsheets/d/1ubs5cl16eYL9gHbdHTJtmtYb9MGzHBs7CAphn8kNCgM/edit?usp=share_link"",""อุตรดิตถ์!I271"")+IMPORTRANGE(""https://docs.google.com/spreadsheets/d/1kII0BjS6CtVrBvI8IrytgPdxDrlyQDyigz"&amp;"MsohRtDMs/edit?usp=share_link"",""อุทัยธานี!I271"")
"),396)</f>
        <v>396</v>
      </c>
      <c r="J271" s="183">
        <f ca="1">IFERROR(__xludf.DUMMYFUNCTION("IMPORTRANGE(""https://docs.google.com/spreadsheets/d/1KxicF4apzSqm0-jIpmueT4kyZtE-Cwn5zskl7GD4loQ/edit?usp=share_link"",""กำแพงเพชร!J271"")+IMPORTRANGE(""https://docs.google.com/spreadsheets/d/1ZNYWeiFoFA1K1U4xKWqRX29MBvEyRHXORjo734Gnq_c/edit?usp=share_li"&amp;"nk"",""เชียงราย!J271"")
+IMPORTRANGE(""https://docs.google.com/spreadsheets/d/1Jgv0Y7YlHDtsiDawwp-uvifEJ8HVaSn0k2aGHG8-hwM/edit?usp=share_link"",""เชียงใหม่!J271"")+IMPORTRANGE(""https://docs.google.com/spreadsheets/d/1JWG2rZePOz9pe-f-ObA-yDr0VoOX2kSb0qIi"&amp;"x2mTUo8/edit?usp=share_link"",""ตาก!J271"")+IMPORTRANGE(""https://docs.google.com/spreadsheets/d/10nSRjK08hx8Y6HgSOQKNw81lyY46Zc7U_Cj72hBMp9U/edit?usp=share_link"",""นครสวรรค์!J271"")+IMPORTRANGE(""https://docs.google.com/spreadsheets/d/1gFVb7qd7amutrIxAA"&amp;"oM7lcy35hllxznovot8lyOfvDo/edit?usp=share_link"",""น่าน!J271"")+IMPORTRANGE(""https://docs.google.com/spreadsheets/d/1K0Aa9s-6EuHE5M0FG1F9aHLXRCOV917xvycTdLdct0w/edit?usp=share_link"",""พะเยา!J271"")+IMPORTRANGE(""https://docs.google.com/spreadsheets/d/1Y"&amp;"9LPKx95PyL5OKy09d-KbKJSuuEZCFdkhYjwC0XQjBA/edit?usp=share_link"",""พิจิตร!J271"")+IMPORTRANGE(""https://docs.google.com/spreadsheets/d/16OMuOwy2eVqZcYWOouQtTpa8X1L23h4660uVHc0C8os/edit?usp=share_link"",""พิษณุโลก!J271"")+IMPORTRANGE(""https://docs.google."&amp;"com/spreadsheets/d/1GfgTldLG6k77HXaMQzaafODklYuucJZQNs_GAPEfZyY/edit?usp=share_link"",""เพชรบูรณ์!J271"")+IMPORTRANGE(""https://docs.google.com/spreadsheets/d/1gvTMYAnm7v1yG1BKWFtr0DnaTsq59oW9dwWvFgq6hs0/edit?usp=share_link"",""แพร่!J271"")+IMPORTRANGE("""&amp;"https://docs.google.com/spreadsheets/d/1Wbcosgy-Xa1xXUArJSOenub6EfZHUSzc_bpJFWwQUf0/edit?usp=share_link"",""แม่ฮ่องสอน!J271"")+IMPORTRANGE(""https://docs.google.com/spreadsheets/d/1p7ERhsr0qZeSn-KSOdeHS9r0heI-lHtkcn2OH7hP0jQ/edit?usp=share_link"",""ลำปาง!"&amp;"J271"")+IMPORTRANGE(""https://docs.google.com/spreadsheets/d/1-uUXvimVhiU2U0bMN-xi2te0tS4X7DI2GLPnMjzl8cA/edit?usp=share_link"",""ลำพูน!J271"")+IMPORTRANGE(""https://docs.google.com/spreadsheets/d/17HrOaa5pBUI1onckFfumXB8xlg35qb2uBAFfF1D-Myo/edit?usp=shar"&amp;"e_link"",""สุโขทัย!J271"")+IMPORTRANGE(""https://docs.google.com/spreadsheets/d/1ubs5cl16eYL9gHbdHTJtmtYb9MGzHBs7CAphn8kNCgM/edit?usp=share_link"",""อุตรดิตถ์!J271"")+IMPORTRANGE(""https://docs.google.com/spreadsheets/d/1kII0BjS6CtVrBvI8IrytgPdxDrlyQDyigz"&amp;"MsohRtDMs/edit?usp=share_link"",""อุทัยธานี!J271"")
"),374)</f>
        <v>374</v>
      </c>
      <c r="K271" s="163">
        <f ca="1">IF(I271&gt;0,J271*100/I271,0)</f>
        <v>94.444444444444443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352">
        <v>0</v>
      </c>
      <c r="J272" s="352">
        <v>0</v>
      </c>
      <c r="K272" s="353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0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46">I288</f>
        <v>395</v>
      </c>
      <c r="J275" s="375">
        <f t="shared" ca="1" si="146"/>
        <v>100</v>
      </c>
      <c r="K275" s="376">
        <f t="shared" ref="K275:K276" ca="1" si="147">IF(I275&gt;0,J275*100/I275,0)</f>
        <v>25.316455696202532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48">I287</f>
        <v>3950</v>
      </c>
      <c r="J276" s="375">
        <f t="shared" ca="1" si="148"/>
        <v>2113</v>
      </c>
      <c r="K276" s="376">
        <f t="shared" ca="1" si="147"/>
        <v>53.493670886075947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9">L278+L279</f>
        <v>2886050</v>
      </c>
      <c r="M277" s="155">
        <f t="shared" ca="1" si="149"/>
        <v>2196800</v>
      </c>
      <c r="N277" s="155">
        <f t="shared" ca="1" si="149"/>
        <v>1263872.1000000001</v>
      </c>
      <c r="O277" s="155">
        <f t="shared" ref="O277:O285" ca="1" si="150">IF(L277&gt;0,N277*100/L277,0)</f>
        <v>43.792453353199015</v>
      </c>
      <c r="P277" s="155">
        <f t="shared" ref="P277:P285" ca="1" si="151">IF(M277&gt;0,N277*100/M277,0)</f>
        <v>57.532415331391121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2">L281+L284</f>
        <v>0</v>
      </c>
      <c r="M278" s="45">
        <f t="shared" si="152"/>
        <v>0</v>
      </c>
      <c r="N278" s="45">
        <f t="shared" si="152"/>
        <v>0</v>
      </c>
      <c r="O278" s="45">
        <f t="shared" si="150"/>
        <v>0</v>
      </c>
      <c r="P278" s="45">
        <f t="shared" si="151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3">L282+L285</f>
        <v>2886050</v>
      </c>
      <c r="M279" s="45">
        <f t="shared" ca="1" si="153"/>
        <v>2196800</v>
      </c>
      <c r="N279" s="45">
        <f t="shared" ca="1" si="153"/>
        <v>1263872.1000000001</v>
      </c>
      <c r="O279" s="45">
        <f t="shared" ca="1" si="150"/>
        <v>43.792453353199015</v>
      </c>
      <c r="P279" s="45">
        <f t="shared" ca="1" si="151"/>
        <v>57.532415331391121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4">L281+L282</f>
        <v>2886050</v>
      </c>
      <c r="M280" s="38">
        <f t="shared" ca="1" si="154"/>
        <v>2196800</v>
      </c>
      <c r="N280" s="38">
        <f t="shared" ca="1" si="154"/>
        <v>1263872.1000000001</v>
      </c>
      <c r="O280" s="38">
        <f t="shared" ca="1" si="150"/>
        <v>43.792453353199015</v>
      </c>
      <c r="P280" s="38">
        <f t="shared" ca="1" si="151"/>
        <v>57.532415331391121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50"/>
        <v>0</v>
      </c>
      <c r="P281" s="45">
        <f t="shared" si="151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KxicF4apzSqm0-jIpmueT4kyZtE-Cwn5zskl7GD4loQ/edit?usp=share_link"",""กำแพงเพชร!l282"")+IMPORTRANGE(""https://docs.google.com/spreadsheets/d/1ZNYWeiFoFA1K1U4xKWqRX29MBvEyRHXORjo734Gnq_c/edit?usp=share_li"&amp;"nk"",""เชียงราย!l282"")
+IMPORTRANGE(""https://docs.google.com/spreadsheets/d/1Jgv0Y7YlHDtsiDawwp-uvifEJ8HVaSn0k2aGHG8-hwM/edit?usp=share_link"",""เชียงใหม่!l282"")+IMPORTRANGE(""https://docs.google.com/spreadsheets/d/1JWG2rZePOz9pe-f-ObA-yDr0VoOX2kSb0qIi"&amp;"x2mTUo8/edit?usp=share_link"",""ตาก!l282"")+IMPORTRANGE(""https://docs.google.com/spreadsheets/d/10nSRjK08hx8Y6HgSOQKNw81lyY46Zc7U_Cj72hBMp9U/edit?usp=share_link"",""นครสวรรค์!l282"")+IMPORTRANGE(""https://docs.google.com/spreadsheets/d/1gFVb7qd7amutrIxAA"&amp;"oM7lcy35hllxznovot8lyOfvDo/edit?usp=share_link"",""น่าน!l282"")+IMPORTRANGE(""https://docs.google.com/spreadsheets/d/1K0Aa9s-6EuHE5M0FG1F9aHLXRCOV917xvycTdLdct0w/edit?usp=share_link"",""พะเยา!l282"")+IMPORTRANGE(""https://docs.google.com/spreadsheets/d/1Y"&amp;"9LPKx95PyL5OKy09d-KbKJSuuEZCFdkhYjwC0XQjBA/edit?usp=share_link"",""พิจิตร!l282"")+IMPORTRANGE(""https://docs.google.com/spreadsheets/d/16OMuOwy2eVqZcYWOouQtTpa8X1L23h4660uVHc0C8os/edit?usp=share_link"",""พิษณุโลก!l282"")+IMPORTRANGE(""https://docs.google."&amp;"com/spreadsheets/d/1GfgTldLG6k77HXaMQzaafODklYuucJZQNs_GAPEfZyY/edit?usp=share_link"",""เพชรบูรณ์!l282"")+IMPORTRANGE(""https://docs.google.com/spreadsheets/d/1gvTMYAnm7v1yG1BKWFtr0DnaTsq59oW9dwWvFgq6hs0/edit?usp=share_link"",""แพร่!l282"")+IMPORTRANGE("""&amp;"https://docs.google.com/spreadsheets/d/1Wbcosgy-Xa1xXUArJSOenub6EfZHUSzc_bpJFWwQUf0/edit?usp=share_link"",""แม่ฮ่องสอน!l282"")+IMPORTRANGE(""https://docs.google.com/spreadsheets/d/1p7ERhsr0qZeSn-KSOdeHS9r0heI-lHtkcn2OH7hP0jQ/edit?usp=share_link"",""ลำปาง!"&amp;"l282"")+IMPORTRANGE(""https://docs.google.com/spreadsheets/d/1-uUXvimVhiU2U0bMN-xi2te0tS4X7DI2GLPnMjzl8cA/edit?usp=share_link"",""ลำพูน!l282"")+IMPORTRANGE(""https://docs.google.com/spreadsheets/d/17HrOaa5pBUI1onckFfumXB8xlg35qb2uBAFfF1D-Myo/edit?usp=shar"&amp;"e_link"",""สุโขทัย!l282"")+IMPORTRANGE(""https://docs.google.com/spreadsheets/d/1ubs5cl16eYL9gHbdHTJtmtYb9MGzHBs7CAphn8kNCgM/edit?usp=share_link"",""อุตรดิตถ์!l282"")+IMPORTRANGE(""https://docs.google.com/spreadsheets/d/1kII0BjS6CtVrBvI8IrytgPdxDrlyQDyigz"&amp;"MsohRtDMs/edit?usp=share_link"",""อุทัยธานี!l282"")
"),2886050)</f>
        <v>2886050</v>
      </c>
      <c r="M282" s="45">
        <f ca="1">IFERROR(__xludf.DUMMYFUNCTION("IMPORTRANGE(""https://docs.google.com/spreadsheets/d/1KxicF4apzSqm0-jIpmueT4kyZtE-Cwn5zskl7GD4loQ/edit?usp=share_link"",""กำแพงเพชร!m282"")+IMPORTRANGE(""https://docs.google.com/spreadsheets/d/1ZNYWeiFoFA1K1U4xKWqRX29MBvEyRHXORjo734Gnq_c/edit?usp=share_li"&amp;"nk"",""เชียงราย!m282"")
+IMPORTRANGE(""https://docs.google.com/spreadsheets/d/1Jgv0Y7YlHDtsiDawwp-uvifEJ8HVaSn0k2aGHG8-hwM/edit?usp=share_link"",""เชียงใหม่!m282"")+IMPORTRANGE(""https://docs.google.com/spreadsheets/d/1JWG2rZePOz9pe-f-ObA-yDr0VoOX2kSb0qIi"&amp;"x2mTUo8/edit?usp=share_link"",""ตาก!m282"")+IMPORTRANGE(""https://docs.google.com/spreadsheets/d/10nSRjK08hx8Y6HgSOQKNw81lyY46Zc7U_Cj72hBMp9U/edit?usp=share_link"",""นครสวรรค์!m282"")+IMPORTRANGE(""https://docs.google.com/spreadsheets/d/1gFVb7qd7amutrIxAA"&amp;"oM7lcy35hllxznovot8lyOfvDo/edit?usp=share_link"",""น่าน!m282"")+IMPORTRANGE(""https://docs.google.com/spreadsheets/d/1K0Aa9s-6EuHE5M0FG1F9aHLXRCOV917xvycTdLdct0w/edit?usp=share_link"",""พะเยา!m282"")+IMPORTRANGE(""https://docs.google.com/spreadsheets/d/1Y"&amp;"9LPKx95PyL5OKy09d-KbKJSuuEZCFdkhYjwC0XQjBA/edit?usp=share_link"",""พิจิตร!m282"")+IMPORTRANGE(""https://docs.google.com/spreadsheets/d/16OMuOwy2eVqZcYWOouQtTpa8X1L23h4660uVHc0C8os/edit?usp=share_link"",""พิษณุโลก!m282"")+IMPORTRANGE(""https://docs.google."&amp;"com/spreadsheets/d/1GfgTldLG6k77HXaMQzaafODklYuucJZQNs_GAPEfZyY/edit?usp=share_link"",""เพชรบูรณ์!m282"")+IMPORTRANGE(""https://docs.google.com/spreadsheets/d/1gvTMYAnm7v1yG1BKWFtr0DnaTsq59oW9dwWvFgq6hs0/edit?usp=share_link"",""แพร่!m282"")+IMPORTRANGE("""&amp;"https://docs.google.com/spreadsheets/d/1Wbcosgy-Xa1xXUArJSOenub6EfZHUSzc_bpJFWwQUf0/edit?usp=share_link"",""แม่ฮ่องสอน!m282"")+IMPORTRANGE(""https://docs.google.com/spreadsheets/d/1p7ERhsr0qZeSn-KSOdeHS9r0heI-lHtkcn2OH7hP0jQ/edit?usp=share_link"",""ลำปาง!"&amp;"m282"")+IMPORTRANGE(""https://docs.google.com/spreadsheets/d/1-uUXvimVhiU2U0bMN-xi2te0tS4X7DI2GLPnMjzl8cA/edit?usp=share_link"",""ลำพูน!m282"")+IMPORTRANGE(""https://docs.google.com/spreadsheets/d/17HrOaa5pBUI1onckFfumXB8xlg35qb2uBAFfF1D-Myo/edit?usp=shar"&amp;"e_link"",""สุโขทัย!m282"")+IMPORTRANGE(""https://docs.google.com/spreadsheets/d/1ubs5cl16eYL9gHbdHTJtmtYb9MGzHBs7CAphn8kNCgM/edit?usp=share_link"",""อุตรดิตถ์!m282"")+IMPORTRANGE(""https://docs.google.com/spreadsheets/d/1kII0BjS6CtVrBvI8IrytgPdxDrlyQDyigz"&amp;"MsohRtDMs/edit?usp=share_link"",""อุทัยธานี!m282"")
"),2196800)</f>
        <v>2196800</v>
      </c>
      <c r="N282" s="45">
        <f ca="1">IFERROR(__xludf.DUMMYFUNCTION("IMPORTRANGE(""https://docs.google.com/spreadsheets/d/1KxicF4apzSqm0-jIpmueT4kyZtE-Cwn5zskl7GD4loQ/edit?usp=share_link"",""กำแพงเพชร!n282"")+IMPORTRANGE(""https://docs.google.com/spreadsheets/d/1ZNYWeiFoFA1K1U4xKWqRX29MBvEyRHXORjo734Gnq_c/edit?usp=share_li"&amp;"nk"",""เชียงราย!n282"")
+IMPORTRANGE(""https://docs.google.com/spreadsheets/d/1Jgv0Y7YlHDtsiDawwp-uvifEJ8HVaSn0k2aGHG8-hwM/edit?usp=share_link"",""เชียงใหม่!n282"")+IMPORTRANGE(""https://docs.google.com/spreadsheets/d/1JWG2rZePOz9pe-f-ObA-yDr0VoOX2kSb0qIi"&amp;"x2mTUo8/edit?usp=share_link"",""ตาก!n282"")+IMPORTRANGE(""https://docs.google.com/spreadsheets/d/10nSRjK08hx8Y6HgSOQKNw81lyY46Zc7U_Cj72hBMp9U/edit?usp=share_link"",""นครสวรรค์!n282"")+IMPORTRANGE(""https://docs.google.com/spreadsheets/d/1gFVb7qd7amutrIxAA"&amp;"oM7lcy35hllxznovot8lyOfvDo/edit?usp=share_link"",""น่าน!n282"")+IMPORTRANGE(""https://docs.google.com/spreadsheets/d/1K0Aa9s-6EuHE5M0FG1F9aHLXRCOV917xvycTdLdct0w/edit?usp=share_link"",""พะเยา!n282"")+IMPORTRANGE(""https://docs.google.com/spreadsheets/d/1Y"&amp;"9LPKx95PyL5OKy09d-KbKJSuuEZCFdkhYjwC0XQjBA/edit?usp=share_link"",""พิจิตร!n282"")+IMPORTRANGE(""https://docs.google.com/spreadsheets/d/16OMuOwy2eVqZcYWOouQtTpa8X1L23h4660uVHc0C8os/edit?usp=share_link"",""พิษณุโลก!n282"")+IMPORTRANGE(""https://docs.google."&amp;"com/spreadsheets/d/1GfgTldLG6k77HXaMQzaafODklYuucJZQNs_GAPEfZyY/edit?usp=share_link"",""เพชรบูรณ์!n282"")+IMPORTRANGE(""https://docs.google.com/spreadsheets/d/1gvTMYAnm7v1yG1BKWFtr0DnaTsq59oW9dwWvFgq6hs0/edit?usp=share_link"",""แพร่!n282"")+IMPORTRANGE("""&amp;"https://docs.google.com/spreadsheets/d/1Wbcosgy-Xa1xXUArJSOenub6EfZHUSzc_bpJFWwQUf0/edit?usp=share_link"",""แม่ฮ่องสอน!n282"")+IMPORTRANGE(""https://docs.google.com/spreadsheets/d/1p7ERhsr0qZeSn-KSOdeHS9r0heI-lHtkcn2OH7hP0jQ/edit?usp=share_link"",""ลำปาง!"&amp;"n282"")+IMPORTRANGE(""https://docs.google.com/spreadsheets/d/1-uUXvimVhiU2U0bMN-xi2te0tS4X7DI2GLPnMjzl8cA/edit?usp=share_link"",""ลำพูน!n282"")+IMPORTRANGE(""https://docs.google.com/spreadsheets/d/17HrOaa5pBUI1onckFfumXB8xlg35qb2uBAFfF1D-Myo/edit?usp=shar"&amp;"e_link"",""สุโขทัย!n282"")+IMPORTRANGE(""https://docs.google.com/spreadsheets/d/1ubs5cl16eYL9gHbdHTJtmtYb9MGzHBs7CAphn8kNCgM/edit?usp=share_link"",""อุตรดิตถ์!n282"")+IMPORTRANGE(""https://docs.google.com/spreadsheets/d/1kII0BjS6CtVrBvI8IrytgPdxDrlyQDyigz"&amp;"MsohRtDMs/edit?usp=share_link"",""อุทัยธานี!n282"")
"),1263872.1)</f>
        <v>1263872.1000000001</v>
      </c>
      <c r="O282" s="45">
        <f t="shared" ca="1" si="150"/>
        <v>43.792453353199015</v>
      </c>
      <c r="P282" s="45">
        <f t="shared" ca="1" si="151"/>
        <v>57.532415331391121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5">L284+L285</f>
        <v>0</v>
      </c>
      <c r="M283" s="38">
        <f t="shared" ca="1" si="155"/>
        <v>0</v>
      </c>
      <c r="N283" s="38">
        <f t="shared" ca="1" si="155"/>
        <v>0</v>
      </c>
      <c r="O283" s="38">
        <f t="shared" ca="1" si="150"/>
        <v>0</v>
      </c>
      <c r="P283" s="38">
        <f t="shared" ca="1" si="151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50"/>
        <v>0</v>
      </c>
      <c r="P284" s="45">
        <f t="shared" si="151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KxicF4apzSqm0-jIpmueT4kyZtE-Cwn5zskl7GD4loQ/edit?usp=share_link"",""กำแพงเพชร!l285"")+IMPORTRANGE(""https://docs.google.com/spreadsheets/d/1ZNYWeiFoFA1K1U4xKWqRX29MBvEyRHXORjo734Gnq_c/edit?usp=share_li"&amp;"nk"",""เชียงราย!l285"")
+IMPORTRANGE(""https://docs.google.com/spreadsheets/d/1Jgv0Y7YlHDtsiDawwp-uvifEJ8HVaSn0k2aGHG8-hwM/edit?usp=share_link"",""เชียงใหม่!l285"")+IMPORTRANGE(""https://docs.google.com/spreadsheets/d/1JWG2rZePOz9pe-f-ObA-yDr0VoOX2kSb0qIi"&amp;"x2mTUo8/edit?usp=share_link"",""ตาก!l285"")+IMPORTRANGE(""https://docs.google.com/spreadsheets/d/10nSRjK08hx8Y6HgSOQKNw81lyY46Zc7U_Cj72hBMp9U/edit?usp=share_link"",""นครสวรรค์!l285"")+IMPORTRANGE(""https://docs.google.com/spreadsheets/d/1gFVb7qd7amutrIxAA"&amp;"oM7lcy35hllxznovot8lyOfvDo/edit?usp=share_link"",""น่าน!l285"")+IMPORTRANGE(""https://docs.google.com/spreadsheets/d/1K0Aa9s-6EuHE5M0FG1F9aHLXRCOV917xvycTdLdct0w/edit?usp=share_link"",""พะเยา!l285"")+IMPORTRANGE(""https://docs.google.com/spreadsheets/d/1Y"&amp;"9LPKx95PyL5OKy09d-KbKJSuuEZCFdkhYjwC0XQjBA/edit?usp=share_link"",""พิจิตร!l285"")+IMPORTRANGE(""https://docs.google.com/spreadsheets/d/16OMuOwy2eVqZcYWOouQtTpa8X1L23h4660uVHc0C8os/edit?usp=share_link"",""พิษณุโลก!l285"")+IMPORTRANGE(""https://docs.google."&amp;"com/spreadsheets/d/1GfgTldLG6k77HXaMQzaafODklYuucJZQNs_GAPEfZyY/edit?usp=share_link"",""เพชรบูรณ์!l285"")+IMPORTRANGE(""https://docs.google.com/spreadsheets/d/1gvTMYAnm7v1yG1BKWFtr0DnaTsq59oW9dwWvFgq6hs0/edit?usp=share_link"",""แพร่!l285"")+IMPORTRANGE("""&amp;"https://docs.google.com/spreadsheets/d/1Wbcosgy-Xa1xXUArJSOenub6EfZHUSzc_bpJFWwQUf0/edit?usp=share_link"",""แม่ฮ่องสอน!l285"")+IMPORTRANGE(""https://docs.google.com/spreadsheets/d/1p7ERhsr0qZeSn-KSOdeHS9r0heI-lHtkcn2OH7hP0jQ/edit?usp=share_link"",""ลำปาง!"&amp;"l285"")+IMPORTRANGE(""https://docs.google.com/spreadsheets/d/1-uUXvimVhiU2U0bMN-xi2te0tS4X7DI2GLPnMjzl8cA/edit?usp=share_link"",""ลำพูน!l285"")+IMPORTRANGE(""https://docs.google.com/spreadsheets/d/17HrOaa5pBUI1onckFfumXB8xlg35qb2uBAFfF1D-Myo/edit?usp=shar"&amp;"e_link"",""สุโขทัย!l285"")+IMPORTRANGE(""https://docs.google.com/spreadsheets/d/1ubs5cl16eYL9gHbdHTJtmtYb9MGzHBs7CAphn8kNCgM/edit?usp=share_link"",""อุตรดิตถ์!l285"")+IMPORTRANGE(""https://docs.google.com/spreadsheets/d/1kII0BjS6CtVrBvI8IrytgPdxDrlyQDyigz"&amp;"MsohRtDMs/edit?usp=share_link"",""อุทัยธานี!l285"")
"),0)</f>
        <v>0</v>
      </c>
      <c r="M285" s="45">
        <f ca="1">IFERROR(__xludf.DUMMYFUNCTION("IMPORTRANGE(""https://docs.google.com/spreadsheets/d/1KxicF4apzSqm0-jIpmueT4kyZtE-Cwn5zskl7GD4loQ/edit?usp=share_link"",""กำแพงเพชร!m285"")+IMPORTRANGE(""https://docs.google.com/spreadsheets/d/1ZNYWeiFoFA1K1U4xKWqRX29MBvEyRHXORjo734Gnq_c/edit?usp=share_li"&amp;"nk"",""เชียงราย!m285"")
+IMPORTRANGE(""https://docs.google.com/spreadsheets/d/1Jgv0Y7YlHDtsiDawwp-uvifEJ8HVaSn0k2aGHG8-hwM/edit?usp=share_link"",""เชียงใหม่!m285"")+IMPORTRANGE(""https://docs.google.com/spreadsheets/d/1JWG2rZePOz9pe-f-ObA-yDr0VoOX2kSb0qIi"&amp;"x2mTUo8/edit?usp=share_link"",""ตาก!m285"")+IMPORTRANGE(""https://docs.google.com/spreadsheets/d/10nSRjK08hx8Y6HgSOQKNw81lyY46Zc7U_Cj72hBMp9U/edit?usp=share_link"",""นครสวรรค์!m285"")+IMPORTRANGE(""https://docs.google.com/spreadsheets/d/1gFVb7qd7amutrIxAA"&amp;"oM7lcy35hllxznovot8lyOfvDo/edit?usp=share_link"",""น่าน!m285"")+IMPORTRANGE(""https://docs.google.com/spreadsheets/d/1K0Aa9s-6EuHE5M0FG1F9aHLXRCOV917xvycTdLdct0w/edit?usp=share_link"",""พะเยา!m285"")+IMPORTRANGE(""https://docs.google.com/spreadsheets/d/1Y"&amp;"9LPKx95PyL5OKy09d-KbKJSuuEZCFdkhYjwC0XQjBA/edit?usp=share_link"",""พิจิตร!m285"")+IMPORTRANGE(""https://docs.google.com/spreadsheets/d/16OMuOwy2eVqZcYWOouQtTpa8X1L23h4660uVHc0C8os/edit?usp=share_link"",""พิษณุโลก!m285"")+IMPORTRANGE(""https://docs.google."&amp;"com/spreadsheets/d/1GfgTldLG6k77HXaMQzaafODklYuucJZQNs_GAPEfZyY/edit?usp=share_link"",""เพชรบูรณ์!m285"")+IMPORTRANGE(""https://docs.google.com/spreadsheets/d/1gvTMYAnm7v1yG1BKWFtr0DnaTsq59oW9dwWvFgq6hs0/edit?usp=share_link"",""แพร่!m285"")+IMPORTRANGE("""&amp;"https://docs.google.com/spreadsheets/d/1Wbcosgy-Xa1xXUArJSOenub6EfZHUSzc_bpJFWwQUf0/edit?usp=share_link"",""แม่ฮ่องสอน!m285"")+IMPORTRANGE(""https://docs.google.com/spreadsheets/d/1p7ERhsr0qZeSn-KSOdeHS9r0heI-lHtkcn2OH7hP0jQ/edit?usp=share_link"",""ลำปาง!"&amp;"m285"")+IMPORTRANGE(""https://docs.google.com/spreadsheets/d/1-uUXvimVhiU2U0bMN-xi2te0tS4X7DI2GLPnMjzl8cA/edit?usp=share_link"",""ลำพูน!m285"")+IMPORTRANGE(""https://docs.google.com/spreadsheets/d/17HrOaa5pBUI1onckFfumXB8xlg35qb2uBAFfF1D-Myo/edit?usp=shar"&amp;"e_link"",""สุโขทัย!m285"")+IMPORTRANGE(""https://docs.google.com/spreadsheets/d/1ubs5cl16eYL9gHbdHTJtmtYb9MGzHBs7CAphn8kNCgM/edit?usp=share_link"",""อุตรดิตถ์!m285"")+IMPORTRANGE(""https://docs.google.com/spreadsheets/d/1kII0BjS6CtVrBvI8IrytgPdxDrlyQDyigz"&amp;"MsohRtDMs/edit?usp=share_link"",""อุทัยธานี!m285"")
"),0)</f>
        <v>0</v>
      </c>
      <c r="N285" s="45">
        <f ca="1">IFERROR(__xludf.DUMMYFUNCTION("IMPORTRANGE(""https://docs.google.com/spreadsheets/d/1KxicF4apzSqm0-jIpmueT4kyZtE-Cwn5zskl7GD4loQ/edit?usp=share_link"",""กำแพงเพชร!n285"")+IMPORTRANGE(""https://docs.google.com/spreadsheets/d/1ZNYWeiFoFA1K1U4xKWqRX29MBvEyRHXORjo734Gnq_c/edit?usp=share_li"&amp;"nk"",""เชียงราย!n285"")
+IMPORTRANGE(""https://docs.google.com/spreadsheets/d/1Jgv0Y7YlHDtsiDawwp-uvifEJ8HVaSn0k2aGHG8-hwM/edit?usp=share_link"",""เชียงใหม่!n285"")+IMPORTRANGE(""https://docs.google.com/spreadsheets/d/1JWG2rZePOz9pe-f-ObA-yDr0VoOX2kSb0qIi"&amp;"x2mTUo8/edit?usp=share_link"",""ตาก!n285"")+IMPORTRANGE(""https://docs.google.com/spreadsheets/d/10nSRjK08hx8Y6HgSOQKNw81lyY46Zc7U_Cj72hBMp9U/edit?usp=share_link"",""นครสวรรค์!n285"")+IMPORTRANGE(""https://docs.google.com/spreadsheets/d/1gFVb7qd7amutrIxAA"&amp;"oM7lcy35hllxznovot8lyOfvDo/edit?usp=share_link"",""น่าน!n285"")+IMPORTRANGE(""https://docs.google.com/spreadsheets/d/1K0Aa9s-6EuHE5M0FG1F9aHLXRCOV917xvycTdLdct0w/edit?usp=share_link"",""พะเยา!n285"")+IMPORTRANGE(""https://docs.google.com/spreadsheets/d/1Y"&amp;"9LPKx95PyL5OKy09d-KbKJSuuEZCFdkhYjwC0XQjBA/edit?usp=share_link"",""พิจิตร!n285"")+IMPORTRANGE(""https://docs.google.com/spreadsheets/d/16OMuOwy2eVqZcYWOouQtTpa8X1L23h4660uVHc0C8os/edit?usp=share_link"",""พิษณุโลก!n285"")+IMPORTRANGE(""https://docs.google."&amp;"com/spreadsheets/d/1GfgTldLG6k77HXaMQzaafODklYuucJZQNs_GAPEfZyY/edit?usp=share_link"",""เพชรบูรณ์!n285"")+IMPORTRANGE(""https://docs.google.com/spreadsheets/d/1gvTMYAnm7v1yG1BKWFtr0DnaTsq59oW9dwWvFgq6hs0/edit?usp=share_link"",""แพร่!n285"")+IMPORTRANGE("""&amp;"https://docs.google.com/spreadsheets/d/1Wbcosgy-Xa1xXUArJSOenub6EfZHUSzc_bpJFWwQUf0/edit?usp=share_link"",""แม่ฮ่องสอน!n285"")+IMPORTRANGE(""https://docs.google.com/spreadsheets/d/1p7ERhsr0qZeSn-KSOdeHS9r0heI-lHtkcn2OH7hP0jQ/edit?usp=share_link"",""ลำปาง!"&amp;"n285"")+IMPORTRANGE(""https://docs.google.com/spreadsheets/d/1-uUXvimVhiU2U0bMN-xi2te0tS4X7DI2GLPnMjzl8cA/edit?usp=share_link"",""ลำพูน!n285"")+IMPORTRANGE(""https://docs.google.com/spreadsheets/d/17HrOaa5pBUI1onckFfumXB8xlg35qb2uBAFfF1D-Myo/edit?usp=shar"&amp;"e_link"",""สุโขทัย!n285"")+IMPORTRANGE(""https://docs.google.com/spreadsheets/d/1ubs5cl16eYL9gHbdHTJtmtYb9MGzHBs7CAphn8kNCgM/edit?usp=share_link"",""อุตรดิตถ์!n285"")+IMPORTRANGE(""https://docs.google.com/spreadsheets/d/1kII0BjS6CtVrBvI8IrytgPdxDrlyQDyigz"&amp;"MsohRtDMs/edit?usp=share_link"",""อุทัยธานี!n285"")
"),0)</f>
        <v>0</v>
      </c>
      <c r="O285" s="45">
        <f t="shared" ca="1" si="150"/>
        <v>0</v>
      </c>
      <c r="P285" s="45">
        <f t="shared" ca="1" si="151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379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KxicF4apzSqm0-jIpmueT4kyZtE-Cwn5zskl7GD4loQ/edit?usp=share_link"",""กำแพงเพชร!I287"")+IMPORTRANGE(""https://docs.google.com/spreadsheets/d/1ZNYWeiFoFA1K1U4xKWqRX29MBvEyRHXORjo734Gnq_c/edit?usp=share_li"&amp;"nk"",""เชียงราย!I287"")
+IMPORTRANGE(""https://docs.google.com/spreadsheets/d/1Jgv0Y7YlHDtsiDawwp-uvifEJ8HVaSn0k2aGHG8-hwM/edit?usp=share_link"",""เชียงใหม่!I287"")+IMPORTRANGE(""https://docs.google.com/spreadsheets/d/1JWG2rZePOz9pe-f-ObA-yDr0VoOX2kSb0qIi"&amp;"x2mTUo8/edit?usp=share_link"",""ตาก!I287"")+IMPORTRANGE(""https://docs.google.com/spreadsheets/d/10nSRjK08hx8Y6HgSOQKNw81lyY46Zc7U_Cj72hBMp9U/edit?usp=share_link"",""นครสวรรค์!I287"")+IMPORTRANGE(""https://docs.google.com/spreadsheets/d/1gFVb7qd7amutrIxAA"&amp;"oM7lcy35hllxznovot8lyOfvDo/edit?usp=share_link"",""น่าน!I287"")+IMPORTRANGE(""https://docs.google.com/spreadsheets/d/1K0Aa9s-6EuHE5M0FG1F9aHLXRCOV917xvycTdLdct0w/edit?usp=share_link"",""พะเยา!I287"")+IMPORTRANGE(""https://docs.google.com/spreadsheets/d/1Y"&amp;"9LPKx95PyL5OKy09d-KbKJSuuEZCFdkhYjwC0XQjBA/edit?usp=share_link"",""พิจิตร!I287"")+IMPORTRANGE(""https://docs.google.com/spreadsheets/d/16OMuOwy2eVqZcYWOouQtTpa8X1L23h4660uVHc0C8os/edit?usp=share_link"",""พิษณุโลก!I287"")+IMPORTRANGE(""https://docs.google."&amp;"com/spreadsheets/d/1GfgTldLG6k77HXaMQzaafODklYuucJZQNs_GAPEfZyY/edit?usp=share_link"",""เพชรบูรณ์!I287"")+IMPORTRANGE(""https://docs.google.com/spreadsheets/d/1gvTMYAnm7v1yG1BKWFtr0DnaTsq59oW9dwWvFgq6hs0/edit?usp=share_link"",""แพร่!I287"")+IMPORTRANGE("""&amp;"https://docs.google.com/spreadsheets/d/1Wbcosgy-Xa1xXUArJSOenub6EfZHUSzc_bpJFWwQUf0/edit?usp=share_link"",""แม่ฮ่องสอน!I287"")+IMPORTRANGE(""https://docs.google.com/spreadsheets/d/1p7ERhsr0qZeSn-KSOdeHS9r0heI-lHtkcn2OH7hP0jQ/edit?usp=share_link"",""ลำปาง!"&amp;"I287"")+IMPORTRANGE(""https://docs.google.com/spreadsheets/d/1-uUXvimVhiU2U0bMN-xi2te0tS4X7DI2GLPnMjzl8cA/edit?usp=share_link"",""ลำพูน!I287"")+IMPORTRANGE(""https://docs.google.com/spreadsheets/d/17HrOaa5pBUI1onckFfumXB8xlg35qb2uBAFfF1D-Myo/edit?usp=shar"&amp;"e_link"",""สุโขทัย!I287"")+IMPORTRANGE(""https://docs.google.com/spreadsheets/d/1ubs5cl16eYL9gHbdHTJtmtYb9MGzHBs7CAphn8kNCgM/edit?usp=share_link"",""อุตรดิตถ์!I287"")+IMPORTRANGE(""https://docs.google.com/spreadsheets/d/1kII0BjS6CtVrBvI8IrytgPdxDrlyQDyigz"&amp;"MsohRtDMs/edit?usp=share_link"",""อุทัยธานี!I287"")
"),3950)</f>
        <v>3950</v>
      </c>
      <c r="J287" s="183">
        <f ca="1">IFERROR(__xludf.DUMMYFUNCTION("IMPORTRANGE(""https://docs.google.com/spreadsheets/d/1KxicF4apzSqm0-jIpmueT4kyZtE-Cwn5zskl7GD4loQ/edit?usp=share_link"",""กำแพงเพชร!J287"")+IMPORTRANGE(""https://docs.google.com/spreadsheets/d/1ZNYWeiFoFA1K1U4xKWqRX29MBvEyRHXORjo734Gnq_c/edit?usp=share_li"&amp;"nk"",""เชียงราย!J287"")
+IMPORTRANGE(""https://docs.google.com/spreadsheets/d/1Jgv0Y7YlHDtsiDawwp-uvifEJ8HVaSn0k2aGHG8-hwM/edit?usp=share_link"",""เชียงใหม่!J287"")+IMPORTRANGE(""https://docs.google.com/spreadsheets/d/1JWG2rZePOz9pe-f-ObA-yDr0VoOX2kSb0qIi"&amp;"x2mTUo8/edit?usp=share_link"",""ตาก!J287"")+IMPORTRANGE(""https://docs.google.com/spreadsheets/d/10nSRjK08hx8Y6HgSOQKNw81lyY46Zc7U_Cj72hBMp9U/edit?usp=share_link"",""นครสวรรค์!J287"")+IMPORTRANGE(""https://docs.google.com/spreadsheets/d/1gFVb7qd7amutrIxAA"&amp;"oM7lcy35hllxznovot8lyOfvDo/edit?usp=share_link"",""น่าน!J287"")+IMPORTRANGE(""https://docs.google.com/spreadsheets/d/1K0Aa9s-6EuHE5M0FG1F9aHLXRCOV917xvycTdLdct0w/edit?usp=share_link"",""พะเยา!J287"")+IMPORTRANGE(""https://docs.google.com/spreadsheets/d/1Y"&amp;"9LPKx95PyL5OKy09d-KbKJSuuEZCFdkhYjwC0XQjBA/edit?usp=share_link"",""พิจิตร!J287"")+IMPORTRANGE(""https://docs.google.com/spreadsheets/d/16OMuOwy2eVqZcYWOouQtTpa8X1L23h4660uVHc0C8os/edit?usp=share_link"",""พิษณุโลก!J287"")+IMPORTRANGE(""https://docs.google."&amp;"com/spreadsheets/d/1GfgTldLG6k77HXaMQzaafODklYuucJZQNs_GAPEfZyY/edit?usp=share_link"",""เพชรบูรณ์!J287"")+IMPORTRANGE(""https://docs.google.com/spreadsheets/d/1gvTMYAnm7v1yG1BKWFtr0DnaTsq59oW9dwWvFgq6hs0/edit?usp=share_link"",""แพร่!J287"")+IMPORTRANGE("""&amp;"https://docs.google.com/spreadsheets/d/1Wbcosgy-Xa1xXUArJSOenub6EfZHUSzc_bpJFWwQUf0/edit?usp=share_link"",""แม่ฮ่องสอน!J287"")+IMPORTRANGE(""https://docs.google.com/spreadsheets/d/1p7ERhsr0qZeSn-KSOdeHS9r0heI-lHtkcn2OH7hP0jQ/edit?usp=share_link"",""ลำปาง!"&amp;"J287"")+IMPORTRANGE(""https://docs.google.com/spreadsheets/d/1-uUXvimVhiU2U0bMN-xi2te0tS4X7DI2GLPnMjzl8cA/edit?usp=share_link"",""ลำพูน!J287"")+IMPORTRANGE(""https://docs.google.com/spreadsheets/d/17HrOaa5pBUI1onckFfumXB8xlg35qb2uBAFfF1D-Myo/edit?usp=shar"&amp;"e_link"",""สุโขทัย!J287"")+IMPORTRANGE(""https://docs.google.com/spreadsheets/d/1ubs5cl16eYL9gHbdHTJtmtYb9MGzHBs7CAphn8kNCgM/edit?usp=share_link"",""อุตรดิตถ์!J287"")+IMPORTRANGE(""https://docs.google.com/spreadsheets/d/1kII0BjS6CtVrBvI8IrytgPdxDrlyQDyigz"&amp;"MsohRtDMs/edit?usp=share_link"",""อุทัยธานี!J287"")
"),2113)</f>
        <v>2113</v>
      </c>
      <c r="K287" s="163">
        <f t="shared" ref="K287:K288" ca="1" si="156">IF(I287&gt;0,J287*100/I287,0)</f>
        <v>53.493670886075947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379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KxicF4apzSqm0-jIpmueT4kyZtE-Cwn5zskl7GD4loQ/edit?usp=share_link"",""กำแพงเพชร!I288"")+IMPORTRANGE(""https://docs.google.com/spreadsheets/d/1ZNYWeiFoFA1K1U4xKWqRX29MBvEyRHXORjo734Gnq_c/edit?usp=share_li"&amp;"nk"",""เชียงราย!I288"")
+IMPORTRANGE(""https://docs.google.com/spreadsheets/d/1Jgv0Y7YlHDtsiDawwp-uvifEJ8HVaSn0k2aGHG8-hwM/edit?usp=share_link"",""เชียงใหม่!I288"")+IMPORTRANGE(""https://docs.google.com/spreadsheets/d/1JWG2rZePOz9pe-f-ObA-yDr0VoOX2kSb0qIi"&amp;"x2mTUo8/edit?usp=share_link"",""ตาก!I288"")+IMPORTRANGE(""https://docs.google.com/spreadsheets/d/10nSRjK08hx8Y6HgSOQKNw81lyY46Zc7U_Cj72hBMp9U/edit?usp=share_link"",""นครสวรรค์!I288"")+IMPORTRANGE(""https://docs.google.com/spreadsheets/d/1gFVb7qd7amutrIxAA"&amp;"oM7lcy35hllxznovot8lyOfvDo/edit?usp=share_link"",""น่าน!I288"")+IMPORTRANGE(""https://docs.google.com/spreadsheets/d/1K0Aa9s-6EuHE5M0FG1F9aHLXRCOV917xvycTdLdct0w/edit?usp=share_link"",""พะเยา!I288"")+IMPORTRANGE(""https://docs.google.com/spreadsheets/d/1Y"&amp;"9LPKx95PyL5OKy09d-KbKJSuuEZCFdkhYjwC0XQjBA/edit?usp=share_link"",""พิจิตร!I288"")+IMPORTRANGE(""https://docs.google.com/spreadsheets/d/16OMuOwy2eVqZcYWOouQtTpa8X1L23h4660uVHc0C8os/edit?usp=share_link"",""พิษณุโลก!I288"")+IMPORTRANGE(""https://docs.google."&amp;"com/spreadsheets/d/1GfgTldLG6k77HXaMQzaafODklYuucJZQNs_GAPEfZyY/edit?usp=share_link"",""เพชรบูรณ์!I288"")+IMPORTRANGE(""https://docs.google.com/spreadsheets/d/1gvTMYAnm7v1yG1BKWFtr0DnaTsq59oW9dwWvFgq6hs0/edit?usp=share_link"",""แพร่!I288"")+IMPORTRANGE("""&amp;"https://docs.google.com/spreadsheets/d/1Wbcosgy-Xa1xXUArJSOenub6EfZHUSzc_bpJFWwQUf0/edit?usp=share_link"",""แม่ฮ่องสอน!I288"")+IMPORTRANGE(""https://docs.google.com/spreadsheets/d/1p7ERhsr0qZeSn-KSOdeHS9r0heI-lHtkcn2OH7hP0jQ/edit?usp=share_link"",""ลำปาง!"&amp;"I288"")+IMPORTRANGE(""https://docs.google.com/spreadsheets/d/1-uUXvimVhiU2U0bMN-xi2te0tS4X7DI2GLPnMjzl8cA/edit?usp=share_link"",""ลำพูน!I288"")+IMPORTRANGE(""https://docs.google.com/spreadsheets/d/17HrOaa5pBUI1onckFfumXB8xlg35qb2uBAFfF1D-Myo/edit?usp=shar"&amp;"e_link"",""สุโขทัย!I288"")+IMPORTRANGE(""https://docs.google.com/spreadsheets/d/1ubs5cl16eYL9gHbdHTJtmtYb9MGzHBs7CAphn8kNCgM/edit?usp=share_link"",""อุตรดิตถ์!I288"")+IMPORTRANGE(""https://docs.google.com/spreadsheets/d/1kII0BjS6CtVrBvI8IrytgPdxDrlyQDyigz"&amp;"MsohRtDMs/edit?usp=share_link"",""อุทัยธานี!I288"")
"),395)</f>
        <v>395</v>
      </c>
      <c r="J288" s="194">
        <f ca="1">IFERROR(__xludf.DUMMYFUNCTION("IMPORTRANGE(""https://docs.google.com/spreadsheets/d/1KxicF4apzSqm0-jIpmueT4kyZtE-Cwn5zskl7GD4loQ/edit?usp=share_link"",""กำแพงเพชร!J288"")+IMPORTRANGE(""https://docs.google.com/spreadsheets/d/1ZNYWeiFoFA1K1U4xKWqRX29MBvEyRHXORjo734Gnq_c/edit?usp=share_li"&amp;"nk"",""เชียงราย!J288"")
+IMPORTRANGE(""https://docs.google.com/spreadsheets/d/1Jgv0Y7YlHDtsiDawwp-uvifEJ8HVaSn0k2aGHG8-hwM/edit?usp=share_link"",""เชียงใหม่!J288"")+IMPORTRANGE(""https://docs.google.com/spreadsheets/d/1JWG2rZePOz9pe-f-ObA-yDr0VoOX2kSb0qIi"&amp;"x2mTUo8/edit?usp=share_link"",""ตาก!J288"")+IMPORTRANGE(""https://docs.google.com/spreadsheets/d/10nSRjK08hx8Y6HgSOQKNw81lyY46Zc7U_Cj72hBMp9U/edit?usp=share_link"",""นครสวรรค์!J288"")+IMPORTRANGE(""https://docs.google.com/spreadsheets/d/1gFVb7qd7amutrIxAA"&amp;"oM7lcy35hllxznovot8lyOfvDo/edit?usp=share_link"",""น่าน!J288"")+IMPORTRANGE(""https://docs.google.com/spreadsheets/d/1K0Aa9s-6EuHE5M0FG1F9aHLXRCOV917xvycTdLdct0w/edit?usp=share_link"",""พะเยา!J288"")+IMPORTRANGE(""https://docs.google.com/spreadsheets/d/1Y"&amp;"9LPKx95PyL5OKy09d-KbKJSuuEZCFdkhYjwC0XQjBA/edit?usp=share_link"",""พิจิตร!J288"")+IMPORTRANGE(""https://docs.google.com/spreadsheets/d/16OMuOwy2eVqZcYWOouQtTpa8X1L23h4660uVHc0C8os/edit?usp=share_link"",""พิษณุโลก!J288"")+IMPORTRANGE(""https://docs.google."&amp;"com/spreadsheets/d/1GfgTldLG6k77HXaMQzaafODklYuucJZQNs_GAPEfZyY/edit?usp=share_link"",""เพชรบูรณ์!J288"")+IMPORTRANGE(""https://docs.google.com/spreadsheets/d/1gvTMYAnm7v1yG1BKWFtr0DnaTsq59oW9dwWvFgq6hs0/edit?usp=share_link"",""แพร่!J288"")+IMPORTRANGE("""&amp;"https://docs.google.com/spreadsheets/d/1Wbcosgy-Xa1xXUArJSOenub6EfZHUSzc_bpJFWwQUf0/edit?usp=share_link"",""แม่ฮ่องสอน!J288"")+IMPORTRANGE(""https://docs.google.com/spreadsheets/d/1p7ERhsr0qZeSn-KSOdeHS9r0heI-lHtkcn2OH7hP0jQ/edit?usp=share_link"",""ลำปาง!"&amp;"J288"")+IMPORTRANGE(""https://docs.google.com/spreadsheets/d/1-uUXvimVhiU2U0bMN-xi2te0tS4X7DI2GLPnMjzl8cA/edit?usp=share_link"",""ลำพูน!J288"")+IMPORTRANGE(""https://docs.google.com/spreadsheets/d/17HrOaa5pBUI1onckFfumXB8xlg35qb2uBAFfF1D-Myo/edit?usp=shar"&amp;"e_link"",""สุโขทัย!J288"")+IMPORTRANGE(""https://docs.google.com/spreadsheets/d/1ubs5cl16eYL9gHbdHTJtmtYb9MGzHBs7CAphn8kNCgM/edit?usp=share_link"",""อุตรดิตถ์!J288"")+IMPORTRANGE(""https://docs.google.com/spreadsheets/d/1kII0BjS6CtVrBvI8IrytgPdxDrlyQDyigz"&amp;"MsohRtDMs/edit?usp=share_link"",""อุทัยธานี!J288"")
"),100)</f>
        <v>100</v>
      </c>
      <c r="K288" s="380">
        <f t="shared" ca="1" si="156"/>
        <v>25.316455696202532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379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KxicF4apzSqm0-jIpmueT4kyZtE-Cwn5zskl7GD4loQ/edit?usp=share_link"",""กำแพงเพชร!I290"")+IMPORTRANGE(""https://docs.google.com/spreadsheets/d/1ZNYWeiFoFA1K1U4xKWqRX29MBvEyRHXORjo734Gnq_c/edit?usp=share_li"&amp;"nk"",""เชียงราย!I290"")
+IMPORTRANGE(""https://docs.google.com/spreadsheets/d/1Jgv0Y7YlHDtsiDawwp-uvifEJ8HVaSn0k2aGHG8-hwM/edit?usp=share_link"",""เชียงใหม่!I290"")+IMPORTRANGE(""https://docs.google.com/spreadsheets/d/1JWG2rZePOz9pe-f-ObA-yDr0VoOX2kSb0qIi"&amp;"x2mTUo8/edit?usp=share_link"",""ตาก!I290"")+IMPORTRANGE(""https://docs.google.com/spreadsheets/d/10nSRjK08hx8Y6HgSOQKNw81lyY46Zc7U_Cj72hBMp9U/edit?usp=share_link"",""นครสวรรค์!I290"")+IMPORTRANGE(""https://docs.google.com/spreadsheets/d/1gFVb7qd7amutrIxAA"&amp;"oM7lcy35hllxznovot8lyOfvDo/edit?usp=share_link"",""น่าน!I290"")+IMPORTRANGE(""https://docs.google.com/spreadsheets/d/1K0Aa9s-6EuHE5M0FG1F9aHLXRCOV917xvycTdLdct0w/edit?usp=share_link"",""พะเยา!I290"")+IMPORTRANGE(""https://docs.google.com/spreadsheets/d/1Y"&amp;"9LPKx95PyL5OKy09d-KbKJSuuEZCFdkhYjwC0XQjBA/edit?usp=share_link"",""พิจิตร!I290"")+IMPORTRANGE(""https://docs.google.com/spreadsheets/d/16OMuOwy2eVqZcYWOouQtTpa8X1L23h4660uVHc0C8os/edit?usp=share_link"",""พิษณุโลก!I290"")+IMPORTRANGE(""https://docs.google."&amp;"com/spreadsheets/d/1GfgTldLG6k77HXaMQzaafODklYuucJZQNs_GAPEfZyY/edit?usp=share_link"",""เพชรบูรณ์!I290"")+IMPORTRANGE(""https://docs.google.com/spreadsheets/d/1gvTMYAnm7v1yG1BKWFtr0DnaTsq59oW9dwWvFgq6hs0/edit?usp=share_link"",""แพร่!I290"")+IMPORTRANGE("""&amp;"https://docs.google.com/spreadsheets/d/1Wbcosgy-Xa1xXUArJSOenub6EfZHUSzc_bpJFWwQUf0/edit?usp=share_link"",""แม่ฮ่องสอน!I290"")+IMPORTRANGE(""https://docs.google.com/spreadsheets/d/1p7ERhsr0qZeSn-KSOdeHS9r0heI-lHtkcn2OH7hP0jQ/edit?usp=share_link"",""ลำปาง!"&amp;"I290"")+IMPORTRANGE(""https://docs.google.com/spreadsheets/d/1-uUXvimVhiU2U0bMN-xi2te0tS4X7DI2GLPnMjzl8cA/edit?usp=share_link"",""ลำพูน!I290"")+IMPORTRANGE(""https://docs.google.com/spreadsheets/d/17HrOaa5pBUI1onckFfumXB8xlg35qb2uBAFfF1D-Myo/edit?usp=shar"&amp;"e_link"",""สุโขทัย!I290"")+IMPORTRANGE(""https://docs.google.com/spreadsheets/d/1ubs5cl16eYL9gHbdHTJtmtYb9MGzHBs7CAphn8kNCgM/edit?usp=share_link"",""อุตรดิตถ์!I290"")+IMPORTRANGE(""https://docs.google.com/spreadsheets/d/1kII0BjS6CtVrBvI8IrytgPdxDrlyQDyigz"&amp;"MsohRtDMs/edit?usp=share_link"",""อุทัยธานี!I290"")
"),395)</f>
        <v>395</v>
      </c>
      <c r="J290" s="183">
        <f ca="1">IFERROR(__xludf.DUMMYFUNCTION("IMPORTRANGE(""https://docs.google.com/spreadsheets/d/1KxicF4apzSqm0-jIpmueT4kyZtE-Cwn5zskl7GD4loQ/edit?usp=share_link"",""กำแพงเพชร!J290"")+IMPORTRANGE(""https://docs.google.com/spreadsheets/d/1ZNYWeiFoFA1K1U4xKWqRX29MBvEyRHXORjo734Gnq_c/edit?usp=share_li"&amp;"nk"",""เชียงราย!J290"")
+IMPORTRANGE(""https://docs.google.com/spreadsheets/d/1Jgv0Y7YlHDtsiDawwp-uvifEJ8HVaSn0k2aGHG8-hwM/edit?usp=share_link"",""เชียงใหม่!J290"")+IMPORTRANGE(""https://docs.google.com/spreadsheets/d/1JWG2rZePOz9pe-f-ObA-yDr0VoOX2kSb0qIi"&amp;"x2mTUo8/edit?usp=share_link"",""ตาก!J290"")+IMPORTRANGE(""https://docs.google.com/spreadsheets/d/10nSRjK08hx8Y6HgSOQKNw81lyY46Zc7U_Cj72hBMp9U/edit?usp=share_link"",""นครสวรรค์!J290"")+IMPORTRANGE(""https://docs.google.com/spreadsheets/d/1gFVb7qd7amutrIxAA"&amp;"oM7lcy35hllxznovot8lyOfvDo/edit?usp=share_link"",""น่าน!J290"")+IMPORTRANGE(""https://docs.google.com/spreadsheets/d/1K0Aa9s-6EuHE5M0FG1F9aHLXRCOV917xvycTdLdct0w/edit?usp=share_link"",""พะเยา!J290"")+IMPORTRANGE(""https://docs.google.com/spreadsheets/d/1Y"&amp;"9LPKx95PyL5OKy09d-KbKJSuuEZCFdkhYjwC0XQjBA/edit?usp=share_link"",""พิจิตร!J290"")+IMPORTRANGE(""https://docs.google.com/spreadsheets/d/16OMuOwy2eVqZcYWOouQtTpa8X1L23h4660uVHc0C8os/edit?usp=share_link"",""พิษณุโลก!J290"")+IMPORTRANGE(""https://docs.google."&amp;"com/spreadsheets/d/1GfgTldLG6k77HXaMQzaafODklYuucJZQNs_GAPEfZyY/edit?usp=share_link"",""เพชรบูรณ์!J290"")+IMPORTRANGE(""https://docs.google.com/spreadsheets/d/1gvTMYAnm7v1yG1BKWFtr0DnaTsq59oW9dwWvFgq6hs0/edit?usp=share_link"",""แพร่!J290"")+IMPORTRANGE("""&amp;"https://docs.google.com/spreadsheets/d/1Wbcosgy-Xa1xXUArJSOenub6EfZHUSzc_bpJFWwQUf0/edit?usp=share_link"",""แม่ฮ่องสอน!J290"")+IMPORTRANGE(""https://docs.google.com/spreadsheets/d/1p7ERhsr0qZeSn-KSOdeHS9r0heI-lHtkcn2OH7hP0jQ/edit?usp=share_link"",""ลำปาง!"&amp;"J290"")+IMPORTRANGE(""https://docs.google.com/spreadsheets/d/1-uUXvimVhiU2U0bMN-xi2te0tS4X7DI2GLPnMjzl8cA/edit?usp=share_link"",""ลำพูน!J290"")+IMPORTRANGE(""https://docs.google.com/spreadsheets/d/17HrOaa5pBUI1onckFfumXB8xlg35qb2uBAFfF1D-Myo/edit?usp=shar"&amp;"e_link"",""สุโขทัย!J290"")+IMPORTRANGE(""https://docs.google.com/spreadsheets/d/1ubs5cl16eYL9gHbdHTJtmtYb9MGzHBs7CAphn8kNCgM/edit?usp=share_link"",""อุตรดิตถ์!J290"")+IMPORTRANGE(""https://docs.google.com/spreadsheets/d/1kII0BjS6CtVrBvI8IrytgPdxDrlyQDyigz"&amp;"MsohRtDMs/edit?usp=share_link"",""อุทัยธานี!J290"")
"),335)</f>
        <v>335</v>
      </c>
      <c r="K290" s="163">
        <f t="shared" ref="K290:K291" ca="1" si="157">IF(I290&gt;0,J290*100/I290,0)</f>
        <v>84.810126582278485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379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KxicF4apzSqm0-jIpmueT4kyZtE-Cwn5zskl7GD4loQ/edit?usp=share_link"",""กำแพงเพชร!I291"")+IMPORTRANGE(""https://docs.google.com/spreadsheets/d/1ZNYWeiFoFA1K1U4xKWqRX29MBvEyRHXORjo734Gnq_c/edit?usp=share_li"&amp;"nk"",""เชียงราย!I291"")
+IMPORTRANGE(""https://docs.google.com/spreadsheets/d/1Jgv0Y7YlHDtsiDawwp-uvifEJ8HVaSn0k2aGHG8-hwM/edit?usp=share_link"",""เชียงใหม่!I291"")+IMPORTRANGE(""https://docs.google.com/spreadsheets/d/1JWG2rZePOz9pe-f-ObA-yDr0VoOX2kSb0qIi"&amp;"x2mTUo8/edit?usp=share_link"",""ตาก!I291"")+IMPORTRANGE(""https://docs.google.com/spreadsheets/d/10nSRjK08hx8Y6HgSOQKNw81lyY46Zc7U_Cj72hBMp9U/edit?usp=share_link"",""นครสวรรค์!I291"")+IMPORTRANGE(""https://docs.google.com/spreadsheets/d/1gFVb7qd7amutrIxAA"&amp;"oM7lcy35hllxznovot8lyOfvDo/edit?usp=share_link"",""น่าน!I291"")+IMPORTRANGE(""https://docs.google.com/spreadsheets/d/1K0Aa9s-6EuHE5M0FG1F9aHLXRCOV917xvycTdLdct0w/edit?usp=share_link"",""พะเยา!I291"")+IMPORTRANGE(""https://docs.google.com/spreadsheets/d/1Y"&amp;"9LPKx95PyL5OKy09d-KbKJSuuEZCFdkhYjwC0XQjBA/edit?usp=share_link"",""พิจิตร!I291"")+IMPORTRANGE(""https://docs.google.com/spreadsheets/d/16OMuOwy2eVqZcYWOouQtTpa8X1L23h4660uVHc0C8os/edit?usp=share_link"",""พิษณุโลก!I291"")+IMPORTRANGE(""https://docs.google."&amp;"com/spreadsheets/d/1GfgTldLG6k77HXaMQzaafODklYuucJZQNs_GAPEfZyY/edit?usp=share_link"",""เพชรบูรณ์!I291"")+IMPORTRANGE(""https://docs.google.com/spreadsheets/d/1gvTMYAnm7v1yG1BKWFtr0DnaTsq59oW9dwWvFgq6hs0/edit?usp=share_link"",""แพร่!I291"")+IMPORTRANGE("""&amp;"https://docs.google.com/spreadsheets/d/1Wbcosgy-Xa1xXUArJSOenub6EfZHUSzc_bpJFWwQUf0/edit?usp=share_link"",""แม่ฮ่องสอน!I291"")+IMPORTRANGE(""https://docs.google.com/spreadsheets/d/1p7ERhsr0qZeSn-KSOdeHS9r0heI-lHtkcn2OH7hP0jQ/edit?usp=share_link"",""ลำปาง!"&amp;"I291"")+IMPORTRANGE(""https://docs.google.com/spreadsheets/d/1-uUXvimVhiU2U0bMN-xi2te0tS4X7DI2GLPnMjzl8cA/edit?usp=share_link"",""ลำพูน!I291"")+IMPORTRANGE(""https://docs.google.com/spreadsheets/d/17HrOaa5pBUI1onckFfumXB8xlg35qb2uBAFfF1D-Myo/edit?usp=shar"&amp;"e_link"",""สุโขทัย!I291"")+IMPORTRANGE(""https://docs.google.com/spreadsheets/d/1ubs5cl16eYL9gHbdHTJtmtYb9MGzHBs7CAphn8kNCgM/edit?usp=share_link"",""อุตรดิตถ์!I291"")+IMPORTRANGE(""https://docs.google.com/spreadsheets/d/1kII0BjS6CtVrBvI8IrytgPdxDrlyQDyigz"&amp;"MsohRtDMs/edit?usp=share_link"",""อุทัยธานี!I291"")
"),395)</f>
        <v>395</v>
      </c>
      <c r="J291" s="183">
        <f ca="1">IFERROR(__xludf.DUMMYFUNCTION("IMPORTRANGE(""https://docs.google.com/spreadsheets/d/1KxicF4apzSqm0-jIpmueT4kyZtE-Cwn5zskl7GD4loQ/edit?usp=share_link"",""กำแพงเพชร!J291"")+IMPORTRANGE(""https://docs.google.com/spreadsheets/d/1ZNYWeiFoFA1K1U4xKWqRX29MBvEyRHXORjo734Gnq_c/edit?usp=share_li"&amp;"nk"",""เชียงราย!J291"")
+IMPORTRANGE(""https://docs.google.com/spreadsheets/d/1Jgv0Y7YlHDtsiDawwp-uvifEJ8HVaSn0k2aGHG8-hwM/edit?usp=share_link"",""เชียงใหม่!J291"")+IMPORTRANGE(""https://docs.google.com/spreadsheets/d/1JWG2rZePOz9pe-f-ObA-yDr0VoOX2kSb0qIi"&amp;"x2mTUo8/edit?usp=share_link"",""ตาก!J291"")+IMPORTRANGE(""https://docs.google.com/spreadsheets/d/10nSRjK08hx8Y6HgSOQKNw81lyY46Zc7U_Cj72hBMp9U/edit?usp=share_link"",""นครสวรรค์!J291"")+IMPORTRANGE(""https://docs.google.com/spreadsheets/d/1gFVb7qd7amutrIxAA"&amp;"oM7lcy35hllxznovot8lyOfvDo/edit?usp=share_link"",""น่าน!J291"")+IMPORTRANGE(""https://docs.google.com/spreadsheets/d/1K0Aa9s-6EuHE5M0FG1F9aHLXRCOV917xvycTdLdct0w/edit?usp=share_link"",""พะเยา!J291"")+IMPORTRANGE(""https://docs.google.com/spreadsheets/d/1Y"&amp;"9LPKx95PyL5OKy09d-KbKJSuuEZCFdkhYjwC0XQjBA/edit?usp=share_link"",""พิจิตร!J291"")+IMPORTRANGE(""https://docs.google.com/spreadsheets/d/16OMuOwy2eVqZcYWOouQtTpa8X1L23h4660uVHc0C8os/edit?usp=share_link"",""พิษณุโลก!J291"")+IMPORTRANGE(""https://docs.google."&amp;"com/spreadsheets/d/1GfgTldLG6k77HXaMQzaafODklYuucJZQNs_GAPEfZyY/edit?usp=share_link"",""เพชรบูรณ์!J291"")+IMPORTRANGE(""https://docs.google.com/spreadsheets/d/1gvTMYAnm7v1yG1BKWFtr0DnaTsq59oW9dwWvFgq6hs0/edit?usp=share_link"",""แพร่!J291"")+IMPORTRANGE("""&amp;"https://docs.google.com/spreadsheets/d/1Wbcosgy-Xa1xXUArJSOenub6EfZHUSzc_bpJFWwQUf0/edit?usp=share_link"",""แม่ฮ่องสอน!J291"")+IMPORTRANGE(""https://docs.google.com/spreadsheets/d/1p7ERhsr0qZeSn-KSOdeHS9r0heI-lHtkcn2OH7hP0jQ/edit?usp=share_link"",""ลำปาง!"&amp;"J291"")+IMPORTRANGE(""https://docs.google.com/spreadsheets/d/1-uUXvimVhiU2U0bMN-xi2te0tS4X7DI2GLPnMjzl8cA/edit?usp=share_link"",""ลำพูน!J291"")+IMPORTRANGE(""https://docs.google.com/spreadsheets/d/17HrOaa5pBUI1onckFfumXB8xlg35qb2uBAFfF1D-Myo/edit?usp=shar"&amp;"e_link"",""สุโขทัย!J291"")+IMPORTRANGE(""https://docs.google.com/spreadsheets/d/1ubs5cl16eYL9gHbdHTJtmtYb9MGzHBs7CAphn8kNCgM/edit?usp=share_link"",""อุตรดิตถ์!J291"")+IMPORTRANGE(""https://docs.google.com/spreadsheets/d/1kII0BjS6CtVrBvI8IrytgPdxDrlyQDyigz"&amp;"MsohRtDMs/edit?usp=share_link"",""อุทัยธานี!J291"")
"),335)</f>
        <v>335</v>
      </c>
      <c r="K291" s="163">
        <f t="shared" ca="1" si="157"/>
        <v>84.810126582278485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379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KxicF4apzSqm0-jIpmueT4kyZtE-Cwn5zskl7GD4loQ/edit?usp=share_link"",""กำแพงเพชร!I293"")+IMPORTRANGE(""https://docs.google.com/spreadsheets/d/1ZNYWeiFoFA1K1U4xKWqRX29MBvEyRHXORjo734Gnq_c/edit?usp=share_li"&amp;"nk"",""เชียงราย!I293"")
+IMPORTRANGE(""https://docs.google.com/spreadsheets/d/1Jgv0Y7YlHDtsiDawwp-uvifEJ8HVaSn0k2aGHG8-hwM/edit?usp=share_link"",""เชียงใหม่!I293"")+IMPORTRANGE(""https://docs.google.com/spreadsheets/d/1JWG2rZePOz9pe-f-ObA-yDr0VoOX2kSb0qIi"&amp;"x2mTUo8/edit?usp=share_link"",""ตาก!I293"")+IMPORTRANGE(""https://docs.google.com/spreadsheets/d/10nSRjK08hx8Y6HgSOQKNw81lyY46Zc7U_Cj72hBMp9U/edit?usp=share_link"",""นครสวรรค์!I293"")+IMPORTRANGE(""https://docs.google.com/spreadsheets/d/1gFVb7qd7amutrIxAA"&amp;"oM7lcy35hllxznovot8lyOfvDo/edit?usp=share_link"",""น่าน!I293"")+IMPORTRANGE(""https://docs.google.com/spreadsheets/d/1K0Aa9s-6EuHE5M0FG1F9aHLXRCOV917xvycTdLdct0w/edit?usp=share_link"",""พะเยา!I293"")+IMPORTRANGE(""https://docs.google.com/spreadsheets/d/1Y"&amp;"9LPKx95PyL5OKy09d-KbKJSuuEZCFdkhYjwC0XQjBA/edit?usp=share_link"",""พิจิตร!I293"")+IMPORTRANGE(""https://docs.google.com/spreadsheets/d/16OMuOwy2eVqZcYWOouQtTpa8X1L23h4660uVHc0C8os/edit?usp=share_link"",""พิษณุโลก!I293"")+IMPORTRANGE(""https://docs.google."&amp;"com/spreadsheets/d/1GfgTldLG6k77HXaMQzaafODklYuucJZQNs_GAPEfZyY/edit?usp=share_link"",""เพชรบูรณ์!I293"")+IMPORTRANGE(""https://docs.google.com/spreadsheets/d/1gvTMYAnm7v1yG1BKWFtr0DnaTsq59oW9dwWvFgq6hs0/edit?usp=share_link"",""แพร่!I293"")+IMPORTRANGE("""&amp;"https://docs.google.com/spreadsheets/d/1Wbcosgy-Xa1xXUArJSOenub6EfZHUSzc_bpJFWwQUf0/edit?usp=share_link"",""แม่ฮ่องสอน!I293"")+IMPORTRANGE(""https://docs.google.com/spreadsheets/d/1p7ERhsr0qZeSn-KSOdeHS9r0heI-lHtkcn2OH7hP0jQ/edit?usp=share_link"",""ลำปาง!"&amp;"I293"")+IMPORTRANGE(""https://docs.google.com/spreadsheets/d/1-uUXvimVhiU2U0bMN-xi2te0tS4X7DI2GLPnMjzl8cA/edit?usp=share_link"",""ลำพูน!I293"")+IMPORTRANGE(""https://docs.google.com/spreadsheets/d/17HrOaa5pBUI1onckFfumXB8xlg35qb2uBAFfF1D-Myo/edit?usp=shar"&amp;"e_link"",""สุโขทัย!I293"")+IMPORTRANGE(""https://docs.google.com/spreadsheets/d/1ubs5cl16eYL9gHbdHTJtmtYb9MGzHBs7CAphn8kNCgM/edit?usp=share_link"",""อุตรดิตถ์!I293"")+IMPORTRANGE(""https://docs.google.com/spreadsheets/d/1kII0BjS6CtVrBvI8IrytgPdxDrlyQDyigz"&amp;"MsohRtDMs/edit?usp=share_link"",""อุทัยธานี!I293"")
"),395)</f>
        <v>395</v>
      </c>
      <c r="J293" s="183">
        <f ca="1">IFERROR(__xludf.DUMMYFUNCTION("IMPORTRANGE(""https://docs.google.com/spreadsheets/d/1KxicF4apzSqm0-jIpmueT4kyZtE-Cwn5zskl7GD4loQ/edit?usp=share_link"",""กำแพงเพชร!J293"")+IMPORTRANGE(""https://docs.google.com/spreadsheets/d/1ZNYWeiFoFA1K1U4xKWqRX29MBvEyRHXORjo734Gnq_c/edit?usp=share_li"&amp;"nk"",""เชียงราย!J293"")
+IMPORTRANGE(""https://docs.google.com/spreadsheets/d/1Jgv0Y7YlHDtsiDawwp-uvifEJ8HVaSn0k2aGHG8-hwM/edit?usp=share_link"",""เชียงใหม่!J293"")+IMPORTRANGE(""https://docs.google.com/spreadsheets/d/1JWG2rZePOz9pe-f-ObA-yDr0VoOX2kSb0qIi"&amp;"x2mTUo8/edit?usp=share_link"",""ตาก!J293"")+IMPORTRANGE(""https://docs.google.com/spreadsheets/d/10nSRjK08hx8Y6HgSOQKNw81lyY46Zc7U_Cj72hBMp9U/edit?usp=share_link"",""นครสวรรค์!J293"")+IMPORTRANGE(""https://docs.google.com/spreadsheets/d/1gFVb7qd7amutrIxAA"&amp;"oM7lcy35hllxznovot8lyOfvDo/edit?usp=share_link"",""น่าน!J293"")+IMPORTRANGE(""https://docs.google.com/spreadsheets/d/1K0Aa9s-6EuHE5M0FG1F9aHLXRCOV917xvycTdLdct0w/edit?usp=share_link"",""พะเยา!J293"")+IMPORTRANGE(""https://docs.google.com/spreadsheets/d/1Y"&amp;"9LPKx95PyL5OKy09d-KbKJSuuEZCFdkhYjwC0XQjBA/edit?usp=share_link"",""พิจิตร!J293"")+IMPORTRANGE(""https://docs.google.com/spreadsheets/d/16OMuOwy2eVqZcYWOouQtTpa8X1L23h4660uVHc0C8os/edit?usp=share_link"",""พิษณุโลก!J293"")+IMPORTRANGE(""https://docs.google."&amp;"com/spreadsheets/d/1GfgTldLG6k77HXaMQzaafODklYuucJZQNs_GAPEfZyY/edit?usp=share_link"",""เพชรบูรณ์!J293"")+IMPORTRANGE(""https://docs.google.com/spreadsheets/d/1gvTMYAnm7v1yG1BKWFtr0DnaTsq59oW9dwWvFgq6hs0/edit?usp=share_link"",""แพร่!J293"")+IMPORTRANGE("""&amp;"https://docs.google.com/spreadsheets/d/1Wbcosgy-Xa1xXUArJSOenub6EfZHUSzc_bpJFWwQUf0/edit?usp=share_link"",""แม่ฮ่องสอน!J293"")+IMPORTRANGE(""https://docs.google.com/spreadsheets/d/1p7ERhsr0qZeSn-KSOdeHS9r0heI-lHtkcn2OH7hP0jQ/edit?usp=share_link"",""ลำปาง!"&amp;"J293"")+IMPORTRANGE(""https://docs.google.com/spreadsheets/d/1-uUXvimVhiU2U0bMN-xi2te0tS4X7DI2GLPnMjzl8cA/edit?usp=share_link"",""ลำพูน!J293"")+IMPORTRANGE(""https://docs.google.com/spreadsheets/d/17HrOaa5pBUI1onckFfumXB8xlg35qb2uBAFfF1D-Myo/edit?usp=shar"&amp;"e_link"",""สุโขทัย!J293"")+IMPORTRANGE(""https://docs.google.com/spreadsheets/d/1ubs5cl16eYL9gHbdHTJtmtYb9MGzHBs7CAphn8kNCgM/edit?usp=share_link"",""อุตรดิตถ์!J293"")+IMPORTRANGE(""https://docs.google.com/spreadsheets/d/1kII0BjS6CtVrBvI8IrytgPdxDrlyQDyigz"&amp;"MsohRtDMs/edit?usp=share_link"",""อุทัยธานี!J293"")
"),110)</f>
        <v>110</v>
      </c>
      <c r="K293" s="163">
        <f t="shared" ref="K293:K294" ca="1" si="158">IF(I293&gt;0,J293*100/I293,0)</f>
        <v>27.848101265822784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390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KxicF4apzSqm0-jIpmueT4kyZtE-Cwn5zskl7GD4loQ/edit?usp=share_link"",""กำแพงเพชร!I294"")+IMPORTRANGE(""https://docs.google.com/spreadsheets/d/1ZNYWeiFoFA1K1U4xKWqRX29MBvEyRHXORjo734Gnq_c/edit?usp=share_li"&amp;"nk"",""เชียงราย!I294"")
+IMPORTRANGE(""https://docs.google.com/spreadsheets/d/1Jgv0Y7YlHDtsiDawwp-uvifEJ8HVaSn0k2aGHG8-hwM/edit?usp=share_link"",""เชียงใหม่!I294"")+IMPORTRANGE(""https://docs.google.com/spreadsheets/d/1JWG2rZePOz9pe-f-ObA-yDr0VoOX2kSb0qIi"&amp;"x2mTUo8/edit?usp=share_link"",""ตาก!I294"")+IMPORTRANGE(""https://docs.google.com/spreadsheets/d/10nSRjK08hx8Y6HgSOQKNw81lyY46Zc7U_Cj72hBMp9U/edit?usp=share_link"",""นครสวรรค์!I294"")+IMPORTRANGE(""https://docs.google.com/spreadsheets/d/1gFVb7qd7amutrIxAA"&amp;"oM7lcy35hllxznovot8lyOfvDo/edit?usp=share_link"",""น่าน!I294"")+IMPORTRANGE(""https://docs.google.com/spreadsheets/d/1K0Aa9s-6EuHE5M0FG1F9aHLXRCOV917xvycTdLdct0w/edit?usp=share_link"",""พะเยา!I294"")+IMPORTRANGE(""https://docs.google.com/spreadsheets/d/1Y"&amp;"9LPKx95PyL5OKy09d-KbKJSuuEZCFdkhYjwC0XQjBA/edit?usp=share_link"",""พิจิตร!I294"")+IMPORTRANGE(""https://docs.google.com/spreadsheets/d/16OMuOwy2eVqZcYWOouQtTpa8X1L23h4660uVHc0C8os/edit?usp=share_link"",""พิษณุโลก!I294"")+IMPORTRANGE(""https://docs.google."&amp;"com/spreadsheets/d/1GfgTldLG6k77HXaMQzaafODklYuucJZQNs_GAPEfZyY/edit?usp=share_link"",""เพชรบูรณ์!I294"")+IMPORTRANGE(""https://docs.google.com/spreadsheets/d/1gvTMYAnm7v1yG1BKWFtr0DnaTsq59oW9dwWvFgq6hs0/edit?usp=share_link"",""แพร่!I294"")+IMPORTRANGE("""&amp;"https://docs.google.com/spreadsheets/d/1Wbcosgy-Xa1xXUArJSOenub6EfZHUSzc_bpJFWwQUf0/edit?usp=share_link"",""แม่ฮ่องสอน!I294"")+IMPORTRANGE(""https://docs.google.com/spreadsheets/d/1p7ERhsr0qZeSn-KSOdeHS9r0heI-lHtkcn2OH7hP0jQ/edit?usp=share_link"",""ลำปาง!"&amp;"I294"")+IMPORTRANGE(""https://docs.google.com/spreadsheets/d/1-uUXvimVhiU2U0bMN-xi2te0tS4X7DI2GLPnMjzl8cA/edit?usp=share_link"",""ลำพูน!I294"")+IMPORTRANGE(""https://docs.google.com/spreadsheets/d/17HrOaa5pBUI1onckFfumXB8xlg35qb2uBAFfF1D-Myo/edit?usp=shar"&amp;"e_link"",""สุโขทัย!I294"")+IMPORTRANGE(""https://docs.google.com/spreadsheets/d/1ubs5cl16eYL9gHbdHTJtmtYb9MGzHBs7CAphn8kNCgM/edit?usp=share_link"",""อุตรดิตถ์!I294"")+IMPORTRANGE(""https://docs.google.com/spreadsheets/d/1kII0BjS6CtVrBvI8IrytgPdxDrlyQDyigz"&amp;"MsohRtDMs/edit?usp=share_link"",""อุทัยธานี!I294"")
"),395)</f>
        <v>395</v>
      </c>
      <c r="J294" s="393">
        <f ca="1">IFERROR(__xludf.DUMMYFUNCTION("IMPORTRANGE(""https://docs.google.com/spreadsheets/d/1KxicF4apzSqm0-jIpmueT4kyZtE-Cwn5zskl7GD4loQ/edit?usp=share_link"",""กำแพงเพชร!J294"")+IMPORTRANGE(""https://docs.google.com/spreadsheets/d/1ZNYWeiFoFA1K1U4xKWqRX29MBvEyRHXORjo734Gnq_c/edit?usp=share_li"&amp;"nk"",""เชียงราย!J294"")
+IMPORTRANGE(""https://docs.google.com/spreadsheets/d/1Jgv0Y7YlHDtsiDawwp-uvifEJ8HVaSn0k2aGHG8-hwM/edit?usp=share_link"",""เชียงใหม่!J294"")+IMPORTRANGE(""https://docs.google.com/spreadsheets/d/1JWG2rZePOz9pe-f-ObA-yDr0VoOX2kSb0qIi"&amp;"x2mTUo8/edit?usp=share_link"",""ตาก!J294"")+IMPORTRANGE(""https://docs.google.com/spreadsheets/d/10nSRjK08hx8Y6HgSOQKNw81lyY46Zc7U_Cj72hBMp9U/edit?usp=share_link"",""นครสวรรค์!J294"")+IMPORTRANGE(""https://docs.google.com/spreadsheets/d/1gFVb7qd7amutrIxAA"&amp;"oM7lcy35hllxznovot8lyOfvDo/edit?usp=share_link"",""น่าน!J294"")+IMPORTRANGE(""https://docs.google.com/spreadsheets/d/1K0Aa9s-6EuHE5M0FG1F9aHLXRCOV917xvycTdLdct0w/edit?usp=share_link"",""พะเยา!J294"")+IMPORTRANGE(""https://docs.google.com/spreadsheets/d/1Y"&amp;"9LPKx95PyL5OKy09d-KbKJSuuEZCFdkhYjwC0XQjBA/edit?usp=share_link"",""พิจิตร!J294"")+IMPORTRANGE(""https://docs.google.com/spreadsheets/d/16OMuOwy2eVqZcYWOouQtTpa8X1L23h4660uVHc0C8os/edit?usp=share_link"",""พิษณุโลก!J294"")+IMPORTRANGE(""https://docs.google."&amp;"com/spreadsheets/d/1GfgTldLG6k77HXaMQzaafODklYuucJZQNs_GAPEfZyY/edit?usp=share_link"",""เพชรบูรณ์!J294"")+IMPORTRANGE(""https://docs.google.com/spreadsheets/d/1gvTMYAnm7v1yG1BKWFtr0DnaTsq59oW9dwWvFgq6hs0/edit?usp=share_link"",""แพร่!J294"")+IMPORTRANGE("""&amp;"https://docs.google.com/spreadsheets/d/1Wbcosgy-Xa1xXUArJSOenub6EfZHUSzc_bpJFWwQUf0/edit?usp=share_link"",""แม่ฮ่องสอน!J294"")+IMPORTRANGE(""https://docs.google.com/spreadsheets/d/1p7ERhsr0qZeSn-KSOdeHS9r0heI-lHtkcn2OH7hP0jQ/edit?usp=share_link"",""ลำปาง!"&amp;"J294"")+IMPORTRANGE(""https://docs.google.com/spreadsheets/d/1-uUXvimVhiU2U0bMN-xi2te0tS4X7DI2GLPnMjzl8cA/edit?usp=share_link"",""ลำพูน!J294"")+IMPORTRANGE(""https://docs.google.com/spreadsheets/d/17HrOaa5pBUI1onckFfumXB8xlg35qb2uBAFfF1D-Myo/edit?usp=shar"&amp;"e_link"",""สุโขทัย!J294"")+IMPORTRANGE(""https://docs.google.com/spreadsheets/d/1ubs5cl16eYL9gHbdHTJtmtYb9MGzHBs7CAphn8kNCgM/edit?usp=share_link"",""อุตรดิตถ์!J294"")+IMPORTRANGE(""https://docs.google.com/spreadsheets/d/1kII0BjS6CtVrBvI8IrytgPdxDrlyQDyigz"&amp;"MsohRtDMs/edit?usp=share_link"",""อุทัยธานี!J294"")
"),110)</f>
        <v>110</v>
      </c>
      <c r="K294" s="354">
        <f t="shared" ca="1" si="158"/>
        <v>27.848101265822784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59">I309</f>
        <v>230</v>
      </c>
      <c r="J297" s="413">
        <f t="shared" ca="1" si="159"/>
        <v>210</v>
      </c>
      <c r="K297" s="414">
        <f ca="1">IF(I297&gt;0,J297*100/I297,0)</f>
        <v>91.304347826086953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60">L299+L300</f>
        <v>2230600</v>
      </c>
      <c r="M298" s="155">
        <f t="shared" ca="1" si="160"/>
        <v>1672600</v>
      </c>
      <c r="N298" s="155">
        <f t="shared" ca="1" si="160"/>
        <v>940671.67</v>
      </c>
      <c r="O298" s="155">
        <f t="shared" ref="O298:O306" ca="1" si="161">IF(L298&gt;0,N298*100/L298,0)</f>
        <v>42.171239576795479</v>
      </c>
      <c r="P298" s="155">
        <f t="shared" ref="P298:P306" ca="1" si="162">IF(M298&gt;0,N298*100/M298,0)</f>
        <v>56.24008549563554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3">L302+L305</f>
        <v>0</v>
      </c>
      <c r="M299" s="45">
        <f t="shared" si="163"/>
        <v>0</v>
      </c>
      <c r="N299" s="45">
        <f t="shared" si="163"/>
        <v>0</v>
      </c>
      <c r="O299" s="45">
        <f t="shared" si="161"/>
        <v>0</v>
      </c>
      <c r="P299" s="45">
        <f t="shared" si="162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4">L303+L306</f>
        <v>2230600</v>
      </c>
      <c r="M300" s="45">
        <f t="shared" ca="1" si="164"/>
        <v>1672600</v>
      </c>
      <c r="N300" s="45">
        <f t="shared" ca="1" si="164"/>
        <v>940671.67</v>
      </c>
      <c r="O300" s="45">
        <f t="shared" ca="1" si="161"/>
        <v>42.171239576795479</v>
      </c>
      <c r="P300" s="45">
        <f t="shared" ca="1" si="162"/>
        <v>56.24008549563554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5">L302+L303</f>
        <v>2230600</v>
      </c>
      <c r="M301" s="38">
        <f t="shared" ca="1" si="165"/>
        <v>1672600</v>
      </c>
      <c r="N301" s="38">
        <f t="shared" ca="1" si="165"/>
        <v>940671.67</v>
      </c>
      <c r="O301" s="38">
        <f t="shared" ca="1" si="161"/>
        <v>42.171239576795479</v>
      </c>
      <c r="P301" s="38">
        <f t="shared" ca="1" si="162"/>
        <v>56.24008549563554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61"/>
        <v>0</v>
      </c>
      <c r="P302" s="45">
        <f t="shared" si="162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KxicF4apzSqm0-jIpmueT4kyZtE-Cwn5zskl7GD4loQ/edit?usp=share_link"",""กำแพงเพชร!l303"")+IMPORTRANGE(""https://docs.google.com/spreadsheets/d/1ZNYWeiFoFA1K1U4xKWqRX29MBvEyRHXORjo734Gnq_c/edit?usp=share_li"&amp;"nk"",""เชียงราย!l303"")
+IMPORTRANGE(""https://docs.google.com/spreadsheets/d/1Jgv0Y7YlHDtsiDawwp-uvifEJ8HVaSn0k2aGHG8-hwM/edit?usp=share_link"",""เชียงใหม่!l303"")+IMPORTRANGE(""https://docs.google.com/spreadsheets/d/1JWG2rZePOz9pe-f-ObA-yDr0VoOX2kSb0qIi"&amp;"x2mTUo8/edit?usp=share_link"",""ตาก!l303"")+IMPORTRANGE(""https://docs.google.com/spreadsheets/d/10nSRjK08hx8Y6HgSOQKNw81lyY46Zc7U_Cj72hBMp9U/edit?usp=share_link"",""นครสวรรค์!l303"")+IMPORTRANGE(""https://docs.google.com/spreadsheets/d/1gFVb7qd7amutrIxAA"&amp;"oM7lcy35hllxznovot8lyOfvDo/edit?usp=share_link"",""น่าน!l303"")+IMPORTRANGE(""https://docs.google.com/spreadsheets/d/1K0Aa9s-6EuHE5M0FG1F9aHLXRCOV917xvycTdLdct0w/edit?usp=share_link"",""พะเยา!l303"")+IMPORTRANGE(""https://docs.google.com/spreadsheets/d/1Y"&amp;"9LPKx95PyL5OKy09d-KbKJSuuEZCFdkhYjwC0XQjBA/edit?usp=share_link"",""พิจิตร!l303"")+IMPORTRANGE(""https://docs.google.com/spreadsheets/d/16OMuOwy2eVqZcYWOouQtTpa8X1L23h4660uVHc0C8os/edit?usp=share_link"",""พิษณุโลก!l303"")+IMPORTRANGE(""https://docs.google."&amp;"com/spreadsheets/d/1GfgTldLG6k77HXaMQzaafODklYuucJZQNs_GAPEfZyY/edit?usp=share_link"",""เพชรบูรณ์!l303"")+IMPORTRANGE(""https://docs.google.com/spreadsheets/d/1gvTMYAnm7v1yG1BKWFtr0DnaTsq59oW9dwWvFgq6hs0/edit?usp=share_link"",""แพร่!l303"")+IMPORTRANGE("""&amp;"https://docs.google.com/spreadsheets/d/1Wbcosgy-Xa1xXUArJSOenub6EfZHUSzc_bpJFWwQUf0/edit?usp=share_link"",""แม่ฮ่องสอน!l303"")+IMPORTRANGE(""https://docs.google.com/spreadsheets/d/1p7ERhsr0qZeSn-KSOdeHS9r0heI-lHtkcn2OH7hP0jQ/edit?usp=share_link"",""ลำปาง!"&amp;"l303"")+IMPORTRANGE(""https://docs.google.com/spreadsheets/d/1-uUXvimVhiU2U0bMN-xi2te0tS4X7DI2GLPnMjzl8cA/edit?usp=share_link"",""ลำพูน!l303"")+IMPORTRANGE(""https://docs.google.com/spreadsheets/d/17HrOaa5pBUI1onckFfumXB8xlg35qb2uBAFfF1D-Myo/edit?usp=shar"&amp;"e_link"",""สุโขทัย!l303"")+IMPORTRANGE(""https://docs.google.com/spreadsheets/d/1ubs5cl16eYL9gHbdHTJtmtYb9MGzHBs7CAphn8kNCgM/edit?usp=share_link"",""อุตรดิตถ์!l303"")+IMPORTRANGE(""https://docs.google.com/spreadsheets/d/1kII0BjS6CtVrBvI8IrytgPdxDrlyQDyigz"&amp;"MsohRtDMs/edit?usp=share_link"",""อุทัยธานี!l303"")
"),2230600)</f>
        <v>2230600</v>
      </c>
      <c r="M303" s="45">
        <f ca="1">IFERROR(__xludf.DUMMYFUNCTION("IMPORTRANGE(""https://docs.google.com/spreadsheets/d/1KxicF4apzSqm0-jIpmueT4kyZtE-Cwn5zskl7GD4loQ/edit?usp=share_link"",""กำแพงเพชร!m303"")+IMPORTRANGE(""https://docs.google.com/spreadsheets/d/1ZNYWeiFoFA1K1U4xKWqRX29MBvEyRHXORjo734Gnq_c/edit?usp=share_li"&amp;"nk"",""เชียงราย!m303"")
+IMPORTRANGE(""https://docs.google.com/spreadsheets/d/1Jgv0Y7YlHDtsiDawwp-uvifEJ8HVaSn0k2aGHG8-hwM/edit?usp=share_link"",""เชียงใหม่!m303"")+IMPORTRANGE(""https://docs.google.com/spreadsheets/d/1JWG2rZePOz9pe-f-ObA-yDr0VoOX2kSb0qIi"&amp;"x2mTUo8/edit?usp=share_link"",""ตาก!m303"")+IMPORTRANGE(""https://docs.google.com/spreadsheets/d/10nSRjK08hx8Y6HgSOQKNw81lyY46Zc7U_Cj72hBMp9U/edit?usp=share_link"",""นครสวรรค์!m303"")+IMPORTRANGE(""https://docs.google.com/spreadsheets/d/1gFVb7qd7amutrIxAA"&amp;"oM7lcy35hllxznovot8lyOfvDo/edit?usp=share_link"",""น่าน!m303"")+IMPORTRANGE(""https://docs.google.com/spreadsheets/d/1K0Aa9s-6EuHE5M0FG1F9aHLXRCOV917xvycTdLdct0w/edit?usp=share_link"",""พะเยา!m303"")+IMPORTRANGE(""https://docs.google.com/spreadsheets/d/1Y"&amp;"9LPKx95PyL5OKy09d-KbKJSuuEZCFdkhYjwC0XQjBA/edit?usp=share_link"",""พิจิตร!m303"")+IMPORTRANGE(""https://docs.google.com/spreadsheets/d/16OMuOwy2eVqZcYWOouQtTpa8X1L23h4660uVHc0C8os/edit?usp=share_link"",""พิษณุโลก!m303"")+IMPORTRANGE(""https://docs.google."&amp;"com/spreadsheets/d/1GfgTldLG6k77HXaMQzaafODklYuucJZQNs_GAPEfZyY/edit?usp=share_link"",""เพชรบูรณ์!m303"")+IMPORTRANGE(""https://docs.google.com/spreadsheets/d/1gvTMYAnm7v1yG1BKWFtr0DnaTsq59oW9dwWvFgq6hs0/edit?usp=share_link"",""แพร่!m303"")+IMPORTRANGE("""&amp;"https://docs.google.com/spreadsheets/d/1Wbcosgy-Xa1xXUArJSOenub6EfZHUSzc_bpJFWwQUf0/edit?usp=share_link"",""แม่ฮ่องสอน!m303"")+IMPORTRANGE(""https://docs.google.com/spreadsheets/d/1p7ERhsr0qZeSn-KSOdeHS9r0heI-lHtkcn2OH7hP0jQ/edit?usp=share_link"",""ลำปาง!"&amp;"m303"")+IMPORTRANGE(""https://docs.google.com/spreadsheets/d/1-uUXvimVhiU2U0bMN-xi2te0tS4X7DI2GLPnMjzl8cA/edit?usp=share_link"",""ลำพูน!m303"")+IMPORTRANGE(""https://docs.google.com/spreadsheets/d/17HrOaa5pBUI1onckFfumXB8xlg35qb2uBAFfF1D-Myo/edit?usp=shar"&amp;"e_link"",""สุโขทัย!m303"")+IMPORTRANGE(""https://docs.google.com/spreadsheets/d/1ubs5cl16eYL9gHbdHTJtmtYb9MGzHBs7CAphn8kNCgM/edit?usp=share_link"",""อุตรดิตถ์!m303"")+IMPORTRANGE(""https://docs.google.com/spreadsheets/d/1kII0BjS6CtVrBvI8IrytgPdxDrlyQDyigz"&amp;"MsohRtDMs/edit?usp=share_link"",""อุทัยธานี!m303"")
"),1672600)</f>
        <v>1672600</v>
      </c>
      <c r="N303" s="45">
        <f ca="1">IFERROR(__xludf.DUMMYFUNCTION("IMPORTRANGE(""https://docs.google.com/spreadsheets/d/1KxicF4apzSqm0-jIpmueT4kyZtE-Cwn5zskl7GD4loQ/edit?usp=share_link"",""กำแพงเพชร!n303"")+IMPORTRANGE(""https://docs.google.com/spreadsheets/d/1ZNYWeiFoFA1K1U4xKWqRX29MBvEyRHXORjo734Gnq_c/edit?usp=share_li"&amp;"nk"",""เชียงราย!n303"")
+IMPORTRANGE(""https://docs.google.com/spreadsheets/d/1Jgv0Y7YlHDtsiDawwp-uvifEJ8HVaSn0k2aGHG8-hwM/edit?usp=share_link"",""เชียงใหม่!n303"")+IMPORTRANGE(""https://docs.google.com/spreadsheets/d/1JWG2rZePOz9pe-f-ObA-yDr0VoOX2kSb0qIi"&amp;"x2mTUo8/edit?usp=share_link"",""ตาก!n303"")+IMPORTRANGE(""https://docs.google.com/spreadsheets/d/10nSRjK08hx8Y6HgSOQKNw81lyY46Zc7U_Cj72hBMp9U/edit?usp=share_link"",""นครสวรรค์!n303"")+IMPORTRANGE(""https://docs.google.com/spreadsheets/d/1gFVb7qd7amutrIxAA"&amp;"oM7lcy35hllxznovot8lyOfvDo/edit?usp=share_link"",""น่าน!n303"")+IMPORTRANGE(""https://docs.google.com/spreadsheets/d/1K0Aa9s-6EuHE5M0FG1F9aHLXRCOV917xvycTdLdct0w/edit?usp=share_link"",""พะเยา!n303"")+IMPORTRANGE(""https://docs.google.com/spreadsheets/d/1Y"&amp;"9LPKx95PyL5OKy09d-KbKJSuuEZCFdkhYjwC0XQjBA/edit?usp=share_link"",""พิจิตร!n303"")+IMPORTRANGE(""https://docs.google.com/spreadsheets/d/16OMuOwy2eVqZcYWOouQtTpa8X1L23h4660uVHc0C8os/edit?usp=share_link"",""พิษณุโลก!n303"")+IMPORTRANGE(""https://docs.google."&amp;"com/spreadsheets/d/1GfgTldLG6k77HXaMQzaafODklYuucJZQNs_GAPEfZyY/edit?usp=share_link"",""เพชรบูรณ์!n303"")+IMPORTRANGE(""https://docs.google.com/spreadsheets/d/1gvTMYAnm7v1yG1BKWFtr0DnaTsq59oW9dwWvFgq6hs0/edit?usp=share_link"",""แพร่!n303"")+IMPORTRANGE("""&amp;"https://docs.google.com/spreadsheets/d/1Wbcosgy-Xa1xXUArJSOenub6EfZHUSzc_bpJFWwQUf0/edit?usp=share_link"",""แม่ฮ่องสอน!n303"")+IMPORTRANGE(""https://docs.google.com/spreadsheets/d/1p7ERhsr0qZeSn-KSOdeHS9r0heI-lHtkcn2OH7hP0jQ/edit?usp=share_link"",""ลำปาง!"&amp;"n303"")+IMPORTRANGE(""https://docs.google.com/spreadsheets/d/1-uUXvimVhiU2U0bMN-xi2te0tS4X7DI2GLPnMjzl8cA/edit?usp=share_link"",""ลำพูน!n303"")+IMPORTRANGE(""https://docs.google.com/spreadsheets/d/17HrOaa5pBUI1onckFfumXB8xlg35qb2uBAFfF1D-Myo/edit?usp=shar"&amp;"e_link"",""สุโขทัย!n303"")+IMPORTRANGE(""https://docs.google.com/spreadsheets/d/1ubs5cl16eYL9gHbdHTJtmtYb9MGzHBs7CAphn8kNCgM/edit?usp=share_link"",""อุตรดิตถ์!n303"")+IMPORTRANGE(""https://docs.google.com/spreadsheets/d/1kII0BjS6CtVrBvI8IrytgPdxDrlyQDyigz"&amp;"MsohRtDMs/edit?usp=share_link"",""อุทัยธานี!n303"")
"),940671.67)</f>
        <v>940671.67</v>
      </c>
      <c r="O303" s="45">
        <f t="shared" ca="1" si="161"/>
        <v>42.171239576795479</v>
      </c>
      <c r="P303" s="45">
        <f t="shared" ca="1" si="162"/>
        <v>56.24008549563554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6">L305+L306</f>
        <v>0</v>
      </c>
      <c r="M304" s="38">
        <f t="shared" ca="1" si="166"/>
        <v>0</v>
      </c>
      <c r="N304" s="38">
        <f t="shared" ca="1" si="166"/>
        <v>0</v>
      </c>
      <c r="O304" s="38">
        <f t="shared" ca="1" si="161"/>
        <v>0</v>
      </c>
      <c r="P304" s="38">
        <f t="shared" ca="1" si="162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61"/>
        <v>0</v>
      </c>
      <c r="P305" s="45">
        <f t="shared" si="162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KxicF4apzSqm0-jIpmueT4kyZtE-Cwn5zskl7GD4loQ/edit?usp=share_link"",""กำแพงเพชร!l306"")+IMPORTRANGE(""https://docs.google.com/spreadsheets/d/1ZNYWeiFoFA1K1U4xKWqRX29MBvEyRHXORjo734Gnq_c/edit?usp=share_li"&amp;"nk"",""เชียงราย!l306"")
+IMPORTRANGE(""https://docs.google.com/spreadsheets/d/1Jgv0Y7YlHDtsiDawwp-uvifEJ8HVaSn0k2aGHG8-hwM/edit?usp=share_link"",""เชียงใหม่!l306"")+IMPORTRANGE(""https://docs.google.com/spreadsheets/d/1JWG2rZePOz9pe-f-ObA-yDr0VoOX2kSb0qIi"&amp;"x2mTUo8/edit?usp=share_link"",""ตาก!l306"")+IMPORTRANGE(""https://docs.google.com/spreadsheets/d/10nSRjK08hx8Y6HgSOQKNw81lyY46Zc7U_Cj72hBMp9U/edit?usp=share_link"",""นครสวรรค์!l306"")+IMPORTRANGE(""https://docs.google.com/spreadsheets/d/1gFVb7qd7amutrIxAA"&amp;"oM7lcy35hllxznovot8lyOfvDo/edit?usp=share_link"",""น่าน!l306"")+IMPORTRANGE(""https://docs.google.com/spreadsheets/d/1K0Aa9s-6EuHE5M0FG1F9aHLXRCOV917xvycTdLdct0w/edit?usp=share_link"",""พะเยา!l306"")+IMPORTRANGE(""https://docs.google.com/spreadsheets/d/1Y"&amp;"9LPKx95PyL5OKy09d-KbKJSuuEZCFdkhYjwC0XQjBA/edit?usp=share_link"",""พิจิตร!l306"")+IMPORTRANGE(""https://docs.google.com/spreadsheets/d/16OMuOwy2eVqZcYWOouQtTpa8X1L23h4660uVHc0C8os/edit?usp=share_link"",""พิษณุโลก!l306"")+IMPORTRANGE(""https://docs.google."&amp;"com/spreadsheets/d/1GfgTldLG6k77HXaMQzaafODklYuucJZQNs_GAPEfZyY/edit?usp=share_link"",""เพชรบูรณ์!l306"")+IMPORTRANGE(""https://docs.google.com/spreadsheets/d/1gvTMYAnm7v1yG1BKWFtr0DnaTsq59oW9dwWvFgq6hs0/edit?usp=share_link"",""แพร่!l306"")+IMPORTRANGE("""&amp;"https://docs.google.com/spreadsheets/d/1Wbcosgy-Xa1xXUArJSOenub6EfZHUSzc_bpJFWwQUf0/edit?usp=share_link"",""แม่ฮ่องสอน!l306"")+IMPORTRANGE(""https://docs.google.com/spreadsheets/d/1p7ERhsr0qZeSn-KSOdeHS9r0heI-lHtkcn2OH7hP0jQ/edit?usp=share_link"",""ลำปาง!"&amp;"l306"")+IMPORTRANGE(""https://docs.google.com/spreadsheets/d/1-uUXvimVhiU2U0bMN-xi2te0tS4X7DI2GLPnMjzl8cA/edit?usp=share_link"",""ลำพูน!l306"")+IMPORTRANGE(""https://docs.google.com/spreadsheets/d/17HrOaa5pBUI1onckFfumXB8xlg35qb2uBAFfF1D-Myo/edit?usp=shar"&amp;"e_link"",""สุโขทัย!l306"")+IMPORTRANGE(""https://docs.google.com/spreadsheets/d/1ubs5cl16eYL9gHbdHTJtmtYb9MGzHBs7CAphn8kNCgM/edit?usp=share_link"",""อุตรดิตถ์!l306"")+IMPORTRANGE(""https://docs.google.com/spreadsheets/d/1kII0BjS6CtVrBvI8IrytgPdxDrlyQDyigz"&amp;"MsohRtDMs/edit?usp=share_link"",""อุทัยธานี!l306"")
"),0)</f>
        <v>0</v>
      </c>
      <c r="M306" s="45">
        <f ca="1">IFERROR(__xludf.DUMMYFUNCTION("IMPORTRANGE(""https://docs.google.com/spreadsheets/d/1KxicF4apzSqm0-jIpmueT4kyZtE-Cwn5zskl7GD4loQ/edit?usp=share_link"",""กำแพงเพชร!m306"")+IMPORTRANGE(""https://docs.google.com/spreadsheets/d/1ZNYWeiFoFA1K1U4xKWqRX29MBvEyRHXORjo734Gnq_c/edit?usp=share_li"&amp;"nk"",""เชียงราย!m306"")
+IMPORTRANGE(""https://docs.google.com/spreadsheets/d/1Jgv0Y7YlHDtsiDawwp-uvifEJ8HVaSn0k2aGHG8-hwM/edit?usp=share_link"",""เชียงใหม่!m306"")+IMPORTRANGE(""https://docs.google.com/spreadsheets/d/1JWG2rZePOz9pe-f-ObA-yDr0VoOX2kSb0qIi"&amp;"x2mTUo8/edit?usp=share_link"",""ตาก!m306"")+IMPORTRANGE(""https://docs.google.com/spreadsheets/d/10nSRjK08hx8Y6HgSOQKNw81lyY46Zc7U_Cj72hBMp9U/edit?usp=share_link"",""นครสวรรค์!m306"")+IMPORTRANGE(""https://docs.google.com/spreadsheets/d/1gFVb7qd7amutrIxAA"&amp;"oM7lcy35hllxznovot8lyOfvDo/edit?usp=share_link"",""น่าน!m306"")+IMPORTRANGE(""https://docs.google.com/spreadsheets/d/1K0Aa9s-6EuHE5M0FG1F9aHLXRCOV917xvycTdLdct0w/edit?usp=share_link"",""พะเยา!m306"")+IMPORTRANGE(""https://docs.google.com/spreadsheets/d/1Y"&amp;"9LPKx95PyL5OKy09d-KbKJSuuEZCFdkhYjwC0XQjBA/edit?usp=share_link"",""พิจิตร!m306"")+IMPORTRANGE(""https://docs.google.com/spreadsheets/d/16OMuOwy2eVqZcYWOouQtTpa8X1L23h4660uVHc0C8os/edit?usp=share_link"",""พิษณุโลก!m306"")+IMPORTRANGE(""https://docs.google."&amp;"com/spreadsheets/d/1GfgTldLG6k77HXaMQzaafODklYuucJZQNs_GAPEfZyY/edit?usp=share_link"",""เพชรบูรณ์!m306"")+IMPORTRANGE(""https://docs.google.com/spreadsheets/d/1gvTMYAnm7v1yG1BKWFtr0DnaTsq59oW9dwWvFgq6hs0/edit?usp=share_link"",""แพร่!m306"")+IMPORTRANGE("""&amp;"https://docs.google.com/spreadsheets/d/1Wbcosgy-Xa1xXUArJSOenub6EfZHUSzc_bpJFWwQUf0/edit?usp=share_link"",""แม่ฮ่องสอน!m306"")+IMPORTRANGE(""https://docs.google.com/spreadsheets/d/1p7ERhsr0qZeSn-KSOdeHS9r0heI-lHtkcn2OH7hP0jQ/edit?usp=share_link"",""ลำปาง!"&amp;"m306"")+IMPORTRANGE(""https://docs.google.com/spreadsheets/d/1-uUXvimVhiU2U0bMN-xi2te0tS4X7DI2GLPnMjzl8cA/edit?usp=share_link"",""ลำพูน!m306"")+IMPORTRANGE(""https://docs.google.com/spreadsheets/d/17HrOaa5pBUI1onckFfumXB8xlg35qb2uBAFfF1D-Myo/edit?usp=shar"&amp;"e_link"",""สุโขทัย!m306"")+IMPORTRANGE(""https://docs.google.com/spreadsheets/d/1ubs5cl16eYL9gHbdHTJtmtYb9MGzHBs7CAphn8kNCgM/edit?usp=share_link"",""อุตรดิตถ์!m306"")+IMPORTRANGE(""https://docs.google.com/spreadsheets/d/1kII0BjS6CtVrBvI8IrytgPdxDrlyQDyigz"&amp;"MsohRtDMs/edit?usp=share_link"",""อุทัยธานี!m306"")
"),0)</f>
        <v>0</v>
      </c>
      <c r="N306" s="45">
        <f ca="1">IFERROR(__xludf.DUMMYFUNCTION("IMPORTRANGE(""https://docs.google.com/spreadsheets/d/1KxicF4apzSqm0-jIpmueT4kyZtE-Cwn5zskl7GD4loQ/edit?usp=share_link"",""กำแพงเพชร!n306"")+IMPORTRANGE(""https://docs.google.com/spreadsheets/d/1ZNYWeiFoFA1K1U4xKWqRX29MBvEyRHXORjo734Gnq_c/edit?usp=share_li"&amp;"nk"",""เชียงราย!n306"")
+IMPORTRANGE(""https://docs.google.com/spreadsheets/d/1Jgv0Y7YlHDtsiDawwp-uvifEJ8HVaSn0k2aGHG8-hwM/edit?usp=share_link"",""เชียงใหม่!n306"")+IMPORTRANGE(""https://docs.google.com/spreadsheets/d/1JWG2rZePOz9pe-f-ObA-yDr0VoOX2kSb0qIi"&amp;"x2mTUo8/edit?usp=share_link"",""ตาก!n306"")+IMPORTRANGE(""https://docs.google.com/spreadsheets/d/10nSRjK08hx8Y6HgSOQKNw81lyY46Zc7U_Cj72hBMp9U/edit?usp=share_link"",""นครสวรรค์!n306"")+IMPORTRANGE(""https://docs.google.com/spreadsheets/d/1gFVb7qd7amutrIxAA"&amp;"oM7lcy35hllxznovot8lyOfvDo/edit?usp=share_link"",""น่าน!n306"")+IMPORTRANGE(""https://docs.google.com/spreadsheets/d/1K0Aa9s-6EuHE5M0FG1F9aHLXRCOV917xvycTdLdct0w/edit?usp=share_link"",""พะเยา!n306"")+IMPORTRANGE(""https://docs.google.com/spreadsheets/d/1Y"&amp;"9LPKx95PyL5OKy09d-KbKJSuuEZCFdkhYjwC0XQjBA/edit?usp=share_link"",""พิจิตร!n306"")+IMPORTRANGE(""https://docs.google.com/spreadsheets/d/16OMuOwy2eVqZcYWOouQtTpa8X1L23h4660uVHc0C8os/edit?usp=share_link"",""พิษณุโลก!n306"")+IMPORTRANGE(""https://docs.google."&amp;"com/spreadsheets/d/1GfgTldLG6k77HXaMQzaafODklYuucJZQNs_GAPEfZyY/edit?usp=share_link"",""เพชรบูรณ์!n306"")+IMPORTRANGE(""https://docs.google.com/spreadsheets/d/1gvTMYAnm7v1yG1BKWFtr0DnaTsq59oW9dwWvFgq6hs0/edit?usp=share_link"",""แพร่!n306"")+IMPORTRANGE("""&amp;"https://docs.google.com/spreadsheets/d/1Wbcosgy-Xa1xXUArJSOenub6EfZHUSzc_bpJFWwQUf0/edit?usp=share_link"",""แม่ฮ่องสอน!n306"")+IMPORTRANGE(""https://docs.google.com/spreadsheets/d/1p7ERhsr0qZeSn-KSOdeHS9r0heI-lHtkcn2OH7hP0jQ/edit?usp=share_link"",""ลำปาง!"&amp;"n306"")+IMPORTRANGE(""https://docs.google.com/spreadsheets/d/1-uUXvimVhiU2U0bMN-xi2te0tS4X7DI2GLPnMjzl8cA/edit?usp=share_link"",""ลำพูน!n306"")+IMPORTRANGE(""https://docs.google.com/spreadsheets/d/17HrOaa5pBUI1onckFfumXB8xlg35qb2uBAFfF1D-Myo/edit?usp=shar"&amp;"e_link"",""สุโขทัย!n306"")+IMPORTRANGE(""https://docs.google.com/spreadsheets/d/1ubs5cl16eYL9gHbdHTJtmtYb9MGzHBs7CAphn8kNCgM/edit?usp=share_link"",""อุตรดิตถ์!n306"")+IMPORTRANGE(""https://docs.google.com/spreadsheets/d/1kII0BjS6CtVrBvI8IrytgPdxDrlyQDyigz"&amp;"MsohRtDMs/edit?usp=share_link"",""อุทัยธานี!n306"")
"),0)</f>
        <v>0</v>
      </c>
      <c r="O306" s="45">
        <f t="shared" ca="1" si="161"/>
        <v>0</v>
      </c>
      <c r="P306" s="45">
        <f t="shared" ca="1" si="162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18.75">
      <c r="A308" s="170"/>
      <c r="B308" s="171"/>
      <c r="C308" s="171"/>
      <c r="D308" s="416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KxicF4apzSqm0-jIpmueT4kyZtE-Cwn5zskl7GD4loQ/edit?usp=share_link"",""กำแพงเพชร!J308"")+IMPORTRANGE(""https://docs.google.com/spreadsheets/d/1ZNYWeiFoFA1K1U4xKWqRX29MBvEyRHXORjo734Gnq_c/edit?usp=share_li"&amp;"nk"",""เชียงราย!J308"")
+IMPORTRANGE(""https://docs.google.com/spreadsheets/d/1Jgv0Y7YlHDtsiDawwp-uvifEJ8HVaSn0k2aGHG8-hwM/edit?usp=share_link"",""เชียงใหม่!J308"")+IMPORTRANGE(""https://docs.google.com/spreadsheets/d/1JWG2rZePOz9pe-f-ObA-yDr0VoOX2kSb0qIi"&amp;"x2mTUo8/edit?usp=share_link"",""ตาก!J308"")+IMPORTRANGE(""https://docs.google.com/spreadsheets/d/10nSRjK08hx8Y6HgSOQKNw81lyY46Zc7U_Cj72hBMp9U/edit?usp=share_link"",""นครสวรรค์!J308"")+IMPORTRANGE(""https://docs.google.com/spreadsheets/d/1gFVb7qd7amutrIxAA"&amp;"oM7lcy35hllxznovot8lyOfvDo/edit?usp=share_link"",""น่าน!J308"")+IMPORTRANGE(""https://docs.google.com/spreadsheets/d/1K0Aa9s-6EuHE5M0FG1F9aHLXRCOV917xvycTdLdct0w/edit?usp=share_link"",""พะเยา!J308"")+IMPORTRANGE(""https://docs.google.com/spreadsheets/d/1Y"&amp;"9LPKx95PyL5OKy09d-KbKJSuuEZCFdkhYjwC0XQjBA/edit?usp=share_link"",""พิจิตร!J308"")+IMPORTRANGE(""https://docs.google.com/spreadsheets/d/16OMuOwy2eVqZcYWOouQtTpa8X1L23h4660uVHc0C8os/edit?usp=share_link"",""พิษณุโลก!J308"")+IMPORTRANGE(""https://docs.google."&amp;"com/spreadsheets/d/1GfgTldLG6k77HXaMQzaafODklYuucJZQNs_GAPEfZyY/edit?usp=share_link"",""เพชรบูรณ์!J308"")+IMPORTRANGE(""https://docs.google.com/spreadsheets/d/1gvTMYAnm7v1yG1BKWFtr0DnaTsq59oW9dwWvFgq6hs0/edit?usp=share_link"",""แพร่!J308"")+IMPORTRANGE("""&amp;"https://docs.google.com/spreadsheets/d/1Wbcosgy-Xa1xXUArJSOenub6EfZHUSzc_bpJFWwQUf0/edit?usp=share_link"",""แม่ฮ่องสอน!J308"")+IMPORTRANGE(""https://docs.google.com/spreadsheets/d/1p7ERhsr0qZeSn-KSOdeHS9r0heI-lHtkcn2OH7hP0jQ/edit?usp=share_link"",""ลำปาง!"&amp;"J308"")+IMPORTRANGE(""https://docs.google.com/spreadsheets/d/1-uUXvimVhiU2U0bMN-xi2te0tS4X7DI2GLPnMjzl8cA/edit?usp=share_link"",""ลำพูน!J308"")+IMPORTRANGE(""https://docs.google.com/spreadsheets/d/17HrOaa5pBUI1onckFfumXB8xlg35qb2uBAFfF1D-Myo/edit?usp=shar"&amp;"e_link"",""สุโขทัย!J308"")+IMPORTRANGE(""https://docs.google.com/spreadsheets/d/1ubs5cl16eYL9gHbdHTJtmtYb9MGzHBs7CAphn8kNCgM/edit?usp=share_link"",""อุตรดิตถ์!J308"")+IMPORTRANGE(""https://docs.google.com/spreadsheets/d/1kII0BjS6CtVrBvI8IrytgPdxDrlyQDyigz"&amp;"MsohRtDMs/edit?usp=share_link"",""อุทัยธานี!J308"")
"),6)</f>
        <v>6</v>
      </c>
      <c r="K308" s="38"/>
      <c r="L308" s="38"/>
      <c r="M308" s="38"/>
      <c r="N308" s="38"/>
      <c r="O308" s="38"/>
      <c r="P308" s="38"/>
    </row>
    <row r="309" spans="1:26" ht="18.75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KxicF4apzSqm0-jIpmueT4kyZtE-Cwn5zskl7GD4loQ/edit?usp=share_link"",""กำแพงเพชร!I309"")+IMPORTRANGE(""https://docs.google.com/spreadsheets/d/1ZNYWeiFoFA1K1U4xKWqRX29MBvEyRHXORjo734Gnq_c/edit?usp=share_li"&amp;"nk"",""เชียงราย!I309"")
+IMPORTRANGE(""https://docs.google.com/spreadsheets/d/1Jgv0Y7YlHDtsiDawwp-uvifEJ8HVaSn0k2aGHG8-hwM/edit?usp=share_link"",""เชียงใหม่!I309"")+IMPORTRANGE(""https://docs.google.com/spreadsheets/d/1JWG2rZePOz9pe-f-ObA-yDr0VoOX2kSb0qIi"&amp;"x2mTUo8/edit?usp=share_link"",""ตาก!I309"")+IMPORTRANGE(""https://docs.google.com/spreadsheets/d/10nSRjK08hx8Y6HgSOQKNw81lyY46Zc7U_Cj72hBMp9U/edit?usp=share_link"",""นครสวรรค์!I309"")+IMPORTRANGE(""https://docs.google.com/spreadsheets/d/1gFVb7qd7amutrIxAA"&amp;"oM7lcy35hllxznovot8lyOfvDo/edit?usp=share_link"",""น่าน!I309"")+IMPORTRANGE(""https://docs.google.com/spreadsheets/d/1K0Aa9s-6EuHE5M0FG1F9aHLXRCOV917xvycTdLdct0w/edit?usp=share_link"",""พะเยา!I309"")+IMPORTRANGE(""https://docs.google.com/spreadsheets/d/1Y"&amp;"9LPKx95PyL5OKy09d-KbKJSuuEZCFdkhYjwC0XQjBA/edit?usp=share_link"",""พิจิตร!I309"")+IMPORTRANGE(""https://docs.google.com/spreadsheets/d/16OMuOwy2eVqZcYWOouQtTpa8X1L23h4660uVHc0C8os/edit?usp=share_link"",""พิษณุโลก!I309"")+IMPORTRANGE(""https://docs.google."&amp;"com/spreadsheets/d/1GfgTldLG6k77HXaMQzaafODklYuucJZQNs_GAPEfZyY/edit?usp=share_link"",""เพชรบูรณ์!I309"")+IMPORTRANGE(""https://docs.google.com/spreadsheets/d/1gvTMYAnm7v1yG1BKWFtr0DnaTsq59oW9dwWvFgq6hs0/edit?usp=share_link"",""แพร่!I309"")+IMPORTRANGE("""&amp;"https://docs.google.com/spreadsheets/d/1Wbcosgy-Xa1xXUArJSOenub6EfZHUSzc_bpJFWwQUf0/edit?usp=share_link"",""แม่ฮ่องสอน!I309"")+IMPORTRANGE(""https://docs.google.com/spreadsheets/d/1p7ERhsr0qZeSn-KSOdeHS9r0heI-lHtkcn2OH7hP0jQ/edit?usp=share_link"",""ลำปาง!"&amp;"I309"")+IMPORTRANGE(""https://docs.google.com/spreadsheets/d/1-uUXvimVhiU2U0bMN-xi2te0tS4X7DI2GLPnMjzl8cA/edit?usp=share_link"",""ลำพูน!I309"")+IMPORTRANGE(""https://docs.google.com/spreadsheets/d/17HrOaa5pBUI1onckFfumXB8xlg35qb2uBAFfF1D-Myo/edit?usp=shar"&amp;"e_link"",""สุโขทัย!I309"")+IMPORTRANGE(""https://docs.google.com/spreadsheets/d/1ubs5cl16eYL9gHbdHTJtmtYb9MGzHBs7CAphn8kNCgM/edit?usp=share_link"",""อุตรดิตถ์!I309"")+IMPORTRANGE(""https://docs.google.com/spreadsheets/d/1kII0BjS6CtVrBvI8IrytgPdxDrlyQDyigz"&amp;"MsohRtDMs/edit?usp=share_link"",""อุทัยธานี!I309"")
"),230)</f>
        <v>230</v>
      </c>
      <c r="J309" s="183">
        <f ca="1">IFERROR(__xludf.DUMMYFUNCTION("IMPORTRANGE(""https://docs.google.com/spreadsheets/d/1KxicF4apzSqm0-jIpmueT4kyZtE-Cwn5zskl7GD4loQ/edit?usp=share_link"",""กำแพงเพชร!J309"")+IMPORTRANGE(""https://docs.google.com/spreadsheets/d/1ZNYWeiFoFA1K1U4xKWqRX29MBvEyRHXORjo734Gnq_c/edit?usp=share_li"&amp;"nk"",""เชียงราย!J309"")
+IMPORTRANGE(""https://docs.google.com/spreadsheets/d/1Jgv0Y7YlHDtsiDawwp-uvifEJ8HVaSn0k2aGHG8-hwM/edit?usp=share_link"",""เชียงใหม่!J309"")+IMPORTRANGE(""https://docs.google.com/spreadsheets/d/1JWG2rZePOz9pe-f-ObA-yDr0VoOX2kSb0qIi"&amp;"x2mTUo8/edit?usp=share_link"",""ตาก!J309"")+IMPORTRANGE(""https://docs.google.com/spreadsheets/d/10nSRjK08hx8Y6HgSOQKNw81lyY46Zc7U_Cj72hBMp9U/edit?usp=share_link"",""นครสวรรค์!J309"")+IMPORTRANGE(""https://docs.google.com/spreadsheets/d/1gFVb7qd7amutrIxAA"&amp;"oM7lcy35hllxznovot8lyOfvDo/edit?usp=share_link"",""น่าน!J309"")+IMPORTRANGE(""https://docs.google.com/spreadsheets/d/1K0Aa9s-6EuHE5M0FG1F9aHLXRCOV917xvycTdLdct0w/edit?usp=share_link"",""พะเยา!J309"")+IMPORTRANGE(""https://docs.google.com/spreadsheets/d/1Y"&amp;"9LPKx95PyL5OKy09d-KbKJSuuEZCFdkhYjwC0XQjBA/edit?usp=share_link"",""พิจิตร!J309"")+IMPORTRANGE(""https://docs.google.com/spreadsheets/d/16OMuOwy2eVqZcYWOouQtTpa8X1L23h4660uVHc0C8os/edit?usp=share_link"",""พิษณุโลก!J309"")+IMPORTRANGE(""https://docs.google."&amp;"com/spreadsheets/d/1GfgTldLG6k77HXaMQzaafODklYuucJZQNs_GAPEfZyY/edit?usp=share_link"",""เพชรบูรณ์!J309"")+IMPORTRANGE(""https://docs.google.com/spreadsheets/d/1gvTMYAnm7v1yG1BKWFtr0DnaTsq59oW9dwWvFgq6hs0/edit?usp=share_link"",""แพร่!J309"")+IMPORTRANGE("""&amp;"https://docs.google.com/spreadsheets/d/1Wbcosgy-Xa1xXUArJSOenub6EfZHUSzc_bpJFWwQUf0/edit?usp=share_link"",""แม่ฮ่องสอน!J309"")+IMPORTRANGE(""https://docs.google.com/spreadsheets/d/1p7ERhsr0qZeSn-KSOdeHS9r0heI-lHtkcn2OH7hP0jQ/edit?usp=share_link"",""ลำปาง!"&amp;"J309"")+IMPORTRANGE(""https://docs.google.com/spreadsheets/d/1-uUXvimVhiU2U0bMN-xi2te0tS4X7DI2GLPnMjzl8cA/edit?usp=share_link"",""ลำพูน!J309"")+IMPORTRANGE(""https://docs.google.com/spreadsheets/d/17HrOaa5pBUI1onckFfumXB8xlg35qb2uBAFfF1D-Myo/edit?usp=shar"&amp;"e_link"",""สุโขทัย!J309"")+IMPORTRANGE(""https://docs.google.com/spreadsheets/d/1ubs5cl16eYL9gHbdHTJtmtYb9MGzHBs7CAphn8kNCgM/edit?usp=share_link"",""อุตรดิตถ์!J309"")+IMPORTRANGE(""https://docs.google.com/spreadsheets/d/1kII0BjS6CtVrBvI8IrytgPdxDrlyQDyigz"&amp;"MsohRtDMs/edit?usp=share_link"",""อุทัยธานี!J309"")
"),210)</f>
        <v>210</v>
      </c>
      <c r="K309" s="38">
        <f t="shared" ref="K309:K312" ca="1" si="167">IF(I309&gt;0,J309*100/I309,0)</f>
        <v>91.304347826086953</v>
      </c>
      <c r="L309" s="38"/>
      <c r="M309" s="38"/>
      <c r="N309" s="38"/>
      <c r="O309" s="38"/>
      <c r="P309" s="38"/>
    </row>
    <row r="310" spans="1:26" ht="18.75">
      <c r="A310" s="170"/>
      <c r="B310" s="171"/>
      <c r="C310" s="171"/>
      <c r="D310" s="416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KxicF4apzSqm0-jIpmueT4kyZtE-Cwn5zskl7GD4loQ/edit?usp=share_link"",""กำแพงเพชร!I310"")+IMPORTRANGE(""https://docs.google.com/spreadsheets/d/1ZNYWeiFoFA1K1U4xKWqRX29MBvEyRHXORjo734Gnq_c/edit?usp=share_li"&amp;"nk"",""เชียงราย!I310"")
+IMPORTRANGE(""https://docs.google.com/spreadsheets/d/1Jgv0Y7YlHDtsiDawwp-uvifEJ8HVaSn0k2aGHG8-hwM/edit?usp=share_link"",""เชียงใหม่!I310"")+IMPORTRANGE(""https://docs.google.com/spreadsheets/d/1JWG2rZePOz9pe-f-ObA-yDr0VoOX2kSb0qIi"&amp;"x2mTUo8/edit?usp=share_link"",""ตาก!I310"")+IMPORTRANGE(""https://docs.google.com/spreadsheets/d/10nSRjK08hx8Y6HgSOQKNw81lyY46Zc7U_Cj72hBMp9U/edit?usp=share_link"",""นครสวรรค์!I310"")+IMPORTRANGE(""https://docs.google.com/spreadsheets/d/1gFVb7qd7amutrIxAA"&amp;"oM7lcy35hllxznovot8lyOfvDo/edit?usp=share_link"",""น่าน!I310"")+IMPORTRANGE(""https://docs.google.com/spreadsheets/d/1K0Aa9s-6EuHE5M0FG1F9aHLXRCOV917xvycTdLdct0w/edit?usp=share_link"",""พะเยา!I310"")+IMPORTRANGE(""https://docs.google.com/spreadsheets/d/1Y"&amp;"9LPKx95PyL5OKy09d-KbKJSuuEZCFdkhYjwC0XQjBA/edit?usp=share_link"",""พิจิตร!I310"")+IMPORTRANGE(""https://docs.google.com/spreadsheets/d/16OMuOwy2eVqZcYWOouQtTpa8X1L23h4660uVHc0C8os/edit?usp=share_link"",""พิษณุโลก!I310"")+IMPORTRANGE(""https://docs.google."&amp;"com/spreadsheets/d/1GfgTldLG6k77HXaMQzaafODklYuucJZQNs_GAPEfZyY/edit?usp=share_link"",""เพชรบูรณ์!I310"")+IMPORTRANGE(""https://docs.google.com/spreadsheets/d/1gvTMYAnm7v1yG1BKWFtr0DnaTsq59oW9dwWvFgq6hs0/edit?usp=share_link"",""แพร่!I310"")+IMPORTRANGE("""&amp;"https://docs.google.com/spreadsheets/d/1Wbcosgy-Xa1xXUArJSOenub6EfZHUSzc_bpJFWwQUf0/edit?usp=share_link"",""แม่ฮ่องสอน!I310"")+IMPORTRANGE(""https://docs.google.com/spreadsheets/d/1p7ERhsr0qZeSn-KSOdeHS9r0heI-lHtkcn2OH7hP0jQ/edit?usp=share_link"",""ลำปาง!"&amp;"I310"")+IMPORTRANGE(""https://docs.google.com/spreadsheets/d/1-uUXvimVhiU2U0bMN-xi2te0tS4X7DI2GLPnMjzl8cA/edit?usp=share_link"",""ลำพูน!I310"")+IMPORTRANGE(""https://docs.google.com/spreadsheets/d/17HrOaa5pBUI1onckFfumXB8xlg35qb2uBAFfF1D-Myo/edit?usp=shar"&amp;"e_link"",""สุโขทัย!I310"")+IMPORTRANGE(""https://docs.google.com/spreadsheets/d/1ubs5cl16eYL9gHbdHTJtmtYb9MGzHBs7CAphn8kNCgM/edit?usp=share_link"",""อุตรดิตถ์!I310"")+IMPORTRANGE(""https://docs.google.com/spreadsheets/d/1kII0BjS6CtVrBvI8IrytgPdxDrlyQDyigz"&amp;"MsohRtDMs/edit?usp=share_link"",""อุทัยธานี!I310"")
"),230)</f>
        <v>230</v>
      </c>
      <c r="J310" s="183">
        <f ca="1">IFERROR(__xludf.DUMMYFUNCTION("IMPORTRANGE(""https://docs.google.com/spreadsheets/d/1KxicF4apzSqm0-jIpmueT4kyZtE-Cwn5zskl7GD4loQ/edit?usp=share_link"",""กำแพงเพชร!J310"")+IMPORTRANGE(""https://docs.google.com/spreadsheets/d/1ZNYWeiFoFA1K1U4xKWqRX29MBvEyRHXORjo734Gnq_c/edit?usp=share_li"&amp;"nk"",""เชียงราย!J310"")
+IMPORTRANGE(""https://docs.google.com/spreadsheets/d/1Jgv0Y7YlHDtsiDawwp-uvifEJ8HVaSn0k2aGHG8-hwM/edit?usp=share_link"",""เชียงใหม่!J310"")+IMPORTRANGE(""https://docs.google.com/spreadsheets/d/1JWG2rZePOz9pe-f-ObA-yDr0VoOX2kSb0qIi"&amp;"x2mTUo8/edit?usp=share_link"",""ตาก!J310"")+IMPORTRANGE(""https://docs.google.com/spreadsheets/d/10nSRjK08hx8Y6HgSOQKNw81lyY46Zc7U_Cj72hBMp9U/edit?usp=share_link"",""นครสวรรค์!J310"")+IMPORTRANGE(""https://docs.google.com/spreadsheets/d/1gFVb7qd7amutrIxAA"&amp;"oM7lcy35hllxznovot8lyOfvDo/edit?usp=share_link"",""น่าน!J310"")+IMPORTRANGE(""https://docs.google.com/spreadsheets/d/1K0Aa9s-6EuHE5M0FG1F9aHLXRCOV917xvycTdLdct0w/edit?usp=share_link"",""พะเยา!J310"")+IMPORTRANGE(""https://docs.google.com/spreadsheets/d/1Y"&amp;"9LPKx95PyL5OKy09d-KbKJSuuEZCFdkhYjwC0XQjBA/edit?usp=share_link"",""พิจิตร!J310"")+IMPORTRANGE(""https://docs.google.com/spreadsheets/d/16OMuOwy2eVqZcYWOouQtTpa8X1L23h4660uVHc0C8os/edit?usp=share_link"",""พิษณุโลก!J310"")+IMPORTRANGE(""https://docs.google."&amp;"com/spreadsheets/d/1GfgTldLG6k77HXaMQzaafODklYuucJZQNs_GAPEfZyY/edit?usp=share_link"",""เพชรบูรณ์!J310"")+IMPORTRANGE(""https://docs.google.com/spreadsheets/d/1gvTMYAnm7v1yG1BKWFtr0DnaTsq59oW9dwWvFgq6hs0/edit?usp=share_link"",""แพร่!J310"")+IMPORTRANGE("""&amp;"https://docs.google.com/spreadsheets/d/1Wbcosgy-Xa1xXUArJSOenub6EfZHUSzc_bpJFWwQUf0/edit?usp=share_link"",""แม่ฮ่องสอน!J310"")+IMPORTRANGE(""https://docs.google.com/spreadsheets/d/1p7ERhsr0qZeSn-KSOdeHS9r0heI-lHtkcn2OH7hP0jQ/edit?usp=share_link"",""ลำปาง!"&amp;"J310"")+IMPORTRANGE(""https://docs.google.com/spreadsheets/d/1-uUXvimVhiU2U0bMN-xi2te0tS4X7DI2GLPnMjzl8cA/edit?usp=share_link"",""ลำพูน!J310"")+IMPORTRANGE(""https://docs.google.com/spreadsheets/d/17HrOaa5pBUI1onckFfumXB8xlg35qb2uBAFfF1D-Myo/edit?usp=shar"&amp;"e_link"",""สุโขทัย!J310"")+IMPORTRANGE(""https://docs.google.com/spreadsheets/d/1ubs5cl16eYL9gHbdHTJtmtYb9MGzHBs7CAphn8kNCgM/edit?usp=share_link"",""อุตรดิตถ์!J310"")+IMPORTRANGE(""https://docs.google.com/spreadsheets/d/1kII0BjS6CtVrBvI8IrytgPdxDrlyQDyigz"&amp;"MsohRtDMs/edit?usp=share_link"",""อุทัยธานี!J310"")
"),145)</f>
        <v>145</v>
      </c>
      <c r="K310" s="38">
        <f t="shared" ca="1" si="167"/>
        <v>63.043478260869563</v>
      </c>
      <c r="L310" s="38"/>
      <c r="M310" s="38"/>
      <c r="N310" s="38"/>
      <c r="O310" s="38"/>
      <c r="P310" s="38"/>
    </row>
    <row r="311" spans="1:26" ht="18.75">
      <c r="A311" s="170"/>
      <c r="B311" s="171"/>
      <c r="C311" s="171"/>
      <c r="D311" s="416" t="s">
        <v>59</v>
      </c>
      <c r="E311" s="177"/>
      <c r="F311" s="177"/>
      <c r="G311" s="179"/>
      <c r="H311" s="417" t="s">
        <v>35</v>
      </c>
      <c r="I311" s="37">
        <f ca="1">IFERROR(__xludf.DUMMYFUNCTION("IMPORTRANGE(""https://docs.google.com/spreadsheets/d/1KxicF4apzSqm0-jIpmueT4kyZtE-Cwn5zskl7GD4loQ/edit?usp=share_link"",""กำแพงเพชร!I311"")+IMPORTRANGE(""https://docs.google.com/spreadsheets/d/1ZNYWeiFoFA1K1U4xKWqRX29MBvEyRHXORjo734Gnq_c/edit?usp=share_li"&amp;"nk"",""เชียงราย!I311"")
+IMPORTRANGE(""https://docs.google.com/spreadsheets/d/1Jgv0Y7YlHDtsiDawwp-uvifEJ8HVaSn0k2aGHG8-hwM/edit?usp=share_link"",""เชียงใหม่!I311"")+IMPORTRANGE(""https://docs.google.com/spreadsheets/d/1JWG2rZePOz9pe-f-ObA-yDr0VoOX2kSb0qIi"&amp;"x2mTUo8/edit?usp=share_link"",""ตาก!I311"")+IMPORTRANGE(""https://docs.google.com/spreadsheets/d/10nSRjK08hx8Y6HgSOQKNw81lyY46Zc7U_Cj72hBMp9U/edit?usp=share_link"",""นครสวรรค์!I311"")+IMPORTRANGE(""https://docs.google.com/spreadsheets/d/1gFVb7qd7amutrIxAA"&amp;"oM7lcy35hllxznovot8lyOfvDo/edit?usp=share_link"",""น่าน!I311"")+IMPORTRANGE(""https://docs.google.com/spreadsheets/d/1K0Aa9s-6EuHE5M0FG1F9aHLXRCOV917xvycTdLdct0w/edit?usp=share_link"",""พะเยา!I311"")+IMPORTRANGE(""https://docs.google.com/spreadsheets/d/1Y"&amp;"9LPKx95PyL5OKy09d-KbKJSuuEZCFdkhYjwC0XQjBA/edit?usp=share_link"",""พิจิตร!I311"")+IMPORTRANGE(""https://docs.google.com/spreadsheets/d/16OMuOwy2eVqZcYWOouQtTpa8X1L23h4660uVHc0C8os/edit?usp=share_link"",""พิษณุโลก!I311"")+IMPORTRANGE(""https://docs.google."&amp;"com/spreadsheets/d/1GfgTldLG6k77HXaMQzaafODklYuucJZQNs_GAPEfZyY/edit?usp=share_link"",""เพชรบูรณ์!I311"")+IMPORTRANGE(""https://docs.google.com/spreadsheets/d/1gvTMYAnm7v1yG1BKWFtr0DnaTsq59oW9dwWvFgq6hs0/edit?usp=share_link"",""แพร่!I311"")+IMPORTRANGE("""&amp;"https://docs.google.com/spreadsheets/d/1Wbcosgy-Xa1xXUArJSOenub6EfZHUSzc_bpJFWwQUf0/edit?usp=share_link"",""แม่ฮ่องสอน!I311"")+IMPORTRANGE(""https://docs.google.com/spreadsheets/d/1p7ERhsr0qZeSn-KSOdeHS9r0heI-lHtkcn2OH7hP0jQ/edit?usp=share_link"",""ลำปาง!"&amp;"I311"")+IMPORTRANGE(""https://docs.google.com/spreadsheets/d/1-uUXvimVhiU2U0bMN-xi2te0tS4X7DI2GLPnMjzl8cA/edit?usp=share_link"",""ลำพูน!I311"")+IMPORTRANGE(""https://docs.google.com/spreadsheets/d/17HrOaa5pBUI1onckFfumXB8xlg35qb2uBAFfF1D-Myo/edit?usp=shar"&amp;"e_link"",""สุโขทัย!I311"")+IMPORTRANGE(""https://docs.google.com/spreadsheets/d/1ubs5cl16eYL9gHbdHTJtmtYb9MGzHBs7CAphn8kNCgM/edit?usp=share_link"",""อุตรดิตถ์!I311"")+IMPORTRANGE(""https://docs.google.com/spreadsheets/d/1kII0BjS6CtVrBvI8IrytgPdxDrlyQDyigz"&amp;"MsohRtDMs/edit?usp=share_link"",""อุทัยธานี!I311"")
"),230)</f>
        <v>230</v>
      </c>
      <c r="J311" s="183">
        <f ca="1">IFERROR(__xludf.DUMMYFUNCTION("IMPORTRANGE(""https://docs.google.com/spreadsheets/d/1KxicF4apzSqm0-jIpmueT4kyZtE-Cwn5zskl7GD4loQ/edit?usp=share_link"",""กำแพงเพชร!J311"")+IMPORTRANGE(""https://docs.google.com/spreadsheets/d/1ZNYWeiFoFA1K1U4xKWqRX29MBvEyRHXORjo734Gnq_c/edit?usp=share_li"&amp;"nk"",""เชียงราย!J311"")
+IMPORTRANGE(""https://docs.google.com/spreadsheets/d/1Jgv0Y7YlHDtsiDawwp-uvifEJ8HVaSn0k2aGHG8-hwM/edit?usp=share_link"",""เชียงใหม่!J311"")+IMPORTRANGE(""https://docs.google.com/spreadsheets/d/1JWG2rZePOz9pe-f-ObA-yDr0VoOX2kSb0qIi"&amp;"x2mTUo8/edit?usp=share_link"",""ตาก!J311"")+IMPORTRANGE(""https://docs.google.com/spreadsheets/d/10nSRjK08hx8Y6HgSOQKNw81lyY46Zc7U_Cj72hBMp9U/edit?usp=share_link"",""นครสวรรค์!J311"")+IMPORTRANGE(""https://docs.google.com/spreadsheets/d/1gFVb7qd7amutrIxAA"&amp;"oM7lcy35hllxznovot8lyOfvDo/edit?usp=share_link"",""น่าน!J311"")+IMPORTRANGE(""https://docs.google.com/spreadsheets/d/1K0Aa9s-6EuHE5M0FG1F9aHLXRCOV917xvycTdLdct0w/edit?usp=share_link"",""พะเยา!J311"")+IMPORTRANGE(""https://docs.google.com/spreadsheets/d/1Y"&amp;"9LPKx95PyL5OKy09d-KbKJSuuEZCFdkhYjwC0XQjBA/edit?usp=share_link"",""พิจิตร!J311"")+IMPORTRANGE(""https://docs.google.com/spreadsheets/d/16OMuOwy2eVqZcYWOouQtTpa8X1L23h4660uVHc0C8os/edit?usp=share_link"",""พิษณุโลก!J311"")+IMPORTRANGE(""https://docs.google."&amp;"com/spreadsheets/d/1GfgTldLG6k77HXaMQzaafODklYuucJZQNs_GAPEfZyY/edit?usp=share_link"",""เพชรบูรณ์!J311"")+IMPORTRANGE(""https://docs.google.com/spreadsheets/d/1gvTMYAnm7v1yG1BKWFtr0DnaTsq59oW9dwWvFgq6hs0/edit?usp=share_link"",""แพร่!J311"")+IMPORTRANGE("""&amp;"https://docs.google.com/spreadsheets/d/1Wbcosgy-Xa1xXUArJSOenub6EfZHUSzc_bpJFWwQUf0/edit?usp=share_link"",""แม่ฮ่องสอน!J311"")+IMPORTRANGE(""https://docs.google.com/spreadsheets/d/1p7ERhsr0qZeSn-KSOdeHS9r0heI-lHtkcn2OH7hP0jQ/edit?usp=share_link"",""ลำปาง!"&amp;"J311"")+IMPORTRANGE(""https://docs.google.com/spreadsheets/d/1-uUXvimVhiU2U0bMN-xi2te0tS4X7DI2GLPnMjzl8cA/edit?usp=share_link"",""ลำพูน!J311"")+IMPORTRANGE(""https://docs.google.com/spreadsheets/d/17HrOaa5pBUI1onckFfumXB8xlg35qb2uBAFfF1D-Myo/edit?usp=shar"&amp;"e_link"",""สุโขทัย!J311"")+IMPORTRANGE(""https://docs.google.com/spreadsheets/d/1ubs5cl16eYL9gHbdHTJtmtYb9MGzHBs7CAphn8kNCgM/edit?usp=share_link"",""อุตรดิตถ์!J311"")+IMPORTRANGE(""https://docs.google.com/spreadsheets/d/1kII0BjS6CtVrBvI8IrytgPdxDrlyQDyigz"&amp;"MsohRtDMs/edit?usp=share_link"",""อุทัยธานี!J311"")
"),0)</f>
        <v>0</v>
      </c>
      <c r="K311" s="38">
        <f t="shared" ca="1" si="167"/>
        <v>0</v>
      </c>
      <c r="L311" s="38"/>
      <c r="M311" s="38"/>
      <c r="N311" s="38"/>
      <c r="O311" s="38"/>
      <c r="P311" s="38"/>
    </row>
    <row r="312" spans="1:26" ht="18.75">
      <c r="A312" s="170"/>
      <c r="B312" s="171"/>
      <c r="C312" s="171"/>
      <c r="D312" s="416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KxicF4apzSqm0-jIpmueT4kyZtE-Cwn5zskl7GD4loQ/edit?usp=share_link"",""กำแพงเพชร!I312"")+IMPORTRANGE(""https://docs.google.com/spreadsheets/d/1ZNYWeiFoFA1K1U4xKWqRX29MBvEyRHXORjo734Gnq_c/edit?usp=share_li"&amp;"nk"",""เชียงราย!I312"")
+IMPORTRANGE(""https://docs.google.com/spreadsheets/d/1Jgv0Y7YlHDtsiDawwp-uvifEJ8HVaSn0k2aGHG8-hwM/edit?usp=share_link"",""เชียงใหม่!I312"")+IMPORTRANGE(""https://docs.google.com/spreadsheets/d/1JWG2rZePOz9pe-f-ObA-yDr0VoOX2kSb0qIi"&amp;"x2mTUo8/edit?usp=share_link"",""ตาก!I312"")+IMPORTRANGE(""https://docs.google.com/spreadsheets/d/10nSRjK08hx8Y6HgSOQKNw81lyY46Zc7U_Cj72hBMp9U/edit?usp=share_link"",""นครสวรรค์!I312"")+IMPORTRANGE(""https://docs.google.com/spreadsheets/d/1gFVb7qd7amutrIxAA"&amp;"oM7lcy35hllxznovot8lyOfvDo/edit?usp=share_link"",""น่าน!I312"")+IMPORTRANGE(""https://docs.google.com/spreadsheets/d/1K0Aa9s-6EuHE5M0FG1F9aHLXRCOV917xvycTdLdct0w/edit?usp=share_link"",""พะเยา!I312"")+IMPORTRANGE(""https://docs.google.com/spreadsheets/d/1Y"&amp;"9LPKx95PyL5OKy09d-KbKJSuuEZCFdkhYjwC0XQjBA/edit?usp=share_link"",""พิจิตร!I312"")+IMPORTRANGE(""https://docs.google.com/spreadsheets/d/16OMuOwy2eVqZcYWOouQtTpa8X1L23h4660uVHc0C8os/edit?usp=share_link"",""พิษณุโลก!I312"")+IMPORTRANGE(""https://docs.google."&amp;"com/spreadsheets/d/1GfgTldLG6k77HXaMQzaafODklYuucJZQNs_GAPEfZyY/edit?usp=share_link"",""เพชรบูรณ์!I312"")+IMPORTRANGE(""https://docs.google.com/spreadsheets/d/1gvTMYAnm7v1yG1BKWFtr0DnaTsq59oW9dwWvFgq6hs0/edit?usp=share_link"",""แพร่!I312"")+IMPORTRANGE("""&amp;"https://docs.google.com/spreadsheets/d/1Wbcosgy-Xa1xXUArJSOenub6EfZHUSzc_bpJFWwQUf0/edit?usp=share_link"",""แม่ฮ่องสอน!I312"")+IMPORTRANGE(""https://docs.google.com/spreadsheets/d/1p7ERhsr0qZeSn-KSOdeHS9r0heI-lHtkcn2OH7hP0jQ/edit?usp=share_link"",""ลำปาง!"&amp;"I312"")+IMPORTRANGE(""https://docs.google.com/spreadsheets/d/1-uUXvimVhiU2U0bMN-xi2te0tS4X7DI2GLPnMjzl8cA/edit?usp=share_link"",""ลำพูน!I312"")+IMPORTRANGE(""https://docs.google.com/spreadsheets/d/17HrOaa5pBUI1onckFfumXB8xlg35qb2uBAFfF1D-Myo/edit?usp=shar"&amp;"e_link"",""สุโขทัย!I312"")+IMPORTRANGE(""https://docs.google.com/spreadsheets/d/1ubs5cl16eYL9gHbdHTJtmtYb9MGzHBs7CAphn8kNCgM/edit?usp=share_link"",""อุตรดิตถ์!I312"")+IMPORTRANGE(""https://docs.google.com/spreadsheets/d/1kII0BjS6CtVrBvI8IrytgPdxDrlyQDyigz"&amp;"MsohRtDMs/edit?usp=share_link"",""อุทัยธานี!I312"")
"),46)</f>
        <v>46</v>
      </c>
      <c r="J312" s="183">
        <f ca="1">IFERROR(__xludf.DUMMYFUNCTION("IMPORTRANGE(""https://docs.google.com/spreadsheets/d/1KxicF4apzSqm0-jIpmueT4kyZtE-Cwn5zskl7GD4loQ/edit?usp=share_link"",""กำแพงเพชร!J312"")+IMPORTRANGE(""https://docs.google.com/spreadsheets/d/1ZNYWeiFoFA1K1U4xKWqRX29MBvEyRHXORjo734Gnq_c/edit?usp=share_li"&amp;"nk"",""เชียงราย!J312"")
+IMPORTRANGE(""https://docs.google.com/spreadsheets/d/1Jgv0Y7YlHDtsiDawwp-uvifEJ8HVaSn0k2aGHG8-hwM/edit?usp=share_link"",""เชียงใหม่!J312"")+IMPORTRANGE(""https://docs.google.com/spreadsheets/d/1JWG2rZePOz9pe-f-ObA-yDr0VoOX2kSb0qIi"&amp;"x2mTUo8/edit?usp=share_link"",""ตาก!J312"")+IMPORTRANGE(""https://docs.google.com/spreadsheets/d/10nSRjK08hx8Y6HgSOQKNw81lyY46Zc7U_Cj72hBMp9U/edit?usp=share_link"",""นครสวรรค์!J312"")+IMPORTRANGE(""https://docs.google.com/spreadsheets/d/1gFVb7qd7amutrIxAA"&amp;"oM7lcy35hllxznovot8lyOfvDo/edit?usp=share_link"",""น่าน!J312"")+IMPORTRANGE(""https://docs.google.com/spreadsheets/d/1K0Aa9s-6EuHE5M0FG1F9aHLXRCOV917xvycTdLdct0w/edit?usp=share_link"",""พะเยา!J312"")+IMPORTRANGE(""https://docs.google.com/spreadsheets/d/1Y"&amp;"9LPKx95PyL5OKy09d-KbKJSuuEZCFdkhYjwC0XQjBA/edit?usp=share_link"",""พิจิตร!J312"")+IMPORTRANGE(""https://docs.google.com/spreadsheets/d/16OMuOwy2eVqZcYWOouQtTpa8X1L23h4660uVHc0C8os/edit?usp=share_link"",""พิษณุโลก!J312"")+IMPORTRANGE(""https://docs.google."&amp;"com/spreadsheets/d/1GfgTldLG6k77HXaMQzaafODklYuucJZQNs_GAPEfZyY/edit?usp=share_link"",""เพชรบูรณ์!J312"")+IMPORTRANGE(""https://docs.google.com/spreadsheets/d/1gvTMYAnm7v1yG1BKWFtr0DnaTsq59oW9dwWvFgq6hs0/edit?usp=share_link"",""แพร่!J312"")+IMPORTRANGE("""&amp;"https://docs.google.com/spreadsheets/d/1Wbcosgy-Xa1xXUArJSOenub6EfZHUSzc_bpJFWwQUf0/edit?usp=share_link"",""แม่ฮ่องสอน!J312"")+IMPORTRANGE(""https://docs.google.com/spreadsheets/d/1p7ERhsr0qZeSn-KSOdeHS9r0heI-lHtkcn2OH7hP0jQ/edit?usp=share_link"",""ลำปาง!"&amp;"J312"")+IMPORTRANGE(""https://docs.google.com/spreadsheets/d/1-uUXvimVhiU2U0bMN-xi2te0tS4X7DI2GLPnMjzl8cA/edit?usp=share_link"",""ลำพูน!J312"")+IMPORTRANGE(""https://docs.google.com/spreadsheets/d/17HrOaa5pBUI1onckFfumXB8xlg35qb2uBAFfF1D-Myo/edit?usp=shar"&amp;"e_link"",""สุโขทัย!J312"")+IMPORTRANGE(""https://docs.google.com/spreadsheets/d/1ubs5cl16eYL9gHbdHTJtmtYb9MGzHBs7CAphn8kNCgM/edit?usp=share_link"",""อุตรดิตถ์!J312"")+IMPORTRANGE(""https://docs.google.com/spreadsheets/d/1kII0BjS6CtVrBvI8IrytgPdxDrlyQDyigz"&amp;"MsohRtDMs/edit?usp=share_link"",""อุทัยธานี!J312"")
"),18)</f>
        <v>18</v>
      </c>
      <c r="K312" s="38">
        <f t="shared" ca="1" si="167"/>
        <v>39.130434782608695</v>
      </c>
      <c r="L312" s="38"/>
      <c r="M312" s="38"/>
      <c r="N312" s="38"/>
      <c r="O312" s="38"/>
      <c r="P312" s="38"/>
    </row>
    <row r="313" spans="1:2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68">I325</f>
        <v>3</v>
      </c>
      <c r="J314" s="413">
        <f t="shared" ca="1" si="168"/>
        <v>1</v>
      </c>
      <c r="K314" s="414">
        <f ca="1">IF(I314&gt;0,J314*100/I314,0)</f>
        <v>33.333333333333336</v>
      </c>
      <c r="L314" s="415"/>
      <c r="M314" s="415"/>
      <c r="N314" s="415"/>
      <c r="O314" s="415"/>
      <c r="P314" s="415"/>
    </row>
    <row r="315" spans="1:26" ht="19.5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9">L316+L317</f>
        <v>459000</v>
      </c>
      <c r="M315" s="155">
        <f t="shared" ca="1" si="169"/>
        <v>342500</v>
      </c>
      <c r="N315" s="155">
        <f t="shared" ca="1" si="169"/>
        <v>189278.2</v>
      </c>
      <c r="O315" s="155">
        <f t="shared" ref="O315:O323" ca="1" si="170">IF(L315&gt;0,N315*100/L315,0)</f>
        <v>41.237080610021785</v>
      </c>
      <c r="P315" s="155">
        <f t="shared" ref="P315:P323" ca="1" si="171">IF(M315&gt;0,N315*100/M315,0)</f>
        <v>55.263708029197083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2">L319+L322</f>
        <v>0</v>
      </c>
      <c r="M316" s="45">
        <f t="shared" si="172"/>
        <v>0</v>
      </c>
      <c r="N316" s="45">
        <f t="shared" si="172"/>
        <v>0</v>
      </c>
      <c r="O316" s="45">
        <f t="shared" si="170"/>
        <v>0</v>
      </c>
      <c r="P316" s="45">
        <f t="shared" si="171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3">L320+L323</f>
        <v>459000</v>
      </c>
      <c r="M317" s="45">
        <f t="shared" ca="1" si="173"/>
        <v>342500</v>
      </c>
      <c r="N317" s="45">
        <f t="shared" ca="1" si="173"/>
        <v>189278.2</v>
      </c>
      <c r="O317" s="45">
        <f t="shared" ca="1" si="170"/>
        <v>41.237080610021785</v>
      </c>
      <c r="P317" s="45">
        <f t="shared" ca="1" si="171"/>
        <v>55.263708029197083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4">L319+L320</f>
        <v>459000</v>
      </c>
      <c r="M318" s="38">
        <f t="shared" ca="1" si="174"/>
        <v>342500</v>
      </c>
      <c r="N318" s="38">
        <f t="shared" ca="1" si="174"/>
        <v>189278.2</v>
      </c>
      <c r="O318" s="38">
        <f t="shared" ca="1" si="170"/>
        <v>41.237080610021785</v>
      </c>
      <c r="P318" s="38">
        <f t="shared" ca="1" si="171"/>
        <v>55.263708029197083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70"/>
        <v>0</v>
      </c>
      <c r="P319" s="45">
        <f t="shared" si="171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KxicF4apzSqm0-jIpmueT4kyZtE-Cwn5zskl7GD4loQ/edit?usp=share_link"",""กำแพงเพชร!l320"")+IMPORTRANGE(""https://docs.google.com/spreadsheets/d/1ZNYWeiFoFA1K1U4xKWqRX29MBvEyRHXORjo734Gnq_c/edit?usp=share_li"&amp;"nk"",""เชียงราย!l320"")
+IMPORTRANGE(""https://docs.google.com/spreadsheets/d/1Jgv0Y7YlHDtsiDawwp-uvifEJ8HVaSn0k2aGHG8-hwM/edit?usp=share_link"",""เชียงใหม่!l320"")+IMPORTRANGE(""https://docs.google.com/spreadsheets/d/1JWG2rZePOz9pe-f-ObA-yDr0VoOX2kSb0qIi"&amp;"x2mTUo8/edit?usp=share_link"",""ตาก!l320"")+IMPORTRANGE(""https://docs.google.com/spreadsheets/d/10nSRjK08hx8Y6HgSOQKNw81lyY46Zc7U_Cj72hBMp9U/edit?usp=share_link"",""นครสวรรค์!l320"")+IMPORTRANGE(""https://docs.google.com/spreadsheets/d/1gFVb7qd7amutrIxAA"&amp;"oM7lcy35hllxznovot8lyOfvDo/edit?usp=share_link"",""น่าน!l320"")+IMPORTRANGE(""https://docs.google.com/spreadsheets/d/1K0Aa9s-6EuHE5M0FG1F9aHLXRCOV917xvycTdLdct0w/edit?usp=share_link"",""พะเยา!l320"")+IMPORTRANGE(""https://docs.google.com/spreadsheets/d/1Y"&amp;"9LPKx95PyL5OKy09d-KbKJSuuEZCFdkhYjwC0XQjBA/edit?usp=share_link"",""พิจิตร!l320"")+IMPORTRANGE(""https://docs.google.com/spreadsheets/d/16OMuOwy2eVqZcYWOouQtTpa8X1L23h4660uVHc0C8os/edit?usp=share_link"",""พิษณุโลก!l320"")+IMPORTRANGE(""https://docs.google."&amp;"com/spreadsheets/d/1GfgTldLG6k77HXaMQzaafODklYuucJZQNs_GAPEfZyY/edit?usp=share_link"",""เพชรบูรณ์!l320"")+IMPORTRANGE(""https://docs.google.com/spreadsheets/d/1gvTMYAnm7v1yG1BKWFtr0DnaTsq59oW9dwWvFgq6hs0/edit?usp=share_link"",""แพร่!l320"")+IMPORTRANGE("""&amp;"https://docs.google.com/spreadsheets/d/1Wbcosgy-Xa1xXUArJSOenub6EfZHUSzc_bpJFWwQUf0/edit?usp=share_link"",""แม่ฮ่องสอน!l320"")+IMPORTRANGE(""https://docs.google.com/spreadsheets/d/1p7ERhsr0qZeSn-KSOdeHS9r0heI-lHtkcn2OH7hP0jQ/edit?usp=share_link"",""ลำปาง!"&amp;"l320"")+IMPORTRANGE(""https://docs.google.com/spreadsheets/d/1-uUXvimVhiU2U0bMN-xi2te0tS4X7DI2GLPnMjzl8cA/edit?usp=share_link"",""ลำพูน!l320"")+IMPORTRANGE(""https://docs.google.com/spreadsheets/d/17HrOaa5pBUI1onckFfumXB8xlg35qb2uBAFfF1D-Myo/edit?usp=shar"&amp;"e_link"",""สุโขทัย!l320"")+IMPORTRANGE(""https://docs.google.com/spreadsheets/d/1ubs5cl16eYL9gHbdHTJtmtYb9MGzHBs7CAphn8kNCgM/edit?usp=share_link"",""อุตรดิตถ์!l320"")+IMPORTRANGE(""https://docs.google.com/spreadsheets/d/1kII0BjS6CtVrBvI8IrytgPdxDrlyQDyigz"&amp;"MsohRtDMs/edit?usp=share_link"",""อุทัยธานี!l320"")
"),459000)</f>
        <v>459000</v>
      </c>
      <c r="M320" s="45">
        <f ca="1">IFERROR(__xludf.DUMMYFUNCTION("IMPORTRANGE(""https://docs.google.com/spreadsheets/d/1KxicF4apzSqm0-jIpmueT4kyZtE-Cwn5zskl7GD4loQ/edit?usp=share_link"",""กำแพงเพชร!m320"")+IMPORTRANGE(""https://docs.google.com/spreadsheets/d/1ZNYWeiFoFA1K1U4xKWqRX29MBvEyRHXORjo734Gnq_c/edit?usp=share_li"&amp;"nk"",""เชียงราย!m320"")
+IMPORTRANGE(""https://docs.google.com/spreadsheets/d/1Jgv0Y7YlHDtsiDawwp-uvifEJ8HVaSn0k2aGHG8-hwM/edit?usp=share_link"",""เชียงใหม่!m320"")+IMPORTRANGE(""https://docs.google.com/spreadsheets/d/1JWG2rZePOz9pe-f-ObA-yDr0VoOX2kSb0qIi"&amp;"x2mTUo8/edit?usp=share_link"",""ตาก!m320"")+IMPORTRANGE(""https://docs.google.com/spreadsheets/d/10nSRjK08hx8Y6HgSOQKNw81lyY46Zc7U_Cj72hBMp9U/edit?usp=share_link"",""นครสวรรค์!m320"")+IMPORTRANGE(""https://docs.google.com/spreadsheets/d/1gFVb7qd7amutrIxAA"&amp;"oM7lcy35hllxznovot8lyOfvDo/edit?usp=share_link"",""น่าน!m320"")+IMPORTRANGE(""https://docs.google.com/spreadsheets/d/1K0Aa9s-6EuHE5M0FG1F9aHLXRCOV917xvycTdLdct0w/edit?usp=share_link"",""พะเยา!m320"")+IMPORTRANGE(""https://docs.google.com/spreadsheets/d/1Y"&amp;"9LPKx95PyL5OKy09d-KbKJSuuEZCFdkhYjwC0XQjBA/edit?usp=share_link"",""พิจิตร!m320"")+IMPORTRANGE(""https://docs.google.com/spreadsheets/d/16OMuOwy2eVqZcYWOouQtTpa8X1L23h4660uVHc0C8os/edit?usp=share_link"",""พิษณุโลก!m320"")+IMPORTRANGE(""https://docs.google."&amp;"com/spreadsheets/d/1GfgTldLG6k77HXaMQzaafODklYuucJZQNs_GAPEfZyY/edit?usp=share_link"",""เพชรบูรณ์!m320"")+IMPORTRANGE(""https://docs.google.com/spreadsheets/d/1gvTMYAnm7v1yG1BKWFtr0DnaTsq59oW9dwWvFgq6hs0/edit?usp=share_link"",""แพร่!m320"")+IMPORTRANGE("""&amp;"https://docs.google.com/spreadsheets/d/1Wbcosgy-Xa1xXUArJSOenub6EfZHUSzc_bpJFWwQUf0/edit?usp=share_link"",""แม่ฮ่องสอน!m320"")+IMPORTRANGE(""https://docs.google.com/spreadsheets/d/1p7ERhsr0qZeSn-KSOdeHS9r0heI-lHtkcn2OH7hP0jQ/edit?usp=share_link"",""ลำปาง!"&amp;"m320"")+IMPORTRANGE(""https://docs.google.com/spreadsheets/d/1-uUXvimVhiU2U0bMN-xi2te0tS4X7DI2GLPnMjzl8cA/edit?usp=share_link"",""ลำพูน!m320"")+IMPORTRANGE(""https://docs.google.com/spreadsheets/d/17HrOaa5pBUI1onckFfumXB8xlg35qb2uBAFfF1D-Myo/edit?usp=shar"&amp;"e_link"",""สุโขทัย!m320"")+IMPORTRANGE(""https://docs.google.com/spreadsheets/d/1ubs5cl16eYL9gHbdHTJtmtYb9MGzHBs7CAphn8kNCgM/edit?usp=share_link"",""อุตรดิตถ์!m320"")+IMPORTRANGE(""https://docs.google.com/spreadsheets/d/1kII0BjS6CtVrBvI8IrytgPdxDrlyQDyigz"&amp;"MsohRtDMs/edit?usp=share_link"",""อุทัยธานี!m320"")
"),342500)</f>
        <v>342500</v>
      </c>
      <c r="N320" s="45">
        <f ca="1">IFERROR(__xludf.DUMMYFUNCTION("IMPORTRANGE(""https://docs.google.com/spreadsheets/d/1KxicF4apzSqm0-jIpmueT4kyZtE-Cwn5zskl7GD4loQ/edit?usp=share_link"",""กำแพงเพชร!n320"")+IMPORTRANGE(""https://docs.google.com/spreadsheets/d/1ZNYWeiFoFA1K1U4xKWqRX29MBvEyRHXORjo734Gnq_c/edit?usp=share_li"&amp;"nk"",""เชียงราย!n320"")
+IMPORTRANGE(""https://docs.google.com/spreadsheets/d/1Jgv0Y7YlHDtsiDawwp-uvifEJ8HVaSn0k2aGHG8-hwM/edit?usp=share_link"",""เชียงใหม่!n320"")+IMPORTRANGE(""https://docs.google.com/spreadsheets/d/1JWG2rZePOz9pe-f-ObA-yDr0VoOX2kSb0qIi"&amp;"x2mTUo8/edit?usp=share_link"",""ตาก!n320"")+IMPORTRANGE(""https://docs.google.com/spreadsheets/d/10nSRjK08hx8Y6HgSOQKNw81lyY46Zc7U_Cj72hBMp9U/edit?usp=share_link"",""นครสวรรค์!n320"")+IMPORTRANGE(""https://docs.google.com/spreadsheets/d/1gFVb7qd7amutrIxAA"&amp;"oM7lcy35hllxznovot8lyOfvDo/edit?usp=share_link"",""น่าน!n320"")+IMPORTRANGE(""https://docs.google.com/spreadsheets/d/1K0Aa9s-6EuHE5M0FG1F9aHLXRCOV917xvycTdLdct0w/edit?usp=share_link"",""พะเยา!n320"")+IMPORTRANGE(""https://docs.google.com/spreadsheets/d/1Y"&amp;"9LPKx95PyL5OKy09d-KbKJSuuEZCFdkhYjwC0XQjBA/edit?usp=share_link"",""พิจิตร!n320"")+IMPORTRANGE(""https://docs.google.com/spreadsheets/d/16OMuOwy2eVqZcYWOouQtTpa8X1L23h4660uVHc0C8os/edit?usp=share_link"",""พิษณุโลก!n320"")+IMPORTRANGE(""https://docs.google."&amp;"com/spreadsheets/d/1GfgTldLG6k77HXaMQzaafODklYuucJZQNs_GAPEfZyY/edit?usp=share_link"",""เพชรบูรณ์!n320"")+IMPORTRANGE(""https://docs.google.com/spreadsheets/d/1gvTMYAnm7v1yG1BKWFtr0DnaTsq59oW9dwWvFgq6hs0/edit?usp=share_link"",""แพร่!n320"")+IMPORTRANGE("""&amp;"https://docs.google.com/spreadsheets/d/1Wbcosgy-Xa1xXUArJSOenub6EfZHUSzc_bpJFWwQUf0/edit?usp=share_link"",""แม่ฮ่องสอน!n320"")+IMPORTRANGE(""https://docs.google.com/spreadsheets/d/1p7ERhsr0qZeSn-KSOdeHS9r0heI-lHtkcn2OH7hP0jQ/edit?usp=share_link"",""ลำปาง!"&amp;"n320"")+IMPORTRANGE(""https://docs.google.com/spreadsheets/d/1-uUXvimVhiU2U0bMN-xi2te0tS4X7DI2GLPnMjzl8cA/edit?usp=share_link"",""ลำพูน!n320"")+IMPORTRANGE(""https://docs.google.com/spreadsheets/d/17HrOaa5pBUI1onckFfumXB8xlg35qb2uBAFfF1D-Myo/edit?usp=shar"&amp;"e_link"",""สุโขทัย!n320"")+IMPORTRANGE(""https://docs.google.com/spreadsheets/d/1ubs5cl16eYL9gHbdHTJtmtYb9MGzHBs7CAphn8kNCgM/edit?usp=share_link"",""อุตรดิตถ์!n320"")+IMPORTRANGE(""https://docs.google.com/spreadsheets/d/1kII0BjS6CtVrBvI8IrytgPdxDrlyQDyigz"&amp;"MsohRtDMs/edit?usp=share_link"",""อุทัยธานี!n320"")
"),189278.2)</f>
        <v>189278.2</v>
      </c>
      <c r="O320" s="45">
        <f t="shared" ca="1" si="170"/>
        <v>41.237080610021785</v>
      </c>
      <c r="P320" s="45">
        <f t="shared" ca="1" si="171"/>
        <v>55.263708029197083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5">L322+L323</f>
        <v>0</v>
      </c>
      <c r="M321" s="38">
        <f t="shared" ca="1" si="175"/>
        <v>0</v>
      </c>
      <c r="N321" s="38">
        <f t="shared" ca="1" si="175"/>
        <v>0</v>
      </c>
      <c r="O321" s="38">
        <f t="shared" ca="1" si="170"/>
        <v>0</v>
      </c>
      <c r="P321" s="38">
        <f t="shared" ca="1" si="171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70"/>
        <v>0</v>
      </c>
      <c r="P322" s="45">
        <f t="shared" si="171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KxicF4apzSqm0-jIpmueT4kyZtE-Cwn5zskl7GD4loQ/edit?usp=share_link"",""กำแพงเพชร!l323"")+IMPORTRANGE(""https://docs.google.com/spreadsheets/d/1ZNYWeiFoFA1K1U4xKWqRX29MBvEyRHXORjo734Gnq_c/edit?usp=share_li"&amp;"nk"",""เชียงราย!l323"")
+IMPORTRANGE(""https://docs.google.com/spreadsheets/d/1Jgv0Y7YlHDtsiDawwp-uvifEJ8HVaSn0k2aGHG8-hwM/edit?usp=share_link"",""เชียงใหม่!l323"")+IMPORTRANGE(""https://docs.google.com/spreadsheets/d/1JWG2rZePOz9pe-f-ObA-yDr0VoOX2kSb0qIi"&amp;"x2mTUo8/edit?usp=share_link"",""ตาก!l323"")+IMPORTRANGE(""https://docs.google.com/spreadsheets/d/10nSRjK08hx8Y6HgSOQKNw81lyY46Zc7U_Cj72hBMp9U/edit?usp=share_link"",""นครสวรรค์!l323"")+IMPORTRANGE(""https://docs.google.com/spreadsheets/d/1gFVb7qd7amutrIxAA"&amp;"oM7lcy35hllxznovot8lyOfvDo/edit?usp=share_link"",""น่าน!l323"")+IMPORTRANGE(""https://docs.google.com/spreadsheets/d/1K0Aa9s-6EuHE5M0FG1F9aHLXRCOV917xvycTdLdct0w/edit?usp=share_link"",""พะเยา!l323"")+IMPORTRANGE(""https://docs.google.com/spreadsheets/d/1Y"&amp;"9LPKx95PyL5OKy09d-KbKJSuuEZCFdkhYjwC0XQjBA/edit?usp=share_link"",""พิจิตร!l323"")+IMPORTRANGE(""https://docs.google.com/spreadsheets/d/16OMuOwy2eVqZcYWOouQtTpa8X1L23h4660uVHc0C8os/edit?usp=share_link"",""พิษณุโลก!l323"")+IMPORTRANGE(""https://docs.google."&amp;"com/spreadsheets/d/1GfgTldLG6k77HXaMQzaafODklYuucJZQNs_GAPEfZyY/edit?usp=share_link"",""เพชรบูรณ์!l323"")+IMPORTRANGE(""https://docs.google.com/spreadsheets/d/1gvTMYAnm7v1yG1BKWFtr0DnaTsq59oW9dwWvFgq6hs0/edit?usp=share_link"",""แพร่!l323"")+IMPORTRANGE("""&amp;"https://docs.google.com/spreadsheets/d/1Wbcosgy-Xa1xXUArJSOenub6EfZHUSzc_bpJFWwQUf0/edit?usp=share_link"",""แม่ฮ่องสอน!l323"")+IMPORTRANGE(""https://docs.google.com/spreadsheets/d/1p7ERhsr0qZeSn-KSOdeHS9r0heI-lHtkcn2OH7hP0jQ/edit?usp=share_link"",""ลำปาง!"&amp;"l323"")+IMPORTRANGE(""https://docs.google.com/spreadsheets/d/1-uUXvimVhiU2U0bMN-xi2te0tS4X7DI2GLPnMjzl8cA/edit?usp=share_link"",""ลำพูน!l323"")+IMPORTRANGE(""https://docs.google.com/spreadsheets/d/17HrOaa5pBUI1onckFfumXB8xlg35qb2uBAFfF1D-Myo/edit?usp=shar"&amp;"e_link"",""สุโขทัย!l323"")+IMPORTRANGE(""https://docs.google.com/spreadsheets/d/1ubs5cl16eYL9gHbdHTJtmtYb9MGzHBs7CAphn8kNCgM/edit?usp=share_link"",""อุตรดิตถ์!l323"")+IMPORTRANGE(""https://docs.google.com/spreadsheets/d/1kII0BjS6CtVrBvI8IrytgPdxDrlyQDyigz"&amp;"MsohRtDMs/edit?usp=share_link"",""อุทัยธานี!l323"")
"),0)</f>
        <v>0</v>
      </c>
      <c r="M323" s="45">
        <f ca="1">IFERROR(__xludf.DUMMYFUNCTION("IMPORTRANGE(""https://docs.google.com/spreadsheets/d/1KxicF4apzSqm0-jIpmueT4kyZtE-Cwn5zskl7GD4loQ/edit?usp=share_link"",""กำแพงเพชร!m323"")+IMPORTRANGE(""https://docs.google.com/spreadsheets/d/1ZNYWeiFoFA1K1U4xKWqRX29MBvEyRHXORjo734Gnq_c/edit?usp=share_li"&amp;"nk"",""เชียงราย!m323"")
+IMPORTRANGE(""https://docs.google.com/spreadsheets/d/1Jgv0Y7YlHDtsiDawwp-uvifEJ8HVaSn0k2aGHG8-hwM/edit?usp=share_link"",""เชียงใหม่!m323"")+IMPORTRANGE(""https://docs.google.com/spreadsheets/d/1JWG2rZePOz9pe-f-ObA-yDr0VoOX2kSb0qIi"&amp;"x2mTUo8/edit?usp=share_link"",""ตาก!m323"")+IMPORTRANGE(""https://docs.google.com/spreadsheets/d/10nSRjK08hx8Y6HgSOQKNw81lyY46Zc7U_Cj72hBMp9U/edit?usp=share_link"",""นครสวรรค์!m323"")+IMPORTRANGE(""https://docs.google.com/spreadsheets/d/1gFVb7qd7amutrIxAA"&amp;"oM7lcy35hllxznovot8lyOfvDo/edit?usp=share_link"",""น่าน!m323"")+IMPORTRANGE(""https://docs.google.com/spreadsheets/d/1K0Aa9s-6EuHE5M0FG1F9aHLXRCOV917xvycTdLdct0w/edit?usp=share_link"",""พะเยา!m323"")+IMPORTRANGE(""https://docs.google.com/spreadsheets/d/1Y"&amp;"9LPKx95PyL5OKy09d-KbKJSuuEZCFdkhYjwC0XQjBA/edit?usp=share_link"",""พิจิตร!m323"")+IMPORTRANGE(""https://docs.google.com/spreadsheets/d/16OMuOwy2eVqZcYWOouQtTpa8X1L23h4660uVHc0C8os/edit?usp=share_link"",""พิษณุโลก!m323"")+IMPORTRANGE(""https://docs.google."&amp;"com/spreadsheets/d/1GfgTldLG6k77HXaMQzaafODklYuucJZQNs_GAPEfZyY/edit?usp=share_link"",""เพชรบูรณ์!m323"")+IMPORTRANGE(""https://docs.google.com/spreadsheets/d/1gvTMYAnm7v1yG1BKWFtr0DnaTsq59oW9dwWvFgq6hs0/edit?usp=share_link"",""แพร่!m323"")+IMPORTRANGE("""&amp;"https://docs.google.com/spreadsheets/d/1Wbcosgy-Xa1xXUArJSOenub6EfZHUSzc_bpJFWwQUf0/edit?usp=share_link"",""แม่ฮ่องสอน!m323"")+IMPORTRANGE(""https://docs.google.com/spreadsheets/d/1p7ERhsr0qZeSn-KSOdeHS9r0heI-lHtkcn2OH7hP0jQ/edit?usp=share_link"",""ลำปาง!"&amp;"m323"")+IMPORTRANGE(""https://docs.google.com/spreadsheets/d/1-uUXvimVhiU2U0bMN-xi2te0tS4X7DI2GLPnMjzl8cA/edit?usp=share_link"",""ลำพูน!m323"")+IMPORTRANGE(""https://docs.google.com/spreadsheets/d/17HrOaa5pBUI1onckFfumXB8xlg35qb2uBAFfF1D-Myo/edit?usp=shar"&amp;"e_link"",""สุโขทัย!m323"")+IMPORTRANGE(""https://docs.google.com/spreadsheets/d/1ubs5cl16eYL9gHbdHTJtmtYb9MGzHBs7CAphn8kNCgM/edit?usp=share_link"",""อุตรดิตถ์!m323"")+IMPORTRANGE(""https://docs.google.com/spreadsheets/d/1kII0BjS6CtVrBvI8IrytgPdxDrlyQDyigz"&amp;"MsohRtDMs/edit?usp=share_link"",""อุทัยธานี!m323"")
"),0)</f>
        <v>0</v>
      </c>
      <c r="N323" s="45">
        <f ca="1">IFERROR(__xludf.DUMMYFUNCTION("IMPORTRANGE(""https://docs.google.com/spreadsheets/d/1KxicF4apzSqm0-jIpmueT4kyZtE-Cwn5zskl7GD4loQ/edit?usp=share_link"",""กำแพงเพชร!n323"")+IMPORTRANGE(""https://docs.google.com/spreadsheets/d/1ZNYWeiFoFA1K1U4xKWqRX29MBvEyRHXORjo734Gnq_c/edit?usp=share_li"&amp;"nk"",""เชียงราย!n323"")
+IMPORTRANGE(""https://docs.google.com/spreadsheets/d/1Jgv0Y7YlHDtsiDawwp-uvifEJ8HVaSn0k2aGHG8-hwM/edit?usp=share_link"",""เชียงใหม่!n323"")+IMPORTRANGE(""https://docs.google.com/spreadsheets/d/1JWG2rZePOz9pe-f-ObA-yDr0VoOX2kSb0qIi"&amp;"x2mTUo8/edit?usp=share_link"",""ตาก!n323"")+IMPORTRANGE(""https://docs.google.com/spreadsheets/d/10nSRjK08hx8Y6HgSOQKNw81lyY46Zc7U_Cj72hBMp9U/edit?usp=share_link"",""นครสวรรค์!n323"")+IMPORTRANGE(""https://docs.google.com/spreadsheets/d/1gFVb7qd7amutrIxAA"&amp;"oM7lcy35hllxznovot8lyOfvDo/edit?usp=share_link"",""น่าน!n323"")+IMPORTRANGE(""https://docs.google.com/spreadsheets/d/1K0Aa9s-6EuHE5M0FG1F9aHLXRCOV917xvycTdLdct0w/edit?usp=share_link"",""พะเยา!n323"")+IMPORTRANGE(""https://docs.google.com/spreadsheets/d/1Y"&amp;"9LPKx95PyL5OKy09d-KbKJSuuEZCFdkhYjwC0XQjBA/edit?usp=share_link"",""พิจิตร!n323"")+IMPORTRANGE(""https://docs.google.com/spreadsheets/d/16OMuOwy2eVqZcYWOouQtTpa8X1L23h4660uVHc0C8os/edit?usp=share_link"",""พิษณุโลก!n323"")+IMPORTRANGE(""https://docs.google."&amp;"com/spreadsheets/d/1GfgTldLG6k77HXaMQzaafODklYuucJZQNs_GAPEfZyY/edit?usp=share_link"",""เพชรบูรณ์!n323"")+IMPORTRANGE(""https://docs.google.com/spreadsheets/d/1gvTMYAnm7v1yG1BKWFtr0DnaTsq59oW9dwWvFgq6hs0/edit?usp=share_link"",""แพร่!n323"")+IMPORTRANGE("""&amp;"https://docs.google.com/spreadsheets/d/1Wbcosgy-Xa1xXUArJSOenub6EfZHUSzc_bpJFWwQUf0/edit?usp=share_link"",""แม่ฮ่องสอน!n323"")+IMPORTRANGE(""https://docs.google.com/spreadsheets/d/1p7ERhsr0qZeSn-KSOdeHS9r0heI-lHtkcn2OH7hP0jQ/edit?usp=share_link"",""ลำปาง!"&amp;"n323"")+IMPORTRANGE(""https://docs.google.com/spreadsheets/d/1-uUXvimVhiU2U0bMN-xi2te0tS4X7DI2GLPnMjzl8cA/edit?usp=share_link"",""ลำพูน!n323"")+IMPORTRANGE(""https://docs.google.com/spreadsheets/d/17HrOaa5pBUI1onckFfumXB8xlg35qb2uBAFfF1D-Myo/edit?usp=shar"&amp;"e_link"",""สุโขทัย!n323"")+IMPORTRANGE(""https://docs.google.com/spreadsheets/d/1ubs5cl16eYL9gHbdHTJtmtYb9MGzHBs7CAphn8kNCgM/edit?usp=share_link"",""อุตรดิตถ์!n323"")+IMPORTRANGE(""https://docs.google.com/spreadsheets/d/1kII0BjS6CtVrBvI8IrytgPdxDrlyQDyigz"&amp;"MsohRtDMs/edit?usp=share_link"",""อุทัยธานี!n323"")
"),0)</f>
        <v>0</v>
      </c>
      <c r="O323" s="45">
        <f t="shared" ca="1" si="170"/>
        <v>0</v>
      </c>
      <c r="P323" s="45">
        <f t="shared" ca="1" si="171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KxicF4apzSqm0-jIpmueT4kyZtE-Cwn5zskl7GD4loQ/edit?usp=share_link"",""กำแพงเพชร!I325"")+IMPORTRANGE(""https://docs.google.com/spreadsheets/d/1ZNYWeiFoFA1K1U4xKWqRX29MBvEyRHXORjo734Gnq_c/edit?usp=share_li"&amp;"nk"",""เชียงราย!I325"")
+IMPORTRANGE(""https://docs.google.com/spreadsheets/d/1Jgv0Y7YlHDtsiDawwp-uvifEJ8HVaSn0k2aGHG8-hwM/edit?usp=share_link"",""เชียงใหม่!I325"")+IMPORTRANGE(""https://docs.google.com/spreadsheets/d/1JWG2rZePOz9pe-f-ObA-yDr0VoOX2kSb0qIi"&amp;"x2mTUo8/edit?usp=share_link"",""ตาก!I325"")+IMPORTRANGE(""https://docs.google.com/spreadsheets/d/10nSRjK08hx8Y6HgSOQKNw81lyY46Zc7U_Cj72hBMp9U/edit?usp=share_link"",""นครสวรรค์!I325"")+IMPORTRANGE(""https://docs.google.com/spreadsheets/d/1gFVb7qd7amutrIxAA"&amp;"oM7lcy35hllxznovot8lyOfvDo/edit?usp=share_link"",""น่าน!I325"")+IMPORTRANGE(""https://docs.google.com/spreadsheets/d/1K0Aa9s-6EuHE5M0FG1F9aHLXRCOV917xvycTdLdct0w/edit?usp=share_link"",""พะเยา!I325"")+IMPORTRANGE(""https://docs.google.com/spreadsheets/d/1Y"&amp;"9LPKx95PyL5OKy09d-KbKJSuuEZCFdkhYjwC0XQjBA/edit?usp=share_link"",""พิจิตร!I325"")+IMPORTRANGE(""https://docs.google.com/spreadsheets/d/16OMuOwy2eVqZcYWOouQtTpa8X1L23h4660uVHc0C8os/edit?usp=share_link"",""พิษณุโลก!I325"")+IMPORTRANGE(""https://docs.google."&amp;"com/spreadsheets/d/1GfgTldLG6k77HXaMQzaafODklYuucJZQNs_GAPEfZyY/edit?usp=share_link"",""เพชรบูรณ์!I325"")+IMPORTRANGE(""https://docs.google.com/spreadsheets/d/1gvTMYAnm7v1yG1BKWFtr0DnaTsq59oW9dwWvFgq6hs0/edit?usp=share_link"",""แพร่!I325"")+IMPORTRANGE("""&amp;"https://docs.google.com/spreadsheets/d/1Wbcosgy-Xa1xXUArJSOenub6EfZHUSzc_bpJFWwQUf0/edit?usp=share_link"",""แม่ฮ่องสอน!I325"")+IMPORTRANGE(""https://docs.google.com/spreadsheets/d/1p7ERhsr0qZeSn-KSOdeHS9r0heI-lHtkcn2OH7hP0jQ/edit?usp=share_link"",""ลำปาง!"&amp;"I325"")+IMPORTRANGE(""https://docs.google.com/spreadsheets/d/1-uUXvimVhiU2U0bMN-xi2te0tS4X7DI2GLPnMjzl8cA/edit?usp=share_link"",""ลำพูน!I325"")+IMPORTRANGE(""https://docs.google.com/spreadsheets/d/17HrOaa5pBUI1onckFfumXB8xlg35qb2uBAFfF1D-Myo/edit?usp=shar"&amp;"e_link"",""สุโขทัย!I325"")+IMPORTRANGE(""https://docs.google.com/spreadsheets/d/1ubs5cl16eYL9gHbdHTJtmtYb9MGzHBs7CAphn8kNCgM/edit?usp=share_link"",""อุตรดิตถ์!I325"")+IMPORTRANGE(""https://docs.google.com/spreadsheets/d/1kII0BjS6CtVrBvI8IrytgPdxDrlyQDyigz"&amp;"MsohRtDMs/edit?usp=share_link"",""อุทัยธานี!I325"")
"),3)</f>
        <v>3</v>
      </c>
      <c r="J325" s="183">
        <f ca="1">IFERROR(__xludf.DUMMYFUNCTION("IMPORTRANGE(""https://docs.google.com/spreadsheets/d/1KxicF4apzSqm0-jIpmueT4kyZtE-Cwn5zskl7GD4loQ/edit?usp=share_link"",""กำแพงเพชร!J325"")+IMPORTRANGE(""https://docs.google.com/spreadsheets/d/1ZNYWeiFoFA1K1U4xKWqRX29MBvEyRHXORjo734Gnq_c/edit?usp=share_li"&amp;"nk"",""เชียงราย!J325"")
+IMPORTRANGE(""https://docs.google.com/spreadsheets/d/1Jgv0Y7YlHDtsiDawwp-uvifEJ8HVaSn0k2aGHG8-hwM/edit?usp=share_link"",""เชียงใหม่!J325"")+IMPORTRANGE(""https://docs.google.com/spreadsheets/d/1JWG2rZePOz9pe-f-ObA-yDr0VoOX2kSb0qIi"&amp;"x2mTUo8/edit?usp=share_link"",""ตาก!J325"")+IMPORTRANGE(""https://docs.google.com/spreadsheets/d/10nSRjK08hx8Y6HgSOQKNw81lyY46Zc7U_Cj72hBMp9U/edit?usp=share_link"",""นครสวรรค์!J325"")+IMPORTRANGE(""https://docs.google.com/spreadsheets/d/1gFVb7qd7amutrIxAA"&amp;"oM7lcy35hllxznovot8lyOfvDo/edit?usp=share_link"",""น่าน!J325"")+IMPORTRANGE(""https://docs.google.com/spreadsheets/d/1K0Aa9s-6EuHE5M0FG1F9aHLXRCOV917xvycTdLdct0w/edit?usp=share_link"",""พะเยา!J325"")+IMPORTRANGE(""https://docs.google.com/spreadsheets/d/1Y"&amp;"9LPKx95PyL5OKy09d-KbKJSuuEZCFdkhYjwC0XQjBA/edit?usp=share_link"",""พิจิตร!J325"")+IMPORTRANGE(""https://docs.google.com/spreadsheets/d/16OMuOwy2eVqZcYWOouQtTpa8X1L23h4660uVHc0C8os/edit?usp=share_link"",""พิษณุโลก!J325"")+IMPORTRANGE(""https://docs.google."&amp;"com/spreadsheets/d/1GfgTldLG6k77HXaMQzaafODklYuucJZQNs_GAPEfZyY/edit?usp=share_link"",""เพชรบูรณ์!J325"")+IMPORTRANGE(""https://docs.google.com/spreadsheets/d/1gvTMYAnm7v1yG1BKWFtr0DnaTsq59oW9dwWvFgq6hs0/edit?usp=share_link"",""แพร่!J325"")+IMPORTRANGE("""&amp;"https://docs.google.com/spreadsheets/d/1Wbcosgy-Xa1xXUArJSOenub6EfZHUSzc_bpJFWwQUf0/edit?usp=share_link"",""แม่ฮ่องสอน!J325"")+IMPORTRANGE(""https://docs.google.com/spreadsheets/d/1p7ERhsr0qZeSn-KSOdeHS9r0heI-lHtkcn2OH7hP0jQ/edit?usp=share_link"",""ลำปาง!"&amp;"J325"")+IMPORTRANGE(""https://docs.google.com/spreadsheets/d/1-uUXvimVhiU2U0bMN-xi2te0tS4X7DI2GLPnMjzl8cA/edit?usp=share_link"",""ลำพูน!J325"")+IMPORTRANGE(""https://docs.google.com/spreadsheets/d/17HrOaa5pBUI1onckFfumXB8xlg35qb2uBAFfF1D-Myo/edit?usp=shar"&amp;"e_link"",""สุโขทัย!J325"")+IMPORTRANGE(""https://docs.google.com/spreadsheets/d/1ubs5cl16eYL9gHbdHTJtmtYb9MGzHBs7CAphn8kNCgM/edit?usp=share_link"",""อุตรดิตถ์!J325"")+IMPORTRANGE(""https://docs.google.com/spreadsheets/d/1kII0BjS6CtVrBvI8IrytgPdxDrlyQDyigz"&amp;"MsohRtDMs/edit?usp=share_link"",""อุทัยธานี!J325"")
"),1)</f>
        <v>1</v>
      </c>
      <c r="K325" s="38">
        <f ca="1">IF(I325&gt;0,J325*100/I325,0)</f>
        <v>33.333333333333336</v>
      </c>
      <c r="L325" s="38"/>
      <c r="M325" s="38"/>
      <c r="N325" s="38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KxicF4apzSqm0-jIpmueT4kyZtE-Cwn5zskl7GD4loQ/edit?usp=share_link"",""กำแพงเพชร!I327"")+IMPORTRANGE(""https://docs.google.com/spreadsheets/d/1ZNYWeiFoFA1K1U4xKWqRX29MBvEyRHXORjo734Gnq_c/edit?usp=share_li"&amp;"nk"",""เชียงราย!I327"")
+IMPORTRANGE(""https://docs.google.com/spreadsheets/d/1Jgv0Y7YlHDtsiDawwp-uvifEJ8HVaSn0k2aGHG8-hwM/edit?usp=share_link"",""เชียงใหม่!I327"")+IMPORTRANGE(""https://docs.google.com/spreadsheets/d/1JWG2rZePOz9pe-f-ObA-yDr0VoOX2kSb0qIi"&amp;"x2mTUo8/edit?usp=share_link"",""ตาก!I327"")+IMPORTRANGE(""https://docs.google.com/spreadsheets/d/10nSRjK08hx8Y6HgSOQKNw81lyY46Zc7U_Cj72hBMp9U/edit?usp=share_link"",""นครสวรรค์!I327"")+IMPORTRANGE(""https://docs.google.com/spreadsheets/d/1gFVb7qd7amutrIxAA"&amp;"oM7lcy35hllxznovot8lyOfvDo/edit?usp=share_link"",""น่าน!I327"")+IMPORTRANGE(""https://docs.google.com/spreadsheets/d/1K0Aa9s-6EuHE5M0FG1F9aHLXRCOV917xvycTdLdct0w/edit?usp=share_link"",""พะเยา!I327"")+IMPORTRANGE(""https://docs.google.com/spreadsheets/d/1Y"&amp;"9LPKx95PyL5OKy09d-KbKJSuuEZCFdkhYjwC0XQjBA/edit?usp=share_link"",""พิจิตร!I327"")+IMPORTRANGE(""https://docs.google.com/spreadsheets/d/16OMuOwy2eVqZcYWOouQtTpa8X1L23h4660uVHc0C8os/edit?usp=share_link"",""พิษณุโลก!I327"")+IMPORTRANGE(""https://docs.google."&amp;"com/spreadsheets/d/1GfgTldLG6k77HXaMQzaafODklYuucJZQNs_GAPEfZyY/edit?usp=share_link"",""เพชรบูรณ์!I327"")+IMPORTRANGE(""https://docs.google.com/spreadsheets/d/1gvTMYAnm7v1yG1BKWFtr0DnaTsq59oW9dwWvFgq6hs0/edit?usp=share_link"",""แพร่!I327"")+IMPORTRANGE("""&amp;"https://docs.google.com/spreadsheets/d/1Wbcosgy-Xa1xXUArJSOenub6EfZHUSzc_bpJFWwQUf0/edit?usp=share_link"",""แม่ฮ่องสอน!I327"")+IMPORTRANGE(""https://docs.google.com/spreadsheets/d/1p7ERhsr0qZeSn-KSOdeHS9r0heI-lHtkcn2OH7hP0jQ/edit?usp=share_link"",""ลำปาง!"&amp;"I327"")+IMPORTRANGE(""https://docs.google.com/spreadsheets/d/1-uUXvimVhiU2U0bMN-xi2te0tS4X7DI2GLPnMjzl8cA/edit?usp=share_link"",""ลำพูน!I327"")+IMPORTRANGE(""https://docs.google.com/spreadsheets/d/17HrOaa5pBUI1onckFfumXB8xlg35qb2uBAFfF1D-Myo/edit?usp=shar"&amp;"e_link"",""สุโขทัย!I327"")+IMPORTRANGE(""https://docs.google.com/spreadsheets/d/1ubs5cl16eYL9gHbdHTJtmtYb9MGzHBs7CAphn8kNCgM/edit?usp=share_link"",""อุตรดิตถ์!I327"")+IMPORTRANGE(""https://docs.google.com/spreadsheets/d/1kII0BjS6CtVrBvI8IrytgPdxDrlyQDyigz"&amp;"MsohRtDMs/edit?usp=share_link"",""อุทัยธานี!I327"")
"),46900)</f>
        <v>46900</v>
      </c>
      <c r="J327" s="413">
        <f ca="1">J338+J341+J342+J343</f>
        <v>41739</v>
      </c>
      <c r="K327" s="414">
        <f ca="1">IF(I327&gt;0,J327*100/I327,0)</f>
        <v>88.995735607675911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6">L329+L330</f>
        <v>3678600</v>
      </c>
      <c r="M328" s="155">
        <f t="shared" ca="1" si="176"/>
        <v>2801450</v>
      </c>
      <c r="N328" s="155">
        <f t="shared" ca="1" si="176"/>
        <v>1311519.1399999999</v>
      </c>
      <c r="O328" s="155">
        <f t="shared" ref="O328:O336" ca="1" si="177">IF(L328&gt;0,N328*100/L328,0)</f>
        <v>35.652670581199366</v>
      </c>
      <c r="P328" s="155">
        <f t="shared" ref="P328:P336" ca="1" si="178">IF(M328&gt;0,N328*100/M328,0)</f>
        <v>46.815725427903402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9">L332+L335</f>
        <v>0</v>
      </c>
      <c r="M329" s="45">
        <f t="shared" si="179"/>
        <v>0</v>
      </c>
      <c r="N329" s="45">
        <f t="shared" si="179"/>
        <v>0</v>
      </c>
      <c r="O329" s="45">
        <f t="shared" si="177"/>
        <v>0</v>
      </c>
      <c r="P329" s="45">
        <f t="shared" si="178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80">L333+L336</f>
        <v>3678600</v>
      </c>
      <c r="M330" s="45">
        <f t="shared" ca="1" si="180"/>
        <v>2801450</v>
      </c>
      <c r="N330" s="45">
        <f t="shared" ca="1" si="180"/>
        <v>1311519.1399999999</v>
      </c>
      <c r="O330" s="45">
        <f t="shared" ca="1" si="177"/>
        <v>35.652670581199366</v>
      </c>
      <c r="P330" s="45">
        <f t="shared" ca="1" si="178"/>
        <v>46.815725427903402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81">L332+L333</f>
        <v>3678600</v>
      </c>
      <c r="M331" s="38">
        <f t="shared" ca="1" si="181"/>
        <v>2801450</v>
      </c>
      <c r="N331" s="38">
        <f t="shared" ca="1" si="181"/>
        <v>1311519.1399999999</v>
      </c>
      <c r="O331" s="38">
        <f t="shared" ca="1" si="177"/>
        <v>35.652670581199366</v>
      </c>
      <c r="P331" s="38">
        <f t="shared" ca="1" si="178"/>
        <v>46.815725427903402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7"/>
        <v>0</v>
      </c>
      <c r="P332" s="45">
        <f t="shared" si="178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KxicF4apzSqm0-jIpmueT4kyZtE-Cwn5zskl7GD4loQ/edit?usp=share_link"",""กำแพงเพชร!l333"")+IMPORTRANGE(""https://docs.google.com/spreadsheets/d/1ZNYWeiFoFA1K1U4xKWqRX29MBvEyRHXORjo734Gnq_c/edit?usp=share_li"&amp;"nk"",""เชียงราย!l333"")
+IMPORTRANGE(""https://docs.google.com/spreadsheets/d/1Jgv0Y7YlHDtsiDawwp-uvifEJ8HVaSn0k2aGHG8-hwM/edit?usp=share_link"",""เชียงใหม่!l333"")+IMPORTRANGE(""https://docs.google.com/spreadsheets/d/1JWG2rZePOz9pe-f-ObA-yDr0VoOX2kSb0qIi"&amp;"x2mTUo8/edit?usp=share_link"",""ตาก!l333"")+IMPORTRANGE(""https://docs.google.com/spreadsheets/d/10nSRjK08hx8Y6HgSOQKNw81lyY46Zc7U_Cj72hBMp9U/edit?usp=share_link"",""นครสวรรค์!l333"")+IMPORTRANGE(""https://docs.google.com/spreadsheets/d/1gFVb7qd7amutrIxAA"&amp;"oM7lcy35hllxznovot8lyOfvDo/edit?usp=share_link"",""น่าน!l333"")+IMPORTRANGE(""https://docs.google.com/spreadsheets/d/1K0Aa9s-6EuHE5M0FG1F9aHLXRCOV917xvycTdLdct0w/edit?usp=share_link"",""พะเยา!l333"")+IMPORTRANGE(""https://docs.google.com/spreadsheets/d/1Y"&amp;"9LPKx95PyL5OKy09d-KbKJSuuEZCFdkhYjwC0XQjBA/edit?usp=share_link"",""พิจิตร!l333"")+IMPORTRANGE(""https://docs.google.com/spreadsheets/d/16OMuOwy2eVqZcYWOouQtTpa8X1L23h4660uVHc0C8os/edit?usp=share_link"",""พิษณุโลก!l333"")+IMPORTRANGE(""https://docs.google."&amp;"com/spreadsheets/d/1GfgTldLG6k77HXaMQzaafODklYuucJZQNs_GAPEfZyY/edit?usp=share_link"",""เพชรบูรณ์!l333"")+IMPORTRANGE(""https://docs.google.com/spreadsheets/d/1gvTMYAnm7v1yG1BKWFtr0DnaTsq59oW9dwWvFgq6hs0/edit?usp=share_link"",""แพร่!l333"")+IMPORTRANGE("""&amp;"https://docs.google.com/spreadsheets/d/1Wbcosgy-Xa1xXUArJSOenub6EfZHUSzc_bpJFWwQUf0/edit?usp=share_link"",""แม่ฮ่องสอน!l333"")+IMPORTRANGE(""https://docs.google.com/spreadsheets/d/1p7ERhsr0qZeSn-KSOdeHS9r0heI-lHtkcn2OH7hP0jQ/edit?usp=share_link"",""ลำปาง!"&amp;"l333"")+IMPORTRANGE(""https://docs.google.com/spreadsheets/d/1-uUXvimVhiU2U0bMN-xi2te0tS4X7DI2GLPnMjzl8cA/edit?usp=share_link"",""ลำพูน!l333"")+IMPORTRANGE(""https://docs.google.com/spreadsheets/d/17HrOaa5pBUI1onckFfumXB8xlg35qb2uBAFfF1D-Myo/edit?usp=shar"&amp;"e_link"",""สุโขทัย!l333"")+IMPORTRANGE(""https://docs.google.com/spreadsheets/d/1ubs5cl16eYL9gHbdHTJtmtYb9MGzHBs7CAphn8kNCgM/edit?usp=share_link"",""อุตรดิตถ์!l333"")+IMPORTRANGE(""https://docs.google.com/spreadsheets/d/1kII0BjS6CtVrBvI8IrytgPdxDrlyQDyigz"&amp;"MsohRtDMs/edit?usp=share_link"",""อุทัยธานี!l333"")
"),3678600)</f>
        <v>3678600</v>
      </c>
      <c r="M333" s="45">
        <f ca="1">IFERROR(__xludf.DUMMYFUNCTION("IMPORTRANGE(""https://docs.google.com/spreadsheets/d/1KxicF4apzSqm0-jIpmueT4kyZtE-Cwn5zskl7GD4loQ/edit?usp=share_link"",""กำแพงเพชร!m333"")+IMPORTRANGE(""https://docs.google.com/spreadsheets/d/1ZNYWeiFoFA1K1U4xKWqRX29MBvEyRHXORjo734Gnq_c/edit?usp=share_li"&amp;"nk"",""เชียงราย!m333"")
+IMPORTRANGE(""https://docs.google.com/spreadsheets/d/1Jgv0Y7YlHDtsiDawwp-uvifEJ8HVaSn0k2aGHG8-hwM/edit?usp=share_link"",""เชียงใหม่!m333"")+IMPORTRANGE(""https://docs.google.com/spreadsheets/d/1JWG2rZePOz9pe-f-ObA-yDr0VoOX2kSb0qIi"&amp;"x2mTUo8/edit?usp=share_link"",""ตาก!m333"")+IMPORTRANGE(""https://docs.google.com/spreadsheets/d/10nSRjK08hx8Y6HgSOQKNw81lyY46Zc7U_Cj72hBMp9U/edit?usp=share_link"",""นครสวรรค์!m333"")+IMPORTRANGE(""https://docs.google.com/spreadsheets/d/1gFVb7qd7amutrIxAA"&amp;"oM7lcy35hllxznovot8lyOfvDo/edit?usp=share_link"",""น่าน!m333"")+IMPORTRANGE(""https://docs.google.com/spreadsheets/d/1K0Aa9s-6EuHE5M0FG1F9aHLXRCOV917xvycTdLdct0w/edit?usp=share_link"",""พะเยา!m333"")+IMPORTRANGE(""https://docs.google.com/spreadsheets/d/1Y"&amp;"9LPKx95PyL5OKy09d-KbKJSuuEZCFdkhYjwC0XQjBA/edit?usp=share_link"",""พิจิตร!m333"")+IMPORTRANGE(""https://docs.google.com/spreadsheets/d/16OMuOwy2eVqZcYWOouQtTpa8X1L23h4660uVHc0C8os/edit?usp=share_link"",""พิษณุโลก!m333"")+IMPORTRANGE(""https://docs.google."&amp;"com/spreadsheets/d/1GfgTldLG6k77HXaMQzaafODklYuucJZQNs_GAPEfZyY/edit?usp=share_link"",""เพชรบูรณ์!m333"")+IMPORTRANGE(""https://docs.google.com/spreadsheets/d/1gvTMYAnm7v1yG1BKWFtr0DnaTsq59oW9dwWvFgq6hs0/edit?usp=share_link"",""แพร่!m333"")+IMPORTRANGE("""&amp;"https://docs.google.com/spreadsheets/d/1Wbcosgy-Xa1xXUArJSOenub6EfZHUSzc_bpJFWwQUf0/edit?usp=share_link"",""แม่ฮ่องสอน!m333"")+IMPORTRANGE(""https://docs.google.com/spreadsheets/d/1p7ERhsr0qZeSn-KSOdeHS9r0heI-lHtkcn2OH7hP0jQ/edit?usp=share_link"",""ลำปาง!"&amp;"m333"")+IMPORTRANGE(""https://docs.google.com/spreadsheets/d/1-uUXvimVhiU2U0bMN-xi2te0tS4X7DI2GLPnMjzl8cA/edit?usp=share_link"",""ลำพูน!m333"")+IMPORTRANGE(""https://docs.google.com/spreadsheets/d/17HrOaa5pBUI1onckFfumXB8xlg35qb2uBAFfF1D-Myo/edit?usp=shar"&amp;"e_link"",""สุโขทัย!m333"")+IMPORTRANGE(""https://docs.google.com/spreadsheets/d/1ubs5cl16eYL9gHbdHTJtmtYb9MGzHBs7CAphn8kNCgM/edit?usp=share_link"",""อุตรดิตถ์!m333"")+IMPORTRANGE(""https://docs.google.com/spreadsheets/d/1kII0BjS6CtVrBvI8IrytgPdxDrlyQDyigz"&amp;"MsohRtDMs/edit?usp=share_link"",""อุทัยธานี!m333"")
"),2801450)</f>
        <v>2801450</v>
      </c>
      <c r="N333" s="45">
        <f ca="1">IFERROR(__xludf.DUMMYFUNCTION("IMPORTRANGE(""https://docs.google.com/spreadsheets/d/1KxicF4apzSqm0-jIpmueT4kyZtE-Cwn5zskl7GD4loQ/edit?usp=share_link"",""กำแพงเพชร!n333"")+IMPORTRANGE(""https://docs.google.com/spreadsheets/d/1ZNYWeiFoFA1K1U4xKWqRX29MBvEyRHXORjo734Gnq_c/edit?usp=share_li"&amp;"nk"",""เชียงราย!n333"")
+IMPORTRANGE(""https://docs.google.com/spreadsheets/d/1Jgv0Y7YlHDtsiDawwp-uvifEJ8HVaSn0k2aGHG8-hwM/edit?usp=share_link"",""เชียงใหม่!n333"")+IMPORTRANGE(""https://docs.google.com/spreadsheets/d/1JWG2rZePOz9pe-f-ObA-yDr0VoOX2kSb0qIi"&amp;"x2mTUo8/edit?usp=share_link"",""ตาก!n333"")+IMPORTRANGE(""https://docs.google.com/spreadsheets/d/10nSRjK08hx8Y6HgSOQKNw81lyY46Zc7U_Cj72hBMp9U/edit?usp=share_link"",""นครสวรรค์!n333"")+IMPORTRANGE(""https://docs.google.com/spreadsheets/d/1gFVb7qd7amutrIxAA"&amp;"oM7lcy35hllxznovot8lyOfvDo/edit?usp=share_link"",""น่าน!n333"")+IMPORTRANGE(""https://docs.google.com/spreadsheets/d/1K0Aa9s-6EuHE5M0FG1F9aHLXRCOV917xvycTdLdct0w/edit?usp=share_link"",""พะเยา!n333"")+IMPORTRANGE(""https://docs.google.com/spreadsheets/d/1Y"&amp;"9LPKx95PyL5OKy09d-KbKJSuuEZCFdkhYjwC0XQjBA/edit?usp=share_link"",""พิจิตร!n333"")+IMPORTRANGE(""https://docs.google.com/spreadsheets/d/16OMuOwy2eVqZcYWOouQtTpa8X1L23h4660uVHc0C8os/edit?usp=share_link"",""พิษณุโลก!n333"")+IMPORTRANGE(""https://docs.google."&amp;"com/spreadsheets/d/1GfgTldLG6k77HXaMQzaafODklYuucJZQNs_GAPEfZyY/edit?usp=share_link"",""เพชรบูรณ์!n333"")+IMPORTRANGE(""https://docs.google.com/spreadsheets/d/1gvTMYAnm7v1yG1BKWFtr0DnaTsq59oW9dwWvFgq6hs0/edit?usp=share_link"",""แพร่!n333"")+IMPORTRANGE("""&amp;"https://docs.google.com/spreadsheets/d/1Wbcosgy-Xa1xXUArJSOenub6EfZHUSzc_bpJFWwQUf0/edit?usp=share_link"",""แม่ฮ่องสอน!n333"")+IMPORTRANGE(""https://docs.google.com/spreadsheets/d/1p7ERhsr0qZeSn-KSOdeHS9r0heI-lHtkcn2OH7hP0jQ/edit?usp=share_link"",""ลำปาง!"&amp;"n333"")+IMPORTRANGE(""https://docs.google.com/spreadsheets/d/1-uUXvimVhiU2U0bMN-xi2te0tS4X7DI2GLPnMjzl8cA/edit?usp=share_link"",""ลำพูน!n333"")+IMPORTRANGE(""https://docs.google.com/spreadsheets/d/17HrOaa5pBUI1onckFfumXB8xlg35qb2uBAFfF1D-Myo/edit?usp=shar"&amp;"e_link"",""สุโขทัย!n333"")+IMPORTRANGE(""https://docs.google.com/spreadsheets/d/1ubs5cl16eYL9gHbdHTJtmtYb9MGzHBs7CAphn8kNCgM/edit?usp=share_link"",""อุตรดิตถ์!n333"")+IMPORTRANGE(""https://docs.google.com/spreadsheets/d/1kII0BjS6CtVrBvI8IrytgPdxDrlyQDyigz"&amp;"MsohRtDMs/edit?usp=share_link"",""อุทัยธานี!n333"")
"),1311519.14)</f>
        <v>1311519.1399999999</v>
      </c>
      <c r="O333" s="45">
        <f t="shared" ca="1" si="177"/>
        <v>35.652670581199366</v>
      </c>
      <c r="P333" s="45">
        <f t="shared" ca="1" si="178"/>
        <v>46.815725427903402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2">L335+L336</f>
        <v>0</v>
      </c>
      <c r="M334" s="38">
        <f t="shared" ca="1" si="182"/>
        <v>0</v>
      </c>
      <c r="N334" s="38">
        <f t="shared" ca="1" si="182"/>
        <v>0</v>
      </c>
      <c r="O334" s="38">
        <f t="shared" ca="1" si="177"/>
        <v>0</v>
      </c>
      <c r="P334" s="38">
        <f t="shared" ca="1" si="178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7"/>
        <v>0</v>
      </c>
      <c r="P335" s="45">
        <f t="shared" si="178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KxicF4apzSqm0-jIpmueT4kyZtE-Cwn5zskl7GD4loQ/edit?usp=share_link"",""กำแพงเพชร!l336"")+IMPORTRANGE(""https://docs.google.com/spreadsheets/d/1ZNYWeiFoFA1K1U4xKWqRX29MBvEyRHXORjo734Gnq_c/edit?usp=share_li"&amp;"nk"",""เชียงราย!l336"")
+IMPORTRANGE(""https://docs.google.com/spreadsheets/d/1Jgv0Y7YlHDtsiDawwp-uvifEJ8HVaSn0k2aGHG8-hwM/edit?usp=share_link"",""เชียงใหม่!l336"")+IMPORTRANGE(""https://docs.google.com/spreadsheets/d/1JWG2rZePOz9pe-f-ObA-yDr0VoOX2kSb0qIi"&amp;"x2mTUo8/edit?usp=share_link"",""ตาก!l336"")+IMPORTRANGE(""https://docs.google.com/spreadsheets/d/10nSRjK08hx8Y6HgSOQKNw81lyY46Zc7U_Cj72hBMp9U/edit?usp=share_link"",""นครสวรรค์!l336"")+IMPORTRANGE(""https://docs.google.com/spreadsheets/d/1gFVb7qd7amutrIxAA"&amp;"oM7lcy35hllxznovot8lyOfvDo/edit?usp=share_link"",""น่าน!l336"")+IMPORTRANGE(""https://docs.google.com/spreadsheets/d/1K0Aa9s-6EuHE5M0FG1F9aHLXRCOV917xvycTdLdct0w/edit?usp=share_link"",""พะเยา!l336"")+IMPORTRANGE(""https://docs.google.com/spreadsheets/d/1Y"&amp;"9LPKx95PyL5OKy09d-KbKJSuuEZCFdkhYjwC0XQjBA/edit?usp=share_link"",""พิจิตร!l336"")+IMPORTRANGE(""https://docs.google.com/spreadsheets/d/16OMuOwy2eVqZcYWOouQtTpa8X1L23h4660uVHc0C8os/edit?usp=share_link"",""พิษณุโลก!l336"")+IMPORTRANGE(""https://docs.google."&amp;"com/spreadsheets/d/1GfgTldLG6k77HXaMQzaafODklYuucJZQNs_GAPEfZyY/edit?usp=share_link"",""เพชรบูรณ์!l336"")+IMPORTRANGE(""https://docs.google.com/spreadsheets/d/1gvTMYAnm7v1yG1BKWFtr0DnaTsq59oW9dwWvFgq6hs0/edit?usp=share_link"",""แพร่!l336"")+IMPORTRANGE("""&amp;"https://docs.google.com/spreadsheets/d/1Wbcosgy-Xa1xXUArJSOenub6EfZHUSzc_bpJFWwQUf0/edit?usp=share_link"",""แม่ฮ่องสอน!l336"")+IMPORTRANGE(""https://docs.google.com/spreadsheets/d/1p7ERhsr0qZeSn-KSOdeHS9r0heI-lHtkcn2OH7hP0jQ/edit?usp=share_link"",""ลำปาง!"&amp;"l336"")+IMPORTRANGE(""https://docs.google.com/spreadsheets/d/1-uUXvimVhiU2U0bMN-xi2te0tS4X7DI2GLPnMjzl8cA/edit?usp=share_link"",""ลำพูน!l336"")+IMPORTRANGE(""https://docs.google.com/spreadsheets/d/17HrOaa5pBUI1onckFfumXB8xlg35qb2uBAFfF1D-Myo/edit?usp=shar"&amp;"e_link"",""สุโขทัย!l336"")+IMPORTRANGE(""https://docs.google.com/spreadsheets/d/1ubs5cl16eYL9gHbdHTJtmtYb9MGzHBs7CAphn8kNCgM/edit?usp=share_link"",""อุตรดิตถ์!l336"")+IMPORTRANGE(""https://docs.google.com/spreadsheets/d/1kII0BjS6CtVrBvI8IrytgPdxDrlyQDyigz"&amp;"MsohRtDMs/edit?usp=share_link"",""อุทัยธานี!l336"")
"),0)</f>
        <v>0</v>
      </c>
      <c r="M336" s="45">
        <f ca="1">IFERROR(__xludf.DUMMYFUNCTION("IMPORTRANGE(""https://docs.google.com/spreadsheets/d/1KxicF4apzSqm0-jIpmueT4kyZtE-Cwn5zskl7GD4loQ/edit?usp=share_link"",""กำแพงเพชร!m336"")+IMPORTRANGE(""https://docs.google.com/spreadsheets/d/1ZNYWeiFoFA1K1U4xKWqRX29MBvEyRHXORjo734Gnq_c/edit?usp=share_li"&amp;"nk"",""เชียงราย!m336"")
+IMPORTRANGE(""https://docs.google.com/spreadsheets/d/1Jgv0Y7YlHDtsiDawwp-uvifEJ8HVaSn0k2aGHG8-hwM/edit?usp=share_link"",""เชียงใหม่!m336"")+IMPORTRANGE(""https://docs.google.com/spreadsheets/d/1JWG2rZePOz9pe-f-ObA-yDr0VoOX2kSb0qIi"&amp;"x2mTUo8/edit?usp=share_link"",""ตาก!m336"")+IMPORTRANGE(""https://docs.google.com/spreadsheets/d/10nSRjK08hx8Y6HgSOQKNw81lyY46Zc7U_Cj72hBMp9U/edit?usp=share_link"",""นครสวรรค์!m336"")+IMPORTRANGE(""https://docs.google.com/spreadsheets/d/1gFVb7qd7amutrIxAA"&amp;"oM7lcy35hllxznovot8lyOfvDo/edit?usp=share_link"",""น่าน!m336"")+IMPORTRANGE(""https://docs.google.com/spreadsheets/d/1K0Aa9s-6EuHE5M0FG1F9aHLXRCOV917xvycTdLdct0w/edit?usp=share_link"",""พะเยา!m336"")+IMPORTRANGE(""https://docs.google.com/spreadsheets/d/1Y"&amp;"9LPKx95PyL5OKy09d-KbKJSuuEZCFdkhYjwC0XQjBA/edit?usp=share_link"",""พิจิตร!m336"")+IMPORTRANGE(""https://docs.google.com/spreadsheets/d/16OMuOwy2eVqZcYWOouQtTpa8X1L23h4660uVHc0C8os/edit?usp=share_link"",""พิษณุโลก!m336"")+IMPORTRANGE(""https://docs.google."&amp;"com/spreadsheets/d/1GfgTldLG6k77HXaMQzaafODklYuucJZQNs_GAPEfZyY/edit?usp=share_link"",""เพชรบูรณ์!m336"")+IMPORTRANGE(""https://docs.google.com/spreadsheets/d/1gvTMYAnm7v1yG1BKWFtr0DnaTsq59oW9dwWvFgq6hs0/edit?usp=share_link"",""แพร่!m336"")+IMPORTRANGE("""&amp;"https://docs.google.com/spreadsheets/d/1Wbcosgy-Xa1xXUArJSOenub6EfZHUSzc_bpJFWwQUf0/edit?usp=share_link"",""แม่ฮ่องสอน!m336"")+IMPORTRANGE(""https://docs.google.com/spreadsheets/d/1p7ERhsr0qZeSn-KSOdeHS9r0heI-lHtkcn2OH7hP0jQ/edit?usp=share_link"",""ลำปาง!"&amp;"m336"")+IMPORTRANGE(""https://docs.google.com/spreadsheets/d/1-uUXvimVhiU2U0bMN-xi2te0tS4X7DI2GLPnMjzl8cA/edit?usp=share_link"",""ลำพูน!m336"")+IMPORTRANGE(""https://docs.google.com/spreadsheets/d/17HrOaa5pBUI1onckFfumXB8xlg35qb2uBAFfF1D-Myo/edit?usp=shar"&amp;"e_link"",""สุโขทัย!m336"")+IMPORTRANGE(""https://docs.google.com/spreadsheets/d/1ubs5cl16eYL9gHbdHTJtmtYb9MGzHBs7CAphn8kNCgM/edit?usp=share_link"",""อุตรดิตถ์!m336"")+IMPORTRANGE(""https://docs.google.com/spreadsheets/d/1kII0BjS6CtVrBvI8IrytgPdxDrlyQDyigz"&amp;"MsohRtDMs/edit?usp=share_link"",""อุทัยธานี!m336"")
"),0)</f>
        <v>0</v>
      </c>
      <c r="N336" s="45">
        <f ca="1">IFERROR(__xludf.DUMMYFUNCTION("IMPORTRANGE(""https://docs.google.com/spreadsheets/d/1KxicF4apzSqm0-jIpmueT4kyZtE-Cwn5zskl7GD4loQ/edit?usp=share_link"",""กำแพงเพชร!n336"")+IMPORTRANGE(""https://docs.google.com/spreadsheets/d/1ZNYWeiFoFA1K1U4xKWqRX29MBvEyRHXORjo734Gnq_c/edit?usp=share_li"&amp;"nk"",""เชียงราย!n336"")
+IMPORTRANGE(""https://docs.google.com/spreadsheets/d/1Jgv0Y7YlHDtsiDawwp-uvifEJ8HVaSn0k2aGHG8-hwM/edit?usp=share_link"",""เชียงใหม่!n336"")+IMPORTRANGE(""https://docs.google.com/spreadsheets/d/1JWG2rZePOz9pe-f-ObA-yDr0VoOX2kSb0qIi"&amp;"x2mTUo8/edit?usp=share_link"",""ตาก!n336"")+IMPORTRANGE(""https://docs.google.com/spreadsheets/d/10nSRjK08hx8Y6HgSOQKNw81lyY46Zc7U_Cj72hBMp9U/edit?usp=share_link"",""นครสวรรค์!n336"")+IMPORTRANGE(""https://docs.google.com/spreadsheets/d/1gFVb7qd7amutrIxAA"&amp;"oM7lcy35hllxznovot8lyOfvDo/edit?usp=share_link"",""น่าน!n336"")+IMPORTRANGE(""https://docs.google.com/spreadsheets/d/1K0Aa9s-6EuHE5M0FG1F9aHLXRCOV917xvycTdLdct0w/edit?usp=share_link"",""พะเยา!n336"")+IMPORTRANGE(""https://docs.google.com/spreadsheets/d/1Y"&amp;"9LPKx95PyL5OKy09d-KbKJSuuEZCFdkhYjwC0XQjBA/edit?usp=share_link"",""พิจิตร!n336"")+IMPORTRANGE(""https://docs.google.com/spreadsheets/d/16OMuOwy2eVqZcYWOouQtTpa8X1L23h4660uVHc0C8os/edit?usp=share_link"",""พิษณุโลก!n336"")+IMPORTRANGE(""https://docs.google."&amp;"com/spreadsheets/d/1GfgTldLG6k77HXaMQzaafODklYuucJZQNs_GAPEfZyY/edit?usp=share_link"",""เพชรบูรณ์!n336"")+IMPORTRANGE(""https://docs.google.com/spreadsheets/d/1gvTMYAnm7v1yG1BKWFtr0DnaTsq59oW9dwWvFgq6hs0/edit?usp=share_link"",""แพร่!n336"")+IMPORTRANGE("""&amp;"https://docs.google.com/spreadsheets/d/1Wbcosgy-Xa1xXUArJSOenub6EfZHUSzc_bpJFWwQUf0/edit?usp=share_link"",""แม่ฮ่องสอน!n336"")+IMPORTRANGE(""https://docs.google.com/spreadsheets/d/1p7ERhsr0qZeSn-KSOdeHS9r0heI-lHtkcn2OH7hP0jQ/edit?usp=share_link"",""ลำปาง!"&amp;"n336"")+IMPORTRANGE(""https://docs.google.com/spreadsheets/d/1-uUXvimVhiU2U0bMN-xi2te0tS4X7DI2GLPnMjzl8cA/edit?usp=share_link"",""ลำพูน!n336"")+IMPORTRANGE(""https://docs.google.com/spreadsheets/d/17HrOaa5pBUI1onckFfumXB8xlg35qb2uBAFfF1D-Myo/edit?usp=shar"&amp;"e_link"",""สุโขทัย!n336"")+IMPORTRANGE(""https://docs.google.com/spreadsheets/d/1ubs5cl16eYL9gHbdHTJtmtYb9MGzHBs7CAphn8kNCgM/edit?usp=share_link"",""อุตรดิตถ์!n336"")+IMPORTRANGE(""https://docs.google.com/spreadsheets/d/1kII0BjS6CtVrBvI8IrytgPdxDrlyQDyigz"&amp;"MsohRtDMs/edit?usp=share_link"",""อุทัยธานี!n336"")
"),0)</f>
        <v>0</v>
      </c>
      <c r="O336" s="45">
        <f t="shared" ca="1" si="177"/>
        <v>0</v>
      </c>
      <c r="P336" s="45">
        <f t="shared" ca="1" si="178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18.75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KxicF4apzSqm0-jIpmueT4kyZtE-Cwn5zskl7GD4loQ/edit?usp=share_link"",""กำแพงเพชร!I338"")+IMPORTRANGE(""https://docs.google.com/spreadsheets/d/1ZNYWeiFoFA1K1U4xKWqRX29MBvEyRHXORjo734Gnq_c/edit?usp=share_li"&amp;"nk"",""เชียงราย!I338"")
+IMPORTRANGE(""https://docs.google.com/spreadsheets/d/1Jgv0Y7YlHDtsiDawwp-uvifEJ8HVaSn0k2aGHG8-hwM/edit?usp=share_link"",""เชียงใหม่!I338"")+IMPORTRANGE(""https://docs.google.com/spreadsheets/d/1JWG2rZePOz9pe-f-ObA-yDr0VoOX2kSb0qIi"&amp;"x2mTUo8/edit?usp=share_link"",""ตาก!I338"")+IMPORTRANGE(""https://docs.google.com/spreadsheets/d/10nSRjK08hx8Y6HgSOQKNw81lyY46Zc7U_Cj72hBMp9U/edit?usp=share_link"",""นครสวรรค์!I338"")+IMPORTRANGE(""https://docs.google.com/spreadsheets/d/1gFVb7qd7amutrIxAA"&amp;"oM7lcy35hllxznovot8lyOfvDo/edit?usp=share_link"",""น่าน!I338"")+IMPORTRANGE(""https://docs.google.com/spreadsheets/d/1K0Aa9s-6EuHE5M0FG1F9aHLXRCOV917xvycTdLdct0w/edit?usp=share_link"",""พะเยา!I338"")+IMPORTRANGE(""https://docs.google.com/spreadsheets/d/1Y"&amp;"9LPKx95PyL5OKy09d-KbKJSuuEZCFdkhYjwC0XQjBA/edit?usp=share_link"",""พิจิตร!I338"")+IMPORTRANGE(""https://docs.google.com/spreadsheets/d/16OMuOwy2eVqZcYWOouQtTpa8X1L23h4660uVHc0C8os/edit?usp=share_link"",""พิษณุโลก!I338"")+IMPORTRANGE(""https://docs.google."&amp;"com/spreadsheets/d/1GfgTldLG6k77HXaMQzaafODklYuucJZQNs_GAPEfZyY/edit?usp=share_link"",""เพชรบูรณ์!I338"")+IMPORTRANGE(""https://docs.google.com/spreadsheets/d/1gvTMYAnm7v1yG1BKWFtr0DnaTsq59oW9dwWvFgq6hs0/edit?usp=share_link"",""แพร่!I338"")+IMPORTRANGE("""&amp;"https://docs.google.com/spreadsheets/d/1Wbcosgy-Xa1xXUArJSOenub6EfZHUSzc_bpJFWwQUf0/edit?usp=share_link"",""แม่ฮ่องสอน!I338"")+IMPORTRANGE(""https://docs.google.com/spreadsheets/d/1p7ERhsr0qZeSn-KSOdeHS9r0heI-lHtkcn2OH7hP0jQ/edit?usp=share_link"",""ลำปาง!"&amp;"I338"")+IMPORTRANGE(""https://docs.google.com/spreadsheets/d/1-uUXvimVhiU2U0bMN-xi2te0tS4X7DI2GLPnMjzl8cA/edit?usp=share_link"",""ลำพูน!I338"")+IMPORTRANGE(""https://docs.google.com/spreadsheets/d/17HrOaa5pBUI1onckFfumXB8xlg35qb2uBAFfF1D-Myo/edit?usp=shar"&amp;"e_link"",""สุโขทัย!I338"")+IMPORTRANGE(""https://docs.google.com/spreadsheets/d/1ubs5cl16eYL9gHbdHTJtmtYb9MGzHBs7CAphn8kNCgM/edit?usp=share_link"",""อุตรดิตถ์!I338"")+IMPORTRANGE(""https://docs.google.com/spreadsheets/d/1kII0BjS6CtVrBvI8IrytgPdxDrlyQDyigz"&amp;"MsohRtDMs/edit?usp=share_link"",""อุทัยธานี!I338"")
"),46900)</f>
        <v>46900</v>
      </c>
      <c r="J338" s="270">
        <f ca="1">IFERROR(__xludf.DUMMYFUNCTION("IMPORTRANGE(""https://docs.google.com/spreadsheets/d/1KxicF4apzSqm0-jIpmueT4kyZtE-Cwn5zskl7GD4loQ/edit?usp=share_link"",""กำแพงเพชร!J338"")+IMPORTRANGE(""https://docs.google.com/spreadsheets/d/1ZNYWeiFoFA1K1U4xKWqRX29MBvEyRHXORjo734Gnq_c/edit?usp=share_li"&amp;"nk"",""เชียงราย!J338"")
+IMPORTRANGE(""https://docs.google.com/spreadsheets/d/1Jgv0Y7YlHDtsiDawwp-uvifEJ8HVaSn0k2aGHG8-hwM/edit?usp=share_link"",""เชียงใหม่!J338"")+IMPORTRANGE(""https://docs.google.com/spreadsheets/d/1JWG2rZePOz9pe-f-ObA-yDr0VoOX2kSb0qIi"&amp;"x2mTUo8/edit?usp=share_link"",""ตาก!J338"")+IMPORTRANGE(""https://docs.google.com/spreadsheets/d/10nSRjK08hx8Y6HgSOQKNw81lyY46Zc7U_Cj72hBMp9U/edit?usp=share_link"",""นครสวรรค์!J338"")+IMPORTRANGE(""https://docs.google.com/spreadsheets/d/1gFVb7qd7amutrIxAA"&amp;"oM7lcy35hllxznovot8lyOfvDo/edit?usp=share_link"",""น่าน!J338"")+IMPORTRANGE(""https://docs.google.com/spreadsheets/d/1K0Aa9s-6EuHE5M0FG1F9aHLXRCOV917xvycTdLdct0w/edit?usp=share_link"",""พะเยา!J338"")+IMPORTRANGE(""https://docs.google.com/spreadsheets/d/1Y"&amp;"9LPKx95PyL5OKy09d-KbKJSuuEZCFdkhYjwC0XQjBA/edit?usp=share_link"",""พิจิตร!J338"")+IMPORTRANGE(""https://docs.google.com/spreadsheets/d/16OMuOwy2eVqZcYWOouQtTpa8X1L23h4660uVHc0C8os/edit?usp=share_link"",""พิษณุโลก!J338"")+IMPORTRANGE(""https://docs.google."&amp;"com/spreadsheets/d/1GfgTldLG6k77HXaMQzaafODklYuucJZQNs_GAPEfZyY/edit?usp=share_link"",""เพชรบูรณ์!J338"")+IMPORTRANGE(""https://docs.google.com/spreadsheets/d/1gvTMYAnm7v1yG1BKWFtr0DnaTsq59oW9dwWvFgq6hs0/edit?usp=share_link"",""แพร่!J338"")+IMPORTRANGE("""&amp;"https://docs.google.com/spreadsheets/d/1Wbcosgy-Xa1xXUArJSOenub6EfZHUSzc_bpJFWwQUf0/edit?usp=share_link"",""แม่ฮ่องสอน!J338"")+IMPORTRANGE(""https://docs.google.com/spreadsheets/d/1p7ERhsr0qZeSn-KSOdeHS9r0heI-lHtkcn2OH7hP0jQ/edit?usp=share_link"",""ลำปาง!"&amp;"J338"")+IMPORTRANGE(""https://docs.google.com/spreadsheets/d/1-uUXvimVhiU2U0bMN-xi2te0tS4X7DI2GLPnMjzl8cA/edit?usp=share_link"",""ลำพูน!J338"")+IMPORTRANGE(""https://docs.google.com/spreadsheets/d/17HrOaa5pBUI1onckFfumXB8xlg35qb2uBAFfF1D-Myo/edit?usp=shar"&amp;"e_link"",""สุโขทัย!J338"")+IMPORTRANGE(""https://docs.google.com/spreadsheets/d/1ubs5cl16eYL9gHbdHTJtmtYb9MGzHBs7CAphn8kNCgM/edit?usp=share_link"",""อุตรดิตถ์!J338"")+IMPORTRANGE(""https://docs.google.com/spreadsheets/d/1kII0BjS6CtVrBvI8IrytgPdxDrlyQDyigz"&amp;"MsohRtDMs/edit?usp=share_link"",""อุทัยธานี!J338"")
"),37388)</f>
        <v>37388</v>
      </c>
      <c r="K338" s="38">
        <f ca="1">IF(I338&gt;0,J338*100/I338,0)</f>
        <v>79.718550106609811</v>
      </c>
      <c r="L338" s="38"/>
      <c r="M338" s="38"/>
      <c r="N338" s="38"/>
      <c r="O338" s="38"/>
      <c r="P338" s="38"/>
    </row>
    <row r="339" spans="1:26" ht="18.75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18.75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KxicF4apzSqm0-jIpmueT4kyZtE-Cwn5zskl7GD4loQ/edit?usp=share_link"",""กำแพงเพชร!I340"")+IMPORTRANGE(""https://docs.google.com/spreadsheets/d/1ZNYWeiFoFA1K1U4xKWqRX29MBvEyRHXORjo734Gnq_c/edit?usp=share_li"&amp;"nk"",""เชียงราย!I340"")
+IMPORTRANGE(""https://docs.google.com/spreadsheets/d/1Jgv0Y7YlHDtsiDawwp-uvifEJ8HVaSn0k2aGHG8-hwM/edit?usp=share_link"",""เชียงใหม่!I340"")+IMPORTRANGE(""https://docs.google.com/spreadsheets/d/1JWG2rZePOz9pe-f-ObA-yDr0VoOX2kSb0qIi"&amp;"x2mTUo8/edit?usp=share_link"",""ตาก!I340"")+IMPORTRANGE(""https://docs.google.com/spreadsheets/d/10nSRjK08hx8Y6HgSOQKNw81lyY46Zc7U_Cj72hBMp9U/edit?usp=share_link"",""นครสวรรค์!I340"")+IMPORTRANGE(""https://docs.google.com/spreadsheets/d/1gFVb7qd7amutrIxAA"&amp;"oM7lcy35hllxznovot8lyOfvDo/edit?usp=share_link"",""น่าน!I340"")+IMPORTRANGE(""https://docs.google.com/spreadsheets/d/1K0Aa9s-6EuHE5M0FG1F9aHLXRCOV917xvycTdLdct0w/edit?usp=share_link"",""พะเยา!I340"")+IMPORTRANGE(""https://docs.google.com/spreadsheets/d/1Y"&amp;"9LPKx95PyL5OKy09d-KbKJSuuEZCFdkhYjwC0XQjBA/edit?usp=share_link"",""พิจิตร!I340"")+IMPORTRANGE(""https://docs.google.com/spreadsheets/d/16OMuOwy2eVqZcYWOouQtTpa8X1L23h4660uVHc0C8os/edit?usp=share_link"",""พิษณุโลก!I340"")+IMPORTRANGE(""https://docs.google."&amp;"com/spreadsheets/d/1GfgTldLG6k77HXaMQzaafODklYuucJZQNs_GAPEfZyY/edit?usp=share_link"",""เพชรบูรณ์!I340"")+IMPORTRANGE(""https://docs.google.com/spreadsheets/d/1gvTMYAnm7v1yG1BKWFtr0DnaTsq59oW9dwWvFgq6hs0/edit?usp=share_link"",""แพร่!I340"")+IMPORTRANGE("""&amp;"https://docs.google.com/spreadsheets/d/1Wbcosgy-Xa1xXUArJSOenub6EfZHUSzc_bpJFWwQUf0/edit?usp=share_link"",""แม่ฮ่องสอน!I340"")+IMPORTRANGE(""https://docs.google.com/spreadsheets/d/1p7ERhsr0qZeSn-KSOdeHS9r0heI-lHtkcn2OH7hP0jQ/edit?usp=share_link"",""ลำปาง!"&amp;"I340"")+IMPORTRANGE(""https://docs.google.com/spreadsheets/d/1-uUXvimVhiU2U0bMN-xi2te0tS4X7DI2GLPnMjzl8cA/edit?usp=share_link"",""ลำพูน!I340"")+IMPORTRANGE(""https://docs.google.com/spreadsheets/d/17HrOaa5pBUI1onckFfumXB8xlg35qb2uBAFfF1D-Myo/edit?usp=shar"&amp;"e_link"",""สุโขทัย!I340"")+IMPORTRANGE(""https://docs.google.com/spreadsheets/d/1ubs5cl16eYL9gHbdHTJtmtYb9MGzHBs7CAphn8kNCgM/edit?usp=share_link"",""อุตรดิตถ์!I340"")+IMPORTRANGE(""https://docs.google.com/spreadsheets/d/1kII0BjS6CtVrBvI8IrytgPdxDrlyQDyigz"&amp;"MsohRtDMs/edit?usp=share_link"",""อุทัยธานี!I340"")
"),107)</f>
        <v>107</v>
      </c>
      <c r="J340" s="270">
        <f ca="1">IFERROR(__xludf.DUMMYFUNCTION("IMPORTRANGE(""https://docs.google.com/spreadsheets/d/1KxicF4apzSqm0-jIpmueT4kyZtE-Cwn5zskl7GD4loQ/edit?usp=share_link"",""กำแพงเพชร!J340"")+IMPORTRANGE(""https://docs.google.com/spreadsheets/d/1ZNYWeiFoFA1K1U4xKWqRX29MBvEyRHXORjo734Gnq_c/edit?usp=share_li"&amp;"nk"",""เชียงราย!J340"")
+IMPORTRANGE(""https://docs.google.com/spreadsheets/d/1Jgv0Y7YlHDtsiDawwp-uvifEJ8HVaSn0k2aGHG8-hwM/edit?usp=share_link"",""เชียงใหม่!J340"")+IMPORTRANGE(""https://docs.google.com/spreadsheets/d/1JWG2rZePOz9pe-f-ObA-yDr0VoOX2kSb0qIi"&amp;"x2mTUo8/edit?usp=share_link"",""ตาก!J340"")+IMPORTRANGE(""https://docs.google.com/spreadsheets/d/10nSRjK08hx8Y6HgSOQKNw81lyY46Zc7U_Cj72hBMp9U/edit?usp=share_link"",""นครสวรรค์!J340"")+IMPORTRANGE(""https://docs.google.com/spreadsheets/d/1gFVb7qd7amutrIxAA"&amp;"oM7lcy35hllxznovot8lyOfvDo/edit?usp=share_link"",""น่าน!J340"")+IMPORTRANGE(""https://docs.google.com/spreadsheets/d/1K0Aa9s-6EuHE5M0FG1F9aHLXRCOV917xvycTdLdct0w/edit?usp=share_link"",""พะเยา!J340"")+IMPORTRANGE(""https://docs.google.com/spreadsheets/d/1Y"&amp;"9LPKx95PyL5OKy09d-KbKJSuuEZCFdkhYjwC0XQjBA/edit?usp=share_link"",""พิจิตร!J340"")+IMPORTRANGE(""https://docs.google.com/spreadsheets/d/16OMuOwy2eVqZcYWOouQtTpa8X1L23h4660uVHc0C8os/edit?usp=share_link"",""พิษณุโลก!J340"")+IMPORTRANGE(""https://docs.google."&amp;"com/spreadsheets/d/1GfgTldLG6k77HXaMQzaafODklYuucJZQNs_GAPEfZyY/edit?usp=share_link"",""เพชรบูรณ์!J340"")+IMPORTRANGE(""https://docs.google.com/spreadsheets/d/1gvTMYAnm7v1yG1BKWFtr0DnaTsq59oW9dwWvFgq6hs0/edit?usp=share_link"",""แพร่!J340"")+IMPORTRANGE("""&amp;"https://docs.google.com/spreadsheets/d/1Wbcosgy-Xa1xXUArJSOenub6EfZHUSzc_bpJFWwQUf0/edit?usp=share_link"",""แม่ฮ่องสอน!J340"")+IMPORTRANGE(""https://docs.google.com/spreadsheets/d/1p7ERhsr0qZeSn-KSOdeHS9r0heI-lHtkcn2OH7hP0jQ/edit?usp=share_link"",""ลำปาง!"&amp;"J340"")+IMPORTRANGE(""https://docs.google.com/spreadsheets/d/1-uUXvimVhiU2U0bMN-xi2te0tS4X7DI2GLPnMjzl8cA/edit?usp=share_link"",""ลำพูน!J340"")+IMPORTRANGE(""https://docs.google.com/spreadsheets/d/17HrOaa5pBUI1onckFfumXB8xlg35qb2uBAFfF1D-Myo/edit?usp=shar"&amp;"e_link"",""สุโขทัย!J340"")+IMPORTRANGE(""https://docs.google.com/spreadsheets/d/1ubs5cl16eYL9gHbdHTJtmtYb9MGzHBs7CAphn8kNCgM/edit?usp=share_link"",""อุตรดิตถ์!J340"")+IMPORTRANGE(""https://docs.google.com/spreadsheets/d/1kII0BjS6CtVrBvI8IrytgPdxDrlyQDyigz"&amp;"MsohRtDMs/edit?usp=share_link"",""อุทัยธานี!J340"")
"),55)</f>
        <v>55</v>
      </c>
      <c r="K340" s="38">
        <f ca="1">IF(I340&gt;0,J340*100/I340,0)</f>
        <v>51.401869158878505</v>
      </c>
      <c r="L340" s="38"/>
      <c r="M340" s="38"/>
      <c r="N340" s="38"/>
      <c r="O340" s="38"/>
      <c r="P340" s="38"/>
    </row>
    <row r="341" spans="1:26" ht="18.75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KxicF4apzSqm0-jIpmueT4kyZtE-Cwn5zskl7GD4loQ/edit?usp=share_link"",""กำแพงเพชร!J341"")+IMPORTRANGE(""https://docs.google.com/spreadsheets/d/1ZNYWeiFoFA1K1U4xKWqRX29MBvEyRHXORjo734Gnq_c/edit?usp=share_li"&amp;"nk"",""เชียงราย!J341"")
+IMPORTRANGE(""https://docs.google.com/spreadsheets/d/1Jgv0Y7YlHDtsiDawwp-uvifEJ8HVaSn0k2aGHG8-hwM/edit?usp=share_link"",""เชียงใหม่!J341"")+IMPORTRANGE(""https://docs.google.com/spreadsheets/d/1JWG2rZePOz9pe-f-ObA-yDr0VoOX2kSb0qIi"&amp;"x2mTUo8/edit?usp=share_link"",""ตาก!J341"")+IMPORTRANGE(""https://docs.google.com/spreadsheets/d/10nSRjK08hx8Y6HgSOQKNw81lyY46Zc7U_Cj72hBMp9U/edit?usp=share_link"",""นครสวรรค์!J341"")+IMPORTRANGE(""https://docs.google.com/spreadsheets/d/1gFVb7qd7amutrIxAA"&amp;"oM7lcy35hllxznovot8lyOfvDo/edit?usp=share_link"",""น่าน!J341"")+IMPORTRANGE(""https://docs.google.com/spreadsheets/d/1K0Aa9s-6EuHE5M0FG1F9aHLXRCOV917xvycTdLdct0w/edit?usp=share_link"",""พะเยา!J341"")+IMPORTRANGE(""https://docs.google.com/spreadsheets/d/1Y"&amp;"9LPKx95PyL5OKy09d-KbKJSuuEZCFdkhYjwC0XQjBA/edit?usp=share_link"",""พิจิตร!J341"")+IMPORTRANGE(""https://docs.google.com/spreadsheets/d/16OMuOwy2eVqZcYWOouQtTpa8X1L23h4660uVHc0C8os/edit?usp=share_link"",""พิษณุโลก!J341"")+IMPORTRANGE(""https://docs.google."&amp;"com/spreadsheets/d/1GfgTldLG6k77HXaMQzaafODklYuucJZQNs_GAPEfZyY/edit?usp=share_link"",""เพชรบูรณ์!J341"")+IMPORTRANGE(""https://docs.google.com/spreadsheets/d/1gvTMYAnm7v1yG1BKWFtr0DnaTsq59oW9dwWvFgq6hs0/edit?usp=share_link"",""แพร่!J341"")+IMPORTRANGE("""&amp;"https://docs.google.com/spreadsheets/d/1Wbcosgy-Xa1xXUArJSOenub6EfZHUSzc_bpJFWwQUf0/edit?usp=share_link"",""แม่ฮ่องสอน!J341"")+IMPORTRANGE(""https://docs.google.com/spreadsheets/d/1p7ERhsr0qZeSn-KSOdeHS9r0heI-lHtkcn2OH7hP0jQ/edit?usp=share_link"",""ลำปาง!"&amp;"J341"")+IMPORTRANGE(""https://docs.google.com/spreadsheets/d/1-uUXvimVhiU2U0bMN-xi2te0tS4X7DI2GLPnMjzl8cA/edit?usp=share_link"",""ลำพูน!J341"")+IMPORTRANGE(""https://docs.google.com/spreadsheets/d/17HrOaa5pBUI1onckFfumXB8xlg35qb2uBAFfF1D-Myo/edit?usp=shar"&amp;"e_link"",""สุโขทัย!J341"")+IMPORTRANGE(""https://docs.google.com/spreadsheets/d/1ubs5cl16eYL9gHbdHTJtmtYb9MGzHBs7CAphn8kNCgM/edit?usp=share_link"",""อุตรดิตถ์!J341"")+IMPORTRANGE(""https://docs.google.com/spreadsheets/d/1kII0BjS6CtVrBvI8IrytgPdxDrlyQDyigz"&amp;"MsohRtDMs/edit?usp=share_link"",""อุทัยธานี!J341"")
"),3602)</f>
        <v>3602</v>
      </c>
      <c r="K341" s="38"/>
      <c r="L341" s="38"/>
      <c r="M341" s="38"/>
      <c r="N341" s="38"/>
      <c r="O341" s="38"/>
      <c r="P341" s="38"/>
    </row>
    <row r="342" spans="1:26" ht="18.75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KxicF4apzSqm0-jIpmueT4kyZtE-Cwn5zskl7GD4loQ/edit?usp=share_link"",""กำแพงเพชร!J342"")+IMPORTRANGE(""https://docs.google.com/spreadsheets/d/1ZNYWeiFoFA1K1U4xKWqRX29MBvEyRHXORjo734Gnq_c/edit?usp=share_li"&amp;"nk"",""เชียงราย!J342"")
+IMPORTRANGE(""https://docs.google.com/spreadsheets/d/1Jgv0Y7YlHDtsiDawwp-uvifEJ8HVaSn0k2aGHG8-hwM/edit?usp=share_link"",""เชียงใหม่!J342"")+IMPORTRANGE(""https://docs.google.com/spreadsheets/d/1JWG2rZePOz9pe-f-ObA-yDr0VoOX2kSb0qIi"&amp;"x2mTUo8/edit?usp=share_link"",""ตาก!J342"")+IMPORTRANGE(""https://docs.google.com/spreadsheets/d/10nSRjK08hx8Y6HgSOQKNw81lyY46Zc7U_Cj72hBMp9U/edit?usp=share_link"",""นครสวรรค์!J342"")+IMPORTRANGE(""https://docs.google.com/spreadsheets/d/1gFVb7qd7amutrIxAA"&amp;"oM7lcy35hllxznovot8lyOfvDo/edit?usp=share_link"",""น่าน!J342"")+IMPORTRANGE(""https://docs.google.com/spreadsheets/d/1K0Aa9s-6EuHE5M0FG1F9aHLXRCOV917xvycTdLdct0w/edit?usp=share_link"",""พะเยา!J342"")+IMPORTRANGE(""https://docs.google.com/spreadsheets/d/1Y"&amp;"9LPKx95PyL5OKy09d-KbKJSuuEZCFdkhYjwC0XQjBA/edit?usp=share_link"",""พิจิตร!J342"")+IMPORTRANGE(""https://docs.google.com/spreadsheets/d/16OMuOwy2eVqZcYWOouQtTpa8X1L23h4660uVHc0C8os/edit?usp=share_link"",""พิษณุโลก!J342"")+IMPORTRANGE(""https://docs.google."&amp;"com/spreadsheets/d/1GfgTldLG6k77HXaMQzaafODklYuucJZQNs_GAPEfZyY/edit?usp=share_link"",""เพชรบูรณ์!J342"")+IMPORTRANGE(""https://docs.google.com/spreadsheets/d/1gvTMYAnm7v1yG1BKWFtr0DnaTsq59oW9dwWvFgq6hs0/edit?usp=share_link"",""แพร่!J342"")+IMPORTRANGE("""&amp;"https://docs.google.com/spreadsheets/d/1Wbcosgy-Xa1xXUArJSOenub6EfZHUSzc_bpJFWwQUf0/edit?usp=share_link"",""แม่ฮ่องสอน!J342"")+IMPORTRANGE(""https://docs.google.com/spreadsheets/d/1p7ERhsr0qZeSn-KSOdeHS9r0heI-lHtkcn2OH7hP0jQ/edit?usp=share_link"",""ลำปาง!"&amp;"J342"")+IMPORTRANGE(""https://docs.google.com/spreadsheets/d/1-uUXvimVhiU2U0bMN-xi2te0tS4X7DI2GLPnMjzl8cA/edit?usp=share_link"",""ลำพูน!J342"")+IMPORTRANGE(""https://docs.google.com/spreadsheets/d/17HrOaa5pBUI1onckFfumXB8xlg35qb2uBAFfF1D-Myo/edit?usp=shar"&amp;"e_link"",""สุโขทัย!J342"")+IMPORTRANGE(""https://docs.google.com/spreadsheets/d/1ubs5cl16eYL9gHbdHTJtmtYb9MGzHBs7CAphn8kNCgM/edit?usp=share_link"",""อุตรดิตถ์!J342"")+IMPORTRANGE(""https://docs.google.com/spreadsheets/d/1kII0BjS6CtVrBvI8IrytgPdxDrlyQDyigz"&amp;"MsohRtDMs/edit?usp=share_link"",""อุทัยธานี!J342"")
"),22)</f>
        <v>22</v>
      </c>
      <c r="K342" s="38"/>
      <c r="L342" s="38"/>
      <c r="M342" s="38"/>
      <c r="N342" s="38"/>
      <c r="O342" s="38"/>
      <c r="P342" s="38"/>
    </row>
    <row r="343" spans="1:26" ht="18.75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KxicF4apzSqm0-jIpmueT4kyZtE-Cwn5zskl7GD4loQ/edit?usp=share_link"",""กำแพงเพชร!J343"")+IMPORTRANGE(""https://docs.google.com/spreadsheets/d/1ZNYWeiFoFA1K1U4xKWqRX29MBvEyRHXORjo734Gnq_c/edit?usp=share_li"&amp;"nk"",""เชียงราย!J343"")
+IMPORTRANGE(""https://docs.google.com/spreadsheets/d/1Jgv0Y7YlHDtsiDawwp-uvifEJ8HVaSn0k2aGHG8-hwM/edit?usp=share_link"",""เชียงใหม่!J343"")+IMPORTRANGE(""https://docs.google.com/spreadsheets/d/1JWG2rZePOz9pe-f-ObA-yDr0VoOX2kSb0qIi"&amp;"x2mTUo8/edit?usp=share_link"",""ตาก!J343"")+IMPORTRANGE(""https://docs.google.com/spreadsheets/d/10nSRjK08hx8Y6HgSOQKNw81lyY46Zc7U_Cj72hBMp9U/edit?usp=share_link"",""นครสวรรค์!J343"")+IMPORTRANGE(""https://docs.google.com/spreadsheets/d/1gFVb7qd7amutrIxAA"&amp;"oM7lcy35hllxznovot8lyOfvDo/edit?usp=share_link"",""น่าน!J343"")+IMPORTRANGE(""https://docs.google.com/spreadsheets/d/1K0Aa9s-6EuHE5M0FG1F9aHLXRCOV917xvycTdLdct0w/edit?usp=share_link"",""พะเยา!J343"")+IMPORTRANGE(""https://docs.google.com/spreadsheets/d/1Y"&amp;"9LPKx95PyL5OKy09d-KbKJSuuEZCFdkhYjwC0XQjBA/edit?usp=share_link"",""พิจิตร!J343"")+IMPORTRANGE(""https://docs.google.com/spreadsheets/d/16OMuOwy2eVqZcYWOouQtTpa8X1L23h4660uVHc0C8os/edit?usp=share_link"",""พิษณุโลก!J343"")+IMPORTRANGE(""https://docs.google."&amp;"com/spreadsheets/d/1GfgTldLG6k77HXaMQzaafODklYuucJZQNs_GAPEfZyY/edit?usp=share_link"",""เพชรบูรณ์!J343"")+IMPORTRANGE(""https://docs.google.com/spreadsheets/d/1gvTMYAnm7v1yG1BKWFtr0DnaTsq59oW9dwWvFgq6hs0/edit?usp=share_link"",""แพร่!J343"")+IMPORTRANGE("""&amp;"https://docs.google.com/spreadsheets/d/1Wbcosgy-Xa1xXUArJSOenub6EfZHUSzc_bpJFWwQUf0/edit?usp=share_link"",""แม่ฮ่องสอน!J343"")+IMPORTRANGE(""https://docs.google.com/spreadsheets/d/1p7ERhsr0qZeSn-KSOdeHS9r0heI-lHtkcn2OH7hP0jQ/edit?usp=share_link"",""ลำปาง!"&amp;"J343"")+IMPORTRANGE(""https://docs.google.com/spreadsheets/d/1-uUXvimVhiU2U0bMN-xi2te0tS4X7DI2GLPnMjzl8cA/edit?usp=share_link"",""ลำพูน!J343"")+IMPORTRANGE(""https://docs.google.com/spreadsheets/d/17HrOaa5pBUI1onckFfumXB8xlg35qb2uBAFfF1D-Myo/edit?usp=shar"&amp;"e_link"",""สุโขทัย!J343"")+IMPORTRANGE(""https://docs.google.com/spreadsheets/d/1ubs5cl16eYL9gHbdHTJtmtYb9MGzHBs7CAphn8kNCgM/edit?usp=share_link"",""อุตรดิตถ์!J343"")+IMPORTRANGE(""https://docs.google.com/spreadsheets/d/1kII0BjS6CtVrBvI8IrytgPdxDrlyQDyigz"&amp;"MsohRtDMs/edit?usp=share_link"",""อุทัยธานี!J343"")
"),727)</f>
        <v>727</v>
      </c>
      <c r="K343" s="38"/>
      <c r="L343" s="38"/>
      <c r="M343" s="38"/>
      <c r="N343" s="38"/>
      <c r="O343" s="38"/>
      <c r="P343" s="38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3">L346+L347</f>
        <v>13325790</v>
      </c>
      <c r="M345" s="155">
        <f t="shared" ca="1" si="183"/>
        <v>10559230</v>
      </c>
      <c r="N345" s="155">
        <f t="shared" ca="1" si="183"/>
        <v>6014290.75</v>
      </c>
      <c r="O345" s="155">
        <f t="shared" ref="O345:O353" ca="1" si="184">IF(L345&gt;0,N345*100/L345,0)</f>
        <v>45.132714458204731</v>
      </c>
      <c r="P345" s="155">
        <f t="shared" ref="P345:P353" ca="1" si="185">IF(M345&gt;0,N345*100/M345,0)</f>
        <v>56.957664053155391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6">L349+L352</f>
        <v>0</v>
      </c>
      <c r="M346" s="45">
        <f t="shared" si="186"/>
        <v>0</v>
      </c>
      <c r="N346" s="45">
        <f t="shared" si="186"/>
        <v>0</v>
      </c>
      <c r="O346" s="45">
        <f t="shared" si="184"/>
        <v>0</v>
      </c>
      <c r="P346" s="45">
        <f t="shared" si="185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7">L350+L353</f>
        <v>13325790</v>
      </c>
      <c r="M347" s="45">
        <f t="shared" ca="1" si="187"/>
        <v>10559230</v>
      </c>
      <c r="N347" s="45">
        <f t="shared" ca="1" si="187"/>
        <v>6014290.75</v>
      </c>
      <c r="O347" s="45">
        <f t="shared" ca="1" si="184"/>
        <v>45.132714458204731</v>
      </c>
      <c r="P347" s="45">
        <f t="shared" ca="1" si="185"/>
        <v>56.957664053155391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8">L349+L350</f>
        <v>11818690</v>
      </c>
      <c r="M348" s="38">
        <f t="shared" ca="1" si="188"/>
        <v>9068150</v>
      </c>
      <c r="N348" s="38">
        <f t="shared" ca="1" si="188"/>
        <v>4523210.75</v>
      </c>
      <c r="O348" s="38">
        <f t="shared" ca="1" si="184"/>
        <v>38.271676048699135</v>
      </c>
      <c r="P348" s="38">
        <f t="shared" ca="1" si="185"/>
        <v>49.880193313961506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4"/>
        <v>0</v>
      </c>
      <c r="P349" s="45">
        <f t="shared" si="185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KxicF4apzSqm0-jIpmueT4kyZtE-Cwn5zskl7GD4loQ/edit?usp=share_link"",""กำแพงเพชร!l350"")+IMPORTRANGE(""https://docs.google.com/spreadsheets/d/1ZNYWeiFoFA1K1U4xKWqRX29MBvEyRHXORjo734Gnq_c/edit?usp=share_li"&amp;"nk"",""เชียงราย!l350"")
+IMPORTRANGE(""https://docs.google.com/spreadsheets/d/1Jgv0Y7YlHDtsiDawwp-uvifEJ8HVaSn0k2aGHG8-hwM/edit?usp=share_link"",""เชียงใหม่!l350"")+IMPORTRANGE(""https://docs.google.com/spreadsheets/d/1JWG2rZePOz9pe-f-ObA-yDr0VoOX2kSb0qIi"&amp;"x2mTUo8/edit?usp=share_link"",""ตาก!l350"")+IMPORTRANGE(""https://docs.google.com/spreadsheets/d/10nSRjK08hx8Y6HgSOQKNw81lyY46Zc7U_Cj72hBMp9U/edit?usp=share_link"",""นครสวรรค์!l350"")+IMPORTRANGE(""https://docs.google.com/spreadsheets/d/1gFVb7qd7amutrIxAA"&amp;"oM7lcy35hllxznovot8lyOfvDo/edit?usp=share_link"",""น่าน!l350"")+IMPORTRANGE(""https://docs.google.com/spreadsheets/d/1K0Aa9s-6EuHE5M0FG1F9aHLXRCOV917xvycTdLdct0w/edit?usp=share_link"",""พะเยา!l350"")+IMPORTRANGE(""https://docs.google.com/spreadsheets/d/1Y"&amp;"9LPKx95PyL5OKy09d-KbKJSuuEZCFdkhYjwC0XQjBA/edit?usp=share_link"",""พิจิตร!l350"")+IMPORTRANGE(""https://docs.google.com/spreadsheets/d/16OMuOwy2eVqZcYWOouQtTpa8X1L23h4660uVHc0C8os/edit?usp=share_link"",""พิษณุโลก!l350"")+IMPORTRANGE(""https://docs.google."&amp;"com/spreadsheets/d/1GfgTldLG6k77HXaMQzaafODklYuucJZQNs_GAPEfZyY/edit?usp=share_link"",""เพชรบูรณ์!l350"")+IMPORTRANGE(""https://docs.google.com/spreadsheets/d/1gvTMYAnm7v1yG1BKWFtr0DnaTsq59oW9dwWvFgq6hs0/edit?usp=share_link"",""แพร่!l350"")+IMPORTRANGE("""&amp;"https://docs.google.com/spreadsheets/d/1Wbcosgy-Xa1xXUArJSOenub6EfZHUSzc_bpJFWwQUf0/edit?usp=share_link"",""แม่ฮ่องสอน!l350"")+IMPORTRANGE(""https://docs.google.com/spreadsheets/d/1p7ERhsr0qZeSn-KSOdeHS9r0heI-lHtkcn2OH7hP0jQ/edit?usp=share_link"",""ลำปาง!"&amp;"l350"")+IMPORTRANGE(""https://docs.google.com/spreadsheets/d/1-uUXvimVhiU2U0bMN-xi2te0tS4X7DI2GLPnMjzl8cA/edit?usp=share_link"",""ลำพูน!l350"")+IMPORTRANGE(""https://docs.google.com/spreadsheets/d/17HrOaa5pBUI1onckFfumXB8xlg35qb2uBAFfF1D-Myo/edit?usp=shar"&amp;"e_link"",""สุโขทัย!l350"")+IMPORTRANGE(""https://docs.google.com/spreadsheets/d/1ubs5cl16eYL9gHbdHTJtmtYb9MGzHBs7CAphn8kNCgM/edit?usp=share_link"",""อุตรดิตถ์!l350"")+IMPORTRANGE(""https://docs.google.com/spreadsheets/d/1kII0BjS6CtVrBvI8IrytgPdxDrlyQDyigz"&amp;"MsohRtDMs/edit?usp=share_link"",""อุทัยธานี!l350"")
"),11818690)</f>
        <v>11818690</v>
      </c>
      <c r="M350" s="45">
        <f ca="1">IFERROR(__xludf.DUMMYFUNCTION("IMPORTRANGE(""https://docs.google.com/spreadsheets/d/1KxicF4apzSqm0-jIpmueT4kyZtE-Cwn5zskl7GD4loQ/edit?usp=share_link"",""กำแพงเพชร!m350"")+IMPORTRANGE(""https://docs.google.com/spreadsheets/d/1ZNYWeiFoFA1K1U4xKWqRX29MBvEyRHXORjo734Gnq_c/edit?usp=share_li"&amp;"nk"",""เชียงราย!m350"")
+IMPORTRANGE(""https://docs.google.com/spreadsheets/d/1Jgv0Y7YlHDtsiDawwp-uvifEJ8HVaSn0k2aGHG8-hwM/edit?usp=share_link"",""เชียงใหม่!m350"")+IMPORTRANGE(""https://docs.google.com/spreadsheets/d/1JWG2rZePOz9pe-f-ObA-yDr0VoOX2kSb0qIi"&amp;"x2mTUo8/edit?usp=share_link"",""ตาก!m350"")+IMPORTRANGE(""https://docs.google.com/spreadsheets/d/10nSRjK08hx8Y6HgSOQKNw81lyY46Zc7U_Cj72hBMp9U/edit?usp=share_link"",""นครสวรรค์!m350"")+IMPORTRANGE(""https://docs.google.com/spreadsheets/d/1gFVb7qd7amutrIxAA"&amp;"oM7lcy35hllxznovot8lyOfvDo/edit?usp=share_link"",""น่าน!m350"")+IMPORTRANGE(""https://docs.google.com/spreadsheets/d/1K0Aa9s-6EuHE5M0FG1F9aHLXRCOV917xvycTdLdct0w/edit?usp=share_link"",""พะเยา!m350"")+IMPORTRANGE(""https://docs.google.com/spreadsheets/d/1Y"&amp;"9LPKx95PyL5OKy09d-KbKJSuuEZCFdkhYjwC0XQjBA/edit?usp=share_link"",""พิจิตร!m350"")+IMPORTRANGE(""https://docs.google.com/spreadsheets/d/16OMuOwy2eVqZcYWOouQtTpa8X1L23h4660uVHc0C8os/edit?usp=share_link"",""พิษณุโลก!m350"")+IMPORTRANGE(""https://docs.google."&amp;"com/spreadsheets/d/1GfgTldLG6k77HXaMQzaafODklYuucJZQNs_GAPEfZyY/edit?usp=share_link"",""เพชรบูรณ์!m350"")+IMPORTRANGE(""https://docs.google.com/spreadsheets/d/1gvTMYAnm7v1yG1BKWFtr0DnaTsq59oW9dwWvFgq6hs0/edit?usp=share_link"",""แพร่!m350"")+IMPORTRANGE("""&amp;"https://docs.google.com/spreadsheets/d/1Wbcosgy-Xa1xXUArJSOenub6EfZHUSzc_bpJFWwQUf0/edit?usp=share_link"",""แม่ฮ่องสอน!m350"")+IMPORTRANGE(""https://docs.google.com/spreadsheets/d/1p7ERhsr0qZeSn-KSOdeHS9r0heI-lHtkcn2OH7hP0jQ/edit?usp=share_link"",""ลำปาง!"&amp;"m350"")+IMPORTRANGE(""https://docs.google.com/spreadsheets/d/1-uUXvimVhiU2U0bMN-xi2te0tS4X7DI2GLPnMjzl8cA/edit?usp=share_link"",""ลำพูน!m350"")+IMPORTRANGE(""https://docs.google.com/spreadsheets/d/17HrOaa5pBUI1onckFfumXB8xlg35qb2uBAFfF1D-Myo/edit?usp=shar"&amp;"e_link"",""สุโขทัย!m350"")+IMPORTRANGE(""https://docs.google.com/spreadsheets/d/1ubs5cl16eYL9gHbdHTJtmtYb9MGzHBs7CAphn8kNCgM/edit?usp=share_link"",""อุตรดิตถ์!m350"")+IMPORTRANGE(""https://docs.google.com/spreadsheets/d/1kII0BjS6CtVrBvI8IrytgPdxDrlyQDyigz"&amp;"MsohRtDMs/edit?usp=share_link"",""อุทัยธานี!m350"")
"),9068150)</f>
        <v>9068150</v>
      </c>
      <c r="N350" s="45">
        <f ca="1">IFERROR(__xludf.DUMMYFUNCTION("IMPORTRANGE(""https://docs.google.com/spreadsheets/d/1KxicF4apzSqm0-jIpmueT4kyZtE-Cwn5zskl7GD4loQ/edit?usp=share_link"",""กำแพงเพชร!n350"")+IMPORTRANGE(""https://docs.google.com/spreadsheets/d/1ZNYWeiFoFA1K1U4xKWqRX29MBvEyRHXORjo734Gnq_c/edit?usp=share_li"&amp;"nk"",""เชียงราย!n350"")
+IMPORTRANGE(""https://docs.google.com/spreadsheets/d/1Jgv0Y7YlHDtsiDawwp-uvifEJ8HVaSn0k2aGHG8-hwM/edit?usp=share_link"",""เชียงใหม่!n350"")+IMPORTRANGE(""https://docs.google.com/spreadsheets/d/1JWG2rZePOz9pe-f-ObA-yDr0VoOX2kSb0qIi"&amp;"x2mTUo8/edit?usp=share_link"",""ตาก!n350"")+IMPORTRANGE(""https://docs.google.com/spreadsheets/d/10nSRjK08hx8Y6HgSOQKNw81lyY46Zc7U_Cj72hBMp9U/edit?usp=share_link"",""นครสวรรค์!n350"")+IMPORTRANGE(""https://docs.google.com/spreadsheets/d/1gFVb7qd7amutrIxAA"&amp;"oM7lcy35hllxznovot8lyOfvDo/edit?usp=share_link"",""น่าน!n350"")+IMPORTRANGE(""https://docs.google.com/spreadsheets/d/1K0Aa9s-6EuHE5M0FG1F9aHLXRCOV917xvycTdLdct0w/edit?usp=share_link"",""พะเยา!n350"")+IMPORTRANGE(""https://docs.google.com/spreadsheets/d/1Y"&amp;"9LPKx95PyL5OKy09d-KbKJSuuEZCFdkhYjwC0XQjBA/edit?usp=share_link"",""พิจิตร!n350"")+IMPORTRANGE(""https://docs.google.com/spreadsheets/d/16OMuOwy2eVqZcYWOouQtTpa8X1L23h4660uVHc0C8os/edit?usp=share_link"",""พิษณุโลก!n350"")+IMPORTRANGE(""https://docs.google."&amp;"com/spreadsheets/d/1GfgTldLG6k77HXaMQzaafODklYuucJZQNs_GAPEfZyY/edit?usp=share_link"",""เพชรบูรณ์!n350"")+IMPORTRANGE(""https://docs.google.com/spreadsheets/d/1gvTMYAnm7v1yG1BKWFtr0DnaTsq59oW9dwWvFgq6hs0/edit?usp=share_link"",""แพร่!n350"")+IMPORTRANGE("""&amp;"https://docs.google.com/spreadsheets/d/1Wbcosgy-Xa1xXUArJSOenub6EfZHUSzc_bpJFWwQUf0/edit?usp=share_link"",""แม่ฮ่องสอน!n350"")+IMPORTRANGE(""https://docs.google.com/spreadsheets/d/1p7ERhsr0qZeSn-KSOdeHS9r0heI-lHtkcn2OH7hP0jQ/edit?usp=share_link"",""ลำปาง!"&amp;"n350"")+IMPORTRANGE(""https://docs.google.com/spreadsheets/d/1-uUXvimVhiU2U0bMN-xi2te0tS4X7DI2GLPnMjzl8cA/edit?usp=share_link"",""ลำพูน!n350"")+IMPORTRANGE(""https://docs.google.com/spreadsheets/d/17HrOaa5pBUI1onckFfumXB8xlg35qb2uBAFfF1D-Myo/edit?usp=shar"&amp;"e_link"",""สุโขทัย!n350"")+IMPORTRANGE(""https://docs.google.com/spreadsheets/d/1ubs5cl16eYL9gHbdHTJtmtYb9MGzHBs7CAphn8kNCgM/edit?usp=share_link"",""อุตรดิตถ์!n350"")+IMPORTRANGE(""https://docs.google.com/spreadsheets/d/1kII0BjS6CtVrBvI8IrytgPdxDrlyQDyigz"&amp;"MsohRtDMs/edit?usp=share_link"",""อุทัยธานี!n350"")
"),4523210.75)</f>
        <v>4523210.75</v>
      </c>
      <c r="O350" s="45">
        <f t="shared" ca="1" si="184"/>
        <v>38.271676048699135</v>
      </c>
      <c r="P350" s="45">
        <f t="shared" ca="1" si="185"/>
        <v>49.880193313961506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9">L352+L353</f>
        <v>1507100</v>
      </c>
      <c r="M351" s="38">
        <f t="shared" ca="1" si="189"/>
        <v>1491080</v>
      </c>
      <c r="N351" s="38">
        <f t="shared" ca="1" si="189"/>
        <v>1491080</v>
      </c>
      <c r="O351" s="38">
        <f t="shared" ca="1" si="184"/>
        <v>98.93703138477872</v>
      </c>
      <c r="P351" s="38">
        <f t="shared" ca="1" si="185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4"/>
        <v>0</v>
      </c>
      <c r="P352" s="45">
        <f t="shared" si="185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KxicF4apzSqm0-jIpmueT4kyZtE-Cwn5zskl7GD4loQ/edit?usp=share_link"",""กำแพงเพชร!l353"")+IMPORTRANGE(""https://docs.google.com/spreadsheets/d/1ZNYWeiFoFA1K1U4xKWqRX29MBvEyRHXORjo734Gnq_c/edit?usp=share_li"&amp;"nk"",""เชียงราย!l353"")
+IMPORTRANGE(""https://docs.google.com/spreadsheets/d/1Jgv0Y7YlHDtsiDawwp-uvifEJ8HVaSn0k2aGHG8-hwM/edit?usp=share_link"",""เชียงใหม่!l353"")+IMPORTRANGE(""https://docs.google.com/spreadsheets/d/1JWG2rZePOz9pe-f-ObA-yDr0VoOX2kSb0qIi"&amp;"x2mTUo8/edit?usp=share_link"",""ตาก!l353"")+IMPORTRANGE(""https://docs.google.com/spreadsheets/d/10nSRjK08hx8Y6HgSOQKNw81lyY46Zc7U_Cj72hBMp9U/edit?usp=share_link"",""นครสวรรค์!l353"")+IMPORTRANGE(""https://docs.google.com/spreadsheets/d/1gFVb7qd7amutrIxAA"&amp;"oM7lcy35hllxznovot8lyOfvDo/edit?usp=share_link"",""น่าน!l353"")+IMPORTRANGE(""https://docs.google.com/spreadsheets/d/1K0Aa9s-6EuHE5M0FG1F9aHLXRCOV917xvycTdLdct0w/edit?usp=share_link"",""พะเยา!l353"")+IMPORTRANGE(""https://docs.google.com/spreadsheets/d/1Y"&amp;"9LPKx95PyL5OKy09d-KbKJSuuEZCFdkhYjwC0XQjBA/edit?usp=share_link"",""พิจิตร!l353"")+IMPORTRANGE(""https://docs.google.com/spreadsheets/d/16OMuOwy2eVqZcYWOouQtTpa8X1L23h4660uVHc0C8os/edit?usp=share_link"",""พิษณุโลก!l353"")+IMPORTRANGE(""https://docs.google."&amp;"com/spreadsheets/d/1GfgTldLG6k77HXaMQzaafODklYuucJZQNs_GAPEfZyY/edit?usp=share_link"",""เพชรบูรณ์!l353"")+IMPORTRANGE(""https://docs.google.com/spreadsheets/d/1gvTMYAnm7v1yG1BKWFtr0DnaTsq59oW9dwWvFgq6hs0/edit?usp=share_link"",""แพร่!l353"")+IMPORTRANGE("""&amp;"https://docs.google.com/spreadsheets/d/1Wbcosgy-Xa1xXUArJSOenub6EfZHUSzc_bpJFWwQUf0/edit?usp=share_link"",""แม่ฮ่องสอน!l353"")+IMPORTRANGE(""https://docs.google.com/spreadsheets/d/1p7ERhsr0qZeSn-KSOdeHS9r0heI-lHtkcn2OH7hP0jQ/edit?usp=share_link"",""ลำปาง!"&amp;"l353"")+IMPORTRANGE(""https://docs.google.com/spreadsheets/d/1-uUXvimVhiU2U0bMN-xi2te0tS4X7DI2GLPnMjzl8cA/edit?usp=share_link"",""ลำพูน!l353"")+IMPORTRANGE(""https://docs.google.com/spreadsheets/d/17HrOaa5pBUI1onckFfumXB8xlg35qb2uBAFfF1D-Myo/edit?usp=shar"&amp;"e_link"",""สุโขทัย!l353"")+IMPORTRANGE(""https://docs.google.com/spreadsheets/d/1ubs5cl16eYL9gHbdHTJtmtYb9MGzHBs7CAphn8kNCgM/edit?usp=share_link"",""อุตรดิตถ์!l353"")+IMPORTRANGE(""https://docs.google.com/spreadsheets/d/1kII0BjS6CtVrBvI8IrytgPdxDrlyQDyigz"&amp;"MsohRtDMs/edit?usp=share_link"",""อุทัยธานี!l353"")
"),1507100)</f>
        <v>1507100</v>
      </c>
      <c r="M353" s="45">
        <f ca="1">IFERROR(__xludf.DUMMYFUNCTION("IMPORTRANGE(""https://docs.google.com/spreadsheets/d/1KxicF4apzSqm0-jIpmueT4kyZtE-Cwn5zskl7GD4loQ/edit?usp=share_link"",""กำแพงเพชร!m353"")+IMPORTRANGE(""https://docs.google.com/spreadsheets/d/1ZNYWeiFoFA1K1U4xKWqRX29MBvEyRHXORjo734Gnq_c/edit?usp=share_li"&amp;"nk"",""เชียงราย!m353"")
+IMPORTRANGE(""https://docs.google.com/spreadsheets/d/1Jgv0Y7YlHDtsiDawwp-uvifEJ8HVaSn0k2aGHG8-hwM/edit?usp=share_link"",""เชียงใหม่!m353"")+IMPORTRANGE(""https://docs.google.com/spreadsheets/d/1JWG2rZePOz9pe-f-ObA-yDr0VoOX2kSb0qIi"&amp;"x2mTUo8/edit?usp=share_link"",""ตาก!m353"")+IMPORTRANGE(""https://docs.google.com/spreadsheets/d/10nSRjK08hx8Y6HgSOQKNw81lyY46Zc7U_Cj72hBMp9U/edit?usp=share_link"",""นครสวรรค์!m353"")+IMPORTRANGE(""https://docs.google.com/spreadsheets/d/1gFVb7qd7amutrIxAA"&amp;"oM7lcy35hllxznovot8lyOfvDo/edit?usp=share_link"",""น่าน!m353"")+IMPORTRANGE(""https://docs.google.com/spreadsheets/d/1K0Aa9s-6EuHE5M0FG1F9aHLXRCOV917xvycTdLdct0w/edit?usp=share_link"",""พะเยา!m353"")+IMPORTRANGE(""https://docs.google.com/spreadsheets/d/1Y"&amp;"9LPKx95PyL5OKy09d-KbKJSuuEZCFdkhYjwC0XQjBA/edit?usp=share_link"",""พิจิตร!m353"")+IMPORTRANGE(""https://docs.google.com/spreadsheets/d/16OMuOwy2eVqZcYWOouQtTpa8X1L23h4660uVHc0C8os/edit?usp=share_link"",""พิษณุโลก!m353"")+IMPORTRANGE(""https://docs.google."&amp;"com/spreadsheets/d/1GfgTldLG6k77HXaMQzaafODklYuucJZQNs_GAPEfZyY/edit?usp=share_link"",""เพชรบูรณ์!m353"")+IMPORTRANGE(""https://docs.google.com/spreadsheets/d/1gvTMYAnm7v1yG1BKWFtr0DnaTsq59oW9dwWvFgq6hs0/edit?usp=share_link"",""แพร่!m353"")+IMPORTRANGE("""&amp;"https://docs.google.com/spreadsheets/d/1Wbcosgy-Xa1xXUArJSOenub6EfZHUSzc_bpJFWwQUf0/edit?usp=share_link"",""แม่ฮ่องสอน!m353"")+IMPORTRANGE(""https://docs.google.com/spreadsheets/d/1p7ERhsr0qZeSn-KSOdeHS9r0heI-lHtkcn2OH7hP0jQ/edit?usp=share_link"",""ลำปาง!"&amp;"m353"")+IMPORTRANGE(""https://docs.google.com/spreadsheets/d/1-uUXvimVhiU2U0bMN-xi2te0tS4X7DI2GLPnMjzl8cA/edit?usp=share_link"",""ลำพูน!m353"")+IMPORTRANGE(""https://docs.google.com/spreadsheets/d/17HrOaa5pBUI1onckFfumXB8xlg35qb2uBAFfF1D-Myo/edit?usp=shar"&amp;"e_link"",""สุโขทัย!m353"")+IMPORTRANGE(""https://docs.google.com/spreadsheets/d/1ubs5cl16eYL9gHbdHTJtmtYb9MGzHBs7CAphn8kNCgM/edit?usp=share_link"",""อุตรดิตถ์!m353"")+IMPORTRANGE(""https://docs.google.com/spreadsheets/d/1kII0BjS6CtVrBvI8IrytgPdxDrlyQDyigz"&amp;"MsohRtDMs/edit?usp=share_link"",""อุทัยธานี!m353"")
"),1491080)</f>
        <v>1491080</v>
      </c>
      <c r="N353" s="45">
        <f ca="1">IFERROR(__xludf.DUMMYFUNCTION("IMPORTRANGE(""https://docs.google.com/spreadsheets/d/1KxicF4apzSqm0-jIpmueT4kyZtE-Cwn5zskl7GD4loQ/edit?usp=share_link"",""กำแพงเพชร!n353"")+IMPORTRANGE(""https://docs.google.com/spreadsheets/d/1ZNYWeiFoFA1K1U4xKWqRX29MBvEyRHXORjo734Gnq_c/edit?usp=share_li"&amp;"nk"",""เชียงราย!n353"")
+IMPORTRANGE(""https://docs.google.com/spreadsheets/d/1Jgv0Y7YlHDtsiDawwp-uvifEJ8HVaSn0k2aGHG8-hwM/edit?usp=share_link"",""เชียงใหม่!n353"")+IMPORTRANGE(""https://docs.google.com/spreadsheets/d/1JWG2rZePOz9pe-f-ObA-yDr0VoOX2kSb0qIi"&amp;"x2mTUo8/edit?usp=share_link"",""ตาก!n353"")+IMPORTRANGE(""https://docs.google.com/spreadsheets/d/10nSRjK08hx8Y6HgSOQKNw81lyY46Zc7U_Cj72hBMp9U/edit?usp=share_link"",""นครสวรรค์!n353"")+IMPORTRANGE(""https://docs.google.com/spreadsheets/d/1gFVb7qd7amutrIxAA"&amp;"oM7lcy35hllxznovot8lyOfvDo/edit?usp=share_link"",""น่าน!n353"")+IMPORTRANGE(""https://docs.google.com/spreadsheets/d/1K0Aa9s-6EuHE5M0FG1F9aHLXRCOV917xvycTdLdct0w/edit?usp=share_link"",""พะเยา!n353"")+IMPORTRANGE(""https://docs.google.com/spreadsheets/d/1Y"&amp;"9LPKx95PyL5OKy09d-KbKJSuuEZCFdkhYjwC0XQjBA/edit?usp=share_link"",""พิจิตร!n353"")+IMPORTRANGE(""https://docs.google.com/spreadsheets/d/16OMuOwy2eVqZcYWOouQtTpa8X1L23h4660uVHc0C8os/edit?usp=share_link"",""พิษณุโลก!n353"")+IMPORTRANGE(""https://docs.google."&amp;"com/spreadsheets/d/1GfgTldLG6k77HXaMQzaafODklYuucJZQNs_GAPEfZyY/edit?usp=share_link"",""เพชรบูรณ์!n353"")+IMPORTRANGE(""https://docs.google.com/spreadsheets/d/1gvTMYAnm7v1yG1BKWFtr0DnaTsq59oW9dwWvFgq6hs0/edit?usp=share_link"",""แพร่!n353"")+IMPORTRANGE("""&amp;"https://docs.google.com/spreadsheets/d/1Wbcosgy-Xa1xXUArJSOenub6EfZHUSzc_bpJFWwQUf0/edit?usp=share_link"",""แม่ฮ่องสอน!n353"")+IMPORTRANGE(""https://docs.google.com/spreadsheets/d/1p7ERhsr0qZeSn-KSOdeHS9r0heI-lHtkcn2OH7hP0jQ/edit?usp=share_link"",""ลำปาง!"&amp;"n353"")+IMPORTRANGE(""https://docs.google.com/spreadsheets/d/1-uUXvimVhiU2U0bMN-xi2te0tS4X7DI2GLPnMjzl8cA/edit?usp=share_link"",""ลำพูน!n353"")+IMPORTRANGE(""https://docs.google.com/spreadsheets/d/17HrOaa5pBUI1onckFfumXB8xlg35qb2uBAFfF1D-Myo/edit?usp=shar"&amp;"e_link"",""สุโขทัย!n353"")+IMPORTRANGE(""https://docs.google.com/spreadsheets/d/1ubs5cl16eYL9gHbdHTJtmtYb9MGzHBs7CAphn8kNCgM/edit?usp=share_link"",""อุตรดิตถ์!n353"")+IMPORTRANGE(""https://docs.google.com/spreadsheets/d/1kII0BjS6CtVrBvI8IrytgPdxDrlyQDyigz"&amp;"MsohRtDMs/edit?usp=share_link"",""อุทัยธานี!n353"")
"),1491080)</f>
        <v>1491080</v>
      </c>
      <c r="O353" s="45">
        <f t="shared" ca="1" si="184"/>
        <v>98.93703138477872</v>
      </c>
      <c r="P353" s="45">
        <f t="shared" ca="1" si="185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423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428" t="s">
        <v>159</v>
      </c>
      <c r="E355" s="429"/>
      <c r="F355" s="429"/>
      <c r="G355" s="430"/>
      <c r="H355" s="431" t="s">
        <v>35</v>
      </c>
      <c r="I355" s="432">
        <f ca="1">IFERROR(__xludf.DUMMYFUNCTION("IMPORTRANGE(""https://docs.google.com/spreadsheets/d/1KxicF4apzSqm0-jIpmueT4kyZtE-Cwn5zskl7GD4loQ/edit?usp=share_link"",""กำแพงเพชร!I355"")+IMPORTRANGE(""https://docs.google.com/spreadsheets/d/1ZNYWeiFoFA1K1U4xKWqRX29MBvEyRHXORjo734Gnq_c/edit?usp=share_li"&amp;"nk"",""เชียงราย!I355"")
+IMPORTRANGE(""https://docs.google.com/spreadsheets/d/1Jgv0Y7YlHDtsiDawwp-uvifEJ8HVaSn0k2aGHG8-hwM/edit?usp=share_link"",""เชียงใหม่!I355"")+IMPORTRANGE(""https://docs.google.com/spreadsheets/d/1JWG2rZePOz9pe-f-ObA-yDr0VoOX2kSb0qIi"&amp;"x2mTUo8/edit?usp=share_link"",""ตาก!I355"")+IMPORTRANGE(""https://docs.google.com/spreadsheets/d/10nSRjK08hx8Y6HgSOQKNw81lyY46Zc7U_Cj72hBMp9U/edit?usp=share_link"",""นครสวรรค์!I355"")+IMPORTRANGE(""https://docs.google.com/spreadsheets/d/1gFVb7qd7amutrIxAA"&amp;"oM7lcy35hllxznovot8lyOfvDo/edit?usp=share_link"",""น่าน!I355"")+IMPORTRANGE(""https://docs.google.com/spreadsheets/d/1K0Aa9s-6EuHE5M0FG1F9aHLXRCOV917xvycTdLdct0w/edit?usp=share_link"",""พะเยา!I355"")+IMPORTRANGE(""https://docs.google.com/spreadsheets/d/1Y"&amp;"9LPKx95PyL5OKy09d-KbKJSuuEZCFdkhYjwC0XQjBA/edit?usp=share_link"",""พิจิตร!I355"")+IMPORTRANGE(""https://docs.google.com/spreadsheets/d/16OMuOwy2eVqZcYWOouQtTpa8X1L23h4660uVHc0C8os/edit?usp=share_link"",""พิษณุโลก!I355"")+IMPORTRANGE(""https://docs.google."&amp;"com/spreadsheets/d/1GfgTldLG6k77HXaMQzaafODklYuucJZQNs_GAPEfZyY/edit?usp=share_link"",""เพชรบูรณ์!I355"")+IMPORTRANGE(""https://docs.google.com/spreadsheets/d/1gvTMYAnm7v1yG1BKWFtr0DnaTsq59oW9dwWvFgq6hs0/edit?usp=share_link"",""แพร่!I355"")+IMPORTRANGE("""&amp;"https://docs.google.com/spreadsheets/d/1Wbcosgy-Xa1xXUArJSOenub6EfZHUSzc_bpJFWwQUf0/edit?usp=share_link"",""แม่ฮ่องสอน!I355"")+IMPORTRANGE(""https://docs.google.com/spreadsheets/d/1p7ERhsr0qZeSn-KSOdeHS9r0heI-lHtkcn2OH7hP0jQ/edit?usp=share_link"",""ลำปาง!"&amp;"I355"")+IMPORTRANGE(""https://docs.google.com/spreadsheets/d/1-uUXvimVhiU2U0bMN-xi2te0tS4X7DI2GLPnMjzl8cA/edit?usp=share_link"",""ลำพูน!I355"")+IMPORTRANGE(""https://docs.google.com/spreadsheets/d/17HrOaa5pBUI1onckFfumXB8xlg35qb2uBAFfF1D-Myo/edit?usp=shar"&amp;"e_link"",""สุโขทัย!I355"")+IMPORTRANGE(""https://docs.google.com/spreadsheets/d/1ubs5cl16eYL9gHbdHTJtmtYb9MGzHBs7CAphn8kNCgM/edit?usp=share_link"",""อุตรดิตถ์!I355"")+IMPORTRANGE(""https://docs.google.com/spreadsheets/d/1kII0BjS6CtVrBvI8IrytgPdxDrlyQDyigz"&amp;"MsohRtDMs/edit?usp=share_link"",""อุทัยธานี!I355"")
"),4028)</f>
        <v>4028</v>
      </c>
      <c r="J355" s="433">
        <f ca="1">J362</f>
        <v>622</v>
      </c>
      <c r="K355" s="434">
        <f ca="1">IF(I355&gt;0,J355*100/I355,0)</f>
        <v>15.441906653426019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KxicF4apzSqm0-jIpmueT4kyZtE-Cwn5zskl7GD4loQ/edit?usp=share_link"",""กำแพงเพชร!J358"")+IMPORTRANGE(""https://docs.google.com/spreadsheets/d/1ZNYWeiFoFA1K1U4xKWqRX29MBvEyRHXORjo734Gnq_c/edit?usp=share_li"&amp;"nk"",""เชียงราย!J358"")
+IMPORTRANGE(""https://docs.google.com/spreadsheets/d/1Jgv0Y7YlHDtsiDawwp-uvifEJ8HVaSn0k2aGHG8-hwM/edit?usp=share_link"",""เชียงใหม่!J358"")+IMPORTRANGE(""https://docs.google.com/spreadsheets/d/1JWG2rZePOz9pe-f-ObA-yDr0VoOX2kSb0qIi"&amp;"x2mTUo8/edit?usp=share_link"",""ตาก!J358"")+IMPORTRANGE(""https://docs.google.com/spreadsheets/d/10nSRjK08hx8Y6HgSOQKNw81lyY46Zc7U_Cj72hBMp9U/edit?usp=share_link"",""นครสวรรค์!J358"")+IMPORTRANGE(""https://docs.google.com/spreadsheets/d/1gFVb7qd7amutrIxAA"&amp;"oM7lcy35hllxznovot8lyOfvDo/edit?usp=share_link"",""น่าน!J358"")+IMPORTRANGE(""https://docs.google.com/spreadsheets/d/1K0Aa9s-6EuHE5M0FG1F9aHLXRCOV917xvycTdLdct0w/edit?usp=share_link"",""พะเยา!J358"")+IMPORTRANGE(""https://docs.google.com/spreadsheets/d/1Y"&amp;"9LPKx95PyL5OKy09d-KbKJSuuEZCFdkhYjwC0XQjBA/edit?usp=share_link"",""พิจิตร!J358"")+IMPORTRANGE(""https://docs.google.com/spreadsheets/d/16OMuOwy2eVqZcYWOouQtTpa8X1L23h4660uVHc0C8os/edit?usp=share_link"",""พิษณุโลก!J358"")+IMPORTRANGE(""https://docs.google."&amp;"com/spreadsheets/d/1GfgTldLG6k77HXaMQzaafODklYuucJZQNs_GAPEfZyY/edit?usp=share_link"",""เพชรบูรณ์!J358"")+IMPORTRANGE(""https://docs.google.com/spreadsheets/d/1gvTMYAnm7v1yG1BKWFtr0DnaTsq59oW9dwWvFgq6hs0/edit?usp=share_link"",""แพร่!J358"")+IMPORTRANGE("""&amp;"https://docs.google.com/spreadsheets/d/1Wbcosgy-Xa1xXUArJSOenub6EfZHUSzc_bpJFWwQUf0/edit?usp=share_link"",""แม่ฮ่องสอน!J358"")+IMPORTRANGE(""https://docs.google.com/spreadsheets/d/1p7ERhsr0qZeSn-KSOdeHS9r0heI-lHtkcn2OH7hP0jQ/edit?usp=share_link"",""ลำปาง!"&amp;"J358"")+IMPORTRANGE(""https://docs.google.com/spreadsheets/d/1-uUXvimVhiU2U0bMN-xi2te0tS4X7DI2GLPnMjzl8cA/edit?usp=share_link"",""ลำพูน!J358"")+IMPORTRANGE(""https://docs.google.com/spreadsheets/d/17HrOaa5pBUI1onckFfumXB8xlg35qb2uBAFfF1D-Myo/edit?usp=shar"&amp;"e_link"",""สุโขทัย!J358"")+IMPORTRANGE(""https://docs.google.com/spreadsheets/d/1ubs5cl16eYL9gHbdHTJtmtYb9MGzHBs7CAphn8kNCgM/edit?usp=share_link"",""อุตรดิตถ์!J358"")+IMPORTRANGE(""https://docs.google.com/spreadsheets/d/1kII0BjS6CtVrBvI8IrytgPdxDrlyQDyigz"&amp;"MsohRtDMs/edit?usp=share_link"",""อุทัยธานี!J358"")
"),1653)</f>
        <v>1653</v>
      </c>
      <c r="K358" s="38">
        <f t="shared" ref="K358:K365" si="19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KxicF4apzSqm0-jIpmueT4kyZtE-Cwn5zskl7GD4loQ/edit?usp=share_link"",""กำแพงเพชร!I359"")+IMPORTRANGE(""https://docs.google.com/spreadsheets/d/1ZNYWeiFoFA1K1U4xKWqRX29MBvEyRHXORjo734Gnq_c/edit?usp=share_li"&amp;"nk"",""เชียงราย!I359"")
+IMPORTRANGE(""https://docs.google.com/spreadsheets/d/1Jgv0Y7YlHDtsiDawwp-uvifEJ8HVaSn0k2aGHG8-hwM/edit?usp=share_link"",""เชียงใหม่!I359"")+IMPORTRANGE(""https://docs.google.com/spreadsheets/d/1JWG2rZePOz9pe-f-ObA-yDr0VoOX2kSb0qIi"&amp;"x2mTUo8/edit?usp=share_link"",""ตาก!I359"")+IMPORTRANGE(""https://docs.google.com/spreadsheets/d/10nSRjK08hx8Y6HgSOQKNw81lyY46Zc7U_Cj72hBMp9U/edit?usp=share_link"",""นครสวรรค์!I359"")+IMPORTRANGE(""https://docs.google.com/spreadsheets/d/1gFVb7qd7amutrIxAA"&amp;"oM7lcy35hllxznovot8lyOfvDo/edit?usp=share_link"",""น่าน!I359"")+IMPORTRANGE(""https://docs.google.com/spreadsheets/d/1K0Aa9s-6EuHE5M0FG1F9aHLXRCOV917xvycTdLdct0w/edit?usp=share_link"",""พะเยา!I359"")+IMPORTRANGE(""https://docs.google.com/spreadsheets/d/1Y"&amp;"9LPKx95PyL5OKy09d-KbKJSuuEZCFdkhYjwC0XQjBA/edit?usp=share_link"",""พิจิตร!I359"")+IMPORTRANGE(""https://docs.google.com/spreadsheets/d/16OMuOwy2eVqZcYWOouQtTpa8X1L23h4660uVHc0C8os/edit?usp=share_link"",""พิษณุโลก!I359"")+IMPORTRANGE(""https://docs.google."&amp;"com/spreadsheets/d/1GfgTldLG6k77HXaMQzaafODklYuucJZQNs_GAPEfZyY/edit?usp=share_link"",""เพชรบูรณ์!I359"")+IMPORTRANGE(""https://docs.google.com/spreadsheets/d/1gvTMYAnm7v1yG1BKWFtr0DnaTsq59oW9dwWvFgq6hs0/edit?usp=share_link"",""แพร่!I359"")+IMPORTRANGE("""&amp;"https://docs.google.com/spreadsheets/d/1Wbcosgy-Xa1xXUArJSOenub6EfZHUSzc_bpJFWwQUf0/edit?usp=share_link"",""แม่ฮ่องสอน!I359"")+IMPORTRANGE(""https://docs.google.com/spreadsheets/d/1p7ERhsr0qZeSn-KSOdeHS9r0heI-lHtkcn2OH7hP0jQ/edit?usp=share_link"",""ลำปาง!"&amp;"I359"")+IMPORTRANGE(""https://docs.google.com/spreadsheets/d/1-uUXvimVhiU2U0bMN-xi2te0tS4X7DI2GLPnMjzl8cA/edit?usp=share_link"",""ลำพูน!I359"")+IMPORTRANGE(""https://docs.google.com/spreadsheets/d/17HrOaa5pBUI1onckFfumXB8xlg35qb2uBAFfF1D-Myo/edit?usp=shar"&amp;"e_link"",""สุโขทัย!I359"")+IMPORTRANGE(""https://docs.google.com/spreadsheets/d/1ubs5cl16eYL9gHbdHTJtmtYb9MGzHBs7CAphn8kNCgM/edit?usp=share_link"",""อุตรดิตถ์!I359"")+IMPORTRANGE(""https://docs.google.com/spreadsheets/d/1kII0BjS6CtVrBvI8IrytgPdxDrlyQDyigz"&amp;"MsohRtDMs/edit?usp=share_link"",""อุทัยธานี!I359"")
"),35800)</f>
        <v>35800</v>
      </c>
      <c r="J359" s="270">
        <f ca="1">IFERROR(__xludf.DUMMYFUNCTION("IMPORTRANGE(""https://docs.google.com/spreadsheets/d/1KxicF4apzSqm0-jIpmueT4kyZtE-Cwn5zskl7GD4loQ/edit?usp=share_link"",""กำแพงเพชร!J359"")+IMPORTRANGE(""https://docs.google.com/spreadsheets/d/1ZNYWeiFoFA1K1U4xKWqRX29MBvEyRHXORjo734Gnq_c/edit?usp=share_li"&amp;"nk"",""เชียงราย!J359"")
+IMPORTRANGE(""https://docs.google.com/spreadsheets/d/1Jgv0Y7YlHDtsiDawwp-uvifEJ8HVaSn0k2aGHG8-hwM/edit?usp=share_link"",""เชียงใหม่!J359"")+IMPORTRANGE(""https://docs.google.com/spreadsheets/d/1JWG2rZePOz9pe-f-ObA-yDr0VoOX2kSb0qIi"&amp;"x2mTUo8/edit?usp=share_link"",""ตาก!J359"")+IMPORTRANGE(""https://docs.google.com/spreadsheets/d/10nSRjK08hx8Y6HgSOQKNw81lyY46Zc7U_Cj72hBMp9U/edit?usp=share_link"",""นครสวรรค์!J359"")+IMPORTRANGE(""https://docs.google.com/spreadsheets/d/1gFVb7qd7amutrIxAA"&amp;"oM7lcy35hllxznovot8lyOfvDo/edit?usp=share_link"",""น่าน!J359"")+IMPORTRANGE(""https://docs.google.com/spreadsheets/d/1K0Aa9s-6EuHE5M0FG1F9aHLXRCOV917xvycTdLdct0w/edit?usp=share_link"",""พะเยา!J359"")+IMPORTRANGE(""https://docs.google.com/spreadsheets/d/1Y"&amp;"9LPKx95PyL5OKy09d-KbKJSuuEZCFdkhYjwC0XQjBA/edit?usp=share_link"",""พิจิตร!J359"")+IMPORTRANGE(""https://docs.google.com/spreadsheets/d/16OMuOwy2eVqZcYWOouQtTpa8X1L23h4660uVHc0C8os/edit?usp=share_link"",""พิษณุโลก!J359"")+IMPORTRANGE(""https://docs.google."&amp;"com/spreadsheets/d/1GfgTldLG6k77HXaMQzaafODklYuucJZQNs_GAPEfZyY/edit?usp=share_link"",""เพชรบูรณ์!J359"")+IMPORTRANGE(""https://docs.google.com/spreadsheets/d/1gvTMYAnm7v1yG1BKWFtr0DnaTsq59oW9dwWvFgq6hs0/edit?usp=share_link"",""แพร่!J359"")+IMPORTRANGE("""&amp;"https://docs.google.com/spreadsheets/d/1Wbcosgy-Xa1xXUArJSOenub6EfZHUSzc_bpJFWwQUf0/edit?usp=share_link"",""แม่ฮ่องสอน!J359"")+IMPORTRANGE(""https://docs.google.com/spreadsheets/d/1p7ERhsr0qZeSn-KSOdeHS9r0heI-lHtkcn2OH7hP0jQ/edit?usp=share_link"",""ลำปาง!"&amp;"J359"")+IMPORTRANGE(""https://docs.google.com/spreadsheets/d/1-uUXvimVhiU2U0bMN-xi2te0tS4X7DI2GLPnMjzl8cA/edit?usp=share_link"",""ลำพูน!J359"")+IMPORTRANGE(""https://docs.google.com/spreadsheets/d/17HrOaa5pBUI1onckFfumXB8xlg35qb2uBAFfF1D-Myo/edit?usp=shar"&amp;"e_link"",""สุโขทัย!J359"")+IMPORTRANGE(""https://docs.google.com/spreadsheets/d/1ubs5cl16eYL9gHbdHTJtmtYb9MGzHBs7CAphn8kNCgM/edit?usp=share_link"",""อุตรดิตถ์!J359"")+IMPORTRANGE(""https://docs.google.com/spreadsheets/d/1kII0BjS6CtVrBvI8IrytgPdxDrlyQDyigz"&amp;"MsohRtDMs/edit?usp=share_link"",""อุทัยธานี!J359"")
"),11738.2)</f>
        <v>11738.2</v>
      </c>
      <c r="K359" s="38">
        <f t="shared" ca="1" si="190"/>
        <v>32.788268156424579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KxicF4apzSqm0-jIpmueT4kyZtE-Cwn5zskl7GD4loQ/edit?usp=share_link"",""กำแพงเพชร!I360"")+IMPORTRANGE(""https://docs.google.com/spreadsheets/d/1ZNYWeiFoFA1K1U4xKWqRX29MBvEyRHXORjo734Gnq_c/edit?usp=share_li"&amp;"nk"",""เชียงราย!I360"")
+IMPORTRANGE(""https://docs.google.com/spreadsheets/d/1Jgv0Y7YlHDtsiDawwp-uvifEJ8HVaSn0k2aGHG8-hwM/edit?usp=share_link"",""เชียงใหม่!I360"")+IMPORTRANGE(""https://docs.google.com/spreadsheets/d/1JWG2rZePOz9pe-f-ObA-yDr0VoOX2kSb0qIi"&amp;"x2mTUo8/edit?usp=share_link"",""ตาก!I360"")+IMPORTRANGE(""https://docs.google.com/spreadsheets/d/10nSRjK08hx8Y6HgSOQKNw81lyY46Zc7U_Cj72hBMp9U/edit?usp=share_link"",""นครสวรรค์!I360"")+IMPORTRANGE(""https://docs.google.com/spreadsheets/d/1gFVb7qd7amutrIxAA"&amp;"oM7lcy35hllxznovot8lyOfvDo/edit?usp=share_link"",""น่าน!I360"")+IMPORTRANGE(""https://docs.google.com/spreadsheets/d/1K0Aa9s-6EuHE5M0FG1F9aHLXRCOV917xvycTdLdct0w/edit?usp=share_link"",""พะเยา!I360"")+IMPORTRANGE(""https://docs.google.com/spreadsheets/d/1Y"&amp;"9LPKx95PyL5OKy09d-KbKJSuuEZCFdkhYjwC0XQjBA/edit?usp=share_link"",""พิจิตร!I360"")+IMPORTRANGE(""https://docs.google.com/spreadsheets/d/16OMuOwy2eVqZcYWOouQtTpa8X1L23h4660uVHc0C8os/edit?usp=share_link"",""พิษณุโลก!I360"")+IMPORTRANGE(""https://docs.google."&amp;"com/spreadsheets/d/1GfgTldLG6k77HXaMQzaafODklYuucJZQNs_GAPEfZyY/edit?usp=share_link"",""เพชรบูรณ์!I360"")+IMPORTRANGE(""https://docs.google.com/spreadsheets/d/1gvTMYAnm7v1yG1BKWFtr0DnaTsq59oW9dwWvFgq6hs0/edit?usp=share_link"",""แพร่!I360"")+IMPORTRANGE("""&amp;"https://docs.google.com/spreadsheets/d/1Wbcosgy-Xa1xXUArJSOenub6EfZHUSzc_bpJFWwQUf0/edit?usp=share_link"",""แม่ฮ่องสอน!I360"")+IMPORTRANGE(""https://docs.google.com/spreadsheets/d/1p7ERhsr0qZeSn-KSOdeHS9r0heI-lHtkcn2OH7hP0jQ/edit?usp=share_link"",""ลำปาง!"&amp;"I360"")+IMPORTRANGE(""https://docs.google.com/spreadsheets/d/1-uUXvimVhiU2U0bMN-xi2te0tS4X7DI2GLPnMjzl8cA/edit?usp=share_link"",""ลำพูน!I360"")+IMPORTRANGE(""https://docs.google.com/spreadsheets/d/17HrOaa5pBUI1onckFfumXB8xlg35qb2uBAFfF1D-Myo/edit?usp=shar"&amp;"e_link"",""สุโขทัย!I360"")+IMPORTRANGE(""https://docs.google.com/spreadsheets/d/1ubs5cl16eYL9gHbdHTJtmtYb9MGzHBs7CAphn8kNCgM/edit?usp=share_link"",""อุตรดิตถ์!I360"")+IMPORTRANGE(""https://docs.google.com/spreadsheets/d/1kII0BjS6CtVrBvI8IrytgPdxDrlyQDyigz"&amp;"MsohRtDMs/edit?usp=share_link"",""อุทัยธานี!I360"")
"),4028)</f>
        <v>4028</v>
      </c>
      <c r="J360" s="270">
        <f ca="1">IFERROR(__xludf.DUMMYFUNCTION("IMPORTRANGE(""https://docs.google.com/spreadsheets/d/1KxicF4apzSqm0-jIpmueT4kyZtE-Cwn5zskl7GD4loQ/edit?usp=share_link"",""กำแพงเพชร!J360"")+IMPORTRANGE(""https://docs.google.com/spreadsheets/d/1ZNYWeiFoFA1K1U4xKWqRX29MBvEyRHXORjo734Gnq_c/edit?usp=share_li"&amp;"nk"",""เชียงราย!J360"")
+IMPORTRANGE(""https://docs.google.com/spreadsheets/d/1Jgv0Y7YlHDtsiDawwp-uvifEJ8HVaSn0k2aGHG8-hwM/edit?usp=share_link"",""เชียงใหม่!J360"")+IMPORTRANGE(""https://docs.google.com/spreadsheets/d/1JWG2rZePOz9pe-f-ObA-yDr0VoOX2kSb0qIi"&amp;"x2mTUo8/edit?usp=share_link"",""ตาก!J360"")+IMPORTRANGE(""https://docs.google.com/spreadsheets/d/10nSRjK08hx8Y6HgSOQKNw81lyY46Zc7U_Cj72hBMp9U/edit?usp=share_link"",""นครสวรรค์!J360"")+IMPORTRANGE(""https://docs.google.com/spreadsheets/d/1gFVb7qd7amutrIxAA"&amp;"oM7lcy35hllxznovot8lyOfvDo/edit?usp=share_link"",""น่าน!J360"")+IMPORTRANGE(""https://docs.google.com/spreadsheets/d/1K0Aa9s-6EuHE5M0FG1F9aHLXRCOV917xvycTdLdct0w/edit?usp=share_link"",""พะเยา!J360"")+IMPORTRANGE(""https://docs.google.com/spreadsheets/d/1Y"&amp;"9LPKx95PyL5OKy09d-KbKJSuuEZCFdkhYjwC0XQjBA/edit?usp=share_link"",""พิจิตร!J360"")+IMPORTRANGE(""https://docs.google.com/spreadsheets/d/16OMuOwy2eVqZcYWOouQtTpa8X1L23h4660uVHc0C8os/edit?usp=share_link"",""พิษณุโลก!J360"")+IMPORTRANGE(""https://docs.google."&amp;"com/spreadsheets/d/1GfgTldLG6k77HXaMQzaafODklYuucJZQNs_GAPEfZyY/edit?usp=share_link"",""เพชรบูรณ์!J360"")+IMPORTRANGE(""https://docs.google.com/spreadsheets/d/1gvTMYAnm7v1yG1BKWFtr0DnaTsq59oW9dwWvFgq6hs0/edit?usp=share_link"",""แพร่!J360"")+IMPORTRANGE("""&amp;"https://docs.google.com/spreadsheets/d/1Wbcosgy-Xa1xXUArJSOenub6EfZHUSzc_bpJFWwQUf0/edit?usp=share_link"",""แม่ฮ่องสอน!J360"")+IMPORTRANGE(""https://docs.google.com/spreadsheets/d/1p7ERhsr0qZeSn-KSOdeHS9r0heI-lHtkcn2OH7hP0jQ/edit?usp=share_link"",""ลำปาง!"&amp;"J360"")+IMPORTRANGE(""https://docs.google.com/spreadsheets/d/1-uUXvimVhiU2U0bMN-xi2te0tS4X7DI2GLPnMjzl8cA/edit?usp=share_link"",""ลำพูน!J360"")+IMPORTRANGE(""https://docs.google.com/spreadsheets/d/17HrOaa5pBUI1onckFfumXB8xlg35qb2uBAFfF1D-Myo/edit?usp=shar"&amp;"e_link"",""สุโขทัย!J360"")+IMPORTRANGE(""https://docs.google.com/spreadsheets/d/1ubs5cl16eYL9gHbdHTJtmtYb9MGzHBs7CAphn8kNCgM/edit?usp=share_link"",""อุตรดิตถ์!J360"")+IMPORTRANGE(""https://docs.google.com/spreadsheets/d/1kII0BjS6CtVrBvI8IrytgPdxDrlyQDyigz"&amp;"MsohRtDMs/edit?usp=share_link"",""อุทัยธานี!J360"")
"),1028)</f>
        <v>1028</v>
      </c>
      <c r="K360" s="38">
        <f t="shared" ca="1" si="190"/>
        <v>25.521350546176762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KxicF4apzSqm0-jIpmueT4kyZtE-Cwn5zskl7GD4loQ/edit?usp=share_link"",""กำแพงเพชร!J361"")+IMPORTRANGE(""https://docs.google.com/spreadsheets/d/1ZNYWeiFoFA1K1U4xKWqRX29MBvEyRHXORjo734Gnq_c/edit?usp=share_li"&amp;"nk"",""เชียงราย!J361"")
+IMPORTRANGE(""https://docs.google.com/spreadsheets/d/1Jgv0Y7YlHDtsiDawwp-uvifEJ8HVaSn0k2aGHG8-hwM/edit?usp=share_link"",""เชียงใหม่!J361"")+IMPORTRANGE(""https://docs.google.com/spreadsheets/d/1JWG2rZePOz9pe-f-ObA-yDr0VoOX2kSb0qIi"&amp;"x2mTUo8/edit?usp=share_link"",""ตาก!J361"")+IMPORTRANGE(""https://docs.google.com/spreadsheets/d/10nSRjK08hx8Y6HgSOQKNw81lyY46Zc7U_Cj72hBMp9U/edit?usp=share_link"",""นครสวรรค์!J361"")+IMPORTRANGE(""https://docs.google.com/spreadsheets/d/1gFVb7qd7amutrIxAA"&amp;"oM7lcy35hllxznovot8lyOfvDo/edit?usp=share_link"",""น่าน!J361"")+IMPORTRANGE(""https://docs.google.com/spreadsheets/d/1K0Aa9s-6EuHE5M0FG1F9aHLXRCOV917xvycTdLdct0w/edit?usp=share_link"",""พะเยา!J361"")+IMPORTRANGE(""https://docs.google.com/spreadsheets/d/1Y"&amp;"9LPKx95PyL5OKy09d-KbKJSuuEZCFdkhYjwC0XQjBA/edit?usp=share_link"",""พิจิตร!J361"")+IMPORTRANGE(""https://docs.google.com/spreadsheets/d/16OMuOwy2eVqZcYWOouQtTpa8X1L23h4660uVHc0C8os/edit?usp=share_link"",""พิษณุโลก!J361"")+IMPORTRANGE(""https://docs.google."&amp;"com/spreadsheets/d/1GfgTldLG6k77HXaMQzaafODklYuucJZQNs_GAPEfZyY/edit?usp=share_link"",""เพชรบูรณ์!J361"")+IMPORTRANGE(""https://docs.google.com/spreadsheets/d/1gvTMYAnm7v1yG1BKWFtr0DnaTsq59oW9dwWvFgq6hs0/edit?usp=share_link"",""แพร่!J361"")+IMPORTRANGE("""&amp;"https://docs.google.com/spreadsheets/d/1Wbcosgy-Xa1xXUArJSOenub6EfZHUSzc_bpJFWwQUf0/edit?usp=share_link"",""แม่ฮ่องสอน!J361"")+IMPORTRANGE(""https://docs.google.com/spreadsheets/d/1p7ERhsr0qZeSn-KSOdeHS9r0heI-lHtkcn2OH7hP0jQ/edit?usp=share_link"",""ลำปาง!"&amp;"J361"")+IMPORTRANGE(""https://docs.google.com/spreadsheets/d/1-uUXvimVhiU2U0bMN-xi2te0tS4X7DI2GLPnMjzl8cA/edit?usp=share_link"",""ลำพูน!J361"")+IMPORTRANGE(""https://docs.google.com/spreadsheets/d/17HrOaa5pBUI1onckFfumXB8xlg35qb2uBAFfF1D-Myo/edit?usp=shar"&amp;"e_link"",""สุโขทัย!J361"")+IMPORTRANGE(""https://docs.google.com/spreadsheets/d/1ubs5cl16eYL9gHbdHTJtmtYb9MGzHBs7CAphn8kNCgM/edit?usp=share_link"",""อุตรดิตถ์!J361"")+IMPORTRANGE(""https://docs.google.com/spreadsheets/d/1kII0BjS6CtVrBvI8IrytgPdxDrlyQDyigz"&amp;"MsohRtDMs/edit?usp=share_link"",""อุทัยธานี!J361"")
"),7178.8)</f>
        <v>7178.8</v>
      </c>
      <c r="K361" s="38">
        <f t="shared" si="19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KxicF4apzSqm0-jIpmueT4kyZtE-Cwn5zskl7GD4loQ/edit?usp=share_link"",""กำแพงเพชร!I362"")+IMPORTRANGE(""https://docs.google.com/spreadsheets/d/1ZNYWeiFoFA1K1U4xKWqRX29MBvEyRHXORjo734Gnq_c/edit?usp=share_li"&amp;"nk"",""เชียงราย!I362"")
+IMPORTRANGE(""https://docs.google.com/spreadsheets/d/1Jgv0Y7YlHDtsiDawwp-uvifEJ8HVaSn0k2aGHG8-hwM/edit?usp=share_link"",""เชียงใหม่!I362"")+IMPORTRANGE(""https://docs.google.com/spreadsheets/d/1JWG2rZePOz9pe-f-ObA-yDr0VoOX2kSb0qIi"&amp;"x2mTUo8/edit?usp=share_link"",""ตาก!I362"")+IMPORTRANGE(""https://docs.google.com/spreadsheets/d/10nSRjK08hx8Y6HgSOQKNw81lyY46Zc7U_Cj72hBMp9U/edit?usp=share_link"",""นครสวรรค์!I362"")+IMPORTRANGE(""https://docs.google.com/spreadsheets/d/1gFVb7qd7amutrIxAA"&amp;"oM7lcy35hllxznovot8lyOfvDo/edit?usp=share_link"",""น่าน!I362"")+IMPORTRANGE(""https://docs.google.com/spreadsheets/d/1K0Aa9s-6EuHE5M0FG1F9aHLXRCOV917xvycTdLdct0w/edit?usp=share_link"",""พะเยา!I362"")+IMPORTRANGE(""https://docs.google.com/spreadsheets/d/1Y"&amp;"9LPKx95PyL5OKy09d-KbKJSuuEZCFdkhYjwC0XQjBA/edit?usp=share_link"",""พิจิตร!I362"")+IMPORTRANGE(""https://docs.google.com/spreadsheets/d/16OMuOwy2eVqZcYWOouQtTpa8X1L23h4660uVHc0C8os/edit?usp=share_link"",""พิษณุโลก!I362"")+IMPORTRANGE(""https://docs.google."&amp;"com/spreadsheets/d/1GfgTldLG6k77HXaMQzaafODklYuucJZQNs_GAPEfZyY/edit?usp=share_link"",""เพชรบูรณ์!I362"")+IMPORTRANGE(""https://docs.google.com/spreadsheets/d/1gvTMYAnm7v1yG1BKWFtr0DnaTsq59oW9dwWvFgq6hs0/edit?usp=share_link"",""แพร่!I362"")+IMPORTRANGE("""&amp;"https://docs.google.com/spreadsheets/d/1Wbcosgy-Xa1xXUArJSOenub6EfZHUSzc_bpJFWwQUf0/edit?usp=share_link"",""แม่ฮ่องสอน!I362"")+IMPORTRANGE(""https://docs.google.com/spreadsheets/d/1p7ERhsr0qZeSn-KSOdeHS9r0heI-lHtkcn2OH7hP0jQ/edit?usp=share_link"",""ลำปาง!"&amp;"I362"")+IMPORTRANGE(""https://docs.google.com/spreadsheets/d/1-uUXvimVhiU2U0bMN-xi2te0tS4X7DI2GLPnMjzl8cA/edit?usp=share_link"",""ลำพูน!I362"")+IMPORTRANGE(""https://docs.google.com/spreadsheets/d/17HrOaa5pBUI1onckFfumXB8xlg35qb2uBAFfF1D-Myo/edit?usp=shar"&amp;"e_link"",""สุโขทัย!I362"")+IMPORTRANGE(""https://docs.google.com/spreadsheets/d/1ubs5cl16eYL9gHbdHTJtmtYb9MGzHBs7CAphn8kNCgM/edit?usp=share_link"",""อุตรดิตถ์!I362"")+IMPORTRANGE(""https://docs.google.com/spreadsheets/d/1kII0BjS6CtVrBvI8IrytgPdxDrlyQDyigz"&amp;"MsohRtDMs/edit?usp=share_link"",""อุทัยธานี!I362"")
"),4028)</f>
        <v>4028</v>
      </c>
      <c r="J362" s="270">
        <f ca="1">IFERROR(__xludf.DUMMYFUNCTION("IMPORTRANGE(""https://docs.google.com/spreadsheets/d/1KxicF4apzSqm0-jIpmueT4kyZtE-Cwn5zskl7GD4loQ/edit?usp=share_link"",""กำแพงเพชร!J362"")+IMPORTRANGE(""https://docs.google.com/spreadsheets/d/1ZNYWeiFoFA1K1U4xKWqRX29MBvEyRHXORjo734Gnq_c/edit?usp=share_li"&amp;"nk"",""เชียงราย!J362"")
+IMPORTRANGE(""https://docs.google.com/spreadsheets/d/1Jgv0Y7YlHDtsiDawwp-uvifEJ8HVaSn0k2aGHG8-hwM/edit?usp=share_link"",""เชียงใหม่!J362"")+IMPORTRANGE(""https://docs.google.com/spreadsheets/d/1JWG2rZePOz9pe-f-ObA-yDr0VoOX2kSb0qIi"&amp;"x2mTUo8/edit?usp=share_link"",""ตาก!J362"")+IMPORTRANGE(""https://docs.google.com/spreadsheets/d/10nSRjK08hx8Y6HgSOQKNw81lyY46Zc7U_Cj72hBMp9U/edit?usp=share_link"",""นครสวรรค์!J362"")+IMPORTRANGE(""https://docs.google.com/spreadsheets/d/1gFVb7qd7amutrIxAA"&amp;"oM7lcy35hllxznovot8lyOfvDo/edit?usp=share_link"",""น่าน!J362"")+IMPORTRANGE(""https://docs.google.com/spreadsheets/d/1K0Aa9s-6EuHE5M0FG1F9aHLXRCOV917xvycTdLdct0w/edit?usp=share_link"",""พะเยา!J362"")+IMPORTRANGE(""https://docs.google.com/spreadsheets/d/1Y"&amp;"9LPKx95PyL5OKy09d-KbKJSuuEZCFdkhYjwC0XQjBA/edit?usp=share_link"",""พิจิตร!J362"")+IMPORTRANGE(""https://docs.google.com/spreadsheets/d/16OMuOwy2eVqZcYWOouQtTpa8X1L23h4660uVHc0C8os/edit?usp=share_link"",""พิษณุโลก!J362"")+IMPORTRANGE(""https://docs.google."&amp;"com/spreadsheets/d/1GfgTldLG6k77HXaMQzaafODklYuucJZQNs_GAPEfZyY/edit?usp=share_link"",""เพชรบูรณ์!J362"")+IMPORTRANGE(""https://docs.google.com/spreadsheets/d/1gvTMYAnm7v1yG1BKWFtr0DnaTsq59oW9dwWvFgq6hs0/edit?usp=share_link"",""แพร่!J362"")+IMPORTRANGE("""&amp;"https://docs.google.com/spreadsheets/d/1Wbcosgy-Xa1xXUArJSOenub6EfZHUSzc_bpJFWwQUf0/edit?usp=share_link"",""แม่ฮ่องสอน!J362"")+IMPORTRANGE(""https://docs.google.com/spreadsheets/d/1p7ERhsr0qZeSn-KSOdeHS9r0heI-lHtkcn2OH7hP0jQ/edit?usp=share_link"",""ลำปาง!"&amp;"J362"")+IMPORTRANGE(""https://docs.google.com/spreadsheets/d/1-uUXvimVhiU2U0bMN-xi2te0tS4X7DI2GLPnMjzl8cA/edit?usp=share_link"",""ลำพูน!J362"")+IMPORTRANGE(""https://docs.google.com/spreadsheets/d/17HrOaa5pBUI1onckFfumXB8xlg35qb2uBAFfF1D-Myo/edit?usp=shar"&amp;"e_link"",""สุโขทัย!J362"")+IMPORTRANGE(""https://docs.google.com/spreadsheets/d/1ubs5cl16eYL9gHbdHTJtmtYb9MGzHBs7CAphn8kNCgM/edit?usp=share_link"",""อุตรดิตถ์!J362"")+IMPORTRANGE(""https://docs.google.com/spreadsheets/d/1kII0BjS6CtVrBvI8IrytgPdxDrlyQDyigz"&amp;"MsohRtDMs/edit?usp=share_link"",""อุทัยธานี!J362"")
"),622)</f>
        <v>622</v>
      </c>
      <c r="K362" s="38">
        <f t="shared" ca="1" si="190"/>
        <v>15.441906653426019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KxicF4apzSqm0-jIpmueT4kyZtE-Cwn5zskl7GD4loQ/edit?usp=share_link"",""กำแพงเพชร!J363"")+IMPORTRANGE(""https://docs.google.com/spreadsheets/d/1ZNYWeiFoFA1K1U4xKWqRX29MBvEyRHXORjo734Gnq_c/edit?usp=share_li"&amp;"nk"",""เชียงราย!J363"")
+IMPORTRANGE(""https://docs.google.com/spreadsheets/d/1Jgv0Y7YlHDtsiDawwp-uvifEJ8HVaSn0k2aGHG8-hwM/edit?usp=share_link"",""เชียงใหม่!J363"")+IMPORTRANGE(""https://docs.google.com/spreadsheets/d/1JWG2rZePOz9pe-f-ObA-yDr0VoOX2kSb0qIi"&amp;"x2mTUo8/edit?usp=share_link"",""ตาก!J363"")+IMPORTRANGE(""https://docs.google.com/spreadsheets/d/10nSRjK08hx8Y6HgSOQKNw81lyY46Zc7U_Cj72hBMp9U/edit?usp=share_link"",""นครสวรรค์!J363"")+IMPORTRANGE(""https://docs.google.com/spreadsheets/d/1gFVb7qd7amutrIxAA"&amp;"oM7lcy35hllxznovot8lyOfvDo/edit?usp=share_link"",""น่าน!J363"")+IMPORTRANGE(""https://docs.google.com/spreadsheets/d/1K0Aa9s-6EuHE5M0FG1F9aHLXRCOV917xvycTdLdct0w/edit?usp=share_link"",""พะเยา!J363"")+IMPORTRANGE(""https://docs.google.com/spreadsheets/d/1Y"&amp;"9LPKx95PyL5OKy09d-KbKJSuuEZCFdkhYjwC0XQjBA/edit?usp=share_link"",""พิจิตร!J363"")+IMPORTRANGE(""https://docs.google.com/spreadsheets/d/16OMuOwy2eVqZcYWOouQtTpa8X1L23h4660uVHc0C8os/edit?usp=share_link"",""พิษณุโลก!J363"")+IMPORTRANGE(""https://docs.google."&amp;"com/spreadsheets/d/1GfgTldLG6k77HXaMQzaafODklYuucJZQNs_GAPEfZyY/edit?usp=share_link"",""เพชรบูรณ์!J363"")+IMPORTRANGE(""https://docs.google.com/spreadsheets/d/1gvTMYAnm7v1yG1BKWFtr0DnaTsq59oW9dwWvFgq6hs0/edit?usp=share_link"",""แพร่!J363"")+IMPORTRANGE("""&amp;"https://docs.google.com/spreadsheets/d/1Wbcosgy-Xa1xXUArJSOenub6EfZHUSzc_bpJFWwQUf0/edit?usp=share_link"",""แม่ฮ่องสอน!J363"")+IMPORTRANGE(""https://docs.google.com/spreadsheets/d/1p7ERhsr0qZeSn-KSOdeHS9r0heI-lHtkcn2OH7hP0jQ/edit?usp=share_link"",""ลำปาง!"&amp;"J363"")+IMPORTRANGE(""https://docs.google.com/spreadsheets/d/1-uUXvimVhiU2U0bMN-xi2te0tS4X7DI2GLPnMjzl8cA/edit?usp=share_link"",""ลำพูน!J363"")+IMPORTRANGE(""https://docs.google.com/spreadsheets/d/17HrOaa5pBUI1onckFfumXB8xlg35qb2uBAFfF1D-Myo/edit?usp=shar"&amp;"e_link"",""สุโขทัย!J363"")+IMPORTRANGE(""https://docs.google.com/spreadsheets/d/1ubs5cl16eYL9gHbdHTJtmtYb9MGzHBs7CAphn8kNCgM/edit?usp=share_link"",""อุตรดิตถ์!J363"")+IMPORTRANGE(""https://docs.google.com/spreadsheets/d/1kII0BjS6CtVrBvI8IrytgPdxDrlyQDyigz"&amp;"MsohRtDMs/edit?usp=share_link"",""อุทัยธานี!J363"")
"),3935.47)</f>
        <v>3935.47</v>
      </c>
      <c r="K363" s="38">
        <f t="shared" si="190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91">I365+I374</f>
        <v>9438</v>
      </c>
      <c r="J364" s="447">
        <f t="shared" ca="1" si="191"/>
        <v>2455</v>
      </c>
      <c r="K364" s="448">
        <f t="shared" ca="1" si="190"/>
        <v>26.011866920957829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3"/>
      <c r="D365" s="454" t="s">
        <v>166</v>
      </c>
      <c r="E365" s="455"/>
      <c r="F365" s="455"/>
      <c r="G365" s="456"/>
      <c r="H365" s="457" t="s">
        <v>35</v>
      </c>
      <c r="I365" s="458">
        <f ca="1">IFERROR(__xludf.DUMMYFUNCTION("IMPORTRANGE(""https://docs.google.com/spreadsheets/d/1KxicF4apzSqm0-jIpmueT4kyZtE-Cwn5zskl7GD4loQ/edit?usp=share_link"",""กำแพงเพชร!I365"")+IMPORTRANGE(""https://docs.google.com/spreadsheets/d/1ZNYWeiFoFA1K1U4xKWqRX29MBvEyRHXORjo734Gnq_c/edit?usp=share_li"&amp;"nk"",""เชียงราย!I365"")
+IMPORTRANGE(""https://docs.google.com/spreadsheets/d/1Jgv0Y7YlHDtsiDawwp-uvifEJ8HVaSn0k2aGHG8-hwM/edit?usp=share_link"",""เชียงใหม่!I365"")+IMPORTRANGE(""https://docs.google.com/spreadsheets/d/1JWG2rZePOz9pe-f-ObA-yDr0VoOX2kSb0qIi"&amp;"x2mTUo8/edit?usp=share_link"",""ตาก!I365"")+IMPORTRANGE(""https://docs.google.com/spreadsheets/d/10nSRjK08hx8Y6HgSOQKNw81lyY46Zc7U_Cj72hBMp9U/edit?usp=share_link"",""นครสวรรค์!I365"")+IMPORTRANGE(""https://docs.google.com/spreadsheets/d/1gFVb7qd7amutrIxAA"&amp;"oM7lcy35hllxznovot8lyOfvDo/edit?usp=share_link"",""น่าน!I365"")+IMPORTRANGE(""https://docs.google.com/spreadsheets/d/1K0Aa9s-6EuHE5M0FG1F9aHLXRCOV917xvycTdLdct0w/edit?usp=share_link"",""พะเยา!I365"")+IMPORTRANGE(""https://docs.google.com/spreadsheets/d/1Y"&amp;"9LPKx95PyL5OKy09d-KbKJSuuEZCFdkhYjwC0XQjBA/edit?usp=share_link"",""พิจิตร!I365"")+IMPORTRANGE(""https://docs.google.com/spreadsheets/d/16OMuOwy2eVqZcYWOouQtTpa8X1L23h4660uVHc0C8os/edit?usp=share_link"",""พิษณุโลก!I365"")+IMPORTRANGE(""https://docs.google."&amp;"com/spreadsheets/d/1GfgTldLG6k77HXaMQzaafODklYuucJZQNs_GAPEfZyY/edit?usp=share_link"",""เพชรบูรณ์!I365"")+IMPORTRANGE(""https://docs.google.com/spreadsheets/d/1gvTMYAnm7v1yG1BKWFtr0DnaTsq59oW9dwWvFgq6hs0/edit?usp=share_link"",""แพร่!I365"")+IMPORTRANGE("""&amp;"https://docs.google.com/spreadsheets/d/1Wbcosgy-Xa1xXUArJSOenub6EfZHUSzc_bpJFWwQUf0/edit?usp=share_link"",""แม่ฮ่องสอน!I365"")+IMPORTRANGE(""https://docs.google.com/spreadsheets/d/1p7ERhsr0qZeSn-KSOdeHS9r0heI-lHtkcn2OH7hP0jQ/edit?usp=share_link"",""ลำปาง!"&amp;"I365"")+IMPORTRANGE(""https://docs.google.com/spreadsheets/d/1-uUXvimVhiU2U0bMN-xi2te0tS4X7DI2GLPnMjzl8cA/edit?usp=share_link"",""ลำพูน!I365"")+IMPORTRANGE(""https://docs.google.com/spreadsheets/d/17HrOaa5pBUI1onckFfumXB8xlg35qb2uBAFfF1D-Myo/edit?usp=shar"&amp;"e_link"",""สุโขทัย!I365"")+IMPORTRANGE(""https://docs.google.com/spreadsheets/d/1ubs5cl16eYL9gHbdHTJtmtYb9MGzHBs7CAphn8kNCgM/edit?usp=share_link"",""อุตรดิตถ์!I365"")+IMPORTRANGE(""https://docs.google.com/spreadsheets/d/1kII0BjS6CtVrBvI8IrytgPdxDrlyQDyigz"&amp;"MsohRtDMs/edit?usp=share_link"",""อุทัยธานี!I365"")
"),1343)</f>
        <v>1343</v>
      </c>
      <c r="J365" s="459">
        <f ca="1">J372</f>
        <v>127</v>
      </c>
      <c r="K365" s="460">
        <f t="shared" ca="1" si="190"/>
        <v>9.4564408041697696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3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KxicF4apzSqm0-jIpmueT4kyZtE-Cwn5zskl7GD4loQ/edit?usp=share_link"",""กำแพงเพชร!J368"")+IMPORTRANGE(""https://docs.google.com/spreadsheets/d/1ZNYWeiFoFA1K1U4xKWqRX29MBvEyRHXORjo734Gnq_c/edit?usp=share_li"&amp;"nk"",""เชียงราย!J368"")
+IMPORTRANGE(""https://docs.google.com/spreadsheets/d/1Jgv0Y7YlHDtsiDawwp-uvifEJ8HVaSn0k2aGHG8-hwM/edit?usp=share_link"",""เชียงใหม่!J368"")+IMPORTRANGE(""https://docs.google.com/spreadsheets/d/1JWG2rZePOz9pe-f-ObA-yDr0VoOX2kSb0qIi"&amp;"x2mTUo8/edit?usp=share_link"",""ตาก!J368"")+IMPORTRANGE(""https://docs.google.com/spreadsheets/d/10nSRjK08hx8Y6HgSOQKNw81lyY46Zc7U_Cj72hBMp9U/edit?usp=share_link"",""นครสวรรค์!J368"")+IMPORTRANGE(""https://docs.google.com/spreadsheets/d/1gFVb7qd7amutrIxAA"&amp;"oM7lcy35hllxznovot8lyOfvDo/edit?usp=share_link"",""น่าน!J368"")+IMPORTRANGE(""https://docs.google.com/spreadsheets/d/1K0Aa9s-6EuHE5M0FG1F9aHLXRCOV917xvycTdLdct0w/edit?usp=share_link"",""พะเยา!J368"")+IMPORTRANGE(""https://docs.google.com/spreadsheets/d/1Y"&amp;"9LPKx95PyL5OKy09d-KbKJSuuEZCFdkhYjwC0XQjBA/edit?usp=share_link"",""พิจิตร!J368"")+IMPORTRANGE(""https://docs.google.com/spreadsheets/d/16OMuOwy2eVqZcYWOouQtTpa8X1L23h4660uVHc0C8os/edit?usp=share_link"",""พิษณุโลก!J368"")+IMPORTRANGE(""https://docs.google."&amp;"com/spreadsheets/d/1GfgTldLG6k77HXaMQzaafODklYuucJZQNs_GAPEfZyY/edit?usp=share_link"",""เพชรบูรณ์!J368"")+IMPORTRANGE(""https://docs.google.com/spreadsheets/d/1gvTMYAnm7v1yG1BKWFtr0DnaTsq59oW9dwWvFgq6hs0/edit?usp=share_link"",""แพร่!J368"")+IMPORTRANGE("""&amp;"https://docs.google.com/spreadsheets/d/1Wbcosgy-Xa1xXUArJSOenub6EfZHUSzc_bpJFWwQUf0/edit?usp=share_link"",""แม่ฮ่องสอน!J368"")+IMPORTRANGE(""https://docs.google.com/spreadsheets/d/1p7ERhsr0qZeSn-KSOdeHS9r0heI-lHtkcn2OH7hP0jQ/edit?usp=share_link"",""ลำปาง!"&amp;"J368"")+IMPORTRANGE(""https://docs.google.com/spreadsheets/d/1-uUXvimVhiU2U0bMN-xi2te0tS4X7DI2GLPnMjzl8cA/edit?usp=share_link"",""ลำพูน!J368"")+IMPORTRANGE(""https://docs.google.com/spreadsheets/d/17HrOaa5pBUI1onckFfumXB8xlg35qb2uBAFfF1D-Myo/edit?usp=shar"&amp;"e_link"",""สุโขทัย!J368"")+IMPORTRANGE(""https://docs.google.com/spreadsheets/d/1ubs5cl16eYL9gHbdHTJtmtYb9MGzHBs7CAphn8kNCgM/edit?usp=share_link"",""อุตรดิตถ์!J368"")+IMPORTRANGE(""https://docs.google.com/spreadsheets/d/1kII0BjS6CtVrBvI8IrytgPdxDrlyQDyigz"&amp;"MsohRtDMs/edit?usp=share_link"",""อุทัยธานี!J368"")
"),675)</f>
        <v>675</v>
      </c>
      <c r="K368" s="38">
        <f t="shared" ref="K368:K374" si="19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KxicF4apzSqm0-jIpmueT4kyZtE-Cwn5zskl7GD4loQ/edit?usp=share_link"",""กำแพงเพชร!I369"")+IMPORTRANGE(""https://docs.google.com/spreadsheets/d/1ZNYWeiFoFA1K1U4xKWqRX29MBvEyRHXORjo734Gnq_c/edit?usp=share_li"&amp;"nk"",""เชียงราย!I369"")
+IMPORTRANGE(""https://docs.google.com/spreadsheets/d/1Jgv0Y7YlHDtsiDawwp-uvifEJ8HVaSn0k2aGHG8-hwM/edit?usp=share_link"",""เชียงใหม่!I369"")+IMPORTRANGE(""https://docs.google.com/spreadsheets/d/1JWG2rZePOz9pe-f-ObA-yDr0VoOX2kSb0qIi"&amp;"x2mTUo8/edit?usp=share_link"",""ตาก!I369"")+IMPORTRANGE(""https://docs.google.com/spreadsheets/d/10nSRjK08hx8Y6HgSOQKNw81lyY46Zc7U_Cj72hBMp9U/edit?usp=share_link"",""นครสวรรค์!I369"")+IMPORTRANGE(""https://docs.google.com/spreadsheets/d/1gFVb7qd7amutrIxAA"&amp;"oM7lcy35hllxznovot8lyOfvDo/edit?usp=share_link"",""น่าน!I369"")+IMPORTRANGE(""https://docs.google.com/spreadsheets/d/1K0Aa9s-6EuHE5M0FG1F9aHLXRCOV917xvycTdLdct0w/edit?usp=share_link"",""พะเยา!I369"")+IMPORTRANGE(""https://docs.google.com/spreadsheets/d/1Y"&amp;"9LPKx95PyL5OKy09d-KbKJSuuEZCFdkhYjwC0XQjBA/edit?usp=share_link"",""พิจิตร!I369"")+IMPORTRANGE(""https://docs.google.com/spreadsheets/d/16OMuOwy2eVqZcYWOouQtTpa8X1L23h4660uVHc0C8os/edit?usp=share_link"",""พิษณุโลก!I369"")+IMPORTRANGE(""https://docs.google."&amp;"com/spreadsheets/d/1GfgTldLG6k77HXaMQzaafODklYuucJZQNs_GAPEfZyY/edit?usp=share_link"",""เพชรบูรณ์!I369"")+IMPORTRANGE(""https://docs.google.com/spreadsheets/d/1gvTMYAnm7v1yG1BKWFtr0DnaTsq59oW9dwWvFgq6hs0/edit?usp=share_link"",""แพร่!I369"")+IMPORTRANGE("""&amp;"https://docs.google.com/spreadsheets/d/1Wbcosgy-Xa1xXUArJSOenub6EfZHUSzc_bpJFWwQUf0/edit?usp=share_link"",""แม่ฮ่องสอน!I369"")+IMPORTRANGE(""https://docs.google.com/spreadsheets/d/1p7ERhsr0qZeSn-KSOdeHS9r0heI-lHtkcn2OH7hP0jQ/edit?usp=share_link"",""ลำปาง!"&amp;"I369"")+IMPORTRANGE(""https://docs.google.com/spreadsheets/d/1-uUXvimVhiU2U0bMN-xi2te0tS4X7DI2GLPnMjzl8cA/edit?usp=share_link"",""ลำพูน!I369"")+IMPORTRANGE(""https://docs.google.com/spreadsheets/d/17HrOaa5pBUI1onckFfumXB8xlg35qb2uBAFfF1D-Myo/edit?usp=shar"&amp;"e_link"",""สุโขทัย!I369"")+IMPORTRANGE(""https://docs.google.com/spreadsheets/d/1ubs5cl16eYL9gHbdHTJtmtYb9MGzHBs7CAphn8kNCgM/edit?usp=share_link"",""อุตรดิตถ์!I369"")+IMPORTRANGE(""https://docs.google.com/spreadsheets/d/1kII0BjS6CtVrBvI8IrytgPdxDrlyQDyigz"&amp;"MsohRtDMs/edit?usp=share_link"",""อุทัยธานี!I369"")
"),13540)</f>
        <v>13540</v>
      </c>
      <c r="J369" s="270">
        <f ca="1">IFERROR(__xludf.DUMMYFUNCTION("IMPORTRANGE(""https://docs.google.com/spreadsheets/d/1KxicF4apzSqm0-jIpmueT4kyZtE-Cwn5zskl7GD4loQ/edit?usp=share_link"",""กำแพงเพชร!J369"")+IMPORTRANGE(""https://docs.google.com/spreadsheets/d/1ZNYWeiFoFA1K1U4xKWqRX29MBvEyRHXORjo734Gnq_c/edit?usp=share_li"&amp;"nk"",""เชียงราย!J369"")
+IMPORTRANGE(""https://docs.google.com/spreadsheets/d/1Jgv0Y7YlHDtsiDawwp-uvifEJ8HVaSn0k2aGHG8-hwM/edit?usp=share_link"",""เชียงใหม่!J369"")+IMPORTRANGE(""https://docs.google.com/spreadsheets/d/1JWG2rZePOz9pe-f-ObA-yDr0VoOX2kSb0qIi"&amp;"x2mTUo8/edit?usp=share_link"",""ตาก!J369"")+IMPORTRANGE(""https://docs.google.com/spreadsheets/d/10nSRjK08hx8Y6HgSOQKNw81lyY46Zc7U_Cj72hBMp9U/edit?usp=share_link"",""นครสวรรค์!J369"")+IMPORTRANGE(""https://docs.google.com/spreadsheets/d/1gFVb7qd7amutrIxAA"&amp;"oM7lcy35hllxznovot8lyOfvDo/edit?usp=share_link"",""น่าน!J369"")+IMPORTRANGE(""https://docs.google.com/spreadsheets/d/1K0Aa9s-6EuHE5M0FG1F9aHLXRCOV917xvycTdLdct0w/edit?usp=share_link"",""พะเยา!J369"")+IMPORTRANGE(""https://docs.google.com/spreadsheets/d/1Y"&amp;"9LPKx95PyL5OKy09d-KbKJSuuEZCFdkhYjwC0XQjBA/edit?usp=share_link"",""พิจิตร!J369"")+IMPORTRANGE(""https://docs.google.com/spreadsheets/d/16OMuOwy2eVqZcYWOouQtTpa8X1L23h4660uVHc0C8os/edit?usp=share_link"",""พิษณุโลก!J369"")+IMPORTRANGE(""https://docs.google."&amp;"com/spreadsheets/d/1GfgTldLG6k77HXaMQzaafODklYuucJZQNs_GAPEfZyY/edit?usp=share_link"",""เพชรบูรณ์!J369"")+IMPORTRANGE(""https://docs.google.com/spreadsheets/d/1gvTMYAnm7v1yG1BKWFtr0DnaTsq59oW9dwWvFgq6hs0/edit?usp=share_link"",""แพร่!J369"")+IMPORTRANGE("""&amp;"https://docs.google.com/spreadsheets/d/1Wbcosgy-Xa1xXUArJSOenub6EfZHUSzc_bpJFWwQUf0/edit?usp=share_link"",""แม่ฮ่องสอน!J369"")+IMPORTRANGE(""https://docs.google.com/spreadsheets/d/1p7ERhsr0qZeSn-KSOdeHS9r0heI-lHtkcn2OH7hP0jQ/edit?usp=share_link"",""ลำปาง!"&amp;"J369"")+IMPORTRANGE(""https://docs.google.com/spreadsheets/d/1-uUXvimVhiU2U0bMN-xi2te0tS4X7DI2GLPnMjzl8cA/edit?usp=share_link"",""ลำพูน!J369"")+IMPORTRANGE(""https://docs.google.com/spreadsheets/d/17HrOaa5pBUI1onckFfumXB8xlg35qb2uBAFfF1D-Myo/edit?usp=shar"&amp;"e_link"",""สุโขทัย!J369"")+IMPORTRANGE(""https://docs.google.com/spreadsheets/d/1ubs5cl16eYL9gHbdHTJtmtYb9MGzHBs7CAphn8kNCgM/edit?usp=share_link"",""อุตรดิตถ์!J369"")+IMPORTRANGE(""https://docs.google.com/spreadsheets/d/1kII0BjS6CtVrBvI8IrytgPdxDrlyQDyigz"&amp;"MsohRtDMs/edit?usp=share_link"",""อุทัยธานี!J369"")
"),4739.55999999999)</f>
        <v>4739.5599999999904</v>
      </c>
      <c r="K369" s="38">
        <f t="shared" ca="1" si="192"/>
        <v>35.004135893648382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KxicF4apzSqm0-jIpmueT4kyZtE-Cwn5zskl7GD4loQ/edit?usp=share_link"",""กำแพงเพชร!I370"")+IMPORTRANGE(""https://docs.google.com/spreadsheets/d/1ZNYWeiFoFA1K1U4xKWqRX29MBvEyRHXORjo734Gnq_c/edit?usp=share_li"&amp;"nk"",""เชียงราย!I370"")
+IMPORTRANGE(""https://docs.google.com/spreadsheets/d/1Jgv0Y7YlHDtsiDawwp-uvifEJ8HVaSn0k2aGHG8-hwM/edit?usp=share_link"",""เชียงใหม่!I370"")+IMPORTRANGE(""https://docs.google.com/spreadsheets/d/1JWG2rZePOz9pe-f-ObA-yDr0VoOX2kSb0qIi"&amp;"x2mTUo8/edit?usp=share_link"",""ตาก!I370"")+IMPORTRANGE(""https://docs.google.com/spreadsheets/d/10nSRjK08hx8Y6HgSOQKNw81lyY46Zc7U_Cj72hBMp9U/edit?usp=share_link"",""นครสวรรค์!I370"")+IMPORTRANGE(""https://docs.google.com/spreadsheets/d/1gFVb7qd7amutrIxAA"&amp;"oM7lcy35hllxznovot8lyOfvDo/edit?usp=share_link"",""น่าน!I370"")+IMPORTRANGE(""https://docs.google.com/spreadsheets/d/1K0Aa9s-6EuHE5M0FG1F9aHLXRCOV917xvycTdLdct0w/edit?usp=share_link"",""พะเยา!I370"")+IMPORTRANGE(""https://docs.google.com/spreadsheets/d/1Y"&amp;"9LPKx95PyL5OKy09d-KbKJSuuEZCFdkhYjwC0XQjBA/edit?usp=share_link"",""พิจิตร!I370"")+IMPORTRANGE(""https://docs.google.com/spreadsheets/d/16OMuOwy2eVqZcYWOouQtTpa8X1L23h4660uVHc0C8os/edit?usp=share_link"",""พิษณุโลก!I370"")+IMPORTRANGE(""https://docs.google."&amp;"com/spreadsheets/d/1GfgTldLG6k77HXaMQzaafODklYuucJZQNs_GAPEfZyY/edit?usp=share_link"",""เพชรบูรณ์!I370"")+IMPORTRANGE(""https://docs.google.com/spreadsheets/d/1gvTMYAnm7v1yG1BKWFtr0DnaTsq59oW9dwWvFgq6hs0/edit?usp=share_link"",""แพร่!I370"")+IMPORTRANGE("""&amp;"https://docs.google.com/spreadsheets/d/1Wbcosgy-Xa1xXUArJSOenub6EfZHUSzc_bpJFWwQUf0/edit?usp=share_link"",""แม่ฮ่องสอน!I370"")+IMPORTRANGE(""https://docs.google.com/spreadsheets/d/1p7ERhsr0qZeSn-KSOdeHS9r0heI-lHtkcn2OH7hP0jQ/edit?usp=share_link"",""ลำปาง!"&amp;"I370"")+IMPORTRANGE(""https://docs.google.com/spreadsheets/d/1-uUXvimVhiU2U0bMN-xi2te0tS4X7DI2GLPnMjzl8cA/edit?usp=share_link"",""ลำพูน!I370"")+IMPORTRANGE(""https://docs.google.com/spreadsheets/d/17HrOaa5pBUI1onckFfumXB8xlg35qb2uBAFfF1D-Myo/edit?usp=shar"&amp;"e_link"",""สุโขทัย!I370"")+IMPORTRANGE(""https://docs.google.com/spreadsheets/d/1ubs5cl16eYL9gHbdHTJtmtYb9MGzHBs7CAphn8kNCgM/edit?usp=share_link"",""อุตรดิตถ์!I370"")+IMPORTRANGE(""https://docs.google.com/spreadsheets/d/1kII0BjS6CtVrBvI8IrytgPdxDrlyQDyigz"&amp;"MsohRtDMs/edit?usp=share_link"",""อุทัยธานี!I370"")
"),1343)</f>
        <v>1343</v>
      </c>
      <c r="J370" s="270">
        <f ca="1">IFERROR(__xludf.DUMMYFUNCTION("IMPORTRANGE(""https://docs.google.com/spreadsheets/d/1KxicF4apzSqm0-jIpmueT4kyZtE-Cwn5zskl7GD4loQ/edit?usp=share_link"",""กำแพงเพชร!J370"")+IMPORTRANGE(""https://docs.google.com/spreadsheets/d/1ZNYWeiFoFA1K1U4xKWqRX29MBvEyRHXORjo734Gnq_c/edit?usp=share_li"&amp;"nk"",""เชียงราย!J370"")
+IMPORTRANGE(""https://docs.google.com/spreadsheets/d/1Jgv0Y7YlHDtsiDawwp-uvifEJ8HVaSn0k2aGHG8-hwM/edit?usp=share_link"",""เชียงใหม่!J370"")+IMPORTRANGE(""https://docs.google.com/spreadsheets/d/1JWG2rZePOz9pe-f-ObA-yDr0VoOX2kSb0qIi"&amp;"x2mTUo8/edit?usp=share_link"",""ตาก!J370"")+IMPORTRANGE(""https://docs.google.com/spreadsheets/d/10nSRjK08hx8Y6HgSOQKNw81lyY46Zc7U_Cj72hBMp9U/edit?usp=share_link"",""นครสวรรค์!J370"")+IMPORTRANGE(""https://docs.google.com/spreadsheets/d/1gFVb7qd7amutrIxAA"&amp;"oM7lcy35hllxznovot8lyOfvDo/edit?usp=share_link"",""น่าน!J370"")+IMPORTRANGE(""https://docs.google.com/spreadsheets/d/1K0Aa9s-6EuHE5M0FG1F9aHLXRCOV917xvycTdLdct0w/edit?usp=share_link"",""พะเยา!J370"")+IMPORTRANGE(""https://docs.google.com/spreadsheets/d/1Y"&amp;"9LPKx95PyL5OKy09d-KbKJSuuEZCFdkhYjwC0XQjBA/edit?usp=share_link"",""พิจิตร!J370"")+IMPORTRANGE(""https://docs.google.com/spreadsheets/d/16OMuOwy2eVqZcYWOouQtTpa8X1L23h4660uVHc0C8os/edit?usp=share_link"",""พิษณุโลก!J370"")+IMPORTRANGE(""https://docs.google."&amp;"com/spreadsheets/d/1GfgTldLG6k77HXaMQzaafODklYuucJZQNs_GAPEfZyY/edit?usp=share_link"",""เพชรบูรณ์!J370"")+IMPORTRANGE(""https://docs.google.com/spreadsheets/d/1gvTMYAnm7v1yG1BKWFtr0DnaTsq59oW9dwWvFgq6hs0/edit?usp=share_link"",""แพร่!J370"")+IMPORTRANGE("""&amp;"https://docs.google.com/spreadsheets/d/1Wbcosgy-Xa1xXUArJSOenub6EfZHUSzc_bpJFWwQUf0/edit?usp=share_link"",""แม่ฮ่องสอน!J370"")+IMPORTRANGE(""https://docs.google.com/spreadsheets/d/1p7ERhsr0qZeSn-KSOdeHS9r0heI-lHtkcn2OH7hP0jQ/edit?usp=share_link"",""ลำปาง!"&amp;"J370"")+IMPORTRANGE(""https://docs.google.com/spreadsheets/d/1-uUXvimVhiU2U0bMN-xi2te0tS4X7DI2GLPnMjzl8cA/edit?usp=share_link"",""ลำพูน!J370"")+IMPORTRANGE(""https://docs.google.com/spreadsheets/d/17HrOaa5pBUI1onckFfumXB8xlg35qb2uBAFfF1D-Myo/edit?usp=shar"&amp;"e_link"",""สุโขทัย!J370"")+IMPORTRANGE(""https://docs.google.com/spreadsheets/d/1ubs5cl16eYL9gHbdHTJtmtYb9MGzHBs7CAphn8kNCgM/edit?usp=share_link"",""อุตรดิตถ์!J370"")+IMPORTRANGE(""https://docs.google.com/spreadsheets/d/1kII0BjS6CtVrBvI8IrytgPdxDrlyQDyigz"&amp;"MsohRtDMs/edit?usp=share_link"",""อุทัยธานี!J370"")
"),378)</f>
        <v>378</v>
      </c>
      <c r="K370" s="38">
        <f t="shared" ca="1" si="192"/>
        <v>28.145941921072225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KxicF4apzSqm0-jIpmueT4kyZtE-Cwn5zskl7GD4loQ/edit?usp=share_link"",""กำแพงเพชร!J371"")+IMPORTRANGE(""https://docs.google.com/spreadsheets/d/1ZNYWeiFoFA1K1U4xKWqRX29MBvEyRHXORjo734Gnq_c/edit?usp=share_li"&amp;"nk"",""เชียงราย!J371"")
+IMPORTRANGE(""https://docs.google.com/spreadsheets/d/1Jgv0Y7YlHDtsiDawwp-uvifEJ8HVaSn0k2aGHG8-hwM/edit?usp=share_link"",""เชียงใหม่!J371"")+IMPORTRANGE(""https://docs.google.com/spreadsheets/d/1JWG2rZePOz9pe-f-ObA-yDr0VoOX2kSb0qIi"&amp;"x2mTUo8/edit?usp=share_link"",""ตาก!J371"")+IMPORTRANGE(""https://docs.google.com/spreadsheets/d/10nSRjK08hx8Y6HgSOQKNw81lyY46Zc7U_Cj72hBMp9U/edit?usp=share_link"",""นครสวรรค์!J371"")+IMPORTRANGE(""https://docs.google.com/spreadsheets/d/1gFVb7qd7amutrIxAA"&amp;"oM7lcy35hllxznovot8lyOfvDo/edit?usp=share_link"",""น่าน!J371"")+IMPORTRANGE(""https://docs.google.com/spreadsheets/d/1K0Aa9s-6EuHE5M0FG1F9aHLXRCOV917xvycTdLdct0w/edit?usp=share_link"",""พะเยา!J371"")+IMPORTRANGE(""https://docs.google.com/spreadsheets/d/1Y"&amp;"9LPKx95PyL5OKy09d-KbKJSuuEZCFdkhYjwC0XQjBA/edit?usp=share_link"",""พิจิตร!J371"")+IMPORTRANGE(""https://docs.google.com/spreadsheets/d/16OMuOwy2eVqZcYWOouQtTpa8X1L23h4660uVHc0C8os/edit?usp=share_link"",""พิษณุโลก!J371"")+IMPORTRANGE(""https://docs.google."&amp;"com/spreadsheets/d/1GfgTldLG6k77HXaMQzaafODklYuucJZQNs_GAPEfZyY/edit?usp=share_link"",""เพชรบูรณ์!J371"")+IMPORTRANGE(""https://docs.google.com/spreadsheets/d/1gvTMYAnm7v1yG1BKWFtr0DnaTsq59oW9dwWvFgq6hs0/edit?usp=share_link"",""แพร่!J371"")+IMPORTRANGE("""&amp;"https://docs.google.com/spreadsheets/d/1Wbcosgy-Xa1xXUArJSOenub6EfZHUSzc_bpJFWwQUf0/edit?usp=share_link"",""แม่ฮ่องสอน!J371"")+IMPORTRANGE(""https://docs.google.com/spreadsheets/d/1p7ERhsr0qZeSn-KSOdeHS9r0heI-lHtkcn2OH7hP0jQ/edit?usp=share_link"",""ลำปาง!"&amp;"J371"")+IMPORTRANGE(""https://docs.google.com/spreadsheets/d/1-uUXvimVhiU2U0bMN-xi2te0tS4X7DI2GLPnMjzl8cA/edit?usp=share_link"",""ลำพูน!J371"")+IMPORTRANGE(""https://docs.google.com/spreadsheets/d/17HrOaa5pBUI1onckFfumXB8xlg35qb2uBAFfF1D-Myo/edit?usp=shar"&amp;"e_link"",""สุโขทัย!J371"")+IMPORTRANGE(""https://docs.google.com/spreadsheets/d/1ubs5cl16eYL9gHbdHTJtmtYb9MGzHBs7CAphn8kNCgM/edit?usp=share_link"",""อุตรดิตถ์!J371"")+IMPORTRANGE(""https://docs.google.com/spreadsheets/d/1kII0BjS6CtVrBvI8IrytgPdxDrlyQDyigz"&amp;"MsohRtDMs/edit?usp=share_link"",""อุทัยธานี!J371"")
"),3317.7)</f>
        <v>3317.7</v>
      </c>
      <c r="K371" s="38">
        <f t="shared" si="19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KxicF4apzSqm0-jIpmueT4kyZtE-Cwn5zskl7GD4loQ/edit?usp=share_link"",""กำแพงเพชร!I372"")+IMPORTRANGE(""https://docs.google.com/spreadsheets/d/1ZNYWeiFoFA1K1U4xKWqRX29MBvEyRHXORjo734Gnq_c/edit?usp=share_li"&amp;"nk"",""เชียงราย!I372"")
+IMPORTRANGE(""https://docs.google.com/spreadsheets/d/1Jgv0Y7YlHDtsiDawwp-uvifEJ8HVaSn0k2aGHG8-hwM/edit?usp=share_link"",""เชียงใหม่!I372"")+IMPORTRANGE(""https://docs.google.com/spreadsheets/d/1JWG2rZePOz9pe-f-ObA-yDr0VoOX2kSb0qIi"&amp;"x2mTUo8/edit?usp=share_link"",""ตาก!I372"")+IMPORTRANGE(""https://docs.google.com/spreadsheets/d/10nSRjK08hx8Y6HgSOQKNw81lyY46Zc7U_Cj72hBMp9U/edit?usp=share_link"",""นครสวรรค์!I372"")+IMPORTRANGE(""https://docs.google.com/spreadsheets/d/1gFVb7qd7amutrIxAA"&amp;"oM7lcy35hllxznovot8lyOfvDo/edit?usp=share_link"",""น่าน!I372"")+IMPORTRANGE(""https://docs.google.com/spreadsheets/d/1K0Aa9s-6EuHE5M0FG1F9aHLXRCOV917xvycTdLdct0w/edit?usp=share_link"",""พะเยา!I372"")+IMPORTRANGE(""https://docs.google.com/spreadsheets/d/1Y"&amp;"9LPKx95PyL5OKy09d-KbKJSuuEZCFdkhYjwC0XQjBA/edit?usp=share_link"",""พิจิตร!I372"")+IMPORTRANGE(""https://docs.google.com/spreadsheets/d/16OMuOwy2eVqZcYWOouQtTpa8X1L23h4660uVHc0C8os/edit?usp=share_link"",""พิษณุโลก!I372"")+IMPORTRANGE(""https://docs.google."&amp;"com/spreadsheets/d/1GfgTldLG6k77HXaMQzaafODklYuucJZQNs_GAPEfZyY/edit?usp=share_link"",""เพชรบูรณ์!I372"")+IMPORTRANGE(""https://docs.google.com/spreadsheets/d/1gvTMYAnm7v1yG1BKWFtr0DnaTsq59oW9dwWvFgq6hs0/edit?usp=share_link"",""แพร่!I372"")+IMPORTRANGE("""&amp;"https://docs.google.com/spreadsheets/d/1Wbcosgy-Xa1xXUArJSOenub6EfZHUSzc_bpJFWwQUf0/edit?usp=share_link"",""แม่ฮ่องสอน!I372"")+IMPORTRANGE(""https://docs.google.com/spreadsheets/d/1p7ERhsr0qZeSn-KSOdeHS9r0heI-lHtkcn2OH7hP0jQ/edit?usp=share_link"",""ลำปาง!"&amp;"I372"")+IMPORTRANGE(""https://docs.google.com/spreadsheets/d/1-uUXvimVhiU2U0bMN-xi2te0tS4X7DI2GLPnMjzl8cA/edit?usp=share_link"",""ลำพูน!I372"")+IMPORTRANGE(""https://docs.google.com/spreadsheets/d/17HrOaa5pBUI1onckFfumXB8xlg35qb2uBAFfF1D-Myo/edit?usp=shar"&amp;"e_link"",""สุโขทัย!I372"")+IMPORTRANGE(""https://docs.google.com/spreadsheets/d/1ubs5cl16eYL9gHbdHTJtmtYb9MGzHBs7CAphn8kNCgM/edit?usp=share_link"",""อุตรดิตถ์!I372"")+IMPORTRANGE(""https://docs.google.com/spreadsheets/d/1kII0BjS6CtVrBvI8IrytgPdxDrlyQDyigz"&amp;"MsohRtDMs/edit?usp=share_link"",""อุทัยธานี!I372"")
"),1343)</f>
        <v>1343</v>
      </c>
      <c r="J372" s="270">
        <f ca="1">IFERROR(__xludf.DUMMYFUNCTION("IMPORTRANGE(""https://docs.google.com/spreadsheets/d/1KxicF4apzSqm0-jIpmueT4kyZtE-Cwn5zskl7GD4loQ/edit?usp=share_link"",""กำแพงเพชร!J372"")+IMPORTRANGE(""https://docs.google.com/spreadsheets/d/1ZNYWeiFoFA1K1U4xKWqRX29MBvEyRHXORjo734Gnq_c/edit?usp=share_li"&amp;"nk"",""เชียงราย!J372"")
+IMPORTRANGE(""https://docs.google.com/spreadsheets/d/1Jgv0Y7YlHDtsiDawwp-uvifEJ8HVaSn0k2aGHG8-hwM/edit?usp=share_link"",""เชียงใหม่!J372"")+IMPORTRANGE(""https://docs.google.com/spreadsheets/d/1JWG2rZePOz9pe-f-ObA-yDr0VoOX2kSb0qIi"&amp;"x2mTUo8/edit?usp=share_link"",""ตาก!J372"")+IMPORTRANGE(""https://docs.google.com/spreadsheets/d/10nSRjK08hx8Y6HgSOQKNw81lyY46Zc7U_Cj72hBMp9U/edit?usp=share_link"",""นครสวรรค์!J372"")+IMPORTRANGE(""https://docs.google.com/spreadsheets/d/1gFVb7qd7amutrIxAA"&amp;"oM7lcy35hllxznovot8lyOfvDo/edit?usp=share_link"",""น่าน!J372"")+IMPORTRANGE(""https://docs.google.com/spreadsheets/d/1K0Aa9s-6EuHE5M0FG1F9aHLXRCOV917xvycTdLdct0w/edit?usp=share_link"",""พะเยา!J372"")+IMPORTRANGE(""https://docs.google.com/spreadsheets/d/1Y"&amp;"9LPKx95PyL5OKy09d-KbKJSuuEZCFdkhYjwC0XQjBA/edit?usp=share_link"",""พิจิตร!J372"")+IMPORTRANGE(""https://docs.google.com/spreadsheets/d/16OMuOwy2eVqZcYWOouQtTpa8X1L23h4660uVHc0C8os/edit?usp=share_link"",""พิษณุโลก!J372"")+IMPORTRANGE(""https://docs.google."&amp;"com/spreadsheets/d/1GfgTldLG6k77HXaMQzaafODklYuucJZQNs_GAPEfZyY/edit?usp=share_link"",""เพชรบูรณ์!J372"")+IMPORTRANGE(""https://docs.google.com/spreadsheets/d/1gvTMYAnm7v1yG1BKWFtr0DnaTsq59oW9dwWvFgq6hs0/edit?usp=share_link"",""แพร่!J372"")+IMPORTRANGE("""&amp;"https://docs.google.com/spreadsheets/d/1Wbcosgy-Xa1xXUArJSOenub6EfZHUSzc_bpJFWwQUf0/edit?usp=share_link"",""แม่ฮ่องสอน!J372"")+IMPORTRANGE(""https://docs.google.com/spreadsheets/d/1p7ERhsr0qZeSn-KSOdeHS9r0heI-lHtkcn2OH7hP0jQ/edit?usp=share_link"",""ลำปาง!"&amp;"J372"")+IMPORTRANGE(""https://docs.google.com/spreadsheets/d/1-uUXvimVhiU2U0bMN-xi2te0tS4X7DI2GLPnMjzl8cA/edit?usp=share_link"",""ลำพูน!J372"")+IMPORTRANGE(""https://docs.google.com/spreadsheets/d/17HrOaa5pBUI1onckFfumXB8xlg35qb2uBAFfF1D-Myo/edit?usp=shar"&amp;"e_link"",""สุโขทัย!J372"")+IMPORTRANGE(""https://docs.google.com/spreadsheets/d/1ubs5cl16eYL9gHbdHTJtmtYb9MGzHBs7CAphn8kNCgM/edit?usp=share_link"",""อุตรดิตถ์!J372"")+IMPORTRANGE(""https://docs.google.com/spreadsheets/d/1kII0BjS6CtVrBvI8IrytgPdxDrlyQDyigz"&amp;"MsohRtDMs/edit?usp=share_link"",""อุทัยธานี!J372"")
"),127)</f>
        <v>127</v>
      </c>
      <c r="K372" s="38">
        <f t="shared" ca="1" si="192"/>
        <v>9.4564408041697696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KxicF4apzSqm0-jIpmueT4kyZtE-Cwn5zskl7GD4loQ/edit?usp=share_link"",""กำแพงเพชร!J373"")+IMPORTRANGE(""https://docs.google.com/spreadsheets/d/1ZNYWeiFoFA1K1U4xKWqRX29MBvEyRHXORjo734Gnq_c/edit?usp=share_li"&amp;"nk"",""เชียงราย!J373"")
+IMPORTRANGE(""https://docs.google.com/spreadsheets/d/1Jgv0Y7YlHDtsiDawwp-uvifEJ8HVaSn0k2aGHG8-hwM/edit?usp=share_link"",""เชียงใหม่!J373"")+IMPORTRANGE(""https://docs.google.com/spreadsheets/d/1JWG2rZePOz9pe-f-ObA-yDr0VoOX2kSb0qIi"&amp;"x2mTUo8/edit?usp=share_link"",""ตาก!J373"")+IMPORTRANGE(""https://docs.google.com/spreadsheets/d/10nSRjK08hx8Y6HgSOQKNw81lyY46Zc7U_Cj72hBMp9U/edit?usp=share_link"",""นครสวรรค์!J373"")+IMPORTRANGE(""https://docs.google.com/spreadsheets/d/1gFVb7qd7amutrIxAA"&amp;"oM7lcy35hllxznovot8lyOfvDo/edit?usp=share_link"",""น่าน!J373"")+IMPORTRANGE(""https://docs.google.com/spreadsheets/d/1K0Aa9s-6EuHE5M0FG1F9aHLXRCOV917xvycTdLdct0w/edit?usp=share_link"",""พะเยา!J373"")+IMPORTRANGE(""https://docs.google.com/spreadsheets/d/1Y"&amp;"9LPKx95PyL5OKy09d-KbKJSuuEZCFdkhYjwC0XQjBA/edit?usp=share_link"",""พิจิตร!J373"")+IMPORTRANGE(""https://docs.google.com/spreadsheets/d/16OMuOwy2eVqZcYWOouQtTpa8X1L23h4660uVHc0C8os/edit?usp=share_link"",""พิษณุโลก!J373"")+IMPORTRANGE(""https://docs.google."&amp;"com/spreadsheets/d/1GfgTldLG6k77HXaMQzaafODklYuucJZQNs_GAPEfZyY/edit?usp=share_link"",""เพชรบูรณ์!J373"")+IMPORTRANGE(""https://docs.google.com/spreadsheets/d/1gvTMYAnm7v1yG1BKWFtr0DnaTsq59oW9dwWvFgq6hs0/edit?usp=share_link"",""แพร่!J373"")+IMPORTRANGE("""&amp;"https://docs.google.com/spreadsheets/d/1Wbcosgy-Xa1xXUArJSOenub6EfZHUSzc_bpJFWwQUf0/edit?usp=share_link"",""แม่ฮ่องสอน!J373"")+IMPORTRANGE(""https://docs.google.com/spreadsheets/d/1p7ERhsr0qZeSn-KSOdeHS9r0heI-lHtkcn2OH7hP0jQ/edit?usp=share_link"",""ลำปาง!"&amp;"J373"")+IMPORTRANGE(""https://docs.google.com/spreadsheets/d/1-uUXvimVhiU2U0bMN-xi2te0tS4X7DI2GLPnMjzl8cA/edit?usp=share_link"",""ลำพูน!J373"")+IMPORTRANGE(""https://docs.google.com/spreadsheets/d/17HrOaa5pBUI1onckFfumXB8xlg35qb2uBAFfF1D-Myo/edit?usp=shar"&amp;"e_link"",""สุโขทัย!J373"")+IMPORTRANGE(""https://docs.google.com/spreadsheets/d/1ubs5cl16eYL9gHbdHTJtmtYb9MGzHBs7CAphn8kNCgM/edit?usp=share_link"",""อุตรดิตถ์!J373"")+IMPORTRANGE(""https://docs.google.com/spreadsheets/d/1kII0BjS6CtVrBvI8IrytgPdxDrlyQDyigz"&amp;"MsohRtDMs/edit?usp=share_link"",""อุทัยธานี!J373"")
"),1222.31)</f>
        <v>1222.31</v>
      </c>
      <c r="K373" s="38">
        <f t="shared" si="192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3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KxicF4apzSqm0-jIpmueT4kyZtE-Cwn5zskl7GD4loQ/edit?usp=share_link"",""กำแพงเพชร!I374"")+IMPORTRANGE(""https://docs.google.com/spreadsheets/d/1ZNYWeiFoFA1K1U4xKWqRX29MBvEyRHXORjo734Gnq_c/edit?usp=share_li"&amp;"nk"",""เชียงราย!I374"")
+IMPORTRANGE(""https://docs.google.com/spreadsheets/d/1Jgv0Y7YlHDtsiDawwp-uvifEJ8HVaSn0k2aGHG8-hwM/edit?usp=share_link"",""เชียงใหม่!I374"")+IMPORTRANGE(""https://docs.google.com/spreadsheets/d/1JWG2rZePOz9pe-f-ObA-yDr0VoOX2kSb0qIi"&amp;"x2mTUo8/edit?usp=share_link"",""ตาก!I374"")+IMPORTRANGE(""https://docs.google.com/spreadsheets/d/10nSRjK08hx8Y6HgSOQKNw81lyY46Zc7U_Cj72hBMp9U/edit?usp=share_link"",""นครสวรรค์!I374"")+IMPORTRANGE(""https://docs.google.com/spreadsheets/d/1gFVb7qd7amutrIxAA"&amp;"oM7lcy35hllxznovot8lyOfvDo/edit?usp=share_link"",""น่าน!I374"")+IMPORTRANGE(""https://docs.google.com/spreadsheets/d/1K0Aa9s-6EuHE5M0FG1F9aHLXRCOV917xvycTdLdct0w/edit?usp=share_link"",""พะเยา!I374"")+IMPORTRANGE(""https://docs.google.com/spreadsheets/d/1Y"&amp;"9LPKx95PyL5OKy09d-KbKJSuuEZCFdkhYjwC0XQjBA/edit?usp=share_link"",""พิจิตร!I374"")+IMPORTRANGE(""https://docs.google.com/spreadsheets/d/16OMuOwy2eVqZcYWOouQtTpa8X1L23h4660uVHc0C8os/edit?usp=share_link"",""พิษณุโลก!I374"")+IMPORTRANGE(""https://docs.google."&amp;"com/spreadsheets/d/1GfgTldLG6k77HXaMQzaafODklYuucJZQNs_GAPEfZyY/edit?usp=share_link"",""เพชรบูรณ์!I374"")+IMPORTRANGE(""https://docs.google.com/spreadsheets/d/1gvTMYAnm7v1yG1BKWFtr0DnaTsq59oW9dwWvFgq6hs0/edit?usp=share_link"",""แพร่!I374"")+IMPORTRANGE("""&amp;"https://docs.google.com/spreadsheets/d/1Wbcosgy-Xa1xXUArJSOenub6EfZHUSzc_bpJFWwQUf0/edit?usp=share_link"",""แม่ฮ่องสอน!I374"")+IMPORTRANGE(""https://docs.google.com/spreadsheets/d/1p7ERhsr0qZeSn-KSOdeHS9r0heI-lHtkcn2OH7hP0jQ/edit?usp=share_link"",""ลำปาง!"&amp;"I374"")+IMPORTRANGE(""https://docs.google.com/spreadsheets/d/1-uUXvimVhiU2U0bMN-xi2te0tS4X7DI2GLPnMjzl8cA/edit?usp=share_link"",""ลำพูน!I374"")+IMPORTRANGE(""https://docs.google.com/spreadsheets/d/17HrOaa5pBUI1onckFfumXB8xlg35qb2uBAFfF1D-Myo/edit?usp=shar"&amp;"e_link"",""สุโขทัย!I374"")+IMPORTRANGE(""https://docs.google.com/spreadsheets/d/1ubs5cl16eYL9gHbdHTJtmtYb9MGzHBs7CAphn8kNCgM/edit?usp=share_link"",""อุตรดิตถ์!I374"")+IMPORTRANGE(""https://docs.google.com/spreadsheets/d/1kII0BjS6CtVrBvI8IrytgPdxDrlyQDyigz"&amp;"MsohRtDMs/edit?usp=share_link"",""อุทัยธานี!I374"")
"),8095)</f>
        <v>8095</v>
      </c>
      <c r="J374" s="459">
        <f ca="1">J381</f>
        <v>2328</v>
      </c>
      <c r="K374" s="460">
        <f t="shared" ca="1" si="192"/>
        <v>28.758492896849909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3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KxicF4apzSqm0-jIpmueT4kyZtE-Cwn5zskl7GD4loQ/edit?usp=share_link"",""กำแพงเพชร!J377"")+IMPORTRANGE(""https://docs.google.com/spreadsheets/d/1ZNYWeiFoFA1K1U4xKWqRX29MBvEyRHXORjo734Gnq_c/edit?usp=share_li"&amp;"nk"",""เชียงราย!J377"")
+IMPORTRANGE(""https://docs.google.com/spreadsheets/d/1Jgv0Y7YlHDtsiDawwp-uvifEJ8HVaSn0k2aGHG8-hwM/edit?usp=share_link"",""เชียงใหม่!J377"")+IMPORTRANGE(""https://docs.google.com/spreadsheets/d/1JWG2rZePOz9pe-f-ObA-yDr0VoOX2kSb0qIi"&amp;"x2mTUo8/edit?usp=share_link"",""ตาก!J377"")+IMPORTRANGE(""https://docs.google.com/spreadsheets/d/10nSRjK08hx8Y6HgSOQKNw81lyY46Zc7U_Cj72hBMp9U/edit?usp=share_link"",""นครสวรรค์!J377"")+IMPORTRANGE(""https://docs.google.com/spreadsheets/d/1gFVb7qd7amutrIxAA"&amp;"oM7lcy35hllxznovot8lyOfvDo/edit?usp=share_link"",""น่าน!J377"")+IMPORTRANGE(""https://docs.google.com/spreadsheets/d/1K0Aa9s-6EuHE5M0FG1F9aHLXRCOV917xvycTdLdct0w/edit?usp=share_link"",""พะเยา!J377"")+IMPORTRANGE(""https://docs.google.com/spreadsheets/d/1Y"&amp;"9LPKx95PyL5OKy09d-KbKJSuuEZCFdkhYjwC0XQjBA/edit?usp=share_link"",""พิจิตร!J377"")+IMPORTRANGE(""https://docs.google.com/spreadsheets/d/16OMuOwy2eVqZcYWOouQtTpa8X1L23h4660uVHc0C8os/edit?usp=share_link"",""พิษณุโลก!J377"")+IMPORTRANGE(""https://docs.google."&amp;"com/spreadsheets/d/1GfgTldLG6k77HXaMQzaafODklYuucJZQNs_GAPEfZyY/edit?usp=share_link"",""เพชรบูรณ์!J377"")+IMPORTRANGE(""https://docs.google.com/spreadsheets/d/1gvTMYAnm7v1yG1BKWFtr0DnaTsq59oW9dwWvFgq6hs0/edit?usp=share_link"",""แพร่!J377"")+IMPORTRANGE("""&amp;"https://docs.google.com/spreadsheets/d/1Wbcosgy-Xa1xXUArJSOenub6EfZHUSzc_bpJFWwQUf0/edit?usp=share_link"",""แม่ฮ่องสอน!J377"")+IMPORTRANGE(""https://docs.google.com/spreadsheets/d/1p7ERhsr0qZeSn-KSOdeHS9r0heI-lHtkcn2OH7hP0jQ/edit?usp=share_link"",""ลำปาง!"&amp;"J377"")+IMPORTRANGE(""https://docs.google.com/spreadsheets/d/1-uUXvimVhiU2U0bMN-xi2te0tS4X7DI2GLPnMjzl8cA/edit?usp=share_link"",""ลำพูน!J377"")+IMPORTRANGE(""https://docs.google.com/spreadsheets/d/17HrOaa5pBUI1onckFfumXB8xlg35qb2uBAFfF1D-Myo/edit?usp=shar"&amp;"e_link"",""สุโขทัย!J377"")+IMPORTRANGE(""https://docs.google.com/spreadsheets/d/1ubs5cl16eYL9gHbdHTJtmtYb9MGzHBs7CAphn8kNCgM/edit?usp=share_link"",""อุตรดิตถ์!J377"")+IMPORTRANGE(""https://docs.google.com/spreadsheets/d/1kII0BjS6CtVrBvI8IrytgPdxDrlyQDyigz"&amp;"MsohRtDMs/edit?usp=share_link"",""อุทัยธานี!J377"")
"),978)</f>
        <v>978</v>
      </c>
      <c r="K377" s="466">
        <f t="shared" ref="K377:K382" si="19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KxicF4apzSqm0-jIpmueT4kyZtE-Cwn5zskl7GD4loQ/edit?usp=share_link"",""กำแพงเพชร!I378"")+IMPORTRANGE(""https://docs.google.com/spreadsheets/d/1ZNYWeiFoFA1K1U4xKWqRX29MBvEyRHXORjo734Gnq_c/edit?usp=share_li"&amp;"nk"",""เชียงราย!I378"")
+IMPORTRANGE(""https://docs.google.com/spreadsheets/d/1Jgv0Y7YlHDtsiDawwp-uvifEJ8HVaSn0k2aGHG8-hwM/edit?usp=share_link"",""เชียงใหม่!I378"")+IMPORTRANGE(""https://docs.google.com/spreadsheets/d/1JWG2rZePOz9pe-f-ObA-yDr0VoOX2kSb0qIi"&amp;"x2mTUo8/edit?usp=share_link"",""ตาก!I378"")+IMPORTRANGE(""https://docs.google.com/spreadsheets/d/10nSRjK08hx8Y6HgSOQKNw81lyY46Zc7U_Cj72hBMp9U/edit?usp=share_link"",""นครสวรรค์!I378"")+IMPORTRANGE(""https://docs.google.com/spreadsheets/d/1gFVb7qd7amutrIxAA"&amp;"oM7lcy35hllxznovot8lyOfvDo/edit?usp=share_link"",""น่าน!I378"")+IMPORTRANGE(""https://docs.google.com/spreadsheets/d/1K0Aa9s-6EuHE5M0FG1F9aHLXRCOV917xvycTdLdct0w/edit?usp=share_link"",""พะเยา!I378"")+IMPORTRANGE(""https://docs.google.com/spreadsheets/d/1Y"&amp;"9LPKx95PyL5OKy09d-KbKJSuuEZCFdkhYjwC0XQjBA/edit?usp=share_link"",""พิจิตร!I378"")+IMPORTRANGE(""https://docs.google.com/spreadsheets/d/16OMuOwy2eVqZcYWOouQtTpa8X1L23h4660uVHc0C8os/edit?usp=share_link"",""พิษณุโลก!I378"")+IMPORTRANGE(""https://docs.google."&amp;"com/spreadsheets/d/1GfgTldLG6k77HXaMQzaafODklYuucJZQNs_GAPEfZyY/edit?usp=share_link"",""เพชรบูรณ์!I378"")+IMPORTRANGE(""https://docs.google.com/spreadsheets/d/1gvTMYAnm7v1yG1BKWFtr0DnaTsq59oW9dwWvFgq6hs0/edit?usp=share_link"",""แพร่!I378"")+IMPORTRANGE("""&amp;"https://docs.google.com/spreadsheets/d/1Wbcosgy-Xa1xXUArJSOenub6EfZHUSzc_bpJFWwQUf0/edit?usp=share_link"",""แม่ฮ่องสอน!I378"")+IMPORTRANGE(""https://docs.google.com/spreadsheets/d/1p7ERhsr0qZeSn-KSOdeHS9r0heI-lHtkcn2OH7hP0jQ/edit?usp=share_link"",""ลำปาง!"&amp;"I378"")+IMPORTRANGE(""https://docs.google.com/spreadsheets/d/1-uUXvimVhiU2U0bMN-xi2te0tS4X7DI2GLPnMjzl8cA/edit?usp=share_link"",""ลำพูน!I378"")+IMPORTRANGE(""https://docs.google.com/spreadsheets/d/17HrOaa5pBUI1onckFfumXB8xlg35qb2uBAFfF1D-Myo/edit?usp=shar"&amp;"e_link"",""สุโขทัย!I378"")+IMPORTRANGE(""https://docs.google.com/spreadsheets/d/1ubs5cl16eYL9gHbdHTJtmtYb9MGzHBs7CAphn8kNCgM/edit?usp=share_link"",""อุตรดิตถ์!I378"")+IMPORTRANGE(""https://docs.google.com/spreadsheets/d/1kII0BjS6CtVrBvI8IrytgPdxDrlyQDyigz"&amp;"MsohRtDMs/edit?usp=share_link"",""อุทัยธานี!I378"")
"),22260)</f>
        <v>22260</v>
      </c>
      <c r="J378" s="270">
        <f ca="1">IFERROR(__xludf.DUMMYFUNCTION("IMPORTRANGE(""https://docs.google.com/spreadsheets/d/1KxicF4apzSqm0-jIpmueT4kyZtE-Cwn5zskl7GD4loQ/edit?usp=share_link"",""กำแพงเพชร!J378"")+IMPORTRANGE(""https://docs.google.com/spreadsheets/d/1ZNYWeiFoFA1K1U4xKWqRX29MBvEyRHXORjo734Gnq_c/edit?usp=share_li"&amp;"nk"",""เชียงราย!J378"")
+IMPORTRANGE(""https://docs.google.com/spreadsheets/d/1Jgv0Y7YlHDtsiDawwp-uvifEJ8HVaSn0k2aGHG8-hwM/edit?usp=share_link"",""เชียงใหม่!J378"")+IMPORTRANGE(""https://docs.google.com/spreadsheets/d/1JWG2rZePOz9pe-f-ObA-yDr0VoOX2kSb0qIi"&amp;"x2mTUo8/edit?usp=share_link"",""ตาก!J378"")+IMPORTRANGE(""https://docs.google.com/spreadsheets/d/10nSRjK08hx8Y6HgSOQKNw81lyY46Zc7U_Cj72hBMp9U/edit?usp=share_link"",""นครสวรรค์!J378"")+IMPORTRANGE(""https://docs.google.com/spreadsheets/d/1gFVb7qd7amutrIxAA"&amp;"oM7lcy35hllxznovot8lyOfvDo/edit?usp=share_link"",""น่าน!J378"")+IMPORTRANGE(""https://docs.google.com/spreadsheets/d/1K0Aa9s-6EuHE5M0FG1F9aHLXRCOV917xvycTdLdct0w/edit?usp=share_link"",""พะเยา!J378"")+IMPORTRANGE(""https://docs.google.com/spreadsheets/d/1Y"&amp;"9LPKx95PyL5OKy09d-KbKJSuuEZCFdkhYjwC0XQjBA/edit?usp=share_link"",""พิจิตร!J378"")+IMPORTRANGE(""https://docs.google.com/spreadsheets/d/16OMuOwy2eVqZcYWOouQtTpa8X1L23h4660uVHc0C8os/edit?usp=share_link"",""พิษณุโลก!J378"")+IMPORTRANGE(""https://docs.google."&amp;"com/spreadsheets/d/1GfgTldLG6k77HXaMQzaafODklYuucJZQNs_GAPEfZyY/edit?usp=share_link"",""เพชรบูรณ์!J378"")+IMPORTRANGE(""https://docs.google.com/spreadsheets/d/1gvTMYAnm7v1yG1BKWFtr0DnaTsq59oW9dwWvFgq6hs0/edit?usp=share_link"",""แพร่!J378"")+IMPORTRANGE("""&amp;"https://docs.google.com/spreadsheets/d/1Wbcosgy-Xa1xXUArJSOenub6EfZHUSzc_bpJFWwQUf0/edit?usp=share_link"",""แม่ฮ่องสอน!J378"")+IMPORTRANGE(""https://docs.google.com/spreadsheets/d/1p7ERhsr0qZeSn-KSOdeHS9r0heI-lHtkcn2OH7hP0jQ/edit?usp=share_link"",""ลำปาง!"&amp;"J378"")+IMPORTRANGE(""https://docs.google.com/spreadsheets/d/1-uUXvimVhiU2U0bMN-xi2te0tS4X7DI2GLPnMjzl8cA/edit?usp=share_link"",""ลำพูน!J378"")+IMPORTRANGE(""https://docs.google.com/spreadsheets/d/17HrOaa5pBUI1onckFfumXB8xlg35qb2uBAFfF1D-Myo/edit?usp=shar"&amp;"e_link"",""สุโขทัย!J378"")+IMPORTRANGE(""https://docs.google.com/spreadsheets/d/1ubs5cl16eYL9gHbdHTJtmtYb9MGzHBs7CAphn8kNCgM/edit?usp=share_link"",""อุตรดิตถ์!J378"")+IMPORTRANGE(""https://docs.google.com/spreadsheets/d/1kII0BjS6CtVrBvI8IrytgPdxDrlyQDyigz"&amp;"MsohRtDMs/edit?usp=share_link"",""อุทัยธานี!J378"")
"),6998.64)</f>
        <v>6998.64</v>
      </c>
      <c r="K378" s="466">
        <f t="shared" ca="1" si="193"/>
        <v>31.44043126684636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KxicF4apzSqm0-jIpmueT4kyZtE-Cwn5zskl7GD4loQ/edit?usp=share_link"",""กำแพงเพชร!I379"")+IMPORTRANGE(""https://docs.google.com/spreadsheets/d/1ZNYWeiFoFA1K1U4xKWqRX29MBvEyRHXORjo734Gnq_c/edit?usp=share_li"&amp;"nk"",""เชียงราย!I379"")
+IMPORTRANGE(""https://docs.google.com/spreadsheets/d/1Jgv0Y7YlHDtsiDawwp-uvifEJ8HVaSn0k2aGHG8-hwM/edit?usp=share_link"",""เชียงใหม่!I379"")+IMPORTRANGE(""https://docs.google.com/spreadsheets/d/1JWG2rZePOz9pe-f-ObA-yDr0VoOX2kSb0qIi"&amp;"x2mTUo8/edit?usp=share_link"",""ตาก!I379"")+IMPORTRANGE(""https://docs.google.com/spreadsheets/d/10nSRjK08hx8Y6HgSOQKNw81lyY46Zc7U_Cj72hBMp9U/edit?usp=share_link"",""นครสวรรค์!I379"")+IMPORTRANGE(""https://docs.google.com/spreadsheets/d/1gFVb7qd7amutrIxAA"&amp;"oM7lcy35hllxznovot8lyOfvDo/edit?usp=share_link"",""น่าน!I379"")+IMPORTRANGE(""https://docs.google.com/spreadsheets/d/1K0Aa9s-6EuHE5M0FG1F9aHLXRCOV917xvycTdLdct0w/edit?usp=share_link"",""พะเยา!I379"")+IMPORTRANGE(""https://docs.google.com/spreadsheets/d/1Y"&amp;"9LPKx95PyL5OKy09d-KbKJSuuEZCFdkhYjwC0XQjBA/edit?usp=share_link"",""พิจิตร!I379"")+IMPORTRANGE(""https://docs.google.com/spreadsheets/d/16OMuOwy2eVqZcYWOouQtTpa8X1L23h4660uVHc0C8os/edit?usp=share_link"",""พิษณุโลก!I379"")+IMPORTRANGE(""https://docs.google."&amp;"com/spreadsheets/d/1GfgTldLG6k77HXaMQzaafODklYuucJZQNs_GAPEfZyY/edit?usp=share_link"",""เพชรบูรณ์!I379"")+IMPORTRANGE(""https://docs.google.com/spreadsheets/d/1gvTMYAnm7v1yG1BKWFtr0DnaTsq59oW9dwWvFgq6hs0/edit?usp=share_link"",""แพร่!I379"")+IMPORTRANGE("""&amp;"https://docs.google.com/spreadsheets/d/1Wbcosgy-Xa1xXUArJSOenub6EfZHUSzc_bpJFWwQUf0/edit?usp=share_link"",""แม่ฮ่องสอน!I379"")+IMPORTRANGE(""https://docs.google.com/spreadsheets/d/1p7ERhsr0qZeSn-KSOdeHS9r0heI-lHtkcn2OH7hP0jQ/edit?usp=share_link"",""ลำปาง!"&amp;"I379"")+IMPORTRANGE(""https://docs.google.com/spreadsheets/d/1-uUXvimVhiU2U0bMN-xi2te0tS4X7DI2GLPnMjzl8cA/edit?usp=share_link"",""ลำพูน!I379"")+IMPORTRANGE(""https://docs.google.com/spreadsheets/d/17HrOaa5pBUI1onckFfumXB8xlg35qb2uBAFfF1D-Myo/edit?usp=shar"&amp;"e_link"",""สุโขทัย!I379"")+IMPORTRANGE(""https://docs.google.com/spreadsheets/d/1ubs5cl16eYL9gHbdHTJtmtYb9MGzHBs7CAphn8kNCgM/edit?usp=share_link"",""อุตรดิตถ์!I379"")+IMPORTRANGE(""https://docs.google.com/spreadsheets/d/1kII0BjS6CtVrBvI8IrytgPdxDrlyQDyigz"&amp;"MsohRtDMs/edit?usp=share_link"",""อุทัยธานี!I379"")
"),8095)</f>
        <v>8095</v>
      </c>
      <c r="J379" s="270">
        <f ca="1">IFERROR(__xludf.DUMMYFUNCTION("IMPORTRANGE(""https://docs.google.com/spreadsheets/d/1KxicF4apzSqm0-jIpmueT4kyZtE-Cwn5zskl7GD4loQ/edit?usp=share_link"",""กำแพงเพชร!J379"")+IMPORTRANGE(""https://docs.google.com/spreadsheets/d/1ZNYWeiFoFA1K1U4xKWqRX29MBvEyRHXORjo734Gnq_c/edit?usp=share_li"&amp;"nk"",""เชียงราย!J379"")
+IMPORTRANGE(""https://docs.google.com/spreadsheets/d/1Jgv0Y7YlHDtsiDawwp-uvifEJ8HVaSn0k2aGHG8-hwM/edit?usp=share_link"",""เชียงใหม่!J379"")+IMPORTRANGE(""https://docs.google.com/spreadsheets/d/1JWG2rZePOz9pe-f-ObA-yDr0VoOX2kSb0qIi"&amp;"x2mTUo8/edit?usp=share_link"",""ตาก!J379"")+IMPORTRANGE(""https://docs.google.com/spreadsheets/d/10nSRjK08hx8Y6HgSOQKNw81lyY46Zc7U_Cj72hBMp9U/edit?usp=share_link"",""นครสวรรค์!J379"")+IMPORTRANGE(""https://docs.google.com/spreadsheets/d/1gFVb7qd7amutrIxAA"&amp;"oM7lcy35hllxznovot8lyOfvDo/edit?usp=share_link"",""น่าน!J379"")+IMPORTRANGE(""https://docs.google.com/spreadsheets/d/1K0Aa9s-6EuHE5M0FG1F9aHLXRCOV917xvycTdLdct0w/edit?usp=share_link"",""พะเยา!J379"")+IMPORTRANGE(""https://docs.google.com/spreadsheets/d/1Y"&amp;"9LPKx95PyL5OKy09d-KbKJSuuEZCFdkhYjwC0XQjBA/edit?usp=share_link"",""พิจิตร!J379"")+IMPORTRANGE(""https://docs.google.com/spreadsheets/d/16OMuOwy2eVqZcYWOouQtTpa8X1L23h4660uVHc0C8os/edit?usp=share_link"",""พิษณุโลก!J379"")+IMPORTRANGE(""https://docs.google."&amp;"com/spreadsheets/d/1GfgTldLG6k77HXaMQzaafODklYuucJZQNs_GAPEfZyY/edit?usp=share_link"",""เพชรบูรณ์!J379"")+IMPORTRANGE(""https://docs.google.com/spreadsheets/d/1gvTMYAnm7v1yG1BKWFtr0DnaTsq59oW9dwWvFgq6hs0/edit?usp=share_link"",""แพร่!J379"")+IMPORTRANGE("""&amp;"https://docs.google.com/spreadsheets/d/1Wbcosgy-Xa1xXUArJSOenub6EfZHUSzc_bpJFWwQUf0/edit?usp=share_link"",""แม่ฮ่องสอน!J379"")+IMPORTRANGE(""https://docs.google.com/spreadsheets/d/1p7ERhsr0qZeSn-KSOdeHS9r0heI-lHtkcn2OH7hP0jQ/edit?usp=share_link"",""ลำปาง!"&amp;"J379"")+IMPORTRANGE(""https://docs.google.com/spreadsheets/d/1-uUXvimVhiU2U0bMN-xi2te0tS4X7DI2GLPnMjzl8cA/edit?usp=share_link"",""ลำพูน!J379"")+IMPORTRANGE(""https://docs.google.com/spreadsheets/d/17HrOaa5pBUI1onckFfumXB8xlg35qb2uBAFfF1D-Myo/edit?usp=shar"&amp;"e_link"",""สุโขทัย!J379"")+IMPORTRANGE(""https://docs.google.com/spreadsheets/d/1ubs5cl16eYL9gHbdHTJtmtYb9MGzHBs7CAphn8kNCgM/edit?usp=share_link"",""อุตรดิตถ์!J379"")+IMPORTRANGE(""https://docs.google.com/spreadsheets/d/1kII0BjS6CtVrBvI8IrytgPdxDrlyQDyigz"&amp;"MsohRtDMs/edit?usp=share_link"",""อุทัยธานี!J379"")
"),2591)</f>
        <v>2591</v>
      </c>
      <c r="K379" s="466">
        <f t="shared" ca="1" si="193"/>
        <v>32.007411982705371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KxicF4apzSqm0-jIpmueT4kyZtE-Cwn5zskl7GD4loQ/edit?usp=share_link"",""กำแพงเพชร!J380"")+IMPORTRANGE(""https://docs.google.com/spreadsheets/d/1ZNYWeiFoFA1K1U4xKWqRX29MBvEyRHXORjo734Gnq_c/edit?usp=share_li"&amp;"nk"",""เชียงราย!J380"")
+IMPORTRANGE(""https://docs.google.com/spreadsheets/d/1Jgv0Y7YlHDtsiDawwp-uvifEJ8HVaSn0k2aGHG8-hwM/edit?usp=share_link"",""เชียงใหม่!J380"")+IMPORTRANGE(""https://docs.google.com/spreadsheets/d/1JWG2rZePOz9pe-f-ObA-yDr0VoOX2kSb0qIi"&amp;"x2mTUo8/edit?usp=share_link"",""ตาก!J380"")+IMPORTRANGE(""https://docs.google.com/spreadsheets/d/10nSRjK08hx8Y6HgSOQKNw81lyY46Zc7U_Cj72hBMp9U/edit?usp=share_link"",""นครสวรรค์!J380"")+IMPORTRANGE(""https://docs.google.com/spreadsheets/d/1gFVb7qd7amutrIxAA"&amp;"oM7lcy35hllxznovot8lyOfvDo/edit?usp=share_link"",""น่าน!J380"")+IMPORTRANGE(""https://docs.google.com/spreadsheets/d/1K0Aa9s-6EuHE5M0FG1F9aHLXRCOV917xvycTdLdct0w/edit?usp=share_link"",""พะเยา!J380"")+IMPORTRANGE(""https://docs.google.com/spreadsheets/d/1Y"&amp;"9LPKx95PyL5OKy09d-KbKJSuuEZCFdkhYjwC0XQjBA/edit?usp=share_link"",""พิจิตร!J380"")+IMPORTRANGE(""https://docs.google.com/spreadsheets/d/16OMuOwy2eVqZcYWOouQtTpa8X1L23h4660uVHc0C8os/edit?usp=share_link"",""พิษณุโลก!J380"")+IMPORTRANGE(""https://docs.google."&amp;"com/spreadsheets/d/1GfgTldLG6k77HXaMQzaafODklYuucJZQNs_GAPEfZyY/edit?usp=share_link"",""เพชรบูรณ์!J380"")+IMPORTRANGE(""https://docs.google.com/spreadsheets/d/1gvTMYAnm7v1yG1BKWFtr0DnaTsq59oW9dwWvFgq6hs0/edit?usp=share_link"",""แพร่!J380"")+IMPORTRANGE("""&amp;"https://docs.google.com/spreadsheets/d/1Wbcosgy-Xa1xXUArJSOenub6EfZHUSzc_bpJFWwQUf0/edit?usp=share_link"",""แม่ฮ่องสอน!J380"")+IMPORTRANGE(""https://docs.google.com/spreadsheets/d/1p7ERhsr0qZeSn-KSOdeHS9r0heI-lHtkcn2OH7hP0jQ/edit?usp=share_link"",""ลำปาง!"&amp;"J380"")+IMPORTRANGE(""https://docs.google.com/spreadsheets/d/1-uUXvimVhiU2U0bMN-xi2te0tS4X7DI2GLPnMjzl8cA/edit?usp=share_link"",""ลำพูน!J380"")+IMPORTRANGE(""https://docs.google.com/spreadsheets/d/17HrOaa5pBUI1onckFfumXB8xlg35qb2uBAFfF1D-Myo/edit?usp=shar"&amp;"e_link"",""สุโขทัย!J380"")+IMPORTRANGE(""https://docs.google.com/spreadsheets/d/1ubs5cl16eYL9gHbdHTJtmtYb9MGzHBs7CAphn8kNCgM/edit?usp=share_link"",""อุตรดิตถ์!J380"")+IMPORTRANGE(""https://docs.google.com/spreadsheets/d/1kII0BjS6CtVrBvI8IrytgPdxDrlyQDyigz"&amp;"MsohRtDMs/edit?usp=share_link"",""อุทัยธานี!J380"")
"),29003.05)</f>
        <v>29003.05</v>
      </c>
      <c r="K380" s="466">
        <f t="shared" si="19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KxicF4apzSqm0-jIpmueT4kyZtE-Cwn5zskl7GD4loQ/edit?usp=share_link"",""กำแพงเพชร!I381"")+IMPORTRANGE(""https://docs.google.com/spreadsheets/d/1ZNYWeiFoFA1K1U4xKWqRX29MBvEyRHXORjo734Gnq_c/edit?usp=share_li"&amp;"nk"",""เชียงราย!I381"")
+IMPORTRANGE(""https://docs.google.com/spreadsheets/d/1Jgv0Y7YlHDtsiDawwp-uvifEJ8HVaSn0k2aGHG8-hwM/edit?usp=share_link"",""เชียงใหม่!I381"")+IMPORTRANGE(""https://docs.google.com/spreadsheets/d/1JWG2rZePOz9pe-f-ObA-yDr0VoOX2kSb0qIi"&amp;"x2mTUo8/edit?usp=share_link"",""ตาก!I381"")+IMPORTRANGE(""https://docs.google.com/spreadsheets/d/10nSRjK08hx8Y6HgSOQKNw81lyY46Zc7U_Cj72hBMp9U/edit?usp=share_link"",""นครสวรรค์!I381"")+IMPORTRANGE(""https://docs.google.com/spreadsheets/d/1gFVb7qd7amutrIxAA"&amp;"oM7lcy35hllxznovot8lyOfvDo/edit?usp=share_link"",""น่าน!I381"")+IMPORTRANGE(""https://docs.google.com/spreadsheets/d/1K0Aa9s-6EuHE5M0FG1F9aHLXRCOV917xvycTdLdct0w/edit?usp=share_link"",""พะเยา!I381"")+IMPORTRANGE(""https://docs.google.com/spreadsheets/d/1Y"&amp;"9LPKx95PyL5OKy09d-KbKJSuuEZCFdkhYjwC0XQjBA/edit?usp=share_link"",""พิจิตร!I381"")+IMPORTRANGE(""https://docs.google.com/spreadsheets/d/16OMuOwy2eVqZcYWOouQtTpa8X1L23h4660uVHc0C8os/edit?usp=share_link"",""พิษณุโลก!I381"")+IMPORTRANGE(""https://docs.google."&amp;"com/spreadsheets/d/1GfgTldLG6k77HXaMQzaafODklYuucJZQNs_GAPEfZyY/edit?usp=share_link"",""เพชรบูรณ์!I381"")+IMPORTRANGE(""https://docs.google.com/spreadsheets/d/1gvTMYAnm7v1yG1BKWFtr0DnaTsq59oW9dwWvFgq6hs0/edit?usp=share_link"",""แพร่!I381"")+IMPORTRANGE("""&amp;"https://docs.google.com/spreadsheets/d/1Wbcosgy-Xa1xXUArJSOenub6EfZHUSzc_bpJFWwQUf0/edit?usp=share_link"",""แม่ฮ่องสอน!I381"")+IMPORTRANGE(""https://docs.google.com/spreadsheets/d/1p7ERhsr0qZeSn-KSOdeHS9r0heI-lHtkcn2OH7hP0jQ/edit?usp=share_link"",""ลำปาง!"&amp;"I381"")+IMPORTRANGE(""https://docs.google.com/spreadsheets/d/1-uUXvimVhiU2U0bMN-xi2te0tS4X7DI2GLPnMjzl8cA/edit?usp=share_link"",""ลำพูน!I381"")+IMPORTRANGE(""https://docs.google.com/spreadsheets/d/17HrOaa5pBUI1onckFfumXB8xlg35qb2uBAFfF1D-Myo/edit?usp=shar"&amp;"e_link"",""สุโขทัย!I381"")+IMPORTRANGE(""https://docs.google.com/spreadsheets/d/1ubs5cl16eYL9gHbdHTJtmtYb9MGzHBs7CAphn8kNCgM/edit?usp=share_link"",""อุตรดิตถ์!I381"")+IMPORTRANGE(""https://docs.google.com/spreadsheets/d/1kII0BjS6CtVrBvI8IrytgPdxDrlyQDyigz"&amp;"MsohRtDMs/edit?usp=share_link"",""อุทัยธานี!I381"")
"),8095)</f>
        <v>8095</v>
      </c>
      <c r="J381" s="270">
        <f ca="1">IFERROR(__xludf.DUMMYFUNCTION("IMPORTRANGE(""https://docs.google.com/spreadsheets/d/1KxicF4apzSqm0-jIpmueT4kyZtE-Cwn5zskl7GD4loQ/edit?usp=share_link"",""กำแพงเพชร!J381"")+IMPORTRANGE(""https://docs.google.com/spreadsheets/d/1ZNYWeiFoFA1K1U4xKWqRX29MBvEyRHXORjo734Gnq_c/edit?usp=share_li"&amp;"nk"",""เชียงราย!J381"")
+IMPORTRANGE(""https://docs.google.com/spreadsheets/d/1Jgv0Y7YlHDtsiDawwp-uvifEJ8HVaSn0k2aGHG8-hwM/edit?usp=share_link"",""เชียงใหม่!J381"")+IMPORTRANGE(""https://docs.google.com/spreadsheets/d/1JWG2rZePOz9pe-f-ObA-yDr0VoOX2kSb0qIi"&amp;"x2mTUo8/edit?usp=share_link"",""ตาก!J381"")+IMPORTRANGE(""https://docs.google.com/spreadsheets/d/10nSRjK08hx8Y6HgSOQKNw81lyY46Zc7U_Cj72hBMp9U/edit?usp=share_link"",""นครสวรรค์!J381"")+IMPORTRANGE(""https://docs.google.com/spreadsheets/d/1gFVb7qd7amutrIxAA"&amp;"oM7lcy35hllxznovot8lyOfvDo/edit?usp=share_link"",""น่าน!J381"")+IMPORTRANGE(""https://docs.google.com/spreadsheets/d/1K0Aa9s-6EuHE5M0FG1F9aHLXRCOV917xvycTdLdct0w/edit?usp=share_link"",""พะเยา!J381"")+IMPORTRANGE(""https://docs.google.com/spreadsheets/d/1Y"&amp;"9LPKx95PyL5OKy09d-KbKJSuuEZCFdkhYjwC0XQjBA/edit?usp=share_link"",""พิจิตร!J381"")+IMPORTRANGE(""https://docs.google.com/spreadsheets/d/16OMuOwy2eVqZcYWOouQtTpa8X1L23h4660uVHc0C8os/edit?usp=share_link"",""พิษณุโลก!J381"")+IMPORTRANGE(""https://docs.google."&amp;"com/spreadsheets/d/1GfgTldLG6k77HXaMQzaafODklYuucJZQNs_GAPEfZyY/edit?usp=share_link"",""เพชรบูรณ์!J381"")+IMPORTRANGE(""https://docs.google.com/spreadsheets/d/1gvTMYAnm7v1yG1BKWFtr0DnaTsq59oW9dwWvFgq6hs0/edit?usp=share_link"",""แพร่!J381"")+IMPORTRANGE("""&amp;"https://docs.google.com/spreadsheets/d/1Wbcosgy-Xa1xXUArJSOenub6EfZHUSzc_bpJFWwQUf0/edit?usp=share_link"",""แม่ฮ่องสอน!J381"")+IMPORTRANGE(""https://docs.google.com/spreadsheets/d/1p7ERhsr0qZeSn-KSOdeHS9r0heI-lHtkcn2OH7hP0jQ/edit?usp=share_link"",""ลำปาง!"&amp;"J381"")+IMPORTRANGE(""https://docs.google.com/spreadsheets/d/1-uUXvimVhiU2U0bMN-xi2te0tS4X7DI2GLPnMjzl8cA/edit?usp=share_link"",""ลำพูน!J381"")+IMPORTRANGE(""https://docs.google.com/spreadsheets/d/17HrOaa5pBUI1onckFfumXB8xlg35qb2uBAFfF1D-Myo/edit?usp=shar"&amp;"e_link"",""สุโขทัย!J381"")+IMPORTRANGE(""https://docs.google.com/spreadsheets/d/1ubs5cl16eYL9gHbdHTJtmtYb9MGzHBs7CAphn8kNCgM/edit?usp=share_link"",""อุตรดิตถ์!J381"")+IMPORTRANGE(""https://docs.google.com/spreadsheets/d/1kII0BjS6CtVrBvI8IrytgPdxDrlyQDyigz"&amp;"MsohRtDMs/edit?usp=share_link"",""อุทัยธานี!J381"")
"),2328)</f>
        <v>2328</v>
      </c>
      <c r="K381" s="466">
        <f t="shared" ca="1" si="193"/>
        <v>28.758492896849909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KxicF4apzSqm0-jIpmueT4kyZtE-Cwn5zskl7GD4loQ/edit?usp=share_link"",""กำแพงเพชร!J382"")+IMPORTRANGE(""https://docs.google.com/spreadsheets/d/1ZNYWeiFoFA1K1U4xKWqRX29MBvEyRHXORjo734Gnq_c/edit?usp=share_li"&amp;"nk"",""เชียงราย!J382"")
+IMPORTRANGE(""https://docs.google.com/spreadsheets/d/1Jgv0Y7YlHDtsiDawwp-uvifEJ8HVaSn0k2aGHG8-hwM/edit?usp=share_link"",""เชียงใหม่!J382"")+IMPORTRANGE(""https://docs.google.com/spreadsheets/d/1JWG2rZePOz9pe-f-ObA-yDr0VoOX2kSb0qIi"&amp;"x2mTUo8/edit?usp=share_link"",""ตาก!J382"")+IMPORTRANGE(""https://docs.google.com/spreadsheets/d/10nSRjK08hx8Y6HgSOQKNw81lyY46Zc7U_Cj72hBMp9U/edit?usp=share_link"",""นครสวรรค์!J382"")+IMPORTRANGE(""https://docs.google.com/spreadsheets/d/1gFVb7qd7amutrIxAA"&amp;"oM7lcy35hllxznovot8lyOfvDo/edit?usp=share_link"",""น่าน!J382"")+IMPORTRANGE(""https://docs.google.com/spreadsheets/d/1K0Aa9s-6EuHE5M0FG1F9aHLXRCOV917xvycTdLdct0w/edit?usp=share_link"",""พะเยา!J382"")+IMPORTRANGE(""https://docs.google.com/spreadsheets/d/1Y"&amp;"9LPKx95PyL5OKy09d-KbKJSuuEZCFdkhYjwC0XQjBA/edit?usp=share_link"",""พิจิตร!J382"")+IMPORTRANGE(""https://docs.google.com/spreadsheets/d/16OMuOwy2eVqZcYWOouQtTpa8X1L23h4660uVHc0C8os/edit?usp=share_link"",""พิษณุโลก!J382"")+IMPORTRANGE(""https://docs.google."&amp;"com/spreadsheets/d/1GfgTldLG6k77HXaMQzaafODklYuucJZQNs_GAPEfZyY/edit?usp=share_link"",""เพชรบูรณ์!J382"")+IMPORTRANGE(""https://docs.google.com/spreadsheets/d/1gvTMYAnm7v1yG1BKWFtr0DnaTsq59oW9dwWvFgq6hs0/edit?usp=share_link"",""แพร่!J382"")+IMPORTRANGE("""&amp;"https://docs.google.com/spreadsheets/d/1Wbcosgy-Xa1xXUArJSOenub6EfZHUSzc_bpJFWwQUf0/edit?usp=share_link"",""แม่ฮ่องสอน!J382"")+IMPORTRANGE(""https://docs.google.com/spreadsheets/d/1p7ERhsr0qZeSn-KSOdeHS9r0heI-lHtkcn2OH7hP0jQ/edit?usp=share_link"",""ลำปาง!"&amp;"J382"")+IMPORTRANGE(""https://docs.google.com/spreadsheets/d/1-uUXvimVhiU2U0bMN-xi2te0tS4X7DI2GLPnMjzl8cA/edit?usp=share_link"",""ลำพูน!J382"")+IMPORTRANGE(""https://docs.google.com/spreadsheets/d/17HrOaa5pBUI1onckFfumXB8xlg35qb2uBAFfF1D-Myo/edit?usp=shar"&amp;"e_link"",""สุโขทัย!J382"")+IMPORTRANGE(""https://docs.google.com/spreadsheets/d/1ubs5cl16eYL9gHbdHTJtmtYb9MGzHBs7CAphn8kNCgM/edit?usp=share_link"",""อุตรดิตถ์!J382"")+IMPORTRANGE(""https://docs.google.com/spreadsheets/d/1kII0BjS6CtVrBvI8IrytgPdxDrlyQDyigz"&amp;"MsohRtDMs/edit?usp=share_link"",""อุทัยธานี!J382"")
"),26971.24)</f>
        <v>26971.24</v>
      </c>
      <c r="K382" s="466">
        <f t="shared" si="193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423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7" t="s">
        <v>163</v>
      </c>
      <c r="F385" s="350"/>
      <c r="G385" s="351"/>
      <c r="H385" s="468" t="s">
        <v>35</v>
      </c>
      <c r="I385" s="469">
        <f ca="1">IFERROR(__xludf.DUMMYFUNCTION("IMPORTRANGE(""https://docs.google.com/spreadsheets/d/1KxicF4apzSqm0-jIpmueT4kyZtE-Cwn5zskl7GD4loQ/edit?usp=share_link"",""กำแพงเพชร!I385"")+IMPORTRANGE(""https://docs.google.com/spreadsheets/d/1ZNYWeiFoFA1K1U4xKWqRX29MBvEyRHXORjo734Gnq_c/edit?usp=share_li"&amp;"nk"",""เชียงราย!I385"")
+IMPORTRANGE(""https://docs.google.com/spreadsheets/d/1Jgv0Y7YlHDtsiDawwp-uvifEJ8HVaSn0k2aGHG8-hwM/edit?usp=share_link"",""เชียงใหม่!I385"")+IMPORTRANGE(""https://docs.google.com/spreadsheets/d/1JWG2rZePOz9pe-f-ObA-yDr0VoOX2kSb0qIi"&amp;"x2mTUo8/edit?usp=share_link"",""ตาก!I385"")+IMPORTRANGE(""https://docs.google.com/spreadsheets/d/10nSRjK08hx8Y6HgSOQKNw81lyY46Zc7U_Cj72hBMp9U/edit?usp=share_link"",""นครสวรรค์!I385"")+IMPORTRANGE(""https://docs.google.com/spreadsheets/d/1gFVb7qd7amutrIxAA"&amp;"oM7lcy35hllxznovot8lyOfvDo/edit?usp=share_link"",""น่าน!I385"")+IMPORTRANGE(""https://docs.google.com/spreadsheets/d/1K0Aa9s-6EuHE5M0FG1F9aHLXRCOV917xvycTdLdct0w/edit?usp=share_link"",""พะเยา!I385"")+IMPORTRANGE(""https://docs.google.com/spreadsheets/d/1Y"&amp;"9LPKx95PyL5OKy09d-KbKJSuuEZCFdkhYjwC0XQjBA/edit?usp=share_link"",""พิจิตร!I385"")+IMPORTRANGE(""https://docs.google.com/spreadsheets/d/16OMuOwy2eVqZcYWOouQtTpa8X1L23h4660uVHc0C8os/edit?usp=share_link"",""พิษณุโลก!I385"")+IMPORTRANGE(""https://docs.google."&amp;"com/spreadsheets/d/1GfgTldLG6k77HXaMQzaafODklYuucJZQNs_GAPEfZyY/edit?usp=share_link"",""เพชรบูรณ์!I385"")+IMPORTRANGE(""https://docs.google.com/spreadsheets/d/1gvTMYAnm7v1yG1BKWFtr0DnaTsq59oW9dwWvFgq6hs0/edit?usp=share_link"",""แพร่!I385"")+IMPORTRANGE("""&amp;"https://docs.google.com/spreadsheets/d/1Wbcosgy-Xa1xXUArJSOenub6EfZHUSzc_bpJFWwQUf0/edit?usp=share_link"",""แม่ฮ่องสอน!I385"")+IMPORTRANGE(""https://docs.google.com/spreadsheets/d/1p7ERhsr0qZeSn-KSOdeHS9r0heI-lHtkcn2OH7hP0jQ/edit?usp=share_link"",""ลำปาง!"&amp;"I385"")+IMPORTRANGE(""https://docs.google.com/spreadsheets/d/1-uUXvimVhiU2U0bMN-xi2te0tS4X7DI2GLPnMjzl8cA/edit?usp=share_link"",""ลำพูน!I385"")+IMPORTRANGE(""https://docs.google.com/spreadsheets/d/17HrOaa5pBUI1onckFfumXB8xlg35qb2uBAFfF1D-Myo/edit?usp=shar"&amp;"e_link"",""สุโขทัย!I385"")+IMPORTRANGE(""https://docs.google.com/spreadsheets/d/1ubs5cl16eYL9gHbdHTJtmtYb9MGzHBs7CAphn8kNCgM/edit?usp=share_link"",""อุตรดิตถ์!I385"")+IMPORTRANGE(""https://docs.google.com/spreadsheets/d/1kII0BjS6CtVrBvI8IrytgPdxDrlyQDyigz"&amp;"MsohRtDMs/edit?usp=share_link"",""อุทัยธานี!I385"")
"),760)</f>
        <v>760</v>
      </c>
      <c r="J385" s="469">
        <f ca="1">IFERROR(__xludf.DUMMYFUNCTION("IMPORTRANGE(""https://docs.google.com/spreadsheets/d/1KxicF4apzSqm0-jIpmueT4kyZtE-Cwn5zskl7GD4loQ/edit?usp=share_link"",""กำแพงเพชร!J385"")+IMPORTRANGE(""https://docs.google.com/spreadsheets/d/1ZNYWeiFoFA1K1U4xKWqRX29MBvEyRHXORjo734Gnq_c/edit?usp=share_li"&amp;"nk"",""เชียงราย!J385"")
+IMPORTRANGE(""https://docs.google.com/spreadsheets/d/1Jgv0Y7YlHDtsiDawwp-uvifEJ8HVaSn0k2aGHG8-hwM/edit?usp=share_link"",""เชียงใหม่!J385"")+IMPORTRANGE(""https://docs.google.com/spreadsheets/d/1JWG2rZePOz9pe-f-ObA-yDr0VoOX2kSb0qIi"&amp;"x2mTUo8/edit?usp=share_link"",""ตาก!J385"")+IMPORTRANGE(""https://docs.google.com/spreadsheets/d/10nSRjK08hx8Y6HgSOQKNw81lyY46Zc7U_Cj72hBMp9U/edit?usp=share_link"",""นครสวรรค์!J385"")+IMPORTRANGE(""https://docs.google.com/spreadsheets/d/1gFVb7qd7amutrIxAA"&amp;"oM7lcy35hllxznovot8lyOfvDo/edit?usp=share_link"",""น่าน!J385"")+IMPORTRANGE(""https://docs.google.com/spreadsheets/d/1K0Aa9s-6EuHE5M0FG1F9aHLXRCOV917xvycTdLdct0w/edit?usp=share_link"",""พะเยา!J385"")+IMPORTRANGE(""https://docs.google.com/spreadsheets/d/1Y"&amp;"9LPKx95PyL5OKy09d-KbKJSuuEZCFdkhYjwC0XQjBA/edit?usp=share_link"",""พิจิตร!J385"")+IMPORTRANGE(""https://docs.google.com/spreadsheets/d/16OMuOwy2eVqZcYWOouQtTpa8X1L23h4660uVHc0C8os/edit?usp=share_link"",""พิษณุโลก!J385"")+IMPORTRANGE(""https://docs.google."&amp;"com/spreadsheets/d/1GfgTldLG6k77HXaMQzaafODklYuucJZQNs_GAPEfZyY/edit?usp=share_link"",""เพชรบูรณ์!J385"")+IMPORTRANGE(""https://docs.google.com/spreadsheets/d/1gvTMYAnm7v1yG1BKWFtr0DnaTsq59oW9dwWvFgq6hs0/edit?usp=share_link"",""แพร่!J385"")+IMPORTRANGE("""&amp;"https://docs.google.com/spreadsheets/d/1Wbcosgy-Xa1xXUArJSOenub6EfZHUSzc_bpJFWwQUf0/edit?usp=share_link"",""แม่ฮ่องสอน!J385"")+IMPORTRANGE(""https://docs.google.com/spreadsheets/d/1p7ERhsr0qZeSn-KSOdeHS9r0heI-lHtkcn2OH7hP0jQ/edit?usp=share_link"",""ลำปาง!"&amp;"J385"")+IMPORTRANGE(""https://docs.google.com/spreadsheets/d/1-uUXvimVhiU2U0bMN-xi2te0tS4X7DI2GLPnMjzl8cA/edit?usp=share_link"",""ลำพูน!J385"")+IMPORTRANGE(""https://docs.google.com/spreadsheets/d/17HrOaa5pBUI1onckFfumXB8xlg35qb2uBAFfF1D-Myo/edit?usp=shar"&amp;"e_link"",""สุโขทัย!J385"")+IMPORTRANGE(""https://docs.google.com/spreadsheets/d/1ubs5cl16eYL9gHbdHTJtmtYb9MGzHBs7CAphn8kNCgM/edit?usp=share_link"",""อุตรดิตถ์!J385"")+IMPORTRANGE(""https://docs.google.com/spreadsheets/d/1kII0BjS6CtVrBvI8IrytgPdxDrlyQDyigz"&amp;"MsohRtDMs/edit?usp=share_link"",""อุทัยธานี!J385"")
"),88)</f>
        <v>88</v>
      </c>
      <c r="K385" s="470">
        <f ca="1">IF(I385&gt;0,J385*100/I385,0)</f>
        <v>11.578947368421053</v>
      </c>
      <c r="L385" s="354"/>
      <c r="M385" s="354"/>
      <c r="N385" s="354"/>
      <c r="O385" s="354"/>
      <c r="P385" s="354"/>
    </row>
    <row r="386" spans="1:26" ht="19.5" hidden="1">
      <c r="A386" s="471" t="s">
        <v>171</v>
      </c>
      <c r="B386" s="472"/>
      <c r="C386" s="472"/>
      <c r="D386" s="472"/>
      <c r="E386" s="473"/>
      <c r="F386" s="473"/>
      <c r="G386" s="474"/>
      <c r="H386" s="475"/>
      <c r="I386" s="476"/>
      <c r="J386" s="476"/>
      <c r="K386" s="477"/>
      <c r="L386" s="477"/>
      <c r="M386" s="477"/>
      <c r="N386" s="477"/>
      <c r="O386" s="477"/>
      <c r="P386" s="477"/>
    </row>
    <row r="387" spans="1:26" ht="19.5" hidden="1">
      <c r="A387" s="478" t="s">
        <v>172</v>
      </c>
      <c r="B387" s="479"/>
      <c r="C387" s="479"/>
      <c r="D387" s="480"/>
      <c r="E387" s="479"/>
      <c r="F387" s="479"/>
      <c r="G387" s="479"/>
      <c r="H387" s="481"/>
      <c r="I387" s="482"/>
      <c r="J387" s="482"/>
      <c r="K387" s="483"/>
      <c r="L387" s="483"/>
      <c r="M387" s="483"/>
      <c r="N387" s="483"/>
      <c r="O387" s="483"/>
      <c r="P387" s="483"/>
    </row>
    <row r="388" spans="1:26" ht="19.5" hidden="1">
      <c r="A388" s="484"/>
      <c r="B388" s="485" t="s">
        <v>173</v>
      </c>
      <c r="C388" s="486"/>
      <c r="D388" s="487"/>
      <c r="E388" s="487"/>
      <c r="F388" s="487"/>
      <c r="G388" s="488"/>
      <c r="H388" s="489" t="s">
        <v>66</v>
      </c>
      <c r="I388" s="490">
        <f t="shared" ref="I388:J388" ca="1" si="194">I400</f>
        <v>0</v>
      </c>
      <c r="J388" s="490">
        <f t="shared" ca="1" si="194"/>
        <v>0</v>
      </c>
      <c r="K388" s="491">
        <f ca="1">IF(I388&gt;0,J388*100/I388,0)</f>
        <v>0</v>
      </c>
      <c r="L388" s="492"/>
      <c r="M388" s="492"/>
      <c r="N388" s="492"/>
      <c r="O388" s="492"/>
      <c r="P388" s="492"/>
    </row>
    <row r="389" spans="1:26" ht="19.5" hidden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5">L390+L391</f>
        <v>0</v>
      </c>
      <c r="M389" s="155">
        <f t="shared" ca="1" si="195"/>
        <v>0</v>
      </c>
      <c r="N389" s="155">
        <f t="shared" ca="1" si="195"/>
        <v>0</v>
      </c>
      <c r="O389" s="155">
        <f t="shared" ref="O389:O397" ca="1" si="196">IF(L389&gt;0,N389*100/L389,0)</f>
        <v>0</v>
      </c>
      <c r="P389" s="155">
        <f t="shared" ref="P389:P397" ca="1" si="19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8">L393+L396</f>
        <v>0</v>
      </c>
      <c r="M390" s="45">
        <f t="shared" si="198"/>
        <v>0</v>
      </c>
      <c r="N390" s="45">
        <f t="shared" si="198"/>
        <v>0</v>
      </c>
      <c r="O390" s="45">
        <f t="shared" si="196"/>
        <v>0</v>
      </c>
      <c r="P390" s="45">
        <f t="shared" si="19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9">L394+L397</f>
        <v>0</v>
      </c>
      <c r="M391" s="45">
        <f t="shared" ca="1" si="199"/>
        <v>0</v>
      </c>
      <c r="N391" s="45">
        <f t="shared" ca="1" si="199"/>
        <v>0</v>
      </c>
      <c r="O391" s="45">
        <f t="shared" ca="1" si="196"/>
        <v>0</v>
      </c>
      <c r="P391" s="45">
        <f t="shared" ca="1" si="19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200">L393+L394</f>
        <v>0</v>
      </c>
      <c r="M392" s="38">
        <f t="shared" ca="1" si="200"/>
        <v>0</v>
      </c>
      <c r="N392" s="38">
        <f t="shared" ca="1" si="200"/>
        <v>0</v>
      </c>
      <c r="O392" s="38">
        <f t="shared" ca="1" si="196"/>
        <v>0</v>
      </c>
      <c r="P392" s="38">
        <f t="shared" ca="1" si="19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6"/>
        <v>0</v>
      </c>
      <c r="P393" s="45">
        <f t="shared" si="19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KxicF4apzSqm0-jIpmueT4kyZtE-Cwn5zskl7GD4loQ/edit?usp=share_link"",""กำแพงเพชร!l394"")+IMPORTRANGE(""https://docs.google.com/spreadsheets/d/1ZNYWeiFoFA1K1U4xKWqRX29MBvEyRHXORjo734Gnq_c/edit?usp=share_li"&amp;"nk"",""เชียงราย!l394"")
+IMPORTRANGE(""https://docs.google.com/spreadsheets/d/1Jgv0Y7YlHDtsiDawwp-uvifEJ8HVaSn0k2aGHG8-hwM/edit?usp=share_link"",""เชียงใหม่!l394"")+IMPORTRANGE(""https://docs.google.com/spreadsheets/d/1JWG2rZePOz9pe-f-ObA-yDr0VoOX2kSb0qIi"&amp;"x2mTUo8/edit?usp=share_link"",""ตาก!l394"")+IMPORTRANGE(""https://docs.google.com/spreadsheets/d/10nSRjK08hx8Y6HgSOQKNw81lyY46Zc7U_Cj72hBMp9U/edit?usp=share_link"",""นครสวรรค์!l394"")+IMPORTRANGE(""https://docs.google.com/spreadsheets/d/1gFVb7qd7amutrIxAA"&amp;"oM7lcy35hllxznovot8lyOfvDo/edit?usp=share_link"",""น่าน!l394"")+IMPORTRANGE(""https://docs.google.com/spreadsheets/d/1K0Aa9s-6EuHE5M0FG1F9aHLXRCOV917xvycTdLdct0w/edit?usp=share_link"",""พะเยา!l394"")+IMPORTRANGE(""https://docs.google.com/spreadsheets/d/1Y"&amp;"9LPKx95PyL5OKy09d-KbKJSuuEZCFdkhYjwC0XQjBA/edit?usp=share_link"",""พิจิตร!l394"")+IMPORTRANGE(""https://docs.google.com/spreadsheets/d/16OMuOwy2eVqZcYWOouQtTpa8X1L23h4660uVHc0C8os/edit?usp=share_link"",""พิษณุโลก!l394"")+IMPORTRANGE(""https://docs.google."&amp;"com/spreadsheets/d/1GfgTldLG6k77HXaMQzaafODklYuucJZQNs_GAPEfZyY/edit?usp=share_link"",""เพชรบูรณ์!l394"")+IMPORTRANGE(""https://docs.google.com/spreadsheets/d/1gvTMYAnm7v1yG1BKWFtr0DnaTsq59oW9dwWvFgq6hs0/edit?usp=share_link"",""แพร่!l394"")+IMPORTRANGE("""&amp;"https://docs.google.com/spreadsheets/d/1Wbcosgy-Xa1xXUArJSOenub6EfZHUSzc_bpJFWwQUf0/edit?usp=share_link"",""แม่ฮ่องสอน!l394"")+IMPORTRANGE(""https://docs.google.com/spreadsheets/d/1p7ERhsr0qZeSn-KSOdeHS9r0heI-lHtkcn2OH7hP0jQ/edit?usp=share_link"",""ลำปาง!"&amp;"l394"")+IMPORTRANGE(""https://docs.google.com/spreadsheets/d/1-uUXvimVhiU2U0bMN-xi2te0tS4X7DI2GLPnMjzl8cA/edit?usp=share_link"",""ลำพูน!l394"")+IMPORTRANGE(""https://docs.google.com/spreadsheets/d/17HrOaa5pBUI1onckFfumXB8xlg35qb2uBAFfF1D-Myo/edit?usp=shar"&amp;"e_link"",""สุโขทัย!l394"")+IMPORTRANGE(""https://docs.google.com/spreadsheets/d/1ubs5cl16eYL9gHbdHTJtmtYb9MGzHBs7CAphn8kNCgM/edit?usp=share_link"",""อุตรดิตถ์!l394"")+IMPORTRANGE(""https://docs.google.com/spreadsheets/d/1kII0BjS6CtVrBvI8IrytgPdxDrlyQDyigz"&amp;"MsohRtDMs/edit?usp=share_link"",""อุทัยธานี!l394"")
"),0)</f>
        <v>0</v>
      </c>
      <c r="M394" s="45">
        <f ca="1">IFERROR(__xludf.DUMMYFUNCTION("IMPORTRANGE(""https://docs.google.com/spreadsheets/d/1KxicF4apzSqm0-jIpmueT4kyZtE-Cwn5zskl7GD4loQ/edit?usp=share_link"",""กำแพงเพชร!m394"")+IMPORTRANGE(""https://docs.google.com/spreadsheets/d/1ZNYWeiFoFA1K1U4xKWqRX29MBvEyRHXORjo734Gnq_c/edit?usp=share_li"&amp;"nk"",""เชียงราย!m394"")
+IMPORTRANGE(""https://docs.google.com/spreadsheets/d/1Jgv0Y7YlHDtsiDawwp-uvifEJ8HVaSn0k2aGHG8-hwM/edit?usp=share_link"",""เชียงใหม่!m394"")+IMPORTRANGE(""https://docs.google.com/spreadsheets/d/1JWG2rZePOz9pe-f-ObA-yDr0VoOX2kSb0qIi"&amp;"x2mTUo8/edit?usp=share_link"",""ตาก!m394"")+IMPORTRANGE(""https://docs.google.com/spreadsheets/d/10nSRjK08hx8Y6HgSOQKNw81lyY46Zc7U_Cj72hBMp9U/edit?usp=share_link"",""นครสวรรค์!m394"")+IMPORTRANGE(""https://docs.google.com/spreadsheets/d/1gFVb7qd7amutrIxAA"&amp;"oM7lcy35hllxznovot8lyOfvDo/edit?usp=share_link"",""น่าน!m394"")+IMPORTRANGE(""https://docs.google.com/spreadsheets/d/1K0Aa9s-6EuHE5M0FG1F9aHLXRCOV917xvycTdLdct0w/edit?usp=share_link"",""พะเยา!m394"")+IMPORTRANGE(""https://docs.google.com/spreadsheets/d/1Y"&amp;"9LPKx95PyL5OKy09d-KbKJSuuEZCFdkhYjwC0XQjBA/edit?usp=share_link"",""พิจิตร!m394"")+IMPORTRANGE(""https://docs.google.com/spreadsheets/d/16OMuOwy2eVqZcYWOouQtTpa8X1L23h4660uVHc0C8os/edit?usp=share_link"",""พิษณุโลก!m394"")+IMPORTRANGE(""https://docs.google."&amp;"com/spreadsheets/d/1GfgTldLG6k77HXaMQzaafODklYuucJZQNs_GAPEfZyY/edit?usp=share_link"",""เพชรบูรณ์!m394"")+IMPORTRANGE(""https://docs.google.com/spreadsheets/d/1gvTMYAnm7v1yG1BKWFtr0DnaTsq59oW9dwWvFgq6hs0/edit?usp=share_link"",""แพร่!m394"")+IMPORTRANGE("""&amp;"https://docs.google.com/spreadsheets/d/1Wbcosgy-Xa1xXUArJSOenub6EfZHUSzc_bpJFWwQUf0/edit?usp=share_link"",""แม่ฮ่องสอน!m394"")+IMPORTRANGE(""https://docs.google.com/spreadsheets/d/1p7ERhsr0qZeSn-KSOdeHS9r0heI-lHtkcn2OH7hP0jQ/edit?usp=share_link"",""ลำปาง!"&amp;"m394"")+IMPORTRANGE(""https://docs.google.com/spreadsheets/d/1-uUXvimVhiU2U0bMN-xi2te0tS4X7DI2GLPnMjzl8cA/edit?usp=share_link"",""ลำพูน!m394"")+IMPORTRANGE(""https://docs.google.com/spreadsheets/d/17HrOaa5pBUI1onckFfumXB8xlg35qb2uBAFfF1D-Myo/edit?usp=shar"&amp;"e_link"",""สุโขทัย!m394"")+IMPORTRANGE(""https://docs.google.com/spreadsheets/d/1ubs5cl16eYL9gHbdHTJtmtYb9MGzHBs7CAphn8kNCgM/edit?usp=share_link"",""อุตรดิตถ์!m394"")+IMPORTRANGE(""https://docs.google.com/spreadsheets/d/1kII0BjS6CtVrBvI8IrytgPdxDrlyQDyigz"&amp;"MsohRtDMs/edit?usp=share_link"",""อุทัยธานี!m394"")
"),0)</f>
        <v>0</v>
      </c>
      <c r="N394" s="45">
        <f ca="1">IFERROR(__xludf.DUMMYFUNCTION("IMPORTRANGE(""https://docs.google.com/spreadsheets/d/1KxicF4apzSqm0-jIpmueT4kyZtE-Cwn5zskl7GD4loQ/edit?usp=share_link"",""กำแพงเพชร!n394"")+IMPORTRANGE(""https://docs.google.com/spreadsheets/d/1ZNYWeiFoFA1K1U4xKWqRX29MBvEyRHXORjo734Gnq_c/edit?usp=share_li"&amp;"nk"",""เชียงราย!n394"")
+IMPORTRANGE(""https://docs.google.com/spreadsheets/d/1Jgv0Y7YlHDtsiDawwp-uvifEJ8HVaSn0k2aGHG8-hwM/edit?usp=share_link"",""เชียงใหม่!n394"")+IMPORTRANGE(""https://docs.google.com/spreadsheets/d/1JWG2rZePOz9pe-f-ObA-yDr0VoOX2kSb0qIi"&amp;"x2mTUo8/edit?usp=share_link"",""ตาก!n394"")+IMPORTRANGE(""https://docs.google.com/spreadsheets/d/10nSRjK08hx8Y6HgSOQKNw81lyY46Zc7U_Cj72hBMp9U/edit?usp=share_link"",""นครสวรรค์!n394"")+IMPORTRANGE(""https://docs.google.com/spreadsheets/d/1gFVb7qd7amutrIxAA"&amp;"oM7lcy35hllxznovot8lyOfvDo/edit?usp=share_link"",""น่าน!n394"")+IMPORTRANGE(""https://docs.google.com/spreadsheets/d/1K0Aa9s-6EuHE5M0FG1F9aHLXRCOV917xvycTdLdct0w/edit?usp=share_link"",""พะเยา!n394"")+IMPORTRANGE(""https://docs.google.com/spreadsheets/d/1Y"&amp;"9LPKx95PyL5OKy09d-KbKJSuuEZCFdkhYjwC0XQjBA/edit?usp=share_link"",""พิจิตร!n394"")+IMPORTRANGE(""https://docs.google.com/spreadsheets/d/16OMuOwy2eVqZcYWOouQtTpa8X1L23h4660uVHc0C8os/edit?usp=share_link"",""พิษณุโลก!n394"")+IMPORTRANGE(""https://docs.google."&amp;"com/spreadsheets/d/1GfgTldLG6k77HXaMQzaafODklYuucJZQNs_GAPEfZyY/edit?usp=share_link"",""เพชรบูรณ์!n394"")+IMPORTRANGE(""https://docs.google.com/spreadsheets/d/1gvTMYAnm7v1yG1BKWFtr0DnaTsq59oW9dwWvFgq6hs0/edit?usp=share_link"",""แพร่!n394"")+IMPORTRANGE("""&amp;"https://docs.google.com/spreadsheets/d/1Wbcosgy-Xa1xXUArJSOenub6EfZHUSzc_bpJFWwQUf0/edit?usp=share_link"",""แม่ฮ่องสอน!n394"")+IMPORTRANGE(""https://docs.google.com/spreadsheets/d/1p7ERhsr0qZeSn-KSOdeHS9r0heI-lHtkcn2OH7hP0jQ/edit?usp=share_link"",""ลำปาง!"&amp;"n394"")+IMPORTRANGE(""https://docs.google.com/spreadsheets/d/1-uUXvimVhiU2U0bMN-xi2te0tS4X7DI2GLPnMjzl8cA/edit?usp=share_link"",""ลำพูน!n394"")+IMPORTRANGE(""https://docs.google.com/spreadsheets/d/17HrOaa5pBUI1onckFfumXB8xlg35qb2uBAFfF1D-Myo/edit?usp=shar"&amp;"e_link"",""สุโขทัย!n394"")+IMPORTRANGE(""https://docs.google.com/spreadsheets/d/1ubs5cl16eYL9gHbdHTJtmtYb9MGzHBs7CAphn8kNCgM/edit?usp=share_link"",""อุตรดิตถ์!n394"")+IMPORTRANGE(""https://docs.google.com/spreadsheets/d/1kII0BjS6CtVrBvI8IrytgPdxDrlyQDyigz"&amp;"MsohRtDMs/edit?usp=share_link"",""อุทัยธานี!n394"")
"),0)</f>
        <v>0</v>
      </c>
      <c r="O394" s="45">
        <f t="shared" ca="1" si="196"/>
        <v>0</v>
      </c>
      <c r="P394" s="45">
        <f t="shared" ca="1" si="19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201">L396+L397</f>
        <v>0</v>
      </c>
      <c r="M395" s="38">
        <f t="shared" ca="1" si="201"/>
        <v>0</v>
      </c>
      <c r="N395" s="38">
        <f t="shared" ca="1" si="201"/>
        <v>0</v>
      </c>
      <c r="O395" s="38">
        <f t="shared" ca="1" si="196"/>
        <v>0</v>
      </c>
      <c r="P395" s="38">
        <f t="shared" ca="1" si="19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6"/>
        <v>0</v>
      </c>
      <c r="P396" s="45">
        <f t="shared" si="19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KxicF4apzSqm0-jIpmueT4kyZtE-Cwn5zskl7GD4loQ/edit?usp=share_link"",""กำแพงเพชร!l397"")+IMPORTRANGE(""https://docs.google.com/spreadsheets/d/1ZNYWeiFoFA1K1U4xKWqRX29MBvEyRHXORjo734Gnq_c/edit?usp=share_li"&amp;"nk"",""เชียงราย!l397"")
+IMPORTRANGE(""https://docs.google.com/spreadsheets/d/1Jgv0Y7YlHDtsiDawwp-uvifEJ8HVaSn0k2aGHG8-hwM/edit?usp=share_link"",""เชียงใหม่!l397"")+IMPORTRANGE(""https://docs.google.com/spreadsheets/d/1JWG2rZePOz9pe-f-ObA-yDr0VoOX2kSb0qIi"&amp;"x2mTUo8/edit?usp=share_link"",""ตาก!l397"")+IMPORTRANGE(""https://docs.google.com/spreadsheets/d/10nSRjK08hx8Y6HgSOQKNw81lyY46Zc7U_Cj72hBMp9U/edit?usp=share_link"",""นครสวรรค์!l397"")+IMPORTRANGE(""https://docs.google.com/spreadsheets/d/1gFVb7qd7amutrIxAA"&amp;"oM7lcy35hllxznovot8lyOfvDo/edit?usp=share_link"",""น่าน!l397"")+IMPORTRANGE(""https://docs.google.com/spreadsheets/d/1K0Aa9s-6EuHE5M0FG1F9aHLXRCOV917xvycTdLdct0w/edit?usp=share_link"",""พะเยา!l397"")+IMPORTRANGE(""https://docs.google.com/spreadsheets/d/1Y"&amp;"9LPKx95PyL5OKy09d-KbKJSuuEZCFdkhYjwC0XQjBA/edit?usp=share_link"",""พิจิตร!l397"")+IMPORTRANGE(""https://docs.google.com/spreadsheets/d/16OMuOwy2eVqZcYWOouQtTpa8X1L23h4660uVHc0C8os/edit?usp=share_link"",""พิษณุโลก!l397"")+IMPORTRANGE(""https://docs.google."&amp;"com/spreadsheets/d/1GfgTldLG6k77HXaMQzaafODklYuucJZQNs_GAPEfZyY/edit?usp=share_link"",""เพชรบูรณ์!l397"")+IMPORTRANGE(""https://docs.google.com/spreadsheets/d/1gvTMYAnm7v1yG1BKWFtr0DnaTsq59oW9dwWvFgq6hs0/edit?usp=share_link"",""แพร่!l397"")+IMPORTRANGE("""&amp;"https://docs.google.com/spreadsheets/d/1Wbcosgy-Xa1xXUArJSOenub6EfZHUSzc_bpJFWwQUf0/edit?usp=share_link"",""แม่ฮ่องสอน!l397"")+IMPORTRANGE(""https://docs.google.com/spreadsheets/d/1p7ERhsr0qZeSn-KSOdeHS9r0heI-lHtkcn2OH7hP0jQ/edit?usp=share_link"",""ลำปาง!"&amp;"l397"")+IMPORTRANGE(""https://docs.google.com/spreadsheets/d/1-uUXvimVhiU2U0bMN-xi2te0tS4X7DI2GLPnMjzl8cA/edit?usp=share_link"",""ลำพูน!l397"")+IMPORTRANGE(""https://docs.google.com/spreadsheets/d/17HrOaa5pBUI1onckFfumXB8xlg35qb2uBAFfF1D-Myo/edit?usp=shar"&amp;"e_link"",""สุโขทัย!l397"")+IMPORTRANGE(""https://docs.google.com/spreadsheets/d/1ubs5cl16eYL9gHbdHTJtmtYb9MGzHBs7CAphn8kNCgM/edit?usp=share_link"",""อุตรดิตถ์!l397"")+IMPORTRANGE(""https://docs.google.com/spreadsheets/d/1kII0BjS6CtVrBvI8IrytgPdxDrlyQDyigz"&amp;"MsohRtDMs/edit?usp=share_link"",""อุทัยธานี!l397"")
"),0)</f>
        <v>0</v>
      </c>
      <c r="M397" s="45">
        <f ca="1">IFERROR(__xludf.DUMMYFUNCTION("IMPORTRANGE(""https://docs.google.com/spreadsheets/d/1KxicF4apzSqm0-jIpmueT4kyZtE-Cwn5zskl7GD4loQ/edit?usp=share_link"",""กำแพงเพชร!m397"")+IMPORTRANGE(""https://docs.google.com/spreadsheets/d/1ZNYWeiFoFA1K1U4xKWqRX29MBvEyRHXORjo734Gnq_c/edit?usp=share_li"&amp;"nk"",""เชียงราย!m397"")
+IMPORTRANGE(""https://docs.google.com/spreadsheets/d/1Jgv0Y7YlHDtsiDawwp-uvifEJ8HVaSn0k2aGHG8-hwM/edit?usp=share_link"",""เชียงใหม่!m397"")+IMPORTRANGE(""https://docs.google.com/spreadsheets/d/1JWG2rZePOz9pe-f-ObA-yDr0VoOX2kSb0qIi"&amp;"x2mTUo8/edit?usp=share_link"",""ตาก!m397"")+IMPORTRANGE(""https://docs.google.com/spreadsheets/d/10nSRjK08hx8Y6HgSOQKNw81lyY46Zc7U_Cj72hBMp9U/edit?usp=share_link"",""นครสวรรค์!m397"")+IMPORTRANGE(""https://docs.google.com/spreadsheets/d/1gFVb7qd7amutrIxAA"&amp;"oM7lcy35hllxznovot8lyOfvDo/edit?usp=share_link"",""น่าน!m397"")+IMPORTRANGE(""https://docs.google.com/spreadsheets/d/1K0Aa9s-6EuHE5M0FG1F9aHLXRCOV917xvycTdLdct0w/edit?usp=share_link"",""พะเยา!m397"")+IMPORTRANGE(""https://docs.google.com/spreadsheets/d/1Y"&amp;"9LPKx95PyL5OKy09d-KbKJSuuEZCFdkhYjwC0XQjBA/edit?usp=share_link"",""พิจิตร!m397"")+IMPORTRANGE(""https://docs.google.com/spreadsheets/d/16OMuOwy2eVqZcYWOouQtTpa8X1L23h4660uVHc0C8os/edit?usp=share_link"",""พิษณุโลก!m397"")+IMPORTRANGE(""https://docs.google."&amp;"com/spreadsheets/d/1GfgTldLG6k77HXaMQzaafODklYuucJZQNs_GAPEfZyY/edit?usp=share_link"",""เพชรบูรณ์!m397"")+IMPORTRANGE(""https://docs.google.com/spreadsheets/d/1gvTMYAnm7v1yG1BKWFtr0DnaTsq59oW9dwWvFgq6hs0/edit?usp=share_link"",""แพร่!m397"")+IMPORTRANGE("""&amp;"https://docs.google.com/spreadsheets/d/1Wbcosgy-Xa1xXUArJSOenub6EfZHUSzc_bpJFWwQUf0/edit?usp=share_link"",""แม่ฮ่องสอน!m397"")+IMPORTRANGE(""https://docs.google.com/spreadsheets/d/1p7ERhsr0qZeSn-KSOdeHS9r0heI-lHtkcn2OH7hP0jQ/edit?usp=share_link"",""ลำปาง!"&amp;"m397"")+IMPORTRANGE(""https://docs.google.com/spreadsheets/d/1-uUXvimVhiU2U0bMN-xi2te0tS4X7DI2GLPnMjzl8cA/edit?usp=share_link"",""ลำพูน!m397"")+IMPORTRANGE(""https://docs.google.com/spreadsheets/d/17HrOaa5pBUI1onckFfumXB8xlg35qb2uBAFfF1D-Myo/edit?usp=shar"&amp;"e_link"",""สุโขทัย!m397"")+IMPORTRANGE(""https://docs.google.com/spreadsheets/d/1ubs5cl16eYL9gHbdHTJtmtYb9MGzHBs7CAphn8kNCgM/edit?usp=share_link"",""อุตรดิตถ์!m397"")+IMPORTRANGE(""https://docs.google.com/spreadsheets/d/1kII0BjS6CtVrBvI8IrytgPdxDrlyQDyigz"&amp;"MsohRtDMs/edit?usp=share_link"",""อุทัยธานี!m397"")
"),0)</f>
        <v>0</v>
      </c>
      <c r="N397" s="45">
        <f ca="1">IFERROR(__xludf.DUMMYFUNCTION("IMPORTRANGE(""https://docs.google.com/spreadsheets/d/1KxicF4apzSqm0-jIpmueT4kyZtE-Cwn5zskl7GD4loQ/edit?usp=share_link"",""กำแพงเพชร!n397"")+IMPORTRANGE(""https://docs.google.com/spreadsheets/d/1ZNYWeiFoFA1K1U4xKWqRX29MBvEyRHXORjo734Gnq_c/edit?usp=share_li"&amp;"nk"",""เชียงราย!n397"")
+IMPORTRANGE(""https://docs.google.com/spreadsheets/d/1Jgv0Y7YlHDtsiDawwp-uvifEJ8HVaSn0k2aGHG8-hwM/edit?usp=share_link"",""เชียงใหม่!n397"")+IMPORTRANGE(""https://docs.google.com/spreadsheets/d/1JWG2rZePOz9pe-f-ObA-yDr0VoOX2kSb0qIi"&amp;"x2mTUo8/edit?usp=share_link"",""ตาก!n397"")+IMPORTRANGE(""https://docs.google.com/spreadsheets/d/10nSRjK08hx8Y6HgSOQKNw81lyY46Zc7U_Cj72hBMp9U/edit?usp=share_link"",""นครสวรรค์!n397"")+IMPORTRANGE(""https://docs.google.com/spreadsheets/d/1gFVb7qd7amutrIxAA"&amp;"oM7lcy35hllxznovot8lyOfvDo/edit?usp=share_link"",""น่าน!n397"")+IMPORTRANGE(""https://docs.google.com/spreadsheets/d/1K0Aa9s-6EuHE5M0FG1F9aHLXRCOV917xvycTdLdct0w/edit?usp=share_link"",""พะเยา!n397"")+IMPORTRANGE(""https://docs.google.com/spreadsheets/d/1Y"&amp;"9LPKx95PyL5OKy09d-KbKJSuuEZCFdkhYjwC0XQjBA/edit?usp=share_link"",""พิจิตร!n397"")+IMPORTRANGE(""https://docs.google.com/spreadsheets/d/16OMuOwy2eVqZcYWOouQtTpa8X1L23h4660uVHc0C8os/edit?usp=share_link"",""พิษณุโลก!n397"")+IMPORTRANGE(""https://docs.google."&amp;"com/spreadsheets/d/1GfgTldLG6k77HXaMQzaafODklYuucJZQNs_GAPEfZyY/edit?usp=share_link"",""เพชรบูรณ์!n397"")+IMPORTRANGE(""https://docs.google.com/spreadsheets/d/1gvTMYAnm7v1yG1BKWFtr0DnaTsq59oW9dwWvFgq6hs0/edit?usp=share_link"",""แพร่!n397"")+IMPORTRANGE("""&amp;"https://docs.google.com/spreadsheets/d/1Wbcosgy-Xa1xXUArJSOenub6EfZHUSzc_bpJFWwQUf0/edit?usp=share_link"",""แม่ฮ่องสอน!n397"")+IMPORTRANGE(""https://docs.google.com/spreadsheets/d/1p7ERhsr0qZeSn-KSOdeHS9r0heI-lHtkcn2OH7hP0jQ/edit?usp=share_link"",""ลำปาง!"&amp;"n397"")+IMPORTRANGE(""https://docs.google.com/spreadsheets/d/1-uUXvimVhiU2U0bMN-xi2te0tS4X7DI2GLPnMjzl8cA/edit?usp=share_link"",""ลำพูน!n397"")+IMPORTRANGE(""https://docs.google.com/spreadsheets/d/17HrOaa5pBUI1onckFfumXB8xlg35qb2uBAFfF1D-Myo/edit?usp=shar"&amp;"e_link"",""สุโขทัย!n397"")+IMPORTRANGE(""https://docs.google.com/spreadsheets/d/1ubs5cl16eYL9gHbdHTJtmtYb9MGzHBs7CAphn8kNCgM/edit?usp=share_link"",""อุตรดิตถ์!n397"")+IMPORTRANGE(""https://docs.google.com/spreadsheets/d/1kII0BjS6CtVrBvI8IrytgPdxDrlyQDyigz"&amp;"MsohRtDMs/edit?usp=share_link"",""อุทัยธานี!n397"")
"),0)</f>
        <v>0</v>
      </c>
      <c r="O397" s="45">
        <f t="shared" ca="1" si="196"/>
        <v>0</v>
      </c>
      <c r="P397" s="45">
        <f t="shared" ca="1" si="19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18.75" hidden="1">
      <c r="A399" s="493"/>
      <c r="B399" s="148"/>
      <c r="C399" s="494"/>
      <c r="D399" s="495" t="s">
        <v>174</v>
      </c>
      <c r="E399" s="384"/>
      <c r="F399" s="148"/>
      <c r="G399" s="151"/>
      <c r="H399" s="496" t="s">
        <v>9</v>
      </c>
      <c r="I399" s="270">
        <f ca="1">IFERROR(__xludf.DUMMYFUNCTION("IMPORTRANGE(""https://docs.google.com/spreadsheets/d/1KxicF4apzSqm0-jIpmueT4kyZtE-Cwn5zskl7GD4loQ/edit?usp=share_link"",""กำแพงเพชร!I399"")+IMPORTRANGE(""https://docs.google.com/spreadsheets/d/1ZNYWeiFoFA1K1U4xKWqRX29MBvEyRHXORjo734Gnq_c/edit?usp=share_li"&amp;"nk"",""เชียงราย!I399"")
+IMPORTRANGE(""https://docs.google.com/spreadsheets/d/1Jgv0Y7YlHDtsiDawwp-uvifEJ8HVaSn0k2aGHG8-hwM/edit?usp=share_link"",""เชียงใหม่!I399"")+IMPORTRANGE(""https://docs.google.com/spreadsheets/d/1JWG2rZePOz9pe-f-ObA-yDr0VoOX2kSb0qIi"&amp;"x2mTUo8/edit?usp=share_link"",""ตาก!I399"")+IMPORTRANGE(""https://docs.google.com/spreadsheets/d/10nSRjK08hx8Y6HgSOQKNw81lyY46Zc7U_Cj72hBMp9U/edit?usp=share_link"",""นครสวรรค์!I399"")+IMPORTRANGE(""https://docs.google.com/spreadsheets/d/1gFVb7qd7amutrIxAA"&amp;"oM7lcy35hllxznovot8lyOfvDo/edit?usp=share_link"",""น่าน!I399"")+IMPORTRANGE(""https://docs.google.com/spreadsheets/d/1K0Aa9s-6EuHE5M0FG1F9aHLXRCOV917xvycTdLdct0w/edit?usp=share_link"",""พะเยา!I399"")+IMPORTRANGE(""https://docs.google.com/spreadsheets/d/1Y"&amp;"9LPKx95PyL5OKy09d-KbKJSuuEZCFdkhYjwC0XQjBA/edit?usp=share_link"",""พิจิตร!I399"")+IMPORTRANGE(""https://docs.google.com/spreadsheets/d/16OMuOwy2eVqZcYWOouQtTpa8X1L23h4660uVHc0C8os/edit?usp=share_link"",""พิษณุโลก!I399"")+IMPORTRANGE(""https://docs.google."&amp;"com/spreadsheets/d/1GfgTldLG6k77HXaMQzaafODklYuucJZQNs_GAPEfZyY/edit?usp=share_link"",""เพชรบูรณ์!I399"")+IMPORTRANGE(""https://docs.google.com/spreadsheets/d/1gvTMYAnm7v1yG1BKWFtr0DnaTsq59oW9dwWvFgq6hs0/edit?usp=share_link"",""แพร่!I399"")+IMPORTRANGE("""&amp;"https://docs.google.com/spreadsheets/d/1Wbcosgy-Xa1xXUArJSOenub6EfZHUSzc_bpJFWwQUf0/edit?usp=share_link"",""แม่ฮ่องสอน!I399"")+IMPORTRANGE(""https://docs.google.com/spreadsheets/d/1p7ERhsr0qZeSn-KSOdeHS9r0heI-lHtkcn2OH7hP0jQ/edit?usp=share_link"",""ลำปาง!"&amp;"I399"")+IMPORTRANGE(""https://docs.google.com/spreadsheets/d/1-uUXvimVhiU2U0bMN-xi2te0tS4X7DI2GLPnMjzl8cA/edit?usp=share_link"",""ลำพูน!I399"")+IMPORTRANGE(""https://docs.google.com/spreadsheets/d/17HrOaa5pBUI1onckFfumXB8xlg35qb2uBAFfF1D-Myo/edit?usp=shar"&amp;"e_link"",""สุโขทัย!I399"")+IMPORTRANGE(""https://docs.google.com/spreadsheets/d/1ubs5cl16eYL9gHbdHTJtmtYb9MGzHBs7CAphn8kNCgM/edit?usp=share_link"",""อุตรดิตถ์!I399"")+IMPORTRANGE(""https://docs.google.com/spreadsheets/d/1kII0BjS6CtVrBvI8IrytgPdxDrlyQDyigz"&amp;"MsohRtDMs/edit?usp=share_link"",""อุทัยธานี!I399"")
"),0)</f>
        <v>0</v>
      </c>
      <c r="J399" s="183">
        <f ca="1">IFERROR(__xludf.DUMMYFUNCTION("IMPORTRANGE(""https://docs.google.com/spreadsheets/d/1KxicF4apzSqm0-jIpmueT4kyZtE-Cwn5zskl7GD4loQ/edit?usp=share_link"",""กำแพงเพชร!J399"")+IMPORTRANGE(""https://docs.google.com/spreadsheets/d/1ZNYWeiFoFA1K1U4xKWqRX29MBvEyRHXORjo734Gnq_c/edit?usp=share_li"&amp;"nk"",""เชียงราย!J399"")
+IMPORTRANGE(""https://docs.google.com/spreadsheets/d/1Jgv0Y7YlHDtsiDawwp-uvifEJ8HVaSn0k2aGHG8-hwM/edit?usp=share_link"",""เชียงใหม่!J399"")+IMPORTRANGE(""https://docs.google.com/spreadsheets/d/1JWG2rZePOz9pe-f-ObA-yDr0VoOX2kSb0qIi"&amp;"x2mTUo8/edit?usp=share_link"",""ตาก!J399"")+IMPORTRANGE(""https://docs.google.com/spreadsheets/d/10nSRjK08hx8Y6HgSOQKNw81lyY46Zc7U_Cj72hBMp9U/edit?usp=share_link"",""นครสวรรค์!J399"")+IMPORTRANGE(""https://docs.google.com/spreadsheets/d/1gFVb7qd7amutrIxAA"&amp;"oM7lcy35hllxznovot8lyOfvDo/edit?usp=share_link"",""น่าน!J399"")+IMPORTRANGE(""https://docs.google.com/spreadsheets/d/1K0Aa9s-6EuHE5M0FG1F9aHLXRCOV917xvycTdLdct0w/edit?usp=share_link"",""พะเยา!J399"")+IMPORTRANGE(""https://docs.google.com/spreadsheets/d/1Y"&amp;"9LPKx95PyL5OKy09d-KbKJSuuEZCFdkhYjwC0XQjBA/edit?usp=share_link"",""พิจิตร!J399"")+IMPORTRANGE(""https://docs.google.com/spreadsheets/d/16OMuOwy2eVqZcYWOouQtTpa8X1L23h4660uVHc0C8os/edit?usp=share_link"",""พิษณุโลก!J399"")+IMPORTRANGE(""https://docs.google."&amp;"com/spreadsheets/d/1GfgTldLG6k77HXaMQzaafODklYuucJZQNs_GAPEfZyY/edit?usp=share_link"",""เพชรบูรณ์!J399"")+IMPORTRANGE(""https://docs.google.com/spreadsheets/d/1gvTMYAnm7v1yG1BKWFtr0DnaTsq59oW9dwWvFgq6hs0/edit?usp=share_link"",""แพร่!J399"")+IMPORTRANGE("""&amp;"https://docs.google.com/spreadsheets/d/1Wbcosgy-Xa1xXUArJSOenub6EfZHUSzc_bpJFWwQUf0/edit?usp=share_link"",""แม่ฮ่องสอน!J399"")+IMPORTRANGE(""https://docs.google.com/spreadsheets/d/1p7ERhsr0qZeSn-KSOdeHS9r0heI-lHtkcn2OH7hP0jQ/edit?usp=share_link"",""ลำปาง!"&amp;"J399"")+IMPORTRANGE(""https://docs.google.com/spreadsheets/d/1-uUXvimVhiU2U0bMN-xi2te0tS4X7DI2GLPnMjzl8cA/edit?usp=share_link"",""ลำพูน!J399"")+IMPORTRANGE(""https://docs.google.com/spreadsheets/d/17HrOaa5pBUI1onckFfumXB8xlg35qb2uBAFfF1D-Myo/edit?usp=shar"&amp;"e_link"",""สุโขทัย!J399"")+IMPORTRANGE(""https://docs.google.com/spreadsheets/d/1ubs5cl16eYL9gHbdHTJtmtYb9MGzHBs7CAphn8kNCgM/edit?usp=share_link"",""อุตรดิตถ์!J399"")+IMPORTRANGE(""https://docs.google.com/spreadsheets/d/1kII0BjS6CtVrBvI8IrytgPdxDrlyQDyigz"&amp;"MsohRtDMs/edit?usp=share_link"",""อุทัยธานี!J399"")
"),0)</f>
        <v>0</v>
      </c>
      <c r="K399" s="38">
        <f t="shared" ref="K399:K401" ca="1" si="202">IF(I399&gt;0,J399*100/I399,0)</f>
        <v>0</v>
      </c>
      <c r="L399" s="497"/>
      <c r="M399" s="497"/>
      <c r="N399" s="497"/>
      <c r="O399" s="497"/>
      <c r="P399" s="49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175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KxicF4apzSqm0-jIpmueT4kyZtE-Cwn5zskl7GD4loQ/edit?usp=share_link"",""กำแพงเพชร!I400"")+IMPORTRANGE(""https://docs.google.com/spreadsheets/d/1ZNYWeiFoFA1K1U4xKWqRX29MBvEyRHXORjo734Gnq_c/edit?usp=share_li"&amp;"nk"",""เชียงราย!I400"")
+IMPORTRANGE(""https://docs.google.com/spreadsheets/d/1Jgv0Y7YlHDtsiDawwp-uvifEJ8HVaSn0k2aGHG8-hwM/edit?usp=share_link"",""เชียงใหม่!I400"")+IMPORTRANGE(""https://docs.google.com/spreadsheets/d/1JWG2rZePOz9pe-f-ObA-yDr0VoOX2kSb0qIi"&amp;"x2mTUo8/edit?usp=share_link"",""ตาก!I400"")+IMPORTRANGE(""https://docs.google.com/spreadsheets/d/10nSRjK08hx8Y6HgSOQKNw81lyY46Zc7U_Cj72hBMp9U/edit?usp=share_link"",""นครสวรรค์!I400"")+IMPORTRANGE(""https://docs.google.com/spreadsheets/d/1gFVb7qd7amutrIxAA"&amp;"oM7lcy35hllxznovot8lyOfvDo/edit?usp=share_link"",""น่าน!I400"")+IMPORTRANGE(""https://docs.google.com/spreadsheets/d/1K0Aa9s-6EuHE5M0FG1F9aHLXRCOV917xvycTdLdct0w/edit?usp=share_link"",""พะเยา!I400"")+IMPORTRANGE(""https://docs.google.com/spreadsheets/d/1Y"&amp;"9LPKx95PyL5OKy09d-KbKJSuuEZCFdkhYjwC0XQjBA/edit?usp=share_link"",""พิจิตร!I400"")+IMPORTRANGE(""https://docs.google.com/spreadsheets/d/16OMuOwy2eVqZcYWOouQtTpa8X1L23h4660uVHc0C8os/edit?usp=share_link"",""พิษณุโลก!I400"")+IMPORTRANGE(""https://docs.google."&amp;"com/spreadsheets/d/1GfgTldLG6k77HXaMQzaafODklYuucJZQNs_GAPEfZyY/edit?usp=share_link"",""เพชรบูรณ์!I400"")+IMPORTRANGE(""https://docs.google.com/spreadsheets/d/1gvTMYAnm7v1yG1BKWFtr0DnaTsq59oW9dwWvFgq6hs0/edit?usp=share_link"",""แพร่!I400"")+IMPORTRANGE("""&amp;"https://docs.google.com/spreadsheets/d/1Wbcosgy-Xa1xXUArJSOenub6EfZHUSzc_bpJFWwQUf0/edit?usp=share_link"",""แม่ฮ่องสอน!I400"")+IMPORTRANGE(""https://docs.google.com/spreadsheets/d/1p7ERhsr0qZeSn-KSOdeHS9r0heI-lHtkcn2OH7hP0jQ/edit?usp=share_link"",""ลำปาง!"&amp;"I400"")+IMPORTRANGE(""https://docs.google.com/spreadsheets/d/1-uUXvimVhiU2U0bMN-xi2te0tS4X7DI2GLPnMjzl8cA/edit?usp=share_link"",""ลำพูน!I400"")+IMPORTRANGE(""https://docs.google.com/spreadsheets/d/17HrOaa5pBUI1onckFfumXB8xlg35qb2uBAFfF1D-Myo/edit?usp=shar"&amp;"e_link"",""สุโขทัย!I400"")+IMPORTRANGE(""https://docs.google.com/spreadsheets/d/1ubs5cl16eYL9gHbdHTJtmtYb9MGzHBs7CAphn8kNCgM/edit?usp=share_link"",""อุตรดิตถ์!I400"")+IMPORTRANGE(""https://docs.google.com/spreadsheets/d/1kII0BjS6CtVrBvI8IrytgPdxDrlyQDyigz"&amp;"MsohRtDMs/edit?usp=share_link"",""อุทัยธานี!I400"")
"),0)</f>
        <v>0</v>
      </c>
      <c r="J400" s="183">
        <f ca="1">IFERROR(__xludf.DUMMYFUNCTION("IMPORTRANGE(""https://docs.google.com/spreadsheets/d/1KxicF4apzSqm0-jIpmueT4kyZtE-Cwn5zskl7GD4loQ/edit?usp=share_link"",""กำแพงเพชร!J400"")+IMPORTRANGE(""https://docs.google.com/spreadsheets/d/1ZNYWeiFoFA1K1U4xKWqRX29MBvEyRHXORjo734Gnq_c/edit?usp=share_li"&amp;"nk"",""เชียงราย!J400"")
+IMPORTRANGE(""https://docs.google.com/spreadsheets/d/1Jgv0Y7YlHDtsiDawwp-uvifEJ8HVaSn0k2aGHG8-hwM/edit?usp=share_link"",""เชียงใหม่!J400"")+IMPORTRANGE(""https://docs.google.com/spreadsheets/d/1JWG2rZePOz9pe-f-ObA-yDr0VoOX2kSb0qIi"&amp;"x2mTUo8/edit?usp=share_link"",""ตาก!J400"")+IMPORTRANGE(""https://docs.google.com/spreadsheets/d/10nSRjK08hx8Y6HgSOQKNw81lyY46Zc7U_Cj72hBMp9U/edit?usp=share_link"",""นครสวรรค์!J400"")+IMPORTRANGE(""https://docs.google.com/spreadsheets/d/1gFVb7qd7amutrIxAA"&amp;"oM7lcy35hllxznovot8lyOfvDo/edit?usp=share_link"",""น่าน!J400"")+IMPORTRANGE(""https://docs.google.com/spreadsheets/d/1K0Aa9s-6EuHE5M0FG1F9aHLXRCOV917xvycTdLdct0w/edit?usp=share_link"",""พะเยา!J400"")+IMPORTRANGE(""https://docs.google.com/spreadsheets/d/1Y"&amp;"9LPKx95PyL5OKy09d-KbKJSuuEZCFdkhYjwC0XQjBA/edit?usp=share_link"",""พิจิตร!J400"")+IMPORTRANGE(""https://docs.google.com/spreadsheets/d/16OMuOwy2eVqZcYWOouQtTpa8X1L23h4660uVHc0C8os/edit?usp=share_link"",""พิษณุโลก!J400"")+IMPORTRANGE(""https://docs.google."&amp;"com/spreadsheets/d/1GfgTldLG6k77HXaMQzaafODklYuucJZQNs_GAPEfZyY/edit?usp=share_link"",""เพชรบูรณ์!J400"")+IMPORTRANGE(""https://docs.google.com/spreadsheets/d/1gvTMYAnm7v1yG1BKWFtr0DnaTsq59oW9dwWvFgq6hs0/edit?usp=share_link"",""แพร่!J400"")+IMPORTRANGE("""&amp;"https://docs.google.com/spreadsheets/d/1Wbcosgy-Xa1xXUArJSOenub6EfZHUSzc_bpJFWwQUf0/edit?usp=share_link"",""แม่ฮ่องสอน!J400"")+IMPORTRANGE(""https://docs.google.com/spreadsheets/d/1p7ERhsr0qZeSn-KSOdeHS9r0heI-lHtkcn2OH7hP0jQ/edit?usp=share_link"",""ลำปาง!"&amp;"J400"")+IMPORTRANGE(""https://docs.google.com/spreadsheets/d/1-uUXvimVhiU2U0bMN-xi2te0tS4X7DI2GLPnMjzl8cA/edit?usp=share_link"",""ลำพูน!J400"")+IMPORTRANGE(""https://docs.google.com/spreadsheets/d/17HrOaa5pBUI1onckFfumXB8xlg35qb2uBAFfF1D-Myo/edit?usp=shar"&amp;"e_link"",""สุโขทัย!J400"")+IMPORTRANGE(""https://docs.google.com/spreadsheets/d/1ubs5cl16eYL9gHbdHTJtmtYb9MGzHBs7CAphn8kNCgM/edit?usp=share_link"",""อุตรดิตถ์!J400"")+IMPORTRANGE(""https://docs.google.com/spreadsheets/d/1kII0BjS6CtVrBvI8IrytgPdxDrlyQDyigz"&amp;"MsohRtDMs/edit?usp=share_link"",""อุทัยธานี!J400"")
"),0)</f>
        <v>0</v>
      </c>
      <c r="K400" s="38">
        <f t="shared" ca="1" si="202"/>
        <v>0</v>
      </c>
      <c r="L400" s="38"/>
      <c r="M400" s="38"/>
      <c r="N400" s="38"/>
      <c r="O400" s="38"/>
      <c r="P400" s="38"/>
    </row>
    <row r="401" spans="1:26" ht="19.5" hidden="1">
      <c r="A401" s="484"/>
      <c r="B401" s="485" t="s">
        <v>176</v>
      </c>
      <c r="C401" s="486"/>
      <c r="D401" s="487"/>
      <c r="E401" s="487"/>
      <c r="F401" s="487"/>
      <c r="G401" s="488"/>
      <c r="H401" s="489" t="s">
        <v>66</v>
      </c>
      <c r="I401" s="490">
        <f t="shared" ref="I401:J401" ca="1" si="203">I412</f>
        <v>0</v>
      </c>
      <c r="J401" s="490">
        <f t="shared" ca="1" si="203"/>
        <v>0</v>
      </c>
      <c r="K401" s="491">
        <f t="shared" ca="1" si="202"/>
        <v>0</v>
      </c>
      <c r="L401" s="492"/>
      <c r="M401" s="492"/>
      <c r="N401" s="492"/>
      <c r="O401" s="492"/>
      <c r="P401" s="492"/>
    </row>
    <row r="402" spans="1:26" ht="19.5" hidden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4">L403+L404</f>
        <v>0</v>
      </c>
      <c r="M402" s="155">
        <f t="shared" ca="1" si="204"/>
        <v>0</v>
      </c>
      <c r="N402" s="155">
        <f t="shared" ca="1" si="204"/>
        <v>0</v>
      </c>
      <c r="O402" s="155">
        <f t="shared" ref="O402:O410" ca="1" si="205">IF(L402&gt;0,N402*100/L402,0)</f>
        <v>0</v>
      </c>
      <c r="P402" s="155">
        <f t="shared" ref="P402:P410" ca="1" si="20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7">L406+L409</f>
        <v>0</v>
      </c>
      <c r="M403" s="45">
        <f t="shared" si="207"/>
        <v>0</v>
      </c>
      <c r="N403" s="45">
        <f t="shared" si="207"/>
        <v>0</v>
      </c>
      <c r="O403" s="45">
        <f t="shared" si="205"/>
        <v>0</v>
      </c>
      <c r="P403" s="45">
        <f t="shared" si="20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8">L407+L410</f>
        <v>0</v>
      </c>
      <c r="M404" s="45">
        <f t="shared" ca="1" si="208"/>
        <v>0</v>
      </c>
      <c r="N404" s="45">
        <f t="shared" ca="1" si="208"/>
        <v>0</v>
      </c>
      <c r="O404" s="45">
        <f t="shared" ca="1" si="205"/>
        <v>0</v>
      </c>
      <c r="P404" s="45">
        <f t="shared" ca="1" si="20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9">L406+L407</f>
        <v>0</v>
      </c>
      <c r="M405" s="38">
        <f t="shared" ca="1" si="209"/>
        <v>0</v>
      </c>
      <c r="N405" s="38">
        <f t="shared" ca="1" si="209"/>
        <v>0</v>
      </c>
      <c r="O405" s="38">
        <f t="shared" ca="1" si="205"/>
        <v>0</v>
      </c>
      <c r="P405" s="38">
        <f t="shared" ca="1" si="20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5"/>
        <v>0</v>
      </c>
      <c r="P406" s="45">
        <f t="shared" si="20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KxicF4apzSqm0-jIpmueT4kyZtE-Cwn5zskl7GD4loQ/edit?usp=share_link"",""กำแพงเพชร!l407"")+IMPORTRANGE(""https://docs.google.com/spreadsheets/d/1ZNYWeiFoFA1K1U4xKWqRX29MBvEyRHXORjo734Gnq_c/edit?usp=share_li"&amp;"nk"",""เชียงราย!l407"")
+IMPORTRANGE(""https://docs.google.com/spreadsheets/d/1Jgv0Y7YlHDtsiDawwp-uvifEJ8HVaSn0k2aGHG8-hwM/edit?usp=share_link"",""เชียงใหม่!l407"")+IMPORTRANGE(""https://docs.google.com/spreadsheets/d/1JWG2rZePOz9pe-f-ObA-yDr0VoOX2kSb0qIi"&amp;"x2mTUo8/edit?usp=share_link"",""ตาก!l407"")+IMPORTRANGE(""https://docs.google.com/spreadsheets/d/10nSRjK08hx8Y6HgSOQKNw81lyY46Zc7U_Cj72hBMp9U/edit?usp=share_link"",""นครสวรรค์!l407"")+IMPORTRANGE(""https://docs.google.com/spreadsheets/d/1gFVb7qd7amutrIxAA"&amp;"oM7lcy35hllxznovot8lyOfvDo/edit?usp=share_link"",""น่าน!l407"")+IMPORTRANGE(""https://docs.google.com/spreadsheets/d/1K0Aa9s-6EuHE5M0FG1F9aHLXRCOV917xvycTdLdct0w/edit?usp=share_link"",""พะเยา!l407"")+IMPORTRANGE(""https://docs.google.com/spreadsheets/d/1Y"&amp;"9LPKx95PyL5OKy09d-KbKJSuuEZCFdkhYjwC0XQjBA/edit?usp=share_link"",""พิจิตร!l407"")+IMPORTRANGE(""https://docs.google.com/spreadsheets/d/16OMuOwy2eVqZcYWOouQtTpa8X1L23h4660uVHc0C8os/edit?usp=share_link"",""พิษณุโลก!l407"")+IMPORTRANGE(""https://docs.google."&amp;"com/spreadsheets/d/1GfgTldLG6k77HXaMQzaafODklYuucJZQNs_GAPEfZyY/edit?usp=share_link"",""เพชรบูรณ์!l407"")+IMPORTRANGE(""https://docs.google.com/spreadsheets/d/1gvTMYAnm7v1yG1BKWFtr0DnaTsq59oW9dwWvFgq6hs0/edit?usp=share_link"",""แพร่!l407"")+IMPORTRANGE("""&amp;"https://docs.google.com/spreadsheets/d/1Wbcosgy-Xa1xXUArJSOenub6EfZHUSzc_bpJFWwQUf0/edit?usp=share_link"",""แม่ฮ่องสอน!l407"")+IMPORTRANGE(""https://docs.google.com/spreadsheets/d/1p7ERhsr0qZeSn-KSOdeHS9r0heI-lHtkcn2OH7hP0jQ/edit?usp=share_link"",""ลำปาง!"&amp;"l407"")+IMPORTRANGE(""https://docs.google.com/spreadsheets/d/1-uUXvimVhiU2U0bMN-xi2te0tS4X7DI2GLPnMjzl8cA/edit?usp=share_link"",""ลำพูน!l407"")+IMPORTRANGE(""https://docs.google.com/spreadsheets/d/17HrOaa5pBUI1onckFfumXB8xlg35qb2uBAFfF1D-Myo/edit?usp=shar"&amp;"e_link"",""สุโขทัย!l407"")+IMPORTRANGE(""https://docs.google.com/spreadsheets/d/1ubs5cl16eYL9gHbdHTJtmtYb9MGzHBs7CAphn8kNCgM/edit?usp=share_link"",""อุตรดิตถ์!l407"")+IMPORTRANGE(""https://docs.google.com/spreadsheets/d/1kII0BjS6CtVrBvI8IrytgPdxDrlyQDyigz"&amp;"MsohRtDMs/edit?usp=share_link"",""อุทัยธานี!l407"")
"),0)</f>
        <v>0</v>
      </c>
      <c r="M407" s="45">
        <f ca="1">IFERROR(__xludf.DUMMYFUNCTION("IMPORTRANGE(""https://docs.google.com/spreadsheets/d/1KxicF4apzSqm0-jIpmueT4kyZtE-Cwn5zskl7GD4loQ/edit?usp=share_link"",""กำแพงเพชร!m407"")+IMPORTRANGE(""https://docs.google.com/spreadsheets/d/1ZNYWeiFoFA1K1U4xKWqRX29MBvEyRHXORjo734Gnq_c/edit?usp=share_li"&amp;"nk"",""เชียงราย!m407"")
+IMPORTRANGE(""https://docs.google.com/spreadsheets/d/1Jgv0Y7YlHDtsiDawwp-uvifEJ8HVaSn0k2aGHG8-hwM/edit?usp=share_link"",""เชียงใหม่!m407"")+IMPORTRANGE(""https://docs.google.com/spreadsheets/d/1JWG2rZePOz9pe-f-ObA-yDr0VoOX2kSb0qIi"&amp;"x2mTUo8/edit?usp=share_link"",""ตาก!m407"")+IMPORTRANGE(""https://docs.google.com/spreadsheets/d/10nSRjK08hx8Y6HgSOQKNw81lyY46Zc7U_Cj72hBMp9U/edit?usp=share_link"",""นครสวรรค์!m407"")+IMPORTRANGE(""https://docs.google.com/spreadsheets/d/1gFVb7qd7amutrIxAA"&amp;"oM7lcy35hllxznovot8lyOfvDo/edit?usp=share_link"",""น่าน!m407"")+IMPORTRANGE(""https://docs.google.com/spreadsheets/d/1K0Aa9s-6EuHE5M0FG1F9aHLXRCOV917xvycTdLdct0w/edit?usp=share_link"",""พะเยา!m407"")+IMPORTRANGE(""https://docs.google.com/spreadsheets/d/1Y"&amp;"9LPKx95PyL5OKy09d-KbKJSuuEZCFdkhYjwC0XQjBA/edit?usp=share_link"",""พิจิตร!m407"")+IMPORTRANGE(""https://docs.google.com/spreadsheets/d/16OMuOwy2eVqZcYWOouQtTpa8X1L23h4660uVHc0C8os/edit?usp=share_link"",""พิษณุโลก!m407"")+IMPORTRANGE(""https://docs.google."&amp;"com/spreadsheets/d/1GfgTldLG6k77HXaMQzaafODklYuucJZQNs_GAPEfZyY/edit?usp=share_link"",""เพชรบูรณ์!m407"")+IMPORTRANGE(""https://docs.google.com/spreadsheets/d/1gvTMYAnm7v1yG1BKWFtr0DnaTsq59oW9dwWvFgq6hs0/edit?usp=share_link"",""แพร่!m407"")+IMPORTRANGE("""&amp;"https://docs.google.com/spreadsheets/d/1Wbcosgy-Xa1xXUArJSOenub6EfZHUSzc_bpJFWwQUf0/edit?usp=share_link"",""แม่ฮ่องสอน!m407"")+IMPORTRANGE(""https://docs.google.com/spreadsheets/d/1p7ERhsr0qZeSn-KSOdeHS9r0heI-lHtkcn2OH7hP0jQ/edit?usp=share_link"",""ลำปาง!"&amp;"m407"")+IMPORTRANGE(""https://docs.google.com/spreadsheets/d/1-uUXvimVhiU2U0bMN-xi2te0tS4X7DI2GLPnMjzl8cA/edit?usp=share_link"",""ลำพูน!m407"")+IMPORTRANGE(""https://docs.google.com/spreadsheets/d/17HrOaa5pBUI1onckFfumXB8xlg35qb2uBAFfF1D-Myo/edit?usp=shar"&amp;"e_link"",""สุโขทัย!m407"")+IMPORTRANGE(""https://docs.google.com/spreadsheets/d/1ubs5cl16eYL9gHbdHTJtmtYb9MGzHBs7CAphn8kNCgM/edit?usp=share_link"",""อุตรดิตถ์!m407"")+IMPORTRANGE(""https://docs.google.com/spreadsheets/d/1kII0BjS6CtVrBvI8IrytgPdxDrlyQDyigz"&amp;"MsohRtDMs/edit?usp=share_link"",""อุทัยธานี!m407"")
"),0)</f>
        <v>0</v>
      </c>
      <c r="N407" s="45">
        <f ca="1">IFERROR(__xludf.DUMMYFUNCTION("IMPORTRANGE(""https://docs.google.com/spreadsheets/d/1KxicF4apzSqm0-jIpmueT4kyZtE-Cwn5zskl7GD4loQ/edit?usp=share_link"",""กำแพงเพชร!n407"")+IMPORTRANGE(""https://docs.google.com/spreadsheets/d/1ZNYWeiFoFA1K1U4xKWqRX29MBvEyRHXORjo734Gnq_c/edit?usp=share_li"&amp;"nk"",""เชียงราย!n407"")
+IMPORTRANGE(""https://docs.google.com/spreadsheets/d/1Jgv0Y7YlHDtsiDawwp-uvifEJ8HVaSn0k2aGHG8-hwM/edit?usp=share_link"",""เชียงใหม่!n407"")+IMPORTRANGE(""https://docs.google.com/spreadsheets/d/1JWG2rZePOz9pe-f-ObA-yDr0VoOX2kSb0qIi"&amp;"x2mTUo8/edit?usp=share_link"",""ตาก!n407"")+IMPORTRANGE(""https://docs.google.com/spreadsheets/d/10nSRjK08hx8Y6HgSOQKNw81lyY46Zc7U_Cj72hBMp9U/edit?usp=share_link"",""นครสวรรค์!n407"")+IMPORTRANGE(""https://docs.google.com/spreadsheets/d/1gFVb7qd7amutrIxAA"&amp;"oM7lcy35hllxznovot8lyOfvDo/edit?usp=share_link"",""น่าน!n407"")+IMPORTRANGE(""https://docs.google.com/spreadsheets/d/1K0Aa9s-6EuHE5M0FG1F9aHLXRCOV917xvycTdLdct0w/edit?usp=share_link"",""พะเยา!n407"")+IMPORTRANGE(""https://docs.google.com/spreadsheets/d/1Y"&amp;"9LPKx95PyL5OKy09d-KbKJSuuEZCFdkhYjwC0XQjBA/edit?usp=share_link"",""พิจิตร!n407"")+IMPORTRANGE(""https://docs.google.com/spreadsheets/d/16OMuOwy2eVqZcYWOouQtTpa8X1L23h4660uVHc0C8os/edit?usp=share_link"",""พิษณุโลก!n407"")+IMPORTRANGE(""https://docs.google."&amp;"com/spreadsheets/d/1GfgTldLG6k77HXaMQzaafODklYuucJZQNs_GAPEfZyY/edit?usp=share_link"",""เพชรบูรณ์!n407"")+IMPORTRANGE(""https://docs.google.com/spreadsheets/d/1gvTMYAnm7v1yG1BKWFtr0DnaTsq59oW9dwWvFgq6hs0/edit?usp=share_link"",""แพร่!n407"")+IMPORTRANGE("""&amp;"https://docs.google.com/spreadsheets/d/1Wbcosgy-Xa1xXUArJSOenub6EfZHUSzc_bpJFWwQUf0/edit?usp=share_link"",""แม่ฮ่องสอน!n407"")+IMPORTRANGE(""https://docs.google.com/spreadsheets/d/1p7ERhsr0qZeSn-KSOdeHS9r0heI-lHtkcn2OH7hP0jQ/edit?usp=share_link"",""ลำปาง!"&amp;"n407"")+IMPORTRANGE(""https://docs.google.com/spreadsheets/d/1-uUXvimVhiU2U0bMN-xi2te0tS4X7DI2GLPnMjzl8cA/edit?usp=share_link"",""ลำพูน!n407"")+IMPORTRANGE(""https://docs.google.com/spreadsheets/d/17HrOaa5pBUI1onckFfumXB8xlg35qb2uBAFfF1D-Myo/edit?usp=shar"&amp;"e_link"",""สุโขทัย!n407"")+IMPORTRANGE(""https://docs.google.com/spreadsheets/d/1ubs5cl16eYL9gHbdHTJtmtYb9MGzHBs7CAphn8kNCgM/edit?usp=share_link"",""อุตรดิตถ์!n407"")+IMPORTRANGE(""https://docs.google.com/spreadsheets/d/1kII0BjS6CtVrBvI8IrytgPdxDrlyQDyigz"&amp;"MsohRtDMs/edit?usp=share_link"",""อุทัยธานี!n407"")
"),0)</f>
        <v>0</v>
      </c>
      <c r="O407" s="45">
        <f t="shared" ca="1" si="205"/>
        <v>0</v>
      </c>
      <c r="P407" s="45">
        <f t="shared" ca="1" si="20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10">L409+L410</f>
        <v>0</v>
      </c>
      <c r="M408" s="38">
        <f t="shared" ca="1" si="210"/>
        <v>0</v>
      </c>
      <c r="N408" s="38">
        <f t="shared" ca="1" si="210"/>
        <v>0</v>
      </c>
      <c r="O408" s="38">
        <f t="shared" ca="1" si="205"/>
        <v>0</v>
      </c>
      <c r="P408" s="38">
        <f t="shared" ca="1" si="20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5"/>
        <v>0</v>
      </c>
      <c r="P409" s="45">
        <f t="shared" si="20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KxicF4apzSqm0-jIpmueT4kyZtE-Cwn5zskl7GD4loQ/edit?usp=share_link"",""กำแพงเพชร!l410"")+IMPORTRANGE(""https://docs.google.com/spreadsheets/d/1ZNYWeiFoFA1K1U4xKWqRX29MBvEyRHXORjo734Gnq_c/edit?usp=share_li"&amp;"nk"",""เชียงราย!l410"")
+IMPORTRANGE(""https://docs.google.com/spreadsheets/d/1Jgv0Y7YlHDtsiDawwp-uvifEJ8HVaSn0k2aGHG8-hwM/edit?usp=share_link"",""เชียงใหม่!l410"")+IMPORTRANGE(""https://docs.google.com/spreadsheets/d/1JWG2rZePOz9pe-f-ObA-yDr0VoOX2kSb0qIi"&amp;"x2mTUo8/edit?usp=share_link"",""ตาก!l410"")+IMPORTRANGE(""https://docs.google.com/spreadsheets/d/10nSRjK08hx8Y6HgSOQKNw81lyY46Zc7U_Cj72hBMp9U/edit?usp=share_link"",""นครสวรรค์!l410"")+IMPORTRANGE(""https://docs.google.com/spreadsheets/d/1gFVb7qd7amutrIxAA"&amp;"oM7lcy35hllxznovot8lyOfvDo/edit?usp=share_link"",""น่าน!l410"")+IMPORTRANGE(""https://docs.google.com/spreadsheets/d/1K0Aa9s-6EuHE5M0FG1F9aHLXRCOV917xvycTdLdct0w/edit?usp=share_link"",""พะเยา!l410"")+IMPORTRANGE(""https://docs.google.com/spreadsheets/d/1Y"&amp;"9LPKx95PyL5OKy09d-KbKJSuuEZCFdkhYjwC0XQjBA/edit?usp=share_link"",""พิจิตร!l410"")+IMPORTRANGE(""https://docs.google.com/spreadsheets/d/16OMuOwy2eVqZcYWOouQtTpa8X1L23h4660uVHc0C8os/edit?usp=share_link"",""พิษณุโลก!l410"")+IMPORTRANGE(""https://docs.google."&amp;"com/spreadsheets/d/1GfgTldLG6k77HXaMQzaafODklYuucJZQNs_GAPEfZyY/edit?usp=share_link"",""เพชรบูรณ์!l410"")+IMPORTRANGE(""https://docs.google.com/spreadsheets/d/1gvTMYAnm7v1yG1BKWFtr0DnaTsq59oW9dwWvFgq6hs0/edit?usp=share_link"",""แพร่!l410"")+IMPORTRANGE("""&amp;"https://docs.google.com/spreadsheets/d/1Wbcosgy-Xa1xXUArJSOenub6EfZHUSzc_bpJFWwQUf0/edit?usp=share_link"",""แม่ฮ่องสอน!l410"")+IMPORTRANGE(""https://docs.google.com/spreadsheets/d/1p7ERhsr0qZeSn-KSOdeHS9r0heI-lHtkcn2OH7hP0jQ/edit?usp=share_link"",""ลำปาง!"&amp;"l410"")+IMPORTRANGE(""https://docs.google.com/spreadsheets/d/1-uUXvimVhiU2U0bMN-xi2te0tS4X7DI2GLPnMjzl8cA/edit?usp=share_link"",""ลำพูน!l410"")+IMPORTRANGE(""https://docs.google.com/spreadsheets/d/17HrOaa5pBUI1onckFfumXB8xlg35qb2uBAFfF1D-Myo/edit?usp=shar"&amp;"e_link"",""สุโขทัย!l410"")+IMPORTRANGE(""https://docs.google.com/spreadsheets/d/1ubs5cl16eYL9gHbdHTJtmtYb9MGzHBs7CAphn8kNCgM/edit?usp=share_link"",""อุตรดิตถ์!l410"")+IMPORTRANGE(""https://docs.google.com/spreadsheets/d/1kII0BjS6CtVrBvI8IrytgPdxDrlyQDyigz"&amp;"MsohRtDMs/edit?usp=share_link"",""อุทัยธานี!l410"")
"),0)</f>
        <v>0</v>
      </c>
      <c r="M410" s="45">
        <f ca="1">IFERROR(__xludf.DUMMYFUNCTION("IMPORTRANGE(""https://docs.google.com/spreadsheets/d/1KxicF4apzSqm0-jIpmueT4kyZtE-Cwn5zskl7GD4loQ/edit?usp=share_link"",""กำแพงเพชร!m410"")+IMPORTRANGE(""https://docs.google.com/spreadsheets/d/1ZNYWeiFoFA1K1U4xKWqRX29MBvEyRHXORjo734Gnq_c/edit?usp=share_li"&amp;"nk"",""เชียงราย!m410"")
+IMPORTRANGE(""https://docs.google.com/spreadsheets/d/1Jgv0Y7YlHDtsiDawwp-uvifEJ8HVaSn0k2aGHG8-hwM/edit?usp=share_link"",""เชียงใหม่!m410"")+IMPORTRANGE(""https://docs.google.com/spreadsheets/d/1JWG2rZePOz9pe-f-ObA-yDr0VoOX2kSb0qIi"&amp;"x2mTUo8/edit?usp=share_link"",""ตาก!m410"")+IMPORTRANGE(""https://docs.google.com/spreadsheets/d/10nSRjK08hx8Y6HgSOQKNw81lyY46Zc7U_Cj72hBMp9U/edit?usp=share_link"",""นครสวรรค์!m410"")+IMPORTRANGE(""https://docs.google.com/spreadsheets/d/1gFVb7qd7amutrIxAA"&amp;"oM7lcy35hllxznovot8lyOfvDo/edit?usp=share_link"",""น่าน!m410"")+IMPORTRANGE(""https://docs.google.com/spreadsheets/d/1K0Aa9s-6EuHE5M0FG1F9aHLXRCOV917xvycTdLdct0w/edit?usp=share_link"",""พะเยา!m410"")+IMPORTRANGE(""https://docs.google.com/spreadsheets/d/1Y"&amp;"9LPKx95PyL5OKy09d-KbKJSuuEZCFdkhYjwC0XQjBA/edit?usp=share_link"",""พิจิตร!m410"")+IMPORTRANGE(""https://docs.google.com/spreadsheets/d/16OMuOwy2eVqZcYWOouQtTpa8X1L23h4660uVHc0C8os/edit?usp=share_link"",""พิษณุโลก!m410"")+IMPORTRANGE(""https://docs.google."&amp;"com/spreadsheets/d/1GfgTldLG6k77HXaMQzaafODklYuucJZQNs_GAPEfZyY/edit?usp=share_link"",""เพชรบูรณ์!m410"")+IMPORTRANGE(""https://docs.google.com/spreadsheets/d/1gvTMYAnm7v1yG1BKWFtr0DnaTsq59oW9dwWvFgq6hs0/edit?usp=share_link"",""แพร่!m410"")+IMPORTRANGE("""&amp;"https://docs.google.com/spreadsheets/d/1Wbcosgy-Xa1xXUArJSOenub6EfZHUSzc_bpJFWwQUf0/edit?usp=share_link"",""แม่ฮ่องสอน!m410"")+IMPORTRANGE(""https://docs.google.com/spreadsheets/d/1p7ERhsr0qZeSn-KSOdeHS9r0heI-lHtkcn2OH7hP0jQ/edit?usp=share_link"",""ลำปาง!"&amp;"m410"")+IMPORTRANGE(""https://docs.google.com/spreadsheets/d/1-uUXvimVhiU2U0bMN-xi2te0tS4X7DI2GLPnMjzl8cA/edit?usp=share_link"",""ลำพูน!m410"")+IMPORTRANGE(""https://docs.google.com/spreadsheets/d/17HrOaa5pBUI1onckFfumXB8xlg35qb2uBAFfF1D-Myo/edit?usp=shar"&amp;"e_link"",""สุโขทัย!m410"")+IMPORTRANGE(""https://docs.google.com/spreadsheets/d/1ubs5cl16eYL9gHbdHTJtmtYb9MGzHBs7CAphn8kNCgM/edit?usp=share_link"",""อุตรดิตถ์!m410"")+IMPORTRANGE(""https://docs.google.com/spreadsheets/d/1kII0BjS6CtVrBvI8IrytgPdxDrlyQDyigz"&amp;"MsohRtDMs/edit?usp=share_link"",""อุทัยธานี!m410"")
"),0)</f>
        <v>0</v>
      </c>
      <c r="N410" s="45">
        <f ca="1">IFERROR(__xludf.DUMMYFUNCTION("IMPORTRANGE(""https://docs.google.com/spreadsheets/d/1KxicF4apzSqm0-jIpmueT4kyZtE-Cwn5zskl7GD4loQ/edit?usp=share_link"",""กำแพงเพชร!n410"")+IMPORTRANGE(""https://docs.google.com/spreadsheets/d/1ZNYWeiFoFA1K1U4xKWqRX29MBvEyRHXORjo734Gnq_c/edit?usp=share_li"&amp;"nk"",""เชียงราย!n410"")
+IMPORTRANGE(""https://docs.google.com/spreadsheets/d/1Jgv0Y7YlHDtsiDawwp-uvifEJ8HVaSn0k2aGHG8-hwM/edit?usp=share_link"",""เชียงใหม่!n410"")+IMPORTRANGE(""https://docs.google.com/spreadsheets/d/1JWG2rZePOz9pe-f-ObA-yDr0VoOX2kSb0qIi"&amp;"x2mTUo8/edit?usp=share_link"",""ตาก!n410"")+IMPORTRANGE(""https://docs.google.com/spreadsheets/d/10nSRjK08hx8Y6HgSOQKNw81lyY46Zc7U_Cj72hBMp9U/edit?usp=share_link"",""นครสวรรค์!n410"")+IMPORTRANGE(""https://docs.google.com/spreadsheets/d/1gFVb7qd7amutrIxAA"&amp;"oM7lcy35hllxznovot8lyOfvDo/edit?usp=share_link"",""น่าน!n410"")+IMPORTRANGE(""https://docs.google.com/spreadsheets/d/1K0Aa9s-6EuHE5M0FG1F9aHLXRCOV917xvycTdLdct0w/edit?usp=share_link"",""พะเยา!n410"")+IMPORTRANGE(""https://docs.google.com/spreadsheets/d/1Y"&amp;"9LPKx95PyL5OKy09d-KbKJSuuEZCFdkhYjwC0XQjBA/edit?usp=share_link"",""พิจิตร!n410"")+IMPORTRANGE(""https://docs.google.com/spreadsheets/d/16OMuOwy2eVqZcYWOouQtTpa8X1L23h4660uVHc0C8os/edit?usp=share_link"",""พิษณุโลก!n410"")+IMPORTRANGE(""https://docs.google."&amp;"com/spreadsheets/d/1GfgTldLG6k77HXaMQzaafODklYuucJZQNs_GAPEfZyY/edit?usp=share_link"",""เพชรบูรณ์!n410"")+IMPORTRANGE(""https://docs.google.com/spreadsheets/d/1gvTMYAnm7v1yG1BKWFtr0DnaTsq59oW9dwWvFgq6hs0/edit?usp=share_link"",""แพร่!n410"")+IMPORTRANGE("""&amp;"https://docs.google.com/spreadsheets/d/1Wbcosgy-Xa1xXUArJSOenub6EfZHUSzc_bpJFWwQUf0/edit?usp=share_link"",""แม่ฮ่องสอน!n410"")+IMPORTRANGE(""https://docs.google.com/spreadsheets/d/1p7ERhsr0qZeSn-KSOdeHS9r0heI-lHtkcn2OH7hP0jQ/edit?usp=share_link"",""ลำปาง!"&amp;"n410"")+IMPORTRANGE(""https://docs.google.com/spreadsheets/d/1-uUXvimVhiU2U0bMN-xi2te0tS4X7DI2GLPnMjzl8cA/edit?usp=share_link"",""ลำพูน!n410"")+IMPORTRANGE(""https://docs.google.com/spreadsheets/d/17HrOaa5pBUI1onckFfumXB8xlg35qb2uBAFfF1D-Myo/edit?usp=shar"&amp;"e_link"",""สุโขทัย!n410"")+IMPORTRANGE(""https://docs.google.com/spreadsheets/d/1ubs5cl16eYL9gHbdHTJtmtYb9MGzHBs7CAphn8kNCgM/edit?usp=share_link"",""อุตรดิตถ์!n410"")+IMPORTRANGE(""https://docs.google.com/spreadsheets/d/1kII0BjS6CtVrBvI8IrytgPdxDrlyQDyigz"&amp;"MsohRtDMs/edit?usp=share_link"",""อุทัยธานี!n410"")
"),0)</f>
        <v>0</v>
      </c>
      <c r="O410" s="45">
        <f t="shared" ca="1" si="205"/>
        <v>0</v>
      </c>
      <c r="P410" s="45">
        <f t="shared" ca="1" si="20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498" t="s">
        <v>38</v>
      </c>
      <c r="E411" s="499"/>
      <c r="F411" s="499"/>
      <c r="G411" s="500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181" t="s">
        <v>177</v>
      </c>
      <c r="E412" s="178"/>
      <c r="F412" s="178"/>
      <c r="G412" s="179"/>
      <c r="H412" s="501" t="s">
        <v>66</v>
      </c>
      <c r="I412" s="270">
        <f ca="1">IFERROR(__xludf.DUMMYFUNCTION("IMPORTRANGE(""https://docs.google.com/spreadsheets/d/1KxicF4apzSqm0-jIpmueT4kyZtE-Cwn5zskl7GD4loQ/edit?usp=share_link"",""กำแพงเพชร!I412"")+IMPORTRANGE(""https://docs.google.com/spreadsheets/d/1ZNYWeiFoFA1K1U4xKWqRX29MBvEyRHXORjo734Gnq_c/edit?usp=share_li"&amp;"nk"",""เชียงราย!I412"")
+IMPORTRANGE(""https://docs.google.com/spreadsheets/d/1Jgv0Y7YlHDtsiDawwp-uvifEJ8HVaSn0k2aGHG8-hwM/edit?usp=share_link"",""เชียงใหม่!I412"")+IMPORTRANGE(""https://docs.google.com/spreadsheets/d/1JWG2rZePOz9pe-f-ObA-yDr0VoOX2kSb0qIi"&amp;"x2mTUo8/edit?usp=share_link"",""ตาก!I412"")+IMPORTRANGE(""https://docs.google.com/spreadsheets/d/10nSRjK08hx8Y6HgSOQKNw81lyY46Zc7U_Cj72hBMp9U/edit?usp=share_link"",""นครสวรรค์!I412"")+IMPORTRANGE(""https://docs.google.com/spreadsheets/d/1gFVb7qd7amutrIxAA"&amp;"oM7lcy35hllxznovot8lyOfvDo/edit?usp=share_link"",""น่าน!I412"")+IMPORTRANGE(""https://docs.google.com/spreadsheets/d/1K0Aa9s-6EuHE5M0FG1F9aHLXRCOV917xvycTdLdct0w/edit?usp=share_link"",""พะเยา!I412"")+IMPORTRANGE(""https://docs.google.com/spreadsheets/d/1Y"&amp;"9LPKx95PyL5OKy09d-KbKJSuuEZCFdkhYjwC0XQjBA/edit?usp=share_link"",""พิจิตร!I412"")+IMPORTRANGE(""https://docs.google.com/spreadsheets/d/16OMuOwy2eVqZcYWOouQtTpa8X1L23h4660uVHc0C8os/edit?usp=share_link"",""พิษณุโลก!I412"")+IMPORTRANGE(""https://docs.google."&amp;"com/spreadsheets/d/1GfgTldLG6k77HXaMQzaafODklYuucJZQNs_GAPEfZyY/edit?usp=share_link"",""เพชรบูรณ์!I412"")+IMPORTRANGE(""https://docs.google.com/spreadsheets/d/1gvTMYAnm7v1yG1BKWFtr0DnaTsq59oW9dwWvFgq6hs0/edit?usp=share_link"",""แพร่!I412"")+IMPORTRANGE("""&amp;"https://docs.google.com/spreadsheets/d/1Wbcosgy-Xa1xXUArJSOenub6EfZHUSzc_bpJFWwQUf0/edit?usp=share_link"",""แม่ฮ่องสอน!I412"")+IMPORTRANGE(""https://docs.google.com/spreadsheets/d/1p7ERhsr0qZeSn-KSOdeHS9r0heI-lHtkcn2OH7hP0jQ/edit?usp=share_link"",""ลำปาง!"&amp;"I412"")+IMPORTRANGE(""https://docs.google.com/spreadsheets/d/1-uUXvimVhiU2U0bMN-xi2te0tS4X7DI2GLPnMjzl8cA/edit?usp=share_link"",""ลำพูน!I412"")+IMPORTRANGE(""https://docs.google.com/spreadsheets/d/17HrOaa5pBUI1onckFfumXB8xlg35qb2uBAFfF1D-Myo/edit?usp=shar"&amp;"e_link"",""สุโขทัย!I412"")+IMPORTRANGE(""https://docs.google.com/spreadsheets/d/1ubs5cl16eYL9gHbdHTJtmtYb9MGzHBs7CAphn8kNCgM/edit?usp=share_link"",""อุตรดิตถ์!I412"")+IMPORTRANGE(""https://docs.google.com/spreadsheets/d/1kII0BjS6CtVrBvI8IrytgPdxDrlyQDyigz"&amp;"MsohRtDMs/edit?usp=share_link"",""อุทัยธานี!I412"")
"),0)</f>
        <v>0</v>
      </c>
      <c r="J412" s="183">
        <f ca="1">IFERROR(__xludf.DUMMYFUNCTION("IMPORTRANGE(""https://docs.google.com/spreadsheets/d/1KxicF4apzSqm0-jIpmueT4kyZtE-Cwn5zskl7GD4loQ/edit?usp=share_link"",""กำแพงเพชร!J412"")+IMPORTRANGE(""https://docs.google.com/spreadsheets/d/1ZNYWeiFoFA1K1U4xKWqRX29MBvEyRHXORjo734Gnq_c/edit?usp=share_li"&amp;"nk"",""เชียงราย!J412"")
+IMPORTRANGE(""https://docs.google.com/spreadsheets/d/1Jgv0Y7YlHDtsiDawwp-uvifEJ8HVaSn0k2aGHG8-hwM/edit?usp=share_link"",""เชียงใหม่!J412"")+IMPORTRANGE(""https://docs.google.com/spreadsheets/d/1JWG2rZePOz9pe-f-ObA-yDr0VoOX2kSb0qIi"&amp;"x2mTUo8/edit?usp=share_link"",""ตาก!J412"")+IMPORTRANGE(""https://docs.google.com/spreadsheets/d/10nSRjK08hx8Y6HgSOQKNw81lyY46Zc7U_Cj72hBMp9U/edit?usp=share_link"",""นครสวรรค์!J412"")+IMPORTRANGE(""https://docs.google.com/spreadsheets/d/1gFVb7qd7amutrIxAA"&amp;"oM7lcy35hllxznovot8lyOfvDo/edit?usp=share_link"",""น่าน!J412"")+IMPORTRANGE(""https://docs.google.com/spreadsheets/d/1K0Aa9s-6EuHE5M0FG1F9aHLXRCOV917xvycTdLdct0w/edit?usp=share_link"",""พะเยา!J412"")+IMPORTRANGE(""https://docs.google.com/spreadsheets/d/1Y"&amp;"9LPKx95PyL5OKy09d-KbKJSuuEZCFdkhYjwC0XQjBA/edit?usp=share_link"",""พิจิตร!J412"")+IMPORTRANGE(""https://docs.google.com/spreadsheets/d/16OMuOwy2eVqZcYWOouQtTpa8X1L23h4660uVHc0C8os/edit?usp=share_link"",""พิษณุโลก!J412"")+IMPORTRANGE(""https://docs.google."&amp;"com/spreadsheets/d/1GfgTldLG6k77HXaMQzaafODklYuucJZQNs_GAPEfZyY/edit?usp=share_link"",""เพชรบูรณ์!J412"")+IMPORTRANGE(""https://docs.google.com/spreadsheets/d/1gvTMYAnm7v1yG1BKWFtr0DnaTsq59oW9dwWvFgq6hs0/edit?usp=share_link"",""แพร่!J412"")+IMPORTRANGE("""&amp;"https://docs.google.com/spreadsheets/d/1Wbcosgy-Xa1xXUArJSOenub6EfZHUSzc_bpJFWwQUf0/edit?usp=share_link"",""แม่ฮ่องสอน!J412"")+IMPORTRANGE(""https://docs.google.com/spreadsheets/d/1p7ERhsr0qZeSn-KSOdeHS9r0heI-lHtkcn2OH7hP0jQ/edit?usp=share_link"",""ลำปาง!"&amp;"J412"")+IMPORTRANGE(""https://docs.google.com/spreadsheets/d/1-uUXvimVhiU2U0bMN-xi2te0tS4X7DI2GLPnMjzl8cA/edit?usp=share_link"",""ลำพูน!J412"")+IMPORTRANGE(""https://docs.google.com/spreadsheets/d/17HrOaa5pBUI1onckFfumXB8xlg35qb2uBAFfF1D-Myo/edit?usp=shar"&amp;"e_link"",""สุโขทัย!J412"")+IMPORTRANGE(""https://docs.google.com/spreadsheets/d/1ubs5cl16eYL9gHbdHTJtmtYb9MGzHBs7CAphn8kNCgM/edit?usp=share_link"",""อุตรดิตถ์!J412"")+IMPORTRANGE(""https://docs.google.com/spreadsheets/d/1kII0BjS6CtVrBvI8IrytgPdxDrlyQDyigz"&amp;"MsohRtDMs/edit?usp=share_link"",""อุทัยธานี!J412"")
"),0)</f>
        <v>0</v>
      </c>
      <c r="K412" s="38">
        <f t="shared" ref="K412:K413" ca="1" si="211">IF(I412&gt;0,J412*100/I412,0)</f>
        <v>0</v>
      </c>
      <c r="L412" s="163"/>
      <c r="M412" s="163"/>
      <c r="N412" s="163"/>
      <c r="O412" s="163"/>
      <c r="P412" s="163"/>
    </row>
    <row r="413" spans="1:26" ht="18.75" hidden="1">
      <c r="A413" s="502"/>
      <c r="B413" s="503"/>
      <c r="C413" s="503"/>
      <c r="D413" s="504" t="s">
        <v>178</v>
      </c>
      <c r="E413" s="503"/>
      <c r="F413" s="503"/>
      <c r="G413" s="505"/>
      <c r="H413" s="506" t="s">
        <v>179</v>
      </c>
      <c r="I413" s="507">
        <f ca="1">IFERROR(__xludf.DUMMYFUNCTION("IMPORTRANGE(""https://docs.google.com/spreadsheets/d/1KxicF4apzSqm0-jIpmueT4kyZtE-Cwn5zskl7GD4loQ/edit?usp=share_link"",""กำแพงเพชร!I413"")+IMPORTRANGE(""https://docs.google.com/spreadsheets/d/1ZNYWeiFoFA1K1U4xKWqRX29MBvEyRHXORjo734Gnq_c/edit?usp=share_li"&amp;"nk"",""เชียงราย!I413"")
+IMPORTRANGE(""https://docs.google.com/spreadsheets/d/1Jgv0Y7YlHDtsiDawwp-uvifEJ8HVaSn0k2aGHG8-hwM/edit?usp=share_link"",""เชียงใหม่!I413"")+IMPORTRANGE(""https://docs.google.com/spreadsheets/d/1JWG2rZePOz9pe-f-ObA-yDr0VoOX2kSb0qIi"&amp;"x2mTUo8/edit?usp=share_link"",""ตาก!I413"")+IMPORTRANGE(""https://docs.google.com/spreadsheets/d/10nSRjK08hx8Y6HgSOQKNw81lyY46Zc7U_Cj72hBMp9U/edit?usp=share_link"",""นครสวรรค์!I413"")+IMPORTRANGE(""https://docs.google.com/spreadsheets/d/1gFVb7qd7amutrIxAA"&amp;"oM7lcy35hllxznovot8lyOfvDo/edit?usp=share_link"",""น่าน!I413"")+IMPORTRANGE(""https://docs.google.com/spreadsheets/d/1K0Aa9s-6EuHE5M0FG1F9aHLXRCOV917xvycTdLdct0w/edit?usp=share_link"",""พะเยา!I413"")+IMPORTRANGE(""https://docs.google.com/spreadsheets/d/1Y"&amp;"9LPKx95PyL5OKy09d-KbKJSuuEZCFdkhYjwC0XQjBA/edit?usp=share_link"",""พิจิตร!I413"")+IMPORTRANGE(""https://docs.google.com/spreadsheets/d/16OMuOwy2eVqZcYWOouQtTpa8X1L23h4660uVHc0C8os/edit?usp=share_link"",""พิษณุโลก!I413"")+IMPORTRANGE(""https://docs.google."&amp;"com/spreadsheets/d/1GfgTldLG6k77HXaMQzaafODklYuucJZQNs_GAPEfZyY/edit?usp=share_link"",""เพชรบูรณ์!I413"")+IMPORTRANGE(""https://docs.google.com/spreadsheets/d/1gvTMYAnm7v1yG1BKWFtr0DnaTsq59oW9dwWvFgq6hs0/edit?usp=share_link"",""แพร่!I413"")+IMPORTRANGE("""&amp;"https://docs.google.com/spreadsheets/d/1Wbcosgy-Xa1xXUArJSOenub6EfZHUSzc_bpJFWwQUf0/edit?usp=share_link"",""แม่ฮ่องสอน!I413"")+IMPORTRANGE(""https://docs.google.com/spreadsheets/d/1p7ERhsr0qZeSn-KSOdeHS9r0heI-lHtkcn2OH7hP0jQ/edit?usp=share_link"",""ลำปาง!"&amp;"I413"")+IMPORTRANGE(""https://docs.google.com/spreadsheets/d/1-uUXvimVhiU2U0bMN-xi2te0tS4X7DI2GLPnMjzl8cA/edit?usp=share_link"",""ลำพูน!I413"")+IMPORTRANGE(""https://docs.google.com/spreadsheets/d/17HrOaa5pBUI1onckFfumXB8xlg35qb2uBAFfF1D-Myo/edit?usp=shar"&amp;"e_link"",""สุโขทัย!I413"")+IMPORTRANGE(""https://docs.google.com/spreadsheets/d/1ubs5cl16eYL9gHbdHTJtmtYb9MGzHBs7CAphn8kNCgM/edit?usp=share_link"",""อุตรดิตถ์!I413"")+IMPORTRANGE(""https://docs.google.com/spreadsheets/d/1kII0BjS6CtVrBvI8IrytgPdxDrlyQDyigz"&amp;"MsohRtDMs/edit?usp=share_link"",""อุทัยธานี!I413"")
"),0)</f>
        <v>0</v>
      </c>
      <c r="J413" s="508">
        <f ca="1">IFERROR(__xludf.DUMMYFUNCTION("IMPORTRANGE(""https://docs.google.com/spreadsheets/d/1KxicF4apzSqm0-jIpmueT4kyZtE-Cwn5zskl7GD4loQ/edit?usp=share_link"",""กำแพงเพชร!J413"")+IMPORTRANGE(""https://docs.google.com/spreadsheets/d/1ZNYWeiFoFA1K1U4xKWqRX29MBvEyRHXORjo734Gnq_c/edit?usp=share_li"&amp;"nk"",""เชียงราย!J413"")
+IMPORTRANGE(""https://docs.google.com/spreadsheets/d/1Jgv0Y7YlHDtsiDawwp-uvifEJ8HVaSn0k2aGHG8-hwM/edit?usp=share_link"",""เชียงใหม่!J413"")+IMPORTRANGE(""https://docs.google.com/spreadsheets/d/1JWG2rZePOz9pe-f-ObA-yDr0VoOX2kSb0qIi"&amp;"x2mTUo8/edit?usp=share_link"",""ตาก!J413"")+IMPORTRANGE(""https://docs.google.com/spreadsheets/d/10nSRjK08hx8Y6HgSOQKNw81lyY46Zc7U_Cj72hBMp9U/edit?usp=share_link"",""นครสวรรค์!J413"")+IMPORTRANGE(""https://docs.google.com/spreadsheets/d/1gFVb7qd7amutrIxAA"&amp;"oM7lcy35hllxznovot8lyOfvDo/edit?usp=share_link"",""น่าน!J413"")+IMPORTRANGE(""https://docs.google.com/spreadsheets/d/1K0Aa9s-6EuHE5M0FG1F9aHLXRCOV917xvycTdLdct0w/edit?usp=share_link"",""พะเยา!J413"")+IMPORTRANGE(""https://docs.google.com/spreadsheets/d/1Y"&amp;"9LPKx95PyL5OKy09d-KbKJSuuEZCFdkhYjwC0XQjBA/edit?usp=share_link"",""พิจิตร!J413"")+IMPORTRANGE(""https://docs.google.com/spreadsheets/d/16OMuOwy2eVqZcYWOouQtTpa8X1L23h4660uVHc0C8os/edit?usp=share_link"",""พิษณุโลก!J413"")+IMPORTRANGE(""https://docs.google."&amp;"com/spreadsheets/d/1GfgTldLG6k77HXaMQzaafODklYuucJZQNs_GAPEfZyY/edit?usp=share_link"",""เพชรบูรณ์!J413"")+IMPORTRANGE(""https://docs.google.com/spreadsheets/d/1gvTMYAnm7v1yG1BKWFtr0DnaTsq59oW9dwWvFgq6hs0/edit?usp=share_link"",""แพร่!J413"")+IMPORTRANGE("""&amp;"https://docs.google.com/spreadsheets/d/1Wbcosgy-Xa1xXUArJSOenub6EfZHUSzc_bpJFWwQUf0/edit?usp=share_link"",""แม่ฮ่องสอน!J413"")+IMPORTRANGE(""https://docs.google.com/spreadsheets/d/1p7ERhsr0qZeSn-KSOdeHS9r0heI-lHtkcn2OH7hP0jQ/edit?usp=share_link"",""ลำปาง!"&amp;"J413"")+IMPORTRANGE(""https://docs.google.com/spreadsheets/d/1-uUXvimVhiU2U0bMN-xi2te0tS4X7DI2GLPnMjzl8cA/edit?usp=share_link"",""ลำพูน!J413"")+IMPORTRANGE(""https://docs.google.com/spreadsheets/d/17HrOaa5pBUI1onckFfumXB8xlg35qb2uBAFfF1D-Myo/edit?usp=shar"&amp;"e_link"",""สุโขทัย!J413"")+IMPORTRANGE(""https://docs.google.com/spreadsheets/d/1ubs5cl16eYL9gHbdHTJtmtYb9MGzHBs7CAphn8kNCgM/edit?usp=share_link"",""อุตรดิตถ์!J413"")+IMPORTRANGE(""https://docs.google.com/spreadsheets/d/1kII0BjS6CtVrBvI8IrytgPdxDrlyQDyigz"&amp;"MsohRtDMs/edit?usp=share_link"",""อุทัยธานี!J413"")
"),0)</f>
        <v>0</v>
      </c>
      <c r="K413" s="509">
        <f t="shared" ca="1" si="211"/>
        <v>0</v>
      </c>
      <c r="L413" s="510"/>
      <c r="M413" s="510"/>
      <c r="N413" s="510"/>
      <c r="O413" s="510"/>
      <c r="P413" s="510"/>
    </row>
    <row r="414" spans="1:26" ht="19.5">
      <c r="A414" s="511" t="s">
        <v>180</v>
      </c>
      <c r="B414" s="512"/>
      <c r="C414" s="512"/>
      <c r="D414" s="512"/>
      <c r="E414" s="512"/>
      <c r="F414" s="512"/>
      <c r="G414" s="513"/>
      <c r="H414" s="514"/>
      <c r="I414" s="515"/>
      <c r="J414" s="515"/>
      <c r="K414" s="516"/>
      <c r="L414" s="517">
        <f t="shared" ref="L414:N414" ca="1" si="212">L419+L444+L467+L502+L523+L544+L629+L655+L685+L737+L754+L770+L786+L805</f>
        <v>36012079</v>
      </c>
      <c r="M414" s="517">
        <f t="shared" si="212"/>
        <v>0</v>
      </c>
      <c r="N414" s="517">
        <f t="shared" ca="1" si="212"/>
        <v>8790580.7599999998</v>
      </c>
      <c r="O414" s="517">
        <f ca="1">IF(L414&gt;0,N414*100/L414,0)</f>
        <v>24.410089625761401</v>
      </c>
      <c r="P414" s="517">
        <f>IF(M414&gt;0,N414*100/M414,0)</f>
        <v>0</v>
      </c>
    </row>
    <row r="415" spans="1:26" ht="19.5">
      <c r="A415" s="518" t="s">
        <v>181</v>
      </c>
      <c r="B415" s="519"/>
      <c r="C415" s="519"/>
      <c r="D415" s="519"/>
      <c r="E415" s="519"/>
      <c r="F415" s="519"/>
      <c r="G415" s="519"/>
      <c r="H415" s="520"/>
      <c r="I415" s="521"/>
      <c r="J415" s="521"/>
      <c r="K415" s="522"/>
      <c r="L415" s="523"/>
      <c r="M415" s="523"/>
      <c r="N415" s="523"/>
      <c r="O415" s="523"/>
      <c r="P415" s="523"/>
    </row>
    <row r="416" spans="1:26" ht="19.5">
      <c r="A416" s="518" t="s">
        <v>182</v>
      </c>
      <c r="B416" s="519"/>
      <c r="C416" s="519"/>
      <c r="D416" s="519"/>
      <c r="E416" s="519"/>
      <c r="F416" s="519"/>
      <c r="G416" s="524"/>
      <c r="H416" s="525"/>
      <c r="I416" s="526"/>
      <c r="J416" s="526"/>
      <c r="K416" s="523"/>
      <c r="L416" s="523"/>
      <c r="M416" s="523"/>
      <c r="N416" s="523"/>
      <c r="O416" s="523"/>
      <c r="P416" s="523"/>
    </row>
    <row r="417" spans="1:26" ht="39">
      <c r="A417" s="527">
        <v>1</v>
      </c>
      <c r="B417" s="528" t="s">
        <v>183</v>
      </c>
      <c r="C417" s="529"/>
      <c r="D417" s="530"/>
      <c r="E417" s="530"/>
      <c r="F417" s="530"/>
      <c r="G417" s="531"/>
      <c r="H417" s="532" t="s">
        <v>35</v>
      </c>
      <c r="I417" s="533">
        <f t="shared" ref="I417:J417" ca="1" si="213">I433</f>
        <v>630</v>
      </c>
      <c r="J417" s="533">
        <f t="shared" ca="1" si="213"/>
        <v>390</v>
      </c>
      <c r="K417" s="534">
        <f t="shared" ref="K417:K418" ca="1" si="214">IF(I417&gt;0,J417*100/I417,0)</f>
        <v>61.904761904761905</v>
      </c>
      <c r="L417" s="535"/>
      <c r="M417" s="535"/>
      <c r="N417" s="535"/>
      <c r="O417" s="535"/>
      <c r="P417" s="535"/>
    </row>
    <row r="418" spans="1:26" ht="19.5">
      <c r="A418" s="536"/>
      <c r="B418" s="527"/>
      <c r="C418" s="529"/>
      <c r="D418" s="530"/>
      <c r="E418" s="530"/>
      <c r="F418" s="530"/>
      <c r="G418" s="531"/>
      <c r="H418" s="532" t="s">
        <v>49</v>
      </c>
      <c r="I418" s="533">
        <f t="shared" ref="I418:J418" ca="1" si="215">I434</f>
        <v>24</v>
      </c>
      <c r="J418" s="533">
        <f t="shared" ca="1" si="215"/>
        <v>17</v>
      </c>
      <c r="K418" s="534">
        <f t="shared" ca="1" si="214"/>
        <v>70.833333333333329</v>
      </c>
      <c r="L418" s="535"/>
      <c r="M418" s="535"/>
      <c r="N418" s="535"/>
      <c r="O418" s="535"/>
      <c r="P418" s="535"/>
    </row>
    <row r="419" spans="1:26" ht="19.5">
      <c r="A419" s="147"/>
      <c r="B419" s="148"/>
      <c r="C419" s="148" t="s">
        <v>16</v>
      </c>
      <c r="D419" s="1492" t="s">
        <v>17</v>
      </c>
      <c r="E419" s="1487"/>
      <c r="F419" s="1487"/>
      <c r="G419" s="151"/>
      <c r="H419" s="275" t="s">
        <v>12</v>
      </c>
      <c r="I419" s="153"/>
      <c r="J419" s="153"/>
      <c r="K419" s="154"/>
      <c r="L419" s="155">
        <f t="shared" ref="L419:N419" ca="1" si="216">L420+L421</f>
        <v>2277950</v>
      </c>
      <c r="M419" s="155">
        <f t="shared" si="216"/>
        <v>0</v>
      </c>
      <c r="N419" s="155">
        <f t="shared" ca="1" si="216"/>
        <v>1328103</v>
      </c>
      <c r="O419" s="155">
        <f t="shared" ref="O419:O424" ca="1" si="217">IF(L419&gt;0,N419*100/L419,0)</f>
        <v>58.302552733817684</v>
      </c>
      <c r="P419" s="155">
        <f t="shared" ref="P419:P424" si="218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7"/>
      <c r="E420" s="41" t="s">
        <v>184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9">L423+L430</f>
        <v>0</v>
      </c>
      <c r="M420" s="45">
        <f t="shared" si="219"/>
        <v>0</v>
      </c>
      <c r="N420" s="45">
        <f t="shared" si="219"/>
        <v>0</v>
      </c>
      <c r="O420" s="45">
        <f t="shared" si="217"/>
        <v>0</v>
      </c>
      <c r="P420" s="45">
        <f t="shared" si="218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7"/>
      <c r="E421" s="41" t="s">
        <v>185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20">L424+L431</f>
        <v>2277950</v>
      </c>
      <c r="M421" s="45">
        <f t="shared" si="220"/>
        <v>0</v>
      </c>
      <c r="N421" s="45">
        <f t="shared" ca="1" si="220"/>
        <v>1328103</v>
      </c>
      <c r="O421" s="45">
        <f t="shared" ca="1" si="217"/>
        <v>58.302552733817684</v>
      </c>
      <c r="P421" s="45">
        <f t="shared" si="218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21">L423+L424</f>
        <v>2277950</v>
      </c>
      <c r="M422" s="38">
        <f t="shared" si="221"/>
        <v>0</v>
      </c>
      <c r="N422" s="38">
        <f t="shared" ca="1" si="221"/>
        <v>1328103</v>
      </c>
      <c r="O422" s="38">
        <f t="shared" ca="1" si="217"/>
        <v>58.302552733817684</v>
      </c>
      <c r="P422" s="38">
        <f t="shared" si="218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7"/>
      <c r="E423" s="41" t="s">
        <v>184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7"/>
        <v>0</v>
      </c>
      <c r="P423" s="45">
        <f t="shared" si="218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7"/>
      <c r="E424" s="41" t="s">
        <v>185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KxicF4apzSqm0-jIpmueT4kyZtE-Cwn5zskl7GD4loQ/edit?usp=share_link"",""กำแพงเพชร!l424"")+IMPORTRANGE(""https://docs.google.com/spreadsheets/d/1ZNYWeiFoFA1K1U4xKWqRX29MBvEyRHXORjo734Gnq_c/edit?usp=share_li"&amp;"nk"",""เชียงราย!l424"")
+IMPORTRANGE(""https://docs.google.com/spreadsheets/d/1Jgv0Y7YlHDtsiDawwp-uvifEJ8HVaSn0k2aGHG8-hwM/edit?usp=share_link"",""เชียงใหม่!l424"")+IMPORTRANGE(""https://docs.google.com/spreadsheets/d/1JWG2rZePOz9pe-f-ObA-yDr0VoOX2kSb0qIi"&amp;"x2mTUo8/edit?usp=share_link"",""ตาก!l424"")+IMPORTRANGE(""https://docs.google.com/spreadsheets/d/10nSRjK08hx8Y6HgSOQKNw81lyY46Zc7U_Cj72hBMp9U/edit?usp=share_link"",""นครสวรรค์!l424"")+IMPORTRANGE(""https://docs.google.com/spreadsheets/d/1gFVb7qd7amutrIxAA"&amp;"oM7lcy35hllxznovot8lyOfvDo/edit?usp=share_link"",""น่าน!l424"")+IMPORTRANGE(""https://docs.google.com/spreadsheets/d/1K0Aa9s-6EuHE5M0FG1F9aHLXRCOV917xvycTdLdct0w/edit?usp=share_link"",""พะเยา!l424"")+IMPORTRANGE(""https://docs.google.com/spreadsheets/d/1Y"&amp;"9LPKx95PyL5OKy09d-KbKJSuuEZCFdkhYjwC0XQjBA/edit?usp=share_link"",""พิจิตร!l424"")+IMPORTRANGE(""https://docs.google.com/spreadsheets/d/16OMuOwy2eVqZcYWOouQtTpa8X1L23h4660uVHc0C8os/edit?usp=share_link"",""พิษณุโลก!l424"")+IMPORTRANGE(""https://docs.google."&amp;"com/spreadsheets/d/1GfgTldLG6k77HXaMQzaafODklYuucJZQNs_GAPEfZyY/edit?usp=share_link"",""เพชรบูรณ์!l424"")+IMPORTRANGE(""https://docs.google.com/spreadsheets/d/1gvTMYAnm7v1yG1BKWFtr0DnaTsq59oW9dwWvFgq6hs0/edit?usp=share_link"",""แพร่!l424"")+IMPORTRANGE("""&amp;"https://docs.google.com/spreadsheets/d/1Wbcosgy-Xa1xXUArJSOenub6EfZHUSzc_bpJFWwQUf0/edit?usp=share_link"",""แม่ฮ่องสอน!l424"")+IMPORTRANGE(""https://docs.google.com/spreadsheets/d/1p7ERhsr0qZeSn-KSOdeHS9r0heI-lHtkcn2OH7hP0jQ/edit?usp=share_link"",""ลำปาง!"&amp;"l424"")+IMPORTRANGE(""https://docs.google.com/spreadsheets/d/1-uUXvimVhiU2U0bMN-xi2te0tS4X7DI2GLPnMjzl8cA/edit?usp=share_link"",""ลำพูน!l424"")+IMPORTRANGE(""https://docs.google.com/spreadsheets/d/17HrOaa5pBUI1onckFfumXB8xlg35qb2uBAFfF1D-Myo/edit?usp=shar"&amp;"e_link"",""สุโขทัย!l424"")+IMPORTRANGE(""https://docs.google.com/spreadsheets/d/1ubs5cl16eYL9gHbdHTJtmtYb9MGzHBs7CAphn8kNCgM/edit?usp=share_link"",""อุตรดิตถ์!l424"")+IMPORTRANGE(""https://docs.google.com/spreadsheets/d/1kII0BjS6CtVrBvI8IrytgPdxDrlyQDyigz"&amp;"MsohRtDMs/edit?usp=share_link"",""อุทัยธานี!l424"")
"),2277950)</f>
        <v>2277950</v>
      </c>
      <c r="M424" s="93">
        <v>0</v>
      </c>
      <c r="N424" s="45">
        <f ca="1">N425+N426+N427+N428</f>
        <v>1328103</v>
      </c>
      <c r="O424" s="45">
        <f t="shared" ca="1" si="217"/>
        <v>58.302552733817684</v>
      </c>
      <c r="P424" s="45">
        <f t="shared" si="218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8"/>
      <c r="B425" s="539"/>
      <c r="C425" s="540"/>
      <c r="D425" s="540"/>
      <c r="E425" s="540"/>
      <c r="F425" s="541" t="s">
        <v>186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KxicF4apzSqm0-jIpmueT4kyZtE-Cwn5zskl7GD4loQ/edit?usp=share_link"",""กำแพงเพชร!n425"")+IMPORTRANGE(""https://docs.google.com/spreadsheets/d/1ZNYWeiFoFA1K1U4xKWqRX29MBvEyRHXORjo734Gnq_c/edit?usp=share_li"&amp;"nk"",""เชียงราย!n425"")
+IMPORTRANGE(""https://docs.google.com/spreadsheets/d/1Jgv0Y7YlHDtsiDawwp-uvifEJ8HVaSn0k2aGHG8-hwM/edit?usp=share_link"",""เชียงใหม่!n425"")+IMPORTRANGE(""https://docs.google.com/spreadsheets/d/1JWG2rZePOz9pe-f-ObA-yDr0VoOX2kSb0qIi"&amp;"x2mTUo8/edit?usp=share_link"",""ตาก!n425"")+IMPORTRANGE(""https://docs.google.com/spreadsheets/d/10nSRjK08hx8Y6HgSOQKNw81lyY46Zc7U_Cj72hBMp9U/edit?usp=share_link"",""นครสวรรค์!n425"")+IMPORTRANGE(""https://docs.google.com/spreadsheets/d/1gFVb7qd7amutrIxAA"&amp;"oM7lcy35hllxznovot8lyOfvDo/edit?usp=share_link"",""น่าน!n425"")+IMPORTRANGE(""https://docs.google.com/spreadsheets/d/1K0Aa9s-6EuHE5M0FG1F9aHLXRCOV917xvycTdLdct0w/edit?usp=share_link"",""พะเยา!n425"")+IMPORTRANGE(""https://docs.google.com/spreadsheets/d/1Y"&amp;"9LPKx95PyL5OKy09d-KbKJSuuEZCFdkhYjwC0XQjBA/edit?usp=share_link"",""พิจิตร!n425"")+IMPORTRANGE(""https://docs.google.com/spreadsheets/d/16OMuOwy2eVqZcYWOouQtTpa8X1L23h4660uVHc0C8os/edit?usp=share_link"",""พิษณุโลก!n425"")+IMPORTRANGE(""https://docs.google."&amp;"com/spreadsheets/d/1GfgTldLG6k77HXaMQzaafODklYuucJZQNs_GAPEfZyY/edit?usp=share_link"",""เพชรบูรณ์!n425"")+IMPORTRANGE(""https://docs.google.com/spreadsheets/d/1gvTMYAnm7v1yG1BKWFtr0DnaTsq59oW9dwWvFgq6hs0/edit?usp=share_link"",""แพร่!n425"")+IMPORTRANGE("""&amp;"https://docs.google.com/spreadsheets/d/1Wbcosgy-Xa1xXUArJSOenub6EfZHUSzc_bpJFWwQUf0/edit?usp=share_link"",""แม่ฮ่องสอน!n425"")+IMPORTRANGE(""https://docs.google.com/spreadsheets/d/1p7ERhsr0qZeSn-KSOdeHS9r0heI-lHtkcn2OH7hP0jQ/edit?usp=share_link"",""ลำปาง!"&amp;"n425"")+IMPORTRANGE(""https://docs.google.com/spreadsheets/d/1-uUXvimVhiU2U0bMN-xi2te0tS4X7DI2GLPnMjzl8cA/edit?usp=share_link"",""ลำพูน!n425"")+IMPORTRANGE(""https://docs.google.com/spreadsheets/d/17HrOaa5pBUI1onckFfumXB8xlg35qb2uBAFfF1D-Myo/edit?usp=shar"&amp;"e_link"",""สุโขทัย!n425"")+IMPORTRANGE(""https://docs.google.com/spreadsheets/d/1ubs5cl16eYL9gHbdHTJtmtYb9MGzHBs7CAphn8kNCgM/edit?usp=share_link"",""อุตรดิตถ์!n425"")+IMPORTRANGE(""https://docs.google.com/spreadsheets/d/1kII0BjS6CtVrBvI8IrytgPdxDrlyQDyigz"&amp;"MsohRtDMs/edit?usp=share_link"",""อุทัยธานี!n425"")
"),1093503)</f>
        <v>1093503</v>
      </c>
      <c r="O425" s="38"/>
      <c r="P425" s="38"/>
      <c r="Q425" s="542"/>
      <c r="R425" s="542"/>
      <c r="S425" s="542"/>
      <c r="T425" s="542"/>
      <c r="U425" s="542"/>
      <c r="V425" s="542"/>
      <c r="W425" s="542"/>
      <c r="X425" s="542"/>
      <c r="Y425" s="542"/>
      <c r="Z425" s="542"/>
    </row>
    <row r="426" spans="1:26" ht="18.75">
      <c r="A426" s="538"/>
      <c r="B426" s="539"/>
      <c r="C426" s="540"/>
      <c r="D426" s="540"/>
      <c r="E426" s="540"/>
      <c r="F426" s="541" t="s">
        <v>187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KxicF4apzSqm0-jIpmueT4kyZtE-Cwn5zskl7GD4loQ/edit?usp=share_link"",""กำแพงเพชร!n426"")+IMPORTRANGE(""https://docs.google.com/spreadsheets/d/1ZNYWeiFoFA1K1U4xKWqRX29MBvEyRHXORjo734Gnq_c/edit?usp=share_li"&amp;"nk"",""เชียงราย!n426"")
+IMPORTRANGE(""https://docs.google.com/spreadsheets/d/1Jgv0Y7YlHDtsiDawwp-uvifEJ8HVaSn0k2aGHG8-hwM/edit?usp=share_link"",""เชียงใหม่!n426"")+IMPORTRANGE(""https://docs.google.com/spreadsheets/d/1JWG2rZePOz9pe-f-ObA-yDr0VoOX2kSb0qIi"&amp;"x2mTUo8/edit?usp=share_link"",""ตาก!n426"")+IMPORTRANGE(""https://docs.google.com/spreadsheets/d/10nSRjK08hx8Y6HgSOQKNw81lyY46Zc7U_Cj72hBMp9U/edit?usp=share_link"",""นครสวรรค์!n426"")+IMPORTRANGE(""https://docs.google.com/spreadsheets/d/1gFVb7qd7amutrIxAA"&amp;"oM7lcy35hllxznovot8lyOfvDo/edit?usp=share_link"",""น่าน!n426"")+IMPORTRANGE(""https://docs.google.com/spreadsheets/d/1K0Aa9s-6EuHE5M0FG1F9aHLXRCOV917xvycTdLdct0w/edit?usp=share_link"",""พะเยา!n426"")+IMPORTRANGE(""https://docs.google.com/spreadsheets/d/1Y"&amp;"9LPKx95PyL5OKy09d-KbKJSuuEZCFdkhYjwC0XQjBA/edit?usp=share_link"",""พิจิตร!n426"")+IMPORTRANGE(""https://docs.google.com/spreadsheets/d/16OMuOwy2eVqZcYWOouQtTpa8X1L23h4660uVHc0C8os/edit?usp=share_link"",""พิษณุโลก!n426"")+IMPORTRANGE(""https://docs.google."&amp;"com/spreadsheets/d/1GfgTldLG6k77HXaMQzaafODklYuucJZQNs_GAPEfZyY/edit?usp=share_link"",""เพชรบูรณ์!n426"")+IMPORTRANGE(""https://docs.google.com/spreadsheets/d/1gvTMYAnm7v1yG1BKWFtr0DnaTsq59oW9dwWvFgq6hs0/edit?usp=share_link"",""แพร่!n426"")+IMPORTRANGE("""&amp;"https://docs.google.com/spreadsheets/d/1Wbcosgy-Xa1xXUArJSOenub6EfZHUSzc_bpJFWwQUf0/edit?usp=share_link"",""แม่ฮ่องสอน!n426"")+IMPORTRANGE(""https://docs.google.com/spreadsheets/d/1p7ERhsr0qZeSn-KSOdeHS9r0heI-lHtkcn2OH7hP0jQ/edit?usp=share_link"",""ลำปาง!"&amp;"n426"")+IMPORTRANGE(""https://docs.google.com/spreadsheets/d/1-uUXvimVhiU2U0bMN-xi2te0tS4X7DI2GLPnMjzl8cA/edit?usp=share_link"",""ลำพูน!n426"")+IMPORTRANGE(""https://docs.google.com/spreadsheets/d/17HrOaa5pBUI1onckFfumXB8xlg35qb2uBAFfF1D-Myo/edit?usp=shar"&amp;"e_link"",""สุโขทัย!n426"")+IMPORTRANGE(""https://docs.google.com/spreadsheets/d/1ubs5cl16eYL9gHbdHTJtmtYb9MGzHBs7CAphn8kNCgM/edit?usp=share_link"",""อุตรดิตถ์!n426"")+IMPORTRANGE(""https://docs.google.com/spreadsheets/d/1kII0BjS6CtVrBvI8IrytgPdxDrlyQDyigz"&amp;"MsohRtDMs/edit?usp=share_link"",""อุทัยธานี!n426"")
"),870)</f>
        <v>870</v>
      </c>
      <c r="O426" s="38"/>
      <c r="P426" s="38"/>
      <c r="Q426" s="542"/>
      <c r="R426" s="542"/>
      <c r="S426" s="542"/>
      <c r="T426" s="542"/>
      <c r="U426" s="542"/>
      <c r="V426" s="542"/>
      <c r="W426" s="542"/>
      <c r="X426" s="542"/>
      <c r="Y426" s="542"/>
      <c r="Z426" s="542"/>
    </row>
    <row r="427" spans="1:26" ht="18.75">
      <c r="A427" s="538"/>
      <c r="B427" s="539"/>
      <c r="C427" s="540"/>
      <c r="D427" s="540"/>
      <c r="E427" s="540"/>
      <c r="F427" s="541" t="s">
        <v>188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KxicF4apzSqm0-jIpmueT4kyZtE-Cwn5zskl7GD4loQ/edit?usp=share_link"",""กำแพงเพชร!n427"")+IMPORTRANGE(""https://docs.google.com/spreadsheets/d/1ZNYWeiFoFA1K1U4xKWqRX29MBvEyRHXORjo734Gnq_c/edit?usp=share_li"&amp;"nk"",""เชียงราย!n427"")
+IMPORTRANGE(""https://docs.google.com/spreadsheets/d/1Jgv0Y7YlHDtsiDawwp-uvifEJ8HVaSn0k2aGHG8-hwM/edit?usp=share_link"",""เชียงใหม่!n427"")+IMPORTRANGE(""https://docs.google.com/spreadsheets/d/1JWG2rZePOz9pe-f-ObA-yDr0VoOX2kSb0qIi"&amp;"x2mTUo8/edit?usp=share_link"",""ตาก!n427"")+IMPORTRANGE(""https://docs.google.com/spreadsheets/d/10nSRjK08hx8Y6HgSOQKNw81lyY46Zc7U_Cj72hBMp9U/edit?usp=share_link"",""นครสวรรค์!n427"")+IMPORTRANGE(""https://docs.google.com/spreadsheets/d/1gFVb7qd7amutrIxAA"&amp;"oM7lcy35hllxznovot8lyOfvDo/edit?usp=share_link"",""น่าน!n427"")+IMPORTRANGE(""https://docs.google.com/spreadsheets/d/1K0Aa9s-6EuHE5M0FG1F9aHLXRCOV917xvycTdLdct0w/edit?usp=share_link"",""พะเยา!n427"")+IMPORTRANGE(""https://docs.google.com/spreadsheets/d/1Y"&amp;"9LPKx95PyL5OKy09d-KbKJSuuEZCFdkhYjwC0XQjBA/edit?usp=share_link"",""พิจิตร!n427"")+IMPORTRANGE(""https://docs.google.com/spreadsheets/d/16OMuOwy2eVqZcYWOouQtTpa8X1L23h4660uVHc0C8os/edit?usp=share_link"",""พิษณุโลก!n427"")+IMPORTRANGE(""https://docs.google."&amp;"com/spreadsheets/d/1GfgTldLG6k77HXaMQzaafODklYuucJZQNs_GAPEfZyY/edit?usp=share_link"",""เพชรบูรณ์!n427"")+IMPORTRANGE(""https://docs.google.com/spreadsheets/d/1gvTMYAnm7v1yG1BKWFtr0DnaTsq59oW9dwWvFgq6hs0/edit?usp=share_link"",""แพร่!n427"")+IMPORTRANGE("""&amp;"https://docs.google.com/spreadsheets/d/1Wbcosgy-Xa1xXUArJSOenub6EfZHUSzc_bpJFWwQUf0/edit?usp=share_link"",""แม่ฮ่องสอน!n427"")+IMPORTRANGE(""https://docs.google.com/spreadsheets/d/1p7ERhsr0qZeSn-KSOdeHS9r0heI-lHtkcn2OH7hP0jQ/edit?usp=share_link"",""ลำปาง!"&amp;"n427"")+IMPORTRANGE(""https://docs.google.com/spreadsheets/d/1-uUXvimVhiU2U0bMN-xi2te0tS4X7DI2GLPnMjzl8cA/edit?usp=share_link"",""ลำพูน!n427"")+IMPORTRANGE(""https://docs.google.com/spreadsheets/d/17HrOaa5pBUI1onckFfumXB8xlg35qb2uBAFfF1D-Myo/edit?usp=shar"&amp;"e_link"",""สุโขทัย!n427"")+IMPORTRANGE(""https://docs.google.com/spreadsheets/d/1ubs5cl16eYL9gHbdHTJtmtYb9MGzHBs7CAphn8kNCgM/edit?usp=share_link"",""อุตรดิตถ์!n427"")+IMPORTRANGE(""https://docs.google.com/spreadsheets/d/1kII0BjS6CtVrBvI8IrytgPdxDrlyQDyigz"&amp;"MsohRtDMs/edit?usp=share_link"",""อุทัยธานี!n427"")
"),0)</f>
        <v>0</v>
      </c>
      <c r="O427" s="38"/>
      <c r="P427" s="38"/>
      <c r="Q427" s="542"/>
      <c r="R427" s="542"/>
      <c r="S427" s="542"/>
      <c r="T427" s="542"/>
      <c r="U427" s="542"/>
      <c r="V427" s="542"/>
      <c r="W427" s="542"/>
      <c r="X427" s="542"/>
      <c r="Y427" s="542"/>
      <c r="Z427" s="542"/>
    </row>
    <row r="428" spans="1:26" ht="18.75">
      <c r="A428" s="284"/>
      <c r="B428" s="281"/>
      <c r="C428" s="33"/>
      <c r="D428" s="33"/>
      <c r="E428" s="33"/>
      <c r="F428" s="212" t="s">
        <v>189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KxicF4apzSqm0-jIpmueT4kyZtE-Cwn5zskl7GD4loQ/edit?usp=share_link"",""กำแพงเพชร!n428"")+IMPORTRANGE(""https://docs.google.com/spreadsheets/d/1ZNYWeiFoFA1K1U4xKWqRX29MBvEyRHXORjo734Gnq_c/edit?usp=share_li"&amp;"nk"",""เชียงราย!n428"")
+IMPORTRANGE(""https://docs.google.com/spreadsheets/d/1Jgv0Y7YlHDtsiDawwp-uvifEJ8HVaSn0k2aGHG8-hwM/edit?usp=share_link"",""เชียงใหม่!n428"")+IMPORTRANGE(""https://docs.google.com/spreadsheets/d/1JWG2rZePOz9pe-f-ObA-yDr0VoOX2kSb0qIi"&amp;"x2mTUo8/edit?usp=share_link"",""ตาก!n428"")+IMPORTRANGE(""https://docs.google.com/spreadsheets/d/10nSRjK08hx8Y6HgSOQKNw81lyY46Zc7U_Cj72hBMp9U/edit?usp=share_link"",""นครสวรรค์!n428"")+IMPORTRANGE(""https://docs.google.com/spreadsheets/d/1gFVb7qd7amutrIxAA"&amp;"oM7lcy35hllxznovot8lyOfvDo/edit?usp=share_link"",""น่าน!n428"")+IMPORTRANGE(""https://docs.google.com/spreadsheets/d/1K0Aa9s-6EuHE5M0FG1F9aHLXRCOV917xvycTdLdct0w/edit?usp=share_link"",""พะเยา!n428"")+IMPORTRANGE(""https://docs.google.com/spreadsheets/d/1Y"&amp;"9LPKx95PyL5OKy09d-KbKJSuuEZCFdkhYjwC0XQjBA/edit?usp=share_link"",""พิจิตร!n428"")+IMPORTRANGE(""https://docs.google.com/spreadsheets/d/16OMuOwy2eVqZcYWOouQtTpa8X1L23h4660uVHc0C8os/edit?usp=share_link"",""พิษณุโลก!n428"")+IMPORTRANGE(""https://docs.google."&amp;"com/spreadsheets/d/1GfgTldLG6k77HXaMQzaafODklYuucJZQNs_GAPEfZyY/edit?usp=share_link"",""เพชรบูรณ์!n428"")+IMPORTRANGE(""https://docs.google.com/spreadsheets/d/1gvTMYAnm7v1yG1BKWFtr0DnaTsq59oW9dwWvFgq6hs0/edit?usp=share_link"",""แพร่!n428"")+IMPORTRANGE("""&amp;"https://docs.google.com/spreadsheets/d/1Wbcosgy-Xa1xXUArJSOenub6EfZHUSzc_bpJFWwQUf0/edit?usp=share_link"",""แม่ฮ่องสอน!n428"")+IMPORTRANGE(""https://docs.google.com/spreadsheets/d/1p7ERhsr0qZeSn-KSOdeHS9r0heI-lHtkcn2OH7hP0jQ/edit?usp=share_link"",""ลำปาง!"&amp;"n428"")+IMPORTRANGE(""https://docs.google.com/spreadsheets/d/1-uUXvimVhiU2U0bMN-xi2te0tS4X7DI2GLPnMjzl8cA/edit?usp=share_link"",""ลำพูน!n428"")+IMPORTRANGE(""https://docs.google.com/spreadsheets/d/17HrOaa5pBUI1onckFfumXB8xlg35qb2uBAFfF1D-Myo/edit?usp=shar"&amp;"e_link"",""สุโขทัย!n428"")+IMPORTRANGE(""https://docs.google.com/spreadsheets/d/1ubs5cl16eYL9gHbdHTJtmtYb9MGzHBs7CAphn8kNCgM/edit?usp=share_link"",""อุตรดิตถ์!n428"")+IMPORTRANGE(""https://docs.google.com/spreadsheets/d/1kII0BjS6CtVrBvI8IrytgPdxDrlyQDyigz"&amp;"MsohRtDMs/edit?usp=share_link"",""อุทัยธานี!n428"")
"),233730)</f>
        <v>233730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2">L430+L431</f>
        <v>0</v>
      </c>
      <c r="M429" s="38">
        <f t="shared" si="222"/>
        <v>0</v>
      </c>
      <c r="N429" s="38">
        <f t="shared" si="222"/>
        <v>0</v>
      </c>
      <c r="O429" s="38">
        <f t="shared" ref="O429:O431" ca="1" si="223">IF(L429&gt;0,N429*100/L429,0)</f>
        <v>0</v>
      </c>
      <c r="P429" s="38">
        <f t="shared" ref="P429:P431" si="224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3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3"/>
        <v>0</v>
      </c>
      <c r="P430" s="45">
        <f t="shared" si="224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3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KxicF4apzSqm0-jIpmueT4kyZtE-Cwn5zskl7GD4loQ/edit?usp=share_link"",""กำแพงเพชร!l431"")+IMPORTRANGE(""https://docs.google.com/spreadsheets/d/1ZNYWeiFoFA1K1U4xKWqRX29MBvEyRHXORjo734Gnq_c/edit?usp=share_li"&amp;"nk"",""เชียงราย!l431"")
+IMPORTRANGE(""https://docs.google.com/spreadsheets/d/1Jgv0Y7YlHDtsiDawwp-uvifEJ8HVaSn0k2aGHG8-hwM/edit?usp=share_link"",""เชียงใหม่!l431"")+IMPORTRANGE(""https://docs.google.com/spreadsheets/d/1JWG2rZePOz9pe-f-ObA-yDr0VoOX2kSb0qIi"&amp;"x2mTUo8/edit?usp=share_link"",""ตาก!l431"")+IMPORTRANGE(""https://docs.google.com/spreadsheets/d/10nSRjK08hx8Y6HgSOQKNw81lyY46Zc7U_Cj72hBMp9U/edit?usp=share_link"",""นครสวรรค์!l431"")+IMPORTRANGE(""https://docs.google.com/spreadsheets/d/1gFVb7qd7amutrIxAA"&amp;"oM7lcy35hllxznovot8lyOfvDo/edit?usp=share_link"",""น่าน!l431"")+IMPORTRANGE(""https://docs.google.com/spreadsheets/d/1K0Aa9s-6EuHE5M0FG1F9aHLXRCOV917xvycTdLdct0w/edit?usp=share_link"",""พะเยา!l431"")+IMPORTRANGE(""https://docs.google.com/spreadsheets/d/1Y"&amp;"9LPKx95PyL5OKy09d-KbKJSuuEZCFdkhYjwC0XQjBA/edit?usp=share_link"",""พิจิตร!l431"")+IMPORTRANGE(""https://docs.google.com/spreadsheets/d/16OMuOwy2eVqZcYWOouQtTpa8X1L23h4660uVHc0C8os/edit?usp=share_link"",""พิษณุโลก!l431"")+IMPORTRANGE(""https://docs.google."&amp;"com/spreadsheets/d/1GfgTldLG6k77HXaMQzaafODklYuucJZQNs_GAPEfZyY/edit?usp=share_link"",""เพชรบูรณ์!l431"")+IMPORTRANGE(""https://docs.google.com/spreadsheets/d/1gvTMYAnm7v1yG1BKWFtr0DnaTsq59oW9dwWvFgq6hs0/edit?usp=share_link"",""แพร่!l431"")+IMPORTRANGE("""&amp;"https://docs.google.com/spreadsheets/d/1Wbcosgy-Xa1xXUArJSOenub6EfZHUSzc_bpJFWwQUf0/edit?usp=share_link"",""แม่ฮ่องสอน!l431"")+IMPORTRANGE(""https://docs.google.com/spreadsheets/d/1p7ERhsr0qZeSn-KSOdeHS9r0heI-lHtkcn2OH7hP0jQ/edit?usp=share_link"",""ลำปาง!"&amp;"l431"")+IMPORTRANGE(""https://docs.google.com/spreadsheets/d/1-uUXvimVhiU2U0bMN-xi2te0tS4X7DI2GLPnMjzl8cA/edit?usp=share_link"",""ลำพูน!l431"")+IMPORTRANGE(""https://docs.google.com/spreadsheets/d/17HrOaa5pBUI1onckFfumXB8xlg35qb2uBAFfF1D-Myo/edit?usp=shar"&amp;"e_link"",""สุโขทัย!l431"")+IMPORTRANGE(""https://docs.google.com/spreadsheets/d/1ubs5cl16eYL9gHbdHTJtmtYb9MGzHBs7CAphn8kNCgM/edit?usp=share_link"",""อุตรดิตถ์!l431"")+IMPORTRANGE(""https://docs.google.com/spreadsheets/d/1kII0BjS6CtVrBvI8IrytgPdxDrlyQDyigz"&amp;"MsohRtDMs/edit?usp=share_link"",""อุทัยธานี!l431"")
"),0)</f>
        <v>0</v>
      </c>
      <c r="M431" s="93">
        <v>0</v>
      </c>
      <c r="N431" s="93">
        <v>0</v>
      </c>
      <c r="O431" s="45">
        <f t="shared" ca="1" si="223"/>
        <v>0</v>
      </c>
      <c r="P431" s="45">
        <f t="shared" si="224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544" t="s">
        <v>38</v>
      </c>
      <c r="E432" s="545"/>
      <c r="F432" s="545"/>
      <c r="G432" s="546"/>
      <c r="H432" s="547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86" t="s">
        <v>190</v>
      </c>
      <c r="E433" s="178"/>
      <c r="F433" s="178"/>
      <c r="G433" s="179"/>
      <c r="H433" s="196" t="s">
        <v>35</v>
      </c>
      <c r="I433" s="194">
        <f ca="1">I435</f>
        <v>630</v>
      </c>
      <c r="J433" s="194">
        <f ca="1">IFERROR(__xludf.DUMMYFUNCTION("IMPORTRANGE(""https://docs.google.com/spreadsheets/d/1KxicF4apzSqm0-jIpmueT4kyZtE-Cwn5zskl7GD4loQ/edit?usp=share_link"",""กำแพงเพชร!J433"")+IMPORTRANGE(""https://docs.google.com/spreadsheets/d/1ZNYWeiFoFA1K1U4xKWqRX29MBvEyRHXORjo734Gnq_c/edit?usp=share_li"&amp;"nk"",""เชียงราย!J433"")
+IMPORTRANGE(""https://docs.google.com/spreadsheets/d/1Jgv0Y7YlHDtsiDawwp-uvifEJ8HVaSn0k2aGHG8-hwM/edit?usp=share_link"",""เชียงใหม่!J433"")+IMPORTRANGE(""https://docs.google.com/spreadsheets/d/1JWG2rZePOz9pe-f-ObA-yDr0VoOX2kSb0qIi"&amp;"x2mTUo8/edit?usp=share_link"",""ตาก!J433"")+IMPORTRANGE(""https://docs.google.com/spreadsheets/d/10nSRjK08hx8Y6HgSOQKNw81lyY46Zc7U_Cj72hBMp9U/edit?usp=share_link"",""นครสวรรค์!J433"")+IMPORTRANGE(""https://docs.google.com/spreadsheets/d/1gFVb7qd7amutrIxAA"&amp;"oM7lcy35hllxznovot8lyOfvDo/edit?usp=share_link"",""น่าน!J433"")+IMPORTRANGE(""https://docs.google.com/spreadsheets/d/1K0Aa9s-6EuHE5M0FG1F9aHLXRCOV917xvycTdLdct0w/edit?usp=share_link"",""พะเยา!J433"")+IMPORTRANGE(""https://docs.google.com/spreadsheets/d/1Y"&amp;"9LPKx95PyL5OKy09d-KbKJSuuEZCFdkhYjwC0XQjBA/edit?usp=share_link"",""พิจิตร!J433"")+IMPORTRANGE(""https://docs.google.com/spreadsheets/d/16OMuOwy2eVqZcYWOouQtTpa8X1L23h4660uVHc0C8os/edit?usp=share_link"",""พิษณุโลก!J433"")+IMPORTRANGE(""https://docs.google."&amp;"com/spreadsheets/d/1GfgTldLG6k77HXaMQzaafODklYuucJZQNs_GAPEfZyY/edit?usp=share_link"",""เพชรบูรณ์!J433"")+IMPORTRANGE(""https://docs.google.com/spreadsheets/d/1gvTMYAnm7v1yG1BKWFtr0DnaTsq59oW9dwWvFgq6hs0/edit?usp=share_link"",""แพร่!J433"")+IMPORTRANGE("""&amp;"https://docs.google.com/spreadsheets/d/1Wbcosgy-Xa1xXUArJSOenub6EfZHUSzc_bpJFWwQUf0/edit?usp=share_link"",""แม่ฮ่องสอน!J433"")+IMPORTRANGE(""https://docs.google.com/spreadsheets/d/1p7ERhsr0qZeSn-KSOdeHS9r0heI-lHtkcn2OH7hP0jQ/edit?usp=share_link"",""ลำปาง!"&amp;"J433"")+IMPORTRANGE(""https://docs.google.com/spreadsheets/d/1-uUXvimVhiU2U0bMN-xi2te0tS4X7DI2GLPnMjzl8cA/edit?usp=share_link"",""ลำพูน!J433"")+IMPORTRANGE(""https://docs.google.com/spreadsheets/d/17HrOaa5pBUI1onckFfumXB8xlg35qb2uBAFfF1D-Myo/edit?usp=shar"&amp;"e_link"",""สุโขทัย!J433"")+IMPORTRANGE(""https://docs.google.com/spreadsheets/d/1ubs5cl16eYL9gHbdHTJtmtYb9MGzHBs7CAphn8kNCgM/edit?usp=share_link"",""อุตรดิตถ์!J433"")+IMPORTRANGE(""https://docs.google.com/spreadsheets/d/1kII0BjS6CtVrBvI8IrytgPdxDrlyQDyigz"&amp;"MsohRtDMs/edit?usp=share_link"",""อุทัยธานี!J433"")
"),390)</f>
        <v>390</v>
      </c>
      <c r="K433" s="195">
        <f t="shared" ref="K433:K435" ca="1" si="225">IF(I433&gt;0,J433*100/I433,0)</f>
        <v>61.904761904761905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86" t="s">
        <v>191</v>
      </c>
      <c r="E434" s="178"/>
      <c r="F434" s="178"/>
      <c r="G434" s="179"/>
      <c r="H434" s="196" t="s">
        <v>49</v>
      </c>
      <c r="I434" s="194">
        <f t="shared" ref="I434:J434" ca="1" si="226">I438+I440</f>
        <v>24</v>
      </c>
      <c r="J434" s="194">
        <f t="shared" ca="1" si="226"/>
        <v>17</v>
      </c>
      <c r="K434" s="195">
        <f t="shared" ca="1" si="225"/>
        <v>70.833333333333329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181" t="s">
        <v>192</v>
      </c>
      <c r="E435" s="178"/>
      <c r="F435" s="178"/>
      <c r="G435" s="179"/>
      <c r="H435" s="36" t="s">
        <v>35</v>
      </c>
      <c r="I435" s="548">
        <f ca="1">IFERROR(__xludf.DUMMYFUNCTION("IMPORTRANGE(""https://docs.google.com/spreadsheets/d/1KxicF4apzSqm0-jIpmueT4kyZtE-Cwn5zskl7GD4loQ/edit?usp=share_link"",""กำแพงเพชร!I435"")+IMPORTRANGE(""https://docs.google.com/spreadsheets/d/1ZNYWeiFoFA1K1U4xKWqRX29MBvEyRHXORjo734Gnq_c/edit?usp=share_li"&amp;"nk"",""เชียงราย!I435"")
+IMPORTRANGE(""https://docs.google.com/spreadsheets/d/1Jgv0Y7YlHDtsiDawwp-uvifEJ8HVaSn0k2aGHG8-hwM/edit?usp=share_link"",""เชียงใหม่!I435"")+IMPORTRANGE(""https://docs.google.com/spreadsheets/d/1JWG2rZePOz9pe-f-ObA-yDr0VoOX2kSb0qIi"&amp;"x2mTUo8/edit?usp=share_link"",""ตาก!I435"")+IMPORTRANGE(""https://docs.google.com/spreadsheets/d/10nSRjK08hx8Y6HgSOQKNw81lyY46Zc7U_Cj72hBMp9U/edit?usp=share_link"",""นครสวรรค์!I435"")+IMPORTRANGE(""https://docs.google.com/spreadsheets/d/1gFVb7qd7amutrIxAA"&amp;"oM7lcy35hllxznovot8lyOfvDo/edit?usp=share_link"",""น่าน!I435"")+IMPORTRANGE(""https://docs.google.com/spreadsheets/d/1K0Aa9s-6EuHE5M0FG1F9aHLXRCOV917xvycTdLdct0w/edit?usp=share_link"",""พะเยา!I435"")+IMPORTRANGE(""https://docs.google.com/spreadsheets/d/1Y"&amp;"9LPKx95PyL5OKy09d-KbKJSuuEZCFdkhYjwC0XQjBA/edit?usp=share_link"",""พิจิตร!I435"")+IMPORTRANGE(""https://docs.google.com/spreadsheets/d/16OMuOwy2eVqZcYWOouQtTpa8X1L23h4660uVHc0C8os/edit?usp=share_link"",""พิษณุโลก!I435"")+IMPORTRANGE(""https://docs.google."&amp;"com/spreadsheets/d/1GfgTldLG6k77HXaMQzaafODklYuucJZQNs_GAPEfZyY/edit?usp=share_link"",""เพชรบูรณ์!I435"")+IMPORTRANGE(""https://docs.google.com/spreadsheets/d/1gvTMYAnm7v1yG1BKWFtr0DnaTsq59oW9dwWvFgq6hs0/edit?usp=share_link"",""แพร่!I435"")+IMPORTRANGE("""&amp;"https://docs.google.com/spreadsheets/d/1Wbcosgy-Xa1xXUArJSOenub6EfZHUSzc_bpJFWwQUf0/edit?usp=share_link"",""แม่ฮ่องสอน!I435"")+IMPORTRANGE(""https://docs.google.com/spreadsheets/d/1p7ERhsr0qZeSn-KSOdeHS9r0heI-lHtkcn2OH7hP0jQ/edit?usp=share_link"",""ลำปาง!"&amp;"I435"")+IMPORTRANGE(""https://docs.google.com/spreadsheets/d/1-uUXvimVhiU2U0bMN-xi2te0tS4X7DI2GLPnMjzl8cA/edit?usp=share_link"",""ลำพูน!I435"")+IMPORTRANGE(""https://docs.google.com/spreadsheets/d/17HrOaa5pBUI1onckFfumXB8xlg35qb2uBAFfF1D-Myo/edit?usp=shar"&amp;"e_link"",""สุโขทัย!I435"")+IMPORTRANGE(""https://docs.google.com/spreadsheets/d/1ubs5cl16eYL9gHbdHTJtmtYb9MGzHBs7CAphn8kNCgM/edit?usp=share_link"",""อุตรดิตถ์!I435"")+IMPORTRANGE(""https://docs.google.com/spreadsheets/d/1kII0BjS6CtVrBvI8IrytgPdxDrlyQDyigz"&amp;"MsohRtDMs/edit?usp=share_link"",""อุทัยธานี!I435"")
"),630)</f>
        <v>630</v>
      </c>
      <c r="J435" s="549">
        <f ca="1">IFERROR(__xludf.DUMMYFUNCTION("IMPORTRANGE(""https://docs.google.com/spreadsheets/d/1KxicF4apzSqm0-jIpmueT4kyZtE-Cwn5zskl7GD4loQ/edit?usp=share_link"",""กำแพงเพชร!J435"")+IMPORTRANGE(""https://docs.google.com/spreadsheets/d/1ZNYWeiFoFA1K1U4xKWqRX29MBvEyRHXORjo734Gnq_c/edit?usp=share_li"&amp;"nk"",""เชียงราย!J435"")
+IMPORTRANGE(""https://docs.google.com/spreadsheets/d/1Jgv0Y7YlHDtsiDawwp-uvifEJ8HVaSn0k2aGHG8-hwM/edit?usp=share_link"",""เชียงใหม่!J435"")+IMPORTRANGE(""https://docs.google.com/spreadsheets/d/1JWG2rZePOz9pe-f-ObA-yDr0VoOX2kSb0qIi"&amp;"x2mTUo8/edit?usp=share_link"",""ตาก!J435"")+IMPORTRANGE(""https://docs.google.com/spreadsheets/d/10nSRjK08hx8Y6HgSOQKNw81lyY46Zc7U_Cj72hBMp9U/edit?usp=share_link"",""นครสวรรค์!J435"")+IMPORTRANGE(""https://docs.google.com/spreadsheets/d/1gFVb7qd7amutrIxAA"&amp;"oM7lcy35hllxznovot8lyOfvDo/edit?usp=share_link"",""น่าน!J435"")+IMPORTRANGE(""https://docs.google.com/spreadsheets/d/1K0Aa9s-6EuHE5M0FG1F9aHLXRCOV917xvycTdLdct0w/edit?usp=share_link"",""พะเยา!J435"")+IMPORTRANGE(""https://docs.google.com/spreadsheets/d/1Y"&amp;"9LPKx95PyL5OKy09d-KbKJSuuEZCFdkhYjwC0XQjBA/edit?usp=share_link"",""พิจิตร!J435"")+IMPORTRANGE(""https://docs.google.com/spreadsheets/d/16OMuOwy2eVqZcYWOouQtTpa8X1L23h4660uVHc0C8os/edit?usp=share_link"",""พิษณุโลก!J435"")+IMPORTRANGE(""https://docs.google."&amp;"com/spreadsheets/d/1GfgTldLG6k77HXaMQzaafODklYuucJZQNs_GAPEfZyY/edit?usp=share_link"",""เพชรบูรณ์!J435"")+IMPORTRANGE(""https://docs.google.com/spreadsheets/d/1gvTMYAnm7v1yG1BKWFtr0DnaTsq59oW9dwWvFgq6hs0/edit?usp=share_link"",""แพร่!J435"")+IMPORTRANGE("""&amp;"https://docs.google.com/spreadsheets/d/1Wbcosgy-Xa1xXUArJSOenub6EfZHUSzc_bpJFWwQUf0/edit?usp=share_link"",""แม่ฮ่องสอน!J435"")+IMPORTRANGE(""https://docs.google.com/spreadsheets/d/1p7ERhsr0qZeSn-KSOdeHS9r0heI-lHtkcn2OH7hP0jQ/edit?usp=share_link"",""ลำปาง!"&amp;"J435"")+IMPORTRANGE(""https://docs.google.com/spreadsheets/d/1-uUXvimVhiU2U0bMN-xi2te0tS4X7DI2GLPnMjzl8cA/edit?usp=share_link"",""ลำพูน!J435"")+IMPORTRANGE(""https://docs.google.com/spreadsheets/d/17HrOaa5pBUI1onckFfumXB8xlg35qb2uBAFfF1D-Myo/edit?usp=shar"&amp;"e_link"",""สุโขทัย!J435"")+IMPORTRANGE(""https://docs.google.com/spreadsheets/d/1ubs5cl16eYL9gHbdHTJtmtYb9MGzHBs7CAphn8kNCgM/edit?usp=share_link"",""อุตรดิตถ์!J435"")+IMPORTRANGE(""https://docs.google.com/spreadsheets/d/1kII0BjS6CtVrBvI8IrytgPdxDrlyQDyigz"&amp;"MsohRtDMs/edit?usp=share_link"",""อุทัยธานี!J435"")
"),535)</f>
        <v>535</v>
      </c>
      <c r="K435" s="466">
        <f t="shared" ca="1" si="225"/>
        <v>84.920634920634924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181" t="s">
        <v>193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181" t="s">
        <v>194</v>
      </c>
      <c r="E437" s="178"/>
      <c r="F437" s="178"/>
      <c r="G437" s="179"/>
      <c r="H437" s="36" t="s">
        <v>35</v>
      </c>
      <c r="I437" s="548">
        <f ca="1">IFERROR(__xludf.DUMMYFUNCTION("IMPORTRANGE(""https://docs.google.com/spreadsheets/d/1KxicF4apzSqm0-jIpmueT4kyZtE-Cwn5zskl7GD4loQ/edit?usp=share_link"",""กำแพงเพชร!I437"")+IMPORTRANGE(""https://docs.google.com/spreadsheets/d/1ZNYWeiFoFA1K1U4xKWqRX29MBvEyRHXORjo734Gnq_c/edit?usp=share_li"&amp;"nk"",""เชียงราย!I437"")
+IMPORTRANGE(""https://docs.google.com/spreadsheets/d/1Jgv0Y7YlHDtsiDawwp-uvifEJ8HVaSn0k2aGHG8-hwM/edit?usp=share_link"",""เชียงใหม่!I437"")+IMPORTRANGE(""https://docs.google.com/spreadsheets/d/1JWG2rZePOz9pe-f-ObA-yDr0VoOX2kSb0qIi"&amp;"x2mTUo8/edit?usp=share_link"",""ตาก!I437"")+IMPORTRANGE(""https://docs.google.com/spreadsheets/d/10nSRjK08hx8Y6HgSOQKNw81lyY46Zc7U_Cj72hBMp9U/edit?usp=share_link"",""นครสวรรค์!I437"")+IMPORTRANGE(""https://docs.google.com/spreadsheets/d/1gFVb7qd7amutrIxAA"&amp;"oM7lcy35hllxznovot8lyOfvDo/edit?usp=share_link"",""น่าน!I437"")+IMPORTRANGE(""https://docs.google.com/spreadsheets/d/1K0Aa9s-6EuHE5M0FG1F9aHLXRCOV917xvycTdLdct0w/edit?usp=share_link"",""พะเยา!I437"")+IMPORTRANGE(""https://docs.google.com/spreadsheets/d/1Y"&amp;"9LPKx95PyL5OKy09d-KbKJSuuEZCFdkhYjwC0XQjBA/edit?usp=share_link"",""พิจิตร!I437"")+IMPORTRANGE(""https://docs.google.com/spreadsheets/d/16OMuOwy2eVqZcYWOouQtTpa8X1L23h4660uVHc0C8os/edit?usp=share_link"",""พิษณุโลก!I437"")+IMPORTRANGE(""https://docs.google."&amp;"com/spreadsheets/d/1GfgTldLG6k77HXaMQzaafODklYuucJZQNs_GAPEfZyY/edit?usp=share_link"",""เพชรบูรณ์!I437"")+IMPORTRANGE(""https://docs.google.com/spreadsheets/d/1gvTMYAnm7v1yG1BKWFtr0DnaTsq59oW9dwWvFgq6hs0/edit?usp=share_link"",""แพร่!I437"")+IMPORTRANGE("""&amp;"https://docs.google.com/spreadsheets/d/1Wbcosgy-Xa1xXUArJSOenub6EfZHUSzc_bpJFWwQUf0/edit?usp=share_link"",""แม่ฮ่องสอน!I437"")+IMPORTRANGE(""https://docs.google.com/spreadsheets/d/1p7ERhsr0qZeSn-KSOdeHS9r0heI-lHtkcn2OH7hP0jQ/edit?usp=share_link"",""ลำปาง!"&amp;"I437"")+IMPORTRANGE(""https://docs.google.com/spreadsheets/d/1-uUXvimVhiU2U0bMN-xi2te0tS4X7DI2GLPnMjzl8cA/edit?usp=share_link"",""ลำพูน!I437"")+IMPORTRANGE(""https://docs.google.com/spreadsheets/d/17HrOaa5pBUI1onckFfumXB8xlg35qb2uBAFfF1D-Myo/edit?usp=shar"&amp;"e_link"",""สุโขทัย!I437"")+IMPORTRANGE(""https://docs.google.com/spreadsheets/d/1ubs5cl16eYL9gHbdHTJtmtYb9MGzHBs7CAphn8kNCgM/edit?usp=share_link"",""อุตรดิตถ์!I437"")+IMPORTRANGE(""https://docs.google.com/spreadsheets/d/1kII0BjS6CtVrBvI8IrytgPdxDrlyQDyigz"&amp;"MsohRtDMs/edit?usp=share_link"",""อุทัยธานี!I437"")
"),280)</f>
        <v>280</v>
      </c>
      <c r="J437" s="549">
        <f ca="1">IFERROR(__xludf.DUMMYFUNCTION("IMPORTRANGE(""https://docs.google.com/spreadsheets/d/1KxicF4apzSqm0-jIpmueT4kyZtE-Cwn5zskl7GD4loQ/edit?usp=share_link"",""กำแพงเพชร!J437"")+IMPORTRANGE(""https://docs.google.com/spreadsheets/d/1ZNYWeiFoFA1K1U4xKWqRX29MBvEyRHXORjo734Gnq_c/edit?usp=share_li"&amp;"nk"",""เชียงราย!J437"")
+IMPORTRANGE(""https://docs.google.com/spreadsheets/d/1Jgv0Y7YlHDtsiDawwp-uvifEJ8HVaSn0k2aGHG8-hwM/edit?usp=share_link"",""เชียงใหม่!J437"")+IMPORTRANGE(""https://docs.google.com/spreadsheets/d/1JWG2rZePOz9pe-f-ObA-yDr0VoOX2kSb0qIi"&amp;"x2mTUo8/edit?usp=share_link"",""ตาก!J437"")+IMPORTRANGE(""https://docs.google.com/spreadsheets/d/10nSRjK08hx8Y6HgSOQKNw81lyY46Zc7U_Cj72hBMp9U/edit?usp=share_link"",""นครสวรรค์!J437"")+IMPORTRANGE(""https://docs.google.com/spreadsheets/d/1gFVb7qd7amutrIxAA"&amp;"oM7lcy35hllxznovot8lyOfvDo/edit?usp=share_link"",""น่าน!J437"")+IMPORTRANGE(""https://docs.google.com/spreadsheets/d/1K0Aa9s-6EuHE5M0FG1F9aHLXRCOV917xvycTdLdct0w/edit?usp=share_link"",""พะเยา!J437"")+IMPORTRANGE(""https://docs.google.com/spreadsheets/d/1Y"&amp;"9LPKx95PyL5OKy09d-KbKJSuuEZCFdkhYjwC0XQjBA/edit?usp=share_link"",""พิจิตร!J437"")+IMPORTRANGE(""https://docs.google.com/spreadsheets/d/16OMuOwy2eVqZcYWOouQtTpa8X1L23h4660uVHc0C8os/edit?usp=share_link"",""พิษณุโลก!J437"")+IMPORTRANGE(""https://docs.google."&amp;"com/spreadsheets/d/1GfgTldLG6k77HXaMQzaafODklYuucJZQNs_GAPEfZyY/edit?usp=share_link"",""เพชรบูรณ์!J437"")+IMPORTRANGE(""https://docs.google.com/spreadsheets/d/1gvTMYAnm7v1yG1BKWFtr0DnaTsq59oW9dwWvFgq6hs0/edit?usp=share_link"",""แพร่!J437"")+IMPORTRANGE("""&amp;"https://docs.google.com/spreadsheets/d/1Wbcosgy-Xa1xXUArJSOenub6EfZHUSzc_bpJFWwQUf0/edit?usp=share_link"",""แม่ฮ่องสอน!J437"")+IMPORTRANGE(""https://docs.google.com/spreadsheets/d/1p7ERhsr0qZeSn-KSOdeHS9r0heI-lHtkcn2OH7hP0jQ/edit?usp=share_link"",""ลำปาง!"&amp;"J437"")+IMPORTRANGE(""https://docs.google.com/spreadsheets/d/1-uUXvimVhiU2U0bMN-xi2te0tS4X7DI2GLPnMjzl8cA/edit?usp=share_link"",""ลำพูน!J437"")+IMPORTRANGE(""https://docs.google.com/spreadsheets/d/17HrOaa5pBUI1onckFfumXB8xlg35qb2uBAFfF1D-Myo/edit?usp=shar"&amp;"e_link"",""สุโขทัย!J437"")+IMPORTRANGE(""https://docs.google.com/spreadsheets/d/1ubs5cl16eYL9gHbdHTJtmtYb9MGzHBs7CAphn8kNCgM/edit?usp=share_link"",""อุตรดิตถ์!J437"")+IMPORTRANGE(""https://docs.google.com/spreadsheets/d/1kII0BjS6CtVrBvI8IrytgPdxDrlyQDyigz"&amp;"MsohRtDMs/edit?usp=share_link"",""อุทัยธานี!J437"")
"),220)</f>
        <v>220</v>
      </c>
      <c r="K437" s="466">
        <f t="shared" ref="K437:K443" ca="1" si="227">IF(I437&gt;0,J437*100/I437,0)</f>
        <v>78.571428571428569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181" t="s">
        <v>195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KxicF4apzSqm0-jIpmueT4kyZtE-Cwn5zskl7GD4loQ/edit?usp=share_link"",""กำแพงเพชร!I438"")+IMPORTRANGE(""https://docs.google.com/spreadsheets/d/1ZNYWeiFoFA1K1U4xKWqRX29MBvEyRHXORjo734Gnq_c/edit?usp=share_li"&amp;"nk"",""เชียงราย!I438"")
+IMPORTRANGE(""https://docs.google.com/spreadsheets/d/1Jgv0Y7YlHDtsiDawwp-uvifEJ8HVaSn0k2aGHG8-hwM/edit?usp=share_link"",""เชียงใหม่!I438"")+IMPORTRANGE(""https://docs.google.com/spreadsheets/d/1JWG2rZePOz9pe-f-ObA-yDr0VoOX2kSb0qIi"&amp;"x2mTUo8/edit?usp=share_link"",""ตาก!I438"")+IMPORTRANGE(""https://docs.google.com/spreadsheets/d/10nSRjK08hx8Y6HgSOQKNw81lyY46Zc7U_Cj72hBMp9U/edit?usp=share_link"",""นครสวรรค์!I438"")+IMPORTRANGE(""https://docs.google.com/spreadsheets/d/1gFVb7qd7amutrIxAA"&amp;"oM7lcy35hllxznovot8lyOfvDo/edit?usp=share_link"",""น่าน!I438"")+IMPORTRANGE(""https://docs.google.com/spreadsheets/d/1K0Aa9s-6EuHE5M0FG1F9aHLXRCOV917xvycTdLdct0w/edit?usp=share_link"",""พะเยา!I438"")+IMPORTRANGE(""https://docs.google.com/spreadsheets/d/1Y"&amp;"9LPKx95PyL5OKy09d-KbKJSuuEZCFdkhYjwC0XQjBA/edit?usp=share_link"",""พิจิตร!I438"")+IMPORTRANGE(""https://docs.google.com/spreadsheets/d/16OMuOwy2eVqZcYWOouQtTpa8X1L23h4660uVHc0C8os/edit?usp=share_link"",""พิษณุโลก!I438"")+IMPORTRANGE(""https://docs.google."&amp;"com/spreadsheets/d/1GfgTldLG6k77HXaMQzaafODklYuucJZQNs_GAPEfZyY/edit?usp=share_link"",""เพชรบูรณ์!I438"")+IMPORTRANGE(""https://docs.google.com/spreadsheets/d/1gvTMYAnm7v1yG1BKWFtr0DnaTsq59oW9dwWvFgq6hs0/edit?usp=share_link"",""แพร่!I438"")+IMPORTRANGE("""&amp;"https://docs.google.com/spreadsheets/d/1Wbcosgy-Xa1xXUArJSOenub6EfZHUSzc_bpJFWwQUf0/edit?usp=share_link"",""แม่ฮ่องสอน!I438"")+IMPORTRANGE(""https://docs.google.com/spreadsheets/d/1p7ERhsr0qZeSn-KSOdeHS9r0heI-lHtkcn2OH7hP0jQ/edit?usp=share_link"",""ลำปาง!"&amp;"I438"")+IMPORTRANGE(""https://docs.google.com/spreadsheets/d/1-uUXvimVhiU2U0bMN-xi2te0tS4X7DI2GLPnMjzl8cA/edit?usp=share_link"",""ลำพูน!I438"")+IMPORTRANGE(""https://docs.google.com/spreadsheets/d/17HrOaa5pBUI1onckFfumXB8xlg35qb2uBAFfF1D-Myo/edit?usp=shar"&amp;"e_link"",""สุโขทัย!I438"")+IMPORTRANGE(""https://docs.google.com/spreadsheets/d/1ubs5cl16eYL9gHbdHTJtmtYb9MGzHBs7CAphn8kNCgM/edit?usp=share_link"",""อุตรดิตถ์!I438"")+IMPORTRANGE(""https://docs.google.com/spreadsheets/d/1kII0BjS6CtVrBvI8IrytgPdxDrlyQDyigz"&amp;"MsohRtDMs/edit?usp=share_link"",""อุทัยธานี!I438"")
"),7)</f>
        <v>7</v>
      </c>
      <c r="J438" s="183">
        <f ca="1">IFERROR(__xludf.DUMMYFUNCTION("IMPORTRANGE(""https://docs.google.com/spreadsheets/d/1KxicF4apzSqm0-jIpmueT4kyZtE-Cwn5zskl7GD4loQ/edit?usp=share_link"",""กำแพงเพชร!J438"")+IMPORTRANGE(""https://docs.google.com/spreadsheets/d/1ZNYWeiFoFA1K1U4xKWqRX29MBvEyRHXORjo734Gnq_c/edit?usp=share_li"&amp;"nk"",""เชียงราย!J438"")
+IMPORTRANGE(""https://docs.google.com/spreadsheets/d/1Jgv0Y7YlHDtsiDawwp-uvifEJ8HVaSn0k2aGHG8-hwM/edit?usp=share_link"",""เชียงใหม่!J438"")+IMPORTRANGE(""https://docs.google.com/spreadsheets/d/1JWG2rZePOz9pe-f-ObA-yDr0VoOX2kSb0qIi"&amp;"x2mTUo8/edit?usp=share_link"",""ตาก!J438"")+IMPORTRANGE(""https://docs.google.com/spreadsheets/d/10nSRjK08hx8Y6HgSOQKNw81lyY46Zc7U_Cj72hBMp9U/edit?usp=share_link"",""นครสวรรค์!J438"")+IMPORTRANGE(""https://docs.google.com/spreadsheets/d/1gFVb7qd7amutrIxAA"&amp;"oM7lcy35hllxznovot8lyOfvDo/edit?usp=share_link"",""น่าน!J438"")+IMPORTRANGE(""https://docs.google.com/spreadsheets/d/1K0Aa9s-6EuHE5M0FG1F9aHLXRCOV917xvycTdLdct0w/edit?usp=share_link"",""พะเยา!J438"")+IMPORTRANGE(""https://docs.google.com/spreadsheets/d/1Y"&amp;"9LPKx95PyL5OKy09d-KbKJSuuEZCFdkhYjwC0XQjBA/edit?usp=share_link"",""พิจิตร!J438"")+IMPORTRANGE(""https://docs.google.com/spreadsheets/d/16OMuOwy2eVqZcYWOouQtTpa8X1L23h4660uVHc0C8os/edit?usp=share_link"",""พิษณุโลก!J438"")+IMPORTRANGE(""https://docs.google."&amp;"com/spreadsheets/d/1GfgTldLG6k77HXaMQzaafODklYuucJZQNs_GAPEfZyY/edit?usp=share_link"",""เพชรบูรณ์!J438"")+IMPORTRANGE(""https://docs.google.com/spreadsheets/d/1gvTMYAnm7v1yG1BKWFtr0DnaTsq59oW9dwWvFgq6hs0/edit?usp=share_link"",""แพร่!J438"")+IMPORTRANGE("""&amp;"https://docs.google.com/spreadsheets/d/1Wbcosgy-Xa1xXUArJSOenub6EfZHUSzc_bpJFWwQUf0/edit?usp=share_link"",""แม่ฮ่องสอน!J438"")+IMPORTRANGE(""https://docs.google.com/spreadsheets/d/1p7ERhsr0qZeSn-KSOdeHS9r0heI-lHtkcn2OH7hP0jQ/edit?usp=share_link"",""ลำปาง!"&amp;"J438"")+IMPORTRANGE(""https://docs.google.com/spreadsheets/d/1-uUXvimVhiU2U0bMN-xi2te0tS4X7DI2GLPnMjzl8cA/edit?usp=share_link"",""ลำพูน!J438"")+IMPORTRANGE(""https://docs.google.com/spreadsheets/d/17HrOaa5pBUI1onckFfumXB8xlg35qb2uBAFfF1D-Myo/edit?usp=shar"&amp;"e_link"",""สุโขทัย!J438"")+IMPORTRANGE(""https://docs.google.com/spreadsheets/d/1ubs5cl16eYL9gHbdHTJtmtYb9MGzHBs7CAphn8kNCgM/edit?usp=share_link"",""อุตรดิตถ์!J438"")+IMPORTRANGE(""https://docs.google.com/spreadsheets/d/1kII0BjS6CtVrBvI8IrytgPdxDrlyQDyigz"&amp;"MsohRtDMs/edit?usp=share_link"",""อุทัยธานี!J438"")
"),5)</f>
        <v>5</v>
      </c>
      <c r="K438" s="38">
        <f t="shared" ca="1" si="227"/>
        <v>71.428571428571431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181" t="s">
        <v>196</v>
      </c>
      <c r="E439" s="178"/>
      <c r="F439" s="178"/>
      <c r="G439" s="179"/>
      <c r="H439" s="36" t="s">
        <v>35</v>
      </c>
      <c r="I439" s="548">
        <f ca="1">IFERROR(__xludf.DUMMYFUNCTION("IMPORTRANGE(""https://docs.google.com/spreadsheets/d/1KxicF4apzSqm0-jIpmueT4kyZtE-Cwn5zskl7GD4loQ/edit?usp=share_link"",""กำแพงเพชร!I439"")+IMPORTRANGE(""https://docs.google.com/spreadsheets/d/1ZNYWeiFoFA1K1U4xKWqRX29MBvEyRHXORjo734Gnq_c/edit?usp=share_li"&amp;"nk"",""เชียงราย!I439"")
+IMPORTRANGE(""https://docs.google.com/spreadsheets/d/1Jgv0Y7YlHDtsiDawwp-uvifEJ8HVaSn0k2aGHG8-hwM/edit?usp=share_link"",""เชียงใหม่!I439"")+IMPORTRANGE(""https://docs.google.com/spreadsheets/d/1JWG2rZePOz9pe-f-ObA-yDr0VoOX2kSb0qIi"&amp;"x2mTUo8/edit?usp=share_link"",""ตาก!I439"")+IMPORTRANGE(""https://docs.google.com/spreadsheets/d/10nSRjK08hx8Y6HgSOQKNw81lyY46Zc7U_Cj72hBMp9U/edit?usp=share_link"",""นครสวรรค์!I439"")+IMPORTRANGE(""https://docs.google.com/spreadsheets/d/1gFVb7qd7amutrIxAA"&amp;"oM7lcy35hllxznovot8lyOfvDo/edit?usp=share_link"",""น่าน!I439"")+IMPORTRANGE(""https://docs.google.com/spreadsheets/d/1K0Aa9s-6EuHE5M0FG1F9aHLXRCOV917xvycTdLdct0w/edit?usp=share_link"",""พะเยา!I439"")+IMPORTRANGE(""https://docs.google.com/spreadsheets/d/1Y"&amp;"9LPKx95PyL5OKy09d-KbKJSuuEZCFdkhYjwC0XQjBA/edit?usp=share_link"",""พิจิตร!I439"")+IMPORTRANGE(""https://docs.google.com/spreadsheets/d/16OMuOwy2eVqZcYWOouQtTpa8X1L23h4660uVHc0C8os/edit?usp=share_link"",""พิษณุโลก!I439"")+IMPORTRANGE(""https://docs.google."&amp;"com/spreadsheets/d/1GfgTldLG6k77HXaMQzaafODklYuucJZQNs_GAPEfZyY/edit?usp=share_link"",""เพชรบูรณ์!I439"")+IMPORTRANGE(""https://docs.google.com/spreadsheets/d/1gvTMYAnm7v1yG1BKWFtr0DnaTsq59oW9dwWvFgq6hs0/edit?usp=share_link"",""แพร่!I439"")+IMPORTRANGE("""&amp;"https://docs.google.com/spreadsheets/d/1Wbcosgy-Xa1xXUArJSOenub6EfZHUSzc_bpJFWwQUf0/edit?usp=share_link"",""แม่ฮ่องสอน!I439"")+IMPORTRANGE(""https://docs.google.com/spreadsheets/d/1p7ERhsr0qZeSn-KSOdeHS9r0heI-lHtkcn2OH7hP0jQ/edit?usp=share_link"",""ลำปาง!"&amp;"I439"")+IMPORTRANGE(""https://docs.google.com/spreadsheets/d/1-uUXvimVhiU2U0bMN-xi2te0tS4X7DI2GLPnMjzl8cA/edit?usp=share_link"",""ลำพูน!I439"")+IMPORTRANGE(""https://docs.google.com/spreadsheets/d/17HrOaa5pBUI1onckFfumXB8xlg35qb2uBAFfF1D-Myo/edit?usp=shar"&amp;"e_link"",""สุโขทัย!I439"")+IMPORTRANGE(""https://docs.google.com/spreadsheets/d/1ubs5cl16eYL9gHbdHTJtmtYb9MGzHBs7CAphn8kNCgM/edit?usp=share_link"",""อุตรดิตถ์!I439"")+IMPORTRANGE(""https://docs.google.com/spreadsheets/d/1kII0BjS6CtVrBvI8IrytgPdxDrlyQDyigz"&amp;"MsohRtDMs/edit?usp=share_link"",""อุทัยธานี!I439"")
"),350)</f>
        <v>350</v>
      </c>
      <c r="J439" s="549">
        <f ca="1">IFERROR(__xludf.DUMMYFUNCTION("IMPORTRANGE(""https://docs.google.com/spreadsheets/d/1KxicF4apzSqm0-jIpmueT4kyZtE-Cwn5zskl7GD4loQ/edit?usp=share_link"",""กำแพงเพชร!J439"")+IMPORTRANGE(""https://docs.google.com/spreadsheets/d/1ZNYWeiFoFA1K1U4xKWqRX29MBvEyRHXORjo734Gnq_c/edit?usp=share_li"&amp;"nk"",""เชียงราย!J439"")
+IMPORTRANGE(""https://docs.google.com/spreadsheets/d/1Jgv0Y7YlHDtsiDawwp-uvifEJ8HVaSn0k2aGHG8-hwM/edit?usp=share_link"",""เชียงใหม่!J439"")+IMPORTRANGE(""https://docs.google.com/spreadsheets/d/1JWG2rZePOz9pe-f-ObA-yDr0VoOX2kSb0qIi"&amp;"x2mTUo8/edit?usp=share_link"",""ตาก!J439"")+IMPORTRANGE(""https://docs.google.com/spreadsheets/d/10nSRjK08hx8Y6HgSOQKNw81lyY46Zc7U_Cj72hBMp9U/edit?usp=share_link"",""นครสวรรค์!J439"")+IMPORTRANGE(""https://docs.google.com/spreadsheets/d/1gFVb7qd7amutrIxAA"&amp;"oM7lcy35hllxznovot8lyOfvDo/edit?usp=share_link"",""น่าน!J439"")+IMPORTRANGE(""https://docs.google.com/spreadsheets/d/1K0Aa9s-6EuHE5M0FG1F9aHLXRCOV917xvycTdLdct0w/edit?usp=share_link"",""พะเยา!J439"")+IMPORTRANGE(""https://docs.google.com/spreadsheets/d/1Y"&amp;"9LPKx95PyL5OKy09d-KbKJSuuEZCFdkhYjwC0XQjBA/edit?usp=share_link"",""พิจิตร!J439"")+IMPORTRANGE(""https://docs.google.com/spreadsheets/d/16OMuOwy2eVqZcYWOouQtTpa8X1L23h4660uVHc0C8os/edit?usp=share_link"",""พิษณุโลก!J439"")+IMPORTRANGE(""https://docs.google."&amp;"com/spreadsheets/d/1GfgTldLG6k77HXaMQzaafODklYuucJZQNs_GAPEfZyY/edit?usp=share_link"",""เพชรบูรณ์!J439"")+IMPORTRANGE(""https://docs.google.com/spreadsheets/d/1gvTMYAnm7v1yG1BKWFtr0DnaTsq59oW9dwWvFgq6hs0/edit?usp=share_link"",""แพร่!J439"")+IMPORTRANGE("""&amp;"https://docs.google.com/spreadsheets/d/1Wbcosgy-Xa1xXUArJSOenub6EfZHUSzc_bpJFWwQUf0/edit?usp=share_link"",""แม่ฮ่องสอน!J439"")+IMPORTRANGE(""https://docs.google.com/spreadsheets/d/1p7ERhsr0qZeSn-KSOdeHS9r0heI-lHtkcn2OH7hP0jQ/edit?usp=share_link"",""ลำปาง!"&amp;"J439"")+IMPORTRANGE(""https://docs.google.com/spreadsheets/d/1-uUXvimVhiU2U0bMN-xi2te0tS4X7DI2GLPnMjzl8cA/edit?usp=share_link"",""ลำพูน!J439"")+IMPORTRANGE(""https://docs.google.com/spreadsheets/d/17HrOaa5pBUI1onckFfumXB8xlg35qb2uBAFfF1D-Myo/edit?usp=shar"&amp;"e_link"",""สุโขทัย!J439"")+IMPORTRANGE(""https://docs.google.com/spreadsheets/d/1ubs5cl16eYL9gHbdHTJtmtYb9MGzHBs7CAphn8kNCgM/edit?usp=share_link"",""อุตรดิตถ์!J439"")+IMPORTRANGE(""https://docs.google.com/spreadsheets/d/1kII0BjS6CtVrBvI8IrytgPdxDrlyQDyigz"&amp;"MsohRtDMs/edit?usp=share_link"",""อุทัยธานี!J439"")
"),270)</f>
        <v>270</v>
      </c>
      <c r="K439" s="466">
        <f t="shared" ca="1" si="227"/>
        <v>77.142857142857139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181" t="s">
        <v>197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KxicF4apzSqm0-jIpmueT4kyZtE-Cwn5zskl7GD4loQ/edit?usp=share_link"",""กำแพงเพชร!I440"")+IMPORTRANGE(""https://docs.google.com/spreadsheets/d/1ZNYWeiFoFA1K1U4xKWqRX29MBvEyRHXORjo734Gnq_c/edit?usp=share_li"&amp;"nk"",""เชียงราย!I440"")
+IMPORTRANGE(""https://docs.google.com/spreadsheets/d/1Jgv0Y7YlHDtsiDawwp-uvifEJ8HVaSn0k2aGHG8-hwM/edit?usp=share_link"",""เชียงใหม่!I440"")+IMPORTRANGE(""https://docs.google.com/spreadsheets/d/1JWG2rZePOz9pe-f-ObA-yDr0VoOX2kSb0qIi"&amp;"x2mTUo8/edit?usp=share_link"",""ตาก!I440"")+IMPORTRANGE(""https://docs.google.com/spreadsheets/d/10nSRjK08hx8Y6HgSOQKNw81lyY46Zc7U_Cj72hBMp9U/edit?usp=share_link"",""นครสวรรค์!I440"")+IMPORTRANGE(""https://docs.google.com/spreadsheets/d/1gFVb7qd7amutrIxAA"&amp;"oM7lcy35hllxznovot8lyOfvDo/edit?usp=share_link"",""น่าน!I440"")+IMPORTRANGE(""https://docs.google.com/spreadsheets/d/1K0Aa9s-6EuHE5M0FG1F9aHLXRCOV917xvycTdLdct0w/edit?usp=share_link"",""พะเยา!I440"")+IMPORTRANGE(""https://docs.google.com/spreadsheets/d/1Y"&amp;"9LPKx95PyL5OKy09d-KbKJSuuEZCFdkhYjwC0XQjBA/edit?usp=share_link"",""พิจิตร!I440"")+IMPORTRANGE(""https://docs.google.com/spreadsheets/d/16OMuOwy2eVqZcYWOouQtTpa8X1L23h4660uVHc0C8os/edit?usp=share_link"",""พิษณุโลก!I440"")+IMPORTRANGE(""https://docs.google."&amp;"com/spreadsheets/d/1GfgTldLG6k77HXaMQzaafODklYuucJZQNs_GAPEfZyY/edit?usp=share_link"",""เพชรบูรณ์!I440"")+IMPORTRANGE(""https://docs.google.com/spreadsheets/d/1gvTMYAnm7v1yG1BKWFtr0DnaTsq59oW9dwWvFgq6hs0/edit?usp=share_link"",""แพร่!I440"")+IMPORTRANGE("""&amp;"https://docs.google.com/spreadsheets/d/1Wbcosgy-Xa1xXUArJSOenub6EfZHUSzc_bpJFWwQUf0/edit?usp=share_link"",""แม่ฮ่องสอน!I440"")+IMPORTRANGE(""https://docs.google.com/spreadsheets/d/1p7ERhsr0qZeSn-KSOdeHS9r0heI-lHtkcn2OH7hP0jQ/edit?usp=share_link"",""ลำปาง!"&amp;"I440"")+IMPORTRANGE(""https://docs.google.com/spreadsheets/d/1-uUXvimVhiU2U0bMN-xi2te0tS4X7DI2GLPnMjzl8cA/edit?usp=share_link"",""ลำพูน!I440"")+IMPORTRANGE(""https://docs.google.com/spreadsheets/d/17HrOaa5pBUI1onckFfumXB8xlg35qb2uBAFfF1D-Myo/edit?usp=shar"&amp;"e_link"",""สุโขทัย!I440"")+IMPORTRANGE(""https://docs.google.com/spreadsheets/d/1ubs5cl16eYL9gHbdHTJtmtYb9MGzHBs7CAphn8kNCgM/edit?usp=share_link"",""อุตรดิตถ์!I440"")+IMPORTRANGE(""https://docs.google.com/spreadsheets/d/1kII0BjS6CtVrBvI8IrytgPdxDrlyQDyigz"&amp;"MsohRtDMs/edit?usp=share_link"",""อุทัยธานี!I440"")
"),17)</f>
        <v>17</v>
      </c>
      <c r="J440" s="183">
        <f ca="1">IFERROR(__xludf.DUMMYFUNCTION("IMPORTRANGE(""https://docs.google.com/spreadsheets/d/1KxicF4apzSqm0-jIpmueT4kyZtE-Cwn5zskl7GD4loQ/edit?usp=share_link"",""กำแพงเพชร!J440"")+IMPORTRANGE(""https://docs.google.com/spreadsheets/d/1ZNYWeiFoFA1K1U4xKWqRX29MBvEyRHXORjo734Gnq_c/edit?usp=share_li"&amp;"nk"",""เชียงราย!J440"")
+IMPORTRANGE(""https://docs.google.com/spreadsheets/d/1Jgv0Y7YlHDtsiDawwp-uvifEJ8HVaSn0k2aGHG8-hwM/edit?usp=share_link"",""เชียงใหม่!J440"")+IMPORTRANGE(""https://docs.google.com/spreadsheets/d/1JWG2rZePOz9pe-f-ObA-yDr0VoOX2kSb0qIi"&amp;"x2mTUo8/edit?usp=share_link"",""ตาก!J440"")+IMPORTRANGE(""https://docs.google.com/spreadsheets/d/10nSRjK08hx8Y6HgSOQKNw81lyY46Zc7U_Cj72hBMp9U/edit?usp=share_link"",""นครสวรรค์!J440"")+IMPORTRANGE(""https://docs.google.com/spreadsheets/d/1gFVb7qd7amutrIxAA"&amp;"oM7lcy35hllxznovot8lyOfvDo/edit?usp=share_link"",""น่าน!J440"")+IMPORTRANGE(""https://docs.google.com/spreadsheets/d/1K0Aa9s-6EuHE5M0FG1F9aHLXRCOV917xvycTdLdct0w/edit?usp=share_link"",""พะเยา!J440"")+IMPORTRANGE(""https://docs.google.com/spreadsheets/d/1Y"&amp;"9LPKx95PyL5OKy09d-KbKJSuuEZCFdkhYjwC0XQjBA/edit?usp=share_link"",""พิจิตร!J440"")+IMPORTRANGE(""https://docs.google.com/spreadsheets/d/16OMuOwy2eVqZcYWOouQtTpa8X1L23h4660uVHc0C8os/edit?usp=share_link"",""พิษณุโลก!J440"")+IMPORTRANGE(""https://docs.google."&amp;"com/spreadsheets/d/1GfgTldLG6k77HXaMQzaafODklYuucJZQNs_GAPEfZyY/edit?usp=share_link"",""เพชรบูรณ์!J440"")+IMPORTRANGE(""https://docs.google.com/spreadsheets/d/1gvTMYAnm7v1yG1BKWFtr0DnaTsq59oW9dwWvFgq6hs0/edit?usp=share_link"",""แพร่!J440"")+IMPORTRANGE("""&amp;"https://docs.google.com/spreadsheets/d/1Wbcosgy-Xa1xXUArJSOenub6EfZHUSzc_bpJFWwQUf0/edit?usp=share_link"",""แม่ฮ่องสอน!J440"")+IMPORTRANGE(""https://docs.google.com/spreadsheets/d/1p7ERhsr0qZeSn-KSOdeHS9r0heI-lHtkcn2OH7hP0jQ/edit?usp=share_link"",""ลำปาง!"&amp;"J440"")+IMPORTRANGE(""https://docs.google.com/spreadsheets/d/1-uUXvimVhiU2U0bMN-xi2te0tS4X7DI2GLPnMjzl8cA/edit?usp=share_link"",""ลำพูน!J440"")+IMPORTRANGE(""https://docs.google.com/spreadsheets/d/17HrOaa5pBUI1onckFfumXB8xlg35qb2uBAFfF1D-Myo/edit?usp=shar"&amp;"e_link"",""สุโขทัย!J440"")+IMPORTRANGE(""https://docs.google.com/spreadsheets/d/1ubs5cl16eYL9gHbdHTJtmtYb9MGzHBs7CAphn8kNCgM/edit?usp=share_link"",""อุตรดิตถ์!J440"")+IMPORTRANGE(""https://docs.google.com/spreadsheets/d/1kII0BjS6CtVrBvI8IrytgPdxDrlyQDyigz"&amp;"MsohRtDMs/edit?usp=share_link"",""อุทัยธานี!J440"")
"),12)</f>
        <v>12</v>
      </c>
      <c r="K440" s="38">
        <f t="shared" ca="1" si="227"/>
        <v>70.588235294117652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181" t="s">
        <v>198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KxicF4apzSqm0-jIpmueT4kyZtE-Cwn5zskl7GD4loQ/edit?usp=share_link"",""กำแพงเพชร!I441"")+IMPORTRANGE(""https://docs.google.com/spreadsheets/d/1ZNYWeiFoFA1K1U4xKWqRX29MBvEyRHXORjo734Gnq_c/edit?usp=share_li"&amp;"nk"",""เชียงราย!I441"")
+IMPORTRANGE(""https://docs.google.com/spreadsheets/d/1Jgv0Y7YlHDtsiDawwp-uvifEJ8HVaSn0k2aGHG8-hwM/edit?usp=share_link"",""เชียงใหม่!I441"")+IMPORTRANGE(""https://docs.google.com/spreadsheets/d/1JWG2rZePOz9pe-f-ObA-yDr0VoOX2kSb0qIi"&amp;"x2mTUo8/edit?usp=share_link"",""ตาก!I441"")+IMPORTRANGE(""https://docs.google.com/spreadsheets/d/10nSRjK08hx8Y6HgSOQKNw81lyY46Zc7U_Cj72hBMp9U/edit?usp=share_link"",""นครสวรรค์!I441"")+IMPORTRANGE(""https://docs.google.com/spreadsheets/d/1gFVb7qd7amutrIxAA"&amp;"oM7lcy35hllxznovot8lyOfvDo/edit?usp=share_link"",""น่าน!I441"")+IMPORTRANGE(""https://docs.google.com/spreadsheets/d/1K0Aa9s-6EuHE5M0FG1F9aHLXRCOV917xvycTdLdct0w/edit?usp=share_link"",""พะเยา!I441"")+IMPORTRANGE(""https://docs.google.com/spreadsheets/d/1Y"&amp;"9LPKx95PyL5OKy09d-KbKJSuuEZCFdkhYjwC0XQjBA/edit?usp=share_link"",""พิจิตร!I441"")+IMPORTRANGE(""https://docs.google.com/spreadsheets/d/16OMuOwy2eVqZcYWOouQtTpa8X1L23h4660uVHc0C8os/edit?usp=share_link"",""พิษณุโลก!I441"")+IMPORTRANGE(""https://docs.google."&amp;"com/spreadsheets/d/1GfgTldLG6k77HXaMQzaafODklYuucJZQNs_GAPEfZyY/edit?usp=share_link"",""เพชรบูรณ์!I441"")+IMPORTRANGE(""https://docs.google.com/spreadsheets/d/1gvTMYAnm7v1yG1BKWFtr0DnaTsq59oW9dwWvFgq6hs0/edit?usp=share_link"",""แพร่!I441"")+IMPORTRANGE("""&amp;"https://docs.google.com/spreadsheets/d/1Wbcosgy-Xa1xXUArJSOenub6EfZHUSzc_bpJFWwQUf0/edit?usp=share_link"",""แม่ฮ่องสอน!I441"")+IMPORTRANGE(""https://docs.google.com/spreadsheets/d/1p7ERhsr0qZeSn-KSOdeHS9r0heI-lHtkcn2OH7hP0jQ/edit?usp=share_link"",""ลำปาง!"&amp;"I441"")+IMPORTRANGE(""https://docs.google.com/spreadsheets/d/1-uUXvimVhiU2U0bMN-xi2te0tS4X7DI2GLPnMjzl8cA/edit?usp=share_link"",""ลำพูน!I441"")+IMPORTRANGE(""https://docs.google.com/spreadsheets/d/17HrOaa5pBUI1onckFfumXB8xlg35qb2uBAFfF1D-Myo/edit?usp=shar"&amp;"e_link"",""สุโขทัย!I441"")+IMPORTRANGE(""https://docs.google.com/spreadsheets/d/1ubs5cl16eYL9gHbdHTJtmtYb9MGzHBs7CAphn8kNCgM/edit?usp=share_link"",""อุตรดิตถ์!I441"")+IMPORTRANGE(""https://docs.google.com/spreadsheets/d/1kII0BjS6CtVrBvI8IrytgPdxDrlyQDyigz"&amp;"MsohRtDMs/edit?usp=share_link"",""อุทัยธานี!I441"")
"),0)</f>
        <v>0</v>
      </c>
      <c r="J441" s="270">
        <v>0</v>
      </c>
      <c r="K441" s="38">
        <f t="shared" ca="1" si="227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0">
        <v>2</v>
      </c>
      <c r="B442" s="551" t="s">
        <v>199</v>
      </c>
      <c r="C442" s="552"/>
      <c r="D442" s="552"/>
      <c r="E442" s="552"/>
      <c r="F442" s="552"/>
      <c r="G442" s="553"/>
      <c r="H442" s="554" t="s">
        <v>35</v>
      </c>
      <c r="I442" s="555">
        <f t="shared" ref="I442:J442" ca="1" si="228">I460</f>
        <v>860</v>
      </c>
      <c r="J442" s="555">
        <f t="shared" ca="1" si="228"/>
        <v>755</v>
      </c>
      <c r="K442" s="556">
        <f t="shared" ca="1" si="227"/>
        <v>87.79069767441861</v>
      </c>
      <c r="L442" s="557"/>
      <c r="M442" s="557"/>
      <c r="N442" s="557"/>
      <c r="O442" s="557"/>
      <c r="P442" s="557"/>
      <c r="Q442" s="542"/>
      <c r="R442" s="542"/>
      <c r="S442" s="542"/>
      <c r="T442" s="542"/>
      <c r="U442" s="542"/>
      <c r="V442" s="542"/>
      <c r="W442" s="542"/>
      <c r="X442" s="542"/>
      <c r="Y442" s="542"/>
      <c r="Z442" s="542"/>
    </row>
    <row r="443" spans="1:26" ht="19.5">
      <c r="A443" s="558"/>
      <c r="B443" s="559"/>
      <c r="C443" s="560"/>
      <c r="D443" s="560"/>
      <c r="E443" s="560"/>
      <c r="F443" s="560"/>
      <c r="G443" s="561"/>
      <c r="H443" s="532" t="s">
        <v>46</v>
      </c>
      <c r="I443" s="533">
        <f t="shared" ref="I443:J443" ca="1" si="229">I462</f>
        <v>2205</v>
      </c>
      <c r="J443" s="533">
        <f t="shared" ca="1" si="229"/>
        <v>1537</v>
      </c>
      <c r="K443" s="534">
        <f t="shared" ca="1" si="227"/>
        <v>69.70521541950113</v>
      </c>
      <c r="L443" s="535"/>
      <c r="M443" s="535"/>
      <c r="N443" s="535"/>
      <c r="O443" s="535"/>
      <c r="P443" s="535"/>
      <c r="Q443" s="542"/>
      <c r="R443" s="542"/>
      <c r="S443" s="542"/>
      <c r="T443" s="542"/>
      <c r="U443" s="542"/>
      <c r="V443" s="542"/>
      <c r="W443" s="542"/>
      <c r="X443" s="542"/>
      <c r="Y443" s="542"/>
      <c r="Z443" s="542"/>
    </row>
    <row r="444" spans="1:26" ht="19.5">
      <c r="A444" s="562"/>
      <c r="B444" s="540"/>
      <c r="C444" s="540" t="s">
        <v>16</v>
      </c>
      <c r="D444" s="1484" t="s">
        <v>17</v>
      </c>
      <c r="E444" s="1485"/>
      <c r="F444" s="1485"/>
      <c r="G444" s="189"/>
      <c r="H444" s="563" t="s">
        <v>12</v>
      </c>
      <c r="I444" s="37"/>
      <c r="J444" s="37"/>
      <c r="K444" s="38"/>
      <c r="L444" s="195">
        <f t="shared" ref="L444:N444" ca="1" si="230">L445+L446</f>
        <v>5863196</v>
      </c>
      <c r="M444" s="195">
        <f t="shared" si="230"/>
        <v>0</v>
      </c>
      <c r="N444" s="195">
        <f t="shared" ca="1" si="230"/>
        <v>1741402.66</v>
      </c>
      <c r="O444" s="195">
        <f t="shared" ref="O444:O449" ca="1" si="231">IF(L444&gt;0,N444*100/L444,0)</f>
        <v>29.700570473850782</v>
      </c>
      <c r="P444" s="195">
        <f t="shared" ref="P444:P449" si="232">IF(M444&gt;0,N444*100/M444,0)</f>
        <v>0</v>
      </c>
      <c r="Q444" s="542"/>
      <c r="R444" s="542"/>
      <c r="S444" s="542"/>
      <c r="T444" s="542"/>
      <c r="U444" s="542"/>
      <c r="V444" s="542"/>
      <c r="W444" s="542"/>
      <c r="X444" s="542"/>
      <c r="Y444" s="542"/>
      <c r="Z444" s="542"/>
    </row>
    <row r="445" spans="1:26" ht="18.75" hidden="1">
      <c r="A445" s="564"/>
      <c r="B445" s="565"/>
      <c r="C445" s="565"/>
      <c r="D445" s="566"/>
      <c r="E445" s="567" t="s">
        <v>184</v>
      </c>
      <c r="F445" s="565"/>
      <c r="G445" s="568"/>
      <c r="H445" s="165" t="s">
        <v>12</v>
      </c>
      <c r="I445" s="44"/>
      <c r="J445" s="44"/>
      <c r="K445" s="45"/>
      <c r="L445" s="45">
        <f t="shared" ref="L445:N445" si="233">L448+L455</f>
        <v>0</v>
      </c>
      <c r="M445" s="45">
        <f t="shared" si="233"/>
        <v>0</v>
      </c>
      <c r="N445" s="45">
        <f t="shared" si="233"/>
        <v>0</v>
      </c>
      <c r="O445" s="45">
        <f t="shared" si="231"/>
        <v>0</v>
      </c>
      <c r="P445" s="45">
        <f t="shared" si="232"/>
        <v>0</v>
      </c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</row>
    <row r="446" spans="1:26" ht="18.75" hidden="1">
      <c r="A446" s="564"/>
      <c r="B446" s="570"/>
      <c r="C446" s="565"/>
      <c r="D446" s="566"/>
      <c r="E446" s="567" t="s">
        <v>185</v>
      </c>
      <c r="F446" s="565"/>
      <c r="G446" s="568"/>
      <c r="H446" s="165" t="s">
        <v>12</v>
      </c>
      <c r="I446" s="44"/>
      <c r="J446" s="44"/>
      <c r="K446" s="45"/>
      <c r="L446" s="45">
        <f t="shared" ref="L446:N446" ca="1" si="234">L449+L456</f>
        <v>5863196</v>
      </c>
      <c r="M446" s="45">
        <f t="shared" si="234"/>
        <v>0</v>
      </c>
      <c r="N446" s="45">
        <f t="shared" ca="1" si="234"/>
        <v>1741402.66</v>
      </c>
      <c r="O446" s="45">
        <f t="shared" ca="1" si="231"/>
        <v>29.700570473850782</v>
      </c>
      <c r="P446" s="45">
        <f t="shared" si="232"/>
        <v>0</v>
      </c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</row>
    <row r="447" spans="1:26" ht="18.75">
      <c r="A447" s="562"/>
      <c r="B447" s="539"/>
      <c r="C447" s="540"/>
      <c r="D447" s="571" t="s">
        <v>20</v>
      </c>
      <c r="E447" s="540"/>
      <c r="F447" s="540"/>
      <c r="G447" s="189"/>
      <c r="H447" s="161" t="s">
        <v>12</v>
      </c>
      <c r="I447" s="162"/>
      <c r="J447" s="162"/>
      <c r="K447" s="163"/>
      <c r="L447" s="38">
        <f t="shared" ref="L447:N447" ca="1" si="235">L448+L449</f>
        <v>5863196</v>
      </c>
      <c r="M447" s="38">
        <f t="shared" si="235"/>
        <v>0</v>
      </c>
      <c r="N447" s="38">
        <f t="shared" ca="1" si="235"/>
        <v>1741402.66</v>
      </c>
      <c r="O447" s="38">
        <f t="shared" ca="1" si="231"/>
        <v>29.700570473850782</v>
      </c>
      <c r="P447" s="38">
        <f t="shared" si="232"/>
        <v>0</v>
      </c>
      <c r="Q447" s="542"/>
      <c r="R447" s="542"/>
      <c r="S447" s="542"/>
      <c r="T447" s="542"/>
      <c r="U447" s="542"/>
      <c r="V447" s="542"/>
      <c r="W447" s="542"/>
      <c r="X447" s="542"/>
      <c r="Y447" s="542"/>
      <c r="Z447" s="542"/>
    </row>
    <row r="448" spans="1:26" ht="18.75" hidden="1">
      <c r="A448" s="564"/>
      <c r="B448" s="570"/>
      <c r="C448" s="565"/>
      <c r="D448" s="566"/>
      <c r="E448" s="567" t="s">
        <v>184</v>
      </c>
      <c r="F448" s="565"/>
      <c r="G448" s="568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31"/>
        <v>0</v>
      </c>
      <c r="P448" s="45">
        <f t="shared" si="232"/>
        <v>0</v>
      </c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</row>
    <row r="449" spans="1:26" ht="18.75" hidden="1">
      <c r="A449" s="564"/>
      <c r="B449" s="570"/>
      <c r="C449" s="565"/>
      <c r="D449" s="566"/>
      <c r="E449" s="567" t="s">
        <v>185</v>
      </c>
      <c r="F449" s="565"/>
      <c r="G449" s="568"/>
      <c r="H449" s="165" t="s">
        <v>12</v>
      </c>
      <c r="I449" s="44"/>
      <c r="J449" s="44"/>
      <c r="K449" s="45"/>
      <c r="L449" s="45">
        <f ca="1">IFERROR(__xludf.DUMMYFUNCTION("IMPORTRANGE(""https://docs.google.com/spreadsheets/d/1KxicF4apzSqm0-jIpmueT4kyZtE-Cwn5zskl7GD4loQ/edit?usp=share_link"",""กำแพงเพชร!l449"")+IMPORTRANGE(""https://docs.google.com/spreadsheets/d/1ZNYWeiFoFA1K1U4xKWqRX29MBvEyRHXORjo734Gnq_c/edit?usp=share_li"&amp;"nk"",""เชียงราย!l449"")
+IMPORTRANGE(""https://docs.google.com/spreadsheets/d/1Jgv0Y7YlHDtsiDawwp-uvifEJ8HVaSn0k2aGHG8-hwM/edit?usp=share_link"",""เชียงใหม่!l449"")+IMPORTRANGE(""https://docs.google.com/spreadsheets/d/1JWG2rZePOz9pe-f-ObA-yDr0VoOX2kSb0qIi"&amp;"x2mTUo8/edit?usp=share_link"",""ตาก!l449"")+IMPORTRANGE(""https://docs.google.com/spreadsheets/d/10nSRjK08hx8Y6HgSOQKNw81lyY46Zc7U_Cj72hBMp9U/edit?usp=share_link"",""นครสวรรค์!l449"")+IMPORTRANGE(""https://docs.google.com/spreadsheets/d/1gFVb7qd7amutrIxAA"&amp;"oM7lcy35hllxznovot8lyOfvDo/edit?usp=share_link"",""น่าน!l449"")+IMPORTRANGE(""https://docs.google.com/spreadsheets/d/1K0Aa9s-6EuHE5M0FG1F9aHLXRCOV917xvycTdLdct0w/edit?usp=share_link"",""พะเยา!l449"")+IMPORTRANGE(""https://docs.google.com/spreadsheets/d/1Y"&amp;"9LPKx95PyL5OKy09d-KbKJSuuEZCFdkhYjwC0XQjBA/edit?usp=share_link"",""พิจิตร!l449"")+IMPORTRANGE(""https://docs.google.com/spreadsheets/d/16OMuOwy2eVqZcYWOouQtTpa8X1L23h4660uVHc0C8os/edit?usp=share_link"",""พิษณุโลก!l449"")+IMPORTRANGE(""https://docs.google."&amp;"com/spreadsheets/d/1GfgTldLG6k77HXaMQzaafODklYuucJZQNs_GAPEfZyY/edit?usp=share_link"",""เพชรบูรณ์!l449"")+IMPORTRANGE(""https://docs.google.com/spreadsheets/d/1gvTMYAnm7v1yG1BKWFtr0DnaTsq59oW9dwWvFgq6hs0/edit?usp=share_link"",""แพร่!l449"")+IMPORTRANGE("""&amp;"https://docs.google.com/spreadsheets/d/1Wbcosgy-Xa1xXUArJSOenub6EfZHUSzc_bpJFWwQUf0/edit?usp=share_link"",""แม่ฮ่องสอน!l449"")+IMPORTRANGE(""https://docs.google.com/spreadsheets/d/1p7ERhsr0qZeSn-KSOdeHS9r0heI-lHtkcn2OH7hP0jQ/edit?usp=share_link"",""ลำปาง!"&amp;"l449"")+IMPORTRANGE(""https://docs.google.com/spreadsheets/d/1-uUXvimVhiU2U0bMN-xi2te0tS4X7DI2GLPnMjzl8cA/edit?usp=share_link"",""ลำพูน!l449"")+IMPORTRANGE(""https://docs.google.com/spreadsheets/d/17HrOaa5pBUI1onckFfumXB8xlg35qb2uBAFfF1D-Myo/edit?usp=shar"&amp;"e_link"",""สุโขทัย!l449"")+IMPORTRANGE(""https://docs.google.com/spreadsheets/d/1ubs5cl16eYL9gHbdHTJtmtYb9MGzHBs7CAphn8kNCgM/edit?usp=share_link"",""อุตรดิตถ์!l449"")+IMPORTRANGE(""https://docs.google.com/spreadsheets/d/1kII0BjS6CtVrBvI8IrytgPdxDrlyQDyigz"&amp;"MsohRtDMs/edit?usp=share_link"",""อุทัยธานี!l449"")
"),5863196)</f>
        <v>5863196</v>
      </c>
      <c r="M449" s="93">
        <v>0</v>
      </c>
      <c r="N449" s="45">
        <f ca="1">N450+N451+N452+N453</f>
        <v>1741402.66</v>
      </c>
      <c r="O449" s="45">
        <f t="shared" ca="1" si="231"/>
        <v>29.700570473850782</v>
      </c>
      <c r="P449" s="45">
        <f t="shared" si="232"/>
        <v>0</v>
      </c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</row>
    <row r="450" spans="1:26" ht="18.75">
      <c r="A450" s="538"/>
      <c r="B450" s="539"/>
      <c r="C450" s="540"/>
      <c r="D450" s="540"/>
      <c r="E450" s="540"/>
      <c r="F450" s="541" t="s">
        <v>186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KxicF4apzSqm0-jIpmueT4kyZtE-Cwn5zskl7GD4loQ/edit?usp=share_link"",""กำแพงเพชร!n450"")+IMPORTRANGE(""https://docs.google.com/spreadsheets/d/1ZNYWeiFoFA1K1U4xKWqRX29MBvEyRHXORjo734Gnq_c/edit?usp=share_li"&amp;"nk"",""เชียงราย!n450"")
+IMPORTRANGE(""https://docs.google.com/spreadsheets/d/1Jgv0Y7YlHDtsiDawwp-uvifEJ8HVaSn0k2aGHG8-hwM/edit?usp=share_link"",""เชียงใหม่!n450"")+IMPORTRANGE(""https://docs.google.com/spreadsheets/d/1JWG2rZePOz9pe-f-ObA-yDr0VoOX2kSb0qIi"&amp;"x2mTUo8/edit?usp=share_link"",""ตาก!n450"")+IMPORTRANGE(""https://docs.google.com/spreadsheets/d/10nSRjK08hx8Y6HgSOQKNw81lyY46Zc7U_Cj72hBMp9U/edit?usp=share_link"",""นครสวรรค์!n450"")+IMPORTRANGE(""https://docs.google.com/spreadsheets/d/1gFVb7qd7amutrIxAA"&amp;"oM7lcy35hllxznovot8lyOfvDo/edit?usp=share_link"",""น่าน!n450"")+IMPORTRANGE(""https://docs.google.com/spreadsheets/d/1K0Aa9s-6EuHE5M0FG1F9aHLXRCOV917xvycTdLdct0w/edit?usp=share_link"",""พะเยา!n450"")+IMPORTRANGE(""https://docs.google.com/spreadsheets/d/1Y"&amp;"9LPKx95PyL5OKy09d-KbKJSuuEZCFdkhYjwC0XQjBA/edit?usp=share_link"",""พิจิตร!n450"")+IMPORTRANGE(""https://docs.google.com/spreadsheets/d/16OMuOwy2eVqZcYWOouQtTpa8X1L23h4660uVHc0C8os/edit?usp=share_link"",""พิษณุโลก!n450"")+IMPORTRANGE(""https://docs.google."&amp;"com/spreadsheets/d/1GfgTldLG6k77HXaMQzaafODklYuucJZQNs_GAPEfZyY/edit?usp=share_link"",""เพชรบูรณ์!n450"")+IMPORTRANGE(""https://docs.google.com/spreadsheets/d/1gvTMYAnm7v1yG1BKWFtr0DnaTsq59oW9dwWvFgq6hs0/edit?usp=share_link"",""แพร่!n450"")+IMPORTRANGE("""&amp;"https://docs.google.com/spreadsheets/d/1Wbcosgy-Xa1xXUArJSOenub6EfZHUSzc_bpJFWwQUf0/edit?usp=share_link"",""แม่ฮ่องสอน!n450"")+IMPORTRANGE(""https://docs.google.com/spreadsheets/d/1p7ERhsr0qZeSn-KSOdeHS9r0heI-lHtkcn2OH7hP0jQ/edit?usp=share_link"",""ลำปาง!"&amp;"n450"")+IMPORTRANGE(""https://docs.google.com/spreadsheets/d/1-uUXvimVhiU2U0bMN-xi2te0tS4X7DI2GLPnMjzl8cA/edit?usp=share_link"",""ลำพูน!n450"")+IMPORTRANGE(""https://docs.google.com/spreadsheets/d/17HrOaa5pBUI1onckFfumXB8xlg35qb2uBAFfF1D-Myo/edit?usp=shar"&amp;"e_link"",""สุโขทัย!n450"")+IMPORTRANGE(""https://docs.google.com/spreadsheets/d/1ubs5cl16eYL9gHbdHTJtmtYb9MGzHBs7CAphn8kNCgM/edit?usp=share_link"",""อุตรดิตถ์!n450"")+IMPORTRANGE(""https://docs.google.com/spreadsheets/d/1kII0BjS6CtVrBvI8IrytgPdxDrlyQDyigz"&amp;"MsohRtDMs/edit?usp=share_link"",""อุทัยธานี!n450"")
"),812723)</f>
        <v>812723</v>
      </c>
      <c r="O450" s="38"/>
      <c r="P450" s="38"/>
      <c r="Q450" s="542"/>
      <c r="R450" s="542"/>
      <c r="S450" s="542"/>
      <c r="T450" s="542"/>
      <c r="U450" s="542"/>
      <c r="V450" s="542"/>
      <c r="W450" s="542"/>
      <c r="X450" s="542"/>
      <c r="Y450" s="542"/>
      <c r="Z450" s="542"/>
    </row>
    <row r="451" spans="1:26" ht="18.75">
      <c r="A451" s="538"/>
      <c r="B451" s="539"/>
      <c r="C451" s="540"/>
      <c r="D451" s="540"/>
      <c r="E451" s="540"/>
      <c r="F451" s="541" t="s">
        <v>187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KxicF4apzSqm0-jIpmueT4kyZtE-Cwn5zskl7GD4loQ/edit?usp=share_link"",""กำแพงเพชร!n451"")+IMPORTRANGE(""https://docs.google.com/spreadsheets/d/1ZNYWeiFoFA1K1U4xKWqRX29MBvEyRHXORjo734Gnq_c/edit?usp=share_li"&amp;"nk"",""เชียงราย!n451"")
+IMPORTRANGE(""https://docs.google.com/spreadsheets/d/1Jgv0Y7YlHDtsiDawwp-uvifEJ8HVaSn0k2aGHG8-hwM/edit?usp=share_link"",""เชียงใหม่!n451"")+IMPORTRANGE(""https://docs.google.com/spreadsheets/d/1JWG2rZePOz9pe-f-ObA-yDr0VoOX2kSb0qIi"&amp;"x2mTUo8/edit?usp=share_link"",""ตาก!n451"")+IMPORTRANGE(""https://docs.google.com/spreadsheets/d/10nSRjK08hx8Y6HgSOQKNw81lyY46Zc7U_Cj72hBMp9U/edit?usp=share_link"",""นครสวรรค์!n451"")+IMPORTRANGE(""https://docs.google.com/spreadsheets/d/1gFVb7qd7amutrIxAA"&amp;"oM7lcy35hllxznovot8lyOfvDo/edit?usp=share_link"",""น่าน!n451"")+IMPORTRANGE(""https://docs.google.com/spreadsheets/d/1K0Aa9s-6EuHE5M0FG1F9aHLXRCOV917xvycTdLdct0w/edit?usp=share_link"",""พะเยา!n451"")+IMPORTRANGE(""https://docs.google.com/spreadsheets/d/1Y"&amp;"9LPKx95PyL5OKy09d-KbKJSuuEZCFdkhYjwC0XQjBA/edit?usp=share_link"",""พิจิตร!n451"")+IMPORTRANGE(""https://docs.google.com/spreadsheets/d/16OMuOwy2eVqZcYWOouQtTpa8X1L23h4660uVHc0C8os/edit?usp=share_link"",""พิษณุโลก!n451"")+IMPORTRANGE(""https://docs.google."&amp;"com/spreadsheets/d/1GfgTldLG6k77HXaMQzaafODklYuucJZQNs_GAPEfZyY/edit?usp=share_link"",""เพชรบูรณ์!n451"")+IMPORTRANGE(""https://docs.google.com/spreadsheets/d/1gvTMYAnm7v1yG1BKWFtr0DnaTsq59oW9dwWvFgq6hs0/edit?usp=share_link"",""แพร่!n451"")+IMPORTRANGE("""&amp;"https://docs.google.com/spreadsheets/d/1Wbcosgy-Xa1xXUArJSOenub6EfZHUSzc_bpJFWwQUf0/edit?usp=share_link"",""แม่ฮ่องสอน!n451"")+IMPORTRANGE(""https://docs.google.com/spreadsheets/d/1p7ERhsr0qZeSn-KSOdeHS9r0heI-lHtkcn2OH7hP0jQ/edit?usp=share_link"",""ลำปาง!"&amp;"n451"")+IMPORTRANGE(""https://docs.google.com/spreadsheets/d/1-uUXvimVhiU2U0bMN-xi2te0tS4X7DI2GLPnMjzl8cA/edit?usp=share_link"",""ลำพูน!n451"")+IMPORTRANGE(""https://docs.google.com/spreadsheets/d/17HrOaa5pBUI1onckFfumXB8xlg35qb2uBAFfF1D-Myo/edit?usp=shar"&amp;"e_link"",""สุโขทัย!n451"")+IMPORTRANGE(""https://docs.google.com/spreadsheets/d/1ubs5cl16eYL9gHbdHTJtmtYb9MGzHBs7CAphn8kNCgM/edit?usp=share_link"",""อุตรดิตถ์!n451"")+IMPORTRANGE(""https://docs.google.com/spreadsheets/d/1kII0BjS6CtVrBvI8IrytgPdxDrlyQDyigz"&amp;"MsohRtDMs/edit?usp=share_link"",""อุทัยธานี!n451"")
"),248000)</f>
        <v>248000</v>
      </c>
      <c r="O451" s="38"/>
      <c r="P451" s="38"/>
      <c r="Q451" s="542"/>
      <c r="R451" s="542"/>
      <c r="S451" s="542"/>
      <c r="T451" s="542"/>
      <c r="U451" s="542"/>
      <c r="V451" s="542"/>
      <c r="W451" s="542"/>
      <c r="X451" s="542"/>
      <c r="Y451" s="542"/>
      <c r="Z451" s="542"/>
    </row>
    <row r="452" spans="1:26" ht="18.75">
      <c r="A452" s="538"/>
      <c r="B452" s="539"/>
      <c r="C452" s="539"/>
      <c r="D452" s="539"/>
      <c r="E452" s="539"/>
      <c r="F452" s="541" t="s">
        <v>188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KxicF4apzSqm0-jIpmueT4kyZtE-Cwn5zskl7GD4loQ/edit?usp=share_link"",""กำแพงเพชร!n452"")+IMPORTRANGE(""https://docs.google.com/spreadsheets/d/1ZNYWeiFoFA1K1U4xKWqRX29MBvEyRHXORjo734Gnq_c/edit?usp=share_li"&amp;"nk"",""เชียงราย!n452"")
+IMPORTRANGE(""https://docs.google.com/spreadsheets/d/1Jgv0Y7YlHDtsiDawwp-uvifEJ8HVaSn0k2aGHG8-hwM/edit?usp=share_link"",""เชียงใหม่!n452"")+IMPORTRANGE(""https://docs.google.com/spreadsheets/d/1JWG2rZePOz9pe-f-ObA-yDr0VoOX2kSb0qIi"&amp;"x2mTUo8/edit?usp=share_link"",""ตาก!n452"")+IMPORTRANGE(""https://docs.google.com/spreadsheets/d/10nSRjK08hx8Y6HgSOQKNw81lyY46Zc7U_Cj72hBMp9U/edit?usp=share_link"",""นครสวรรค์!n452"")+IMPORTRANGE(""https://docs.google.com/spreadsheets/d/1gFVb7qd7amutrIxAA"&amp;"oM7lcy35hllxznovot8lyOfvDo/edit?usp=share_link"",""น่าน!n452"")+IMPORTRANGE(""https://docs.google.com/spreadsheets/d/1K0Aa9s-6EuHE5M0FG1F9aHLXRCOV917xvycTdLdct0w/edit?usp=share_link"",""พะเยา!n452"")+IMPORTRANGE(""https://docs.google.com/spreadsheets/d/1Y"&amp;"9LPKx95PyL5OKy09d-KbKJSuuEZCFdkhYjwC0XQjBA/edit?usp=share_link"",""พิจิตร!n452"")+IMPORTRANGE(""https://docs.google.com/spreadsheets/d/16OMuOwy2eVqZcYWOouQtTpa8X1L23h4660uVHc0C8os/edit?usp=share_link"",""พิษณุโลก!n452"")+IMPORTRANGE(""https://docs.google."&amp;"com/spreadsheets/d/1GfgTldLG6k77HXaMQzaafODklYuucJZQNs_GAPEfZyY/edit?usp=share_link"",""เพชรบูรณ์!n452"")+IMPORTRANGE(""https://docs.google.com/spreadsheets/d/1gvTMYAnm7v1yG1BKWFtr0DnaTsq59oW9dwWvFgq6hs0/edit?usp=share_link"",""แพร่!n452"")+IMPORTRANGE("""&amp;"https://docs.google.com/spreadsheets/d/1Wbcosgy-Xa1xXUArJSOenub6EfZHUSzc_bpJFWwQUf0/edit?usp=share_link"",""แม่ฮ่องสอน!n452"")+IMPORTRANGE(""https://docs.google.com/spreadsheets/d/1p7ERhsr0qZeSn-KSOdeHS9r0heI-lHtkcn2OH7hP0jQ/edit?usp=share_link"",""ลำปาง!"&amp;"n452"")+IMPORTRANGE(""https://docs.google.com/spreadsheets/d/1-uUXvimVhiU2U0bMN-xi2te0tS4X7DI2GLPnMjzl8cA/edit?usp=share_link"",""ลำพูน!n452"")+IMPORTRANGE(""https://docs.google.com/spreadsheets/d/17HrOaa5pBUI1onckFfumXB8xlg35qb2uBAFfF1D-Myo/edit?usp=shar"&amp;"e_link"",""สุโขทัย!n452"")+IMPORTRANGE(""https://docs.google.com/spreadsheets/d/1ubs5cl16eYL9gHbdHTJtmtYb9MGzHBs7CAphn8kNCgM/edit?usp=share_link"",""อุตรดิตถ์!n452"")+IMPORTRANGE(""https://docs.google.com/spreadsheets/d/1kII0BjS6CtVrBvI8IrytgPdxDrlyQDyigz"&amp;"MsohRtDMs/edit?usp=share_link"",""อุทัยธานี!n452"")
"),516960.66)</f>
        <v>516960.66</v>
      </c>
      <c r="O452" s="38"/>
      <c r="P452" s="38"/>
      <c r="Q452" s="542"/>
      <c r="R452" s="542"/>
      <c r="S452" s="542"/>
      <c r="T452" s="542"/>
      <c r="U452" s="542"/>
      <c r="V452" s="542"/>
      <c r="W452" s="542"/>
      <c r="X452" s="542"/>
      <c r="Y452" s="542"/>
      <c r="Z452" s="542"/>
    </row>
    <row r="453" spans="1:26" ht="18.75">
      <c r="A453" s="538"/>
      <c r="B453" s="539"/>
      <c r="C453" s="539"/>
      <c r="D453" s="539"/>
      <c r="E453" s="539"/>
      <c r="F453" s="541" t="s">
        <v>189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KxicF4apzSqm0-jIpmueT4kyZtE-Cwn5zskl7GD4loQ/edit?usp=share_link"",""กำแพงเพชร!n453"")+IMPORTRANGE(""https://docs.google.com/spreadsheets/d/1ZNYWeiFoFA1K1U4xKWqRX29MBvEyRHXORjo734Gnq_c/edit?usp=share_li"&amp;"nk"",""เชียงราย!n453"")
+IMPORTRANGE(""https://docs.google.com/spreadsheets/d/1Jgv0Y7YlHDtsiDawwp-uvifEJ8HVaSn0k2aGHG8-hwM/edit?usp=share_link"",""เชียงใหม่!n453"")+IMPORTRANGE(""https://docs.google.com/spreadsheets/d/1JWG2rZePOz9pe-f-ObA-yDr0VoOX2kSb0qIi"&amp;"x2mTUo8/edit?usp=share_link"",""ตาก!n453"")+IMPORTRANGE(""https://docs.google.com/spreadsheets/d/10nSRjK08hx8Y6HgSOQKNw81lyY46Zc7U_Cj72hBMp9U/edit?usp=share_link"",""นครสวรรค์!n453"")+IMPORTRANGE(""https://docs.google.com/spreadsheets/d/1gFVb7qd7amutrIxAA"&amp;"oM7lcy35hllxznovot8lyOfvDo/edit?usp=share_link"",""น่าน!n453"")+IMPORTRANGE(""https://docs.google.com/spreadsheets/d/1K0Aa9s-6EuHE5M0FG1F9aHLXRCOV917xvycTdLdct0w/edit?usp=share_link"",""พะเยา!n453"")+IMPORTRANGE(""https://docs.google.com/spreadsheets/d/1Y"&amp;"9LPKx95PyL5OKy09d-KbKJSuuEZCFdkhYjwC0XQjBA/edit?usp=share_link"",""พิจิตร!n453"")+IMPORTRANGE(""https://docs.google.com/spreadsheets/d/16OMuOwy2eVqZcYWOouQtTpa8X1L23h4660uVHc0C8os/edit?usp=share_link"",""พิษณุโลก!n453"")+IMPORTRANGE(""https://docs.google."&amp;"com/spreadsheets/d/1GfgTldLG6k77HXaMQzaafODklYuucJZQNs_GAPEfZyY/edit?usp=share_link"",""เพชรบูรณ์!n453"")+IMPORTRANGE(""https://docs.google.com/spreadsheets/d/1gvTMYAnm7v1yG1BKWFtr0DnaTsq59oW9dwWvFgq6hs0/edit?usp=share_link"",""แพร่!n453"")+IMPORTRANGE("""&amp;"https://docs.google.com/spreadsheets/d/1Wbcosgy-Xa1xXUArJSOenub6EfZHUSzc_bpJFWwQUf0/edit?usp=share_link"",""แม่ฮ่องสอน!n453"")+IMPORTRANGE(""https://docs.google.com/spreadsheets/d/1p7ERhsr0qZeSn-KSOdeHS9r0heI-lHtkcn2OH7hP0jQ/edit?usp=share_link"",""ลำปาง!"&amp;"n453"")+IMPORTRANGE(""https://docs.google.com/spreadsheets/d/1-uUXvimVhiU2U0bMN-xi2te0tS4X7DI2GLPnMjzl8cA/edit?usp=share_link"",""ลำพูน!n453"")+IMPORTRANGE(""https://docs.google.com/spreadsheets/d/17HrOaa5pBUI1onckFfumXB8xlg35qb2uBAFfF1D-Myo/edit?usp=shar"&amp;"e_link"",""สุโขทัย!n453"")+IMPORTRANGE(""https://docs.google.com/spreadsheets/d/1ubs5cl16eYL9gHbdHTJtmtYb9MGzHBs7CAphn8kNCgM/edit?usp=share_link"",""อุตรดิตถ์!n453"")+IMPORTRANGE(""https://docs.google.com/spreadsheets/d/1kII0BjS6CtVrBvI8IrytgPdxDrlyQDyigz"&amp;"MsohRtDMs/edit?usp=share_link"",""อุทัยธานี!n453"")
"),163719)</f>
        <v>163719</v>
      </c>
      <c r="O453" s="38"/>
      <c r="P453" s="38"/>
      <c r="Q453" s="542"/>
      <c r="R453" s="542"/>
      <c r="S453" s="542"/>
      <c r="T453" s="542"/>
      <c r="U453" s="542"/>
      <c r="V453" s="542"/>
      <c r="W453" s="542"/>
      <c r="X453" s="542"/>
      <c r="Y453" s="542"/>
      <c r="Z453" s="542"/>
    </row>
    <row r="454" spans="1:26" ht="18.75">
      <c r="A454" s="562"/>
      <c r="B454" s="539"/>
      <c r="C454" s="539"/>
      <c r="D454" s="571" t="s">
        <v>21</v>
      </c>
      <c r="E454" s="539"/>
      <c r="F454" s="540"/>
      <c r="G454" s="189"/>
      <c r="H454" s="168" t="s">
        <v>12</v>
      </c>
      <c r="I454" s="162"/>
      <c r="J454" s="162"/>
      <c r="K454" s="163"/>
      <c r="L454" s="38">
        <f t="shared" ref="L454:N454" ca="1" si="236">L455+L456</f>
        <v>0</v>
      </c>
      <c r="M454" s="38">
        <f t="shared" si="236"/>
        <v>0</v>
      </c>
      <c r="N454" s="38">
        <f t="shared" si="236"/>
        <v>0</v>
      </c>
      <c r="O454" s="38">
        <f t="shared" ref="O454:O456" ca="1" si="237">IF(L454&gt;0,N454*100/L454,0)</f>
        <v>0</v>
      </c>
      <c r="P454" s="38">
        <f t="shared" ref="P454:P456" si="238">IF(M454&gt;0,N454*100/M454,0)</f>
        <v>0</v>
      </c>
      <c r="Q454" s="542"/>
      <c r="R454" s="542"/>
      <c r="S454" s="542"/>
      <c r="T454" s="542"/>
      <c r="U454" s="542"/>
      <c r="V454" s="542"/>
      <c r="W454" s="542"/>
      <c r="X454" s="542"/>
      <c r="Y454" s="542"/>
      <c r="Z454" s="542"/>
    </row>
    <row r="455" spans="1:26" ht="18.75" hidden="1">
      <c r="A455" s="564"/>
      <c r="B455" s="570"/>
      <c r="C455" s="570"/>
      <c r="D455" s="570"/>
      <c r="E455" s="572" t="s">
        <v>18</v>
      </c>
      <c r="F455" s="565"/>
      <c r="G455" s="56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7"/>
        <v>0</v>
      </c>
      <c r="P455" s="45">
        <f t="shared" si="238"/>
        <v>0</v>
      </c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</row>
    <row r="456" spans="1:26" ht="18.75" hidden="1">
      <c r="A456" s="564"/>
      <c r="B456" s="570"/>
      <c r="C456" s="570"/>
      <c r="D456" s="570"/>
      <c r="E456" s="572" t="s">
        <v>19</v>
      </c>
      <c r="F456" s="565"/>
      <c r="G456" s="568"/>
      <c r="H456" s="169" t="s">
        <v>12</v>
      </c>
      <c r="I456" s="166"/>
      <c r="J456" s="166"/>
      <c r="K456" s="167"/>
      <c r="L456" s="45">
        <f ca="1">IFERROR(__xludf.DUMMYFUNCTION("IMPORTRANGE(""https://docs.google.com/spreadsheets/d/1KxicF4apzSqm0-jIpmueT4kyZtE-Cwn5zskl7GD4loQ/edit?usp=share_link"",""กำแพงเพชร!l456"")+IMPORTRANGE(""https://docs.google.com/spreadsheets/d/1ZNYWeiFoFA1K1U4xKWqRX29MBvEyRHXORjo734Gnq_c/edit?usp=share_li"&amp;"nk"",""เชียงราย!l456"")
+IMPORTRANGE(""https://docs.google.com/spreadsheets/d/1Jgv0Y7YlHDtsiDawwp-uvifEJ8HVaSn0k2aGHG8-hwM/edit?usp=share_link"",""เชียงใหม่!l456"")+IMPORTRANGE(""https://docs.google.com/spreadsheets/d/1JWG2rZePOz9pe-f-ObA-yDr0VoOX2kSb0qIi"&amp;"x2mTUo8/edit?usp=share_link"",""ตาก!l456"")+IMPORTRANGE(""https://docs.google.com/spreadsheets/d/10nSRjK08hx8Y6HgSOQKNw81lyY46Zc7U_Cj72hBMp9U/edit?usp=share_link"",""นครสวรรค์!l456"")+IMPORTRANGE(""https://docs.google.com/spreadsheets/d/1gFVb7qd7amutrIxAA"&amp;"oM7lcy35hllxznovot8lyOfvDo/edit?usp=share_link"",""น่าน!l456"")+IMPORTRANGE(""https://docs.google.com/spreadsheets/d/1K0Aa9s-6EuHE5M0FG1F9aHLXRCOV917xvycTdLdct0w/edit?usp=share_link"",""พะเยา!l456"")+IMPORTRANGE(""https://docs.google.com/spreadsheets/d/1Y"&amp;"9LPKx95PyL5OKy09d-KbKJSuuEZCFdkhYjwC0XQjBA/edit?usp=share_link"",""พิจิตร!l456"")+IMPORTRANGE(""https://docs.google.com/spreadsheets/d/16OMuOwy2eVqZcYWOouQtTpa8X1L23h4660uVHc0C8os/edit?usp=share_link"",""พิษณุโลก!l456"")+IMPORTRANGE(""https://docs.google."&amp;"com/spreadsheets/d/1GfgTldLG6k77HXaMQzaafODklYuucJZQNs_GAPEfZyY/edit?usp=share_link"",""เพชรบูรณ์!l456"")+IMPORTRANGE(""https://docs.google.com/spreadsheets/d/1gvTMYAnm7v1yG1BKWFtr0DnaTsq59oW9dwWvFgq6hs0/edit?usp=share_link"",""แพร่!l456"")+IMPORTRANGE("""&amp;"https://docs.google.com/spreadsheets/d/1Wbcosgy-Xa1xXUArJSOenub6EfZHUSzc_bpJFWwQUf0/edit?usp=share_link"",""แม่ฮ่องสอน!l456"")+IMPORTRANGE(""https://docs.google.com/spreadsheets/d/1p7ERhsr0qZeSn-KSOdeHS9r0heI-lHtkcn2OH7hP0jQ/edit?usp=share_link"",""ลำปาง!"&amp;"l456"")+IMPORTRANGE(""https://docs.google.com/spreadsheets/d/1-uUXvimVhiU2U0bMN-xi2te0tS4X7DI2GLPnMjzl8cA/edit?usp=share_link"",""ลำพูน!l456"")+IMPORTRANGE(""https://docs.google.com/spreadsheets/d/17HrOaa5pBUI1onckFfumXB8xlg35qb2uBAFfF1D-Myo/edit?usp=shar"&amp;"e_link"",""สุโขทัย!l456"")+IMPORTRANGE(""https://docs.google.com/spreadsheets/d/1ubs5cl16eYL9gHbdHTJtmtYb9MGzHBs7CAphn8kNCgM/edit?usp=share_link"",""อุตรดิตถ์!l456"")+IMPORTRANGE(""https://docs.google.com/spreadsheets/d/1kII0BjS6CtVrBvI8IrytgPdxDrlyQDyigz"&amp;"MsohRtDMs/edit?usp=share_link"",""อุทัยธานี!l456"")
"),0)</f>
        <v>0</v>
      </c>
      <c r="M456" s="93">
        <v>0</v>
      </c>
      <c r="N456" s="93">
        <v>0</v>
      </c>
      <c r="O456" s="45">
        <f t="shared" ca="1" si="237"/>
        <v>0</v>
      </c>
      <c r="P456" s="45">
        <f t="shared" si="238"/>
        <v>0</v>
      </c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</row>
    <row r="457" spans="1:26" ht="19.5">
      <c r="A457" s="573"/>
      <c r="B457" s="574"/>
      <c r="C457" s="539" t="s">
        <v>16</v>
      </c>
      <c r="D457" s="575" t="s">
        <v>38</v>
      </c>
      <c r="E457" s="576"/>
      <c r="F457" s="577"/>
      <c r="G457" s="578"/>
      <c r="H457" s="175"/>
      <c r="I457" s="37"/>
      <c r="J457" s="37"/>
      <c r="K457" s="38"/>
      <c r="L457" s="38"/>
      <c r="M457" s="38"/>
      <c r="N457" s="38"/>
      <c r="O457" s="38"/>
      <c r="P457" s="38"/>
      <c r="Q457" s="542"/>
      <c r="R457" s="542"/>
      <c r="S457" s="542"/>
      <c r="T457" s="542"/>
      <c r="U457" s="542"/>
      <c r="V457" s="542"/>
      <c r="W457" s="542"/>
      <c r="X457" s="542"/>
      <c r="Y457" s="542"/>
      <c r="Z457" s="542"/>
    </row>
    <row r="458" spans="1:26" ht="18.75" hidden="1">
      <c r="A458" s="579"/>
      <c r="B458" s="580"/>
      <c r="C458" s="580"/>
      <c r="D458" s="581" t="s">
        <v>200</v>
      </c>
      <c r="E458" s="580"/>
      <c r="F458" s="566"/>
      <c r="G458" s="582"/>
      <c r="H458" s="583" t="s">
        <v>35</v>
      </c>
      <c r="I458" s="584">
        <v>0</v>
      </c>
      <c r="J458" s="584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</row>
    <row r="459" spans="1:26" ht="18.75" hidden="1">
      <c r="A459" s="579"/>
      <c r="B459" s="580"/>
      <c r="C459" s="580"/>
      <c r="D459" s="581" t="s">
        <v>201</v>
      </c>
      <c r="E459" s="580"/>
      <c r="F459" s="566"/>
      <c r="G459" s="582"/>
      <c r="H459" s="583"/>
      <c r="I459" s="44"/>
      <c r="J459" s="44"/>
      <c r="K459" s="45"/>
      <c r="L459" s="45"/>
      <c r="M459" s="45"/>
      <c r="N459" s="45"/>
      <c r="O459" s="45"/>
      <c r="P459" s="45"/>
      <c r="Q459" s="569"/>
      <c r="R459" s="569"/>
      <c r="S459" s="569"/>
      <c r="T459" s="569"/>
      <c r="U459" s="569"/>
      <c r="V459" s="569"/>
      <c r="W459" s="569"/>
      <c r="X459" s="569"/>
      <c r="Y459" s="569"/>
      <c r="Z459" s="569"/>
    </row>
    <row r="460" spans="1:26" ht="18.75">
      <c r="A460" s="573"/>
      <c r="B460" s="574"/>
      <c r="C460" s="574"/>
      <c r="D460" s="585" t="s">
        <v>202</v>
      </c>
      <c r="E460" s="574"/>
      <c r="F460" s="586"/>
      <c r="G460" s="175"/>
      <c r="H460" s="182" t="s">
        <v>35</v>
      </c>
      <c r="I460" s="37">
        <f ca="1">IFERROR(__xludf.DUMMYFUNCTION("IMPORTRANGE(""https://docs.google.com/spreadsheets/d/1KxicF4apzSqm0-jIpmueT4kyZtE-Cwn5zskl7GD4loQ/edit?usp=share_link"",""กำแพงเพชร!I460"")+IMPORTRANGE(""https://docs.google.com/spreadsheets/d/1ZNYWeiFoFA1K1U4xKWqRX29MBvEyRHXORjo734Gnq_c/edit?usp=share_li"&amp;"nk"",""เชียงราย!I460"")
+IMPORTRANGE(""https://docs.google.com/spreadsheets/d/1Jgv0Y7YlHDtsiDawwp-uvifEJ8HVaSn0k2aGHG8-hwM/edit?usp=share_link"",""เชียงใหม่!I460"")+IMPORTRANGE(""https://docs.google.com/spreadsheets/d/1JWG2rZePOz9pe-f-ObA-yDr0VoOX2kSb0qIi"&amp;"x2mTUo8/edit?usp=share_link"",""ตาก!I460"")+IMPORTRANGE(""https://docs.google.com/spreadsheets/d/10nSRjK08hx8Y6HgSOQKNw81lyY46Zc7U_Cj72hBMp9U/edit?usp=share_link"",""นครสวรรค์!I460"")+IMPORTRANGE(""https://docs.google.com/spreadsheets/d/1gFVb7qd7amutrIxAA"&amp;"oM7lcy35hllxznovot8lyOfvDo/edit?usp=share_link"",""น่าน!I460"")+IMPORTRANGE(""https://docs.google.com/spreadsheets/d/1K0Aa9s-6EuHE5M0FG1F9aHLXRCOV917xvycTdLdct0w/edit?usp=share_link"",""พะเยา!I460"")+IMPORTRANGE(""https://docs.google.com/spreadsheets/d/1Y"&amp;"9LPKx95PyL5OKy09d-KbKJSuuEZCFdkhYjwC0XQjBA/edit?usp=share_link"",""พิจิตร!I460"")+IMPORTRANGE(""https://docs.google.com/spreadsheets/d/16OMuOwy2eVqZcYWOouQtTpa8X1L23h4660uVHc0C8os/edit?usp=share_link"",""พิษณุโลก!I460"")+IMPORTRANGE(""https://docs.google."&amp;"com/spreadsheets/d/1GfgTldLG6k77HXaMQzaafODklYuucJZQNs_GAPEfZyY/edit?usp=share_link"",""เพชรบูรณ์!I460"")+IMPORTRANGE(""https://docs.google.com/spreadsheets/d/1gvTMYAnm7v1yG1BKWFtr0DnaTsq59oW9dwWvFgq6hs0/edit?usp=share_link"",""แพร่!I460"")+IMPORTRANGE("""&amp;"https://docs.google.com/spreadsheets/d/1Wbcosgy-Xa1xXUArJSOenub6EfZHUSzc_bpJFWwQUf0/edit?usp=share_link"",""แม่ฮ่องสอน!I460"")+IMPORTRANGE(""https://docs.google.com/spreadsheets/d/1p7ERhsr0qZeSn-KSOdeHS9r0heI-lHtkcn2OH7hP0jQ/edit?usp=share_link"",""ลำปาง!"&amp;"I460"")+IMPORTRANGE(""https://docs.google.com/spreadsheets/d/1-uUXvimVhiU2U0bMN-xi2te0tS4X7DI2GLPnMjzl8cA/edit?usp=share_link"",""ลำพูน!I460"")+IMPORTRANGE(""https://docs.google.com/spreadsheets/d/17HrOaa5pBUI1onckFfumXB8xlg35qb2uBAFfF1D-Myo/edit?usp=shar"&amp;"e_link"",""สุโขทัย!I460"")+IMPORTRANGE(""https://docs.google.com/spreadsheets/d/1ubs5cl16eYL9gHbdHTJtmtYb9MGzHBs7CAphn8kNCgM/edit?usp=share_link"",""อุตรดิตถ์!I460"")+IMPORTRANGE(""https://docs.google.com/spreadsheets/d/1kII0BjS6CtVrBvI8IrytgPdxDrlyQDyigz"&amp;"MsohRtDMs/edit?usp=share_link"",""อุทัยธานี!I460"")
"),860)</f>
        <v>860</v>
      </c>
      <c r="J460" s="183">
        <f ca="1">IFERROR(__xludf.DUMMYFUNCTION("IMPORTRANGE(""https://docs.google.com/spreadsheets/d/1KxicF4apzSqm0-jIpmueT4kyZtE-Cwn5zskl7GD4loQ/edit?usp=share_link"",""กำแพงเพชร!J460"")+IMPORTRANGE(""https://docs.google.com/spreadsheets/d/1ZNYWeiFoFA1K1U4xKWqRX29MBvEyRHXORjo734Gnq_c/edit?usp=share_li"&amp;"nk"",""เชียงราย!J460"")
+IMPORTRANGE(""https://docs.google.com/spreadsheets/d/1Jgv0Y7YlHDtsiDawwp-uvifEJ8HVaSn0k2aGHG8-hwM/edit?usp=share_link"",""เชียงใหม่!J460"")+IMPORTRANGE(""https://docs.google.com/spreadsheets/d/1JWG2rZePOz9pe-f-ObA-yDr0VoOX2kSb0qIi"&amp;"x2mTUo8/edit?usp=share_link"",""ตาก!J460"")+IMPORTRANGE(""https://docs.google.com/spreadsheets/d/10nSRjK08hx8Y6HgSOQKNw81lyY46Zc7U_Cj72hBMp9U/edit?usp=share_link"",""นครสวรรค์!J460"")+IMPORTRANGE(""https://docs.google.com/spreadsheets/d/1gFVb7qd7amutrIxAA"&amp;"oM7lcy35hllxznovot8lyOfvDo/edit?usp=share_link"",""น่าน!J460"")+IMPORTRANGE(""https://docs.google.com/spreadsheets/d/1K0Aa9s-6EuHE5M0FG1F9aHLXRCOV917xvycTdLdct0w/edit?usp=share_link"",""พะเยา!J460"")+IMPORTRANGE(""https://docs.google.com/spreadsheets/d/1Y"&amp;"9LPKx95PyL5OKy09d-KbKJSuuEZCFdkhYjwC0XQjBA/edit?usp=share_link"",""พิจิตร!J460"")+IMPORTRANGE(""https://docs.google.com/spreadsheets/d/16OMuOwy2eVqZcYWOouQtTpa8X1L23h4660uVHc0C8os/edit?usp=share_link"",""พิษณุโลก!J460"")+IMPORTRANGE(""https://docs.google."&amp;"com/spreadsheets/d/1GfgTldLG6k77HXaMQzaafODklYuucJZQNs_GAPEfZyY/edit?usp=share_link"",""เพชรบูรณ์!J460"")+IMPORTRANGE(""https://docs.google.com/spreadsheets/d/1gvTMYAnm7v1yG1BKWFtr0DnaTsq59oW9dwWvFgq6hs0/edit?usp=share_link"",""แพร่!J460"")+IMPORTRANGE("""&amp;"https://docs.google.com/spreadsheets/d/1Wbcosgy-Xa1xXUArJSOenub6EfZHUSzc_bpJFWwQUf0/edit?usp=share_link"",""แม่ฮ่องสอน!J460"")+IMPORTRANGE(""https://docs.google.com/spreadsheets/d/1p7ERhsr0qZeSn-KSOdeHS9r0heI-lHtkcn2OH7hP0jQ/edit?usp=share_link"",""ลำปาง!"&amp;"J460"")+IMPORTRANGE(""https://docs.google.com/spreadsheets/d/1-uUXvimVhiU2U0bMN-xi2te0tS4X7DI2GLPnMjzl8cA/edit?usp=share_link"",""ลำพูน!J460"")+IMPORTRANGE(""https://docs.google.com/spreadsheets/d/17HrOaa5pBUI1onckFfumXB8xlg35qb2uBAFfF1D-Myo/edit?usp=shar"&amp;"e_link"",""สุโขทัย!J460"")+IMPORTRANGE(""https://docs.google.com/spreadsheets/d/1ubs5cl16eYL9gHbdHTJtmtYb9MGzHBs7CAphn8kNCgM/edit?usp=share_link"",""อุตรดิตถ์!J460"")+IMPORTRANGE(""https://docs.google.com/spreadsheets/d/1kII0BjS6CtVrBvI8IrytgPdxDrlyQDyigz"&amp;"MsohRtDMs/edit?usp=share_link"",""อุทัยธานี!J460"")
"),755)</f>
        <v>755</v>
      </c>
      <c r="K460" s="38">
        <f ca="1">IF(I460&gt;0,J460*100/I460,0)</f>
        <v>87.79069767441861</v>
      </c>
      <c r="L460" s="38"/>
      <c r="M460" s="38"/>
      <c r="N460" s="38"/>
      <c r="O460" s="38"/>
      <c r="P460" s="38"/>
      <c r="Q460" s="542"/>
      <c r="R460" s="542"/>
      <c r="S460" s="542"/>
      <c r="T460" s="542"/>
      <c r="U460" s="542"/>
      <c r="V460" s="542"/>
      <c r="W460" s="542"/>
      <c r="X460" s="542"/>
      <c r="Y460" s="542"/>
      <c r="Z460" s="542"/>
    </row>
    <row r="461" spans="1:26" ht="18.75">
      <c r="A461" s="573"/>
      <c r="B461" s="574"/>
      <c r="C461" s="574"/>
      <c r="D461" s="585" t="s">
        <v>203</v>
      </c>
      <c r="E461" s="586"/>
      <c r="F461" s="586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42"/>
      <c r="R461" s="542"/>
      <c r="S461" s="542"/>
      <c r="T461" s="542"/>
      <c r="U461" s="542"/>
      <c r="V461" s="542"/>
      <c r="W461" s="542"/>
      <c r="X461" s="542"/>
      <c r="Y461" s="542"/>
      <c r="Z461" s="542"/>
    </row>
    <row r="462" spans="1:26" ht="18.75">
      <c r="A462" s="573"/>
      <c r="B462" s="574"/>
      <c r="C462" s="574"/>
      <c r="D462" s="585" t="s">
        <v>204</v>
      </c>
      <c r="E462" s="586"/>
      <c r="F462" s="586"/>
      <c r="G462" s="175"/>
      <c r="H462" s="182" t="s">
        <v>46</v>
      </c>
      <c r="I462" s="37">
        <f ca="1">IFERROR(__xludf.DUMMYFUNCTION("IMPORTRANGE(""https://docs.google.com/spreadsheets/d/1KxicF4apzSqm0-jIpmueT4kyZtE-Cwn5zskl7GD4loQ/edit?usp=share_link"",""กำแพงเพชร!I462"")+IMPORTRANGE(""https://docs.google.com/spreadsheets/d/1ZNYWeiFoFA1K1U4xKWqRX29MBvEyRHXORjo734Gnq_c/edit?usp=share_li"&amp;"nk"",""เชียงราย!I462"")
+IMPORTRANGE(""https://docs.google.com/spreadsheets/d/1Jgv0Y7YlHDtsiDawwp-uvifEJ8HVaSn0k2aGHG8-hwM/edit?usp=share_link"",""เชียงใหม่!I462"")+IMPORTRANGE(""https://docs.google.com/spreadsheets/d/1JWG2rZePOz9pe-f-ObA-yDr0VoOX2kSb0qIi"&amp;"x2mTUo8/edit?usp=share_link"",""ตาก!I462"")+IMPORTRANGE(""https://docs.google.com/spreadsheets/d/10nSRjK08hx8Y6HgSOQKNw81lyY46Zc7U_Cj72hBMp9U/edit?usp=share_link"",""นครสวรรค์!I462"")+IMPORTRANGE(""https://docs.google.com/spreadsheets/d/1gFVb7qd7amutrIxAA"&amp;"oM7lcy35hllxznovot8lyOfvDo/edit?usp=share_link"",""น่าน!I462"")+IMPORTRANGE(""https://docs.google.com/spreadsheets/d/1K0Aa9s-6EuHE5M0FG1F9aHLXRCOV917xvycTdLdct0w/edit?usp=share_link"",""พะเยา!I462"")+IMPORTRANGE(""https://docs.google.com/spreadsheets/d/1Y"&amp;"9LPKx95PyL5OKy09d-KbKJSuuEZCFdkhYjwC0XQjBA/edit?usp=share_link"",""พิจิตร!I462"")+IMPORTRANGE(""https://docs.google.com/spreadsheets/d/16OMuOwy2eVqZcYWOouQtTpa8X1L23h4660uVHc0C8os/edit?usp=share_link"",""พิษณุโลก!I462"")+IMPORTRANGE(""https://docs.google."&amp;"com/spreadsheets/d/1GfgTldLG6k77HXaMQzaafODklYuucJZQNs_GAPEfZyY/edit?usp=share_link"",""เพชรบูรณ์!I462"")+IMPORTRANGE(""https://docs.google.com/spreadsheets/d/1gvTMYAnm7v1yG1BKWFtr0DnaTsq59oW9dwWvFgq6hs0/edit?usp=share_link"",""แพร่!I462"")+IMPORTRANGE("""&amp;"https://docs.google.com/spreadsheets/d/1Wbcosgy-Xa1xXUArJSOenub6EfZHUSzc_bpJFWwQUf0/edit?usp=share_link"",""แม่ฮ่องสอน!I462"")+IMPORTRANGE(""https://docs.google.com/spreadsheets/d/1p7ERhsr0qZeSn-KSOdeHS9r0heI-lHtkcn2OH7hP0jQ/edit?usp=share_link"",""ลำปาง!"&amp;"I462"")+IMPORTRANGE(""https://docs.google.com/spreadsheets/d/1-uUXvimVhiU2U0bMN-xi2te0tS4X7DI2GLPnMjzl8cA/edit?usp=share_link"",""ลำพูน!I462"")+IMPORTRANGE(""https://docs.google.com/spreadsheets/d/17HrOaa5pBUI1onckFfumXB8xlg35qb2uBAFfF1D-Myo/edit?usp=shar"&amp;"e_link"",""สุโขทัย!I462"")+IMPORTRANGE(""https://docs.google.com/spreadsheets/d/1ubs5cl16eYL9gHbdHTJtmtYb9MGzHBs7CAphn8kNCgM/edit?usp=share_link"",""อุตรดิตถ์!I462"")+IMPORTRANGE(""https://docs.google.com/spreadsheets/d/1kII0BjS6CtVrBvI8IrytgPdxDrlyQDyigz"&amp;"MsohRtDMs/edit?usp=share_link"",""อุทัยธานี!I462"")
"),2205)</f>
        <v>2205</v>
      </c>
      <c r="J462" s="183">
        <f ca="1">IFERROR(__xludf.DUMMYFUNCTION("IMPORTRANGE(""https://docs.google.com/spreadsheets/d/1KxicF4apzSqm0-jIpmueT4kyZtE-Cwn5zskl7GD4loQ/edit?usp=share_link"",""กำแพงเพชร!J462"")+IMPORTRANGE(""https://docs.google.com/spreadsheets/d/1ZNYWeiFoFA1K1U4xKWqRX29MBvEyRHXORjo734Gnq_c/edit?usp=share_li"&amp;"nk"",""เชียงราย!J462"")
+IMPORTRANGE(""https://docs.google.com/spreadsheets/d/1Jgv0Y7YlHDtsiDawwp-uvifEJ8HVaSn0k2aGHG8-hwM/edit?usp=share_link"",""เชียงใหม่!J462"")+IMPORTRANGE(""https://docs.google.com/spreadsheets/d/1JWG2rZePOz9pe-f-ObA-yDr0VoOX2kSb0qIi"&amp;"x2mTUo8/edit?usp=share_link"",""ตาก!J462"")+IMPORTRANGE(""https://docs.google.com/spreadsheets/d/10nSRjK08hx8Y6HgSOQKNw81lyY46Zc7U_Cj72hBMp9U/edit?usp=share_link"",""นครสวรรค์!J462"")+IMPORTRANGE(""https://docs.google.com/spreadsheets/d/1gFVb7qd7amutrIxAA"&amp;"oM7lcy35hllxznovot8lyOfvDo/edit?usp=share_link"",""น่าน!J462"")+IMPORTRANGE(""https://docs.google.com/spreadsheets/d/1K0Aa9s-6EuHE5M0FG1F9aHLXRCOV917xvycTdLdct0w/edit?usp=share_link"",""พะเยา!J462"")+IMPORTRANGE(""https://docs.google.com/spreadsheets/d/1Y"&amp;"9LPKx95PyL5OKy09d-KbKJSuuEZCFdkhYjwC0XQjBA/edit?usp=share_link"",""พิจิตร!J462"")+IMPORTRANGE(""https://docs.google.com/spreadsheets/d/16OMuOwy2eVqZcYWOouQtTpa8X1L23h4660uVHc0C8os/edit?usp=share_link"",""พิษณุโลก!J462"")+IMPORTRANGE(""https://docs.google."&amp;"com/spreadsheets/d/1GfgTldLG6k77HXaMQzaafODklYuucJZQNs_GAPEfZyY/edit?usp=share_link"",""เพชรบูรณ์!J462"")+IMPORTRANGE(""https://docs.google.com/spreadsheets/d/1gvTMYAnm7v1yG1BKWFtr0DnaTsq59oW9dwWvFgq6hs0/edit?usp=share_link"",""แพร่!J462"")+IMPORTRANGE("""&amp;"https://docs.google.com/spreadsheets/d/1Wbcosgy-Xa1xXUArJSOenub6EfZHUSzc_bpJFWwQUf0/edit?usp=share_link"",""แม่ฮ่องสอน!J462"")+IMPORTRANGE(""https://docs.google.com/spreadsheets/d/1p7ERhsr0qZeSn-KSOdeHS9r0heI-lHtkcn2OH7hP0jQ/edit?usp=share_link"",""ลำปาง!"&amp;"J462"")+IMPORTRANGE(""https://docs.google.com/spreadsheets/d/1-uUXvimVhiU2U0bMN-xi2te0tS4X7DI2GLPnMjzl8cA/edit?usp=share_link"",""ลำพูน!J462"")+IMPORTRANGE(""https://docs.google.com/spreadsheets/d/17HrOaa5pBUI1onckFfumXB8xlg35qb2uBAFfF1D-Myo/edit?usp=shar"&amp;"e_link"",""สุโขทัย!J462"")+IMPORTRANGE(""https://docs.google.com/spreadsheets/d/1ubs5cl16eYL9gHbdHTJtmtYb9MGzHBs7CAphn8kNCgM/edit?usp=share_link"",""อุตรดิตถ์!J462"")+IMPORTRANGE(""https://docs.google.com/spreadsheets/d/1kII0BjS6CtVrBvI8IrytgPdxDrlyQDyigz"&amp;"MsohRtDMs/edit?usp=share_link"",""อุทัยธานี!J462"")
"),1537)</f>
        <v>1537</v>
      </c>
      <c r="K462" s="38">
        <f ca="1">IF(I462&gt;0,J462*100/I462,0)</f>
        <v>69.70521541950113</v>
      </c>
      <c r="L462" s="38"/>
      <c r="M462" s="38"/>
      <c r="N462" s="38"/>
      <c r="O462" s="38"/>
      <c r="P462" s="38"/>
      <c r="Q462" s="542"/>
      <c r="R462" s="542"/>
      <c r="S462" s="542"/>
      <c r="T462" s="542"/>
      <c r="U462" s="542"/>
      <c r="V462" s="542"/>
      <c r="W462" s="542"/>
      <c r="X462" s="542"/>
      <c r="Y462" s="542"/>
      <c r="Z462" s="542"/>
    </row>
    <row r="463" spans="1:26" ht="18.75">
      <c r="A463" s="573"/>
      <c r="B463" s="574"/>
      <c r="C463" s="574"/>
      <c r="D463" s="585" t="s">
        <v>59</v>
      </c>
      <c r="E463" s="586"/>
      <c r="F463" s="540"/>
      <c r="G463" s="189"/>
      <c r="H463" s="182" t="s">
        <v>46</v>
      </c>
      <c r="I463" s="270">
        <f ca="1">IFERROR(__xludf.DUMMYFUNCTION("IMPORTRANGE(""https://docs.google.com/spreadsheets/d/1KxicF4apzSqm0-jIpmueT4kyZtE-Cwn5zskl7GD4loQ/edit?usp=share_link"",""กำแพงเพชร!I463"")+IMPORTRANGE(""https://docs.google.com/spreadsheets/d/1ZNYWeiFoFA1K1U4xKWqRX29MBvEyRHXORjo734Gnq_c/edit?usp=share_li"&amp;"nk"",""เชียงราย!I463"")
+IMPORTRANGE(""https://docs.google.com/spreadsheets/d/1Jgv0Y7YlHDtsiDawwp-uvifEJ8HVaSn0k2aGHG8-hwM/edit?usp=share_link"",""เชียงใหม่!I463"")+IMPORTRANGE(""https://docs.google.com/spreadsheets/d/1JWG2rZePOz9pe-f-ObA-yDr0VoOX2kSb0qIi"&amp;"x2mTUo8/edit?usp=share_link"",""ตาก!I463"")+IMPORTRANGE(""https://docs.google.com/spreadsheets/d/10nSRjK08hx8Y6HgSOQKNw81lyY46Zc7U_Cj72hBMp9U/edit?usp=share_link"",""นครสวรรค์!I463"")+IMPORTRANGE(""https://docs.google.com/spreadsheets/d/1gFVb7qd7amutrIxAA"&amp;"oM7lcy35hllxznovot8lyOfvDo/edit?usp=share_link"",""น่าน!I463"")+IMPORTRANGE(""https://docs.google.com/spreadsheets/d/1K0Aa9s-6EuHE5M0FG1F9aHLXRCOV917xvycTdLdct0w/edit?usp=share_link"",""พะเยา!I463"")+IMPORTRANGE(""https://docs.google.com/spreadsheets/d/1Y"&amp;"9LPKx95PyL5OKy09d-KbKJSuuEZCFdkhYjwC0XQjBA/edit?usp=share_link"",""พิจิตร!I463"")+IMPORTRANGE(""https://docs.google.com/spreadsheets/d/16OMuOwy2eVqZcYWOouQtTpa8X1L23h4660uVHc0C8os/edit?usp=share_link"",""พิษณุโลก!I463"")+IMPORTRANGE(""https://docs.google."&amp;"com/spreadsheets/d/1GfgTldLG6k77HXaMQzaafODklYuucJZQNs_GAPEfZyY/edit?usp=share_link"",""เพชรบูรณ์!I463"")+IMPORTRANGE(""https://docs.google.com/spreadsheets/d/1gvTMYAnm7v1yG1BKWFtr0DnaTsq59oW9dwWvFgq6hs0/edit?usp=share_link"",""แพร่!I463"")+IMPORTRANGE("""&amp;"https://docs.google.com/spreadsheets/d/1Wbcosgy-Xa1xXUArJSOenub6EfZHUSzc_bpJFWwQUf0/edit?usp=share_link"",""แม่ฮ่องสอน!I463"")+IMPORTRANGE(""https://docs.google.com/spreadsheets/d/1p7ERhsr0qZeSn-KSOdeHS9r0heI-lHtkcn2OH7hP0jQ/edit?usp=share_link"",""ลำปาง!"&amp;"I463"")+IMPORTRANGE(""https://docs.google.com/spreadsheets/d/1-uUXvimVhiU2U0bMN-xi2te0tS4X7DI2GLPnMjzl8cA/edit?usp=share_link"",""ลำพูน!I463"")+IMPORTRANGE(""https://docs.google.com/spreadsheets/d/17HrOaa5pBUI1onckFfumXB8xlg35qb2uBAFfF1D-Myo/edit?usp=shar"&amp;"e_link"",""สุโขทัย!I463"")+IMPORTRANGE(""https://docs.google.com/spreadsheets/d/1ubs5cl16eYL9gHbdHTJtmtYb9MGzHBs7CAphn8kNCgM/edit?usp=share_link"",""อุตรดิตถ์!I463"")+IMPORTRANGE(""https://docs.google.com/spreadsheets/d/1kII0BjS6CtVrBvI8IrytgPdxDrlyQDyigz"&amp;"MsohRtDMs/edit?usp=share_link"",""อุทัยธานี!I463"")
"),2205)</f>
        <v>2205</v>
      </c>
      <c r="J463" s="183">
        <f ca="1">IFERROR(__xludf.DUMMYFUNCTION("IMPORTRANGE(""https://docs.google.com/spreadsheets/d/1KxicF4apzSqm0-jIpmueT4kyZtE-Cwn5zskl7GD4loQ/edit?usp=share_link"",""กำแพงเพชร!J463"")+IMPORTRANGE(""https://docs.google.com/spreadsheets/d/1ZNYWeiFoFA1K1U4xKWqRX29MBvEyRHXORjo734Gnq_c/edit?usp=share_li"&amp;"nk"",""เชียงราย!J463"")
+IMPORTRANGE(""https://docs.google.com/spreadsheets/d/1Jgv0Y7YlHDtsiDawwp-uvifEJ8HVaSn0k2aGHG8-hwM/edit?usp=share_link"",""เชียงใหม่!J463"")+IMPORTRANGE(""https://docs.google.com/spreadsheets/d/1JWG2rZePOz9pe-f-ObA-yDr0VoOX2kSb0qIi"&amp;"x2mTUo8/edit?usp=share_link"",""ตาก!J463"")+IMPORTRANGE(""https://docs.google.com/spreadsheets/d/10nSRjK08hx8Y6HgSOQKNw81lyY46Zc7U_Cj72hBMp9U/edit?usp=share_link"",""นครสวรรค์!J463"")+IMPORTRANGE(""https://docs.google.com/spreadsheets/d/1gFVb7qd7amutrIxAA"&amp;"oM7lcy35hllxznovot8lyOfvDo/edit?usp=share_link"",""น่าน!J463"")+IMPORTRANGE(""https://docs.google.com/spreadsheets/d/1K0Aa9s-6EuHE5M0FG1F9aHLXRCOV917xvycTdLdct0w/edit?usp=share_link"",""พะเยา!J463"")+IMPORTRANGE(""https://docs.google.com/spreadsheets/d/1Y"&amp;"9LPKx95PyL5OKy09d-KbKJSuuEZCFdkhYjwC0XQjBA/edit?usp=share_link"",""พิจิตร!J463"")+IMPORTRANGE(""https://docs.google.com/spreadsheets/d/16OMuOwy2eVqZcYWOouQtTpa8X1L23h4660uVHc0C8os/edit?usp=share_link"",""พิษณุโลก!J463"")+IMPORTRANGE(""https://docs.google."&amp;"com/spreadsheets/d/1GfgTldLG6k77HXaMQzaafODklYuucJZQNs_GAPEfZyY/edit?usp=share_link"",""เพชรบูรณ์!J463"")+IMPORTRANGE(""https://docs.google.com/spreadsheets/d/1gvTMYAnm7v1yG1BKWFtr0DnaTsq59oW9dwWvFgq6hs0/edit?usp=share_link"",""แพร่!J463"")+IMPORTRANGE("""&amp;"https://docs.google.com/spreadsheets/d/1Wbcosgy-Xa1xXUArJSOenub6EfZHUSzc_bpJFWwQUf0/edit?usp=share_link"",""แม่ฮ่องสอน!J463"")+IMPORTRANGE(""https://docs.google.com/spreadsheets/d/1p7ERhsr0qZeSn-KSOdeHS9r0heI-lHtkcn2OH7hP0jQ/edit?usp=share_link"",""ลำปาง!"&amp;"J463"")+IMPORTRANGE(""https://docs.google.com/spreadsheets/d/1-uUXvimVhiU2U0bMN-xi2te0tS4X7DI2GLPnMjzl8cA/edit?usp=share_link"",""ลำพูน!J463"")+IMPORTRANGE(""https://docs.google.com/spreadsheets/d/17HrOaa5pBUI1onckFfumXB8xlg35qb2uBAFfF1D-Myo/edit?usp=shar"&amp;"e_link"",""สุโขทัย!J463"")+IMPORTRANGE(""https://docs.google.com/spreadsheets/d/1ubs5cl16eYL9gHbdHTJtmtYb9MGzHBs7CAphn8kNCgM/edit?usp=share_link"",""อุตรดิตถ์!J463"")+IMPORTRANGE(""https://docs.google.com/spreadsheets/d/1kII0BjS6CtVrBvI8IrytgPdxDrlyQDyigz"&amp;"MsohRtDMs/edit?usp=share_link"",""อุทัยธานี!J463"")
"),260)</f>
        <v>260</v>
      </c>
      <c r="K463" s="38"/>
      <c r="L463" s="38"/>
      <c r="M463" s="38"/>
      <c r="N463" s="38"/>
      <c r="O463" s="38"/>
      <c r="P463" s="38"/>
      <c r="Q463" s="542"/>
      <c r="R463" s="542"/>
      <c r="S463" s="542"/>
      <c r="T463" s="542"/>
      <c r="U463" s="542"/>
      <c r="V463" s="542"/>
      <c r="W463" s="542"/>
      <c r="X463" s="542"/>
      <c r="Y463" s="542"/>
      <c r="Z463" s="542"/>
    </row>
    <row r="464" spans="1:26" ht="19.5">
      <c r="A464" s="573"/>
      <c r="B464" s="574"/>
      <c r="C464" s="574"/>
      <c r="D464" s="574"/>
      <c r="E464" s="586"/>
      <c r="F464" s="586"/>
      <c r="G464" s="587"/>
      <c r="H464" s="182" t="s">
        <v>35</v>
      </c>
      <c r="I464" s="270">
        <f ca="1">IFERROR(__xludf.DUMMYFUNCTION("IMPORTRANGE(""https://docs.google.com/spreadsheets/d/1KxicF4apzSqm0-jIpmueT4kyZtE-Cwn5zskl7GD4loQ/edit?usp=share_link"",""กำแพงเพชร!I464"")+IMPORTRANGE(""https://docs.google.com/spreadsheets/d/1ZNYWeiFoFA1K1U4xKWqRX29MBvEyRHXORjo734Gnq_c/edit?usp=share_li"&amp;"nk"",""เชียงราย!I464"")
+IMPORTRANGE(""https://docs.google.com/spreadsheets/d/1Jgv0Y7YlHDtsiDawwp-uvifEJ8HVaSn0k2aGHG8-hwM/edit?usp=share_link"",""เชียงใหม่!I464"")+IMPORTRANGE(""https://docs.google.com/spreadsheets/d/1JWG2rZePOz9pe-f-ObA-yDr0VoOX2kSb0qIi"&amp;"x2mTUo8/edit?usp=share_link"",""ตาก!I464"")+IMPORTRANGE(""https://docs.google.com/spreadsheets/d/10nSRjK08hx8Y6HgSOQKNw81lyY46Zc7U_Cj72hBMp9U/edit?usp=share_link"",""นครสวรรค์!I464"")+IMPORTRANGE(""https://docs.google.com/spreadsheets/d/1gFVb7qd7amutrIxAA"&amp;"oM7lcy35hllxznovot8lyOfvDo/edit?usp=share_link"",""น่าน!I464"")+IMPORTRANGE(""https://docs.google.com/spreadsheets/d/1K0Aa9s-6EuHE5M0FG1F9aHLXRCOV917xvycTdLdct0w/edit?usp=share_link"",""พะเยา!I464"")+IMPORTRANGE(""https://docs.google.com/spreadsheets/d/1Y"&amp;"9LPKx95PyL5OKy09d-KbKJSuuEZCFdkhYjwC0XQjBA/edit?usp=share_link"",""พิจิตร!I464"")+IMPORTRANGE(""https://docs.google.com/spreadsheets/d/16OMuOwy2eVqZcYWOouQtTpa8X1L23h4660uVHc0C8os/edit?usp=share_link"",""พิษณุโลก!I464"")+IMPORTRANGE(""https://docs.google."&amp;"com/spreadsheets/d/1GfgTldLG6k77HXaMQzaafODklYuucJZQNs_GAPEfZyY/edit?usp=share_link"",""เพชรบูรณ์!I464"")+IMPORTRANGE(""https://docs.google.com/spreadsheets/d/1gvTMYAnm7v1yG1BKWFtr0DnaTsq59oW9dwWvFgq6hs0/edit?usp=share_link"",""แพร่!I464"")+IMPORTRANGE("""&amp;"https://docs.google.com/spreadsheets/d/1Wbcosgy-Xa1xXUArJSOenub6EfZHUSzc_bpJFWwQUf0/edit?usp=share_link"",""แม่ฮ่องสอน!I464"")+IMPORTRANGE(""https://docs.google.com/spreadsheets/d/1p7ERhsr0qZeSn-KSOdeHS9r0heI-lHtkcn2OH7hP0jQ/edit?usp=share_link"",""ลำปาง!"&amp;"I464"")+IMPORTRANGE(""https://docs.google.com/spreadsheets/d/1-uUXvimVhiU2U0bMN-xi2te0tS4X7DI2GLPnMjzl8cA/edit?usp=share_link"",""ลำพูน!I464"")+IMPORTRANGE(""https://docs.google.com/spreadsheets/d/17HrOaa5pBUI1onckFfumXB8xlg35qb2uBAFfF1D-Myo/edit?usp=shar"&amp;"e_link"",""สุโขทัย!I464"")+IMPORTRANGE(""https://docs.google.com/spreadsheets/d/1ubs5cl16eYL9gHbdHTJtmtYb9MGzHBs7CAphn8kNCgM/edit?usp=share_link"",""อุตรดิตถ์!I464"")+IMPORTRANGE(""https://docs.google.com/spreadsheets/d/1kII0BjS6CtVrBvI8IrytgPdxDrlyQDyigz"&amp;"MsohRtDMs/edit?usp=share_link"",""อุทัยธานี!I464"")
"),860)</f>
        <v>860</v>
      </c>
      <c r="J464" s="183">
        <f ca="1">IFERROR(__xludf.DUMMYFUNCTION("IMPORTRANGE(""https://docs.google.com/spreadsheets/d/1KxicF4apzSqm0-jIpmueT4kyZtE-Cwn5zskl7GD4loQ/edit?usp=share_link"",""กำแพงเพชร!J464"")+IMPORTRANGE(""https://docs.google.com/spreadsheets/d/1ZNYWeiFoFA1K1U4xKWqRX29MBvEyRHXORjo734Gnq_c/edit?usp=share_li"&amp;"nk"",""เชียงราย!J464"")
+IMPORTRANGE(""https://docs.google.com/spreadsheets/d/1Jgv0Y7YlHDtsiDawwp-uvifEJ8HVaSn0k2aGHG8-hwM/edit?usp=share_link"",""เชียงใหม่!J464"")+IMPORTRANGE(""https://docs.google.com/spreadsheets/d/1JWG2rZePOz9pe-f-ObA-yDr0VoOX2kSb0qIi"&amp;"x2mTUo8/edit?usp=share_link"",""ตาก!J464"")+IMPORTRANGE(""https://docs.google.com/spreadsheets/d/10nSRjK08hx8Y6HgSOQKNw81lyY46Zc7U_Cj72hBMp9U/edit?usp=share_link"",""นครสวรรค์!J464"")+IMPORTRANGE(""https://docs.google.com/spreadsheets/d/1gFVb7qd7amutrIxAA"&amp;"oM7lcy35hllxznovot8lyOfvDo/edit?usp=share_link"",""น่าน!J464"")+IMPORTRANGE(""https://docs.google.com/spreadsheets/d/1K0Aa9s-6EuHE5M0FG1F9aHLXRCOV917xvycTdLdct0w/edit?usp=share_link"",""พะเยา!J464"")+IMPORTRANGE(""https://docs.google.com/spreadsheets/d/1Y"&amp;"9LPKx95PyL5OKy09d-KbKJSuuEZCFdkhYjwC0XQjBA/edit?usp=share_link"",""พิจิตร!J464"")+IMPORTRANGE(""https://docs.google.com/spreadsheets/d/16OMuOwy2eVqZcYWOouQtTpa8X1L23h4660uVHc0C8os/edit?usp=share_link"",""พิษณุโลก!J464"")+IMPORTRANGE(""https://docs.google."&amp;"com/spreadsheets/d/1GfgTldLG6k77HXaMQzaafODklYuucJZQNs_GAPEfZyY/edit?usp=share_link"",""เพชรบูรณ์!J464"")+IMPORTRANGE(""https://docs.google.com/spreadsheets/d/1gvTMYAnm7v1yG1BKWFtr0DnaTsq59oW9dwWvFgq6hs0/edit?usp=share_link"",""แพร่!J464"")+IMPORTRANGE("""&amp;"https://docs.google.com/spreadsheets/d/1Wbcosgy-Xa1xXUArJSOenub6EfZHUSzc_bpJFWwQUf0/edit?usp=share_link"",""แม่ฮ่องสอน!J464"")+IMPORTRANGE(""https://docs.google.com/spreadsheets/d/1p7ERhsr0qZeSn-KSOdeHS9r0heI-lHtkcn2OH7hP0jQ/edit?usp=share_link"",""ลำปาง!"&amp;"J464"")+IMPORTRANGE(""https://docs.google.com/spreadsheets/d/1-uUXvimVhiU2U0bMN-xi2te0tS4X7DI2GLPnMjzl8cA/edit?usp=share_link"",""ลำพูน!J464"")+IMPORTRANGE(""https://docs.google.com/spreadsheets/d/17HrOaa5pBUI1onckFfumXB8xlg35qb2uBAFfF1D-Myo/edit?usp=shar"&amp;"e_link"",""สุโขทัย!J464"")+IMPORTRANGE(""https://docs.google.com/spreadsheets/d/1ubs5cl16eYL9gHbdHTJtmtYb9MGzHBs7CAphn8kNCgM/edit?usp=share_link"",""อุตรดิตถ์!J464"")+IMPORTRANGE(""https://docs.google.com/spreadsheets/d/1kII0BjS6CtVrBvI8IrytgPdxDrlyQDyigz"&amp;"MsohRtDMs/edit?usp=share_link"",""อุทัยธานี!J464"")
"),150)</f>
        <v>150</v>
      </c>
      <c r="K464" s="38"/>
      <c r="L464" s="38"/>
      <c r="M464" s="38"/>
      <c r="N464" s="38"/>
      <c r="O464" s="38"/>
      <c r="P464" s="38"/>
      <c r="Q464" s="542"/>
      <c r="R464" s="542"/>
      <c r="S464" s="542"/>
      <c r="T464" s="542"/>
      <c r="U464" s="542"/>
      <c r="V464" s="542"/>
      <c r="W464" s="542"/>
      <c r="X464" s="542"/>
      <c r="Y464" s="542"/>
      <c r="Z464" s="542"/>
    </row>
    <row r="465" spans="1:26" ht="19.5">
      <c r="A465" s="550">
        <v>3</v>
      </c>
      <c r="B465" s="551" t="s">
        <v>205</v>
      </c>
      <c r="C465" s="552"/>
      <c r="D465" s="552"/>
      <c r="E465" s="552"/>
      <c r="F465" s="552"/>
      <c r="G465" s="553"/>
      <c r="H465" s="554" t="s">
        <v>35</v>
      </c>
      <c r="I465" s="555">
        <f ca="1">IFERROR(__xludf.DUMMYFUNCTION("IMPORTRANGE(""https://docs.google.com/spreadsheets/d/1KxicF4apzSqm0-jIpmueT4kyZtE-Cwn5zskl7GD4loQ/edit?usp=share_link"",""กำแพงเพชร!I465"")+IMPORTRANGE(""https://docs.google.com/spreadsheets/d/1ZNYWeiFoFA1K1U4xKWqRX29MBvEyRHXORjo734Gnq_c/edit?usp=share_li"&amp;"nk"",""เชียงราย!I465"")
+IMPORTRANGE(""https://docs.google.com/spreadsheets/d/1Jgv0Y7YlHDtsiDawwp-uvifEJ8HVaSn0k2aGHG8-hwM/edit?usp=share_link"",""เชียงใหม่!I465"")+IMPORTRANGE(""https://docs.google.com/spreadsheets/d/1JWG2rZePOz9pe-f-ObA-yDr0VoOX2kSb0qIi"&amp;"x2mTUo8/edit?usp=share_link"",""ตาก!I465"")+IMPORTRANGE(""https://docs.google.com/spreadsheets/d/10nSRjK08hx8Y6HgSOQKNw81lyY46Zc7U_Cj72hBMp9U/edit?usp=share_link"",""นครสวรรค์!I465"")+IMPORTRANGE(""https://docs.google.com/spreadsheets/d/1gFVb7qd7amutrIxAA"&amp;"oM7lcy35hllxznovot8lyOfvDo/edit?usp=share_link"",""น่าน!I465"")+IMPORTRANGE(""https://docs.google.com/spreadsheets/d/1K0Aa9s-6EuHE5M0FG1F9aHLXRCOV917xvycTdLdct0w/edit?usp=share_link"",""พะเยา!I465"")+IMPORTRANGE(""https://docs.google.com/spreadsheets/d/1Y"&amp;"9LPKx95PyL5OKy09d-KbKJSuuEZCFdkhYjwC0XQjBA/edit?usp=share_link"",""พิจิตร!I465"")+IMPORTRANGE(""https://docs.google.com/spreadsheets/d/16OMuOwy2eVqZcYWOouQtTpa8X1L23h4660uVHc0C8os/edit?usp=share_link"",""พิษณุโลก!I465"")+IMPORTRANGE(""https://docs.google."&amp;"com/spreadsheets/d/1GfgTldLG6k77HXaMQzaafODklYuucJZQNs_GAPEfZyY/edit?usp=share_link"",""เพชรบูรณ์!I465"")+IMPORTRANGE(""https://docs.google.com/spreadsheets/d/1gvTMYAnm7v1yG1BKWFtr0DnaTsq59oW9dwWvFgq6hs0/edit?usp=share_link"",""แพร่!I465"")+IMPORTRANGE("""&amp;"https://docs.google.com/spreadsheets/d/1Wbcosgy-Xa1xXUArJSOenub6EfZHUSzc_bpJFWwQUf0/edit?usp=share_link"",""แม่ฮ่องสอน!I465"")+IMPORTRANGE(""https://docs.google.com/spreadsheets/d/1p7ERhsr0qZeSn-KSOdeHS9r0heI-lHtkcn2OH7hP0jQ/edit?usp=share_link"",""ลำปาง!"&amp;"I465"")+IMPORTRANGE(""https://docs.google.com/spreadsheets/d/1-uUXvimVhiU2U0bMN-xi2te0tS4X7DI2GLPnMjzl8cA/edit?usp=share_link"",""ลำพูน!I465"")+IMPORTRANGE(""https://docs.google.com/spreadsheets/d/17HrOaa5pBUI1onckFfumXB8xlg35qb2uBAFfF1D-Myo/edit?usp=shar"&amp;"e_link"",""สุโขทัย!I465"")+IMPORTRANGE(""https://docs.google.com/spreadsheets/d/1ubs5cl16eYL9gHbdHTJtmtYb9MGzHBs7CAphn8kNCgM/edit?usp=share_link"",""อุตรดิตถ์!I465"")+IMPORTRANGE(""https://docs.google.com/spreadsheets/d/1kII0BjS6CtVrBvI8IrytgPdxDrlyQDyigz"&amp;"MsohRtDMs/edit?usp=share_link"",""อุทัยธานี!I465"")
"),1327)</f>
        <v>1327</v>
      </c>
      <c r="J465" s="555">
        <f ca="1">J485+J489+J492</f>
        <v>1250</v>
      </c>
      <c r="K465" s="556">
        <f t="shared" ref="K465:K466" ca="1" si="239">IF(I465&gt;0,J465*100/I465,0)</f>
        <v>94.197437829691026</v>
      </c>
      <c r="L465" s="557"/>
      <c r="M465" s="557"/>
      <c r="N465" s="557"/>
      <c r="O465" s="557"/>
      <c r="P465" s="557"/>
      <c r="Q465" s="542"/>
      <c r="R465" s="542"/>
      <c r="S465" s="542"/>
      <c r="T465" s="542"/>
      <c r="U465" s="542"/>
      <c r="V465" s="542"/>
      <c r="W465" s="542"/>
      <c r="X465" s="542"/>
      <c r="Y465" s="542"/>
      <c r="Z465" s="542"/>
    </row>
    <row r="466" spans="1:26" ht="19.5">
      <c r="A466" s="558"/>
      <c r="B466" s="559"/>
      <c r="C466" s="560"/>
      <c r="D466" s="560"/>
      <c r="E466" s="560"/>
      <c r="F466" s="560"/>
      <c r="G466" s="561"/>
      <c r="H466" s="532" t="s">
        <v>46</v>
      </c>
      <c r="I466" s="533">
        <f ca="1">IFERROR(__xludf.DUMMYFUNCTION("IMPORTRANGE(""https://docs.google.com/spreadsheets/d/1KxicF4apzSqm0-jIpmueT4kyZtE-Cwn5zskl7GD4loQ/edit?usp=share_link"",""กำแพงเพชร!I466"")+IMPORTRANGE(""https://docs.google.com/spreadsheets/d/1ZNYWeiFoFA1K1U4xKWqRX29MBvEyRHXORjo734Gnq_c/edit?usp=share_li"&amp;"nk"",""เชียงราย!I466"")
+IMPORTRANGE(""https://docs.google.com/spreadsheets/d/1Jgv0Y7YlHDtsiDawwp-uvifEJ8HVaSn0k2aGHG8-hwM/edit?usp=share_link"",""เชียงใหม่!I466"")+IMPORTRANGE(""https://docs.google.com/spreadsheets/d/1JWG2rZePOz9pe-f-ObA-yDr0VoOX2kSb0qIi"&amp;"x2mTUo8/edit?usp=share_link"",""ตาก!I466"")+IMPORTRANGE(""https://docs.google.com/spreadsheets/d/10nSRjK08hx8Y6HgSOQKNw81lyY46Zc7U_Cj72hBMp9U/edit?usp=share_link"",""นครสวรรค์!I466"")+IMPORTRANGE(""https://docs.google.com/spreadsheets/d/1gFVb7qd7amutrIxAA"&amp;"oM7lcy35hllxznovot8lyOfvDo/edit?usp=share_link"",""น่าน!I466"")+IMPORTRANGE(""https://docs.google.com/spreadsheets/d/1K0Aa9s-6EuHE5M0FG1F9aHLXRCOV917xvycTdLdct0w/edit?usp=share_link"",""พะเยา!I466"")+IMPORTRANGE(""https://docs.google.com/spreadsheets/d/1Y"&amp;"9LPKx95PyL5OKy09d-KbKJSuuEZCFdkhYjwC0XQjBA/edit?usp=share_link"",""พิจิตร!I466"")+IMPORTRANGE(""https://docs.google.com/spreadsheets/d/16OMuOwy2eVqZcYWOouQtTpa8X1L23h4660uVHc0C8os/edit?usp=share_link"",""พิษณุโลก!I466"")+IMPORTRANGE(""https://docs.google."&amp;"com/spreadsheets/d/1GfgTldLG6k77HXaMQzaafODklYuucJZQNs_GAPEfZyY/edit?usp=share_link"",""เพชรบูรณ์!I466"")+IMPORTRANGE(""https://docs.google.com/spreadsheets/d/1gvTMYAnm7v1yG1BKWFtr0DnaTsq59oW9dwWvFgq6hs0/edit?usp=share_link"",""แพร่!I466"")+IMPORTRANGE("""&amp;"https://docs.google.com/spreadsheets/d/1Wbcosgy-Xa1xXUArJSOenub6EfZHUSzc_bpJFWwQUf0/edit?usp=share_link"",""แม่ฮ่องสอน!I466"")+IMPORTRANGE(""https://docs.google.com/spreadsheets/d/1p7ERhsr0qZeSn-KSOdeHS9r0heI-lHtkcn2OH7hP0jQ/edit?usp=share_link"",""ลำปาง!"&amp;"I466"")+IMPORTRANGE(""https://docs.google.com/spreadsheets/d/1-uUXvimVhiU2U0bMN-xi2te0tS4X7DI2GLPnMjzl8cA/edit?usp=share_link"",""ลำพูน!I466"")+IMPORTRANGE(""https://docs.google.com/spreadsheets/d/17HrOaa5pBUI1onckFfumXB8xlg35qb2uBAFfF1D-Myo/edit?usp=shar"&amp;"e_link"",""สุโขทัย!I466"")+IMPORTRANGE(""https://docs.google.com/spreadsheets/d/1ubs5cl16eYL9gHbdHTJtmtYb9MGzHBs7CAphn8kNCgM/edit?usp=share_link"",""อุตรดิตถ์!I466"")+IMPORTRANGE(""https://docs.google.com/spreadsheets/d/1kII0BjS6CtVrBvI8IrytgPdxDrlyQDyigz"&amp;"MsohRtDMs/edit?usp=share_link"",""อุทัยธานี!I466"")
"),13100)</f>
        <v>13100</v>
      </c>
      <c r="J466" s="533">
        <f ca="1">J495+J498</f>
        <v>50</v>
      </c>
      <c r="K466" s="534">
        <f t="shared" ca="1" si="239"/>
        <v>0.38167938931297712</v>
      </c>
      <c r="L466" s="535"/>
      <c r="M466" s="535"/>
      <c r="N466" s="535"/>
      <c r="O466" s="535"/>
      <c r="P466" s="535"/>
      <c r="Q466" s="542"/>
      <c r="R466" s="542"/>
      <c r="S466" s="542"/>
      <c r="T466" s="542"/>
      <c r="U466" s="542"/>
      <c r="V466" s="542"/>
      <c r="W466" s="542"/>
      <c r="X466" s="542"/>
      <c r="Y466" s="542"/>
      <c r="Z466" s="542"/>
    </row>
    <row r="467" spans="1:26" ht="19.5">
      <c r="A467" s="562"/>
      <c r="B467" s="540"/>
      <c r="C467" s="540" t="s">
        <v>16</v>
      </c>
      <c r="D467" s="1484" t="s">
        <v>17</v>
      </c>
      <c r="E467" s="1485"/>
      <c r="F467" s="1485"/>
      <c r="G467" s="189"/>
      <c r="H467" s="563" t="s">
        <v>12</v>
      </c>
      <c r="I467" s="37"/>
      <c r="J467" s="37"/>
      <c r="K467" s="38"/>
      <c r="L467" s="195">
        <f t="shared" ref="L467:N467" ca="1" si="240">L468+L469</f>
        <v>11550678</v>
      </c>
      <c r="M467" s="195">
        <f t="shared" si="240"/>
        <v>0</v>
      </c>
      <c r="N467" s="195">
        <f t="shared" ca="1" si="240"/>
        <v>1754331.69</v>
      </c>
      <c r="O467" s="195">
        <f t="shared" ref="O467:O472" ca="1" si="241">IF(L467&gt;0,N467*100/L467,0)</f>
        <v>15.188127398235844</v>
      </c>
      <c r="P467" s="195">
        <f t="shared" ref="P467:P472" si="242">IF(M467&gt;0,N467*100/M467,0)</f>
        <v>0</v>
      </c>
      <c r="Q467" s="542"/>
      <c r="R467" s="542"/>
      <c r="S467" s="542"/>
      <c r="T467" s="542"/>
      <c r="U467" s="542"/>
      <c r="V467" s="542"/>
      <c r="W467" s="542"/>
      <c r="X467" s="542"/>
      <c r="Y467" s="542"/>
      <c r="Z467" s="542"/>
    </row>
    <row r="468" spans="1:26" ht="18.75" hidden="1">
      <c r="A468" s="564"/>
      <c r="B468" s="565"/>
      <c r="C468" s="565"/>
      <c r="D468" s="566"/>
      <c r="E468" s="567" t="s">
        <v>184</v>
      </c>
      <c r="F468" s="565"/>
      <c r="G468" s="568"/>
      <c r="H468" s="165" t="s">
        <v>12</v>
      </c>
      <c r="I468" s="44"/>
      <c r="J468" s="44"/>
      <c r="K468" s="45"/>
      <c r="L468" s="45">
        <f t="shared" ref="L468:N468" si="243">L471+L478</f>
        <v>0</v>
      </c>
      <c r="M468" s="45">
        <f t="shared" si="243"/>
        <v>0</v>
      </c>
      <c r="N468" s="45">
        <f t="shared" si="243"/>
        <v>0</v>
      </c>
      <c r="O468" s="45">
        <f t="shared" si="241"/>
        <v>0</v>
      </c>
      <c r="P468" s="45">
        <f t="shared" si="242"/>
        <v>0</v>
      </c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</row>
    <row r="469" spans="1:26" ht="18.75" hidden="1">
      <c r="A469" s="564"/>
      <c r="B469" s="570"/>
      <c r="C469" s="565"/>
      <c r="D469" s="566"/>
      <c r="E469" s="567" t="s">
        <v>185</v>
      </c>
      <c r="F469" s="565"/>
      <c r="G469" s="568"/>
      <c r="H469" s="165" t="s">
        <v>12</v>
      </c>
      <c r="I469" s="44"/>
      <c r="J469" s="44"/>
      <c r="K469" s="45"/>
      <c r="L469" s="45">
        <f t="shared" ref="L469:N469" ca="1" si="244">L472+L479</f>
        <v>11550678</v>
      </c>
      <c r="M469" s="45">
        <f t="shared" si="244"/>
        <v>0</v>
      </c>
      <c r="N469" s="45">
        <f t="shared" ca="1" si="244"/>
        <v>1754331.69</v>
      </c>
      <c r="O469" s="45">
        <f t="shared" ca="1" si="241"/>
        <v>15.188127398235844</v>
      </c>
      <c r="P469" s="45">
        <f t="shared" si="242"/>
        <v>0</v>
      </c>
      <c r="Q469" s="569"/>
      <c r="R469" s="569"/>
      <c r="S469" s="569"/>
      <c r="T469" s="569"/>
      <c r="U469" s="569"/>
      <c r="V469" s="569"/>
      <c r="W469" s="569"/>
      <c r="X469" s="569"/>
      <c r="Y469" s="569"/>
      <c r="Z469" s="569"/>
    </row>
    <row r="470" spans="1:26" ht="18.75">
      <c r="A470" s="562"/>
      <c r="B470" s="539"/>
      <c r="C470" s="540"/>
      <c r="D470" s="571" t="s">
        <v>20</v>
      </c>
      <c r="E470" s="540"/>
      <c r="F470" s="540"/>
      <c r="G470" s="189"/>
      <c r="H470" s="161" t="s">
        <v>12</v>
      </c>
      <c r="I470" s="162"/>
      <c r="J470" s="162"/>
      <c r="K470" s="163"/>
      <c r="L470" s="38">
        <f t="shared" ref="L470:N470" ca="1" si="245">L471+L472</f>
        <v>11550678</v>
      </c>
      <c r="M470" s="38">
        <f t="shared" si="245"/>
        <v>0</v>
      </c>
      <c r="N470" s="38">
        <f t="shared" ca="1" si="245"/>
        <v>1754331.69</v>
      </c>
      <c r="O470" s="38">
        <f t="shared" ca="1" si="241"/>
        <v>15.188127398235844</v>
      </c>
      <c r="P470" s="38">
        <f t="shared" si="242"/>
        <v>0</v>
      </c>
      <c r="Q470" s="542"/>
      <c r="R470" s="542"/>
      <c r="S470" s="542"/>
      <c r="T470" s="542"/>
      <c r="U470" s="542"/>
      <c r="V470" s="542"/>
      <c r="W470" s="542"/>
      <c r="X470" s="542"/>
      <c r="Y470" s="542"/>
      <c r="Z470" s="542"/>
    </row>
    <row r="471" spans="1:26" ht="18.75" hidden="1">
      <c r="A471" s="564"/>
      <c r="B471" s="570"/>
      <c r="C471" s="565"/>
      <c r="D471" s="566"/>
      <c r="E471" s="567" t="s">
        <v>184</v>
      </c>
      <c r="F471" s="565"/>
      <c r="G471" s="568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41"/>
        <v>0</v>
      </c>
      <c r="P471" s="45">
        <f t="shared" si="242"/>
        <v>0</v>
      </c>
      <c r="Q471" s="569"/>
      <c r="R471" s="569"/>
      <c r="S471" s="569"/>
      <c r="T471" s="569"/>
      <c r="U471" s="569"/>
      <c r="V471" s="569"/>
      <c r="W471" s="569"/>
      <c r="X471" s="569"/>
      <c r="Y471" s="569"/>
      <c r="Z471" s="569"/>
    </row>
    <row r="472" spans="1:26" ht="18.75" hidden="1">
      <c r="A472" s="564"/>
      <c r="B472" s="570"/>
      <c r="C472" s="565"/>
      <c r="D472" s="566"/>
      <c r="E472" s="567" t="s">
        <v>185</v>
      </c>
      <c r="F472" s="565"/>
      <c r="G472" s="568"/>
      <c r="H472" s="165" t="s">
        <v>12</v>
      </c>
      <c r="I472" s="44"/>
      <c r="J472" s="44"/>
      <c r="K472" s="45"/>
      <c r="L472" s="45">
        <f ca="1">IFERROR(__xludf.DUMMYFUNCTION("IMPORTRANGE(""https://docs.google.com/spreadsheets/d/1KxicF4apzSqm0-jIpmueT4kyZtE-Cwn5zskl7GD4loQ/edit?usp=share_link"",""กำแพงเพชร!l472"")+IMPORTRANGE(""https://docs.google.com/spreadsheets/d/1ZNYWeiFoFA1K1U4xKWqRX29MBvEyRHXORjo734Gnq_c/edit?usp=share_li"&amp;"nk"",""เชียงราย!l472"")
+IMPORTRANGE(""https://docs.google.com/spreadsheets/d/1Jgv0Y7YlHDtsiDawwp-uvifEJ8HVaSn0k2aGHG8-hwM/edit?usp=share_link"",""เชียงใหม่!l472"")+IMPORTRANGE(""https://docs.google.com/spreadsheets/d/1JWG2rZePOz9pe-f-ObA-yDr0VoOX2kSb0qIi"&amp;"x2mTUo8/edit?usp=share_link"",""ตาก!l472"")+IMPORTRANGE(""https://docs.google.com/spreadsheets/d/10nSRjK08hx8Y6HgSOQKNw81lyY46Zc7U_Cj72hBMp9U/edit?usp=share_link"",""นครสวรรค์!l472"")+IMPORTRANGE(""https://docs.google.com/spreadsheets/d/1gFVb7qd7amutrIxAA"&amp;"oM7lcy35hllxznovot8lyOfvDo/edit?usp=share_link"",""น่าน!l472"")+IMPORTRANGE(""https://docs.google.com/spreadsheets/d/1K0Aa9s-6EuHE5M0FG1F9aHLXRCOV917xvycTdLdct0w/edit?usp=share_link"",""พะเยา!l472"")+IMPORTRANGE(""https://docs.google.com/spreadsheets/d/1Y"&amp;"9LPKx95PyL5OKy09d-KbKJSuuEZCFdkhYjwC0XQjBA/edit?usp=share_link"",""พิจิตร!l472"")+IMPORTRANGE(""https://docs.google.com/spreadsheets/d/16OMuOwy2eVqZcYWOouQtTpa8X1L23h4660uVHc0C8os/edit?usp=share_link"",""พิษณุโลก!l472"")+IMPORTRANGE(""https://docs.google."&amp;"com/spreadsheets/d/1GfgTldLG6k77HXaMQzaafODklYuucJZQNs_GAPEfZyY/edit?usp=share_link"",""เพชรบูรณ์!l472"")+IMPORTRANGE(""https://docs.google.com/spreadsheets/d/1gvTMYAnm7v1yG1BKWFtr0DnaTsq59oW9dwWvFgq6hs0/edit?usp=share_link"",""แพร่!l472"")+IMPORTRANGE("""&amp;"https://docs.google.com/spreadsheets/d/1Wbcosgy-Xa1xXUArJSOenub6EfZHUSzc_bpJFWwQUf0/edit?usp=share_link"",""แม่ฮ่องสอน!l472"")+IMPORTRANGE(""https://docs.google.com/spreadsheets/d/1p7ERhsr0qZeSn-KSOdeHS9r0heI-lHtkcn2OH7hP0jQ/edit?usp=share_link"",""ลำปาง!"&amp;"l472"")+IMPORTRANGE(""https://docs.google.com/spreadsheets/d/1-uUXvimVhiU2U0bMN-xi2te0tS4X7DI2GLPnMjzl8cA/edit?usp=share_link"",""ลำพูน!l472"")+IMPORTRANGE(""https://docs.google.com/spreadsheets/d/17HrOaa5pBUI1onckFfumXB8xlg35qb2uBAFfF1D-Myo/edit?usp=shar"&amp;"e_link"",""สุโขทัย!l472"")+IMPORTRANGE(""https://docs.google.com/spreadsheets/d/1ubs5cl16eYL9gHbdHTJtmtYb9MGzHBs7CAphn8kNCgM/edit?usp=share_link"",""อุตรดิตถ์!l472"")+IMPORTRANGE(""https://docs.google.com/spreadsheets/d/1kII0BjS6CtVrBvI8IrytgPdxDrlyQDyigz"&amp;"MsohRtDMs/edit?usp=share_link"",""อุทัยธานี!l472"")
"),11550678)</f>
        <v>11550678</v>
      </c>
      <c r="M472" s="93">
        <v>0</v>
      </c>
      <c r="N472" s="45">
        <f ca="1">N473+N474+N475+N476</f>
        <v>1754331.69</v>
      </c>
      <c r="O472" s="45">
        <f t="shared" ca="1" si="241"/>
        <v>15.188127398235844</v>
      </c>
      <c r="P472" s="45">
        <f t="shared" si="242"/>
        <v>0</v>
      </c>
      <c r="Q472" s="569"/>
      <c r="R472" s="569"/>
      <c r="S472" s="569"/>
      <c r="T472" s="569"/>
      <c r="U472" s="569"/>
      <c r="V472" s="569"/>
      <c r="W472" s="569"/>
      <c r="X472" s="569"/>
      <c r="Y472" s="569"/>
      <c r="Z472" s="569"/>
    </row>
    <row r="473" spans="1:26" ht="18.75">
      <c r="A473" s="538"/>
      <c r="B473" s="539"/>
      <c r="C473" s="540"/>
      <c r="D473" s="540"/>
      <c r="E473" s="540"/>
      <c r="F473" s="541" t="s">
        <v>186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KxicF4apzSqm0-jIpmueT4kyZtE-Cwn5zskl7GD4loQ/edit?usp=share_link"",""กำแพงเพชร!n473"")+IMPORTRANGE(""https://docs.google.com/spreadsheets/d/1ZNYWeiFoFA1K1U4xKWqRX29MBvEyRHXORjo734Gnq_c/edit?usp=share_li"&amp;"nk"",""เชียงราย!n473"")
+IMPORTRANGE(""https://docs.google.com/spreadsheets/d/1Jgv0Y7YlHDtsiDawwp-uvifEJ8HVaSn0k2aGHG8-hwM/edit?usp=share_link"",""เชียงใหม่!n473"")+IMPORTRANGE(""https://docs.google.com/spreadsheets/d/1JWG2rZePOz9pe-f-ObA-yDr0VoOX2kSb0qIi"&amp;"x2mTUo8/edit?usp=share_link"",""ตาก!n473"")+IMPORTRANGE(""https://docs.google.com/spreadsheets/d/10nSRjK08hx8Y6HgSOQKNw81lyY46Zc7U_Cj72hBMp9U/edit?usp=share_link"",""นครสวรรค์!n473"")+IMPORTRANGE(""https://docs.google.com/spreadsheets/d/1gFVb7qd7amutrIxAA"&amp;"oM7lcy35hllxznovot8lyOfvDo/edit?usp=share_link"",""น่าน!n473"")+IMPORTRANGE(""https://docs.google.com/spreadsheets/d/1K0Aa9s-6EuHE5M0FG1F9aHLXRCOV917xvycTdLdct0w/edit?usp=share_link"",""พะเยา!n473"")+IMPORTRANGE(""https://docs.google.com/spreadsheets/d/1Y"&amp;"9LPKx95PyL5OKy09d-KbKJSuuEZCFdkhYjwC0XQjBA/edit?usp=share_link"",""พิจิตร!n473"")+IMPORTRANGE(""https://docs.google.com/spreadsheets/d/16OMuOwy2eVqZcYWOouQtTpa8X1L23h4660uVHc0C8os/edit?usp=share_link"",""พิษณุโลก!n473"")+IMPORTRANGE(""https://docs.google."&amp;"com/spreadsheets/d/1GfgTldLG6k77HXaMQzaafODklYuucJZQNs_GAPEfZyY/edit?usp=share_link"",""เพชรบูรณ์!n473"")+IMPORTRANGE(""https://docs.google.com/spreadsheets/d/1gvTMYAnm7v1yG1BKWFtr0DnaTsq59oW9dwWvFgq6hs0/edit?usp=share_link"",""แพร่!n473"")+IMPORTRANGE("""&amp;"https://docs.google.com/spreadsheets/d/1Wbcosgy-Xa1xXUArJSOenub6EfZHUSzc_bpJFWwQUf0/edit?usp=share_link"",""แม่ฮ่องสอน!n473"")+IMPORTRANGE(""https://docs.google.com/spreadsheets/d/1p7ERhsr0qZeSn-KSOdeHS9r0heI-lHtkcn2OH7hP0jQ/edit?usp=share_link"",""ลำปาง!"&amp;"n473"")+IMPORTRANGE(""https://docs.google.com/spreadsheets/d/1-uUXvimVhiU2U0bMN-xi2te0tS4X7DI2GLPnMjzl8cA/edit?usp=share_link"",""ลำพูน!n473"")+IMPORTRANGE(""https://docs.google.com/spreadsheets/d/17HrOaa5pBUI1onckFfumXB8xlg35qb2uBAFfF1D-Myo/edit?usp=shar"&amp;"e_link"",""สุโขทัย!n473"")+IMPORTRANGE(""https://docs.google.com/spreadsheets/d/1ubs5cl16eYL9gHbdHTJtmtYb9MGzHBs7CAphn8kNCgM/edit?usp=share_link"",""อุตรดิตถ์!n473"")+IMPORTRANGE(""https://docs.google.com/spreadsheets/d/1kII0BjS6CtVrBvI8IrytgPdxDrlyQDyigz"&amp;"MsohRtDMs/edit?usp=share_link"",""อุทัยธานี!n473"")
"),1118052)</f>
        <v>1118052</v>
      </c>
      <c r="O473" s="38"/>
      <c r="P473" s="38"/>
      <c r="Q473" s="542"/>
      <c r="R473" s="542"/>
      <c r="S473" s="542"/>
      <c r="T473" s="542"/>
      <c r="U473" s="542"/>
      <c r="V473" s="542"/>
      <c r="W473" s="542"/>
      <c r="X473" s="542"/>
      <c r="Y473" s="542"/>
      <c r="Z473" s="542"/>
    </row>
    <row r="474" spans="1:26" ht="18.75">
      <c r="A474" s="538"/>
      <c r="B474" s="539"/>
      <c r="C474" s="540"/>
      <c r="D474" s="540"/>
      <c r="E474" s="540"/>
      <c r="F474" s="541" t="s">
        <v>187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KxicF4apzSqm0-jIpmueT4kyZtE-Cwn5zskl7GD4loQ/edit?usp=share_link"",""กำแพงเพชร!n474"")+IMPORTRANGE(""https://docs.google.com/spreadsheets/d/1ZNYWeiFoFA1K1U4xKWqRX29MBvEyRHXORjo734Gnq_c/edit?usp=share_li"&amp;"nk"",""เชียงราย!n474"")
+IMPORTRANGE(""https://docs.google.com/spreadsheets/d/1Jgv0Y7YlHDtsiDawwp-uvifEJ8HVaSn0k2aGHG8-hwM/edit?usp=share_link"",""เชียงใหม่!n474"")+IMPORTRANGE(""https://docs.google.com/spreadsheets/d/1JWG2rZePOz9pe-f-ObA-yDr0VoOX2kSb0qIi"&amp;"x2mTUo8/edit?usp=share_link"",""ตาก!n474"")+IMPORTRANGE(""https://docs.google.com/spreadsheets/d/10nSRjK08hx8Y6HgSOQKNw81lyY46Zc7U_Cj72hBMp9U/edit?usp=share_link"",""นครสวรรค์!n474"")+IMPORTRANGE(""https://docs.google.com/spreadsheets/d/1gFVb7qd7amutrIxAA"&amp;"oM7lcy35hllxznovot8lyOfvDo/edit?usp=share_link"",""น่าน!n474"")+IMPORTRANGE(""https://docs.google.com/spreadsheets/d/1K0Aa9s-6EuHE5M0FG1F9aHLXRCOV917xvycTdLdct0w/edit?usp=share_link"",""พะเยา!n474"")+IMPORTRANGE(""https://docs.google.com/spreadsheets/d/1Y"&amp;"9LPKx95PyL5OKy09d-KbKJSuuEZCFdkhYjwC0XQjBA/edit?usp=share_link"",""พิจิตร!n474"")+IMPORTRANGE(""https://docs.google.com/spreadsheets/d/16OMuOwy2eVqZcYWOouQtTpa8X1L23h4660uVHc0C8os/edit?usp=share_link"",""พิษณุโลก!n474"")+IMPORTRANGE(""https://docs.google."&amp;"com/spreadsheets/d/1GfgTldLG6k77HXaMQzaafODklYuucJZQNs_GAPEfZyY/edit?usp=share_link"",""เพชรบูรณ์!n474"")+IMPORTRANGE(""https://docs.google.com/spreadsheets/d/1gvTMYAnm7v1yG1BKWFtr0DnaTsq59oW9dwWvFgq6hs0/edit?usp=share_link"",""แพร่!n474"")+IMPORTRANGE("""&amp;"https://docs.google.com/spreadsheets/d/1Wbcosgy-Xa1xXUArJSOenub6EfZHUSzc_bpJFWwQUf0/edit?usp=share_link"",""แม่ฮ่องสอน!n474"")+IMPORTRANGE(""https://docs.google.com/spreadsheets/d/1p7ERhsr0qZeSn-KSOdeHS9r0heI-lHtkcn2OH7hP0jQ/edit?usp=share_link"",""ลำปาง!"&amp;"n474"")+IMPORTRANGE(""https://docs.google.com/spreadsheets/d/1-uUXvimVhiU2U0bMN-xi2te0tS4X7DI2GLPnMjzl8cA/edit?usp=share_link"",""ลำพูน!n474"")+IMPORTRANGE(""https://docs.google.com/spreadsheets/d/17HrOaa5pBUI1onckFfumXB8xlg35qb2uBAFfF1D-Myo/edit?usp=shar"&amp;"e_link"",""สุโขทัย!n474"")+IMPORTRANGE(""https://docs.google.com/spreadsheets/d/1ubs5cl16eYL9gHbdHTJtmtYb9MGzHBs7CAphn8kNCgM/edit?usp=share_link"",""อุตรดิตถ์!n474"")+IMPORTRANGE(""https://docs.google.com/spreadsheets/d/1kII0BjS6CtVrBvI8IrytgPdxDrlyQDyigz"&amp;"MsohRtDMs/edit?usp=share_link"",""อุทัยธานี!n474"")
"),43000)</f>
        <v>43000</v>
      </c>
      <c r="O474" s="38"/>
      <c r="P474" s="38"/>
      <c r="Q474" s="542"/>
      <c r="R474" s="542"/>
      <c r="S474" s="542"/>
      <c r="T474" s="542"/>
      <c r="U474" s="542"/>
      <c r="V474" s="542"/>
      <c r="W474" s="542"/>
      <c r="X474" s="542"/>
      <c r="Y474" s="542"/>
      <c r="Z474" s="542"/>
    </row>
    <row r="475" spans="1:26" ht="18.75">
      <c r="A475" s="538"/>
      <c r="B475" s="539"/>
      <c r="C475" s="539"/>
      <c r="D475" s="539"/>
      <c r="E475" s="539"/>
      <c r="F475" s="541" t="s">
        <v>188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KxicF4apzSqm0-jIpmueT4kyZtE-Cwn5zskl7GD4loQ/edit?usp=share_link"",""กำแพงเพชร!n475"")+IMPORTRANGE(""https://docs.google.com/spreadsheets/d/1ZNYWeiFoFA1K1U4xKWqRX29MBvEyRHXORjo734Gnq_c/edit?usp=share_li"&amp;"nk"",""เชียงราย!n475"")
+IMPORTRANGE(""https://docs.google.com/spreadsheets/d/1Jgv0Y7YlHDtsiDawwp-uvifEJ8HVaSn0k2aGHG8-hwM/edit?usp=share_link"",""เชียงใหม่!n475"")+IMPORTRANGE(""https://docs.google.com/spreadsheets/d/1JWG2rZePOz9pe-f-ObA-yDr0VoOX2kSb0qIi"&amp;"x2mTUo8/edit?usp=share_link"",""ตาก!n475"")+IMPORTRANGE(""https://docs.google.com/spreadsheets/d/10nSRjK08hx8Y6HgSOQKNw81lyY46Zc7U_Cj72hBMp9U/edit?usp=share_link"",""นครสวรรค์!n475"")+IMPORTRANGE(""https://docs.google.com/spreadsheets/d/1gFVb7qd7amutrIxAA"&amp;"oM7lcy35hllxznovot8lyOfvDo/edit?usp=share_link"",""น่าน!n475"")+IMPORTRANGE(""https://docs.google.com/spreadsheets/d/1K0Aa9s-6EuHE5M0FG1F9aHLXRCOV917xvycTdLdct0w/edit?usp=share_link"",""พะเยา!n475"")+IMPORTRANGE(""https://docs.google.com/spreadsheets/d/1Y"&amp;"9LPKx95PyL5OKy09d-KbKJSuuEZCFdkhYjwC0XQjBA/edit?usp=share_link"",""พิจิตร!n475"")+IMPORTRANGE(""https://docs.google.com/spreadsheets/d/16OMuOwy2eVqZcYWOouQtTpa8X1L23h4660uVHc0C8os/edit?usp=share_link"",""พิษณุโลก!n475"")+IMPORTRANGE(""https://docs.google."&amp;"com/spreadsheets/d/1GfgTldLG6k77HXaMQzaafODklYuucJZQNs_GAPEfZyY/edit?usp=share_link"",""เพชรบูรณ์!n475"")+IMPORTRANGE(""https://docs.google.com/spreadsheets/d/1gvTMYAnm7v1yG1BKWFtr0DnaTsq59oW9dwWvFgq6hs0/edit?usp=share_link"",""แพร่!n475"")+IMPORTRANGE("""&amp;"https://docs.google.com/spreadsheets/d/1Wbcosgy-Xa1xXUArJSOenub6EfZHUSzc_bpJFWwQUf0/edit?usp=share_link"",""แม่ฮ่องสอน!n475"")+IMPORTRANGE(""https://docs.google.com/spreadsheets/d/1p7ERhsr0qZeSn-KSOdeHS9r0heI-lHtkcn2OH7hP0jQ/edit?usp=share_link"",""ลำปาง!"&amp;"n475"")+IMPORTRANGE(""https://docs.google.com/spreadsheets/d/1-uUXvimVhiU2U0bMN-xi2te0tS4X7DI2GLPnMjzl8cA/edit?usp=share_link"",""ลำพูน!n475"")+IMPORTRANGE(""https://docs.google.com/spreadsheets/d/17HrOaa5pBUI1onckFfumXB8xlg35qb2uBAFfF1D-Myo/edit?usp=shar"&amp;"e_link"",""สุโขทัย!n475"")+IMPORTRANGE(""https://docs.google.com/spreadsheets/d/1ubs5cl16eYL9gHbdHTJtmtYb9MGzHBs7CAphn8kNCgM/edit?usp=share_link"",""อุตรดิตถ์!n475"")+IMPORTRANGE(""https://docs.google.com/spreadsheets/d/1kII0BjS6CtVrBvI8IrytgPdxDrlyQDyigz"&amp;"MsohRtDMs/edit?usp=share_link"",""อุทัยธานี!n475"")
"),303786.69)</f>
        <v>303786.69</v>
      </c>
      <c r="O475" s="38"/>
      <c r="P475" s="38"/>
      <c r="Q475" s="542"/>
      <c r="R475" s="542"/>
      <c r="S475" s="542"/>
      <c r="T475" s="542"/>
      <c r="U475" s="542"/>
      <c r="V475" s="542"/>
      <c r="W475" s="542"/>
      <c r="X475" s="542"/>
      <c r="Y475" s="542"/>
      <c r="Z475" s="542"/>
    </row>
    <row r="476" spans="1:26" ht="18.75">
      <c r="A476" s="538"/>
      <c r="B476" s="539"/>
      <c r="C476" s="539"/>
      <c r="D476" s="539"/>
      <c r="E476" s="539"/>
      <c r="F476" s="541" t="s">
        <v>189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KxicF4apzSqm0-jIpmueT4kyZtE-Cwn5zskl7GD4loQ/edit?usp=share_link"",""กำแพงเพชร!n476"")+IMPORTRANGE(""https://docs.google.com/spreadsheets/d/1ZNYWeiFoFA1K1U4xKWqRX29MBvEyRHXORjo734Gnq_c/edit?usp=share_li"&amp;"nk"",""เชียงราย!n476"")
+IMPORTRANGE(""https://docs.google.com/spreadsheets/d/1Jgv0Y7YlHDtsiDawwp-uvifEJ8HVaSn0k2aGHG8-hwM/edit?usp=share_link"",""เชียงใหม่!n476"")+IMPORTRANGE(""https://docs.google.com/spreadsheets/d/1JWG2rZePOz9pe-f-ObA-yDr0VoOX2kSb0qIi"&amp;"x2mTUo8/edit?usp=share_link"",""ตาก!n476"")+IMPORTRANGE(""https://docs.google.com/spreadsheets/d/10nSRjK08hx8Y6HgSOQKNw81lyY46Zc7U_Cj72hBMp9U/edit?usp=share_link"",""นครสวรรค์!n476"")+IMPORTRANGE(""https://docs.google.com/spreadsheets/d/1gFVb7qd7amutrIxAA"&amp;"oM7lcy35hllxznovot8lyOfvDo/edit?usp=share_link"",""น่าน!n476"")+IMPORTRANGE(""https://docs.google.com/spreadsheets/d/1K0Aa9s-6EuHE5M0FG1F9aHLXRCOV917xvycTdLdct0w/edit?usp=share_link"",""พะเยา!n476"")+IMPORTRANGE(""https://docs.google.com/spreadsheets/d/1Y"&amp;"9LPKx95PyL5OKy09d-KbKJSuuEZCFdkhYjwC0XQjBA/edit?usp=share_link"",""พิจิตร!n476"")+IMPORTRANGE(""https://docs.google.com/spreadsheets/d/16OMuOwy2eVqZcYWOouQtTpa8X1L23h4660uVHc0C8os/edit?usp=share_link"",""พิษณุโลก!n476"")+IMPORTRANGE(""https://docs.google."&amp;"com/spreadsheets/d/1GfgTldLG6k77HXaMQzaafODklYuucJZQNs_GAPEfZyY/edit?usp=share_link"",""เพชรบูรณ์!n476"")+IMPORTRANGE(""https://docs.google.com/spreadsheets/d/1gvTMYAnm7v1yG1BKWFtr0DnaTsq59oW9dwWvFgq6hs0/edit?usp=share_link"",""แพร่!n476"")+IMPORTRANGE("""&amp;"https://docs.google.com/spreadsheets/d/1Wbcosgy-Xa1xXUArJSOenub6EfZHUSzc_bpJFWwQUf0/edit?usp=share_link"",""แม่ฮ่องสอน!n476"")+IMPORTRANGE(""https://docs.google.com/spreadsheets/d/1p7ERhsr0qZeSn-KSOdeHS9r0heI-lHtkcn2OH7hP0jQ/edit?usp=share_link"",""ลำปาง!"&amp;"n476"")+IMPORTRANGE(""https://docs.google.com/spreadsheets/d/1-uUXvimVhiU2U0bMN-xi2te0tS4X7DI2GLPnMjzl8cA/edit?usp=share_link"",""ลำพูน!n476"")+IMPORTRANGE(""https://docs.google.com/spreadsheets/d/17HrOaa5pBUI1onckFfumXB8xlg35qb2uBAFfF1D-Myo/edit?usp=shar"&amp;"e_link"",""สุโขทัย!n476"")+IMPORTRANGE(""https://docs.google.com/spreadsheets/d/1ubs5cl16eYL9gHbdHTJtmtYb9MGzHBs7CAphn8kNCgM/edit?usp=share_link"",""อุตรดิตถ์!n476"")+IMPORTRANGE(""https://docs.google.com/spreadsheets/d/1kII0BjS6CtVrBvI8IrytgPdxDrlyQDyigz"&amp;"MsohRtDMs/edit?usp=share_link"",""อุทัยธานี!n476"")
"),289493)</f>
        <v>289493</v>
      </c>
      <c r="O476" s="38"/>
      <c r="P476" s="38"/>
      <c r="Q476" s="542"/>
      <c r="R476" s="542"/>
      <c r="S476" s="542"/>
      <c r="T476" s="542"/>
      <c r="U476" s="542"/>
      <c r="V476" s="542"/>
      <c r="W476" s="542"/>
      <c r="X476" s="542"/>
      <c r="Y476" s="542"/>
      <c r="Z476" s="542"/>
    </row>
    <row r="477" spans="1:26" ht="18.75">
      <c r="A477" s="562"/>
      <c r="B477" s="539"/>
      <c r="C477" s="539"/>
      <c r="D477" s="571" t="s">
        <v>21</v>
      </c>
      <c r="E477" s="539"/>
      <c r="F477" s="539"/>
      <c r="G477" s="189"/>
      <c r="H477" s="168" t="s">
        <v>12</v>
      </c>
      <c r="I477" s="162"/>
      <c r="J477" s="162"/>
      <c r="K477" s="163"/>
      <c r="L477" s="38">
        <f t="shared" ref="L477:N477" ca="1" si="246">L478+L479</f>
        <v>0</v>
      </c>
      <c r="M477" s="38">
        <f t="shared" si="246"/>
        <v>0</v>
      </c>
      <c r="N477" s="38">
        <f t="shared" si="246"/>
        <v>0</v>
      </c>
      <c r="O477" s="38">
        <f t="shared" ref="O477:O479" ca="1" si="247">IF(L477&gt;0,N477*100/L477,0)</f>
        <v>0</v>
      </c>
      <c r="P477" s="38">
        <f t="shared" ref="P477:P479" si="248">IF(M477&gt;0,N477*100/M477,0)</f>
        <v>0</v>
      </c>
      <c r="Q477" s="542"/>
      <c r="R477" s="542"/>
      <c r="S477" s="542"/>
      <c r="T477" s="542"/>
      <c r="U477" s="542"/>
      <c r="V477" s="542"/>
      <c r="W477" s="542"/>
      <c r="X477" s="542"/>
      <c r="Y477" s="542"/>
      <c r="Z477" s="542"/>
    </row>
    <row r="478" spans="1:26" ht="18.75" hidden="1">
      <c r="A478" s="564"/>
      <c r="B478" s="570"/>
      <c r="C478" s="570"/>
      <c r="D478" s="570"/>
      <c r="E478" s="572" t="s">
        <v>18</v>
      </c>
      <c r="F478" s="570"/>
      <c r="G478" s="56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7"/>
        <v>0</v>
      </c>
      <c r="P478" s="45">
        <f t="shared" si="248"/>
        <v>0</v>
      </c>
      <c r="Q478" s="569"/>
      <c r="R478" s="569"/>
      <c r="S478" s="569"/>
      <c r="T478" s="569"/>
      <c r="U478" s="569"/>
      <c r="V478" s="569"/>
      <c r="W478" s="569"/>
      <c r="X478" s="569"/>
      <c r="Y478" s="569"/>
      <c r="Z478" s="569"/>
    </row>
    <row r="479" spans="1:26" ht="18.75" hidden="1">
      <c r="A479" s="564"/>
      <c r="B479" s="570"/>
      <c r="C479" s="570"/>
      <c r="D479" s="570"/>
      <c r="E479" s="572" t="s">
        <v>19</v>
      </c>
      <c r="F479" s="570"/>
      <c r="G479" s="568"/>
      <c r="H479" s="169" t="s">
        <v>12</v>
      </c>
      <c r="I479" s="166"/>
      <c r="J479" s="166"/>
      <c r="K479" s="167"/>
      <c r="L479" s="45">
        <f ca="1">IFERROR(__xludf.DUMMYFUNCTION("IMPORTRANGE(""https://docs.google.com/spreadsheets/d/1KxicF4apzSqm0-jIpmueT4kyZtE-Cwn5zskl7GD4loQ/edit?usp=share_link"",""กำแพงเพชร!l479"")+IMPORTRANGE(""https://docs.google.com/spreadsheets/d/1ZNYWeiFoFA1K1U4xKWqRX29MBvEyRHXORjo734Gnq_c/edit?usp=share_li"&amp;"nk"",""เชียงราย!l479"")
+IMPORTRANGE(""https://docs.google.com/spreadsheets/d/1Jgv0Y7YlHDtsiDawwp-uvifEJ8HVaSn0k2aGHG8-hwM/edit?usp=share_link"",""เชียงใหม่!l479"")+IMPORTRANGE(""https://docs.google.com/spreadsheets/d/1JWG2rZePOz9pe-f-ObA-yDr0VoOX2kSb0qIi"&amp;"x2mTUo8/edit?usp=share_link"",""ตาก!l479"")+IMPORTRANGE(""https://docs.google.com/spreadsheets/d/10nSRjK08hx8Y6HgSOQKNw81lyY46Zc7U_Cj72hBMp9U/edit?usp=share_link"",""นครสวรรค์!l479"")+IMPORTRANGE(""https://docs.google.com/spreadsheets/d/1gFVb7qd7amutrIxAA"&amp;"oM7lcy35hllxznovot8lyOfvDo/edit?usp=share_link"",""น่าน!l479"")+IMPORTRANGE(""https://docs.google.com/spreadsheets/d/1K0Aa9s-6EuHE5M0FG1F9aHLXRCOV917xvycTdLdct0w/edit?usp=share_link"",""พะเยา!l479"")+IMPORTRANGE(""https://docs.google.com/spreadsheets/d/1Y"&amp;"9LPKx95PyL5OKy09d-KbKJSuuEZCFdkhYjwC0XQjBA/edit?usp=share_link"",""พิจิตร!l479"")+IMPORTRANGE(""https://docs.google.com/spreadsheets/d/16OMuOwy2eVqZcYWOouQtTpa8X1L23h4660uVHc0C8os/edit?usp=share_link"",""พิษณุโลก!l479"")+IMPORTRANGE(""https://docs.google."&amp;"com/spreadsheets/d/1GfgTldLG6k77HXaMQzaafODklYuucJZQNs_GAPEfZyY/edit?usp=share_link"",""เพชรบูรณ์!l479"")+IMPORTRANGE(""https://docs.google.com/spreadsheets/d/1gvTMYAnm7v1yG1BKWFtr0DnaTsq59oW9dwWvFgq6hs0/edit?usp=share_link"",""แพร่!l479"")+IMPORTRANGE("""&amp;"https://docs.google.com/spreadsheets/d/1Wbcosgy-Xa1xXUArJSOenub6EfZHUSzc_bpJFWwQUf0/edit?usp=share_link"",""แม่ฮ่องสอน!l479"")+IMPORTRANGE(""https://docs.google.com/spreadsheets/d/1p7ERhsr0qZeSn-KSOdeHS9r0heI-lHtkcn2OH7hP0jQ/edit?usp=share_link"",""ลำปาง!"&amp;"l479"")+IMPORTRANGE(""https://docs.google.com/spreadsheets/d/1-uUXvimVhiU2U0bMN-xi2te0tS4X7DI2GLPnMjzl8cA/edit?usp=share_link"",""ลำพูน!l479"")+IMPORTRANGE(""https://docs.google.com/spreadsheets/d/17HrOaa5pBUI1onckFfumXB8xlg35qb2uBAFfF1D-Myo/edit?usp=shar"&amp;"e_link"",""สุโขทัย!l479"")+IMPORTRANGE(""https://docs.google.com/spreadsheets/d/1ubs5cl16eYL9gHbdHTJtmtYb9MGzHBs7CAphn8kNCgM/edit?usp=share_link"",""อุตรดิตถ์!l479"")+IMPORTRANGE(""https://docs.google.com/spreadsheets/d/1kII0BjS6CtVrBvI8IrytgPdxDrlyQDyigz"&amp;"MsohRtDMs/edit?usp=share_link"",""อุทัยธานี!l479"")
"),0)</f>
        <v>0</v>
      </c>
      <c r="M479" s="93">
        <v>0</v>
      </c>
      <c r="N479" s="93">
        <v>0</v>
      </c>
      <c r="O479" s="45">
        <f t="shared" ca="1" si="247"/>
        <v>0</v>
      </c>
      <c r="P479" s="45">
        <f t="shared" si="248"/>
        <v>0</v>
      </c>
      <c r="Q479" s="569"/>
      <c r="R479" s="569"/>
      <c r="S479" s="569"/>
      <c r="T479" s="569"/>
      <c r="U479" s="569"/>
      <c r="V479" s="569"/>
      <c r="W479" s="569"/>
      <c r="X479" s="569"/>
      <c r="Y479" s="569"/>
      <c r="Z479" s="569"/>
    </row>
    <row r="480" spans="1:26" ht="19.5">
      <c r="A480" s="573"/>
      <c r="B480" s="574"/>
      <c r="C480" s="539" t="s">
        <v>16</v>
      </c>
      <c r="D480" s="588" t="s">
        <v>38</v>
      </c>
      <c r="E480" s="576"/>
      <c r="F480" s="577"/>
      <c r="G480" s="578"/>
      <c r="H480" s="175"/>
      <c r="I480" s="37"/>
      <c r="J480" s="37"/>
      <c r="K480" s="38"/>
      <c r="L480" s="38"/>
      <c r="M480" s="38"/>
      <c r="N480" s="38"/>
      <c r="O480" s="38"/>
      <c r="P480" s="38"/>
      <c r="Q480" s="542"/>
      <c r="R480" s="542"/>
      <c r="S480" s="542"/>
      <c r="T480" s="542"/>
      <c r="U480" s="542"/>
      <c r="V480" s="542"/>
      <c r="W480" s="542"/>
      <c r="X480" s="542"/>
      <c r="Y480" s="542"/>
      <c r="Z480" s="542"/>
    </row>
    <row r="481" spans="1:26" ht="19.5">
      <c r="A481" s="573"/>
      <c r="B481" s="574"/>
      <c r="C481" s="574"/>
      <c r="D481" s="589" t="s">
        <v>206</v>
      </c>
      <c r="E481" s="574"/>
      <c r="F481" s="574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42"/>
      <c r="R481" s="542"/>
      <c r="S481" s="542"/>
      <c r="T481" s="542"/>
      <c r="U481" s="542"/>
      <c r="V481" s="542"/>
      <c r="W481" s="542"/>
      <c r="X481" s="542"/>
      <c r="Y481" s="542"/>
      <c r="Z481" s="542"/>
    </row>
    <row r="482" spans="1:26" ht="18.75">
      <c r="A482" s="573"/>
      <c r="B482" s="574"/>
      <c r="C482" s="574"/>
      <c r="D482" s="574"/>
      <c r="E482" s="585" t="s">
        <v>207</v>
      </c>
      <c r="F482" s="574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42"/>
      <c r="R482" s="542"/>
      <c r="S482" s="542"/>
      <c r="T482" s="542"/>
      <c r="U482" s="542"/>
      <c r="V482" s="542"/>
      <c r="W482" s="542"/>
      <c r="X482" s="542"/>
      <c r="Y482" s="542"/>
      <c r="Z482" s="542"/>
    </row>
    <row r="483" spans="1:26" ht="18.75">
      <c r="A483" s="573"/>
      <c r="B483" s="574"/>
      <c r="C483" s="574"/>
      <c r="D483" s="574"/>
      <c r="E483" s="574"/>
      <c r="F483" s="585" t="s">
        <v>208</v>
      </c>
      <c r="G483" s="175"/>
      <c r="H483" s="36" t="s">
        <v>46</v>
      </c>
      <c r="I483" s="37">
        <f ca="1">IFERROR(__xludf.DUMMYFUNCTION("IMPORTRANGE(""https://docs.google.com/spreadsheets/d/1KxicF4apzSqm0-jIpmueT4kyZtE-Cwn5zskl7GD4loQ/edit?usp=share_link"",""กำแพงเพชร!I483"")+IMPORTRANGE(""https://docs.google.com/spreadsheets/d/1ZNYWeiFoFA1K1U4xKWqRX29MBvEyRHXORjo734Gnq_c/edit?usp=share_li"&amp;"nk"",""เชียงราย!I483"")
+IMPORTRANGE(""https://docs.google.com/spreadsheets/d/1Jgv0Y7YlHDtsiDawwp-uvifEJ8HVaSn0k2aGHG8-hwM/edit?usp=share_link"",""เชียงใหม่!I483"")+IMPORTRANGE(""https://docs.google.com/spreadsheets/d/1JWG2rZePOz9pe-f-ObA-yDr0VoOX2kSb0qIi"&amp;"x2mTUo8/edit?usp=share_link"",""ตาก!I483"")+IMPORTRANGE(""https://docs.google.com/spreadsheets/d/10nSRjK08hx8Y6HgSOQKNw81lyY46Zc7U_Cj72hBMp9U/edit?usp=share_link"",""นครสวรรค์!I483"")+IMPORTRANGE(""https://docs.google.com/spreadsheets/d/1gFVb7qd7amutrIxAA"&amp;"oM7lcy35hllxznovot8lyOfvDo/edit?usp=share_link"",""น่าน!I483"")+IMPORTRANGE(""https://docs.google.com/spreadsheets/d/1K0Aa9s-6EuHE5M0FG1F9aHLXRCOV917xvycTdLdct0w/edit?usp=share_link"",""พะเยา!I483"")+IMPORTRANGE(""https://docs.google.com/spreadsheets/d/1Y"&amp;"9LPKx95PyL5OKy09d-KbKJSuuEZCFdkhYjwC0XQjBA/edit?usp=share_link"",""พิจิตร!I483"")+IMPORTRANGE(""https://docs.google.com/spreadsheets/d/16OMuOwy2eVqZcYWOouQtTpa8X1L23h4660uVHc0C8os/edit?usp=share_link"",""พิษณุโลก!I483"")+IMPORTRANGE(""https://docs.google."&amp;"com/spreadsheets/d/1GfgTldLG6k77HXaMQzaafODklYuucJZQNs_GAPEfZyY/edit?usp=share_link"",""เพชรบูรณ์!I483"")+IMPORTRANGE(""https://docs.google.com/spreadsheets/d/1gvTMYAnm7v1yG1BKWFtr0DnaTsq59oW9dwWvFgq6hs0/edit?usp=share_link"",""แพร่!I483"")+IMPORTRANGE("""&amp;"https://docs.google.com/spreadsheets/d/1Wbcosgy-Xa1xXUArJSOenub6EfZHUSzc_bpJFWwQUf0/edit?usp=share_link"",""แม่ฮ่องสอน!I483"")+IMPORTRANGE(""https://docs.google.com/spreadsheets/d/1p7ERhsr0qZeSn-KSOdeHS9r0heI-lHtkcn2OH7hP0jQ/edit?usp=share_link"",""ลำปาง!"&amp;"I483"")+IMPORTRANGE(""https://docs.google.com/spreadsheets/d/1-uUXvimVhiU2U0bMN-xi2te0tS4X7DI2GLPnMjzl8cA/edit?usp=share_link"",""ลำพูน!I483"")+IMPORTRANGE(""https://docs.google.com/spreadsheets/d/17HrOaa5pBUI1onckFfumXB8xlg35qb2uBAFfF1D-Myo/edit?usp=shar"&amp;"e_link"",""สุโขทัย!I483"")+IMPORTRANGE(""https://docs.google.com/spreadsheets/d/1ubs5cl16eYL9gHbdHTJtmtYb9MGzHBs7CAphn8kNCgM/edit?usp=share_link"",""อุตรดิตถ์!I483"")+IMPORTRANGE(""https://docs.google.com/spreadsheets/d/1kII0BjS6CtVrBvI8IrytgPdxDrlyQDyigz"&amp;"MsohRtDMs/edit?usp=share_link"",""อุทัยธานี!I483"")
"),11790)</f>
        <v>11790</v>
      </c>
      <c r="J483" s="183">
        <f ca="1">IFERROR(__xludf.DUMMYFUNCTION("IMPORTRANGE(""https://docs.google.com/spreadsheets/d/1KxicF4apzSqm0-jIpmueT4kyZtE-Cwn5zskl7GD4loQ/edit?usp=share_link"",""กำแพงเพชร!J483"")+IMPORTRANGE(""https://docs.google.com/spreadsheets/d/1ZNYWeiFoFA1K1U4xKWqRX29MBvEyRHXORjo734Gnq_c/edit?usp=share_li"&amp;"nk"",""เชียงราย!J483"")
+IMPORTRANGE(""https://docs.google.com/spreadsheets/d/1Jgv0Y7YlHDtsiDawwp-uvifEJ8HVaSn0k2aGHG8-hwM/edit?usp=share_link"",""เชียงใหม่!J483"")+IMPORTRANGE(""https://docs.google.com/spreadsheets/d/1JWG2rZePOz9pe-f-ObA-yDr0VoOX2kSb0qIi"&amp;"x2mTUo8/edit?usp=share_link"",""ตาก!J483"")+IMPORTRANGE(""https://docs.google.com/spreadsheets/d/10nSRjK08hx8Y6HgSOQKNw81lyY46Zc7U_Cj72hBMp9U/edit?usp=share_link"",""นครสวรรค์!J483"")+IMPORTRANGE(""https://docs.google.com/spreadsheets/d/1gFVb7qd7amutrIxAA"&amp;"oM7lcy35hllxznovot8lyOfvDo/edit?usp=share_link"",""น่าน!J483"")+IMPORTRANGE(""https://docs.google.com/spreadsheets/d/1K0Aa9s-6EuHE5M0FG1F9aHLXRCOV917xvycTdLdct0w/edit?usp=share_link"",""พะเยา!J483"")+IMPORTRANGE(""https://docs.google.com/spreadsheets/d/1Y"&amp;"9LPKx95PyL5OKy09d-KbKJSuuEZCFdkhYjwC0XQjBA/edit?usp=share_link"",""พิจิตร!J483"")+IMPORTRANGE(""https://docs.google.com/spreadsheets/d/16OMuOwy2eVqZcYWOouQtTpa8X1L23h4660uVHc0C8os/edit?usp=share_link"",""พิษณุโลก!J483"")+IMPORTRANGE(""https://docs.google."&amp;"com/spreadsheets/d/1GfgTldLG6k77HXaMQzaafODklYuucJZQNs_GAPEfZyY/edit?usp=share_link"",""เพชรบูรณ์!J483"")+IMPORTRANGE(""https://docs.google.com/spreadsheets/d/1gvTMYAnm7v1yG1BKWFtr0DnaTsq59oW9dwWvFgq6hs0/edit?usp=share_link"",""แพร่!J483"")+IMPORTRANGE("""&amp;"https://docs.google.com/spreadsheets/d/1Wbcosgy-Xa1xXUArJSOenub6EfZHUSzc_bpJFWwQUf0/edit?usp=share_link"",""แม่ฮ่องสอน!J483"")+IMPORTRANGE(""https://docs.google.com/spreadsheets/d/1p7ERhsr0qZeSn-KSOdeHS9r0heI-lHtkcn2OH7hP0jQ/edit?usp=share_link"",""ลำปาง!"&amp;"J483"")+IMPORTRANGE(""https://docs.google.com/spreadsheets/d/1-uUXvimVhiU2U0bMN-xi2te0tS4X7DI2GLPnMjzl8cA/edit?usp=share_link"",""ลำพูน!J483"")+IMPORTRANGE(""https://docs.google.com/spreadsheets/d/17HrOaa5pBUI1onckFfumXB8xlg35qb2uBAFfF1D-Myo/edit?usp=shar"&amp;"e_link"",""สุโขทัย!J483"")+IMPORTRANGE(""https://docs.google.com/spreadsheets/d/1ubs5cl16eYL9gHbdHTJtmtYb9MGzHBs7CAphn8kNCgM/edit?usp=share_link"",""อุตรดิตถ์!J483"")+IMPORTRANGE(""https://docs.google.com/spreadsheets/d/1kII0BjS6CtVrBvI8IrytgPdxDrlyQDyigz"&amp;"MsohRtDMs/edit?usp=share_link"",""อุทัยธานี!J483"")
"),9457)</f>
        <v>9457</v>
      </c>
      <c r="K483" s="38">
        <f ca="1">IF(I483&gt;0,J483*100/I483,0)</f>
        <v>80.212044105173874</v>
      </c>
      <c r="L483" s="38"/>
      <c r="M483" s="38"/>
      <c r="N483" s="38"/>
      <c r="O483" s="38"/>
      <c r="P483" s="38"/>
      <c r="Q483" s="542"/>
      <c r="R483" s="542"/>
      <c r="S483" s="542"/>
      <c r="T483" s="542"/>
      <c r="U483" s="542"/>
      <c r="V483" s="542"/>
      <c r="W483" s="542"/>
      <c r="X483" s="542"/>
      <c r="Y483" s="542"/>
      <c r="Z483" s="542"/>
    </row>
    <row r="484" spans="1:26" ht="18.75">
      <c r="A484" s="573"/>
      <c r="B484" s="574"/>
      <c r="C484" s="574"/>
      <c r="D484" s="574"/>
      <c r="E484" s="574"/>
      <c r="F484" s="585" t="s">
        <v>209</v>
      </c>
      <c r="G484" s="175"/>
      <c r="H484" s="36" t="s">
        <v>35</v>
      </c>
      <c r="I484" s="37"/>
      <c r="J484" s="183">
        <f ca="1">IFERROR(__xludf.DUMMYFUNCTION("IMPORTRANGE(""https://docs.google.com/spreadsheets/d/1KxicF4apzSqm0-jIpmueT4kyZtE-Cwn5zskl7GD4loQ/edit?usp=share_link"",""กำแพงเพชร!J484"")+IMPORTRANGE(""https://docs.google.com/spreadsheets/d/1ZNYWeiFoFA1K1U4xKWqRX29MBvEyRHXORjo734Gnq_c/edit?usp=share_li"&amp;"nk"",""เชียงราย!J484"")
+IMPORTRANGE(""https://docs.google.com/spreadsheets/d/1Jgv0Y7YlHDtsiDawwp-uvifEJ8HVaSn0k2aGHG8-hwM/edit?usp=share_link"",""เชียงใหม่!J484"")+IMPORTRANGE(""https://docs.google.com/spreadsheets/d/1JWG2rZePOz9pe-f-ObA-yDr0VoOX2kSb0qIi"&amp;"x2mTUo8/edit?usp=share_link"",""ตาก!J484"")+IMPORTRANGE(""https://docs.google.com/spreadsheets/d/10nSRjK08hx8Y6HgSOQKNw81lyY46Zc7U_Cj72hBMp9U/edit?usp=share_link"",""นครสวรรค์!J484"")+IMPORTRANGE(""https://docs.google.com/spreadsheets/d/1gFVb7qd7amutrIxAA"&amp;"oM7lcy35hllxznovot8lyOfvDo/edit?usp=share_link"",""น่าน!J484"")+IMPORTRANGE(""https://docs.google.com/spreadsheets/d/1K0Aa9s-6EuHE5M0FG1F9aHLXRCOV917xvycTdLdct0w/edit?usp=share_link"",""พะเยา!J484"")+IMPORTRANGE(""https://docs.google.com/spreadsheets/d/1Y"&amp;"9LPKx95PyL5OKy09d-KbKJSuuEZCFdkhYjwC0XQjBA/edit?usp=share_link"",""พิจิตร!J484"")+IMPORTRANGE(""https://docs.google.com/spreadsheets/d/16OMuOwy2eVqZcYWOouQtTpa8X1L23h4660uVHc0C8os/edit?usp=share_link"",""พิษณุโลก!J484"")+IMPORTRANGE(""https://docs.google."&amp;"com/spreadsheets/d/1GfgTldLG6k77HXaMQzaafODklYuucJZQNs_GAPEfZyY/edit?usp=share_link"",""เพชรบูรณ์!J484"")+IMPORTRANGE(""https://docs.google.com/spreadsheets/d/1gvTMYAnm7v1yG1BKWFtr0DnaTsq59oW9dwWvFgq6hs0/edit?usp=share_link"",""แพร่!J484"")+IMPORTRANGE("""&amp;"https://docs.google.com/spreadsheets/d/1Wbcosgy-Xa1xXUArJSOenub6EfZHUSzc_bpJFWwQUf0/edit?usp=share_link"",""แม่ฮ่องสอน!J484"")+IMPORTRANGE(""https://docs.google.com/spreadsheets/d/1p7ERhsr0qZeSn-KSOdeHS9r0heI-lHtkcn2OH7hP0jQ/edit?usp=share_link"",""ลำปาง!"&amp;"J484"")+IMPORTRANGE(""https://docs.google.com/spreadsheets/d/1-uUXvimVhiU2U0bMN-xi2te0tS4X7DI2GLPnMjzl8cA/edit?usp=share_link"",""ลำพูน!J484"")+IMPORTRANGE(""https://docs.google.com/spreadsheets/d/17HrOaa5pBUI1onckFfumXB8xlg35qb2uBAFfF1D-Myo/edit?usp=shar"&amp;"e_link"",""สุโขทัย!J484"")+IMPORTRANGE(""https://docs.google.com/spreadsheets/d/1ubs5cl16eYL9gHbdHTJtmtYb9MGzHBs7CAphn8kNCgM/edit?usp=share_link"",""อุตรดิตถ์!J484"")+IMPORTRANGE(""https://docs.google.com/spreadsheets/d/1kII0BjS6CtVrBvI8IrytgPdxDrlyQDyigz"&amp;"MsohRtDMs/edit?usp=share_link"",""อุทัยธานี!J484"")
"),712)</f>
        <v>712</v>
      </c>
      <c r="K484" s="38"/>
      <c r="L484" s="38"/>
      <c r="M484" s="38"/>
      <c r="N484" s="38"/>
      <c r="O484" s="38"/>
      <c r="P484" s="38"/>
      <c r="Q484" s="542"/>
      <c r="R484" s="542"/>
      <c r="S484" s="542"/>
      <c r="T484" s="542"/>
      <c r="U484" s="542"/>
      <c r="V484" s="542"/>
      <c r="W484" s="542"/>
      <c r="X484" s="542"/>
      <c r="Y484" s="542"/>
      <c r="Z484" s="542"/>
    </row>
    <row r="485" spans="1:26" ht="18.75">
      <c r="A485" s="573"/>
      <c r="B485" s="574"/>
      <c r="C485" s="574"/>
      <c r="D485" s="574"/>
      <c r="E485" s="574"/>
      <c r="F485" s="585" t="s">
        <v>210</v>
      </c>
      <c r="G485" s="175"/>
      <c r="H485" s="36" t="s">
        <v>35</v>
      </c>
      <c r="I485" s="37">
        <f ca="1">IFERROR(__xludf.DUMMYFUNCTION("IMPORTRANGE(""https://docs.google.com/spreadsheets/d/1KxicF4apzSqm0-jIpmueT4kyZtE-Cwn5zskl7GD4loQ/edit?usp=share_link"",""กำแพงเพชร!I485"")+IMPORTRANGE(""https://docs.google.com/spreadsheets/d/1ZNYWeiFoFA1K1U4xKWqRX29MBvEyRHXORjo734Gnq_c/edit?usp=share_li"&amp;"nk"",""เชียงราย!I485"")
+IMPORTRANGE(""https://docs.google.com/spreadsheets/d/1Jgv0Y7YlHDtsiDawwp-uvifEJ8HVaSn0k2aGHG8-hwM/edit?usp=share_link"",""เชียงใหม่!I485"")+IMPORTRANGE(""https://docs.google.com/spreadsheets/d/1JWG2rZePOz9pe-f-ObA-yDr0VoOX2kSb0qIi"&amp;"x2mTUo8/edit?usp=share_link"",""ตาก!I485"")+IMPORTRANGE(""https://docs.google.com/spreadsheets/d/10nSRjK08hx8Y6HgSOQKNw81lyY46Zc7U_Cj72hBMp9U/edit?usp=share_link"",""นครสวรรค์!I485"")+IMPORTRANGE(""https://docs.google.com/spreadsheets/d/1gFVb7qd7amutrIxAA"&amp;"oM7lcy35hllxznovot8lyOfvDo/edit?usp=share_link"",""น่าน!I485"")+IMPORTRANGE(""https://docs.google.com/spreadsheets/d/1K0Aa9s-6EuHE5M0FG1F9aHLXRCOV917xvycTdLdct0w/edit?usp=share_link"",""พะเยา!I485"")+IMPORTRANGE(""https://docs.google.com/spreadsheets/d/1Y"&amp;"9LPKx95PyL5OKy09d-KbKJSuuEZCFdkhYjwC0XQjBA/edit?usp=share_link"",""พิจิตร!I485"")+IMPORTRANGE(""https://docs.google.com/spreadsheets/d/16OMuOwy2eVqZcYWOouQtTpa8X1L23h4660uVHc0C8os/edit?usp=share_link"",""พิษณุโลก!I485"")+IMPORTRANGE(""https://docs.google."&amp;"com/spreadsheets/d/1GfgTldLG6k77HXaMQzaafODklYuucJZQNs_GAPEfZyY/edit?usp=share_link"",""เพชรบูรณ์!I485"")+IMPORTRANGE(""https://docs.google.com/spreadsheets/d/1gvTMYAnm7v1yG1BKWFtr0DnaTsq59oW9dwWvFgq6hs0/edit?usp=share_link"",""แพร่!I485"")+IMPORTRANGE("""&amp;"https://docs.google.com/spreadsheets/d/1Wbcosgy-Xa1xXUArJSOenub6EfZHUSzc_bpJFWwQUf0/edit?usp=share_link"",""แม่ฮ่องสอน!I485"")+IMPORTRANGE(""https://docs.google.com/spreadsheets/d/1p7ERhsr0qZeSn-KSOdeHS9r0heI-lHtkcn2OH7hP0jQ/edit?usp=share_link"",""ลำปาง!"&amp;"I485"")+IMPORTRANGE(""https://docs.google.com/spreadsheets/d/1-uUXvimVhiU2U0bMN-xi2te0tS4X7DI2GLPnMjzl8cA/edit?usp=share_link"",""ลำพูน!I485"")+IMPORTRANGE(""https://docs.google.com/spreadsheets/d/17HrOaa5pBUI1onckFfumXB8xlg35qb2uBAFfF1D-Myo/edit?usp=shar"&amp;"e_link"",""สุโขทัย!I485"")+IMPORTRANGE(""https://docs.google.com/spreadsheets/d/1ubs5cl16eYL9gHbdHTJtmtYb9MGzHBs7CAphn8kNCgM/edit?usp=share_link"",""อุตรดิตถ์!I485"")+IMPORTRANGE(""https://docs.google.com/spreadsheets/d/1kII0BjS6CtVrBvI8IrytgPdxDrlyQDyigz"&amp;"MsohRtDMs/edit?usp=share_link"",""อุทัยธานี!I485"")
"),1179)</f>
        <v>1179</v>
      </c>
      <c r="J485" s="183">
        <f ca="1">IFERROR(__xludf.DUMMYFUNCTION("IMPORTRANGE(""https://docs.google.com/spreadsheets/d/1KxicF4apzSqm0-jIpmueT4kyZtE-Cwn5zskl7GD4loQ/edit?usp=share_link"",""กำแพงเพชร!J485"")+IMPORTRANGE(""https://docs.google.com/spreadsheets/d/1ZNYWeiFoFA1K1U4xKWqRX29MBvEyRHXORjo734Gnq_c/edit?usp=share_li"&amp;"nk"",""เชียงราย!J485"")
+IMPORTRANGE(""https://docs.google.com/spreadsheets/d/1Jgv0Y7YlHDtsiDawwp-uvifEJ8HVaSn0k2aGHG8-hwM/edit?usp=share_link"",""เชียงใหม่!J485"")+IMPORTRANGE(""https://docs.google.com/spreadsheets/d/1JWG2rZePOz9pe-f-ObA-yDr0VoOX2kSb0qIi"&amp;"x2mTUo8/edit?usp=share_link"",""ตาก!J485"")+IMPORTRANGE(""https://docs.google.com/spreadsheets/d/10nSRjK08hx8Y6HgSOQKNw81lyY46Zc7U_Cj72hBMp9U/edit?usp=share_link"",""นครสวรรค์!J485"")+IMPORTRANGE(""https://docs.google.com/spreadsheets/d/1gFVb7qd7amutrIxAA"&amp;"oM7lcy35hllxznovot8lyOfvDo/edit?usp=share_link"",""น่าน!J485"")+IMPORTRANGE(""https://docs.google.com/spreadsheets/d/1K0Aa9s-6EuHE5M0FG1F9aHLXRCOV917xvycTdLdct0w/edit?usp=share_link"",""พะเยา!J485"")+IMPORTRANGE(""https://docs.google.com/spreadsheets/d/1Y"&amp;"9LPKx95PyL5OKy09d-KbKJSuuEZCFdkhYjwC0XQjBA/edit?usp=share_link"",""พิจิตร!J485"")+IMPORTRANGE(""https://docs.google.com/spreadsheets/d/16OMuOwy2eVqZcYWOouQtTpa8X1L23h4660uVHc0C8os/edit?usp=share_link"",""พิษณุโลก!J485"")+IMPORTRANGE(""https://docs.google."&amp;"com/spreadsheets/d/1GfgTldLG6k77HXaMQzaafODklYuucJZQNs_GAPEfZyY/edit?usp=share_link"",""เพชรบูรณ์!J485"")+IMPORTRANGE(""https://docs.google.com/spreadsheets/d/1gvTMYAnm7v1yG1BKWFtr0DnaTsq59oW9dwWvFgq6hs0/edit?usp=share_link"",""แพร่!J485"")+IMPORTRANGE("""&amp;"https://docs.google.com/spreadsheets/d/1Wbcosgy-Xa1xXUArJSOenub6EfZHUSzc_bpJFWwQUf0/edit?usp=share_link"",""แม่ฮ่องสอน!J485"")+IMPORTRANGE(""https://docs.google.com/spreadsheets/d/1p7ERhsr0qZeSn-KSOdeHS9r0heI-lHtkcn2OH7hP0jQ/edit?usp=share_link"",""ลำปาง!"&amp;"J485"")+IMPORTRANGE(""https://docs.google.com/spreadsheets/d/1-uUXvimVhiU2U0bMN-xi2te0tS4X7DI2GLPnMjzl8cA/edit?usp=share_link"",""ลำพูน!J485"")+IMPORTRANGE(""https://docs.google.com/spreadsheets/d/17HrOaa5pBUI1onckFfumXB8xlg35qb2uBAFfF1D-Myo/edit?usp=shar"&amp;"e_link"",""สุโขทัย!J485"")+IMPORTRANGE(""https://docs.google.com/spreadsheets/d/1ubs5cl16eYL9gHbdHTJtmtYb9MGzHBs7CAphn8kNCgM/edit?usp=share_link"",""อุตรดิตถ์!J485"")+IMPORTRANGE(""https://docs.google.com/spreadsheets/d/1kII0BjS6CtVrBvI8IrytgPdxDrlyQDyigz"&amp;"MsohRtDMs/edit?usp=share_link"",""อุทัยธานี!J485"")
"),1118)</f>
        <v>1118</v>
      </c>
      <c r="K485" s="38">
        <f ca="1">IF(I485&gt;0,J485*100/I485,0)</f>
        <v>94.826123833757421</v>
      </c>
      <c r="L485" s="38"/>
      <c r="M485" s="38"/>
      <c r="N485" s="38"/>
      <c r="O485" s="38"/>
      <c r="P485" s="38"/>
      <c r="Q485" s="542"/>
      <c r="R485" s="542"/>
      <c r="S485" s="542"/>
      <c r="T485" s="542"/>
      <c r="U485" s="542"/>
      <c r="V485" s="542"/>
      <c r="W485" s="542"/>
      <c r="X485" s="542"/>
      <c r="Y485" s="542"/>
      <c r="Z485" s="542"/>
    </row>
    <row r="486" spans="1:26" ht="18.75">
      <c r="A486" s="573"/>
      <c r="B486" s="574"/>
      <c r="C486" s="574"/>
      <c r="D486" s="574"/>
      <c r="E486" s="585" t="s">
        <v>62</v>
      </c>
      <c r="F486" s="574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42"/>
      <c r="R486" s="542"/>
      <c r="S486" s="542"/>
      <c r="T486" s="542"/>
      <c r="U486" s="542"/>
      <c r="V486" s="542"/>
      <c r="W486" s="542"/>
      <c r="X486" s="542"/>
      <c r="Y486" s="542"/>
      <c r="Z486" s="542"/>
    </row>
    <row r="487" spans="1:26" ht="18.75">
      <c r="A487" s="573"/>
      <c r="B487" s="574"/>
      <c r="C487" s="574"/>
      <c r="D487" s="574"/>
      <c r="E487" s="574"/>
      <c r="F487" s="585" t="s">
        <v>208</v>
      </c>
      <c r="G487" s="175"/>
      <c r="H487" s="36" t="s">
        <v>46</v>
      </c>
      <c r="I487" s="37">
        <f ca="1">IFERROR(__xludf.DUMMYFUNCTION("IMPORTRANGE(""https://docs.google.com/spreadsheets/d/1KxicF4apzSqm0-jIpmueT4kyZtE-Cwn5zskl7GD4loQ/edit?usp=share_link"",""กำแพงเพชร!I487"")+IMPORTRANGE(""https://docs.google.com/spreadsheets/d/1ZNYWeiFoFA1K1U4xKWqRX29MBvEyRHXORjo734Gnq_c/edit?usp=share_li"&amp;"nk"",""เชียงราย!I487"")
+IMPORTRANGE(""https://docs.google.com/spreadsheets/d/1Jgv0Y7YlHDtsiDawwp-uvifEJ8HVaSn0k2aGHG8-hwM/edit?usp=share_link"",""เชียงใหม่!I487"")+IMPORTRANGE(""https://docs.google.com/spreadsheets/d/1JWG2rZePOz9pe-f-ObA-yDr0VoOX2kSb0qIi"&amp;"x2mTUo8/edit?usp=share_link"",""ตาก!I487"")+IMPORTRANGE(""https://docs.google.com/spreadsheets/d/10nSRjK08hx8Y6HgSOQKNw81lyY46Zc7U_Cj72hBMp9U/edit?usp=share_link"",""นครสวรรค์!I487"")+IMPORTRANGE(""https://docs.google.com/spreadsheets/d/1gFVb7qd7amutrIxAA"&amp;"oM7lcy35hllxznovot8lyOfvDo/edit?usp=share_link"",""น่าน!I487"")+IMPORTRANGE(""https://docs.google.com/spreadsheets/d/1K0Aa9s-6EuHE5M0FG1F9aHLXRCOV917xvycTdLdct0w/edit?usp=share_link"",""พะเยา!I487"")+IMPORTRANGE(""https://docs.google.com/spreadsheets/d/1Y"&amp;"9LPKx95PyL5OKy09d-KbKJSuuEZCFdkhYjwC0XQjBA/edit?usp=share_link"",""พิจิตร!I487"")+IMPORTRANGE(""https://docs.google.com/spreadsheets/d/16OMuOwy2eVqZcYWOouQtTpa8X1L23h4660uVHc0C8os/edit?usp=share_link"",""พิษณุโลก!I487"")+IMPORTRANGE(""https://docs.google."&amp;"com/spreadsheets/d/1GfgTldLG6k77HXaMQzaafODklYuucJZQNs_GAPEfZyY/edit?usp=share_link"",""เพชรบูรณ์!I487"")+IMPORTRANGE(""https://docs.google.com/spreadsheets/d/1gvTMYAnm7v1yG1BKWFtr0DnaTsq59oW9dwWvFgq6hs0/edit?usp=share_link"",""แพร่!I487"")+IMPORTRANGE("""&amp;"https://docs.google.com/spreadsheets/d/1Wbcosgy-Xa1xXUArJSOenub6EfZHUSzc_bpJFWwQUf0/edit?usp=share_link"",""แม่ฮ่องสอน!I487"")+IMPORTRANGE(""https://docs.google.com/spreadsheets/d/1p7ERhsr0qZeSn-KSOdeHS9r0heI-lHtkcn2OH7hP0jQ/edit?usp=share_link"",""ลำปาง!"&amp;"I487"")+IMPORTRANGE(""https://docs.google.com/spreadsheets/d/1-uUXvimVhiU2U0bMN-xi2te0tS4X7DI2GLPnMjzl8cA/edit?usp=share_link"",""ลำพูน!I487"")+IMPORTRANGE(""https://docs.google.com/spreadsheets/d/17HrOaa5pBUI1onckFfumXB8xlg35qb2uBAFfF1D-Myo/edit?usp=shar"&amp;"e_link"",""สุโขทัย!I487"")+IMPORTRANGE(""https://docs.google.com/spreadsheets/d/1ubs5cl16eYL9gHbdHTJtmtYb9MGzHBs7CAphn8kNCgM/edit?usp=share_link"",""อุตรดิตถ์!I487"")+IMPORTRANGE(""https://docs.google.com/spreadsheets/d/1kII0BjS6CtVrBvI8IrytgPdxDrlyQDyigz"&amp;"MsohRtDMs/edit?usp=share_link"",""อุทัยธานี!I487"")
"),1310)</f>
        <v>1310</v>
      </c>
      <c r="J487" s="183">
        <f ca="1">IFERROR(__xludf.DUMMYFUNCTION("IMPORTRANGE(""https://docs.google.com/spreadsheets/d/1KxicF4apzSqm0-jIpmueT4kyZtE-Cwn5zskl7GD4loQ/edit?usp=share_link"",""กำแพงเพชร!J487"")+IMPORTRANGE(""https://docs.google.com/spreadsheets/d/1ZNYWeiFoFA1K1U4xKWqRX29MBvEyRHXORjo734Gnq_c/edit?usp=share_li"&amp;"nk"",""เชียงราย!J487"")
+IMPORTRANGE(""https://docs.google.com/spreadsheets/d/1Jgv0Y7YlHDtsiDawwp-uvifEJ8HVaSn0k2aGHG8-hwM/edit?usp=share_link"",""เชียงใหม่!J487"")+IMPORTRANGE(""https://docs.google.com/spreadsheets/d/1JWG2rZePOz9pe-f-ObA-yDr0VoOX2kSb0qIi"&amp;"x2mTUo8/edit?usp=share_link"",""ตาก!J487"")+IMPORTRANGE(""https://docs.google.com/spreadsheets/d/10nSRjK08hx8Y6HgSOQKNw81lyY46Zc7U_Cj72hBMp9U/edit?usp=share_link"",""นครสวรรค์!J487"")+IMPORTRANGE(""https://docs.google.com/spreadsheets/d/1gFVb7qd7amutrIxAA"&amp;"oM7lcy35hllxznovot8lyOfvDo/edit?usp=share_link"",""น่าน!J487"")+IMPORTRANGE(""https://docs.google.com/spreadsheets/d/1K0Aa9s-6EuHE5M0FG1F9aHLXRCOV917xvycTdLdct0w/edit?usp=share_link"",""พะเยา!J487"")+IMPORTRANGE(""https://docs.google.com/spreadsheets/d/1Y"&amp;"9LPKx95PyL5OKy09d-KbKJSuuEZCFdkhYjwC0XQjBA/edit?usp=share_link"",""พิจิตร!J487"")+IMPORTRANGE(""https://docs.google.com/spreadsheets/d/16OMuOwy2eVqZcYWOouQtTpa8X1L23h4660uVHc0C8os/edit?usp=share_link"",""พิษณุโลก!J487"")+IMPORTRANGE(""https://docs.google."&amp;"com/spreadsheets/d/1GfgTldLG6k77HXaMQzaafODklYuucJZQNs_GAPEfZyY/edit?usp=share_link"",""เพชรบูรณ์!J487"")+IMPORTRANGE(""https://docs.google.com/spreadsheets/d/1gvTMYAnm7v1yG1BKWFtr0DnaTsq59oW9dwWvFgq6hs0/edit?usp=share_link"",""แพร่!J487"")+IMPORTRANGE("""&amp;"https://docs.google.com/spreadsheets/d/1Wbcosgy-Xa1xXUArJSOenub6EfZHUSzc_bpJFWwQUf0/edit?usp=share_link"",""แม่ฮ่องสอน!J487"")+IMPORTRANGE(""https://docs.google.com/spreadsheets/d/1p7ERhsr0qZeSn-KSOdeHS9r0heI-lHtkcn2OH7hP0jQ/edit?usp=share_link"",""ลำปาง!"&amp;"J487"")+IMPORTRANGE(""https://docs.google.com/spreadsheets/d/1-uUXvimVhiU2U0bMN-xi2te0tS4X7DI2GLPnMjzl8cA/edit?usp=share_link"",""ลำพูน!J487"")+IMPORTRANGE(""https://docs.google.com/spreadsheets/d/17HrOaa5pBUI1onckFfumXB8xlg35qb2uBAFfF1D-Myo/edit?usp=shar"&amp;"e_link"",""สุโขทัย!J487"")+IMPORTRANGE(""https://docs.google.com/spreadsheets/d/1ubs5cl16eYL9gHbdHTJtmtYb9MGzHBs7CAphn8kNCgM/edit?usp=share_link"",""อุตรดิตถ์!J487"")+IMPORTRANGE(""https://docs.google.com/spreadsheets/d/1kII0BjS6CtVrBvI8IrytgPdxDrlyQDyigz"&amp;"MsohRtDMs/edit?usp=share_link"",""อุทัยธานี!J487"")
"),927)</f>
        <v>927</v>
      </c>
      <c r="K487" s="38">
        <f ca="1">IF(I487&gt;0,J487*100/I487,0)</f>
        <v>70.763358778625957</v>
      </c>
      <c r="L487" s="38"/>
      <c r="M487" s="38"/>
      <c r="N487" s="38"/>
      <c r="O487" s="38"/>
      <c r="P487" s="38"/>
      <c r="Q487" s="542"/>
      <c r="R487" s="542"/>
      <c r="S487" s="542"/>
      <c r="T487" s="542"/>
      <c r="U487" s="542"/>
      <c r="V487" s="542"/>
      <c r="W487" s="542"/>
      <c r="X487" s="542"/>
      <c r="Y487" s="542"/>
      <c r="Z487" s="542"/>
    </row>
    <row r="488" spans="1:26" ht="18.75">
      <c r="A488" s="573"/>
      <c r="B488" s="574"/>
      <c r="C488" s="574"/>
      <c r="D488" s="574"/>
      <c r="E488" s="574"/>
      <c r="F488" s="585" t="s">
        <v>211</v>
      </c>
      <c r="G488" s="175"/>
      <c r="H488" s="36" t="s">
        <v>35</v>
      </c>
      <c r="I488" s="37"/>
      <c r="J488" s="183">
        <f ca="1">IFERROR(__xludf.DUMMYFUNCTION("IMPORTRANGE(""https://docs.google.com/spreadsheets/d/1KxicF4apzSqm0-jIpmueT4kyZtE-Cwn5zskl7GD4loQ/edit?usp=share_link"",""กำแพงเพชร!J488"")+IMPORTRANGE(""https://docs.google.com/spreadsheets/d/1ZNYWeiFoFA1K1U4xKWqRX29MBvEyRHXORjo734Gnq_c/edit?usp=share_li"&amp;"nk"",""เชียงราย!J488"")
+IMPORTRANGE(""https://docs.google.com/spreadsheets/d/1Jgv0Y7YlHDtsiDawwp-uvifEJ8HVaSn0k2aGHG8-hwM/edit?usp=share_link"",""เชียงใหม่!J488"")+IMPORTRANGE(""https://docs.google.com/spreadsheets/d/1JWG2rZePOz9pe-f-ObA-yDr0VoOX2kSb0qIi"&amp;"x2mTUo8/edit?usp=share_link"",""ตาก!J488"")+IMPORTRANGE(""https://docs.google.com/spreadsheets/d/10nSRjK08hx8Y6HgSOQKNw81lyY46Zc7U_Cj72hBMp9U/edit?usp=share_link"",""นครสวรรค์!J488"")+IMPORTRANGE(""https://docs.google.com/spreadsheets/d/1gFVb7qd7amutrIxAA"&amp;"oM7lcy35hllxznovot8lyOfvDo/edit?usp=share_link"",""น่าน!J488"")+IMPORTRANGE(""https://docs.google.com/spreadsheets/d/1K0Aa9s-6EuHE5M0FG1F9aHLXRCOV917xvycTdLdct0w/edit?usp=share_link"",""พะเยา!J488"")+IMPORTRANGE(""https://docs.google.com/spreadsheets/d/1Y"&amp;"9LPKx95PyL5OKy09d-KbKJSuuEZCFdkhYjwC0XQjBA/edit?usp=share_link"",""พิจิตร!J488"")+IMPORTRANGE(""https://docs.google.com/spreadsheets/d/16OMuOwy2eVqZcYWOouQtTpa8X1L23h4660uVHc0C8os/edit?usp=share_link"",""พิษณุโลก!J488"")+IMPORTRANGE(""https://docs.google."&amp;"com/spreadsheets/d/1GfgTldLG6k77HXaMQzaafODklYuucJZQNs_GAPEfZyY/edit?usp=share_link"",""เพชรบูรณ์!J488"")+IMPORTRANGE(""https://docs.google.com/spreadsheets/d/1gvTMYAnm7v1yG1BKWFtr0DnaTsq59oW9dwWvFgq6hs0/edit?usp=share_link"",""แพร่!J488"")+IMPORTRANGE("""&amp;"https://docs.google.com/spreadsheets/d/1Wbcosgy-Xa1xXUArJSOenub6EfZHUSzc_bpJFWwQUf0/edit?usp=share_link"",""แม่ฮ่องสอน!J488"")+IMPORTRANGE(""https://docs.google.com/spreadsheets/d/1p7ERhsr0qZeSn-KSOdeHS9r0heI-lHtkcn2OH7hP0jQ/edit?usp=share_link"",""ลำปาง!"&amp;"J488"")+IMPORTRANGE(""https://docs.google.com/spreadsheets/d/1-uUXvimVhiU2U0bMN-xi2te0tS4X7DI2GLPnMjzl8cA/edit?usp=share_link"",""ลำพูน!J488"")+IMPORTRANGE(""https://docs.google.com/spreadsheets/d/17HrOaa5pBUI1onckFfumXB8xlg35qb2uBAFfF1D-Myo/edit?usp=shar"&amp;"e_link"",""สุโขทัย!J488"")+IMPORTRANGE(""https://docs.google.com/spreadsheets/d/1ubs5cl16eYL9gHbdHTJtmtYb9MGzHBs7CAphn8kNCgM/edit?usp=share_link"",""อุตรดิตถ์!J488"")+IMPORTRANGE(""https://docs.google.com/spreadsheets/d/1kII0BjS6CtVrBvI8IrytgPdxDrlyQDyigz"&amp;"MsohRtDMs/edit?usp=share_link"",""อุทัยธานี!J488"")
"),49)</f>
        <v>49</v>
      </c>
      <c r="K488" s="38"/>
      <c r="L488" s="38"/>
      <c r="M488" s="38"/>
      <c r="N488" s="38"/>
      <c r="O488" s="38"/>
      <c r="P488" s="38"/>
      <c r="Q488" s="542"/>
      <c r="R488" s="542"/>
      <c r="S488" s="542"/>
      <c r="T488" s="542"/>
      <c r="U488" s="542"/>
      <c r="V488" s="542"/>
      <c r="W488" s="542"/>
      <c r="X488" s="542"/>
      <c r="Y488" s="542"/>
      <c r="Z488" s="542"/>
    </row>
    <row r="489" spans="1:26" ht="18.75">
      <c r="A489" s="573"/>
      <c r="B489" s="574"/>
      <c r="C489" s="574"/>
      <c r="D489" s="574"/>
      <c r="E489" s="574"/>
      <c r="F489" s="585" t="s">
        <v>212</v>
      </c>
      <c r="G489" s="175"/>
      <c r="H489" s="590" t="s">
        <v>35</v>
      </c>
      <c r="I489" s="37">
        <f ca="1">IFERROR(__xludf.DUMMYFUNCTION("IMPORTRANGE(""https://docs.google.com/spreadsheets/d/1KxicF4apzSqm0-jIpmueT4kyZtE-Cwn5zskl7GD4loQ/edit?usp=share_link"",""กำแพงเพชร!I489"")+IMPORTRANGE(""https://docs.google.com/spreadsheets/d/1ZNYWeiFoFA1K1U4xKWqRX29MBvEyRHXORjo734Gnq_c/edit?usp=share_li"&amp;"nk"",""เชียงราย!I489"")
+IMPORTRANGE(""https://docs.google.com/spreadsheets/d/1Jgv0Y7YlHDtsiDawwp-uvifEJ8HVaSn0k2aGHG8-hwM/edit?usp=share_link"",""เชียงใหม่!I489"")+IMPORTRANGE(""https://docs.google.com/spreadsheets/d/1JWG2rZePOz9pe-f-ObA-yDr0VoOX2kSb0qIi"&amp;"x2mTUo8/edit?usp=share_link"",""ตาก!I489"")+IMPORTRANGE(""https://docs.google.com/spreadsheets/d/10nSRjK08hx8Y6HgSOQKNw81lyY46Zc7U_Cj72hBMp9U/edit?usp=share_link"",""นครสวรรค์!I489"")+IMPORTRANGE(""https://docs.google.com/spreadsheets/d/1gFVb7qd7amutrIxAA"&amp;"oM7lcy35hllxznovot8lyOfvDo/edit?usp=share_link"",""น่าน!I489"")+IMPORTRANGE(""https://docs.google.com/spreadsheets/d/1K0Aa9s-6EuHE5M0FG1F9aHLXRCOV917xvycTdLdct0w/edit?usp=share_link"",""พะเยา!I489"")+IMPORTRANGE(""https://docs.google.com/spreadsheets/d/1Y"&amp;"9LPKx95PyL5OKy09d-KbKJSuuEZCFdkhYjwC0XQjBA/edit?usp=share_link"",""พิจิตร!I489"")+IMPORTRANGE(""https://docs.google.com/spreadsheets/d/16OMuOwy2eVqZcYWOouQtTpa8X1L23h4660uVHc0C8os/edit?usp=share_link"",""พิษณุโลก!I489"")+IMPORTRANGE(""https://docs.google."&amp;"com/spreadsheets/d/1GfgTldLG6k77HXaMQzaafODklYuucJZQNs_GAPEfZyY/edit?usp=share_link"",""เพชรบูรณ์!I489"")+IMPORTRANGE(""https://docs.google.com/spreadsheets/d/1gvTMYAnm7v1yG1BKWFtr0DnaTsq59oW9dwWvFgq6hs0/edit?usp=share_link"",""แพร่!I489"")+IMPORTRANGE("""&amp;"https://docs.google.com/spreadsheets/d/1Wbcosgy-Xa1xXUArJSOenub6EfZHUSzc_bpJFWwQUf0/edit?usp=share_link"",""แม่ฮ่องสอน!I489"")+IMPORTRANGE(""https://docs.google.com/spreadsheets/d/1p7ERhsr0qZeSn-KSOdeHS9r0heI-lHtkcn2OH7hP0jQ/edit?usp=share_link"",""ลำปาง!"&amp;"I489"")+IMPORTRANGE(""https://docs.google.com/spreadsheets/d/1-uUXvimVhiU2U0bMN-xi2te0tS4X7DI2GLPnMjzl8cA/edit?usp=share_link"",""ลำพูน!I489"")+IMPORTRANGE(""https://docs.google.com/spreadsheets/d/17HrOaa5pBUI1onckFfumXB8xlg35qb2uBAFfF1D-Myo/edit?usp=shar"&amp;"e_link"",""สุโขทัย!I489"")+IMPORTRANGE(""https://docs.google.com/spreadsheets/d/1ubs5cl16eYL9gHbdHTJtmtYb9MGzHBs7CAphn8kNCgM/edit?usp=share_link"",""อุตรดิตถ์!I489"")+IMPORTRANGE(""https://docs.google.com/spreadsheets/d/1kII0BjS6CtVrBvI8IrytgPdxDrlyQDyigz"&amp;"MsohRtDMs/edit?usp=share_link"",""อุทัยธานี!I489"")
"),131)</f>
        <v>131</v>
      </c>
      <c r="J489" s="183">
        <f ca="1">IFERROR(__xludf.DUMMYFUNCTION("IMPORTRANGE(""https://docs.google.com/spreadsheets/d/1KxicF4apzSqm0-jIpmueT4kyZtE-Cwn5zskl7GD4loQ/edit?usp=share_link"",""กำแพงเพชร!J489"")+IMPORTRANGE(""https://docs.google.com/spreadsheets/d/1ZNYWeiFoFA1K1U4xKWqRX29MBvEyRHXORjo734Gnq_c/edit?usp=share_li"&amp;"nk"",""เชียงราย!J489"")
+IMPORTRANGE(""https://docs.google.com/spreadsheets/d/1Jgv0Y7YlHDtsiDawwp-uvifEJ8HVaSn0k2aGHG8-hwM/edit?usp=share_link"",""เชียงใหม่!J489"")+IMPORTRANGE(""https://docs.google.com/spreadsheets/d/1JWG2rZePOz9pe-f-ObA-yDr0VoOX2kSb0qIi"&amp;"x2mTUo8/edit?usp=share_link"",""ตาก!J489"")+IMPORTRANGE(""https://docs.google.com/spreadsheets/d/10nSRjK08hx8Y6HgSOQKNw81lyY46Zc7U_Cj72hBMp9U/edit?usp=share_link"",""นครสวรรค์!J489"")+IMPORTRANGE(""https://docs.google.com/spreadsheets/d/1gFVb7qd7amutrIxAA"&amp;"oM7lcy35hllxznovot8lyOfvDo/edit?usp=share_link"",""น่าน!J489"")+IMPORTRANGE(""https://docs.google.com/spreadsheets/d/1K0Aa9s-6EuHE5M0FG1F9aHLXRCOV917xvycTdLdct0w/edit?usp=share_link"",""พะเยา!J489"")+IMPORTRANGE(""https://docs.google.com/spreadsheets/d/1Y"&amp;"9LPKx95PyL5OKy09d-KbKJSuuEZCFdkhYjwC0XQjBA/edit?usp=share_link"",""พิจิตร!J489"")+IMPORTRANGE(""https://docs.google.com/spreadsheets/d/16OMuOwy2eVqZcYWOouQtTpa8X1L23h4660uVHc0C8os/edit?usp=share_link"",""พิษณุโลก!J489"")+IMPORTRANGE(""https://docs.google."&amp;"com/spreadsheets/d/1GfgTldLG6k77HXaMQzaafODklYuucJZQNs_GAPEfZyY/edit?usp=share_link"",""เพชรบูรณ์!J489"")+IMPORTRANGE(""https://docs.google.com/spreadsheets/d/1gvTMYAnm7v1yG1BKWFtr0DnaTsq59oW9dwWvFgq6hs0/edit?usp=share_link"",""แพร่!J489"")+IMPORTRANGE("""&amp;"https://docs.google.com/spreadsheets/d/1Wbcosgy-Xa1xXUArJSOenub6EfZHUSzc_bpJFWwQUf0/edit?usp=share_link"",""แม่ฮ่องสอน!J489"")+IMPORTRANGE(""https://docs.google.com/spreadsheets/d/1p7ERhsr0qZeSn-KSOdeHS9r0heI-lHtkcn2OH7hP0jQ/edit?usp=share_link"",""ลำปาง!"&amp;"J489"")+IMPORTRANGE(""https://docs.google.com/spreadsheets/d/1-uUXvimVhiU2U0bMN-xi2te0tS4X7DI2GLPnMjzl8cA/edit?usp=share_link"",""ลำพูน!J489"")+IMPORTRANGE(""https://docs.google.com/spreadsheets/d/17HrOaa5pBUI1onckFfumXB8xlg35qb2uBAFfF1D-Myo/edit?usp=shar"&amp;"e_link"",""สุโขทัย!J489"")+IMPORTRANGE(""https://docs.google.com/spreadsheets/d/1ubs5cl16eYL9gHbdHTJtmtYb9MGzHBs7CAphn8kNCgM/edit?usp=share_link"",""อุตรดิตถ์!J489"")+IMPORTRANGE(""https://docs.google.com/spreadsheets/d/1kII0BjS6CtVrBvI8IrytgPdxDrlyQDyigz"&amp;"MsohRtDMs/edit?usp=share_link"",""อุทัยธานี!J489"")
"),117)</f>
        <v>117</v>
      </c>
      <c r="K489" s="38">
        <f ca="1">IF(I489&gt;0,J489*100/I489,0)</f>
        <v>89.312977099236647</v>
      </c>
      <c r="L489" s="38"/>
      <c r="M489" s="38"/>
      <c r="N489" s="38"/>
      <c r="O489" s="38"/>
      <c r="P489" s="38"/>
      <c r="Q489" s="542"/>
      <c r="R489" s="542"/>
      <c r="S489" s="542"/>
      <c r="T489" s="542"/>
      <c r="U489" s="542"/>
      <c r="V489" s="542"/>
      <c r="W489" s="542"/>
      <c r="X489" s="542"/>
      <c r="Y489" s="542"/>
      <c r="Z489" s="542"/>
    </row>
    <row r="490" spans="1:26" ht="18.75">
      <c r="A490" s="573"/>
      <c r="B490" s="574"/>
      <c r="C490" s="574"/>
      <c r="D490" s="574"/>
      <c r="E490" s="585" t="s">
        <v>63</v>
      </c>
      <c r="F490" s="591"/>
      <c r="G490" s="175"/>
      <c r="H490" s="590"/>
      <c r="I490" s="37"/>
      <c r="J490" s="37"/>
      <c r="K490" s="38"/>
      <c r="L490" s="38"/>
      <c r="M490" s="38"/>
      <c r="N490" s="38"/>
      <c r="O490" s="38"/>
      <c r="P490" s="38"/>
      <c r="Q490" s="542"/>
      <c r="R490" s="542"/>
      <c r="S490" s="542"/>
      <c r="T490" s="542"/>
      <c r="U490" s="542"/>
      <c r="V490" s="542"/>
      <c r="W490" s="542"/>
      <c r="X490" s="542"/>
      <c r="Y490" s="542"/>
      <c r="Z490" s="542"/>
    </row>
    <row r="491" spans="1:26" ht="18.75">
      <c r="A491" s="573"/>
      <c r="B491" s="574"/>
      <c r="C491" s="574"/>
      <c r="D491" s="574"/>
      <c r="E491" s="574"/>
      <c r="F491" s="585" t="s">
        <v>213</v>
      </c>
      <c r="G491" s="175"/>
      <c r="H491" s="36" t="s">
        <v>35</v>
      </c>
      <c r="I491" s="37"/>
      <c r="J491" s="183">
        <f ca="1">IFERROR(__xludf.DUMMYFUNCTION("IMPORTRANGE(""https://docs.google.com/spreadsheets/d/1KxicF4apzSqm0-jIpmueT4kyZtE-Cwn5zskl7GD4loQ/edit?usp=share_link"",""กำแพงเพชร!J491"")+IMPORTRANGE(""https://docs.google.com/spreadsheets/d/1ZNYWeiFoFA1K1U4xKWqRX29MBvEyRHXORjo734Gnq_c/edit?usp=share_li"&amp;"nk"",""เชียงราย!J491"")
+IMPORTRANGE(""https://docs.google.com/spreadsheets/d/1Jgv0Y7YlHDtsiDawwp-uvifEJ8HVaSn0k2aGHG8-hwM/edit?usp=share_link"",""เชียงใหม่!J491"")+IMPORTRANGE(""https://docs.google.com/spreadsheets/d/1JWG2rZePOz9pe-f-ObA-yDr0VoOX2kSb0qIi"&amp;"x2mTUo8/edit?usp=share_link"",""ตาก!J491"")+IMPORTRANGE(""https://docs.google.com/spreadsheets/d/10nSRjK08hx8Y6HgSOQKNw81lyY46Zc7U_Cj72hBMp9U/edit?usp=share_link"",""นครสวรรค์!J491"")+IMPORTRANGE(""https://docs.google.com/spreadsheets/d/1gFVb7qd7amutrIxAA"&amp;"oM7lcy35hllxznovot8lyOfvDo/edit?usp=share_link"",""น่าน!J491"")+IMPORTRANGE(""https://docs.google.com/spreadsheets/d/1K0Aa9s-6EuHE5M0FG1F9aHLXRCOV917xvycTdLdct0w/edit?usp=share_link"",""พะเยา!J491"")+IMPORTRANGE(""https://docs.google.com/spreadsheets/d/1Y"&amp;"9LPKx95PyL5OKy09d-KbKJSuuEZCFdkhYjwC0XQjBA/edit?usp=share_link"",""พิจิตร!J491"")+IMPORTRANGE(""https://docs.google.com/spreadsheets/d/16OMuOwy2eVqZcYWOouQtTpa8X1L23h4660uVHc0C8os/edit?usp=share_link"",""พิษณุโลก!J491"")+IMPORTRANGE(""https://docs.google."&amp;"com/spreadsheets/d/1GfgTldLG6k77HXaMQzaafODklYuucJZQNs_GAPEfZyY/edit?usp=share_link"",""เพชรบูรณ์!J491"")+IMPORTRANGE(""https://docs.google.com/spreadsheets/d/1gvTMYAnm7v1yG1BKWFtr0DnaTsq59oW9dwWvFgq6hs0/edit?usp=share_link"",""แพร่!J491"")+IMPORTRANGE("""&amp;"https://docs.google.com/spreadsheets/d/1Wbcosgy-Xa1xXUArJSOenub6EfZHUSzc_bpJFWwQUf0/edit?usp=share_link"",""แม่ฮ่องสอน!J491"")+IMPORTRANGE(""https://docs.google.com/spreadsheets/d/1p7ERhsr0qZeSn-KSOdeHS9r0heI-lHtkcn2OH7hP0jQ/edit?usp=share_link"",""ลำปาง!"&amp;"J491"")+IMPORTRANGE(""https://docs.google.com/spreadsheets/d/1-uUXvimVhiU2U0bMN-xi2te0tS4X7DI2GLPnMjzl8cA/edit?usp=share_link"",""ลำพูน!J491"")+IMPORTRANGE(""https://docs.google.com/spreadsheets/d/17HrOaa5pBUI1onckFfumXB8xlg35qb2uBAFfF1D-Myo/edit?usp=shar"&amp;"e_link"",""สุโขทัย!J491"")+IMPORTRANGE(""https://docs.google.com/spreadsheets/d/1ubs5cl16eYL9gHbdHTJtmtYb9MGzHBs7CAphn8kNCgM/edit?usp=share_link"",""อุตรดิตถ์!J491"")+IMPORTRANGE(""https://docs.google.com/spreadsheets/d/1kII0BjS6CtVrBvI8IrytgPdxDrlyQDyigz"&amp;"MsohRtDMs/edit?usp=share_link"",""อุทัยธานี!J491"")
"),6)</f>
        <v>6</v>
      </c>
      <c r="K491" s="38"/>
      <c r="L491" s="38"/>
      <c r="M491" s="38"/>
      <c r="N491" s="38"/>
      <c r="O491" s="38"/>
      <c r="P491" s="38"/>
      <c r="Q491" s="542"/>
      <c r="R491" s="542"/>
      <c r="S491" s="542"/>
      <c r="T491" s="542"/>
      <c r="U491" s="542"/>
      <c r="V491" s="542"/>
      <c r="W491" s="542"/>
      <c r="X491" s="542"/>
      <c r="Y491" s="542"/>
      <c r="Z491" s="542"/>
    </row>
    <row r="492" spans="1:26" ht="18.75">
      <c r="A492" s="573"/>
      <c r="B492" s="574"/>
      <c r="C492" s="574"/>
      <c r="D492" s="574"/>
      <c r="E492" s="574"/>
      <c r="F492" s="585" t="s">
        <v>214</v>
      </c>
      <c r="G492" s="175"/>
      <c r="H492" s="36" t="s">
        <v>35</v>
      </c>
      <c r="I492" s="37">
        <f ca="1">IFERROR(__xludf.DUMMYFUNCTION("IMPORTRANGE(""https://docs.google.com/spreadsheets/d/1KxicF4apzSqm0-jIpmueT4kyZtE-Cwn5zskl7GD4loQ/edit?usp=share_link"",""กำแพงเพชร!I492"")+IMPORTRANGE(""https://docs.google.com/spreadsheets/d/1ZNYWeiFoFA1K1U4xKWqRX29MBvEyRHXORjo734Gnq_c/edit?usp=share_li"&amp;"nk"",""เชียงราย!I492"")
+IMPORTRANGE(""https://docs.google.com/spreadsheets/d/1Jgv0Y7YlHDtsiDawwp-uvifEJ8HVaSn0k2aGHG8-hwM/edit?usp=share_link"",""เชียงใหม่!I492"")+IMPORTRANGE(""https://docs.google.com/spreadsheets/d/1JWG2rZePOz9pe-f-ObA-yDr0VoOX2kSb0qIi"&amp;"x2mTUo8/edit?usp=share_link"",""ตาก!I492"")+IMPORTRANGE(""https://docs.google.com/spreadsheets/d/10nSRjK08hx8Y6HgSOQKNw81lyY46Zc7U_Cj72hBMp9U/edit?usp=share_link"",""นครสวรรค์!I492"")+IMPORTRANGE(""https://docs.google.com/spreadsheets/d/1gFVb7qd7amutrIxAA"&amp;"oM7lcy35hllxznovot8lyOfvDo/edit?usp=share_link"",""น่าน!I492"")+IMPORTRANGE(""https://docs.google.com/spreadsheets/d/1K0Aa9s-6EuHE5M0FG1F9aHLXRCOV917xvycTdLdct0w/edit?usp=share_link"",""พะเยา!I492"")+IMPORTRANGE(""https://docs.google.com/spreadsheets/d/1Y"&amp;"9LPKx95PyL5OKy09d-KbKJSuuEZCFdkhYjwC0XQjBA/edit?usp=share_link"",""พิจิตร!I492"")+IMPORTRANGE(""https://docs.google.com/spreadsheets/d/16OMuOwy2eVqZcYWOouQtTpa8X1L23h4660uVHc0C8os/edit?usp=share_link"",""พิษณุโลก!I492"")+IMPORTRANGE(""https://docs.google."&amp;"com/spreadsheets/d/1GfgTldLG6k77HXaMQzaafODklYuucJZQNs_GAPEfZyY/edit?usp=share_link"",""เพชรบูรณ์!I492"")+IMPORTRANGE(""https://docs.google.com/spreadsheets/d/1gvTMYAnm7v1yG1BKWFtr0DnaTsq59oW9dwWvFgq6hs0/edit?usp=share_link"",""แพร่!I492"")+IMPORTRANGE("""&amp;"https://docs.google.com/spreadsheets/d/1Wbcosgy-Xa1xXUArJSOenub6EfZHUSzc_bpJFWwQUf0/edit?usp=share_link"",""แม่ฮ่องสอน!I492"")+IMPORTRANGE(""https://docs.google.com/spreadsheets/d/1p7ERhsr0qZeSn-KSOdeHS9r0heI-lHtkcn2OH7hP0jQ/edit?usp=share_link"",""ลำปาง!"&amp;"I492"")+IMPORTRANGE(""https://docs.google.com/spreadsheets/d/1-uUXvimVhiU2U0bMN-xi2te0tS4X7DI2GLPnMjzl8cA/edit?usp=share_link"",""ลำพูน!I492"")+IMPORTRANGE(""https://docs.google.com/spreadsheets/d/17HrOaa5pBUI1onckFfumXB8xlg35qb2uBAFfF1D-Myo/edit?usp=shar"&amp;"e_link"",""สุโขทัย!I492"")+IMPORTRANGE(""https://docs.google.com/spreadsheets/d/1ubs5cl16eYL9gHbdHTJtmtYb9MGzHBs7CAphn8kNCgM/edit?usp=share_link"",""อุตรดิตถ์!I492"")+IMPORTRANGE(""https://docs.google.com/spreadsheets/d/1kII0BjS6CtVrBvI8IrytgPdxDrlyQDyigz"&amp;"MsohRtDMs/edit?usp=share_link"",""อุทัยธานี!I492"")
"),17)</f>
        <v>17</v>
      </c>
      <c r="J492" s="183">
        <f ca="1">IFERROR(__xludf.DUMMYFUNCTION("IMPORTRANGE(""https://docs.google.com/spreadsheets/d/1KxicF4apzSqm0-jIpmueT4kyZtE-Cwn5zskl7GD4loQ/edit?usp=share_link"",""กำแพงเพชร!J492"")+IMPORTRANGE(""https://docs.google.com/spreadsheets/d/1ZNYWeiFoFA1K1U4xKWqRX29MBvEyRHXORjo734Gnq_c/edit?usp=share_li"&amp;"nk"",""เชียงราย!J492"")
+IMPORTRANGE(""https://docs.google.com/spreadsheets/d/1Jgv0Y7YlHDtsiDawwp-uvifEJ8HVaSn0k2aGHG8-hwM/edit?usp=share_link"",""เชียงใหม่!J492"")+IMPORTRANGE(""https://docs.google.com/spreadsheets/d/1JWG2rZePOz9pe-f-ObA-yDr0VoOX2kSb0qIi"&amp;"x2mTUo8/edit?usp=share_link"",""ตาก!J492"")+IMPORTRANGE(""https://docs.google.com/spreadsheets/d/10nSRjK08hx8Y6HgSOQKNw81lyY46Zc7U_Cj72hBMp9U/edit?usp=share_link"",""นครสวรรค์!J492"")+IMPORTRANGE(""https://docs.google.com/spreadsheets/d/1gFVb7qd7amutrIxAA"&amp;"oM7lcy35hllxznovot8lyOfvDo/edit?usp=share_link"",""น่าน!J492"")+IMPORTRANGE(""https://docs.google.com/spreadsheets/d/1K0Aa9s-6EuHE5M0FG1F9aHLXRCOV917xvycTdLdct0w/edit?usp=share_link"",""พะเยา!J492"")+IMPORTRANGE(""https://docs.google.com/spreadsheets/d/1Y"&amp;"9LPKx95PyL5OKy09d-KbKJSuuEZCFdkhYjwC0XQjBA/edit?usp=share_link"",""พิจิตร!J492"")+IMPORTRANGE(""https://docs.google.com/spreadsheets/d/16OMuOwy2eVqZcYWOouQtTpa8X1L23h4660uVHc0C8os/edit?usp=share_link"",""พิษณุโลก!J492"")+IMPORTRANGE(""https://docs.google."&amp;"com/spreadsheets/d/1GfgTldLG6k77HXaMQzaafODklYuucJZQNs_GAPEfZyY/edit?usp=share_link"",""เพชรบูรณ์!J492"")+IMPORTRANGE(""https://docs.google.com/spreadsheets/d/1gvTMYAnm7v1yG1BKWFtr0DnaTsq59oW9dwWvFgq6hs0/edit?usp=share_link"",""แพร่!J492"")+IMPORTRANGE("""&amp;"https://docs.google.com/spreadsheets/d/1Wbcosgy-Xa1xXUArJSOenub6EfZHUSzc_bpJFWwQUf0/edit?usp=share_link"",""แม่ฮ่องสอน!J492"")+IMPORTRANGE(""https://docs.google.com/spreadsheets/d/1p7ERhsr0qZeSn-KSOdeHS9r0heI-lHtkcn2OH7hP0jQ/edit?usp=share_link"",""ลำปาง!"&amp;"J492"")+IMPORTRANGE(""https://docs.google.com/spreadsheets/d/1-uUXvimVhiU2U0bMN-xi2te0tS4X7DI2GLPnMjzl8cA/edit?usp=share_link"",""ลำพูน!J492"")+IMPORTRANGE(""https://docs.google.com/spreadsheets/d/17HrOaa5pBUI1onckFfumXB8xlg35qb2uBAFfF1D-Myo/edit?usp=shar"&amp;"e_link"",""สุโขทัย!J492"")+IMPORTRANGE(""https://docs.google.com/spreadsheets/d/1ubs5cl16eYL9gHbdHTJtmtYb9MGzHBs7CAphn8kNCgM/edit?usp=share_link"",""อุตรดิตถ์!J492"")+IMPORTRANGE(""https://docs.google.com/spreadsheets/d/1kII0BjS6CtVrBvI8IrytgPdxDrlyQDyigz"&amp;"MsohRtDMs/edit?usp=share_link"",""อุทัยธานี!J492"")
"),15)</f>
        <v>15</v>
      </c>
      <c r="K492" s="38">
        <f ca="1">IF(I492&gt;0,J492*100/I492,0)</f>
        <v>88.235294117647058</v>
      </c>
      <c r="L492" s="38"/>
      <c r="M492" s="38"/>
      <c r="N492" s="38"/>
      <c r="O492" s="38"/>
      <c r="P492" s="38"/>
      <c r="Q492" s="542"/>
      <c r="R492" s="542"/>
      <c r="S492" s="542"/>
      <c r="T492" s="542"/>
      <c r="U492" s="542"/>
      <c r="V492" s="542"/>
      <c r="W492" s="542"/>
      <c r="X492" s="542"/>
      <c r="Y492" s="542"/>
      <c r="Z492" s="542"/>
    </row>
    <row r="493" spans="1:26" ht="19.5">
      <c r="A493" s="573"/>
      <c r="B493" s="574"/>
      <c r="C493" s="574"/>
      <c r="D493" s="592" t="s">
        <v>59</v>
      </c>
      <c r="E493" s="574"/>
      <c r="F493" s="586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42"/>
      <c r="R493" s="542"/>
      <c r="S493" s="542"/>
      <c r="T493" s="542"/>
      <c r="U493" s="542"/>
      <c r="V493" s="542"/>
      <c r="W493" s="542"/>
      <c r="X493" s="542"/>
      <c r="Y493" s="542"/>
      <c r="Z493" s="542"/>
    </row>
    <row r="494" spans="1:26" ht="18.75">
      <c r="A494" s="573"/>
      <c r="B494" s="574"/>
      <c r="C494" s="574"/>
      <c r="D494" s="574"/>
      <c r="E494" s="585" t="s">
        <v>207</v>
      </c>
      <c r="F494" s="586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42"/>
      <c r="R494" s="542"/>
      <c r="S494" s="542"/>
      <c r="T494" s="542"/>
      <c r="U494" s="542"/>
      <c r="V494" s="542"/>
      <c r="W494" s="542"/>
      <c r="X494" s="542"/>
      <c r="Y494" s="542"/>
      <c r="Z494" s="542"/>
    </row>
    <row r="495" spans="1:26" ht="18.75">
      <c r="A495" s="573"/>
      <c r="B495" s="574"/>
      <c r="C495" s="574"/>
      <c r="D495" s="574"/>
      <c r="E495" s="574"/>
      <c r="F495" s="187" t="s">
        <v>215</v>
      </c>
      <c r="G495" s="175"/>
      <c r="H495" s="36" t="s">
        <v>46</v>
      </c>
      <c r="I495" s="37">
        <f ca="1">IFERROR(__xludf.DUMMYFUNCTION("IMPORTRANGE(""https://docs.google.com/spreadsheets/d/1KxicF4apzSqm0-jIpmueT4kyZtE-Cwn5zskl7GD4loQ/edit?usp=share_link"",""กำแพงเพชร!I495"")+IMPORTRANGE(""https://docs.google.com/spreadsheets/d/1ZNYWeiFoFA1K1U4xKWqRX29MBvEyRHXORjo734Gnq_c/edit?usp=share_li"&amp;"nk"",""เชียงราย!I495"")
+IMPORTRANGE(""https://docs.google.com/spreadsheets/d/1Jgv0Y7YlHDtsiDawwp-uvifEJ8HVaSn0k2aGHG8-hwM/edit?usp=share_link"",""เชียงใหม่!I495"")+IMPORTRANGE(""https://docs.google.com/spreadsheets/d/1JWG2rZePOz9pe-f-ObA-yDr0VoOX2kSb0qIi"&amp;"x2mTUo8/edit?usp=share_link"",""ตาก!I495"")+IMPORTRANGE(""https://docs.google.com/spreadsheets/d/10nSRjK08hx8Y6HgSOQKNw81lyY46Zc7U_Cj72hBMp9U/edit?usp=share_link"",""นครสวรรค์!I495"")+IMPORTRANGE(""https://docs.google.com/spreadsheets/d/1gFVb7qd7amutrIxAA"&amp;"oM7lcy35hllxznovot8lyOfvDo/edit?usp=share_link"",""น่าน!I495"")+IMPORTRANGE(""https://docs.google.com/spreadsheets/d/1K0Aa9s-6EuHE5M0FG1F9aHLXRCOV917xvycTdLdct0w/edit?usp=share_link"",""พะเยา!I495"")+IMPORTRANGE(""https://docs.google.com/spreadsheets/d/1Y"&amp;"9LPKx95PyL5OKy09d-KbKJSuuEZCFdkhYjwC0XQjBA/edit?usp=share_link"",""พิจิตร!I495"")+IMPORTRANGE(""https://docs.google.com/spreadsheets/d/16OMuOwy2eVqZcYWOouQtTpa8X1L23h4660uVHc0C8os/edit?usp=share_link"",""พิษณุโลก!I495"")+IMPORTRANGE(""https://docs.google."&amp;"com/spreadsheets/d/1GfgTldLG6k77HXaMQzaafODklYuucJZQNs_GAPEfZyY/edit?usp=share_link"",""เพชรบูรณ์!I495"")+IMPORTRANGE(""https://docs.google.com/spreadsheets/d/1gvTMYAnm7v1yG1BKWFtr0DnaTsq59oW9dwWvFgq6hs0/edit?usp=share_link"",""แพร่!I495"")+IMPORTRANGE("""&amp;"https://docs.google.com/spreadsheets/d/1Wbcosgy-Xa1xXUArJSOenub6EfZHUSzc_bpJFWwQUf0/edit?usp=share_link"",""แม่ฮ่องสอน!I495"")+IMPORTRANGE(""https://docs.google.com/spreadsheets/d/1p7ERhsr0qZeSn-KSOdeHS9r0heI-lHtkcn2OH7hP0jQ/edit?usp=share_link"",""ลำปาง!"&amp;"I495"")+IMPORTRANGE(""https://docs.google.com/spreadsheets/d/1-uUXvimVhiU2U0bMN-xi2te0tS4X7DI2GLPnMjzl8cA/edit?usp=share_link"",""ลำพูน!I495"")+IMPORTRANGE(""https://docs.google.com/spreadsheets/d/17HrOaa5pBUI1onckFfumXB8xlg35qb2uBAFfF1D-Myo/edit?usp=shar"&amp;"e_link"",""สุโขทัย!I495"")+IMPORTRANGE(""https://docs.google.com/spreadsheets/d/1ubs5cl16eYL9gHbdHTJtmtYb9MGzHBs7CAphn8kNCgM/edit?usp=share_link"",""อุตรดิตถ์!I495"")+IMPORTRANGE(""https://docs.google.com/spreadsheets/d/1kII0BjS6CtVrBvI8IrytgPdxDrlyQDyigz"&amp;"MsohRtDMs/edit?usp=share_link"",""อุทัยธานี!I495"")
"),11790)</f>
        <v>11790</v>
      </c>
      <c r="J495" s="183">
        <f ca="1">IFERROR(__xludf.DUMMYFUNCTION("IMPORTRANGE(""https://docs.google.com/spreadsheets/d/1KxicF4apzSqm0-jIpmueT4kyZtE-Cwn5zskl7GD4loQ/edit?usp=share_link"",""กำแพงเพชร!J495"")+IMPORTRANGE(""https://docs.google.com/spreadsheets/d/1ZNYWeiFoFA1K1U4xKWqRX29MBvEyRHXORjo734Gnq_c/edit?usp=share_li"&amp;"nk"",""เชียงราย!J495"")
+IMPORTRANGE(""https://docs.google.com/spreadsheets/d/1Jgv0Y7YlHDtsiDawwp-uvifEJ8HVaSn0k2aGHG8-hwM/edit?usp=share_link"",""เชียงใหม่!J495"")+IMPORTRANGE(""https://docs.google.com/spreadsheets/d/1JWG2rZePOz9pe-f-ObA-yDr0VoOX2kSb0qIi"&amp;"x2mTUo8/edit?usp=share_link"",""ตาก!J495"")+IMPORTRANGE(""https://docs.google.com/spreadsheets/d/10nSRjK08hx8Y6HgSOQKNw81lyY46Zc7U_Cj72hBMp9U/edit?usp=share_link"",""นครสวรรค์!J495"")+IMPORTRANGE(""https://docs.google.com/spreadsheets/d/1gFVb7qd7amutrIxAA"&amp;"oM7lcy35hllxznovot8lyOfvDo/edit?usp=share_link"",""น่าน!J495"")+IMPORTRANGE(""https://docs.google.com/spreadsheets/d/1K0Aa9s-6EuHE5M0FG1F9aHLXRCOV917xvycTdLdct0w/edit?usp=share_link"",""พะเยา!J495"")+IMPORTRANGE(""https://docs.google.com/spreadsheets/d/1Y"&amp;"9LPKx95PyL5OKy09d-KbKJSuuEZCFdkhYjwC0XQjBA/edit?usp=share_link"",""พิจิตร!J495"")+IMPORTRANGE(""https://docs.google.com/spreadsheets/d/16OMuOwy2eVqZcYWOouQtTpa8X1L23h4660uVHc0C8os/edit?usp=share_link"",""พิษณุโลก!J495"")+IMPORTRANGE(""https://docs.google."&amp;"com/spreadsheets/d/1GfgTldLG6k77HXaMQzaafODklYuucJZQNs_GAPEfZyY/edit?usp=share_link"",""เพชรบูรณ์!J495"")+IMPORTRANGE(""https://docs.google.com/spreadsheets/d/1gvTMYAnm7v1yG1BKWFtr0DnaTsq59oW9dwWvFgq6hs0/edit?usp=share_link"",""แพร่!J495"")+IMPORTRANGE("""&amp;"https://docs.google.com/spreadsheets/d/1Wbcosgy-Xa1xXUArJSOenub6EfZHUSzc_bpJFWwQUf0/edit?usp=share_link"",""แม่ฮ่องสอน!J495"")+IMPORTRANGE(""https://docs.google.com/spreadsheets/d/1p7ERhsr0qZeSn-KSOdeHS9r0heI-lHtkcn2OH7hP0jQ/edit?usp=share_link"",""ลำปาง!"&amp;"J495"")+IMPORTRANGE(""https://docs.google.com/spreadsheets/d/1-uUXvimVhiU2U0bMN-xi2te0tS4X7DI2GLPnMjzl8cA/edit?usp=share_link"",""ลำพูน!J495"")+IMPORTRANGE(""https://docs.google.com/spreadsheets/d/17HrOaa5pBUI1onckFfumXB8xlg35qb2uBAFfF1D-Myo/edit?usp=shar"&amp;"e_link"",""สุโขทัย!J495"")+IMPORTRANGE(""https://docs.google.com/spreadsheets/d/1ubs5cl16eYL9gHbdHTJtmtYb9MGzHBs7CAphn8kNCgM/edit?usp=share_link"",""อุตรดิตถ์!J495"")+IMPORTRANGE(""https://docs.google.com/spreadsheets/d/1kII0BjS6CtVrBvI8IrytgPdxDrlyQDyigz"&amp;"MsohRtDMs/edit?usp=share_link"",""อุทัยธานี!J495"")
"),0)</f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42"/>
      <c r="R495" s="542"/>
      <c r="S495" s="542"/>
      <c r="T495" s="542"/>
      <c r="U495" s="542"/>
      <c r="V495" s="542"/>
      <c r="W495" s="542"/>
      <c r="X495" s="542"/>
      <c r="Y495" s="542"/>
      <c r="Z495" s="542"/>
    </row>
    <row r="496" spans="1:26" ht="18.75">
      <c r="A496" s="573"/>
      <c r="B496" s="574"/>
      <c r="C496" s="574"/>
      <c r="D496" s="574"/>
      <c r="E496" s="574"/>
      <c r="F496" s="187" t="s">
        <v>216</v>
      </c>
      <c r="G496" s="175"/>
      <c r="H496" s="36" t="s">
        <v>46</v>
      </c>
      <c r="I496" s="37"/>
      <c r="J496" s="183">
        <f ca="1">IFERROR(__xludf.DUMMYFUNCTION("IMPORTRANGE(""https://docs.google.com/spreadsheets/d/1KxicF4apzSqm0-jIpmueT4kyZtE-Cwn5zskl7GD4loQ/edit?usp=share_link"",""กำแพงเพชร!J496"")+IMPORTRANGE(""https://docs.google.com/spreadsheets/d/1ZNYWeiFoFA1K1U4xKWqRX29MBvEyRHXORjo734Gnq_c/edit?usp=share_li"&amp;"nk"",""เชียงราย!J496"")
+IMPORTRANGE(""https://docs.google.com/spreadsheets/d/1Jgv0Y7YlHDtsiDawwp-uvifEJ8HVaSn0k2aGHG8-hwM/edit?usp=share_link"",""เชียงใหม่!J496"")+IMPORTRANGE(""https://docs.google.com/spreadsheets/d/1JWG2rZePOz9pe-f-ObA-yDr0VoOX2kSb0qIi"&amp;"x2mTUo8/edit?usp=share_link"",""ตาก!J496"")+IMPORTRANGE(""https://docs.google.com/spreadsheets/d/10nSRjK08hx8Y6HgSOQKNw81lyY46Zc7U_Cj72hBMp9U/edit?usp=share_link"",""นครสวรรค์!J496"")+IMPORTRANGE(""https://docs.google.com/spreadsheets/d/1gFVb7qd7amutrIxAA"&amp;"oM7lcy35hllxznovot8lyOfvDo/edit?usp=share_link"",""น่าน!J496"")+IMPORTRANGE(""https://docs.google.com/spreadsheets/d/1K0Aa9s-6EuHE5M0FG1F9aHLXRCOV917xvycTdLdct0w/edit?usp=share_link"",""พะเยา!J496"")+IMPORTRANGE(""https://docs.google.com/spreadsheets/d/1Y"&amp;"9LPKx95PyL5OKy09d-KbKJSuuEZCFdkhYjwC0XQjBA/edit?usp=share_link"",""พิจิตร!J496"")+IMPORTRANGE(""https://docs.google.com/spreadsheets/d/16OMuOwy2eVqZcYWOouQtTpa8X1L23h4660uVHc0C8os/edit?usp=share_link"",""พิษณุโลก!J496"")+IMPORTRANGE(""https://docs.google."&amp;"com/spreadsheets/d/1GfgTldLG6k77HXaMQzaafODklYuucJZQNs_GAPEfZyY/edit?usp=share_link"",""เพชรบูรณ์!J496"")+IMPORTRANGE(""https://docs.google.com/spreadsheets/d/1gvTMYAnm7v1yG1BKWFtr0DnaTsq59oW9dwWvFgq6hs0/edit?usp=share_link"",""แพร่!J496"")+IMPORTRANGE("""&amp;"https://docs.google.com/spreadsheets/d/1Wbcosgy-Xa1xXUArJSOenub6EfZHUSzc_bpJFWwQUf0/edit?usp=share_link"",""แม่ฮ่องสอน!J496"")+IMPORTRANGE(""https://docs.google.com/spreadsheets/d/1p7ERhsr0qZeSn-KSOdeHS9r0heI-lHtkcn2OH7hP0jQ/edit?usp=share_link"",""ลำปาง!"&amp;"J496"")+IMPORTRANGE(""https://docs.google.com/spreadsheets/d/1-uUXvimVhiU2U0bMN-xi2te0tS4X7DI2GLPnMjzl8cA/edit?usp=share_link"",""ลำพูน!J496"")+IMPORTRANGE(""https://docs.google.com/spreadsheets/d/17HrOaa5pBUI1onckFfumXB8xlg35qb2uBAFfF1D-Myo/edit?usp=shar"&amp;"e_link"",""สุโขทัย!J496"")+IMPORTRANGE(""https://docs.google.com/spreadsheets/d/1ubs5cl16eYL9gHbdHTJtmtYb9MGzHBs7CAphn8kNCgM/edit?usp=share_link"",""อุตรดิตถ์!J496"")+IMPORTRANGE(""https://docs.google.com/spreadsheets/d/1kII0BjS6CtVrBvI8IrytgPdxDrlyQDyigz"&amp;"MsohRtDMs/edit?usp=share_link"",""อุทัยธานี!J496"")
"),0)</f>
        <v>0</v>
      </c>
      <c r="K496" s="38"/>
      <c r="L496" s="38"/>
      <c r="M496" s="38"/>
      <c r="N496" s="38"/>
      <c r="O496" s="38"/>
      <c r="P496" s="38"/>
      <c r="Q496" s="542"/>
      <c r="R496" s="542"/>
      <c r="S496" s="542"/>
      <c r="T496" s="542"/>
      <c r="U496" s="542"/>
      <c r="V496" s="542"/>
      <c r="W496" s="542"/>
      <c r="X496" s="542"/>
      <c r="Y496" s="542"/>
      <c r="Z496" s="542"/>
    </row>
    <row r="497" spans="1:26" ht="18.75">
      <c r="A497" s="573"/>
      <c r="B497" s="574"/>
      <c r="C497" s="574"/>
      <c r="D497" s="574"/>
      <c r="E497" s="585" t="s">
        <v>62</v>
      </c>
      <c r="F497" s="586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42"/>
      <c r="R497" s="542"/>
      <c r="S497" s="542"/>
      <c r="T497" s="542"/>
      <c r="U497" s="542"/>
      <c r="V497" s="542"/>
      <c r="W497" s="542"/>
      <c r="X497" s="542"/>
      <c r="Y497" s="542"/>
      <c r="Z497" s="542"/>
    </row>
    <row r="498" spans="1:26" ht="18.75">
      <c r="A498" s="573"/>
      <c r="B498" s="574"/>
      <c r="C498" s="574"/>
      <c r="D498" s="574"/>
      <c r="E498" s="586"/>
      <c r="F498" s="593" t="s">
        <v>217</v>
      </c>
      <c r="G498" s="175"/>
      <c r="H498" s="36" t="s">
        <v>46</v>
      </c>
      <c r="I498" s="37">
        <f ca="1">IFERROR(__xludf.DUMMYFUNCTION("IMPORTRANGE(""https://docs.google.com/spreadsheets/d/1KxicF4apzSqm0-jIpmueT4kyZtE-Cwn5zskl7GD4loQ/edit?usp=share_link"",""กำแพงเพชร!I498"")+IMPORTRANGE(""https://docs.google.com/spreadsheets/d/1ZNYWeiFoFA1K1U4xKWqRX29MBvEyRHXORjo734Gnq_c/edit?usp=share_li"&amp;"nk"",""เชียงราย!I498"")
+IMPORTRANGE(""https://docs.google.com/spreadsheets/d/1Jgv0Y7YlHDtsiDawwp-uvifEJ8HVaSn0k2aGHG8-hwM/edit?usp=share_link"",""เชียงใหม่!I498"")+IMPORTRANGE(""https://docs.google.com/spreadsheets/d/1JWG2rZePOz9pe-f-ObA-yDr0VoOX2kSb0qIi"&amp;"x2mTUo8/edit?usp=share_link"",""ตาก!I498"")+IMPORTRANGE(""https://docs.google.com/spreadsheets/d/10nSRjK08hx8Y6HgSOQKNw81lyY46Zc7U_Cj72hBMp9U/edit?usp=share_link"",""นครสวรรค์!I498"")+IMPORTRANGE(""https://docs.google.com/spreadsheets/d/1gFVb7qd7amutrIxAA"&amp;"oM7lcy35hllxznovot8lyOfvDo/edit?usp=share_link"",""น่าน!I498"")+IMPORTRANGE(""https://docs.google.com/spreadsheets/d/1K0Aa9s-6EuHE5M0FG1F9aHLXRCOV917xvycTdLdct0w/edit?usp=share_link"",""พะเยา!I498"")+IMPORTRANGE(""https://docs.google.com/spreadsheets/d/1Y"&amp;"9LPKx95PyL5OKy09d-KbKJSuuEZCFdkhYjwC0XQjBA/edit?usp=share_link"",""พิจิตร!I498"")+IMPORTRANGE(""https://docs.google.com/spreadsheets/d/16OMuOwy2eVqZcYWOouQtTpa8X1L23h4660uVHc0C8os/edit?usp=share_link"",""พิษณุโลก!I498"")+IMPORTRANGE(""https://docs.google."&amp;"com/spreadsheets/d/1GfgTldLG6k77HXaMQzaafODklYuucJZQNs_GAPEfZyY/edit?usp=share_link"",""เพชรบูรณ์!I498"")+IMPORTRANGE(""https://docs.google.com/spreadsheets/d/1gvTMYAnm7v1yG1BKWFtr0DnaTsq59oW9dwWvFgq6hs0/edit?usp=share_link"",""แพร่!I498"")+IMPORTRANGE("""&amp;"https://docs.google.com/spreadsheets/d/1Wbcosgy-Xa1xXUArJSOenub6EfZHUSzc_bpJFWwQUf0/edit?usp=share_link"",""แม่ฮ่องสอน!I498"")+IMPORTRANGE(""https://docs.google.com/spreadsheets/d/1p7ERhsr0qZeSn-KSOdeHS9r0heI-lHtkcn2OH7hP0jQ/edit?usp=share_link"",""ลำปาง!"&amp;"I498"")+IMPORTRANGE(""https://docs.google.com/spreadsheets/d/1-uUXvimVhiU2U0bMN-xi2te0tS4X7DI2GLPnMjzl8cA/edit?usp=share_link"",""ลำพูน!I498"")+IMPORTRANGE(""https://docs.google.com/spreadsheets/d/17HrOaa5pBUI1onckFfumXB8xlg35qb2uBAFfF1D-Myo/edit?usp=shar"&amp;"e_link"",""สุโขทัย!I498"")+IMPORTRANGE(""https://docs.google.com/spreadsheets/d/1ubs5cl16eYL9gHbdHTJtmtYb9MGzHBs7CAphn8kNCgM/edit?usp=share_link"",""อุตรดิตถ์!I498"")+IMPORTRANGE(""https://docs.google.com/spreadsheets/d/1kII0BjS6CtVrBvI8IrytgPdxDrlyQDyigz"&amp;"MsohRtDMs/edit?usp=share_link"",""อุทัยธานี!I498"")
"),1310)</f>
        <v>1310</v>
      </c>
      <c r="J498" s="183">
        <f ca="1">IFERROR(__xludf.DUMMYFUNCTION("IMPORTRANGE(""https://docs.google.com/spreadsheets/d/1KxicF4apzSqm0-jIpmueT4kyZtE-Cwn5zskl7GD4loQ/edit?usp=share_link"",""กำแพงเพชร!J498"")+IMPORTRANGE(""https://docs.google.com/spreadsheets/d/1ZNYWeiFoFA1K1U4xKWqRX29MBvEyRHXORjo734Gnq_c/edit?usp=share_li"&amp;"nk"",""เชียงราย!J498"")
+IMPORTRANGE(""https://docs.google.com/spreadsheets/d/1Jgv0Y7YlHDtsiDawwp-uvifEJ8HVaSn0k2aGHG8-hwM/edit?usp=share_link"",""เชียงใหม่!J498"")+IMPORTRANGE(""https://docs.google.com/spreadsheets/d/1JWG2rZePOz9pe-f-ObA-yDr0VoOX2kSb0qIi"&amp;"x2mTUo8/edit?usp=share_link"",""ตาก!J498"")+IMPORTRANGE(""https://docs.google.com/spreadsheets/d/10nSRjK08hx8Y6HgSOQKNw81lyY46Zc7U_Cj72hBMp9U/edit?usp=share_link"",""นครสวรรค์!J498"")+IMPORTRANGE(""https://docs.google.com/spreadsheets/d/1gFVb7qd7amutrIxAA"&amp;"oM7lcy35hllxznovot8lyOfvDo/edit?usp=share_link"",""น่าน!J498"")+IMPORTRANGE(""https://docs.google.com/spreadsheets/d/1K0Aa9s-6EuHE5M0FG1F9aHLXRCOV917xvycTdLdct0w/edit?usp=share_link"",""พะเยา!J498"")+IMPORTRANGE(""https://docs.google.com/spreadsheets/d/1Y"&amp;"9LPKx95PyL5OKy09d-KbKJSuuEZCFdkhYjwC0XQjBA/edit?usp=share_link"",""พิจิตร!J498"")+IMPORTRANGE(""https://docs.google.com/spreadsheets/d/16OMuOwy2eVqZcYWOouQtTpa8X1L23h4660uVHc0C8os/edit?usp=share_link"",""พิษณุโลก!J498"")+IMPORTRANGE(""https://docs.google."&amp;"com/spreadsheets/d/1GfgTldLG6k77HXaMQzaafODklYuucJZQNs_GAPEfZyY/edit?usp=share_link"",""เพชรบูรณ์!J498"")+IMPORTRANGE(""https://docs.google.com/spreadsheets/d/1gvTMYAnm7v1yG1BKWFtr0DnaTsq59oW9dwWvFgq6hs0/edit?usp=share_link"",""แพร่!J498"")+IMPORTRANGE("""&amp;"https://docs.google.com/spreadsheets/d/1Wbcosgy-Xa1xXUArJSOenub6EfZHUSzc_bpJFWwQUf0/edit?usp=share_link"",""แม่ฮ่องสอน!J498"")+IMPORTRANGE(""https://docs.google.com/spreadsheets/d/1p7ERhsr0qZeSn-KSOdeHS9r0heI-lHtkcn2OH7hP0jQ/edit?usp=share_link"",""ลำปาง!"&amp;"J498"")+IMPORTRANGE(""https://docs.google.com/spreadsheets/d/1-uUXvimVhiU2U0bMN-xi2te0tS4X7DI2GLPnMjzl8cA/edit?usp=share_link"",""ลำพูน!J498"")+IMPORTRANGE(""https://docs.google.com/spreadsheets/d/17HrOaa5pBUI1onckFfumXB8xlg35qb2uBAFfF1D-Myo/edit?usp=shar"&amp;"e_link"",""สุโขทัย!J498"")+IMPORTRANGE(""https://docs.google.com/spreadsheets/d/1ubs5cl16eYL9gHbdHTJtmtYb9MGzHBs7CAphn8kNCgM/edit?usp=share_link"",""อุตรดิตถ์!J498"")+IMPORTRANGE(""https://docs.google.com/spreadsheets/d/1kII0BjS6CtVrBvI8IrytgPdxDrlyQDyigz"&amp;"MsohRtDMs/edit?usp=share_link"",""อุทัยธานี!J498"")
"),50)</f>
        <v>50</v>
      </c>
      <c r="K498" s="38">
        <f ca="1">IF(I498&gt;0,J498*100/I498,0)</f>
        <v>3.8167938931297711</v>
      </c>
      <c r="L498" s="38"/>
      <c r="M498" s="38"/>
      <c r="N498" s="38"/>
      <c r="O498" s="38"/>
      <c r="P498" s="38"/>
      <c r="Q498" s="542"/>
      <c r="R498" s="542"/>
      <c r="S498" s="542"/>
      <c r="T498" s="542"/>
      <c r="U498" s="542"/>
      <c r="V498" s="542"/>
      <c r="W498" s="542"/>
      <c r="X498" s="542"/>
      <c r="Y498" s="542"/>
      <c r="Z498" s="542"/>
    </row>
    <row r="499" spans="1:26" ht="18.75">
      <c r="A499" s="573"/>
      <c r="B499" s="574"/>
      <c r="C499" s="574"/>
      <c r="D499" s="574"/>
      <c r="E499" s="586"/>
      <c r="F499" s="593" t="s">
        <v>218</v>
      </c>
      <c r="G499" s="175"/>
      <c r="H499" s="36" t="s">
        <v>46</v>
      </c>
      <c r="I499" s="37"/>
      <c r="J499" s="183">
        <f ca="1">IFERROR(__xludf.DUMMYFUNCTION("IMPORTRANGE(""https://docs.google.com/spreadsheets/d/1KxicF4apzSqm0-jIpmueT4kyZtE-Cwn5zskl7GD4loQ/edit?usp=share_link"",""กำแพงเพชร!J499"")+IMPORTRANGE(""https://docs.google.com/spreadsheets/d/1ZNYWeiFoFA1K1U4xKWqRX29MBvEyRHXORjo734Gnq_c/edit?usp=share_li"&amp;"nk"",""เชียงราย!J499"")
+IMPORTRANGE(""https://docs.google.com/spreadsheets/d/1Jgv0Y7YlHDtsiDawwp-uvifEJ8HVaSn0k2aGHG8-hwM/edit?usp=share_link"",""เชียงใหม่!J499"")+IMPORTRANGE(""https://docs.google.com/spreadsheets/d/1JWG2rZePOz9pe-f-ObA-yDr0VoOX2kSb0qIi"&amp;"x2mTUo8/edit?usp=share_link"",""ตาก!J499"")+IMPORTRANGE(""https://docs.google.com/spreadsheets/d/10nSRjK08hx8Y6HgSOQKNw81lyY46Zc7U_Cj72hBMp9U/edit?usp=share_link"",""นครสวรรค์!J499"")+IMPORTRANGE(""https://docs.google.com/spreadsheets/d/1gFVb7qd7amutrIxAA"&amp;"oM7lcy35hllxznovot8lyOfvDo/edit?usp=share_link"",""น่าน!J499"")+IMPORTRANGE(""https://docs.google.com/spreadsheets/d/1K0Aa9s-6EuHE5M0FG1F9aHLXRCOV917xvycTdLdct0w/edit?usp=share_link"",""พะเยา!J499"")+IMPORTRANGE(""https://docs.google.com/spreadsheets/d/1Y"&amp;"9LPKx95PyL5OKy09d-KbKJSuuEZCFdkhYjwC0XQjBA/edit?usp=share_link"",""พิจิตร!J499"")+IMPORTRANGE(""https://docs.google.com/spreadsheets/d/16OMuOwy2eVqZcYWOouQtTpa8X1L23h4660uVHc0C8os/edit?usp=share_link"",""พิษณุโลก!J499"")+IMPORTRANGE(""https://docs.google."&amp;"com/spreadsheets/d/1GfgTldLG6k77HXaMQzaafODklYuucJZQNs_GAPEfZyY/edit?usp=share_link"",""เพชรบูรณ์!J499"")+IMPORTRANGE(""https://docs.google.com/spreadsheets/d/1gvTMYAnm7v1yG1BKWFtr0DnaTsq59oW9dwWvFgq6hs0/edit?usp=share_link"",""แพร่!J499"")+IMPORTRANGE("""&amp;"https://docs.google.com/spreadsheets/d/1Wbcosgy-Xa1xXUArJSOenub6EfZHUSzc_bpJFWwQUf0/edit?usp=share_link"",""แม่ฮ่องสอน!J499"")+IMPORTRANGE(""https://docs.google.com/spreadsheets/d/1p7ERhsr0qZeSn-KSOdeHS9r0heI-lHtkcn2OH7hP0jQ/edit?usp=share_link"",""ลำปาง!"&amp;"J499"")+IMPORTRANGE(""https://docs.google.com/spreadsheets/d/1-uUXvimVhiU2U0bMN-xi2te0tS4X7DI2GLPnMjzl8cA/edit?usp=share_link"",""ลำพูน!J499"")+IMPORTRANGE(""https://docs.google.com/spreadsheets/d/17HrOaa5pBUI1onckFfumXB8xlg35qb2uBAFfF1D-Myo/edit?usp=shar"&amp;"e_link"",""สุโขทัย!J499"")+IMPORTRANGE(""https://docs.google.com/spreadsheets/d/1ubs5cl16eYL9gHbdHTJtmtYb9MGzHBs7CAphn8kNCgM/edit?usp=share_link"",""อุตรดิตถ์!J499"")+IMPORTRANGE(""https://docs.google.com/spreadsheets/d/1kII0BjS6CtVrBvI8IrytgPdxDrlyQDyigz"&amp;"MsohRtDMs/edit?usp=share_link"",""อุทัยธานี!J499"")
"),5)</f>
        <v>5</v>
      </c>
      <c r="K499" s="38"/>
      <c r="L499" s="38"/>
      <c r="M499" s="38"/>
      <c r="N499" s="38"/>
      <c r="O499" s="38"/>
      <c r="P499" s="38"/>
      <c r="Q499" s="542"/>
      <c r="R499" s="542"/>
      <c r="S499" s="542"/>
      <c r="T499" s="542"/>
      <c r="U499" s="542"/>
      <c r="V499" s="542"/>
      <c r="W499" s="542"/>
      <c r="X499" s="542"/>
      <c r="Y499" s="542"/>
      <c r="Z499" s="542"/>
    </row>
    <row r="500" spans="1:26" ht="19.5" hidden="1">
      <c r="A500" s="594">
        <v>4</v>
      </c>
      <c r="B500" s="595" t="s">
        <v>219</v>
      </c>
      <c r="C500" s="596"/>
      <c r="D500" s="597"/>
      <c r="E500" s="597"/>
      <c r="F500" s="597"/>
      <c r="G500" s="598"/>
      <c r="H500" s="599" t="s">
        <v>109</v>
      </c>
      <c r="I500" s="600"/>
      <c r="J500" s="600">
        <f t="shared" ref="J500:J501" si="249">J516</f>
        <v>0</v>
      </c>
      <c r="K500" s="601">
        <f t="shared" ref="K500:K501" si="250">IF(I500&gt;0,J500*100/I500,0)</f>
        <v>0</v>
      </c>
      <c r="L500" s="602"/>
      <c r="M500" s="602"/>
      <c r="N500" s="602"/>
      <c r="O500" s="602"/>
      <c r="P500" s="602"/>
      <c r="Q500" s="569"/>
      <c r="R500" s="569"/>
      <c r="S500" s="569"/>
      <c r="T500" s="569"/>
      <c r="U500" s="569"/>
      <c r="V500" s="569"/>
      <c r="W500" s="569"/>
      <c r="X500" s="569"/>
      <c r="Y500" s="569"/>
      <c r="Z500" s="569"/>
    </row>
    <row r="501" spans="1:26" ht="19.5" hidden="1">
      <c r="A501" s="603"/>
      <c r="B501" s="604" t="s">
        <v>220</v>
      </c>
      <c r="C501" s="605"/>
      <c r="D501" s="606"/>
      <c r="E501" s="606"/>
      <c r="F501" s="606"/>
      <c r="G501" s="607"/>
      <c r="H501" s="608" t="s">
        <v>35</v>
      </c>
      <c r="I501" s="609"/>
      <c r="J501" s="609">
        <f t="shared" si="249"/>
        <v>0</v>
      </c>
      <c r="K501" s="610">
        <f t="shared" si="250"/>
        <v>0</v>
      </c>
      <c r="L501" s="611"/>
      <c r="M501" s="611"/>
      <c r="N501" s="611"/>
      <c r="O501" s="611"/>
      <c r="P501" s="611"/>
      <c r="Q501" s="569"/>
      <c r="R501" s="569"/>
      <c r="S501" s="569"/>
      <c r="T501" s="569"/>
      <c r="U501" s="569"/>
      <c r="V501" s="569"/>
      <c r="W501" s="569"/>
      <c r="X501" s="569"/>
      <c r="Y501" s="569"/>
      <c r="Z501" s="569"/>
    </row>
    <row r="502" spans="1:26" ht="19.5" hidden="1">
      <c r="A502" s="564"/>
      <c r="B502" s="565"/>
      <c r="C502" s="565" t="s">
        <v>16</v>
      </c>
      <c r="D502" s="1489" t="s">
        <v>17</v>
      </c>
      <c r="E502" s="1485"/>
      <c r="F502" s="1485"/>
      <c r="G502" s="568"/>
      <c r="H502" s="612" t="s">
        <v>12</v>
      </c>
      <c r="I502" s="44"/>
      <c r="J502" s="44"/>
      <c r="K502" s="45"/>
      <c r="L502" s="613">
        <f t="shared" ref="L502:N502" si="251">L503+L504</f>
        <v>0</v>
      </c>
      <c r="M502" s="613">
        <f t="shared" si="251"/>
        <v>0</v>
      </c>
      <c r="N502" s="613">
        <f t="shared" si="251"/>
        <v>0</v>
      </c>
      <c r="O502" s="613">
        <f t="shared" ref="O502:O507" si="252">IF(L502&gt;0,N502*100/L502,0)</f>
        <v>0</v>
      </c>
      <c r="P502" s="613">
        <f t="shared" ref="P502:P507" si="253">IF(M502&gt;0,N502*100/M502,0)</f>
        <v>0</v>
      </c>
      <c r="Q502" s="569"/>
      <c r="R502" s="569"/>
      <c r="S502" s="569"/>
      <c r="T502" s="569"/>
      <c r="U502" s="569"/>
      <c r="V502" s="569"/>
      <c r="W502" s="569"/>
      <c r="X502" s="569"/>
      <c r="Y502" s="569"/>
      <c r="Z502" s="569"/>
    </row>
    <row r="503" spans="1:26" ht="18.75" hidden="1">
      <c r="A503" s="564"/>
      <c r="B503" s="565"/>
      <c r="C503" s="565"/>
      <c r="D503" s="566"/>
      <c r="E503" s="567" t="s">
        <v>184</v>
      </c>
      <c r="F503" s="565"/>
      <c r="G503" s="568"/>
      <c r="H503" s="165" t="s">
        <v>12</v>
      </c>
      <c r="I503" s="44"/>
      <c r="J503" s="44"/>
      <c r="K503" s="45"/>
      <c r="L503" s="45">
        <f t="shared" ref="L503:N503" si="254">L506+L513</f>
        <v>0</v>
      </c>
      <c r="M503" s="45">
        <f t="shared" si="254"/>
        <v>0</v>
      </c>
      <c r="N503" s="45">
        <f t="shared" si="254"/>
        <v>0</v>
      </c>
      <c r="O503" s="45">
        <f t="shared" si="252"/>
        <v>0</v>
      </c>
      <c r="P503" s="45">
        <f t="shared" si="253"/>
        <v>0</v>
      </c>
      <c r="Q503" s="569"/>
      <c r="R503" s="569"/>
      <c r="S503" s="569"/>
      <c r="T503" s="569"/>
      <c r="U503" s="569"/>
      <c r="V503" s="569"/>
      <c r="W503" s="569"/>
      <c r="X503" s="569"/>
      <c r="Y503" s="569"/>
      <c r="Z503" s="569"/>
    </row>
    <row r="504" spans="1:26" ht="18.75" hidden="1">
      <c r="A504" s="564"/>
      <c r="B504" s="570"/>
      <c r="C504" s="565"/>
      <c r="D504" s="566"/>
      <c r="E504" s="567" t="s">
        <v>185</v>
      </c>
      <c r="F504" s="565"/>
      <c r="G504" s="568"/>
      <c r="H504" s="165" t="s">
        <v>12</v>
      </c>
      <c r="I504" s="44"/>
      <c r="J504" s="44"/>
      <c r="K504" s="45"/>
      <c r="L504" s="45">
        <f t="shared" ref="L504:N504" si="255">L507+L514</f>
        <v>0</v>
      </c>
      <c r="M504" s="45">
        <f t="shared" si="255"/>
        <v>0</v>
      </c>
      <c r="N504" s="45">
        <f t="shared" si="255"/>
        <v>0</v>
      </c>
      <c r="O504" s="45">
        <f t="shared" si="252"/>
        <v>0</v>
      </c>
      <c r="P504" s="45">
        <f t="shared" si="253"/>
        <v>0</v>
      </c>
      <c r="Q504" s="569"/>
      <c r="R504" s="569"/>
      <c r="S504" s="569"/>
      <c r="T504" s="569"/>
      <c r="U504" s="569"/>
      <c r="V504" s="569"/>
      <c r="W504" s="569"/>
      <c r="X504" s="569"/>
      <c r="Y504" s="569"/>
      <c r="Z504" s="569"/>
    </row>
    <row r="505" spans="1:26" ht="18.75" hidden="1">
      <c r="A505" s="564"/>
      <c r="B505" s="570"/>
      <c r="C505" s="565"/>
      <c r="D505" s="614" t="s">
        <v>20</v>
      </c>
      <c r="E505" s="565"/>
      <c r="F505" s="565"/>
      <c r="G505" s="568"/>
      <c r="H505" s="165" t="s">
        <v>12</v>
      </c>
      <c r="I505" s="166"/>
      <c r="J505" s="166"/>
      <c r="K505" s="167"/>
      <c r="L505" s="45">
        <f t="shared" ref="L505:N505" si="256">L506+L507</f>
        <v>0</v>
      </c>
      <c r="M505" s="45">
        <f t="shared" si="256"/>
        <v>0</v>
      </c>
      <c r="N505" s="45">
        <f t="shared" si="256"/>
        <v>0</v>
      </c>
      <c r="O505" s="45">
        <f t="shared" si="252"/>
        <v>0</v>
      </c>
      <c r="P505" s="45">
        <f t="shared" si="253"/>
        <v>0</v>
      </c>
      <c r="Q505" s="569"/>
      <c r="R505" s="569"/>
      <c r="S505" s="569"/>
      <c r="T505" s="569"/>
      <c r="U505" s="569"/>
      <c r="V505" s="569"/>
      <c r="W505" s="569"/>
      <c r="X505" s="569"/>
      <c r="Y505" s="569"/>
      <c r="Z505" s="569"/>
    </row>
    <row r="506" spans="1:26" ht="18.75" hidden="1">
      <c r="A506" s="564"/>
      <c r="B506" s="570"/>
      <c r="C506" s="565"/>
      <c r="D506" s="566"/>
      <c r="E506" s="567" t="s">
        <v>184</v>
      </c>
      <c r="F506" s="565"/>
      <c r="G506" s="568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2"/>
        <v>0</v>
      </c>
      <c r="P506" s="45">
        <f t="shared" si="253"/>
        <v>0</v>
      </c>
      <c r="Q506" s="569"/>
      <c r="R506" s="569"/>
      <c r="S506" s="569"/>
      <c r="T506" s="569"/>
      <c r="U506" s="569"/>
      <c r="V506" s="569"/>
      <c r="W506" s="569"/>
      <c r="X506" s="569"/>
      <c r="Y506" s="569"/>
      <c r="Z506" s="569"/>
    </row>
    <row r="507" spans="1:26" ht="18.75" hidden="1">
      <c r="A507" s="564"/>
      <c r="B507" s="570"/>
      <c r="C507" s="565"/>
      <c r="D507" s="566"/>
      <c r="E507" s="567" t="s">
        <v>185</v>
      </c>
      <c r="F507" s="565"/>
      <c r="G507" s="568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2"/>
        <v>0</v>
      </c>
      <c r="P507" s="45">
        <f t="shared" si="253"/>
        <v>0</v>
      </c>
      <c r="Q507" s="569"/>
      <c r="R507" s="569"/>
      <c r="S507" s="569"/>
      <c r="T507" s="569"/>
      <c r="U507" s="569"/>
      <c r="V507" s="569"/>
      <c r="W507" s="569"/>
      <c r="X507" s="569"/>
      <c r="Y507" s="569"/>
      <c r="Z507" s="569"/>
    </row>
    <row r="508" spans="1:26" ht="18.75" hidden="1">
      <c r="A508" s="615"/>
      <c r="B508" s="570"/>
      <c r="C508" s="565"/>
      <c r="D508" s="565"/>
      <c r="E508" s="565"/>
      <c r="F508" s="567" t="s">
        <v>186</v>
      </c>
      <c r="G508" s="568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69"/>
      <c r="R508" s="569"/>
      <c r="S508" s="569"/>
      <c r="T508" s="569"/>
      <c r="U508" s="569"/>
      <c r="V508" s="569"/>
      <c r="W508" s="569"/>
      <c r="X508" s="569"/>
      <c r="Y508" s="569"/>
      <c r="Z508" s="569"/>
    </row>
    <row r="509" spans="1:26" ht="18.75" hidden="1">
      <c r="A509" s="615"/>
      <c r="B509" s="570"/>
      <c r="C509" s="565"/>
      <c r="D509" s="565"/>
      <c r="E509" s="565"/>
      <c r="F509" s="567" t="s">
        <v>187</v>
      </c>
      <c r="G509" s="568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69"/>
      <c r="R509" s="569"/>
      <c r="S509" s="569"/>
      <c r="T509" s="569"/>
      <c r="U509" s="569"/>
      <c r="V509" s="569"/>
      <c r="W509" s="569"/>
      <c r="X509" s="569"/>
      <c r="Y509" s="569"/>
      <c r="Z509" s="569"/>
    </row>
    <row r="510" spans="1:26" ht="18.75" hidden="1">
      <c r="A510" s="615"/>
      <c r="B510" s="570"/>
      <c r="C510" s="570"/>
      <c r="D510" s="570"/>
      <c r="E510" s="565"/>
      <c r="F510" s="567" t="s">
        <v>188</v>
      </c>
      <c r="G510" s="568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69"/>
      <c r="R510" s="569"/>
      <c r="S510" s="569"/>
      <c r="T510" s="569"/>
      <c r="U510" s="569"/>
      <c r="V510" s="569"/>
      <c r="W510" s="569"/>
      <c r="X510" s="569"/>
      <c r="Y510" s="569"/>
      <c r="Z510" s="569"/>
    </row>
    <row r="511" spans="1:26" ht="18.75" hidden="1">
      <c r="A511" s="615"/>
      <c r="B511" s="570"/>
      <c r="C511" s="570"/>
      <c r="D511" s="570"/>
      <c r="E511" s="565"/>
      <c r="F511" s="567" t="s">
        <v>189</v>
      </c>
      <c r="G511" s="568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69"/>
      <c r="R511" s="569"/>
      <c r="S511" s="569"/>
      <c r="T511" s="569"/>
      <c r="U511" s="569"/>
      <c r="V511" s="569"/>
      <c r="W511" s="569"/>
      <c r="X511" s="569"/>
      <c r="Y511" s="569"/>
      <c r="Z511" s="569"/>
    </row>
    <row r="512" spans="1:26" ht="18.75" hidden="1">
      <c r="A512" s="564"/>
      <c r="B512" s="570"/>
      <c r="C512" s="570"/>
      <c r="D512" s="614" t="s">
        <v>21</v>
      </c>
      <c r="E512" s="570"/>
      <c r="F512" s="565"/>
      <c r="G512" s="568"/>
      <c r="H512" s="169" t="s">
        <v>12</v>
      </c>
      <c r="I512" s="166"/>
      <c r="J512" s="166"/>
      <c r="K512" s="167"/>
      <c r="L512" s="45">
        <f t="shared" ref="L512:N512" si="257">L513+L514</f>
        <v>0</v>
      </c>
      <c r="M512" s="45">
        <f t="shared" si="257"/>
        <v>0</v>
      </c>
      <c r="N512" s="45">
        <f t="shared" si="257"/>
        <v>0</v>
      </c>
      <c r="O512" s="45">
        <f t="shared" ref="O512:O514" si="258">IF(L512&gt;0,N512*100/L512,0)</f>
        <v>0</v>
      </c>
      <c r="P512" s="45">
        <f t="shared" ref="P512:P514" si="259">IF(M512&gt;0,N512*100/M512,0)</f>
        <v>0</v>
      </c>
      <c r="Q512" s="569"/>
      <c r="R512" s="569"/>
      <c r="S512" s="569"/>
      <c r="T512" s="569"/>
      <c r="U512" s="569"/>
      <c r="V512" s="569"/>
      <c r="W512" s="569"/>
      <c r="X512" s="569"/>
      <c r="Y512" s="569"/>
      <c r="Z512" s="569"/>
    </row>
    <row r="513" spans="1:26" ht="18.75" hidden="1">
      <c r="A513" s="564"/>
      <c r="B513" s="570"/>
      <c r="C513" s="570"/>
      <c r="D513" s="570"/>
      <c r="E513" s="572" t="s">
        <v>18</v>
      </c>
      <c r="F513" s="565"/>
      <c r="G513" s="56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8"/>
        <v>0</v>
      </c>
      <c r="P513" s="45">
        <f t="shared" si="259"/>
        <v>0</v>
      </c>
      <c r="Q513" s="569"/>
      <c r="R513" s="569"/>
      <c r="S513" s="569"/>
      <c r="T513" s="569"/>
      <c r="U513" s="569"/>
      <c r="V513" s="569"/>
      <c r="W513" s="569"/>
      <c r="X513" s="569"/>
      <c r="Y513" s="569"/>
      <c r="Z513" s="569"/>
    </row>
    <row r="514" spans="1:26" ht="18.75" hidden="1">
      <c r="A514" s="564"/>
      <c r="B514" s="570"/>
      <c r="C514" s="570"/>
      <c r="D514" s="565"/>
      <c r="E514" s="572" t="s">
        <v>19</v>
      </c>
      <c r="F514" s="565"/>
      <c r="G514" s="56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8"/>
        <v>0</v>
      </c>
      <c r="P514" s="45">
        <f t="shared" si="259"/>
        <v>0</v>
      </c>
      <c r="Q514" s="569"/>
      <c r="R514" s="569"/>
      <c r="S514" s="569"/>
      <c r="T514" s="569"/>
      <c r="U514" s="569"/>
      <c r="V514" s="569"/>
      <c r="W514" s="569"/>
      <c r="X514" s="569"/>
      <c r="Y514" s="569"/>
      <c r="Z514" s="569"/>
    </row>
    <row r="515" spans="1:26" ht="19.5" hidden="1">
      <c r="A515" s="579"/>
      <c r="B515" s="580"/>
      <c r="C515" s="570" t="s">
        <v>16</v>
      </c>
      <c r="D515" s="616" t="s">
        <v>38</v>
      </c>
      <c r="E515" s="617"/>
      <c r="F515" s="617"/>
      <c r="G515" s="618"/>
      <c r="H515" s="582"/>
      <c r="I515" s="166"/>
      <c r="J515" s="166"/>
      <c r="K515" s="167"/>
      <c r="L515" s="167"/>
      <c r="M515" s="167"/>
      <c r="N515" s="167"/>
      <c r="O515" s="167"/>
      <c r="P515" s="167"/>
      <c r="Q515" s="569"/>
      <c r="R515" s="569"/>
      <c r="S515" s="569"/>
      <c r="T515" s="569"/>
      <c r="U515" s="569"/>
      <c r="V515" s="569"/>
      <c r="W515" s="569"/>
      <c r="X515" s="569"/>
      <c r="Y515" s="569"/>
      <c r="Z515" s="569"/>
    </row>
    <row r="516" spans="1:26" ht="18.75" hidden="1">
      <c r="A516" s="579"/>
      <c r="B516" s="580"/>
      <c r="C516" s="580"/>
      <c r="D516" s="581" t="s">
        <v>221</v>
      </c>
      <c r="E516" s="566"/>
      <c r="F516" s="566"/>
      <c r="G516" s="582"/>
      <c r="H516" s="619" t="s">
        <v>109</v>
      </c>
      <c r="I516" s="44"/>
      <c r="J516" s="584">
        <v>0</v>
      </c>
      <c r="K516" s="167">
        <f t="shared" ref="K516:K517" si="260">IF(I516&gt;0,J516*100/I516,0)</f>
        <v>0</v>
      </c>
      <c r="L516" s="167"/>
      <c r="M516" s="167"/>
      <c r="N516" s="167"/>
      <c r="O516" s="167"/>
      <c r="P516" s="167"/>
      <c r="Q516" s="569"/>
      <c r="R516" s="569"/>
      <c r="S516" s="569"/>
      <c r="T516" s="569"/>
      <c r="U516" s="569"/>
      <c r="V516" s="569"/>
      <c r="W516" s="569"/>
      <c r="X516" s="569"/>
      <c r="Y516" s="569"/>
      <c r="Z516" s="569"/>
    </row>
    <row r="517" spans="1:26" ht="19.5" hidden="1">
      <c r="A517" s="579"/>
      <c r="B517" s="580"/>
      <c r="C517" s="580"/>
      <c r="D517" s="581" t="s">
        <v>222</v>
      </c>
      <c r="E517" s="566"/>
      <c r="F517" s="566"/>
      <c r="G517" s="582"/>
      <c r="H517" s="620" t="s">
        <v>35</v>
      </c>
      <c r="I517" s="621"/>
      <c r="J517" s="621">
        <f>J518+J519</f>
        <v>0</v>
      </c>
      <c r="K517" s="622">
        <f t="shared" si="260"/>
        <v>0</v>
      </c>
      <c r="L517" s="167"/>
      <c r="M517" s="167"/>
      <c r="N517" s="167"/>
      <c r="O517" s="167"/>
      <c r="P517" s="167"/>
      <c r="Q517" s="569"/>
      <c r="R517" s="569"/>
      <c r="S517" s="569"/>
      <c r="T517" s="569"/>
      <c r="U517" s="569"/>
      <c r="V517" s="569"/>
      <c r="W517" s="569"/>
      <c r="X517" s="569"/>
      <c r="Y517" s="569"/>
      <c r="Z517" s="569"/>
    </row>
    <row r="518" spans="1:26" ht="18.75" hidden="1">
      <c r="A518" s="579"/>
      <c r="B518" s="580"/>
      <c r="C518" s="580"/>
      <c r="D518" s="580"/>
      <c r="E518" s="581" t="s">
        <v>223</v>
      </c>
      <c r="F518" s="566"/>
      <c r="G518" s="582"/>
      <c r="H518" s="583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69"/>
      <c r="R518" s="569"/>
      <c r="S518" s="569"/>
      <c r="T518" s="569"/>
      <c r="U518" s="569"/>
      <c r="V518" s="569"/>
      <c r="W518" s="569"/>
      <c r="X518" s="569"/>
      <c r="Y518" s="569"/>
      <c r="Z518" s="569"/>
    </row>
    <row r="519" spans="1:26" ht="18.75" hidden="1">
      <c r="A519" s="579"/>
      <c r="B519" s="580"/>
      <c r="C519" s="580"/>
      <c r="D519" s="580"/>
      <c r="E519" s="581" t="s">
        <v>224</v>
      </c>
      <c r="F519" s="566"/>
      <c r="G519" s="582"/>
      <c r="H519" s="619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69"/>
      <c r="R519" s="569"/>
      <c r="S519" s="569"/>
      <c r="T519" s="569"/>
      <c r="U519" s="569"/>
      <c r="V519" s="569"/>
      <c r="W519" s="569"/>
      <c r="X519" s="569"/>
      <c r="Y519" s="569"/>
      <c r="Z519" s="569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2"/>
      <c r="R521" s="542"/>
      <c r="S521" s="542"/>
      <c r="T521" s="542"/>
      <c r="U521" s="542"/>
      <c r="V521" s="542"/>
      <c r="W521" s="542"/>
      <c r="X521" s="542"/>
      <c r="Y521" s="542"/>
      <c r="Z521" s="542"/>
    </row>
    <row r="522" spans="1:26" ht="19.5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42">
        <f t="shared" ref="I522:J522" ca="1" si="261">I537</f>
        <v>80</v>
      </c>
      <c r="J522" s="642">
        <f t="shared" ca="1" si="261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2"/>
      <c r="R522" s="542"/>
      <c r="S522" s="542"/>
      <c r="T522" s="542"/>
      <c r="U522" s="542"/>
      <c r="V522" s="542"/>
      <c r="W522" s="542"/>
      <c r="X522" s="542"/>
      <c r="Y522" s="542"/>
      <c r="Z522" s="542"/>
    </row>
    <row r="523" spans="1:26" ht="19.5">
      <c r="A523" s="562"/>
      <c r="B523" s="540"/>
      <c r="C523" s="540" t="s">
        <v>16</v>
      </c>
      <c r="D523" s="1484" t="s">
        <v>17</v>
      </c>
      <c r="E523" s="1485"/>
      <c r="F523" s="1485"/>
      <c r="G523" s="189"/>
      <c r="H523" s="563" t="s">
        <v>12</v>
      </c>
      <c r="I523" s="37"/>
      <c r="J523" s="37"/>
      <c r="K523" s="38"/>
      <c r="L523" s="195">
        <f t="shared" ref="L523:N523" ca="1" si="262">L524+L525</f>
        <v>652760</v>
      </c>
      <c r="M523" s="195">
        <f t="shared" si="262"/>
        <v>0</v>
      </c>
      <c r="N523" s="195">
        <f t="shared" ca="1" si="262"/>
        <v>169355</v>
      </c>
      <c r="O523" s="195">
        <f t="shared" ref="O523:O528" ca="1" si="263">IF(L523&gt;0,N523*100/L523,0)</f>
        <v>25.94445125314051</v>
      </c>
      <c r="P523" s="195">
        <f t="shared" ref="P523:P528" si="264">IF(M523&gt;0,N523*100/M523,0)</f>
        <v>0</v>
      </c>
      <c r="Q523" s="542"/>
      <c r="R523" s="542"/>
      <c r="S523" s="542"/>
      <c r="T523" s="542"/>
      <c r="U523" s="542"/>
      <c r="V523" s="542"/>
      <c r="W523" s="542"/>
      <c r="X523" s="542"/>
      <c r="Y523" s="542"/>
      <c r="Z523" s="542"/>
    </row>
    <row r="524" spans="1:26" ht="18.75" hidden="1">
      <c r="A524" s="564"/>
      <c r="B524" s="565"/>
      <c r="C524" s="565"/>
      <c r="D524" s="566"/>
      <c r="E524" s="567" t="s">
        <v>184</v>
      </c>
      <c r="F524" s="565"/>
      <c r="G524" s="568"/>
      <c r="H524" s="165" t="s">
        <v>12</v>
      </c>
      <c r="I524" s="44"/>
      <c r="J524" s="44"/>
      <c r="K524" s="45"/>
      <c r="L524" s="45">
        <f t="shared" ref="L524:N524" si="265">L527+L534</f>
        <v>0</v>
      </c>
      <c r="M524" s="45">
        <f t="shared" si="265"/>
        <v>0</v>
      </c>
      <c r="N524" s="45">
        <f t="shared" si="265"/>
        <v>0</v>
      </c>
      <c r="O524" s="45">
        <f t="shared" si="263"/>
        <v>0</v>
      </c>
      <c r="P524" s="45">
        <f t="shared" si="264"/>
        <v>0</v>
      </c>
      <c r="Q524" s="569"/>
      <c r="R524" s="569"/>
      <c r="S524" s="569"/>
      <c r="T524" s="569"/>
      <c r="U524" s="569"/>
      <c r="V524" s="569"/>
      <c r="W524" s="569"/>
      <c r="X524" s="569"/>
      <c r="Y524" s="569"/>
      <c r="Z524" s="569"/>
    </row>
    <row r="525" spans="1:26" ht="18.75" hidden="1">
      <c r="A525" s="564"/>
      <c r="B525" s="570"/>
      <c r="C525" s="565"/>
      <c r="D525" s="566"/>
      <c r="E525" s="567" t="s">
        <v>185</v>
      </c>
      <c r="F525" s="565"/>
      <c r="G525" s="568"/>
      <c r="H525" s="165" t="s">
        <v>12</v>
      </c>
      <c r="I525" s="44"/>
      <c r="J525" s="44"/>
      <c r="K525" s="45"/>
      <c r="L525" s="45">
        <f t="shared" ref="L525:N525" ca="1" si="266">L528+L535</f>
        <v>652760</v>
      </c>
      <c r="M525" s="45">
        <f t="shared" si="266"/>
        <v>0</v>
      </c>
      <c r="N525" s="45">
        <f t="shared" ca="1" si="266"/>
        <v>169355</v>
      </c>
      <c r="O525" s="45">
        <f t="shared" ca="1" si="263"/>
        <v>25.94445125314051</v>
      </c>
      <c r="P525" s="45">
        <f t="shared" si="264"/>
        <v>0</v>
      </c>
      <c r="Q525" s="569"/>
      <c r="R525" s="569"/>
      <c r="S525" s="569"/>
      <c r="T525" s="569"/>
      <c r="U525" s="569"/>
      <c r="V525" s="569"/>
      <c r="W525" s="569"/>
      <c r="X525" s="569"/>
      <c r="Y525" s="569"/>
      <c r="Z525" s="569"/>
    </row>
    <row r="526" spans="1:26" ht="18.75">
      <c r="A526" s="562"/>
      <c r="B526" s="539"/>
      <c r="C526" s="540"/>
      <c r="D526" s="571" t="s">
        <v>20</v>
      </c>
      <c r="E526" s="540"/>
      <c r="F526" s="540"/>
      <c r="G526" s="189"/>
      <c r="H526" s="161" t="s">
        <v>12</v>
      </c>
      <c r="I526" s="162"/>
      <c r="J526" s="162"/>
      <c r="K526" s="163"/>
      <c r="L526" s="38">
        <f t="shared" ref="L526:N526" ca="1" si="267">L527+L528</f>
        <v>652760</v>
      </c>
      <c r="M526" s="38">
        <f t="shared" si="267"/>
        <v>0</v>
      </c>
      <c r="N526" s="38">
        <f t="shared" ca="1" si="267"/>
        <v>169355</v>
      </c>
      <c r="O526" s="38">
        <f t="shared" ca="1" si="263"/>
        <v>25.94445125314051</v>
      </c>
      <c r="P526" s="38">
        <f t="shared" si="264"/>
        <v>0</v>
      </c>
      <c r="Q526" s="542"/>
      <c r="R526" s="542"/>
      <c r="S526" s="542"/>
      <c r="T526" s="542"/>
      <c r="U526" s="542"/>
      <c r="V526" s="542"/>
      <c r="W526" s="542"/>
      <c r="X526" s="542"/>
      <c r="Y526" s="542"/>
      <c r="Z526" s="542"/>
    </row>
    <row r="527" spans="1:26" ht="18.75" hidden="1">
      <c r="A527" s="564"/>
      <c r="B527" s="570"/>
      <c r="C527" s="565"/>
      <c r="D527" s="566"/>
      <c r="E527" s="567" t="s">
        <v>184</v>
      </c>
      <c r="F527" s="565"/>
      <c r="G527" s="568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3"/>
        <v>0</v>
      </c>
      <c r="P527" s="45">
        <f t="shared" si="264"/>
        <v>0</v>
      </c>
      <c r="Q527" s="569"/>
      <c r="R527" s="569"/>
      <c r="S527" s="569"/>
      <c r="T527" s="569"/>
      <c r="U527" s="569"/>
      <c r="V527" s="569"/>
      <c r="W527" s="569"/>
      <c r="X527" s="569"/>
      <c r="Y527" s="569"/>
      <c r="Z527" s="569"/>
    </row>
    <row r="528" spans="1:26" ht="18.75" hidden="1">
      <c r="A528" s="564"/>
      <c r="B528" s="570"/>
      <c r="C528" s="565"/>
      <c r="D528" s="566"/>
      <c r="E528" s="567" t="s">
        <v>185</v>
      </c>
      <c r="F528" s="565"/>
      <c r="G528" s="568"/>
      <c r="H528" s="165" t="s">
        <v>12</v>
      </c>
      <c r="I528" s="44"/>
      <c r="J528" s="44"/>
      <c r="K528" s="45"/>
      <c r="L528" s="45">
        <f ca="1">IFERROR(__xludf.DUMMYFUNCTION("IMPORTRANGE(""https://docs.google.com/spreadsheets/d/1KxicF4apzSqm0-jIpmueT4kyZtE-Cwn5zskl7GD4loQ/edit?usp=share_link"",""กำแพงเพชร!l528"")+IMPORTRANGE(""https://docs.google.com/spreadsheets/d/1ZNYWeiFoFA1K1U4xKWqRX29MBvEyRHXORjo734Gnq_c/edit?usp=share_li"&amp;"nk"",""เชียงราย!l528"")
+IMPORTRANGE(""https://docs.google.com/spreadsheets/d/1Jgv0Y7YlHDtsiDawwp-uvifEJ8HVaSn0k2aGHG8-hwM/edit?usp=share_link"",""เชียงใหม่!l528"")+IMPORTRANGE(""https://docs.google.com/spreadsheets/d/1JWG2rZePOz9pe-f-ObA-yDr0VoOX2kSb0qIi"&amp;"x2mTUo8/edit?usp=share_link"",""ตาก!l528"")+IMPORTRANGE(""https://docs.google.com/spreadsheets/d/10nSRjK08hx8Y6HgSOQKNw81lyY46Zc7U_Cj72hBMp9U/edit?usp=share_link"",""นครสวรรค์!l528"")+IMPORTRANGE(""https://docs.google.com/spreadsheets/d/1gFVb7qd7amutrIxAA"&amp;"oM7lcy35hllxznovot8lyOfvDo/edit?usp=share_link"",""น่าน!l528"")+IMPORTRANGE(""https://docs.google.com/spreadsheets/d/1K0Aa9s-6EuHE5M0FG1F9aHLXRCOV917xvycTdLdct0w/edit?usp=share_link"",""พะเยา!l528"")+IMPORTRANGE(""https://docs.google.com/spreadsheets/d/1Y"&amp;"9LPKx95PyL5OKy09d-KbKJSuuEZCFdkhYjwC0XQjBA/edit?usp=share_link"",""พิจิตร!l528"")+IMPORTRANGE(""https://docs.google.com/spreadsheets/d/16OMuOwy2eVqZcYWOouQtTpa8X1L23h4660uVHc0C8os/edit?usp=share_link"",""พิษณุโลก!l528"")+IMPORTRANGE(""https://docs.google."&amp;"com/spreadsheets/d/1GfgTldLG6k77HXaMQzaafODklYuucJZQNs_GAPEfZyY/edit?usp=share_link"",""เพชรบูรณ์!l528"")+IMPORTRANGE(""https://docs.google.com/spreadsheets/d/1gvTMYAnm7v1yG1BKWFtr0DnaTsq59oW9dwWvFgq6hs0/edit?usp=share_link"",""แพร่!l528"")+IMPORTRANGE("""&amp;"https://docs.google.com/spreadsheets/d/1Wbcosgy-Xa1xXUArJSOenub6EfZHUSzc_bpJFWwQUf0/edit?usp=share_link"",""แม่ฮ่องสอน!l528"")+IMPORTRANGE(""https://docs.google.com/spreadsheets/d/1p7ERhsr0qZeSn-KSOdeHS9r0heI-lHtkcn2OH7hP0jQ/edit?usp=share_link"",""ลำปาง!"&amp;"l528"")+IMPORTRANGE(""https://docs.google.com/spreadsheets/d/1-uUXvimVhiU2U0bMN-xi2te0tS4X7DI2GLPnMjzl8cA/edit?usp=share_link"",""ลำพูน!l528"")+IMPORTRANGE(""https://docs.google.com/spreadsheets/d/17HrOaa5pBUI1onckFfumXB8xlg35qb2uBAFfF1D-Myo/edit?usp=shar"&amp;"e_link"",""สุโขทัย!l528"")+IMPORTRANGE(""https://docs.google.com/spreadsheets/d/1ubs5cl16eYL9gHbdHTJtmtYb9MGzHBs7CAphn8kNCgM/edit?usp=share_link"",""อุตรดิตถ์!l528"")+IMPORTRANGE(""https://docs.google.com/spreadsheets/d/1kII0BjS6CtVrBvI8IrytgPdxDrlyQDyigz"&amp;"MsohRtDMs/edit?usp=share_link"",""อุทัยธานี!l528"")
"),652760)</f>
        <v>652760</v>
      </c>
      <c r="M528" s="93">
        <v>0</v>
      </c>
      <c r="N528" s="45">
        <f ca="1">N529+N530+N531+N532</f>
        <v>169355</v>
      </c>
      <c r="O528" s="45">
        <f t="shared" ca="1" si="263"/>
        <v>25.94445125314051</v>
      </c>
      <c r="P528" s="45">
        <f t="shared" si="264"/>
        <v>0</v>
      </c>
      <c r="Q528" s="569"/>
      <c r="R528" s="569"/>
      <c r="S528" s="569"/>
      <c r="T528" s="569"/>
      <c r="U528" s="569"/>
      <c r="V528" s="569"/>
      <c r="W528" s="569"/>
      <c r="X528" s="569"/>
      <c r="Y528" s="569"/>
      <c r="Z528" s="569"/>
    </row>
    <row r="529" spans="1:26" ht="18.75">
      <c r="A529" s="538"/>
      <c r="B529" s="539"/>
      <c r="C529" s="540"/>
      <c r="D529" s="540"/>
      <c r="E529" s="540"/>
      <c r="F529" s="541" t="s">
        <v>186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KxicF4apzSqm0-jIpmueT4kyZtE-Cwn5zskl7GD4loQ/edit?usp=share_link"",""กำแพงเพชร!n529"")+IMPORTRANGE(""https://docs.google.com/spreadsheets/d/1ZNYWeiFoFA1K1U4xKWqRX29MBvEyRHXORjo734Gnq_c/edit?usp=share_li"&amp;"nk"",""เชียงราย!n529"")
+IMPORTRANGE(""https://docs.google.com/spreadsheets/d/1Jgv0Y7YlHDtsiDawwp-uvifEJ8HVaSn0k2aGHG8-hwM/edit?usp=share_link"",""เชียงใหม่!n529"")+IMPORTRANGE(""https://docs.google.com/spreadsheets/d/1JWG2rZePOz9pe-f-ObA-yDr0VoOX2kSb0qIi"&amp;"x2mTUo8/edit?usp=share_link"",""ตาก!n529"")+IMPORTRANGE(""https://docs.google.com/spreadsheets/d/10nSRjK08hx8Y6HgSOQKNw81lyY46Zc7U_Cj72hBMp9U/edit?usp=share_link"",""นครสวรรค์!n529"")+IMPORTRANGE(""https://docs.google.com/spreadsheets/d/1gFVb7qd7amutrIxAA"&amp;"oM7lcy35hllxznovot8lyOfvDo/edit?usp=share_link"",""น่าน!n529"")+IMPORTRANGE(""https://docs.google.com/spreadsheets/d/1K0Aa9s-6EuHE5M0FG1F9aHLXRCOV917xvycTdLdct0w/edit?usp=share_link"",""พะเยา!n529"")+IMPORTRANGE(""https://docs.google.com/spreadsheets/d/1Y"&amp;"9LPKx95PyL5OKy09d-KbKJSuuEZCFdkhYjwC0XQjBA/edit?usp=share_link"",""พิจิตร!n529"")+IMPORTRANGE(""https://docs.google.com/spreadsheets/d/16OMuOwy2eVqZcYWOouQtTpa8X1L23h4660uVHc0C8os/edit?usp=share_link"",""พิษณุโลก!n529"")+IMPORTRANGE(""https://docs.google."&amp;"com/spreadsheets/d/1GfgTldLG6k77HXaMQzaafODklYuucJZQNs_GAPEfZyY/edit?usp=share_link"",""เพชรบูรณ์!n529"")+IMPORTRANGE(""https://docs.google.com/spreadsheets/d/1gvTMYAnm7v1yG1BKWFtr0DnaTsq59oW9dwWvFgq6hs0/edit?usp=share_link"",""แพร่!n529"")+IMPORTRANGE("""&amp;"https://docs.google.com/spreadsheets/d/1Wbcosgy-Xa1xXUArJSOenub6EfZHUSzc_bpJFWwQUf0/edit?usp=share_link"",""แม่ฮ่องสอน!n529"")+IMPORTRANGE(""https://docs.google.com/spreadsheets/d/1p7ERhsr0qZeSn-KSOdeHS9r0heI-lHtkcn2OH7hP0jQ/edit?usp=share_link"",""ลำปาง!"&amp;"n529"")+IMPORTRANGE(""https://docs.google.com/spreadsheets/d/1-uUXvimVhiU2U0bMN-xi2te0tS4X7DI2GLPnMjzl8cA/edit?usp=share_link"",""ลำพูน!n529"")+IMPORTRANGE(""https://docs.google.com/spreadsheets/d/17HrOaa5pBUI1onckFfumXB8xlg35qb2uBAFfF1D-Myo/edit?usp=shar"&amp;"e_link"",""สุโขทัย!n529"")+IMPORTRANGE(""https://docs.google.com/spreadsheets/d/1ubs5cl16eYL9gHbdHTJtmtYb9MGzHBs7CAphn8kNCgM/edit?usp=share_link"",""อุตรดิตถ์!n529"")+IMPORTRANGE(""https://docs.google.com/spreadsheets/d/1kII0BjS6CtVrBvI8IrytgPdxDrlyQDyigz"&amp;"MsohRtDMs/edit?usp=share_link"",""อุทัยธานี!n529"")
"),159000)</f>
        <v>159000</v>
      </c>
      <c r="O529" s="38"/>
      <c r="P529" s="38"/>
      <c r="Q529" s="542"/>
      <c r="R529" s="542"/>
      <c r="S529" s="542"/>
      <c r="T529" s="542"/>
      <c r="U529" s="542"/>
      <c r="V529" s="542"/>
      <c r="W529" s="542"/>
      <c r="X529" s="542"/>
      <c r="Y529" s="542"/>
      <c r="Z529" s="542"/>
    </row>
    <row r="530" spans="1:26" ht="18.75">
      <c r="A530" s="538"/>
      <c r="B530" s="539"/>
      <c r="C530" s="540"/>
      <c r="D530" s="540"/>
      <c r="E530" s="540"/>
      <c r="F530" s="541" t="s">
        <v>187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KxicF4apzSqm0-jIpmueT4kyZtE-Cwn5zskl7GD4loQ/edit?usp=share_link"",""กำแพงเพชร!n530"")+IMPORTRANGE(""https://docs.google.com/spreadsheets/d/1ZNYWeiFoFA1K1U4xKWqRX29MBvEyRHXORjo734Gnq_c/edit?usp=share_li"&amp;"nk"",""เชียงราย!n530"")
+IMPORTRANGE(""https://docs.google.com/spreadsheets/d/1Jgv0Y7YlHDtsiDawwp-uvifEJ8HVaSn0k2aGHG8-hwM/edit?usp=share_link"",""เชียงใหม่!n530"")+IMPORTRANGE(""https://docs.google.com/spreadsheets/d/1JWG2rZePOz9pe-f-ObA-yDr0VoOX2kSb0qIi"&amp;"x2mTUo8/edit?usp=share_link"",""ตาก!n530"")+IMPORTRANGE(""https://docs.google.com/spreadsheets/d/10nSRjK08hx8Y6HgSOQKNw81lyY46Zc7U_Cj72hBMp9U/edit?usp=share_link"",""นครสวรรค์!n530"")+IMPORTRANGE(""https://docs.google.com/spreadsheets/d/1gFVb7qd7amutrIxAA"&amp;"oM7lcy35hllxznovot8lyOfvDo/edit?usp=share_link"",""น่าน!n530"")+IMPORTRANGE(""https://docs.google.com/spreadsheets/d/1K0Aa9s-6EuHE5M0FG1F9aHLXRCOV917xvycTdLdct0w/edit?usp=share_link"",""พะเยา!n530"")+IMPORTRANGE(""https://docs.google.com/spreadsheets/d/1Y"&amp;"9LPKx95PyL5OKy09d-KbKJSuuEZCFdkhYjwC0XQjBA/edit?usp=share_link"",""พิจิตร!n530"")+IMPORTRANGE(""https://docs.google.com/spreadsheets/d/16OMuOwy2eVqZcYWOouQtTpa8X1L23h4660uVHc0C8os/edit?usp=share_link"",""พิษณุโลก!n530"")+IMPORTRANGE(""https://docs.google."&amp;"com/spreadsheets/d/1GfgTldLG6k77HXaMQzaafODklYuucJZQNs_GAPEfZyY/edit?usp=share_link"",""เพชรบูรณ์!n530"")+IMPORTRANGE(""https://docs.google.com/spreadsheets/d/1gvTMYAnm7v1yG1BKWFtr0DnaTsq59oW9dwWvFgq6hs0/edit?usp=share_link"",""แพร่!n530"")+IMPORTRANGE("""&amp;"https://docs.google.com/spreadsheets/d/1Wbcosgy-Xa1xXUArJSOenub6EfZHUSzc_bpJFWwQUf0/edit?usp=share_link"",""แม่ฮ่องสอน!n530"")+IMPORTRANGE(""https://docs.google.com/spreadsheets/d/1p7ERhsr0qZeSn-KSOdeHS9r0heI-lHtkcn2OH7hP0jQ/edit?usp=share_link"",""ลำปาง!"&amp;"n530"")+IMPORTRANGE(""https://docs.google.com/spreadsheets/d/1-uUXvimVhiU2U0bMN-xi2te0tS4X7DI2GLPnMjzl8cA/edit?usp=share_link"",""ลำพูน!n530"")+IMPORTRANGE(""https://docs.google.com/spreadsheets/d/17HrOaa5pBUI1onckFfumXB8xlg35qb2uBAFfF1D-Myo/edit?usp=shar"&amp;"e_link"",""สุโขทัย!n530"")+IMPORTRANGE(""https://docs.google.com/spreadsheets/d/1ubs5cl16eYL9gHbdHTJtmtYb9MGzHBs7CAphn8kNCgM/edit?usp=share_link"",""อุตรดิตถ์!n530"")+IMPORTRANGE(""https://docs.google.com/spreadsheets/d/1kII0BjS6CtVrBvI8IrytgPdxDrlyQDyigz"&amp;"MsohRtDMs/edit?usp=share_link"",""อุทัยธานี!n530"")
"),0)</f>
        <v>0</v>
      </c>
      <c r="O530" s="38"/>
      <c r="P530" s="38"/>
      <c r="Q530" s="542"/>
      <c r="R530" s="542"/>
      <c r="S530" s="542"/>
      <c r="T530" s="542"/>
      <c r="U530" s="542"/>
      <c r="V530" s="542"/>
      <c r="W530" s="542"/>
      <c r="X530" s="542"/>
      <c r="Y530" s="542"/>
      <c r="Z530" s="542"/>
    </row>
    <row r="531" spans="1:26" ht="18.75">
      <c r="A531" s="538"/>
      <c r="B531" s="539"/>
      <c r="C531" s="540"/>
      <c r="D531" s="540"/>
      <c r="E531" s="540"/>
      <c r="F531" s="541" t="s">
        <v>188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KxicF4apzSqm0-jIpmueT4kyZtE-Cwn5zskl7GD4loQ/edit?usp=share_link"",""กำแพงเพชร!n531"")+IMPORTRANGE(""https://docs.google.com/spreadsheets/d/1ZNYWeiFoFA1K1U4xKWqRX29MBvEyRHXORjo734Gnq_c/edit?usp=share_li"&amp;"nk"",""เชียงราย!n531"")
+IMPORTRANGE(""https://docs.google.com/spreadsheets/d/1Jgv0Y7YlHDtsiDawwp-uvifEJ8HVaSn0k2aGHG8-hwM/edit?usp=share_link"",""เชียงใหม่!n531"")+IMPORTRANGE(""https://docs.google.com/spreadsheets/d/1JWG2rZePOz9pe-f-ObA-yDr0VoOX2kSb0qIi"&amp;"x2mTUo8/edit?usp=share_link"",""ตาก!n531"")+IMPORTRANGE(""https://docs.google.com/spreadsheets/d/10nSRjK08hx8Y6HgSOQKNw81lyY46Zc7U_Cj72hBMp9U/edit?usp=share_link"",""นครสวรรค์!n531"")+IMPORTRANGE(""https://docs.google.com/spreadsheets/d/1gFVb7qd7amutrIxAA"&amp;"oM7lcy35hllxznovot8lyOfvDo/edit?usp=share_link"",""น่าน!n531"")+IMPORTRANGE(""https://docs.google.com/spreadsheets/d/1K0Aa9s-6EuHE5M0FG1F9aHLXRCOV917xvycTdLdct0w/edit?usp=share_link"",""พะเยา!n531"")+IMPORTRANGE(""https://docs.google.com/spreadsheets/d/1Y"&amp;"9LPKx95PyL5OKy09d-KbKJSuuEZCFdkhYjwC0XQjBA/edit?usp=share_link"",""พิจิตร!n531"")+IMPORTRANGE(""https://docs.google.com/spreadsheets/d/16OMuOwy2eVqZcYWOouQtTpa8X1L23h4660uVHc0C8os/edit?usp=share_link"",""พิษณุโลก!n531"")+IMPORTRANGE(""https://docs.google."&amp;"com/spreadsheets/d/1GfgTldLG6k77HXaMQzaafODklYuucJZQNs_GAPEfZyY/edit?usp=share_link"",""เพชรบูรณ์!n531"")+IMPORTRANGE(""https://docs.google.com/spreadsheets/d/1gvTMYAnm7v1yG1BKWFtr0DnaTsq59oW9dwWvFgq6hs0/edit?usp=share_link"",""แพร่!n531"")+IMPORTRANGE("""&amp;"https://docs.google.com/spreadsheets/d/1Wbcosgy-Xa1xXUArJSOenub6EfZHUSzc_bpJFWwQUf0/edit?usp=share_link"",""แม่ฮ่องสอน!n531"")+IMPORTRANGE(""https://docs.google.com/spreadsheets/d/1p7ERhsr0qZeSn-KSOdeHS9r0heI-lHtkcn2OH7hP0jQ/edit?usp=share_link"",""ลำปาง!"&amp;"n531"")+IMPORTRANGE(""https://docs.google.com/spreadsheets/d/1-uUXvimVhiU2U0bMN-xi2te0tS4X7DI2GLPnMjzl8cA/edit?usp=share_link"",""ลำพูน!n531"")+IMPORTRANGE(""https://docs.google.com/spreadsheets/d/17HrOaa5pBUI1onckFfumXB8xlg35qb2uBAFfF1D-Myo/edit?usp=shar"&amp;"e_link"",""สุโขทัย!n531"")+IMPORTRANGE(""https://docs.google.com/spreadsheets/d/1ubs5cl16eYL9gHbdHTJtmtYb9MGzHBs7CAphn8kNCgM/edit?usp=share_link"",""อุตรดิตถ์!n531"")+IMPORTRANGE(""https://docs.google.com/spreadsheets/d/1kII0BjS6CtVrBvI8IrytgPdxDrlyQDyigz"&amp;"MsohRtDMs/edit?usp=share_link"",""อุทัยธานี!n531"")
"),0)</f>
        <v>0</v>
      </c>
      <c r="O531" s="38"/>
      <c r="P531" s="38"/>
      <c r="Q531" s="542"/>
      <c r="R531" s="542"/>
      <c r="S531" s="542"/>
      <c r="T531" s="542"/>
      <c r="U531" s="542"/>
      <c r="V531" s="542"/>
      <c r="W531" s="542"/>
      <c r="X531" s="542"/>
      <c r="Y531" s="542"/>
      <c r="Z531" s="542"/>
    </row>
    <row r="532" spans="1:26" ht="18.75">
      <c r="A532" s="538"/>
      <c r="B532" s="539"/>
      <c r="C532" s="540"/>
      <c r="D532" s="540"/>
      <c r="E532" s="540"/>
      <c r="F532" s="541" t="s">
        <v>189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KxicF4apzSqm0-jIpmueT4kyZtE-Cwn5zskl7GD4loQ/edit?usp=share_link"",""กำแพงเพชร!n532"")+IMPORTRANGE(""https://docs.google.com/spreadsheets/d/1ZNYWeiFoFA1K1U4xKWqRX29MBvEyRHXORjo734Gnq_c/edit?usp=share_li"&amp;"nk"",""เชียงราย!n532"")
+IMPORTRANGE(""https://docs.google.com/spreadsheets/d/1Jgv0Y7YlHDtsiDawwp-uvifEJ8HVaSn0k2aGHG8-hwM/edit?usp=share_link"",""เชียงใหม่!n532"")+IMPORTRANGE(""https://docs.google.com/spreadsheets/d/1JWG2rZePOz9pe-f-ObA-yDr0VoOX2kSb0qIi"&amp;"x2mTUo8/edit?usp=share_link"",""ตาก!n532"")+IMPORTRANGE(""https://docs.google.com/spreadsheets/d/10nSRjK08hx8Y6HgSOQKNw81lyY46Zc7U_Cj72hBMp9U/edit?usp=share_link"",""นครสวรรค์!n532"")+IMPORTRANGE(""https://docs.google.com/spreadsheets/d/1gFVb7qd7amutrIxAA"&amp;"oM7lcy35hllxznovot8lyOfvDo/edit?usp=share_link"",""น่าน!n532"")+IMPORTRANGE(""https://docs.google.com/spreadsheets/d/1K0Aa9s-6EuHE5M0FG1F9aHLXRCOV917xvycTdLdct0w/edit?usp=share_link"",""พะเยา!n532"")+IMPORTRANGE(""https://docs.google.com/spreadsheets/d/1Y"&amp;"9LPKx95PyL5OKy09d-KbKJSuuEZCFdkhYjwC0XQjBA/edit?usp=share_link"",""พิจิตร!n532"")+IMPORTRANGE(""https://docs.google.com/spreadsheets/d/16OMuOwy2eVqZcYWOouQtTpa8X1L23h4660uVHc0C8os/edit?usp=share_link"",""พิษณุโลก!n532"")+IMPORTRANGE(""https://docs.google."&amp;"com/spreadsheets/d/1GfgTldLG6k77HXaMQzaafODklYuucJZQNs_GAPEfZyY/edit?usp=share_link"",""เพชรบูรณ์!n532"")+IMPORTRANGE(""https://docs.google.com/spreadsheets/d/1gvTMYAnm7v1yG1BKWFtr0DnaTsq59oW9dwWvFgq6hs0/edit?usp=share_link"",""แพร่!n532"")+IMPORTRANGE("""&amp;"https://docs.google.com/spreadsheets/d/1Wbcosgy-Xa1xXUArJSOenub6EfZHUSzc_bpJFWwQUf0/edit?usp=share_link"",""แม่ฮ่องสอน!n532"")+IMPORTRANGE(""https://docs.google.com/spreadsheets/d/1p7ERhsr0qZeSn-KSOdeHS9r0heI-lHtkcn2OH7hP0jQ/edit?usp=share_link"",""ลำปาง!"&amp;"n532"")+IMPORTRANGE(""https://docs.google.com/spreadsheets/d/1-uUXvimVhiU2U0bMN-xi2te0tS4X7DI2GLPnMjzl8cA/edit?usp=share_link"",""ลำพูน!n532"")+IMPORTRANGE(""https://docs.google.com/spreadsheets/d/17HrOaa5pBUI1onckFfumXB8xlg35qb2uBAFfF1D-Myo/edit?usp=shar"&amp;"e_link"",""สุโขทัย!n532"")+IMPORTRANGE(""https://docs.google.com/spreadsheets/d/1ubs5cl16eYL9gHbdHTJtmtYb9MGzHBs7CAphn8kNCgM/edit?usp=share_link"",""อุตรดิตถ์!n532"")+IMPORTRANGE(""https://docs.google.com/spreadsheets/d/1kII0BjS6CtVrBvI8IrytgPdxDrlyQDyigz"&amp;"MsohRtDMs/edit?usp=share_link"",""อุทัยธานี!n532"")
"),10355)</f>
        <v>10355</v>
      </c>
      <c r="O532" s="38"/>
      <c r="P532" s="38"/>
      <c r="Q532" s="542"/>
      <c r="R532" s="542"/>
      <c r="S532" s="542"/>
      <c r="T532" s="542"/>
      <c r="U532" s="542"/>
      <c r="V532" s="542"/>
      <c r="W532" s="542"/>
      <c r="X532" s="542"/>
      <c r="Y532" s="542"/>
      <c r="Z532" s="542"/>
    </row>
    <row r="533" spans="1:26" ht="18.75">
      <c r="A533" s="562"/>
      <c r="B533" s="539"/>
      <c r="C533" s="540"/>
      <c r="D533" s="571" t="s">
        <v>21</v>
      </c>
      <c r="E533" s="540"/>
      <c r="F533" s="540"/>
      <c r="G533" s="189"/>
      <c r="H533" s="168" t="s">
        <v>12</v>
      </c>
      <c r="I533" s="162"/>
      <c r="J533" s="162"/>
      <c r="K533" s="163"/>
      <c r="L533" s="38">
        <f t="shared" ref="L533:N533" ca="1" si="268">L534+L535</f>
        <v>0</v>
      </c>
      <c r="M533" s="38">
        <f t="shared" si="268"/>
        <v>0</v>
      </c>
      <c r="N533" s="38">
        <f t="shared" si="268"/>
        <v>0</v>
      </c>
      <c r="O533" s="38">
        <f t="shared" ref="O533:O535" ca="1" si="269">IF(L533&gt;0,N533*100/L533,0)</f>
        <v>0</v>
      </c>
      <c r="P533" s="38">
        <f t="shared" ref="P533:P535" si="270">IF(M533&gt;0,N533*100/M533,0)</f>
        <v>0</v>
      </c>
      <c r="Q533" s="542"/>
      <c r="R533" s="542"/>
      <c r="S533" s="542"/>
      <c r="T533" s="542"/>
      <c r="U533" s="542"/>
      <c r="V533" s="542"/>
      <c r="W533" s="542"/>
      <c r="X533" s="542"/>
      <c r="Y533" s="542"/>
      <c r="Z533" s="542"/>
    </row>
    <row r="534" spans="1:26" ht="18.75" hidden="1">
      <c r="A534" s="564"/>
      <c r="B534" s="570"/>
      <c r="C534" s="565"/>
      <c r="D534" s="565"/>
      <c r="E534" s="567" t="s">
        <v>18</v>
      </c>
      <c r="F534" s="565"/>
      <c r="G534" s="56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9"/>
        <v>0</v>
      </c>
      <c r="P534" s="45">
        <f t="shared" si="270"/>
        <v>0</v>
      </c>
      <c r="Q534" s="569"/>
      <c r="R534" s="569"/>
      <c r="S534" s="569"/>
      <c r="T534" s="569"/>
      <c r="U534" s="569"/>
      <c r="V534" s="569"/>
      <c r="W534" s="569"/>
      <c r="X534" s="569"/>
      <c r="Y534" s="569"/>
      <c r="Z534" s="569"/>
    </row>
    <row r="535" spans="1:26" ht="18.75" hidden="1">
      <c r="A535" s="564"/>
      <c r="B535" s="570"/>
      <c r="C535" s="565"/>
      <c r="D535" s="565"/>
      <c r="E535" s="567" t="s">
        <v>19</v>
      </c>
      <c r="F535" s="565"/>
      <c r="G535" s="568"/>
      <c r="H535" s="169" t="s">
        <v>12</v>
      </c>
      <c r="I535" s="166"/>
      <c r="J535" s="166"/>
      <c r="K535" s="167"/>
      <c r="L535" s="45">
        <f ca="1">IFERROR(__xludf.DUMMYFUNCTION("IMPORTRANGE(""https://docs.google.com/spreadsheets/d/1KxicF4apzSqm0-jIpmueT4kyZtE-Cwn5zskl7GD4loQ/edit?usp=share_link"",""กำแพงเพชร!l535"")+IMPORTRANGE(""https://docs.google.com/spreadsheets/d/1ZNYWeiFoFA1K1U4xKWqRX29MBvEyRHXORjo734Gnq_c/edit?usp=share_li"&amp;"nk"",""เชียงราย!l535"")
+IMPORTRANGE(""https://docs.google.com/spreadsheets/d/1Jgv0Y7YlHDtsiDawwp-uvifEJ8HVaSn0k2aGHG8-hwM/edit?usp=share_link"",""เชียงใหม่!l535"")+IMPORTRANGE(""https://docs.google.com/spreadsheets/d/1JWG2rZePOz9pe-f-ObA-yDr0VoOX2kSb0qIi"&amp;"x2mTUo8/edit?usp=share_link"",""ตาก!l535"")+IMPORTRANGE(""https://docs.google.com/spreadsheets/d/10nSRjK08hx8Y6HgSOQKNw81lyY46Zc7U_Cj72hBMp9U/edit?usp=share_link"",""นครสวรรค์!l535"")+IMPORTRANGE(""https://docs.google.com/spreadsheets/d/1gFVb7qd7amutrIxAA"&amp;"oM7lcy35hllxznovot8lyOfvDo/edit?usp=share_link"",""น่าน!l535"")+IMPORTRANGE(""https://docs.google.com/spreadsheets/d/1K0Aa9s-6EuHE5M0FG1F9aHLXRCOV917xvycTdLdct0w/edit?usp=share_link"",""พะเยา!l535"")+IMPORTRANGE(""https://docs.google.com/spreadsheets/d/1Y"&amp;"9LPKx95PyL5OKy09d-KbKJSuuEZCFdkhYjwC0XQjBA/edit?usp=share_link"",""พิจิตร!l535"")+IMPORTRANGE(""https://docs.google.com/spreadsheets/d/16OMuOwy2eVqZcYWOouQtTpa8X1L23h4660uVHc0C8os/edit?usp=share_link"",""พิษณุโลก!l535"")+IMPORTRANGE(""https://docs.google."&amp;"com/spreadsheets/d/1GfgTldLG6k77HXaMQzaafODklYuucJZQNs_GAPEfZyY/edit?usp=share_link"",""เพชรบูรณ์!l535"")+IMPORTRANGE(""https://docs.google.com/spreadsheets/d/1gvTMYAnm7v1yG1BKWFtr0DnaTsq59oW9dwWvFgq6hs0/edit?usp=share_link"",""แพร่!l535"")+IMPORTRANGE("""&amp;"https://docs.google.com/spreadsheets/d/1Wbcosgy-Xa1xXUArJSOenub6EfZHUSzc_bpJFWwQUf0/edit?usp=share_link"",""แม่ฮ่องสอน!l535"")+IMPORTRANGE(""https://docs.google.com/spreadsheets/d/1p7ERhsr0qZeSn-KSOdeHS9r0heI-lHtkcn2OH7hP0jQ/edit?usp=share_link"",""ลำปาง!"&amp;"l535"")+IMPORTRANGE(""https://docs.google.com/spreadsheets/d/1-uUXvimVhiU2U0bMN-xi2te0tS4X7DI2GLPnMjzl8cA/edit?usp=share_link"",""ลำพูน!l535"")+IMPORTRANGE(""https://docs.google.com/spreadsheets/d/17HrOaa5pBUI1onckFfumXB8xlg35qb2uBAFfF1D-Myo/edit?usp=shar"&amp;"e_link"",""สุโขทัย!l535"")+IMPORTRANGE(""https://docs.google.com/spreadsheets/d/1ubs5cl16eYL9gHbdHTJtmtYb9MGzHBs7CAphn8kNCgM/edit?usp=share_link"",""อุตรดิตถ์!l535"")+IMPORTRANGE(""https://docs.google.com/spreadsheets/d/1kII0BjS6CtVrBvI8IrytgPdxDrlyQDyigz"&amp;"MsohRtDMs/edit?usp=share_link"",""อุทัยธานี!l535"")
"),0)</f>
        <v>0</v>
      </c>
      <c r="M535" s="93">
        <v>0</v>
      </c>
      <c r="N535" s="93">
        <v>0</v>
      </c>
      <c r="O535" s="45">
        <f t="shared" ca="1" si="269"/>
        <v>0</v>
      </c>
      <c r="P535" s="45">
        <f t="shared" si="270"/>
        <v>0</v>
      </c>
      <c r="Q535" s="569"/>
      <c r="R535" s="569"/>
      <c r="S535" s="569"/>
      <c r="T535" s="569"/>
      <c r="U535" s="569"/>
      <c r="V535" s="569"/>
      <c r="W535" s="569"/>
      <c r="X535" s="569"/>
      <c r="Y535" s="569"/>
      <c r="Z535" s="569"/>
    </row>
    <row r="536" spans="1:26" ht="19.5">
      <c r="A536" s="573"/>
      <c r="B536" s="574"/>
      <c r="C536" s="540" t="s">
        <v>16</v>
      </c>
      <c r="D536" s="645" t="s">
        <v>38</v>
      </c>
      <c r="E536" s="577"/>
      <c r="F536" s="577"/>
      <c r="G536" s="578"/>
      <c r="H536" s="175"/>
      <c r="I536" s="162"/>
      <c r="J536" s="162"/>
      <c r="K536" s="163"/>
      <c r="L536" s="163"/>
      <c r="M536" s="163"/>
      <c r="N536" s="163"/>
      <c r="O536" s="163"/>
      <c r="P536" s="163"/>
      <c r="Q536" s="542"/>
      <c r="R536" s="542"/>
      <c r="S536" s="542"/>
      <c r="T536" s="542"/>
      <c r="U536" s="542"/>
      <c r="V536" s="542"/>
      <c r="W536" s="542"/>
      <c r="X536" s="542"/>
      <c r="Y536" s="542"/>
      <c r="Z536" s="542"/>
    </row>
    <row r="537" spans="1:26" ht="19.5">
      <c r="A537" s="538"/>
      <c r="B537" s="539"/>
      <c r="C537" s="540"/>
      <c r="D537" s="646" t="s">
        <v>227</v>
      </c>
      <c r="E537" s="540"/>
      <c r="F537" s="540"/>
      <c r="G537" s="189"/>
      <c r="H537" s="36" t="s">
        <v>35</v>
      </c>
      <c r="I537" s="647">
        <f ca="1">IFERROR(__xludf.DUMMYFUNCTION("IMPORTRANGE(""https://docs.google.com/spreadsheets/d/1KxicF4apzSqm0-jIpmueT4kyZtE-Cwn5zskl7GD4loQ/edit?usp=share_link"",""กำแพงเพชร!I537"")+IMPORTRANGE(""https://docs.google.com/spreadsheets/d/1ZNYWeiFoFA1K1U4xKWqRX29MBvEyRHXORjo734Gnq_c/edit?usp=share_li"&amp;"nk"",""เชียงราย!I537"")
+IMPORTRANGE(""https://docs.google.com/spreadsheets/d/1Jgv0Y7YlHDtsiDawwp-uvifEJ8HVaSn0k2aGHG8-hwM/edit?usp=share_link"",""เชียงใหม่!I537"")+IMPORTRANGE(""https://docs.google.com/spreadsheets/d/1JWG2rZePOz9pe-f-ObA-yDr0VoOX2kSb0qIi"&amp;"x2mTUo8/edit?usp=share_link"",""ตาก!I537"")+IMPORTRANGE(""https://docs.google.com/spreadsheets/d/10nSRjK08hx8Y6HgSOQKNw81lyY46Zc7U_Cj72hBMp9U/edit?usp=share_link"",""นครสวรรค์!I537"")+IMPORTRANGE(""https://docs.google.com/spreadsheets/d/1gFVb7qd7amutrIxAA"&amp;"oM7lcy35hllxznovot8lyOfvDo/edit?usp=share_link"",""น่าน!I537"")+IMPORTRANGE(""https://docs.google.com/spreadsheets/d/1K0Aa9s-6EuHE5M0FG1F9aHLXRCOV917xvycTdLdct0w/edit?usp=share_link"",""พะเยา!I537"")+IMPORTRANGE(""https://docs.google.com/spreadsheets/d/1Y"&amp;"9LPKx95PyL5OKy09d-KbKJSuuEZCFdkhYjwC0XQjBA/edit?usp=share_link"",""พิจิตร!I537"")+IMPORTRANGE(""https://docs.google.com/spreadsheets/d/16OMuOwy2eVqZcYWOouQtTpa8X1L23h4660uVHc0C8os/edit?usp=share_link"",""พิษณุโลก!I537"")+IMPORTRANGE(""https://docs.google."&amp;"com/spreadsheets/d/1GfgTldLG6k77HXaMQzaafODklYuucJZQNs_GAPEfZyY/edit?usp=share_link"",""เพชรบูรณ์!I537"")+IMPORTRANGE(""https://docs.google.com/spreadsheets/d/1gvTMYAnm7v1yG1BKWFtr0DnaTsq59oW9dwWvFgq6hs0/edit?usp=share_link"",""แพร่!I537"")+IMPORTRANGE("""&amp;"https://docs.google.com/spreadsheets/d/1Wbcosgy-Xa1xXUArJSOenub6EfZHUSzc_bpJFWwQUf0/edit?usp=share_link"",""แม่ฮ่องสอน!I537"")+IMPORTRANGE(""https://docs.google.com/spreadsheets/d/1p7ERhsr0qZeSn-KSOdeHS9r0heI-lHtkcn2OH7hP0jQ/edit?usp=share_link"",""ลำปาง!"&amp;"I537"")+IMPORTRANGE(""https://docs.google.com/spreadsheets/d/1-uUXvimVhiU2U0bMN-xi2te0tS4X7DI2GLPnMjzl8cA/edit?usp=share_link"",""ลำพูน!I537"")+IMPORTRANGE(""https://docs.google.com/spreadsheets/d/17HrOaa5pBUI1onckFfumXB8xlg35qb2uBAFfF1D-Myo/edit?usp=shar"&amp;"e_link"",""สุโขทัย!I537"")+IMPORTRANGE(""https://docs.google.com/spreadsheets/d/1ubs5cl16eYL9gHbdHTJtmtYb9MGzHBs7CAphn8kNCgM/edit?usp=share_link"",""อุตรดิตถ์!I537"")+IMPORTRANGE(""https://docs.google.com/spreadsheets/d/1kII0BjS6CtVrBvI8IrytgPdxDrlyQDyigz"&amp;"MsohRtDMs/edit?usp=share_link"",""อุทัยธานี!I537"")
"),80)</f>
        <v>80</v>
      </c>
      <c r="J537" s="194">
        <f ca="1">IFERROR(__xludf.DUMMYFUNCTION("IMPORTRANGE(""https://docs.google.com/spreadsheets/d/1KxicF4apzSqm0-jIpmueT4kyZtE-Cwn5zskl7GD4loQ/edit?usp=share_link"",""กำแพงเพชร!J537"")+IMPORTRANGE(""https://docs.google.com/spreadsheets/d/1ZNYWeiFoFA1K1U4xKWqRX29MBvEyRHXORjo734Gnq_c/edit?usp=share_li"&amp;"nk"",""เชียงราย!J537"")
+IMPORTRANGE(""https://docs.google.com/spreadsheets/d/1Jgv0Y7YlHDtsiDawwp-uvifEJ8HVaSn0k2aGHG8-hwM/edit?usp=share_link"",""เชียงใหม่!J537"")+IMPORTRANGE(""https://docs.google.com/spreadsheets/d/1JWG2rZePOz9pe-f-ObA-yDr0VoOX2kSb0qIi"&amp;"x2mTUo8/edit?usp=share_link"",""ตาก!J537"")+IMPORTRANGE(""https://docs.google.com/spreadsheets/d/10nSRjK08hx8Y6HgSOQKNw81lyY46Zc7U_Cj72hBMp9U/edit?usp=share_link"",""นครสวรรค์!J537"")+IMPORTRANGE(""https://docs.google.com/spreadsheets/d/1gFVb7qd7amutrIxAA"&amp;"oM7lcy35hllxznovot8lyOfvDo/edit?usp=share_link"",""น่าน!J537"")+IMPORTRANGE(""https://docs.google.com/spreadsheets/d/1K0Aa9s-6EuHE5M0FG1F9aHLXRCOV917xvycTdLdct0w/edit?usp=share_link"",""พะเยา!J537"")+IMPORTRANGE(""https://docs.google.com/spreadsheets/d/1Y"&amp;"9LPKx95PyL5OKy09d-KbKJSuuEZCFdkhYjwC0XQjBA/edit?usp=share_link"",""พิจิตร!J537"")+IMPORTRANGE(""https://docs.google.com/spreadsheets/d/16OMuOwy2eVqZcYWOouQtTpa8X1L23h4660uVHc0C8os/edit?usp=share_link"",""พิษณุโลก!J537"")+IMPORTRANGE(""https://docs.google."&amp;"com/spreadsheets/d/1GfgTldLG6k77HXaMQzaafODklYuucJZQNs_GAPEfZyY/edit?usp=share_link"",""เพชรบูรณ์!J537"")+IMPORTRANGE(""https://docs.google.com/spreadsheets/d/1gvTMYAnm7v1yG1BKWFtr0DnaTsq59oW9dwWvFgq6hs0/edit?usp=share_link"",""แพร่!J537"")+IMPORTRANGE("""&amp;"https://docs.google.com/spreadsheets/d/1Wbcosgy-Xa1xXUArJSOenub6EfZHUSzc_bpJFWwQUf0/edit?usp=share_link"",""แม่ฮ่องสอน!J537"")+IMPORTRANGE(""https://docs.google.com/spreadsheets/d/1p7ERhsr0qZeSn-KSOdeHS9r0heI-lHtkcn2OH7hP0jQ/edit?usp=share_link"",""ลำปาง!"&amp;"J537"")+IMPORTRANGE(""https://docs.google.com/spreadsheets/d/1-uUXvimVhiU2U0bMN-xi2te0tS4X7DI2GLPnMjzl8cA/edit?usp=share_link"",""ลำพูน!J537"")+IMPORTRANGE(""https://docs.google.com/spreadsheets/d/17HrOaa5pBUI1onckFfumXB8xlg35qb2uBAFfF1D-Myo/edit?usp=shar"&amp;"e_link"",""สุโขทัย!J537"")+IMPORTRANGE(""https://docs.google.com/spreadsheets/d/1ubs5cl16eYL9gHbdHTJtmtYb9MGzHBs7CAphn8kNCgM/edit?usp=share_link"",""อุตรดิตถ์!J537"")+IMPORTRANGE(""https://docs.google.com/spreadsheets/d/1kII0BjS6CtVrBvI8IrytgPdxDrlyQDyigz"&amp;"MsohRtDMs/edit?usp=share_link"",""อุทัยธานี!J537"")
"),0)</f>
        <v>0</v>
      </c>
      <c r="K537" s="38">
        <f t="shared" ref="K537:K543" ca="1" si="271">IF(I537&gt;0,J537*100/I537,0)</f>
        <v>0</v>
      </c>
      <c r="L537" s="38"/>
      <c r="M537" s="38"/>
      <c r="N537" s="38"/>
      <c r="O537" s="38"/>
      <c r="P537" s="38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>
      <c r="A538" s="538"/>
      <c r="B538" s="539"/>
      <c r="C538" s="540"/>
      <c r="D538" s="541"/>
      <c r="E538" s="649" t="s">
        <v>228</v>
      </c>
      <c r="F538" s="540"/>
      <c r="G538" s="189"/>
      <c r="H538" s="36" t="s">
        <v>35</v>
      </c>
      <c r="I538" s="270">
        <f ca="1">IFERROR(__xludf.DUMMYFUNCTION("IMPORTRANGE(""https://docs.google.com/spreadsheets/d/1KxicF4apzSqm0-jIpmueT4kyZtE-Cwn5zskl7GD4loQ/edit?usp=share_link"",""กำแพงเพชร!I538"")+IMPORTRANGE(""https://docs.google.com/spreadsheets/d/1ZNYWeiFoFA1K1U4xKWqRX29MBvEyRHXORjo734Gnq_c/edit?usp=share_li"&amp;"nk"",""เชียงราย!I538"")
+IMPORTRANGE(""https://docs.google.com/spreadsheets/d/1Jgv0Y7YlHDtsiDawwp-uvifEJ8HVaSn0k2aGHG8-hwM/edit?usp=share_link"",""เชียงใหม่!I538"")+IMPORTRANGE(""https://docs.google.com/spreadsheets/d/1JWG2rZePOz9pe-f-ObA-yDr0VoOX2kSb0qIi"&amp;"x2mTUo8/edit?usp=share_link"",""ตาก!I538"")+IMPORTRANGE(""https://docs.google.com/spreadsheets/d/10nSRjK08hx8Y6HgSOQKNw81lyY46Zc7U_Cj72hBMp9U/edit?usp=share_link"",""นครสวรรค์!I538"")+IMPORTRANGE(""https://docs.google.com/spreadsheets/d/1gFVb7qd7amutrIxAA"&amp;"oM7lcy35hllxznovot8lyOfvDo/edit?usp=share_link"",""น่าน!I538"")+IMPORTRANGE(""https://docs.google.com/spreadsheets/d/1K0Aa9s-6EuHE5M0FG1F9aHLXRCOV917xvycTdLdct0w/edit?usp=share_link"",""พะเยา!I538"")+IMPORTRANGE(""https://docs.google.com/spreadsheets/d/1Y"&amp;"9LPKx95PyL5OKy09d-KbKJSuuEZCFdkhYjwC0XQjBA/edit?usp=share_link"",""พิจิตร!I538"")+IMPORTRANGE(""https://docs.google.com/spreadsheets/d/16OMuOwy2eVqZcYWOouQtTpa8X1L23h4660uVHc0C8os/edit?usp=share_link"",""พิษณุโลก!I538"")+IMPORTRANGE(""https://docs.google."&amp;"com/spreadsheets/d/1GfgTldLG6k77HXaMQzaafODklYuucJZQNs_GAPEfZyY/edit?usp=share_link"",""เพชรบูรณ์!I538"")+IMPORTRANGE(""https://docs.google.com/spreadsheets/d/1gvTMYAnm7v1yG1BKWFtr0DnaTsq59oW9dwWvFgq6hs0/edit?usp=share_link"",""แพร่!I538"")+IMPORTRANGE("""&amp;"https://docs.google.com/spreadsheets/d/1Wbcosgy-Xa1xXUArJSOenub6EfZHUSzc_bpJFWwQUf0/edit?usp=share_link"",""แม่ฮ่องสอน!I538"")+IMPORTRANGE(""https://docs.google.com/spreadsheets/d/1p7ERhsr0qZeSn-KSOdeHS9r0heI-lHtkcn2OH7hP0jQ/edit?usp=share_link"",""ลำปาง!"&amp;"I538"")+IMPORTRANGE(""https://docs.google.com/spreadsheets/d/1-uUXvimVhiU2U0bMN-xi2te0tS4X7DI2GLPnMjzl8cA/edit?usp=share_link"",""ลำพูน!I538"")+IMPORTRANGE(""https://docs.google.com/spreadsheets/d/17HrOaa5pBUI1onckFfumXB8xlg35qb2uBAFfF1D-Myo/edit?usp=shar"&amp;"e_link"",""สุโขทัย!I538"")+IMPORTRANGE(""https://docs.google.com/spreadsheets/d/1ubs5cl16eYL9gHbdHTJtmtYb9MGzHBs7CAphn8kNCgM/edit?usp=share_link"",""อุตรดิตถ์!I538"")+IMPORTRANGE(""https://docs.google.com/spreadsheets/d/1kII0BjS6CtVrBvI8IrytgPdxDrlyQDyigz"&amp;"MsohRtDMs/edit?usp=share_link"",""อุทัยธานี!I538"")
"),80)</f>
        <v>80</v>
      </c>
      <c r="J538" s="183">
        <f ca="1">IFERROR(__xludf.DUMMYFUNCTION("IMPORTRANGE(""https://docs.google.com/spreadsheets/d/1KxicF4apzSqm0-jIpmueT4kyZtE-Cwn5zskl7GD4loQ/edit?usp=share_link"",""กำแพงเพชร!J538"")+IMPORTRANGE(""https://docs.google.com/spreadsheets/d/1ZNYWeiFoFA1K1U4xKWqRX29MBvEyRHXORjo734Gnq_c/edit?usp=share_li"&amp;"nk"",""เชียงราย!J538"")
+IMPORTRANGE(""https://docs.google.com/spreadsheets/d/1Jgv0Y7YlHDtsiDawwp-uvifEJ8HVaSn0k2aGHG8-hwM/edit?usp=share_link"",""เชียงใหม่!J538"")+IMPORTRANGE(""https://docs.google.com/spreadsheets/d/1JWG2rZePOz9pe-f-ObA-yDr0VoOX2kSb0qIi"&amp;"x2mTUo8/edit?usp=share_link"",""ตาก!J538"")+IMPORTRANGE(""https://docs.google.com/spreadsheets/d/10nSRjK08hx8Y6HgSOQKNw81lyY46Zc7U_Cj72hBMp9U/edit?usp=share_link"",""นครสวรรค์!J538"")+IMPORTRANGE(""https://docs.google.com/spreadsheets/d/1gFVb7qd7amutrIxAA"&amp;"oM7lcy35hllxznovot8lyOfvDo/edit?usp=share_link"",""น่าน!J538"")+IMPORTRANGE(""https://docs.google.com/spreadsheets/d/1K0Aa9s-6EuHE5M0FG1F9aHLXRCOV917xvycTdLdct0w/edit?usp=share_link"",""พะเยา!J538"")+IMPORTRANGE(""https://docs.google.com/spreadsheets/d/1Y"&amp;"9LPKx95PyL5OKy09d-KbKJSuuEZCFdkhYjwC0XQjBA/edit?usp=share_link"",""พิจิตร!J538"")+IMPORTRANGE(""https://docs.google.com/spreadsheets/d/16OMuOwy2eVqZcYWOouQtTpa8X1L23h4660uVHc0C8os/edit?usp=share_link"",""พิษณุโลก!J538"")+IMPORTRANGE(""https://docs.google."&amp;"com/spreadsheets/d/1GfgTldLG6k77HXaMQzaafODklYuucJZQNs_GAPEfZyY/edit?usp=share_link"",""เพชรบูรณ์!J538"")+IMPORTRANGE(""https://docs.google.com/spreadsheets/d/1gvTMYAnm7v1yG1BKWFtr0DnaTsq59oW9dwWvFgq6hs0/edit?usp=share_link"",""แพร่!J538"")+IMPORTRANGE("""&amp;"https://docs.google.com/spreadsheets/d/1Wbcosgy-Xa1xXUArJSOenub6EfZHUSzc_bpJFWwQUf0/edit?usp=share_link"",""แม่ฮ่องสอน!J538"")+IMPORTRANGE(""https://docs.google.com/spreadsheets/d/1p7ERhsr0qZeSn-KSOdeHS9r0heI-lHtkcn2OH7hP0jQ/edit?usp=share_link"",""ลำปาง!"&amp;"J538"")+IMPORTRANGE(""https://docs.google.com/spreadsheets/d/1-uUXvimVhiU2U0bMN-xi2te0tS4X7DI2GLPnMjzl8cA/edit?usp=share_link"",""ลำพูน!J538"")+IMPORTRANGE(""https://docs.google.com/spreadsheets/d/17HrOaa5pBUI1onckFfumXB8xlg35qb2uBAFfF1D-Myo/edit?usp=shar"&amp;"e_link"",""สุโขทัย!J538"")+IMPORTRANGE(""https://docs.google.com/spreadsheets/d/1ubs5cl16eYL9gHbdHTJtmtYb9MGzHBs7CAphn8kNCgM/edit?usp=share_link"",""อุตรดิตถ์!J538"")+IMPORTRANGE(""https://docs.google.com/spreadsheets/d/1kII0BjS6CtVrBvI8IrytgPdxDrlyQDyigz"&amp;"MsohRtDMs/edit?usp=share_link"",""อุทัยธานี!J538"")
"),80)</f>
        <v>80</v>
      </c>
      <c r="K538" s="38">
        <f t="shared" ca="1" si="271"/>
        <v>100</v>
      </c>
      <c r="L538" s="38"/>
      <c r="M538" s="38"/>
      <c r="N538" s="38"/>
      <c r="O538" s="38"/>
      <c r="P538" s="38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>
      <c r="A539" s="538"/>
      <c r="B539" s="539"/>
      <c r="C539" s="540"/>
      <c r="D539" s="541"/>
      <c r="E539" s="649" t="s">
        <v>229</v>
      </c>
      <c r="F539" s="540"/>
      <c r="G539" s="189"/>
      <c r="H539" s="36" t="s">
        <v>35</v>
      </c>
      <c r="I539" s="270">
        <f ca="1">IFERROR(__xludf.DUMMYFUNCTION("IMPORTRANGE(""https://docs.google.com/spreadsheets/d/1KxicF4apzSqm0-jIpmueT4kyZtE-Cwn5zskl7GD4loQ/edit?usp=share_link"",""กำแพงเพชร!I539"")+IMPORTRANGE(""https://docs.google.com/spreadsheets/d/1ZNYWeiFoFA1K1U4xKWqRX29MBvEyRHXORjo734Gnq_c/edit?usp=share_li"&amp;"nk"",""เชียงราย!I539"")
+IMPORTRANGE(""https://docs.google.com/spreadsheets/d/1Jgv0Y7YlHDtsiDawwp-uvifEJ8HVaSn0k2aGHG8-hwM/edit?usp=share_link"",""เชียงใหม่!I539"")+IMPORTRANGE(""https://docs.google.com/spreadsheets/d/1JWG2rZePOz9pe-f-ObA-yDr0VoOX2kSb0qIi"&amp;"x2mTUo8/edit?usp=share_link"",""ตาก!I539"")+IMPORTRANGE(""https://docs.google.com/spreadsheets/d/10nSRjK08hx8Y6HgSOQKNw81lyY46Zc7U_Cj72hBMp9U/edit?usp=share_link"",""นครสวรรค์!I539"")+IMPORTRANGE(""https://docs.google.com/spreadsheets/d/1gFVb7qd7amutrIxAA"&amp;"oM7lcy35hllxznovot8lyOfvDo/edit?usp=share_link"",""น่าน!I539"")+IMPORTRANGE(""https://docs.google.com/spreadsheets/d/1K0Aa9s-6EuHE5M0FG1F9aHLXRCOV917xvycTdLdct0w/edit?usp=share_link"",""พะเยา!I539"")+IMPORTRANGE(""https://docs.google.com/spreadsheets/d/1Y"&amp;"9LPKx95PyL5OKy09d-KbKJSuuEZCFdkhYjwC0XQjBA/edit?usp=share_link"",""พิจิตร!I539"")+IMPORTRANGE(""https://docs.google.com/spreadsheets/d/16OMuOwy2eVqZcYWOouQtTpa8X1L23h4660uVHc0C8os/edit?usp=share_link"",""พิษณุโลก!I539"")+IMPORTRANGE(""https://docs.google."&amp;"com/spreadsheets/d/1GfgTldLG6k77HXaMQzaafODklYuucJZQNs_GAPEfZyY/edit?usp=share_link"",""เพชรบูรณ์!I539"")+IMPORTRANGE(""https://docs.google.com/spreadsheets/d/1gvTMYAnm7v1yG1BKWFtr0DnaTsq59oW9dwWvFgq6hs0/edit?usp=share_link"",""แพร่!I539"")+IMPORTRANGE("""&amp;"https://docs.google.com/spreadsheets/d/1Wbcosgy-Xa1xXUArJSOenub6EfZHUSzc_bpJFWwQUf0/edit?usp=share_link"",""แม่ฮ่องสอน!I539"")+IMPORTRANGE(""https://docs.google.com/spreadsheets/d/1p7ERhsr0qZeSn-KSOdeHS9r0heI-lHtkcn2OH7hP0jQ/edit?usp=share_link"",""ลำปาง!"&amp;"I539"")+IMPORTRANGE(""https://docs.google.com/spreadsheets/d/1-uUXvimVhiU2U0bMN-xi2te0tS4X7DI2GLPnMjzl8cA/edit?usp=share_link"",""ลำพูน!I539"")+IMPORTRANGE(""https://docs.google.com/spreadsheets/d/17HrOaa5pBUI1onckFfumXB8xlg35qb2uBAFfF1D-Myo/edit?usp=shar"&amp;"e_link"",""สุโขทัย!I539"")+IMPORTRANGE(""https://docs.google.com/spreadsheets/d/1ubs5cl16eYL9gHbdHTJtmtYb9MGzHBs7CAphn8kNCgM/edit?usp=share_link"",""อุตรดิตถ์!I539"")+IMPORTRANGE(""https://docs.google.com/spreadsheets/d/1kII0BjS6CtVrBvI8IrytgPdxDrlyQDyigz"&amp;"MsohRtDMs/edit?usp=share_link"",""อุทัยธานี!I539"")
"),0)</f>
        <v>0</v>
      </c>
      <c r="J539" s="183">
        <f ca="1">IFERROR(__xludf.DUMMYFUNCTION("IMPORTRANGE(""https://docs.google.com/spreadsheets/d/1KxicF4apzSqm0-jIpmueT4kyZtE-Cwn5zskl7GD4loQ/edit?usp=share_link"",""กำแพงเพชร!J539"")+IMPORTRANGE(""https://docs.google.com/spreadsheets/d/1ZNYWeiFoFA1K1U4xKWqRX29MBvEyRHXORjo734Gnq_c/edit?usp=share_li"&amp;"nk"",""เชียงราย!J539"")
+IMPORTRANGE(""https://docs.google.com/spreadsheets/d/1Jgv0Y7YlHDtsiDawwp-uvifEJ8HVaSn0k2aGHG8-hwM/edit?usp=share_link"",""เชียงใหม่!J539"")+IMPORTRANGE(""https://docs.google.com/spreadsheets/d/1JWG2rZePOz9pe-f-ObA-yDr0VoOX2kSb0qIi"&amp;"x2mTUo8/edit?usp=share_link"",""ตาก!J539"")+IMPORTRANGE(""https://docs.google.com/spreadsheets/d/10nSRjK08hx8Y6HgSOQKNw81lyY46Zc7U_Cj72hBMp9U/edit?usp=share_link"",""นครสวรรค์!J539"")+IMPORTRANGE(""https://docs.google.com/spreadsheets/d/1gFVb7qd7amutrIxAA"&amp;"oM7lcy35hllxznovot8lyOfvDo/edit?usp=share_link"",""น่าน!J539"")+IMPORTRANGE(""https://docs.google.com/spreadsheets/d/1K0Aa9s-6EuHE5M0FG1F9aHLXRCOV917xvycTdLdct0w/edit?usp=share_link"",""พะเยา!J539"")+IMPORTRANGE(""https://docs.google.com/spreadsheets/d/1Y"&amp;"9LPKx95PyL5OKy09d-KbKJSuuEZCFdkhYjwC0XQjBA/edit?usp=share_link"",""พิจิตร!J539"")+IMPORTRANGE(""https://docs.google.com/spreadsheets/d/16OMuOwy2eVqZcYWOouQtTpa8X1L23h4660uVHc0C8os/edit?usp=share_link"",""พิษณุโลก!J539"")+IMPORTRANGE(""https://docs.google."&amp;"com/spreadsheets/d/1GfgTldLG6k77HXaMQzaafODklYuucJZQNs_GAPEfZyY/edit?usp=share_link"",""เพชรบูรณ์!J539"")+IMPORTRANGE(""https://docs.google.com/spreadsheets/d/1gvTMYAnm7v1yG1BKWFtr0DnaTsq59oW9dwWvFgq6hs0/edit?usp=share_link"",""แพร่!J539"")+IMPORTRANGE("""&amp;"https://docs.google.com/spreadsheets/d/1Wbcosgy-Xa1xXUArJSOenub6EfZHUSzc_bpJFWwQUf0/edit?usp=share_link"",""แม่ฮ่องสอน!J539"")+IMPORTRANGE(""https://docs.google.com/spreadsheets/d/1p7ERhsr0qZeSn-KSOdeHS9r0heI-lHtkcn2OH7hP0jQ/edit?usp=share_link"",""ลำปาง!"&amp;"J539"")+IMPORTRANGE(""https://docs.google.com/spreadsheets/d/1-uUXvimVhiU2U0bMN-xi2te0tS4X7DI2GLPnMjzl8cA/edit?usp=share_link"",""ลำพูน!J539"")+IMPORTRANGE(""https://docs.google.com/spreadsheets/d/17HrOaa5pBUI1onckFfumXB8xlg35qb2uBAFfF1D-Myo/edit?usp=shar"&amp;"e_link"",""สุโขทัย!J539"")+IMPORTRANGE(""https://docs.google.com/spreadsheets/d/1ubs5cl16eYL9gHbdHTJtmtYb9MGzHBs7CAphn8kNCgM/edit?usp=share_link"",""อุตรดิตถ์!J539"")+IMPORTRANGE(""https://docs.google.com/spreadsheets/d/1kII0BjS6CtVrBvI8IrytgPdxDrlyQDyigz"&amp;"MsohRtDMs/edit?usp=share_link"",""อุทัยธานี!J539"")
"),0)</f>
        <v>0</v>
      </c>
      <c r="K539" s="38">
        <f t="shared" ca="1" si="271"/>
        <v>0</v>
      </c>
      <c r="L539" s="38"/>
      <c r="M539" s="38"/>
      <c r="N539" s="38"/>
      <c r="O539" s="38"/>
      <c r="P539" s="38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>
      <c r="A540" s="538"/>
      <c r="B540" s="539"/>
      <c r="C540" s="540"/>
      <c r="D540" s="541"/>
      <c r="E540" s="649" t="s">
        <v>230</v>
      </c>
      <c r="F540" s="540"/>
      <c r="G540" s="189"/>
      <c r="H540" s="36" t="s">
        <v>35</v>
      </c>
      <c r="I540" s="270">
        <f ca="1">IFERROR(__xludf.DUMMYFUNCTION("IMPORTRANGE(""https://docs.google.com/spreadsheets/d/1KxicF4apzSqm0-jIpmueT4kyZtE-Cwn5zskl7GD4loQ/edit?usp=share_link"",""กำแพงเพชร!I540"")+IMPORTRANGE(""https://docs.google.com/spreadsheets/d/1ZNYWeiFoFA1K1U4xKWqRX29MBvEyRHXORjo734Gnq_c/edit?usp=share_li"&amp;"nk"",""เชียงราย!I540"")
+IMPORTRANGE(""https://docs.google.com/spreadsheets/d/1Jgv0Y7YlHDtsiDawwp-uvifEJ8HVaSn0k2aGHG8-hwM/edit?usp=share_link"",""เชียงใหม่!I540"")+IMPORTRANGE(""https://docs.google.com/spreadsheets/d/1JWG2rZePOz9pe-f-ObA-yDr0VoOX2kSb0qIi"&amp;"x2mTUo8/edit?usp=share_link"",""ตาก!I540"")+IMPORTRANGE(""https://docs.google.com/spreadsheets/d/10nSRjK08hx8Y6HgSOQKNw81lyY46Zc7U_Cj72hBMp9U/edit?usp=share_link"",""นครสวรรค์!I540"")+IMPORTRANGE(""https://docs.google.com/spreadsheets/d/1gFVb7qd7amutrIxAA"&amp;"oM7lcy35hllxznovot8lyOfvDo/edit?usp=share_link"",""น่าน!I540"")+IMPORTRANGE(""https://docs.google.com/spreadsheets/d/1K0Aa9s-6EuHE5M0FG1F9aHLXRCOV917xvycTdLdct0w/edit?usp=share_link"",""พะเยา!I540"")+IMPORTRANGE(""https://docs.google.com/spreadsheets/d/1Y"&amp;"9LPKx95PyL5OKy09d-KbKJSuuEZCFdkhYjwC0XQjBA/edit?usp=share_link"",""พิจิตร!I540"")+IMPORTRANGE(""https://docs.google.com/spreadsheets/d/16OMuOwy2eVqZcYWOouQtTpa8X1L23h4660uVHc0C8os/edit?usp=share_link"",""พิษณุโลก!I540"")+IMPORTRANGE(""https://docs.google."&amp;"com/spreadsheets/d/1GfgTldLG6k77HXaMQzaafODklYuucJZQNs_GAPEfZyY/edit?usp=share_link"",""เพชรบูรณ์!I540"")+IMPORTRANGE(""https://docs.google.com/spreadsheets/d/1gvTMYAnm7v1yG1BKWFtr0DnaTsq59oW9dwWvFgq6hs0/edit?usp=share_link"",""แพร่!I540"")+IMPORTRANGE("""&amp;"https://docs.google.com/spreadsheets/d/1Wbcosgy-Xa1xXUArJSOenub6EfZHUSzc_bpJFWwQUf0/edit?usp=share_link"",""แม่ฮ่องสอน!I540"")+IMPORTRANGE(""https://docs.google.com/spreadsheets/d/1p7ERhsr0qZeSn-KSOdeHS9r0heI-lHtkcn2OH7hP0jQ/edit?usp=share_link"",""ลำปาง!"&amp;"I540"")+IMPORTRANGE(""https://docs.google.com/spreadsheets/d/1-uUXvimVhiU2U0bMN-xi2te0tS4X7DI2GLPnMjzl8cA/edit?usp=share_link"",""ลำพูน!I540"")+IMPORTRANGE(""https://docs.google.com/spreadsheets/d/17HrOaa5pBUI1onckFfumXB8xlg35qb2uBAFfF1D-Myo/edit?usp=shar"&amp;"e_link"",""สุโขทัย!I540"")+IMPORTRANGE(""https://docs.google.com/spreadsheets/d/1ubs5cl16eYL9gHbdHTJtmtYb9MGzHBs7CAphn8kNCgM/edit?usp=share_link"",""อุตรดิตถ์!I540"")+IMPORTRANGE(""https://docs.google.com/spreadsheets/d/1kII0BjS6CtVrBvI8IrytgPdxDrlyQDyigz"&amp;"MsohRtDMs/edit?usp=share_link"",""อุทัยธานี!I540"")
"),0)</f>
        <v>0</v>
      </c>
      <c r="J540" s="183">
        <f ca="1">IFERROR(__xludf.DUMMYFUNCTION("IMPORTRANGE(""https://docs.google.com/spreadsheets/d/1KxicF4apzSqm0-jIpmueT4kyZtE-Cwn5zskl7GD4loQ/edit?usp=share_link"",""กำแพงเพชร!J540"")+IMPORTRANGE(""https://docs.google.com/spreadsheets/d/1ZNYWeiFoFA1K1U4xKWqRX29MBvEyRHXORjo734Gnq_c/edit?usp=share_li"&amp;"nk"",""เชียงราย!J540"")
+IMPORTRANGE(""https://docs.google.com/spreadsheets/d/1Jgv0Y7YlHDtsiDawwp-uvifEJ8HVaSn0k2aGHG8-hwM/edit?usp=share_link"",""เชียงใหม่!J540"")+IMPORTRANGE(""https://docs.google.com/spreadsheets/d/1JWG2rZePOz9pe-f-ObA-yDr0VoOX2kSb0qIi"&amp;"x2mTUo8/edit?usp=share_link"",""ตาก!J540"")+IMPORTRANGE(""https://docs.google.com/spreadsheets/d/10nSRjK08hx8Y6HgSOQKNw81lyY46Zc7U_Cj72hBMp9U/edit?usp=share_link"",""นครสวรรค์!J540"")+IMPORTRANGE(""https://docs.google.com/spreadsheets/d/1gFVb7qd7amutrIxAA"&amp;"oM7lcy35hllxznovot8lyOfvDo/edit?usp=share_link"",""น่าน!J540"")+IMPORTRANGE(""https://docs.google.com/spreadsheets/d/1K0Aa9s-6EuHE5M0FG1F9aHLXRCOV917xvycTdLdct0w/edit?usp=share_link"",""พะเยา!J540"")+IMPORTRANGE(""https://docs.google.com/spreadsheets/d/1Y"&amp;"9LPKx95PyL5OKy09d-KbKJSuuEZCFdkhYjwC0XQjBA/edit?usp=share_link"",""พิจิตร!J540"")+IMPORTRANGE(""https://docs.google.com/spreadsheets/d/16OMuOwy2eVqZcYWOouQtTpa8X1L23h4660uVHc0C8os/edit?usp=share_link"",""พิษณุโลก!J540"")+IMPORTRANGE(""https://docs.google."&amp;"com/spreadsheets/d/1GfgTldLG6k77HXaMQzaafODklYuucJZQNs_GAPEfZyY/edit?usp=share_link"",""เพชรบูรณ์!J540"")+IMPORTRANGE(""https://docs.google.com/spreadsheets/d/1gvTMYAnm7v1yG1BKWFtr0DnaTsq59oW9dwWvFgq6hs0/edit?usp=share_link"",""แพร่!J540"")+IMPORTRANGE("""&amp;"https://docs.google.com/spreadsheets/d/1Wbcosgy-Xa1xXUArJSOenub6EfZHUSzc_bpJFWwQUf0/edit?usp=share_link"",""แม่ฮ่องสอน!J540"")+IMPORTRANGE(""https://docs.google.com/spreadsheets/d/1p7ERhsr0qZeSn-KSOdeHS9r0heI-lHtkcn2OH7hP0jQ/edit?usp=share_link"",""ลำปาง!"&amp;"J540"")+IMPORTRANGE(""https://docs.google.com/spreadsheets/d/1-uUXvimVhiU2U0bMN-xi2te0tS4X7DI2GLPnMjzl8cA/edit?usp=share_link"",""ลำพูน!J540"")+IMPORTRANGE(""https://docs.google.com/spreadsheets/d/17HrOaa5pBUI1onckFfumXB8xlg35qb2uBAFfF1D-Myo/edit?usp=shar"&amp;"e_link"",""สุโขทัย!J540"")+IMPORTRANGE(""https://docs.google.com/spreadsheets/d/1ubs5cl16eYL9gHbdHTJtmtYb9MGzHBs7CAphn8kNCgM/edit?usp=share_link"",""อุตรดิตถ์!J540"")+IMPORTRANGE(""https://docs.google.com/spreadsheets/d/1kII0BjS6CtVrBvI8IrytgPdxDrlyQDyigz"&amp;"MsohRtDMs/edit?usp=share_link"",""อุทัยธานี!J540"")
"),0)</f>
        <v>0</v>
      </c>
      <c r="K540" s="38">
        <f t="shared" ca="1" si="271"/>
        <v>0</v>
      </c>
      <c r="L540" s="38"/>
      <c r="M540" s="38"/>
      <c r="N540" s="38"/>
      <c r="O540" s="38"/>
      <c r="P540" s="38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>
      <c r="A541" s="538"/>
      <c r="B541" s="539"/>
      <c r="C541" s="540"/>
      <c r="D541" s="541"/>
      <c r="E541" s="650" t="s">
        <v>231</v>
      </c>
      <c r="F541" s="540"/>
      <c r="G541" s="189"/>
      <c r="H541" s="36" t="s">
        <v>35</v>
      </c>
      <c r="I541" s="270">
        <f ca="1">IFERROR(__xludf.DUMMYFUNCTION("IMPORTRANGE(""https://docs.google.com/spreadsheets/d/1KxicF4apzSqm0-jIpmueT4kyZtE-Cwn5zskl7GD4loQ/edit?usp=share_link"",""กำแพงเพชร!I541"")+IMPORTRANGE(""https://docs.google.com/spreadsheets/d/1ZNYWeiFoFA1K1U4xKWqRX29MBvEyRHXORjo734Gnq_c/edit?usp=share_li"&amp;"nk"",""เชียงราย!I541"")
+IMPORTRANGE(""https://docs.google.com/spreadsheets/d/1Jgv0Y7YlHDtsiDawwp-uvifEJ8HVaSn0k2aGHG8-hwM/edit?usp=share_link"",""เชียงใหม่!I541"")+IMPORTRANGE(""https://docs.google.com/spreadsheets/d/1JWG2rZePOz9pe-f-ObA-yDr0VoOX2kSb0qIi"&amp;"x2mTUo8/edit?usp=share_link"",""ตาก!I541"")+IMPORTRANGE(""https://docs.google.com/spreadsheets/d/10nSRjK08hx8Y6HgSOQKNw81lyY46Zc7U_Cj72hBMp9U/edit?usp=share_link"",""นครสวรรค์!I541"")+IMPORTRANGE(""https://docs.google.com/spreadsheets/d/1gFVb7qd7amutrIxAA"&amp;"oM7lcy35hllxznovot8lyOfvDo/edit?usp=share_link"",""น่าน!I541"")+IMPORTRANGE(""https://docs.google.com/spreadsheets/d/1K0Aa9s-6EuHE5M0FG1F9aHLXRCOV917xvycTdLdct0w/edit?usp=share_link"",""พะเยา!I541"")+IMPORTRANGE(""https://docs.google.com/spreadsheets/d/1Y"&amp;"9LPKx95PyL5OKy09d-KbKJSuuEZCFdkhYjwC0XQjBA/edit?usp=share_link"",""พิจิตร!I541"")+IMPORTRANGE(""https://docs.google.com/spreadsheets/d/16OMuOwy2eVqZcYWOouQtTpa8X1L23h4660uVHc0C8os/edit?usp=share_link"",""พิษณุโลก!I541"")+IMPORTRANGE(""https://docs.google."&amp;"com/spreadsheets/d/1GfgTldLG6k77HXaMQzaafODklYuucJZQNs_GAPEfZyY/edit?usp=share_link"",""เพชรบูรณ์!I541"")+IMPORTRANGE(""https://docs.google.com/spreadsheets/d/1gvTMYAnm7v1yG1BKWFtr0DnaTsq59oW9dwWvFgq6hs0/edit?usp=share_link"",""แพร่!I541"")+IMPORTRANGE("""&amp;"https://docs.google.com/spreadsheets/d/1Wbcosgy-Xa1xXUArJSOenub6EfZHUSzc_bpJFWwQUf0/edit?usp=share_link"",""แม่ฮ่องสอน!I541"")+IMPORTRANGE(""https://docs.google.com/spreadsheets/d/1p7ERhsr0qZeSn-KSOdeHS9r0heI-lHtkcn2OH7hP0jQ/edit?usp=share_link"",""ลำปาง!"&amp;"I541"")+IMPORTRANGE(""https://docs.google.com/spreadsheets/d/1-uUXvimVhiU2U0bMN-xi2te0tS4X7DI2GLPnMjzl8cA/edit?usp=share_link"",""ลำพูน!I541"")+IMPORTRANGE(""https://docs.google.com/spreadsheets/d/17HrOaa5pBUI1onckFfumXB8xlg35qb2uBAFfF1D-Myo/edit?usp=shar"&amp;"e_link"",""สุโขทัย!I541"")+IMPORTRANGE(""https://docs.google.com/spreadsheets/d/1ubs5cl16eYL9gHbdHTJtmtYb9MGzHBs7CAphn8kNCgM/edit?usp=share_link"",""อุตรดิตถ์!I541"")+IMPORTRANGE(""https://docs.google.com/spreadsheets/d/1kII0BjS6CtVrBvI8IrytgPdxDrlyQDyigz"&amp;"MsohRtDMs/edit?usp=share_link"",""อุทัยธานี!I541"")
"),80)</f>
        <v>80</v>
      </c>
      <c r="J541" s="183">
        <f ca="1">IFERROR(__xludf.DUMMYFUNCTION("IMPORTRANGE(""https://docs.google.com/spreadsheets/d/1KxicF4apzSqm0-jIpmueT4kyZtE-Cwn5zskl7GD4loQ/edit?usp=share_link"",""กำแพงเพชร!J541"")+IMPORTRANGE(""https://docs.google.com/spreadsheets/d/1ZNYWeiFoFA1K1U4xKWqRX29MBvEyRHXORjo734Gnq_c/edit?usp=share_li"&amp;"nk"",""เชียงราย!J541"")
+IMPORTRANGE(""https://docs.google.com/spreadsheets/d/1Jgv0Y7YlHDtsiDawwp-uvifEJ8HVaSn0k2aGHG8-hwM/edit?usp=share_link"",""เชียงใหม่!J541"")+IMPORTRANGE(""https://docs.google.com/spreadsheets/d/1JWG2rZePOz9pe-f-ObA-yDr0VoOX2kSb0qIi"&amp;"x2mTUo8/edit?usp=share_link"",""ตาก!J541"")+IMPORTRANGE(""https://docs.google.com/spreadsheets/d/10nSRjK08hx8Y6HgSOQKNw81lyY46Zc7U_Cj72hBMp9U/edit?usp=share_link"",""นครสวรรค์!J541"")+IMPORTRANGE(""https://docs.google.com/spreadsheets/d/1gFVb7qd7amutrIxAA"&amp;"oM7lcy35hllxznovot8lyOfvDo/edit?usp=share_link"",""น่าน!J541"")+IMPORTRANGE(""https://docs.google.com/spreadsheets/d/1K0Aa9s-6EuHE5M0FG1F9aHLXRCOV917xvycTdLdct0w/edit?usp=share_link"",""พะเยา!J541"")+IMPORTRANGE(""https://docs.google.com/spreadsheets/d/1Y"&amp;"9LPKx95PyL5OKy09d-KbKJSuuEZCFdkhYjwC0XQjBA/edit?usp=share_link"",""พิจิตร!J541"")+IMPORTRANGE(""https://docs.google.com/spreadsheets/d/16OMuOwy2eVqZcYWOouQtTpa8X1L23h4660uVHc0C8os/edit?usp=share_link"",""พิษณุโลก!J541"")+IMPORTRANGE(""https://docs.google."&amp;"com/spreadsheets/d/1GfgTldLG6k77HXaMQzaafODklYuucJZQNs_GAPEfZyY/edit?usp=share_link"",""เพชรบูรณ์!J541"")+IMPORTRANGE(""https://docs.google.com/spreadsheets/d/1gvTMYAnm7v1yG1BKWFtr0DnaTsq59oW9dwWvFgq6hs0/edit?usp=share_link"",""แพร่!J541"")+IMPORTRANGE("""&amp;"https://docs.google.com/spreadsheets/d/1Wbcosgy-Xa1xXUArJSOenub6EfZHUSzc_bpJFWwQUf0/edit?usp=share_link"",""แม่ฮ่องสอน!J541"")+IMPORTRANGE(""https://docs.google.com/spreadsheets/d/1p7ERhsr0qZeSn-KSOdeHS9r0heI-lHtkcn2OH7hP0jQ/edit?usp=share_link"",""ลำปาง!"&amp;"J541"")+IMPORTRANGE(""https://docs.google.com/spreadsheets/d/1-uUXvimVhiU2U0bMN-xi2te0tS4X7DI2GLPnMjzl8cA/edit?usp=share_link"",""ลำพูน!J541"")+IMPORTRANGE(""https://docs.google.com/spreadsheets/d/17HrOaa5pBUI1onckFfumXB8xlg35qb2uBAFfF1D-Myo/edit?usp=shar"&amp;"e_link"",""สุโขทัย!J541"")+IMPORTRANGE(""https://docs.google.com/spreadsheets/d/1ubs5cl16eYL9gHbdHTJtmtYb9MGzHBs7CAphn8kNCgM/edit?usp=share_link"",""อุตรดิตถ์!J541"")+IMPORTRANGE(""https://docs.google.com/spreadsheets/d/1kII0BjS6CtVrBvI8IrytgPdxDrlyQDyigz"&amp;"MsohRtDMs/edit?usp=share_link"",""อุทัยธานี!J541"")
"),44)</f>
        <v>44</v>
      </c>
      <c r="K541" s="38">
        <f t="shared" ca="1" si="271"/>
        <v>55</v>
      </c>
      <c r="L541" s="38"/>
      <c r="M541" s="38"/>
      <c r="N541" s="38"/>
      <c r="O541" s="38"/>
      <c r="P541" s="38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>
      <c r="A542" s="538"/>
      <c r="B542" s="539"/>
      <c r="C542" s="540"/>
      <c r="D542" s="541" t="s">
        <v>59</v>
      </c>
      <c r="E542" s="540"/>
      <c r="F542" s="540"/>
      <c r="G542" s="189"/>
      <c r="H542" s="36" t="s">
        <v>35</v>
      </c>
      <c r="I542" s="37">
        <f ca="1">IFERROR(__xludf.DUMMYFUNCTION("IMPORTRANGE(""https://docs.google.com/spreadsheets/d/1KxicF4apzSqm0-jIpmueT4kyZtE-Cwn5zskl7GD4loQ/edit?usp=share_link"",""กำแพงเพชร!I542"")+IMPORTRANGE(""https://docs.google.com/spreadsheets/d/1ZNYWeiFoFA1K1U4xKWqRX29MBvEyRHXORjo734Gnq_c/edit?usp=share_li"&amp;"nk"",""เชียงราย!I542"")
+IMPORTRANGE(""https://docs.google.com/spreadsheets/d/1Jgv0Y7YlHDtsiDawwp-uvifEJ8HVaSn0k2aGHG8-hwM/edit?usp=share_link"",""เชียงใหม่!I542"")+IMPORTRANGE(""https://docs.google.com/spreadsheets/d/1JWG2rZePOz9pe-f-ObA-yDr0VoOX2kSb0qIi"&amp;"x2mTUo8/edit?usp=share_link"",""ตาก!I542"")+IMPORTRANGE(""https://docs.google.com/spreadsheets/d/10nSRjK08hx8Y6HgSOQKNw81lyY46Zc7U_Cj72hBMp9U/edit?usp=share_link"",""นครสวรรค์!I542"")+IMPORTRANGE(""https://docs.google.com/spreadsheets/d/1gFVb7qd7amutrIxAA"&amp;"oM7lcy35hllxznovot8lyOfvDo/edit?usp=share_link"",""น่าน!I542"")+IMPORTRANGE(""https://docs.google.com/spreadsheets/d/1K0Aa9s-6EuHE5M0FG1F9aHLXRCOV917xvycTdLdct0w/edit?usp=share_link"",""พะเยา!I542"")+IMPORTRANGE(""https://docs.google.com/spreadsheets/d/1Y"&amp;"9LPKx95PyL5OKy09d-KbKJSuuEZCFdkhYjwC0XQjBA/edit?usp=share_link"",""พิจิตร!I542"")+IMPORTRANGE(""https://docs.google.com/spreadsheets/d/16OMuOwy2eVqZcYWOouQtTpa8X1L23h4660uVHc0C8os/edit?usp=share_link"",""พิษณุโลก!I542"")+IMPORTRANGE(""https://docs.google."&amp;"com/spreadsheets/d/1GfgTldLG6k77HXaMQzaafODklYuucJZQNs_GAPEfZyY/edit?usp=share_link"",""เพชรบูรณ์!I542"")+IMPORTRANGE(""https://docs.google.com/spreadsheets/d/1gvTMYAnm7v1yG1BKWFtr0DnaTsq59oW9dwWvFgq6hs0/edit?usp=share_link"",""แพร่!I542"")+IMPORTRANGE("""&amp;"https://docs.google.com/spreadsheets/d/1Wbcosgy-Xa1xXUArJSOenub6EfZHUSzc_bpJFWwQUf0/edit?usp=share_link"",""แม่ฮ่องสอน!I542"")+IMPORTRANGE(""https://docs.google.com/spreadsheets/d/1p7ERhsr0qZeSn-KSOdeHS9r0heI-lHtkcn2OH7hP0jQ/edit?usp=share_link"",""ลำปาง!"&amp;"I542"")+IMPORTRANGE(""https://docs.google.com/spreadsheets/d/1-uUXvimVhiU2U0bMN-xi2te0tS4X7DI2GLPnMjzl8cA/edit?usp=share_link"",""ลำพูน!I542"")+IMPORTRANGE(""https://docs.google.com/spreadsheets/d/17HrOaa5pBUI1onckFfumXB8xlg35qb2uBAFfF1D-Myo/edit?usp=shar"&amp;"e_link"",""สุโขทัย!I542"")+IMPORTRANGE(""https://docs.google.com/spreadsheets/d/1ubs5cl16eYL9gHbdHTJtmtYb9MGzHBs7CAphn8kNCgM/edit?usp=share_link"",""อุตรดิตถ์!I542"")+IMPORTRANGE(""https://docs.google.com/spreadsheets/d/1kII0BjS6CtVrBvI8IrytgPdxDrlyQDyigz"&amp;"MsohRtDMs/edit?usp=share_link"",""อุทัยธานี!I542"")
"),80)</f>
        <v>80</v>
      </c>
      <c r="J542" s="183">
        <f ca="1">IFERROR(__xludf.DUMMYFUNCTION("IMPORTRANGE(""https://docs.google.com/spreadsheets/d/1KxicF4apzSqm0-jIpmueT4kyZtE-Cwn5zskl7GD4loQ/edit?usp=share_link"",""กำแพงเพชร!J542"")+IMPORTRANGE(""https://docs.google.com/spreadsheets/d/1ZNYWeiFoFA1K1U4xKWqRX29MBvEyRHXORjo734Gnq_c/edit?usp=share_li"&amp;"nk"",""เชียงราย!J542"")
+IMPORTRANGE(""https://docs.google.com/spreadsheets/d/1Jgv0Y7YlHDtsiDawwp-uvifEJ8HVaSn0k2aGHG8-hwM/edit?usp=share_link"",""เชียงใหม่!J542"")+IMPORTRANGE(""https://docs.google.com/spreadsheets/d/1JWG2rZePOz9pe-f-ObA-yDr0VoOX2kSb0qIi"&amp;"x2mTUo8/edit?usp=share_link"",""ตาก!J542"")+IMPORTRANGE(""https://docs.google.com/spreadsheets/d/10nSRjK08hx8Y6HgSOQKNw81lyY46Zc7U_Cj72hBMp9U/edit?usp=share_link"",""นครสวรรค์!J542"")+IMPORTRANGE(""https://docs.google.com/spreadsheets/d/1gFVb7qd7amutrIxAA"&amp;"oM7lcy35hllxznovot8lyOfvDo/edit?usp=share_link"",""น่าน!J542"")+IMPORTRANGE(""https://docs.google.com/spreadsheets/d/1K0Aa9s-6EuHE5M0FG1F9aHLXRCOV917xvycTdLdct0w/edit?usp=share_link"",""พะเยา!J542"")+IMPORTRANGE(""https://docs.google.com/spreadsheets/d/1Y"&amp;"9LPKx95PyL5OKy09d-KbKJSuuEZCFdkhYjwC0XQjBA/edit?usp=share_link"",""พิจิตร!J542"")+IMPORTRANGE(""https://docs.google.com/spreadsheets/d/16OMuOwy2eVqZcYWOouQtTpa8X1L23h4660uVHc0C8os/edit?usp=share_link"",""พิษณุโลก!J542"")+IMPORTRANGE(""https://docs.google."&amp;"com/spreadsheets/d/1GfgTldLG6k77HXaMQzaafODklYuucJZQNs_GAPEfZyY/edit?usp=share_link"",""เพชรบูรณ์!J542"")+IMPORTRANGE(""https://docs.google.com/spreadsheets/d/1gvTMYAnm7v1yG1BKWFtr0DnaTsq59oW9dwWvFgq6hs0/edit?usp=share_link"",""แพร่!J542"")+IMPORTRANGE("""&amp;"https://docs.google.com/spreadsheets/d/1Wbcosgy-Xa1xXUArJSOenub6EfZHUSzc_bpJFWwQUf0/edit?usp=share_link"",""แม่ฮ่องสอน!J542"")+IMPORTRANGE(""https://docs.google.com/spreadsheets/d/1p7ERhsr0qZeSn-KSOdeHS9r0heI-lHtkcn2OH7hP0jQ/edit?usp=share_link"",""ลำปาง!"&amp;"J542"")+IMPORTRANGE(""https://docs.google.com/spreadsheets/d/1-uUXvimVhiU2U0bMN-xi2te0tS4X7DI2GLPnMjzl8cA/edit?usp=share_link"",""ลำพูน!J542"")+IMPORTRANGE(""https://docs.google.com/spreadsheets/d/17HrOaa5pBUI1onckFfumXB8xlg35qb2uBAFfF1D-Myo/edit?usp=shar"&amp;"e_link"",""สุโขทัย!J542"")+IMPORTRANGE(""https://docs.google.com/spreadsheets/d/1ubs5cl16eYL9gHbdHTJtmtYb9MGzHBs7CAphn8kNCgM/edit?usp=share_link"",""อุตรดิตถ์!J542"")+IMPORTRANGE(""https://docs.google.com/spreadsheets/d/1kII0BjS6CtVrBvI8IrytgPdxDrlyQDyigz"&amp;"MsohRtDMs/edit?usp=share_link"",""อุทัยธานี!J542"")
"),40)</f>
        <v>40</v>
      </c>
      <c r="K542" s="38">
        <f t="shared" ca="1" si="271"/>
        <v>50</v>
      </c>
      <c r="L542" s="38"/>
      <c r="M542" s="38"/>
      <c r="N542" s="38"/>
      <c r="O542" s="38"/>
      <c r="P542" s="38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72">I559</f>
        <v>789391</v>
      </c>
      <c r="J543" s="653">
        <f t="shared" ca="1" si="272"/>
        <v>6342.8</v>
      </c>
      <c r="K543" s="654">
        <f t="shared" ca="1" si="271"/>
        <v>0.80350548714135328</v>
      </c>
      <c r="L543" s="636"/>
      <c r="M543" s="636"/>
      <c r="N543" s="636"/>
      <c r="O543" s="636"/>
      <c r="P543" s="636"/>
      <c r="Q543" s="542"/>
      <c r="R543" s="542"/>
      <c r="S543" s="542"/>
      <c r="T543" s="542"/>
      <c r="U543" s="542"/>
      <c r="V543" s="542"/>
      <c r="W543" s="542"/>
      <c r="X543" s="542"/>
      <c r="Y543" s="542"/>
      <c r="Z543" s="542"/>
    </row>
    <row r="544" spans="1:26" ht="19.5">
      <c r="A544" s="655"/>
      <c r="B544" s="656"/>
      <c r="C544" s="656" t="s">
        <v>16</v>
      </c>
      <c r="D544" s="1486" t="s">
        <v>17</v>
      </c>
      <c r="E544" s="1487"/>
      <c r="F544" s="1487"/>
      <c r="G544" s="657"/>
      <c r="H544" s="275" t="s">
        <v>12</v>
      </c>
      <c r="I544" s="153"/>
      <c r="J544" s="153"/>
      <c r="K544" s="154"/>
      <c r="L544" s="155">
        <f t="shared" ref="L544:N544" ca="1" si="273">L545+L546</f>
        <v>7876340</v>
      </c>
      <c r="M544" s="155">
        <f t="shared" si="273"/>
        <v>0</v>
      </c>
      <c r="N544" s="155">
        <f t="shared" ca="1" si="273"/>
        <v>2024956.32</v>
      </c>
      <c r="O544" s="155">
        <f t="shared" ref="O544:O549" ca="1" si="274">IF(L544&gt;0,N544*100/L544,0)</f>
        <v>25.709356376184878</v>
      </c>
      <c r="P544" s="155">
        <f t="shared" ref="P544:P549" si="275">IF(M544&gt;0,N544*100/M544,0)</f>
        <v>0</v>
      </c>
      <c r="Q544" s="542"/>
      <c r="R544" s="542"/>
      <c r="S544" s="542"/>
      <c r="T544" s="542"/>
      <c r="U544" s="542"/>
      <c r="V544" s="542"/>
      <c r="W544" s="542"/>
      <c r="X544" s="542"/>
      <c r="Y544" s="542"/>
      <c r="Z544" s="542"/>
    </row>
    <row r="545" spans="1:26" ht="18.75" hidden="1">
      <c r="A545" s="564"/>
      <c r="B545" s="565"/>
      <c r="C545" s="565"/>
      <c r="D545" s="565"/>
      <c r="E545" s="567" t="s">
        <v>184</v>
      </c>
      <c r="F545" s="565"/>
      <c r="G545" s="568"/>
      <c r="H545" s="165" t="s">
        <v>12</v>
      </c>
      <c r="I545" s="44"/>
      <c r="J545" s="44"/>
      <c r="K545" s="45"/>
      <c r="L545" s="45">
        <f t="shared" ref="L545:L546" si="276">L548+L556</f>
        <v>0</v>
      </c>
      <c r="M545" s="45">
        <f t="shared" ref="M545:N545" si="277">M548+M555</f>
        <v>0</v>
      </c>
      <c r="N545" s="45">
        <f t="shared" si="277"/>
        <v>0</v>
      </c>
      <c r="O545" s="45">
        <f t="shared" si="274"/>
        <v>0</v>
      </c>
      <c r="P545" s="45">
        <f t="shared" si="275"/>
        <v>0</v>
      </c>
      <c r="Q545" s="569"/>
      <c r="R545" s="569"/>
      <c r="S545" s="569"/>
      <c r="T545" s="569"/>
      <c r="U545" s="569"/>
      <c r="V545" s="569"/>
      <c r="W545" s="569"/>
      <c r="X545" s="569"/>
      <c r="Y545" s="569"/>
      <c r="Z545" s="569"/>
    </row>
    <row r="546" spans="1:26" ht="18.75" hidden="1">
      <c r="A546" s="564"/>
      <c r="B546" s="570"/>
      <c r="C546" s="565"/>
      <c r="D546" s="565"/>
      <c r="E546" s="567" t="s">
        <v>185</v>
      </c>
      <c r="F546" s="565"/>
      <c r="G546" s="568"/>
      <c r="H546" s="165" t="s">
        <v>12</v>
      </c>
      <c r="I546" s="44"/>
      <c r="J546" s="44"/>
      <c r="K546" s="45"/>
      <c r="L546" s="45">
        <f t="shared" ca="1" si="276"/>
        <v>7876340</v>
      </c>
      <c r="M546" s="45">
        <f t="shared" ref="M546:N546" si="278">M549+M556</f>
        <v>0</v>
      </c>
      <c r="N546" s="45">
        <f t="shared" ca="1" si="278"/>
        <v>2024956.32</v>
      </c>
      <c r="O546" s="45">
        <f t="shared" ca="1" si="274"/>
        <v>25.709356376184878</v>
      </c>
      <c r="P546" s="45">
        <f t="shared" si="275"/>
        <v>0</v>
      </c>
      <c r="Q546" s="569"/>
      <c r="R546" s="569"/>
      <c r="S546" s="569"/>
      <c r="T546" s="569"/>
      <c r="U546" s="569"/>
      <c r="V546" s="569"/>
      <c r="W546" s="569"/>
      <c r="X546" s="569"/>
      <c r="Y546" s="569"/>
      <c r="Z546" s="569"/>
    </row>
    <row r="547" spans="1:26" ht="18.75">
      <c r="A547" s="562"/>
      <c r="B547" s="539"/>
      <c r="C547" s="540"/>
      <c r="D547" s="571" t="s">
        <v>20</v>
      </c>
      <c r="E547" s="540"/>
      <c r="F547" s="540"/>
      <c r="G547" s="189"/>
      <c r="H547" s="161" t="s">
        <v>12</v>
      </c>
      <c r="I547" s="162"/>
      <c r="J547" s="162"/>
      <c r="K547" s="163"/>
      <c r="L547" s="38">
        <f t="shared" ref="L547:N547" ca="1" si="279">L548+L549</f>
        <v>7876340</v>
      </c>
      <c r="M547" s="38">
        <f t="shared" si="279"/>
        <v>0</v>
      </c>
      <c r="N547" s="38">
        <f t="shared" ca="1" si="279"/>
        <v>2024956.32</v>
      </c>
      <c r="O547" s="38">
        <f t="shared" ca="1" si="274"/>
        <v>25.709356376184878</v>
      </c>
      <c r="P547" s="38">
        <f t="shared" si="275"/>
        <v>0</v>
      </c>
      <c r="Q547" s="542"/>
      <c r="R547" s="542"/>
      <c r="S547" s="542"/>
      <c r="T547" s="542"/>
      <c r="U547" s="542"/>
      <c r="V547" s="542"/>
      <c r="W547" s="542"/>
      <c r="X547" s="542"/>
      <c r="Y547" s="542"/>
      <c r="Z547" s="542"/>
    </row>
    <row r="548" spans="1:26" ht="18.75" hidden="1">
      <c r="A548" s="564"/>
      <c r="B548" s="570"/>
      <c r="C548" s="565"/>
      <c r="D548" s="566"/>
      <c r="E548" s="567" t="s">
        <v>184</v>
      </c>
      <c r="F548" s="565"/>
      <c r="G548" s="568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4"/>
        <v>0</v>
      </c>
      <c r="P548" s="45">
        <f t="shared" si="275"/>
        <v>0</v>
      </c>
      <c r="Q548" s="569"/>
      <c r="R548" s="569"/>
      <c r="S548" s="569"/>
      <c r="T548" s="569"/>
      <c r="U548" s="569"/>
      <c r="V548" s="569"/>
      <c r="W548" s="569"/>
      <c r="X548" s="569"/>
      <c r="Y548" s="569"/>
      <c r="Z548" s="569"/>
    </row>
    <row r="549" spans="1:26" ht="18.75" hidden="1">
      <c r="A549" s="564"/>
      <c r="B549" s="570"/>
      <c r="C549" s="565"/>
      <c r="D549" s="566"/>
      <c r="E549" s="567" t="s">
        <v>185</v>
      </c>
      <c r="F549" s="565"/>
      <c r="G549" s="568"/>
      <c r="H549" s="165" t="s">
        <v>12</v>
      </c>
      <c r="I549" s="44"/>
      <c r="J549" s="44"/>
      <c r="K549" s="45"/>
      <c r="L549" s="45">
        <f ca="1">IFERROR(__xludf.DUMMYFUNCTION("IMPORTRANGE(""https://docs.google.com/spreadsheets/d/1KxicF4apzSqm0-jIpmueT4kyZtE-Cwn5zskl7GD4loQ/edit?usp=share_link"",""กำแพงเพชร!l549"")+IMPORTRANGE(""https://docs.google.com/spreadsheets/d/1ZNYWeiFoFA1K1U4xKWqRX29MBvEyRHXORjo734Gnq_c/edit?usp=share_li"&amp;"nk"",""เชียงราย!l549"")
+IMPORTRANGE(""https://docs.google.com/spreadsheets/d/1Jgv0Y7YlHDtsiDawwp-uvifEJ8HVaSn0k2aGHG8-hwM/edit?usp=share_link"",""เชียงใหม่!l549"")+IMPORTRANGE(""https://docs.google.com/spreadsheets/d/1JWG2rZePOz9pe-f-ObA-yDr0VoOX2kSb0qIi"&amp;"x2mTUo8/edit?usp=share_link"",""ตาก!l549"")+IMPORTRANGE(""https://docs.google.com/spreadsheets/d/10nSRjK08hx8Y6HgSOQKNw81lyY46Zc7U_Cj72hBMp9U/edit?usp=share_link"",""นครสวรรค์!l549"")+IMPORTRANGE(""https://docs.google.com/spreadsheets/d/1gFVb7qd7amutrIxAA"&amp;"oM7lcy35hllxznovot8lyOfvDo/edit?usp=share_link"",""น่าน!l549"")+IMPORTRANGE(""https://docs.google.com/spreadsheets/d/1K0Aa9s-6EuHE5M0FG1F9aHLXRCOV917xvycTdLdct0w/edit?usp=share_link"",""พะเยา!l549"")+IMPORTRANGE(""https://docs.google.com/spreadsheets/d/1Y"&amp;"9LPKx95PyL5OKy09d-KbKJSuuEZCFdkhYjwC0XQjBA/edit?usp=share_link"",""พิจิตร!l549"")+IMPORTRANGE(""https://docs.google.com/spreadsheets/d/16OMuOwy2eVqZcYWOouQtTpa8X1L23h4660uVHc0C8os/edit?usp=share_link"",""พิษณุโลก!l549"")+IMPORTRANGE(""https://docs.google."&amp;"com/spreadsheets/d/1GfgTldLG6k77HXaMQzaafODklYuucJZQNs_GAPEfZyY/edit?usp=share_link"",""เพชรบูรณ์!l549"")+IMPORTRANGE(""https://docs.google.com/spreadsheets/d/1gvTMYAnm7v1yG1BKWFtr0DnaTsq59oW9dwWvFgq6hs0/edit?usp=share_link"",""แพร่!l549"")+IMPORTRANGE("""&amp;"https://docs.google.com/spreadsheets/d/1Wbcosgy-Xa1xXUArJSOenub6EfZHUSzc_bpJFWwQUf0/edit?usp=share_link"",""แม่ฮ่องสอน!l549"")+IMPORTRANGE(""https://docs.google.com/spreadsheets/d/1p7ERhsr0qZeSn-KSOdeHS9r0heI-lHtkcn2OH7hP0jQ/edit?usp=share_link"",""ลำปาง!"&amp;"l549"")+IMPORTRANGE(""https://docs.google.com/spreadsheets/d/1-uUXvimVhiU2U0bMN-xi2te0tS4X7DI2GLPnMjzl8cA/edit?usp=share_link"",""ลำพูน!l549"")+IMPORTRANGE(""https://docs.google.com/spreadsheets/d/17HrOaa5pBUI1onckFfumXB8xlg35qb2uBAFfF1D-Myo/edit?usp=shar"&amp;"e_link"",""สุโขทัย!l549"")+IMPORTRANGE(""https://docs.google.com/spreadsheets/d/1ubs5cl16eYL9gHbdHTJtmtYb9MGzHBs7CAphn8kNCgM/edit?usp=share_link"",""อุตรดิตถ์!l549"")+IMPORTRANGE(""https://docs.google.com/spreadsheets/d/1kII0BjS6CtVrBvI8IrytgPdxDrlyQDyigz"&amp;"MsohRtDMs/edit?usp=share_link"",""อุทัยธานี!l549"")
"),7876340)</f>
        <v>7876340</v>
      </c>
      <c r="M549" s="93">
        <v>0</v>
      </c>
      <c r="N549" s="45">
        <f ca="1">N550+N551+N552+N553+N554</f>
        <v>2024956.32</v>
      </c>
      <c r="O549" s="45">
        <f t="shared" ca="1" si="274"/>
        <v>25.709356376184878</v>
      </c>
      <c r="P549" s="45">
        <f t="shared" si="275"/>
        <v>0</v>
      </c>
      <c r="Q549" s="569"/>
      <c r="R549" s="569"/>
      <c r="S549" s="569"/>
      <c r="T549" s="569"/>
      <c r="U549" s="569"/>
      <c r="V549" s="569"/>
      <c r="W549" s="569"/>
      <c r="X549" s="569"/>
      <c r="Y549" s="569"/>
      <c r="Z549" s="569"/>
    </row>
    <row r="550" spans="1:26" ht="18.75">
      <c r="A550" s="538"/>
      <c r="B550" s="539"/>
      <c r="C550" s="540"/>
      <c r="D550" s="540"/>
      <c r="E550" s="540"/>
      <c r="F550" s="541" t="s">
        <v>186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KxicF4apzSqm0-jIpmueT4kyZtE-Cwn5zskl7GD4loQ/edit?usp=share_link"",""กำแพงเพชร!n550"")+IMPORTRANGE(""https://docs.google.com/spreadsheets/d/1ZNYWeiFoFA1K1U4xKWqRX29MBvEyRHXORjo734Gnq_c/edit?usp=share_li"&amp;"nk"",""เชียงราย!n550"")
+IMPORTRANGE(""https://docs.google.com/spreadsheets/d/1Jgv0Y7YlHDtsiDawwp-uvifEJ8HVaSn0k2aGHG8-hwM/edit?usp=share_link"",""เชียงใหม่!n550"")+IMPORTRANGE(""https://docs.google.com/spreadsheets/d/1JWG2rZePOz9pe-f-ObA-yDr0VoOX2kSb0qIi"&amp;"x2mTUo8/edit?usp=share_link"",""ตาก!n550"")+IMPORTRANGE(""https://docs.google.com/spreadsheets/d/10nSRjK08hx8Y6HgSOQKNw81lyY46Zc7U_Cj72hBMp9U/edit?usp=share_link"",""นครสวรรค์!n550"")+IMPORTRANGE(""https://docs.google.com/spreadsheets/d/1gFVb7qd7amutrIxAA"&amp;"oM7lcy35hllxznovot8lyOfvDo/edit?usp=share_link"",""น่าน!n550"")+IMPORTRANGE(""https://docs.google.com/spreadsheets/d/1K0Aa9s-6EuHE5M0FG1F9aHLXRCOV917xvycTdLdct0w/edit?usp=share_link"",""พะเยา!n550"")+IMPORTRANGE(""https://docs.google.com/spreadsheets/d/1Y"&amp;"9LPKx95PyL5OKy09d-KbKJSuuEZCFdkhYjwC0XQjBA/edit?usp=share_link"",""พิจิตร!n550"")+IMPORTRANGE(""https://docs.google.com/spreadsheets/d/16OMuOwy2eVqZcYWOouQtTpa8X1L23h4660uVHc0C8os/edit?usp=share_link"",""พิษณุโลก!n550"")+IMPORTRANGE(""https://docs.google."&amp;"com/spreadsheets/d/1GfgTldLG6k77HXaMQzaafODklYuucJZQNs_GAPEfZyY/edit?usp=share_link"",""เพชรบูรณ์!n550"")+IMPORTRANGE(""https://docs.google.com/spreadsheets/d/1gvTMYAnm7v1yG1BKWFtr0DnaTsq59oW9dwWvFgq6hs0/edit?usp=share_link"",""แพร่!n550"")+IMPORTRANGE("""&amp;"https://docs.google.com/spreadsheets/d/1Wbcosgy-Xa1xXUArJSOenub6EfZHUSzc_bpJFWwQUf0/edit?usp=share_link"",""แม่ฮ่องสอน!n550"")+IMPORTRANGE(""https://docs.google.com/spreadsheets/d/1p7ERhsr0qZeSn-KSOdeHS9r0heI-lHtkcn2OH7hP0jQ/edit?usp=share_link"",""ลำปาง!"&amp;"n550"")+IMPORTRANGE(""https://docs.google.com/spreadsheets/d/1-uUXvimVhiU2U0bMN-xi2te0tS4X7DI2GLPnMjzl8cA/edit?usp=share_link"",""ลำพูน!n550"")+IMPORTRANGE(""https://docs.google.com/spreadsheets/d/17HrOaa5pBUI1onckFfumXB8xlg35qb2uBAFfF1D-Myo/edit?usp=shar"&amp;"e_link"",""สุโขทัย!n550"")+IMPORTRANGE(""https://docs.google.com/spreadsheets/d/1ubs5cl16eYL9gHbdHTJtmtYb9MGzHBs7CAphn8kNCgM/edit?usp=share_link"",""อุตรดิตถ์!n550"")+IMPORTRANGE(""https://docs.google.com/spreadsheets/d/1kII0BjS6CtVrBvI8IrytgPdxDrlyQDyigz"&amp;"MsohRtDMs/edit?usp=share_link"",""อุทัยธานี!n550"")
"),0)</f>
        <v>0</v>
      </c>
      <c r="O550" s="38"/>
      <c r="P550" s="38"/>
      <c r="Q550" s="542"/>
      <c r="R550" s="542"/>
      <c r="S550" s="542"/>
      <c r="T550" s="542"/>
      <c r="U550" s="542"/>
      <c r="V550" s="542"/>
      <c r="W550" s="542"/>
      <c r="X550" s="542"/>
      <c r="Y550" s="542"/>
      <c r="Z550" s="542"/>
    </row>
    <row r="551" spans="1:26" ht="18.75">
      <c r="A551" s="538"/>
      <c r="B551" s="539"/>
      <c r="C551" s="539"/>
      <c r="D551" s="539"/>
      <c r="E551" s="540"/>
      <c r="F551" s="541" t="s">
        <v>187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KxicF4apzSqm0-jIpmueT4kyZtE-Cwn5zskl7GD4loQ/edit?usp=share_link"",""กำแพงเพชร!n551"")+IMPORTRANGE(""https://docs.google.com/spreadsheets/d/1ZNYWeiFoFA1K1U4xKWqRX29MBvEyRHXORjo734Gnq_c/edit?usp=share_li"&amp;"nk"",""เชียงราย!n551"")
+IMPORTRANGE(""https://docs.google.com/spreadsheets/d/1Jgv0Y7YlHDtsiDawwp-uvifEJ8HVaSn0k2aGHG8-hwM/edit?usp=share_link"",""เชียงใหม่!n551"")+IMPORTRANGE(""https://docs.google.com/spreadsheets/d/1JWG2rZePOz9pe-f-ObA-yDr0VoOX2kSb0qIi"&amp;"x2mTUo8/edit?usp=share_link"",""ตาก!n551"")+IMPORTRANGE(""https://docs.google.com/spreadsheets/d/10nSRjK08hx8Y6HgSOQKNw81lyY46Zc7U_Cj72hBMp9U/edit?usp=share_link"",""นครสวรรค์!n551"")+IMPORTRANGE(""https://docs.google.com/spreadsheets/d/1gFVb7qd7amutrIxAA"&amp;"oM7lcy35hllxznovot8lyOfvDo/edit?usp=share_link"",""น่าน!n551"")+IMPORTRANGE(""https://docs.google.com/spreadsheets/d/1K0Aa9s-6EuHE5M0FG1F9aHLXRCOV917xvycTdLdct0w/edit?usp=share_link"",""พะเยา!n551"")+IMPORTRANGE(""https://docs.google.com/spreadsheets/d/1Y"&amp;"9LPKx95PyL5OKy09d-KbKJSuuEZCFdkhYjwC0XQjBA/edit?usp=share_link"",""พิจิตร!n551"")+IMPORTRANGE(""https://docs.google.com/spreadsheets/d/16OMuOwy2eVqZcYWOouQtTpa8X1L23h4660uVHc0C8os/edit?usp=share_link"",""พิษณุโลก!n551"")+IMPORTRANGE(""https://docs.google."&amp;"com/spreadsheets/d/1GfgTldLG6k77HXaMQzaafODklYuucJZQNs_GAPEfZyY/edit?usp=share_link"",""เพชรบูรณ์!n551"")+IMPORTRANGE(""https://docs.google.com/spreadsheets/d/1gvTMYAnm7v1yG1BKWFtr0DnaTsq59oW9dwWvFgq6hs0/edit?usp=share_link"",""แพร่!n551"")+IMPORTRANGE("""&amp;"https://docs.google.com/spreadsheets/d/1Wbcosgy-Xa1xXUArJSOenub6EfZHUSzc_bpJFWwQUf0/edit?usp=share_link"",""แม่ฮ่องสอน!n551"")+IMPORTRANGE(""https://docs.google.com/spreadsheets/d/1p7ERhsr0qZeSn-KSOdeHS9r0heI-lHtkcn2OH7hP0jQ/edit?usp=share_link"",""ลำปาง!"&amp;"n551"")+IMPORTRANGE(""https://docs.google.com/spreadsheets/d/1-uUXvimVhiU2U0bMN-xi2te0tS4X7DI2GLPnMjzl8cA/edit?usp=share_link"",""ลำพูน!n551"")+IMPORTRANGE(""https://docs.google.com/spreadsheets/d/17HrOaa5pBUI1onckFfumXB8xlg35qb2uBAFfF1D-Myo/edit?usp=shar"&amp;"e_link"",""สุโขทัย!n551"")+IMPORTRANGE(""https://docs.google.com/spreadsheets/d/1ubs5cl16eYL9gHbdHTJtmtYb9MGzHBs7CAphn8kNCgM/edit?usp=share_link"",""อุตรดิตถ์!n551"")+IMPORTRANGE(""https://docs.google.com/spreadsheets/d/1kII0BjS6CtVrBvI8IrytgPdxDrlyQDyigz"&amp;"MsohRtDMs/edit?usp=share_link"",""อุทัยธานี!n551"")
"),27000)</f>
        <v>27000</v>
      </c>
      <c r="O551" s="38"/>
      <c r="P551" s="38"/>
      <c r="Q551" s="542"/>
      <c r="R551" s="542"/>
      <c r="S551" s="542"/>
      <c r="T551" s="542"/>
      <c r="U551" s="542"/>
      <c r="V551" s="542"/>
      <c r="W551" s="542"/>
      <c r="X551" s="542"/>
      <c r="Y551" s="542"/>
      <c r="Z551" s="542"/>
    </row>
    <row r="552" spans="1:26" ht="18.75">
      <c r="A552" s="538"/>
      <c r="B552" s="539"/>
      <c r="C552" s="540"/>
      <c r="D552" s="540"/>
      <c r="E552" s="540"/>
      <c r="F552" s="541" t="s">
        <v>188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KxicF4apzSqm0-jIpmueT4kyZtE-Cwn5zskl7GD4loQ/edit?usp=share_link"",""กำแพงเพชร!n552"")+IMPORTRANGE(""https://docs.google.com/spreadsheets/d/1ZNYWeiFoFA1K1U4xKWqRX29MBvEyRHXORjo734Gnq_c/edit?usp=share_li"&amp;"nk"",""เชียงราย!n552"")
+IMPORTRANGE(""https://docs.google.com/spreadsheets/d/1Jgv0Y7YlHDtsiDawwp-uvifEJ8HVaSn0k2aGHG8-hwM/edit?usp=share_link"",""เชียงใหม่!n552"")+IMPORTRANGE(""https://docs.google.com/spreadsheets/d/1JWG2rZePOz9pe-f-ObA-yDr0VoOX2kSb0qIi"&amp;"x2mTUo8/edit?usp=share_link"",""ตาก!n552"")+IMPORTRANGE(""https://docs.google.com/spreadsheets/d/10nSRjK08hx8Y6HgSOQKNw81lyY46Zc7U_Cj72hBMp9U/edit?usp=share_link"",""นครสวรรค์!n552"")+IMPORTRANGE(""https://docs.google.com/spreadsheets/d/1gFVb7qd7amutrIxAA"&amp;"oM7lcy35hllxznovot8lyOfvDo/edit?usp=share_link"",""น่าน!n552"")+IMPORTRANGE(""https://docs.google.com/spreadsheets/d/1K0Aa9s-6EuHE5M0FG1F9aHLXRCOV917xvycTdLdct0w/edit?usp=share_link"",""พะเยา!n552"")+IMPORTRANGE(""https://docs.google.com/spreadsheets/d/1Y"&amp;"9LPKx95PyL5OKy09d-KbKJSuuEZCFdkhYjwC0XQjBA/edit?usp=share_link"",""พิจิตร!n552"")+IMPORTRANGE(""https://docs.google.com/spreadsheets/d/16OMuOwy2eVqZcYWOouQtTpa8X1L23h4660uVHc0C8os/edit?usp=share_link"",""พิษณุโลก!n552"")+IMPORTRANGE(""https://docs.google."&amp;"com/spreadsheets/d/1GfgTldLG6k77HXaMQzaafODklYuucJZQNs_GAPEfZyY/edit?usp=share_link"",""เพชรบูรณ์!n552"")+IMPORTRANGE(""https://docs.google.com/spreadsheets/d/1gvTMYAnm7v1yG1BKWFtr0DnaTsq59oW9dwWvFgq6hs0/edit?usp=share_link"",""แพร่!n552"")+IMPORTRANGE("""&amp;"https://docs.google.com/spreadsheets/d/1Wbcosgy-Xa1xXUArJSOenub6EfZHUSzc_bpJFWwQUf0/edit?usp=share_link"",""แม่ฮ่องสอน!n552"")+IMPORTRANGE(""https://docs.google.com/spreadsheets/d/1p7ERhsr0qZeSn-KSOdeHS9r0heI-lHtkcn2OH7hP0jQ/edit?usp=share_link"",""ลำปาง!"&amp;"n552"")+IMPORTRANGE(""https://docs.google.com/spreadsheets/d/1-uUXvimVhiU2U0bMN-xi2te0tS4X7DI2GLPnMjzl8cA/edit?usp=share_link"",""ลำพูน!n552"")+IMPORTRANGE(""https://docs.google.com/spreadsheets/d/17HrOaa5pBUI1onckFfumXB8xlg35qb2uBAFfF1D-Myo/edit?usp=shar"&amp;"e_link"",""สุโขทัย!n552"")+IMPORTRANGE(""https://docs.google.com/spreadsheets/d/1ubs5cl16eYL9gHbdHTJtmtYb9MGzHBs7CAphn8kNCgM/edit?usp=share_link"",""อุตรดิตถ์!n552"")+IMPORTRANGE(""https://docs.google.com/spreadsheets/d/1kII0BjS6CtVrBvI8IrytgPdxDrlyQDyigz"&amp;"MsohRtDMs/edit?usp=share_link"",""อุทัยธานี!n552"")
"),679182.72)</f>
        <v>679182.72</v>
      </c>
      <c r="O552" s="38"/>
      <c r="P552" s="38"/>
      <c r="Q552" s="542"/>
      <c r="R552" s="542"/>
      <c r="S552" s="542"/>
      <c r="T552" s="542"/>
      <c r="U552" s="542"/>
      <c r="V552" s="542"/>
      <c r="W552" s="542"/>
      <c r="X552" s="542"/>
      <c r="Y552" s="542"/>
      <c r="Z552" s="542"/>
    </row>
    <row r="553" spans="1:26" ht="18.75">
      <c r="A553" s="538"/>
      <c r="B553" s="539"/>
      <c r="C553" s="539"/>
      <c r="D553" s="539"/>
      <c r="E553" s="540"/>
      <c r="F553" s="541" t="s">
        <v>189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KxicF4apzSqm0-jIpmueT4kyZtE-Cwn5zskl7GD4loQ/edit?usp=share_link"",""กำแพงเพชร!n553"")+IMPORTRANGE(""https://docs.google.com/spreadsheets/d/1ZNYWeiFoFA1K1U4xKWqRX29MBvEyRHXORjo734Gnq_c/edit?usp=share_li"&amp;"nk"",""เชียงราย!n553"")
+IMPORTRANGE(""https://docs.google.com/spreadsheets/d/1Jgv0Y7YlHDtsiDawwp-uvifEJ8HVaSn0k2aGHG8-hwM/edit?usp=share_link"",""เชียงใหม่!n553"")+IMPORTRANGE(""https://docs.google.com/spreadsheets/d/1JWG2rZePOz9pe-f-ObA-yDr0VoOX2kSb0qIi"&amp;"x2mTUo8/edit?usp=share_link"",""ตาก!n553"")+IMPORTRANGE(""https://docs.google.com/spreadsheets/d/10nSRjK08hx8Y6HgSOQKNw81lyY46Zc7U_Cj72hBMp9U/edit?usp=share_link"",""นครสวรรค์!n553"")+IMPORTRANGE(""https://docs.google.com/spreadsheets/d/1gFVb7qd7amutrIxAA"&amp;"oM7lcy35hllxznovot8lyOfvDo/edit?usp=share_link"",""น่าน!n553"")+IMPORTRANGE(""https://docs.google.com/spreadsheets/d/1K0Aa9s-6EuHE5M0FG1F9aHLXRCOV917xvycTdLdct0w/edit?usp=share_link"",""พะเยา!n553"")+IMPORTRANGE(""https://docs.google.com/spreadsheets/d/1Y"&amp;"9LPKx95PyL5OKy09d-KbKJSuuEZCFdkhYjwC0XQjBA/edit?usp=share_link"",""พิจิตร!n553"")+IMPORTRANGE(""https://docs.google.com/spreadsheets/d/16OMuOwy2eVqZcYWOouQtTpa8X1L23h4660uVHc0C8os/edit?usp=share_link"",""พิษณุโลก!n553"")+IMPORTRANGE(""https://docs.google."&amp;"com/spreadsheets/d/1GfgTldLG6k77HXaMQzaafODklYuucJZQNs_GAPEfZyY/edit?usp=share_link"",""เพชรบูรณ์!n553"")+IMPORTRANGE(""https://docs.google.com/spreadsheets/d/1gvTMYAnm7v1yG1BKWFtr0DnaTsq59oW9dwWvFgq6hs0/edit?usp=share_link"",""แพร่!n553"")+IMPORTRANGE("""&amp;"https://docs.google.com/spreadsheets/d/1Wbcosgy-Xa1xXUArJSOenub6EfZHUSzc_bpJFWwQUf0/edit?usp=share_link"",""แม่ฮ่องสอน!n553"")+IMPORTRANGE(""https://docs.google.com/spreadsheets/d/1p7ERhsr0qZeSn-KSOdeHS9r0heI-lHtkcn2OH7hP0jQ/edit?usp=share_link"",""ลำปาง!"&amp;"n553"")+IMPORTRANGE(""https://docs.google.com/spreadsheets/d/1-uUXvimVhiU2U0bMN-xi2te0tS4X7DI2GLPnMjzl8cA/edit?usp=share_link"",""ลำพูน!n553"")+IMPORTRANGE(""https://docs.google.com/spreadsheets/d/17HrOaa5pBUI1onckFfumXB8xlg35qb2uBAFfF1D-Myo/edit?usp=shar"&amp;"e_link"",""สุโขทัย!n553"")+IMPORTRANGE(""https://docs.google.com/spreadsheets/d/1ubs5cl16eYL9gHbdHTJtmtYb9MGzHBs7CAphn8kNCgM/edit?usp=share_link"",""อุตรดิตถ์!n553"")+IMPORTRANGE(""https://docs.google.com/spreadsheets/d/1kII0BjS6CtVrBvI8IrytgPdxDrlyQDyigz"&amp;"MsohRtDMs/edit?usp=share_link"",""อุทัยธานี!n553"")
"),1318773.6)</f>
        <v>1318773.6000000001</v>
      </c>
      <c r="O553" s="38"/>
      <c r="P553" s="38"/>
      <c r="Q553" s="542"/>
      <c r="R553" s="542"/>
      <c r="S553" s="542"/>
      <c r="T553" s="542"/>
      <c r="U553" s="542"/>
      <c r="V553" s="542"/>
      <c r="W553" s="542"/>
      <c r="X553" s="542"/>
      <c r="Y553" s="542"/>
      <c r="Z553" s="542"/>
    </row>
    <row r="554" spans="1:26" ht="18.75">
      <c r="A554" s="538"/>
      <c r="B554" s="539"/>
      <c r="C554" s="539"/>
      <c r="D554" s="539"/>
      <c r="E554" s="540"/>
      <c r="F554" s="541" t="s">
        <v>233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KxicF4apzSqm0-jIpmueT4kyZtE-Cwn5zskl7GD4loQ/edit?usp=share_link"",""กำแพงเพชร!n554"")+IMPORTRANGE(""https://docs.google.com/spreadsheets/d/1ZNYWeiFoFA1K1U4xKWqRX29MBvEyRHXORjo734Gnq_c/edit?usp=share_li"&amp;"nk"",""เชียงราย!n554"")
+IMPORTRANGE(""https://docs.google.com/spreadsheets/d/1Jgv0Y7YlHDtsiDawwp-uvifEJ8HVaSn0k2aGHG8-hwM/edit?usp=share_link"",""เชียงใหม่!n554"")+IMPORTRANGE(""https://docs.google.com/spreadsheets/d/1JWG2rZePOz9pe-f-ObA-yDr0VoOX2kSb0qIi"&amp;"x2mTUo8/edit?usp=share_link"",""ตาก!n554"")+IMPORTRANGE(""https://docs.google.com/spreadsheets/d/10nSRjK08hx8Y6HgSOQKNw81lyY46Zc7U_Cj72hBMp9U/edit?usp=share_link"",""นครสวรรค์!n554"")+IMPORTRANGE(""https://docs.google.com/spreadsheets/d/1gFVb7qd7amutrIxAA"&amp;"oM7lcy35hllxznovot8lyOfvDo/edit?usp=share_link"",""น่าน!n554"")+IMPORTRANGE(""https://docs.google.com/spreadsheets/d/1K0Aa9s-6EuHE5M0FG1F9aHLXRCOV917xvycTdLdct0w/edit?usp=share_link"",""พะเยา!n554"")+IMPORTRANGE(""https://docs.google.com/spreadsheets/d/1Y"&amp;"9LPKx95PyL5OKy09d-KbKJSuuEZCFdkhYjwC0XQjBA/edit?usp=share_link"",""พิจิตร!n554"")+IMPORTRANGE(""https://docs.google.com/spreadsheets/d/16OMuOwy2eVqZcYWOouQtTpa8X1L23h4660uVHc0C8os/edit?usp=share_link"",""พิษณุโลก!n554"")+IMPORTRANGE(""https://docs.google."&amp;"com/spreadsheets/d/1GfgTldLG6k77HXaMQzaafODklYuucJZQNs_GAPEfZyY/edit?usp=share_link"",""เพชรบูรณ์!n554"")+IMPORTRANGE(""https://docs.google.com/spreadsheets/d/1gvTMYAnm7v1yG1BKWFtr0DnaTsq59oW9dwWvFgq6hs0/edit?usp=share_link"",""แพร่!n554"")+IMPORTRANGE("""&amp;"https://docs.google.com/spreadsheets/d/1Wbcosgy-Xa1xXUArJSOenub6EfZHUSzc_bpJFWwQUf0/edit?usp=share_link"",""แม่ฮ่องสอน!n554"")+IMPORTRANGE(""https://docs.google.com/spreadsheets/d/1p7ERhsr0qZeSn-KSOdeHS9r0heI-lHtkcn2OH7hP0jQ/edit?usp=share_link"",""ลำปาง!"&amp;"n554"")+IMPORTRANGE(""https://docs.google.com/spreadsheets/d/1-uUXvimVhiU2U0bMN-xi2te0tS4X7DI2GLPnMjzl8cA/edit?usp=share_link"",""ลำพูน!n554"")+IMPORTRANGE(""https://docs.google.com/spreadsheets/d/17HrOaa5pBUI1onckFfumXB8xlg35qb2uBAFfF1D-Myo/edit?usp=shar"&amp;"e_link"",""สุโขทัย!n554"")+IMPORTRANGE(""https://docs.google.com/spreadsheets/d/1ubs5cl16eYL9gHbdHTJtmtYb9MGzHBs7CAphn8kNCgM/edit?usp=share_link"",""อุตรดิตถ์!n554"")+IMPORTRANGE(""https://docs.google.com/spreadsheets/d/1kII0BjS6CtVrBvI8IrytgPdxDrlyQDyigz"&amp;"MsohRtDMs/edit?usp=share_link"",""อุทัยธานี!n554"")
"),0)</f>
        <v>0</v>
      </c>
      <c r="O554" s="38"/>
      <c r="P554" s="38"/>
      <c r="Q554" s="542"/>
      <c r="R554" s="542"/>
      <c r="S554" s="542"/>
      <c r="T554" s="542"/>
      <c r="U554" s="542"/>
      <c r="V554" s="542"/>
      <c r="W554" s="542"/>
      <c r="X554" s="542"/>
      <c r="Y554" s="542"/>
      <c r="Z554" s="542"/>
    </row>
    <row r="555" spans="1:26" ht="18.75">
      <c r="A555" s="562"/>
      <c r="B555" s="539"/>
      <c r="C555" s="539"/>
      <c r="D555" s="571" t="s">
        <v>21</v>
      </c>
      <c r="E555" s="540"/>
      <c r="F555" s="540"/>
      <c r="G555" s="189"/>
      <c r="H555" s="168" t="s">
        <v>12</v>
      </c>
      <c r="I555" s="162"/>
      <c r="J555" s="162"/>
      <c r="K555" s="163"/>
      <c r="L555" s="38">
        <f t="shared" ref="L555:N555" ca="1" si="280">L556+L557</f>
        <v>0</v>
      </c>
      <c r="M555" s="38">
        <f t="shared" si="280"/>
        <v>0</v>
      </c>
      <c r="N555" s="38">
        <f t="shared" si="280"/>
        <v>0</v>
      </c>
      <c r="O555" s="38">
        <f t="shared" ref="O555:O557" ca="1" si="281">IF(L555&gt;0,N555*100/L555,0)</f>
        <v>0</v>
      </c>
      <c r="P555" s="38">
        <f t="shared" ref="P555:P557" si="282">IF(M555&gt;0,N555*100/M555,0)</f>
        <v>0</v>
      </c>
      <c r="Q555" s="542"/>
      <c r="R555" s="542"/>
      <c r="S555" s="542"/>
      <c r="T555" s="542"/>
      <c r="U555" s="542"/>
      <c r="V555" s="542"/>
      <c r="W555" s="542"/>
      <c r="X555" s="542"/>
      <c r="Y555" s="542"/>
      <c r="Z555" s="542"/>
    </row>
    <row r="556" spans="1:26" ht="18.75" hidden="1">
      <c r="A556" s="564"/>
      <c r="B556" s="570"/>
      <c r="C556" s="570"/>
      <c r="D556" s="565"/>
      <c r="E556" s="567" t="s">
        <v>18</v>
      </c>
      <c r="F556" s="565"/>
      <c r="G556" s="56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81"/>
        <v>0</v>
      </c>
      <c r="P556" s="45">
        <f t="shared" si="282"/>
        <v>0</v>
      </c>
      <c r="Q556" s="569"/>
      <c r="R556" s="569"/>
      <c r="S556" s="569"/>
      <c r="T556" s="569"/>
      <c r="U556" s="569"/>
      <c r="V556" s="569"/>
      <c r="W556" s="569"/>
      <c r="X556" s="569"/>
      <c r="Y556" s="569"/>
      <c r="Z556" s="569"/>
    </row>
    <row r="557" spans="1:26" ht="18.75" hidden="1">
      <c r="A557" s="564"/>
      <c r="B557" s="570"/>
      <c r="C557" s="570"/>
      <c r="D557" s="565"/>
      <c r="E557" s="567" t="s">
        <v>19</v>
      </c>
      <c r="F557" s="565"/>
      <c r="G557" s="568"/>
      <c r="H557" s="169" t="s">
        <v>12</v>
      </c>
      <c r="I557" s="166"/>
      <c r="J557" s="166"/>
      <c r="K557" s="167"/>
      <c r="L557" s="45">
        <f ca="1">IFERROR(__xludf.DUMMYFUNCTION("IMPORTRANGE(""https://docs.google.com/spreadsheets/d/1KxicF4apzSqm0-jIpmueT4kyZtE-Cwn5zskl7GD4loQ/edit?usp=share_link"",""กำแพงเพชร!l557"")+IMPORTRANGE(""https://docs.google.com/spreadsheets/d/1ZNYWeiFoFA1K1U4xKWqRX29MBvEyRHXORjo734Gnq_c/edit?usp=share_li"&amp;"nk"",""เชียงราย!l557"")
+IMPORTRANGE(""https://docs.google.com/spreadsheets/d/1Jgv0Y7YlHDtsiDawwp-uvifEJ8HVaSn0k2aGHG8-hwM/edit?usp=share_link"",""เชียงใหม่!l557"")+IMPORTRANGE(""https://docs.google.com/spreadsheets/d/1JWG2rZePOz9pe-f-ObA-yDr0VoOX2kSb0qIi"&amp;"x2mTUo8/edit?usp=share_link"",""ตาก!l557"")+IMPORTRANGE(""https://docs.google.com/spreadsheets/d/10nSRjK08hx8Y6HgSOQKNw81lyY46Zc7U_Cj72hBMp9U/edit?usp=share_link"",""นครสวรรค์!l557"")+IMPORTRANGE(""https://docs.google.com/spreadsheets/d/1gFVb7qd7amutrIxAA"&amp;"oM7lcy35hllxznovot8lyOfvDo/edit?usp=share_link"",""น่าน!l557"")+IMPORTRANGE(""https://docs.google.com/spreadsheets/d/1K0Aa9s-6EuHE5M0FG1F9aHLXRCOV917xvycTdLdct0w/edit?usp=share_link"",""พะเยา!l557"")+IMPORTRANGE(""https://docs.google.com/spreadsheets/d/1Y"&amp;"9LPKx95PyL5OKy09d-KbKJSuuEZCFdkhYjwC0XQjBA/edit?usp=share_link"",""พิจิตร!l557"")+IMPORTRANGE(""https://docs.google.com/spreadsheets/d/16OMuOwy2eVqZcYWOouQtTpa8X1L23h4660uVHc0C8os/edit?usp=share_link"",""พิษณุโลก!l557"")+IMPORTRANGE(""https://docs.google."&amp;"com/spreadsheets/d/1GfgTldLG6k77HXaMQzaafODklYuucJZQNs_GAPEfZyY/edit?usp=share_link"",""เพชรบูรณ์!l557"")+IMPORTRANGE(""https://docs.google.com/spreadsheets/d/1gvTMYAnm7v1yG1BKWFtr0DnaTsq59oW9dwWvFgq6hs0/edit?usp=share_link"",""แพร่!l557"")+IMPORTRANGE("""&amp;"https://docs.google.com/spreadsheets/d/1Wbcosgy-Xa1xXUArJSOenub6EfZHUSzc_bpJFWwQUf0/edit?usp=share_link"",""แม่ฮ่องสอน!l557"")+IMPORTRANGE(""https://docs.google.com/spreadsheets/d/1p7ERhsr0qZeSn-KSOdeHS9r0heI-lHtkcn2OH7hP0jQ/edit?usp=share_link"",""ลำปาง!"&amp;"l557"")+IMPORTRANGE(""https://docs.google.com/spreadsheets/d/1-uUXvimVhiU2U0bMN-xi2te0tS4X7DI2GLPnMjzl8cA/edit?usp=share_link"",""ลำพูน!l557"")+IMPORTRANGE(""https://docs.google.com/spreadsheets/d/17HrOaa5pBUI1onckFfumXB8xlg35qb2uBAFfF1D-Myo/edit?usp=shar"&amp;"e_link"",""สุโขทัย!l557"")+IMPORTRANGE(""https://docs.google.com/spreadsheets/d/1ubs5cl16eYL9gHbdHTJtmtYb9MGzHBs7CAphn8kNCgM/edit?usp=share_link"",""อุตรดิตถ์!l557"")+IMPORTRANGE(""https://docs.google.com/spreadsheets/d/1kII0BjS6CtVrBvI8IrytgPdxDrlyQDyigz"&amp;"MsohRtDMs/edit?usp=share_link"",""อุทัยธานี!l557"")
"),0)</f>
        <v>0</v>
      </c>
      <c r="M557" s="93">
        <v>0</v>
      </c>
      <c r="N557" s="93">
        <v>0</v>
      </c>
      <c r="O557" s="45">
        <f t="shared" ca="1" si="281"/>
        <v>0</v>
      </c>
      <c r="P557" s="45">
        <f t="shared" si="282"/>
        <v>0</v>
      </c>
      <c r="Q557" s="569"/>
      <c r="R557" s="569"/>
      <c r="S557" s="569"/>
      <c r="T557" s="569"/>
      <c r="U557" s="569"/>
      <c r="V557" s="569"/>
      <c r="W557" s="569"/>
      <c r="X557" s="569"/>
      <c r="Y557" s="569"/>
      <c r="Z557" s="569"/>
    </row>
    <row r="558" spans="1:26" ht="19.5">
      <c r="A558" s="573"/>
      <c r="B558" s="574"/>
      <c r="C558" s="539" t="s">
        <v>16</v>
      </c>
      <c r="D558" s="645" t="s">
        <v>38</v>
      </c>
      <c r="E558" s="577"/>
      <c r="F558" s="577"/>
      <c r="G558" s="578"/>
      <c r="H558" s="175"/>
      <c r="I558" s="162"/>
      <c r="J558" s="162"/>
      <c r="K558" s="163"/>
      <c r="L558" s="163"/>
      <c r="M558" s="163"/>
      <c r="N558" s="163"/>
      <c r="O558" s="163"/>
      <c r="P558" s="163"/>
      <c r="Q558" s="542"/>
      <c r="R558" s="542"/>
      <c r="S558" s="542"/>
      <c r="T558" s="542"/>
      <c r="U558" s="542"/>
      <c r="V558" s="542"/>
      <c r="W558" s="542"/>
      <c r="X558" s="542"/>
      <c r="Y558" s="542"/>
      <c r="Z558" s="542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42">
        <f t="shared" ref="I559:J559" ca="1" si="283">I576</f>
        <v>789391</v>
      </c>
      <c r="J559" s="642">
        <f t="shared" ca="1" si="283"/>
        <v>6342.8</v>
      </c>
      <c r="K559" s="643">
        <f t="shared" ref="K559:K561" ca="1" si="284">IF(I559&gt;0,J559*100/I559,0)</f>
        <v>0.80350548714135328</v>
      </c>
      <c r="L559" s="644"/>
      <c r="M559" s="644"/>
      <c r="N559" s="644"/>
      <c r="O559" s="644"/>
      <c r="P559" s="644"/>
      <c r="Q559" s="542"/>
      <c r="R559" s="542"/>
      <c r="S559" s="542"/>
      <c r="T559" s="542"/>
      <c r="U559" s="542"/>
      <c r="V559" s="542"/>
      <c r="W559" s="542"/>
      <c r="X559" s="542"/>
      <c r="Y559" s="542"/>
      <c r="Z559" s="542"/>
    </row>
    <row r="560" spans="1:26" ht="19.5">
      <c r="A560" s="573"/>
      <c r="B560" s="574"/>
      <c r="C560" s="589" t="s">
        <v>235</v>
      </c>
      <c r="D560" s="574"/>
      <c r="E560" s="586"/>
      <c r="F560" s="586"/>
      <c r="G560" s="175"/>
      <c r="H560" s="192" t="s">
        <v>46</v>
      </c>
      <c r="I560" s="193">
        <f ca="1">IFERROR(__xludf.DUMMYFUNCTION("IMPORTRANGE(""https://docs.google.com/spreadsheets/d/1KxicF4apzSqm0-jIpmueT4kyZtE-Cwn5zskl7GD4loQ/edit?usp=share_link"",""กำแพงเพชร!I560"")+IMPORTRANGE(""https://docs.google.com/spreadsheets/d/1ZNYWeiFoFA1K1U4xKWqRX29MBvEyRHXORjo734Gnq_c/edit?usp=share_li"&amp;"nk"",""เชียงราย!I560"")
+IMPORTRANGE(""https://docs.google.com/spreadsheets/d/1Jgv0Y7YlHDtsiDawwp-uvifEJ8HVaSn0k2aGHG8-hwM/edit?usp=share_link"",""เชียงใหม่!I560"")+IMPORTRANGE(""https://docs.google.com/spreadsheets/d/1JWG2rZePOz9pe-f-ObA-yDr0VoOX2kSb0qIi"&amp;"x2mTUo8/edit?usp=share_link"",""ตาก!I560"")+IMPORTRANGE(""https://docs.google.com/spreadsheets/d/10nSRjK08hx8Y6HgSOQKNw81lyY46Zc7U_Cj72hBMp9U/edit?usp=share_link"",""นครสวรรค์!I560"")+IMPORTRANGE(""https://docs.google.com/spreadsheets/d/1gFVb7qd7amutrIxAA"&amp;"oM7lcy35hllxznovot8lyOfvDo/edit?usp=share_link"",""น่าน!I560"")+IMPORTRANGE(""https://docs.google.com/spreadsheets/d/1K0Aa9s-6EuHE5M0FG1F9aHLXRCOV917xvycTdLdct0w/edit?usp=share_link"",""พะเยา!I560"")+IMPORTRANGE(""https://docs.google.com/spreadsheets/d/1Y"&amp;"9LPKx95PyL5OKy09d-KbKJSuuEZCFdkhYjwC0XQjBA/edit?usp=share_link"",""พิจิตร!I560"")+IMPORTRANGE(""https://docs.google.com/spreadsheets/d/16OMuOwy2eVqZcYWOouQtTpa8X1L23h4660uVHc0C8os/edit?usp=share_link"",""พิษณุโลก!I560"")+IMPORTRANGE(""https://docs.google."&amp;"com/spreadsheets/d/1GfgTldLG6k77HXaMQzaafODklYuucJZQNs_GAPEfZyY/edit?usp=share_link"",""เพชรบูรณ์!I560"")+IMPORTRANGE(""https://docs.google.com/spreadsheets/d/1gvTMYAnm7v1yG1BKWFtr0DnaTsq59oW9dwWvFgq6hs0/edit?usp=share_link"",""แพร่!I560"")+IMPORTRANGE("""&amp;"https://docs.google.com/spreadsheets/d/1Wbcosgy-Xa1xXUArJSOenub6EfZHUSzc_bpJFWwQUf0/edit?usp=share_link"",""แม่ฮ่องสอน!I560"")+IMPORTRANGE(""https://docs.google.com/spreadsheets/d/1p7ERhsr0qZeSn-KSOdeHS9r0heI-lHtkcn2OH7hP0jQ/edit?usp=share_link"",""ลำปาง!"&amp;"I560"")+IMPORTRANGE(""https://docs.google.com/spreadsheets/d/1-uUXvimVhiU2U0bMN-xi2te0tS4X7DI2GLPnMjzl8cA/edit?usp=share_link"",""ลำพูน!I560"")+IMPORTRANGE(""https://docs.google.com/spreadsheets/d/17HrOaa5pBUI1onckFfumXB8xlg35qb2uBAFfF1D-Myo/edit?usp=shar"&amp;"e_link"",""สุโขทัย!I560"")+IMPORTRANGE(""https://docs.google.com/spreadsheets/d/1ubs5cl16eYL9gHbdHTJtmtYb9MGzHBs7CAphn8kNCgM/edit?usp=share_link"",""อุตรดิตถ์!I560"")+IMPORTRANGE(""https://docs.google.com/spreadsheets/d/1kII0BjS6CtVrBvI8IrytgPdxDrlyQDyigz"&amp;"MsohRtDMs/edit?usp=share_link"",""อุทัยธานี!I560"")
"),789391)</f>
        <v>789391</v>
      </c>
      <c r="J560" s="193">
        <f t="shared" ref="J560:J561" ca="1" si="285">J562+J564+J566</f>
        <v>767260.04999999888</v>
      </c>
      <c r="K560" s="380">
        <f t="shared" ca="1" si="284"/>
        <v>97.19645270848018</v>
      </c>
      <c r="L560" s="163"/>
      <c r="M560" s="163"/>
      <c r="N560" s="163"/>
      <c r="O560" s="163"/>
      <c r="P560" s="163"/>
      <c r="Q560" s="542"/>
      <c r="R560" s="542"/>
      <c r="S560" s="542"/>
      <c r="T560" s="542"/>
      <c r="U560" s="542"/>
      <c r="V560" s="542"/>
      <c r="W560" s="542"/>
      <c r="X560" s="542"/>
      <c r="Y560" s="542"/>
      <c r="Z560" s="542"/>
    </row>
    <row r="561" spans="1:26" ht="19.5">
      <c r="A561" s="573"/>
      <c r="B561" s="574"/>
      <c r="C561" s="574"/>
      <c r="D561" s="586"/>
      <c r="E561" s="586"/>
      <c r="F561" s="586"/>
      <c r="G561" s="175"/>
      <c r="H561" s="192" t="s">
        <v>34</v>
      </c>
      <c r="I561" s="193">
        <f ca="1">IFERROR(__xludf.DUMMYFUNCTION("IMPORTRANGE(""https://docs.google.com/spreadsheets/d/1KxicF4apzSqm0-jIpmueT4kyZtE-Cwn5zskl7GD4loQ/edit?usp=share_link"",""กำแพงเพชร!I561"")+IMPORTRANGE(""https://docs.google.com/spreadsheets/d/1ZNYWeiFoFA1K1U4xKWqRX29MBvEyRHXORjo734Gnq_c/edit?usp=share_li"&amp;"nk"",""เชียงราย!I561"")
+IMPORTRANGE(""https://docs.google.com/spreadsheets/d/1Jgv0Y7YlHDtsiDawwp-uvifEJ8HVaSn0k2aGHG8-hwM/edit?usp=share_link"",""เชียงใหม่!I561"")+IMPORTRANGE(""https://docs.google.com/spreadsheets/d/1JWG2rZePOz9pe-f-ObA-yDr0VoOX2kSb0qIi"&amp;"x2mTUo8/edit?usp=share_link"",""ตาก!I561"")+IMPORTRANGE(""https://docs.google.com/spreadsheets/d/10nSRjK08hx8Y6HgSOQKNw81lyY46Zc7U_Cj72hBMp9U/edit?usp=share_link"",""นครสวรรค์!I561"")+IMPORTRANGE(""https://docs.google.com/spreadsheets/d/1gFVb7qd7amutrIxAA"&amp;"oM7lcy35hllxznovot8lyOfvDo/edit?usp=share_link"",""น่าน!I561"")+IMPORTRANGE(""https://docs.google.com/spreadsheets/d/1K0Aa9s-6EuHE5M0FG1F9aHLXRCOV917xvycTdLdct0w/edit?usp=share_link"",""พะเยา!I561"")+IMPORTRANGE(""https://docs.google.com/spreadsheets/d/1Y"&amp;"9LPKx95PyL5OKy09d-KbKJSuuEZCFdkhYjwC0XQjBA/edit?usp=share_link"",""พิจิตร!I561"")+IMPORTRANGE(""https://docs.google.com/spreadsheets/d/16OMuOwy2eVqZcYWOouQtTpa8X1L23h4660uVHc0C8os/edit?usp=share_link"",""พิษณุโลก!I561"")+IMPORTRANGE(""https://docs.google."&amp;"com/spreadsheets/d/1GfgTldLG6k77HXaMQzaafODklYuucJZQNs_GAPEfZyY/edit?usp=share_link"",""เพชรบูรณ์!I561"")+IMPORTRANGE(""https://docs.google.com/spreadsheets/d/1gvTMYAnm7v1yG1BKWFtr0DnaTsq59oW9dwWvFgq6hs0/edit?usp=share_link"",""แพร่!I561"")+IMPORTRANGE("""&amp;"https://docs.google.com/spreadsheets/d/1Wbcosgy-Xa1xXUArJSOenub6EfZHUSzc_bpJFWwQUf0/edit?usp=share_link"",""แม่ฮ่องสอน!I561"")+IMPORTRANGE(""https://docs.google.com/spreadsheets/d/1p7ERhsr0qZeSn-KSOdeHS9r0heI-lHtkcn2OH7hP0jQ/edit?usp=share_link"",""ลำปาง!"&amp;"I561"")+IMPORTRANGE(""https://docs.google.com/spreadsheets/d/1-uUXvimVhiU2U0bMN-xi2te0tS4X7DI2GLPnMjzl8cA/edit?usp=share_link"",""ลำพูน!I561"")+IMPORTRANGE(""https://docs.google.com/spreadsheets/d/17HrOaa5pBUI1onckFfumXB8xlg35qb2uBAFfF1D-Myo/edit?usp=shar"&amp;"e_link"",""สุโขทัย!I561"")+IMPORTRANGE(""https://docs.google.com/spreadsheets/d/1ubs5cl16eYL9gHbdHTJtmtYb9MGzHBs7CAphn8kNCgM/edit?usp=share_link"",""อุตรดิตถ์!I561"")+IMPORTRANGE(""https://docs.google.com/spreadsheets/d/1kII0BjS6CtVrBvI8IrytgPdxDrlyQDyigz"&amp;"MsohRtDMs/edit?usp=share_link"",""อุทัยธานี!I561"")
"),94109)</f>
        <v>94109</v>
      </c>
      <c r="J561" s="193">
        <f t="shared" ca="1" si="285"/>
        <v>92164</v>
      </c>
      <c r="K561" s="380">
        <f t="shared" ca="1" si="284"/>
        <v>97.93324761712482</v>
      </c>
      <c r="L561" s="163"/>
      <c r="M561" s="163"/>
      <c r="N561" s="163"/>
      <c r="O561" s="163"/>
      <c r="P561" s="163"/>
      <c r="Q561" s="542"/>
      <c r="R561" s="542"/>
      <c r="S561" s="542"/>
      <c r="T561" s="542"/>
      <c r="U561" s="542"/>
      <c r="V561" s="542"/>
      <c r="W561" s="542"/>
      <c r="X561" s="542"/>
      <c r="Y561" s="542"/>
      <c r="Z561" s="542"/>
    </row>
    <row r="562" spans="1:26" ht="18.75">
      <c r="A562" s="573"/>
      <c r="B562" s="574"/>
      <c r="C562" s="574"/>
      <c r="D562" s="187" t="s">
        <v>236</v>
      </c>
      <c r="E562" s="586"/>
      <c r="F562" s="586"/>
      <c r="G562" s="175"/>
      <c r="H562" s="182" t="s">
        <v>46</v>
      </c>
      <c r="I562" s="162"/>
      <c r="J562" s="183">
        <f ca="1">IFERROR(__xludf.DUMMYFUNCTION("IMPORTRANGE(""https://docs.google.com/spreadsheets/d/1KxicF4apzSqm0-jIpmueT4kyZtE-Cwn5zskl7GD4loQ/edit?usp=share_link"",""กำแพงเพชร!J562"")+IMPORTRANGE(""https://docs.google.com/spreadsheets/d/1ZNYWeiFoFA1K1U4xKWqRX29MBvEyRHXORjo734Gnq_c/edit?usp=share_li"&amp;"nk"",""เชียงราย!J562"")
+IMPORTRANGE(""https://docs.google.com/spreadsheets/d/1Jgv0Y7YlHDtsiDawwp-uvifEJ8HVaSn0k2aGHG8-hwM/edit?usp=share_link"",""เชียงใหม่!J562"")+IMPORTRANGE(""https://docs.google.com/spreadsheets/d/1JWG2rZePOz9pe-f-ObA-yDr0VoOX2kSb0qIi"&amp;"x2mTUo8/edit?usp=share_link"",""ตาก!J562"")+IMPORTRANGE(""https://docs.google.com/spreadsheets/d/10nSRjK08hx8Y6HgSOQKNw81lyY46Zc7U_Cj72hBMp9U/edit?usp=share_link"",""นครสวรรค์!J562"")+IMPORTRANGE(""https://docs.google.com/spreadsheets/d/1gFVb7qd7amutrIxAA"&amp;"oM7lcy35hllxznovot8lyOfvDo/edit?usp=share_link"",""น่าน!J562"")+IMPORTRANGE(""https://docs.google.com/spreadsheets/d/1K0Aa9s-6EuHE5M0FG1F9aHLXRCOV917xvycTdLdct0w/edit?usp=share_link"",""พะเยา!J562"")+IMPORTRANGE(""https://docs.google.com/spreadsheets/d/1Y"&amp;"9LPKx95PyL5OKy09d-KbKJSuuEZCFdkhYjwC0XQjBA/edit?usp=share_link"",""พิจิตร!J562"")+IMPORTRANGE(""https://docs.google.com/spreadsheets/d/16OMuOwy2eVqZcYWOouQtTpa8X1L23h4660uVHc0C8os/edit?usp=share_link"",""พิษณุโลก!J562"")+IMPORTRANGE(""https://docs.google."&amp;"com/spreadsheets/d/1GfgTldLG6k77HXaMQzaafODklYuucJZQNs_GAPEfZyY/edit?usp=share_link"",""เพชรบูรณ์!J562"")+IMPORTRANGE(""https://docs.google.com/spreadsheets/d/1gvTMYAnm7v1yG1BKWFtr0DnaTsq59oW9dwWvFgq6hs0/edit?usp=share_link"",""แพร่!J562"")+IMPORTRANGE("""&amp;"https://docs.google.com/spreadsheets/d/1Wbcosgy-Xa1xXUArJSOenub6EfZHUSzc_bpJFWwQUf0/edit?usp=share_link"",""แม่ฮ่องสอน!J562"")+IMPORTRANGE(""https://docs.google.com/spreadsheets/d/1p7ERhsr0qZeSn-KSOdeHS9r0heI-lHtkcn2OH7hP0jQ/edit?usp=share_link"",""ลำปาง!"&amp;"J562"")+IMPORTRANGE(""https://docs.google.com/spreadsheets/d/1-uUXvimVhiU2U0bMN-xi2te0tS4X7DI2GLPnMjzl8cA/edit?usp=share_link"",""ลำพูน!J562"")+IMPORTRANGE(""https://docs.google.com/spreadsheets/d/17HrOaa5pBUI1onckFfumXB8xlg35qb2uBAFfF1D-Myo/edit?usp=shar"&amp;"e_link"",""สุโขทัย!J562"")+IMPORTRANGE(""https://docs.google.com/spreadsheets/d/1ubs5cl16eYL9gHbdHTJtmtYb9MGzHBs7CAphn8kNCgM/edit?usp=share_link"",""อุตรดิตถ์!J562"")+IMPORTRANGE(""https://docs.google.com/spreadsheets/d/1kII0BjS6CtVrBvI8IrytgPdxDrlyQDyigz"&amp;"MsohRtDMs/edit?usp=share_link"",""อุทัยธานี!J562"")
"),638084.529999999)</f>
        <v>638084.52999999898</v>
      </c>
      <c r="K562" s="163"/>
      <c r="L562" s="163"/>
      <c r="M562" s="163"/>
      <c r="N562" s="163"/>
      <c r="O562" s="163"/>
      <c r="P562" s="163"/>
      <c r="Q562" s="542"/>
      <c r="R562" s="542"/>
      <c r="S562" s="542"/>
      <c r="T562" s="542"/>
      <c r="U562" s="542"/>
      <c r="V562" s="542"/>
      <c r="W562" s="542"/>
      <c r="X562" s="542"/>
      <c r="Y562" s="542"/>
      <c r="Z562" s="542"/>
    </row>
    <row r="563" spans="1:26" ht="18.75">
      <c r="A563" s="573"/>
      <c r="B563" s="574"/>
      <c r="C563" s="574"/>
      <c r="D563" s="574"/>
      <c r="E563" s="586"/>
      <c r="F563" s="586"/>
      <c r="G563" s="175"/>
      <c r="H563" s="182" t="s">
        <v>34</v>
      </c>
      <c r="I563" s="162"/>
      <c r="J563" s="183">
        <f ca="1">IFERROR(__xludf.DUMMYFUNCTION("IMPORTRANGE(""https://docs.google.com/spreadsheets/d/1KxicF4apzSqm0-jIpmueT4kyZtE-Cwn5zskl7GD4loQ/edit?usp=share_link"",""กำแพงเพชร!J563"")+IMPORTRANGE(""https://docs.google.com/spreadsheets/d/1ZNYWeiFoFA1K1U4xKWqRX29MBvEyRHXORjo734Gnq_c/edit?usp=share_li"&amp;"nk"",""เชียงราย!J563"")
+IMPORTRANGE(""https://docs.google.com/spreadsheets/d/1Jgv0Y7YlHDtsiDawwp-uvifEJ8HVaSn0k2aGHG8-hwM/edit?usp=share_link"",""เชียงใหม่!J563"")+IMPORTRANGE(""https://docs.google.com/spreadsheets/d/1JWG2rZePOz9pe-f-ObA-yDr0VoOX2kSb0qIi"&amp;"x2mTUo8/edit?usp=share_link"",""ตาก!J563"")+IMPORTRANGE(""https://docs.google.com/spreadsheets/d/10nSRjK08hx8Y6HgSOQKNw81lyY46Zc7U_Cj72hBMp9U/edit?usp=share_link"",""นครสวรรค์!J563"")+IMPORTRANGE(""https://docs.google.com/spreadsheets/d/1gFVb7qd7amutrIxAA"&amp;"oM7lcy35hllxznovot8lyOfvDo/edit?usp=share_link"",""น่าน!J563"")+IMPORTRANGE(""https://docs.google.com/spreadsheets/d/1K0Aa9s-6EuHE5M0FG1F9aHLXRCOV917xvycTdLdct0w/edit?usp=share_link"",""พะเยา!J563"")+IMPORTRANGE(""https://docs.google.com/spreadsheets/d/1Y"&amp;"9LPKx95PyL5OKy09d-KbKJSuuEZCFdkhYjwC0XQjBA/edit?usp=share_link"",""พิจิตร!J563"")+IMPORTRANGE(""https://docs.google.com/spreadsheets/d/16OMuOwy2eVqZcYWOouQtTpa8X1L23h4660uVHc0C8os/edit?usp=share_link"",""พิษณุโลก!J563"")+IMPORTRANGE(""https://docs.google."&amp;"com/spreadsheets/d/1GfgTldLG6k77HXaMQzaafODklYuucJZQNs_GAPEfZyY/edit?usp=share_link"",""เพชรบูรณ์!J563"")+IMPORTRANGE(""https://docs.google.com/spreadsheets/d/1gvTMYAnm7v1yG1BKWFtr0DnaTsq59oW9dwWvFgq6hs0/edit?usp=share_link"",""แพร่!J563"")+IMPORTRANGE("""&amp;"https://docs.google.com/spreadsheets/d/1Wbcosgy-Xa1xXUArJSOenub6EfZHUSzc_bpJFWwQUf0/edit?usp=share_link"",""แม่ฮ่องสอน!J563"")+IMPORTRANGE(""https://docs.google.com/spreadsheets/d/1p7ERhsr0qZeSn-KSOdeHS9r0heI-lHtkcn2OH7hP0jQ/edit?usp=share_link"",""ลำปาง!"&amp;"J563"")+IMPORTRANGE(""https://docs.google.com/spreadsheets/d/1-uUXvimVhiU2U0bMN-xi2te0tS4X7DI2GLPnMjzl8cA/edit?usp=share_link"",""ลำพูน!J563"")+IMPORTRANGE(""https://docs.google.com/spreadsheets/d/17HrOaa5pBUI1onckFfumXB8xlg35qb2uBAFfF1D-Myo/edit?usp=shar"&amp;"e_link"",""สุโขทัย!J563"")+IMPORTRANGE(""https://docs.google.com/spreadsheets/d/1ubs5cl16eYL9gHbdHTJtmtYb9MGzHBs7CAphn8kNCgM/edit?usp=share_link"",""อุตรดิตถ์!J563"")+IMPORTRANGE(""https://docs.google.com/spreadsheets/d/1kII0BjS6CtVrBvI8IrytgPdxDrlyQDyigz"&amp;"MsohRtDMs/edit?usp=share_link"",""อุทัยธานี!J563"")
"),78682)</f>
        <v>78682</v>
      </c>
      <c r="K563" s="163"/>
      <c r="L563" s="163"/>
      <c r="M563" s="163"/>
      <c r="N563" s="163"/>
      <c r="O563" s="163"/>
      <c r="P563" s="163"/>
      <c r="Q563" s="542"/>
      <c r="R563" s="542"/>
      <c r="S563" s="542"/>
      <c r="T563" s="542"/>
      <c r="U563" s="542"/>
      <c r="V563" s="542"/>
      <c r="W563" s="542"/>
      <c r="X563" s="542"/>
      <c r="Y563" s="542"/>
      <c r="Z563" s="542"/>
    </row>
    <row r="564" spans="1:26" ht="18.75">
      <c r="A564" s="573"/>
      <c r="B564" s="574"/>
      <c r="C564" s="574"/>
      <c r="D564" s="187" t="s">
        <v>237</v>
      </c>
      <c r="E564" s="586"/>
      <c r="F564" s="586"/>
      <c r="G564" s="175"/>
      <c r="H564" s="182" t="s">
        <v>46</v>
      </c>
      <c r="I564" s="162"/>
      <c r="J564" s="183">
        <f ca="1">IFERROR(__xludf.DUMMYFUNCTION("IMPORTRANGE(""https://docs.google.com/spreadsheets/d/1KxicF4apzSqm0-jIpmueT4kyZtE-Cwn5zskl7GD4loQ/edit?usp=share_link"",""กำแพงเพชร!J564"")+IMPORTRANGE(""https://docs.google.com/spreadsheets/d/1ZNYWeiFoFA1K1U4xKWqRX29MBvEyRHXORjo734Gnq_c/edit?usp=share_li"&amp;"nk"",""เชียงราย!J564"")
+IMPORTRANGE(""https://docs.google.com/spreadsheets/d/1Jgv0Y7YlHDtsiDawwp-uvifEJ8HVaSn0k2aGHG8-hwM/edit?usp=share_link"",""เชียงใหม่!J564"")+IMPORTRANGE(""https://docs.google.com/spreadsheets/d/1JWG2rZePOz9pe-f-ObA-yDr0VoOX2kSb0qIi"&amp;"x2mTUo8/edit?usp=share_link"",""ตาก!J564"")+IMPORTRANGE(""https://docs.google.com/spreadsheets/d/10nSRjK08hx8Y6HgSOQKNw81lyY46Zc7U_Cj72hBMp9U/edit?usp=share_link"",""นครสวรรค์!J564"")+IMPORTRANGE(""https://docs.google.com/spreadsheets/d/1gFVb7qd7amutrIxAA"&amp;"oM7lcy35hllxznovot8lyOfvDo/edit?usp=share_link"",""น่าน!J564"")+IMPORTRANGE(""https://docs.google.com/spreadsheets/d/1K0Aa9s-6EuHE5M0FG1F9aHLXRCOV917xvycTdLdct0w/edit?usp=share_link"",""พะเยา!J564"")+IMPORTRANGE(""https://docs.google.com/spreadsheets/d/1Y"&amp;"9LPKx95PyL5OKy09d-KbKJSuuEZCFdkhYjwC0XQjBA/edit?usp=share_link"",""พิจิตร!J564"")+IMPORTRANGE(""https://docs.google.com/spreadsheets/d/16OMuOwy2eVqZcYWOouQtTpa8X1L23h4660uVHc0C8os/edit?usp=share_link"",""พิษณุโลก!J564"")+IMPORTRANGE(""https://docs.google."&amp;"com/spreadsheets/d/1GfgTldLG6k77HXaMQzaafODklYuucJZQNs_GAPEfZyY/edit?usp=share_link"",""เพชรบูรณ์!J564"")+IMPORTRANGE(""https://docs.google.com/spreadsheets/d/1gvTMYAnm7v1yG1BKWFtr0DnaTsq59oW9dwWvFgq6hs0/edit?usp=share_link"",""แพร่!J564"")+IMPORTRANGE("""&amp;"https://docs.google.com/spreadsheets/d/1Wbcosgy-Xa1xXUArJSOenub6EfZHUSzc_bpJFWwQUf0/edit?usp=share_link"",""แม่ฮ่องสอน!J564"")+IMPORTRANGE(""https://docs.google.com/spreadsheets/d/1p7ERhsr0qZeSn-KSOdeHS9r0heI-lHtkcn2OH7hP0jQ/edit?usp=share_link"",""ลำปาง!"&amp;"J564"")+IMPORTRANGE(""https://docs.google.com/spreadsheets/d/1-uUXvimVhiU2U0bMN-xi2te0tS4X7DI2GLPnMjzl8cA/edit?usp=share_link"",""ลำพูน!J564"")+IMPORTRANGE(""https://docs.google.com/spreadsheets/d/17HrOaa5pBUI1onckFfumXB8xlg35qb2uBAFfF1D-Myo/edit?usp=shar"&amp;"e_link"",""สุโขทัย!J564"")+IMPORTRANGE(""https://docs.google.com/spreadsheets/d/1ubs5cl16eYL9gHbdHTJtmtYb9MGzHBs7CAphn8kNCgM/edit?usp=share_link"",""อุตรดิตถ์!J564"")+IMPORTRANGE(""https://docs.google.com/spreadsheets/d/1kII0BjS6CtVrBvI8IrytgPdxDrlyQDyigz"&amp;"MsohRtDMs/edit?usp=share_link"",""อุทัยธานี!J564"")
"),106281.96)</f>
        <v>106281.96</v>
      </c>
      <c r="K564" s="163"/>
      <c r="L564" s="163"/>
      <c r="M564" s="163"/>
      <c r="N564" s="163"/>
      <c r="O564" s="163"/>
      <c r="P564" s="163"/>
      <c r="Q564" s="542"/>
      <c r="R564" s="542"/>
      <c r="S564" s="542"/>
      <c r="T564" s="542"/>
      <c r="U564" s="542"/>
      <c r="V564" s="542"/>
      <c r="W564" s="542"/>
      <c r="X564" s="542"/>
      <c r="Y564" s="542"/>
      <c r="Z564" s="542"/>
    </row>
    <row r="565" spans="1:26" ht="18.75">
      <c r="A565" s="573"/>
      <c r="B565" s="574"/>
      <c r="C565" s="574"/>
      <c r="D565" s="586"/>
      <c r="E565" s="586"/>
      <c r="F565" s="586"/>
      <c r="G565" s="175"/>
      <c r="H565" s="182" t="s">
        <v>34</v>
      </c>
      <c r="I565" s="162"/>
      <c r="J565" s="183">
        <f ca="1">IFERROR(__xludf.DUMMYFUNCTION("IMPORTRANGE(""https://docs.google.com/spreadsheets/d/1KxicF4apzSqm0-jIpmueT4kyZtE-Cwn5zskl7GD4loQ/edit?usp=share_link"",""กำแพงเพชร!J565"")+IMPORTRANGE(""https://docs.google.com/spreadsheets/d/1ZNYWeiFoFA1K1U4xKWqRX29MBvEyRHXORjo734Gnq_c/edit?usp=share_li"&amp;"nk"",""เชียงราย!J565"")
+IMPORTRANGE(""https://docs.google.com/spreadsheets/d/1Jgv0Y7YlHDtsiDawwp-uvifEJ8HVaSn0k2aGHG8-hwM/edit?usp=share_link"",""เชียงใหม่!J565"")+IMPORTRANGE(""https://docs.google.com/spreadsheets/d/1JWG2rZePOz9pe-f-ObA-yDr0VoOX2kSb0qIi"&amp;"x2mTUo8/edit?usp=share_link"",""ตาก!J565"")+IMPORTRANGE(""https://docs.google.com/spreadsheets/d/10nSRjK08hx8Y6HgSOQKNw81lyY46Zc7U_Cj72hBMp9U/edit?usp=share_link"",""นครสวรรค์!J565"")+IMPORTRANGE(""https://docs.google.com/spreadsheets/d/1gFVb7qd7amutrIxAA"&amp;"oM7lcy35hllxznovot8lyOfvDo/edit?usp=share_link"",""น่าน!J565"")+IMPORTRANGE(""https://docs.google.com/spreadsheets/d/1K0Aa9s-6EuHE5M0FG1F9aHLXRCOV917xvycTdLdct0w/edit?usp=share_link"",""พะเยา!J565"")+IMPORTRANGE(""https://docs.google.com/spreadsheets/d/1Y"&amp;"9LPKx95PyL5OKy09d-KbKJSuuEZCFdkhYjwC0XQjBA/edit?usp=share_link"",""พิจิตร!J565"")+IMPORTRANGE(""https://docs.google.com/spreadsheets/d/16OMuOwy2eVqZcYWOouQtTpa8X1L23h4660uVHc0C8os/edit?usp=share_link"",""พิษณุโลก!J565"")+IMPORTRANGE(""https://docs.google."&amp;"com/spreadsheets/d/1GfgTldLG6k77HXaMQzaafODklYuucJZQNs_GAPEfZyY/edit?usp=share_link"",""เพชรบูรณ์!J565"")+IMPORTRANGE(""https://docs.google.com/spreadsheets/d/1gvTMYAnm7v1yG1BKWFtr0DnaTsq59oW9dwWvFgq6hs0/edit?usp=share_link"",""แพร่!J565"")+IMPORTRANGE("""&amp;"https://docs.google.com/spreadsheets/d/1Wbcosgy-Xa1xXUArJSOenub6EfZHUSzc_bpJFWwQUf0/edit?usp=share_link"",""แม่ฮ่องสอน!J565"")+IMPORTRANGE(""https://docs.google.com/spreadsheets/d/1p7ERhsr0qZeSn-KSOdeHS9r0heI-lHtkcn2OH7hP0jQ/edit?usp=share_link"",""ลำปาง!"&amp;"J565"")+IMPORTRANGE(""https://docs.google.com/spreadsheets/d/1-uUXvimVhiU2U0bMN-xi2te0tS4X7DI2GLPnMjzl8cA/edit?usp=share_link"",""ลำพูน!J565"")+IMPORTRANGE(""https://docs.google.com/spreadsheets/d/17HrOaa5pBUI1onckFfumXB8xlg35qb2uBAFfF1D-Myo/edit?usp=shar"&amp;"e_link"",""สุโขทัย!J565"")+IMPORTRANGE(""https://docs.google.com/spreadsheets/d/1ubs5cl16eYL9gHbdHTJtmtYb9MGzHBs7CAphn8kNCgM/edit?usp=share_link"",""อุตรดิตถ์!J565"")+IMPORTRANGE(""https://docs.google.com/spreadsheets/d/1kII0BjS6CtVrBvI8IrytgPdxDrlyQDyigz"&amp;"MsohRtDMs/edit?usp=share_link"",""อุทัยธานี!J565"")
"),9184)</f>
        <v>9184</v>
      </c>
      <c r="K565" s="163"/>
      <c r="L565" s="163"/>
      <c r="M565" s="163"/>
      <c r="N565" s="163"/>
      <c r="O565" s="163"/>
      <c r="P565" s="163"/>
      <c r="Q565" s="542"/>
      <c r="R565" s="542"/>
      <c r="S565" s="542"/>
      <c r="T565" s="542"/>
      <c r="U565" s="542"/>
      <c r="V565" s="542"/>
      <c r="W565" s="542"/>
      <c r="X565" s="542"/>
      <c r="Y565" s="542"/>
      <c r="Z565" s="542"/>
    </row>
    <row r="566" spans="1:26" ht="18.75">
      <c r="A566" s="573"/>
      <c r="B566" s="574"/>
      <c r="C566" s="574"/>
      <c r="D566" s="187" t="s">
        <v>238</v>
      </c>
      <c r="E566" s="586"/>
      <c r="F566" s="586"/>
      <c r="G566" s="175"/>
      <c r="H566" s="182" t="s">
        <v>46</v>
      </c>
      <c r="I566" s="162"/>
      <c r="J566" s="183">
        <f ca="1">IFERROR(__xludf.DUMMYFUNCTION("IMPORTRANGE(""https://docs.google.com/spreadsheets/d/1KxicF4apzSqm0-jIpmueT4kyZtE-Cwn5zskl7GD4loQ/edit?usp=share_link"",""กำแพงเพชร!J566"")+IMPORTRANGE(""https://docs.google.com/spreadsheets/d/1ZNYWeiFoFA1K1U4xKWqRX29MBvEyRHXORjo734Gnq_c/edit?usp=share_li"&amp;"nk"",""เชียงราย!J566"")
+IMPORTRANGE(""https://docs.google.com/spreadsheets/d/1Jgv0Y7YlHDtsiDawwp-uvifEJ8HVaSn0k2aGHG8-hwM/edit?usp=share_link"",""เชียงใหม่!J566"")+IMPORTRANGE(""https://docs.google.com/spreadsheets/d/1JWG2rZePOz9pe-f-ObA-yDr0VoOX2kSb0qIi"&amp;"x2mTUo8/edit?usp=share_link"",""ตาก!J566"")+IMPORTRANGE(""https://docs.google.com/spreadsheets/d/10nSRjK08hx8Y6HgSOQKNw81lyY46Zc7U_Cj72hBMp9U/edit?usp=share_link"",""นครสวรรค์!J566"")+IMPORTRANGE(""https://docs.google.com/spreadsheets/d/1gFVb7qd7amutrIxAA"&amp;"oM7lcy35hllxznovot8lyOfvDo/edit?usp=share_link"",""น่าน!J566"")+IMPORTRANGE(""https://docs.google.com/spreadsheets/d/1K0Aa9s-6EuHE5M0FG1F9aHLXRCOV917xvycTdLdct0w/edit?usp=share_link"",""พะเยา!J566"")+IMPORTRANGE(""https://docs.google.com/spreadsheets/d/1Y"&amp;"9LPKx95PyL5OKy09d-KbKJSuuEZCFdkhYjwC0XQjBA/edit?usp=share_link"",""พิจิตร!J566"")+IMPORTRANGE(""https://docs.google.com/spreadsheets/d/16OMuOwy2eVqZcYWOouQtTpa8X1L23h4660uVHc0C8os/edit?usp=share_link"",""พิษณุโลก!J566"")+IMPORTRANGE(""https://docs.google."&amp;"com/spreadsheets/d/1GfgTldLG6k77HXaMQzaafODklYuucJZQNs_GAPEfZyY/edit?usp=share_link"",""เพชรบูรณ์!J566"")+IMPORTRANGE(""https://docs.google.com/spreadsheets/d/1gvTMYAnm7v1yG1BKWFtr0DnaTsq59oW9dwWvFgq6hs0/edit?usp=share_link"",""แพร่!J566"")+IMPORTRANGE("""&amp;"https://docs.google.com/spreadsheets/d/1Wbcosgy-Xa1xXUArJSOenub6EfZHUSzc_bpJFWwQUf0/edit?usp=share_link"",""แม่ฮ่องสอน!J566"")+IMPORTRANGE(""https://docs.google.com/spreadsheets/d/1p7ERhsr0qZeSn-KSOdeHS9r0heI-lHtkcn2OH7hP0jQ/edit?usp=share_link"",""ลำปาง!"&amp;"J566"")+IMPORTRANGE(""https://docs.google.com/spreadsheets/d/1-uUXvimVhiU2U0bMN-xi2te0tS4X7DI2GLPnMjzl8cA/edit?usp=share_link"",""ลำพูน!J566"")+IMPORTRANGE(""https://docs.google.com/spreadsheets/d/17HrOaa5pBUI1onckFfumXB8xlg35qb2uBAFfF1D-Myo/edit?usp=shar"&amp;"e_link"",""สุโขทัย!J566"")+IMPORTRANGE(""https://docs.google.com/spreadsheets/d/1ubs5cl16eYL9gHbdHTJtmtYb9MGzHBs7CAphn8kNCgM/edit?usp=share_link"",""อุตรดิตถ์!J566"")+IMPORTRANGE(""https://docs.google.com/spreadsheets/d/1kII0BjS6CtVrBvI8IrytgPdxDrlyQDyigz"&amp;"MsohRtDMs/edit?usp=share_link"",""อุทัยธานี!J566"")
"),22893.5599999999)</f>
        <v>22893.559999999899</v>
      </c>
      <c r="K566" s="163"/>
      <c r="L566" s="163"/>
      <c r="M566" s="163"/>
      <c r="N566" s="163"/>
      <c r="O566" s="163"/>
      <c r="P566" s="163"/>
      <c r="Q566" s="542"/>
      <c r="R566" s="542"/>
      <c r="S566" s="542"/>
      <c r="T566" s="542"/>
      <c r="U566" s="542"/>
      <c r="V566" s="542"/>
      <c r="W566" s="542"/>
      <c r="X566" s="542"/>
      <c r="Y566" s="542"/>
      <c r="Z566" s="542"/>
    </row>
    <row r="567" spans="1:26" ht="18.75">
      <c r="A567" s="573"/>
      <c r="B567" s="574"/>
      <c r="C567" s="574"/>
      <c r="D567" s="586"/>
      <c r="E567" s="586"/>
      <c r="F567" s="586"/>
      <c r="G567" s="175"/>
      <c r="H567" s="182" t="s">
        <v>34</v>
      </c>
      <c r="I567" s="162"/>
      <c r="J567" s="183">
        <f ca="1">IFERROR(__xludf.DUMMYFUNCTION("IMPORTRANGE(""https://docs.google.com/spreadsheets/d/1KxicF4apzSqm0-jIpmueT4kyZtE-Cwn5zskl7GD4loQ/edit?usp=share_link"",""กำแพงเพชร!J567"")+IMPORTRANGE(""https://docs.google.com/spreadsheets/d/1ZNYWeiFoFA1K1U4xKWqRX29MBvEyRHXORjo734Gnq_c/edit?usp=share_li"&amp;"nk"",""เชียงราย!J567"")
+IMPORTRANGE(""https://docs.google.com/spreadsheets/d/1Jgv0Y7YlHDtsiDawwp-uvifEJ8HVaSn0k2aGHG8-hwM/edit?usp=share_link"",""เชียงใหม่!J567"")+IMPORTRANGE(""https://docs.google.com/spreadsheets/d/1JWG2rZePOz9pe-f-ObA-yDr0VoOX2kSb0qIi"&amp;"x2mTUo8/edit?usp=share_link"",""ตาก!J567"")+IMPORTRANGE(""https://docs.google.com/spreadsheets/d/10nSRjK08hx8Y6HgSOQKNw81lyY46Zc7U_Cj72hBMp9U/edit?usp=share_link"",""นครสวรรค์!J567"")+IMPORTRANGE(""https://docs.google.com/spreadsheets/d/1gFVb7qd7amutrIxAA"&amp;"oM7lcy35hllxznovot8lyOfvDo/edit?usp=share_link"",""น่าน!J567"")+IMPORTRANGE(""https://docs.google.com/spreadsheets/d/1K0Aa9s-6EuHE5M0FG1F9aHLXRCOV917xvycTdLdct0w/edit?usp=share_link"",""พะเยา!J567"")+IMPORTRANGE(""https://docs.google.com/spreadsheets/d/1Y"&amp;"9LPKx95PyL5OKy09d-KbKJSuuEZCFdkhYjwC0XQjBA/edit?usp=share_link"",""พิจิตร!J567"")+IMPORTRANGE(""https://docs.google.com/spreadsheets/d/16OMuOwy2eVqZcYWOouQtTpa8X1L23h4660uVHc0C8os/edit?usp=share_link"",""พิษณุโลก!J567"")+IMPORTRANGE(""https://docs.google."&amp;"com/spreadsheets/d/1GfgTldLG6k77HXaMQzaafODklYuucJZQNs_GAPEfZyY/edit?usp=share_link"",""เพชรบูรณ์!J567"")+IMPORTRANGE(""https://docs.google.com/spreadsheets/d/1gvTMYAnm7v1yG1BKWFtr0DnaTsq59oW9dwWvFgq6hs0/edit?usp=share_link"",""แพร่!J567"")+IMPORTRANGE("""&amp;"https://docs.google.com/spreadsheets/d/1Wbcosgy-Xa1xXUArJSOenub6EfZHUSzc_bpJFWwQUf0/edit?usp=share_link"",""แม่ฮ่องสอน!J567"")+IMPORTRANGE(""https://docs.google.com/spreadsheets/d/1p7ERhsr0qZeSn-KSOdeHS9r0heI-lHtkcn2OH7hP0jQ/edit?usp=share_link"",""ลำปาง!"&amp;"J567"")+IMPORTRANGE(""https://docs.google.com/spreadsheets/d/1-uUXvimVhiU2U0bMN-xi2te0tS4X7DI2GLPnMjzl8cA/edit?usp=share_link"",""ลำพูน!J567"")+IMPORTRANGE(""https://docs.google.com/spreadsheets/d/17HrOaa5pBUI1onckFfumXB8xlg35qb2uBAFfF1D-Myo/edit?usp=shar"&amp;"e_link"",""สุโขทัย!J567"")+IMPORTRANGE(""https://docs.google.com/spreadsheets/d/1ubs5cl16eYL9gHbdHTJtmtYb9MGzHBs7CAphn8kNCgM/edit?usp=share_link"",""อุตรดิตถ์!J567"")+IMPORTRANGE(""https://docs.google.com/spreadsheets/d/1kII0BjS6CtVrBvI8IrytgPdxDrlyQDyigz"&amp;"MsohRtDMs/edit?usp=share_link"",""อุทัยธานี!J567"")
"),4298)</f>
        <v>4298</v>
      </c>
      <c r="K567" s="163"/>
      <c r="L567" s="163"/>
      <c r="M567" s="163"/>
      <c r="N567" s="163"/>
      <c r="O567" s="163"/>
      <c r="P567" s="163"/>
      <c r="Q567" s="542"/>
      <c r="R567" s="542"/>
      <c r="S567" s="542"/>
      <c r="T567" s="542"/>
      <c r="U567" s="542"/>
      <c r="V567" s="542"/>
      <c r="W567" s="542"/>
      <c r="X567" s="542"/>
      <c r="Y567" s="542"/>
      <c r="Z567" s="542"/>
    </row>
    <row r="568" spans="1:26" ht="19.5">
      <c r="A568" s="573"/>
      <c r="B568" s="574"/>
      <c r="C568" s="589" t="s">
        <v>239</v>
      </c>
      <c r="D568" s="586"/>
      <c r="E568" s="586"/>
      <c r="F568" s="586"/>
      <c r="G568" s="175"/>
      <c r="H568" s="192" t="s">
        <v>46</v>
      </c>
      <c r="I568" s="193">
        <f ca="1">IFERROR(__xludf.DUMMYFUNCTION("IMPORTRANGE(""https://docs.google.com/spreadsheets/d/1KxicF4apzSqm0-jIpmueT4kyZtE-Cwn5zskl7GD4loQ/edit?usp=share_link"",""กำแพงเพชร!I568"")+IMPORTRANGE(""https://docs.google.com/spreadsheets/d/1ZNYWeiFoFA1K1U4xKWqRX29MBvEyRHXORjo734Gnq_c/edit?usp=share_li"&amp;"nk"",""เชียงราย!I568"")
+IMPORTRANGE(""https://docs.google.com/spreadsheets/d/1Jgv0Y7YlHDtsiDawwp-uvifEJ8HVaSn0k2aGHG8-hwM/edit?usp=share_link"",""เชียงใหม่!I568"")+IMPORTRANGE(""https://docs.google.com/spreadsheets/d/1JWG2rZePOz9pe-f-ObA-yDr0VoOX2kSb0qIi"&amp;"x2mTUo8/edit?usp=share_link"",""ตาก!I568"")+IMPORTRANGE(""https://docs.google.com/spreadsheets/d/10nSRjK08hx8Y6HgSOQKNw81lyY46Zc7U_Cj72hBMp9U/edit?usp=share_link"",""นครสวรรค์!I568"")+IMPORTRANGE(""https://docs.google.com/spreadsheets/d/1gFVb7qd7amutrIxAA"&amp;"oM7lcy35hllxznovot8lyOfvDo/edit?usp=share_link"",""น่าน!I568"")+IMPORTRANGE(""https://docs.google.com/spreadsheets/d/1K0Aa9s-6EuHE5M0FG1F9aHLXRCOV917xvycTdLdct0w/edit?usp=share_link"",""พะเยา!I568"")+IMPORTRANGE(""https://docs.google.com/spreadsheets/d/1Y"&amp;"9LPKx95PyL5OKy09d-KbKJSuuEZCFdkhYjwC0XQjBA/edit?usp=share_link"",""พิจิตร!I568"")+IMPORTRANGE(""https://docs.google.com/spreadsheets/d/16OMuOwy2eVqZcYWOouQtTpa8X1L23h4660uVHc0C8os/edit?usp=share_link"",""พิษณุโลก!I568"")+IMPORTRANGE(""https://docs.google."&amp;"com/spreadsheets/d/1GfgTldLG6k77HXaMQzaafODklYuucJZQNs_GAPEfZyY/edit?usp=share_link"",""เพชรบูรณ์!I568"")+IMPORTRANGE(""https://docs.google.com/spreadsheets/d/1gvTMYAnm7v1yG1BKWFtr0DnaTsq59oW9dwWvFgq6hs0/edit?usp=share_link"",""แพร่!I568"")+IMPORTRANGE("""&amp;"https://docs.google.com/spreadsheets/d/1Wbcosgy-Xa1xXUArJSOenub6EfZHUSzc_bpJFWwQUf0/edit?usp=share_link"",""แม่ฮ่องสอน!I568"")+IMPORTRANGE(""https://docs.google.com/spreadsheets/d/1p7ERhsr0qZeSn-KSOdeHS9r0heI-lHtkcn2OH7hP0jQ/edit?usp=share_link"",""ลำปาง!"&amp;"I568"")+IMPORTRANGE(""https://docs.google.com/spreadsheets/d/1-uUXvimVhiU2U0bMN-xi2te0tS4X7DI2GLPnMjzl8cA/edit?usp=share_link"",""ลำพูน!I568"")+IMPORTRANGE(""https://docs.google.com/spreadsheets/d/17HrOaa5pBUI1onckFfumXB8xlg35qb2uBAFfF1D-Myo/edit?usp=shar"&amp;"e_link"",""สุโขทัย!I568"")+IMPORTRANGE(""https://docs.google.com/spreadsheets/d/1ubs5cl16eYL9gHbdHTJtmtYb9MGzHBs7CAphn8kNCgM/edit?usp=share_link"",""อุตรดิตถ์!I568"")+IMPORTRANGE(""https://docs.google.com/spreadsheets/d/1kII0BjS6CtVrBvI8IrytgPdxDrlyQDyigz"&amp;"MsohRtDMs/edit?usp=share_link"",""อุทัยธานี!I568"")
"),789391)</f>
        <v>789391</v>
      </c>
      <c r="J568" s="194">
        <f t="shared" ref="J568:J569" ca="1" si="286">J570+J572+J574</f>
        <v>77093.919999999998</v>
      </c>
      <c r="K568" s="380">
        <f t="shared" ref="K568:K569" ca="1" si="287">IF(I568&gt;0,J568*100/I568,0)</f>
        <v>9.7662527188680901</v>
      </c>
      <c r="L568" s="163"/>
      <c r="M568" s="163"/>
      <c r="N568" s="163"/>
      <c r="O568" s="163"/>
      <c r="P568" s="163"/>
      <c r="Q568" s="542"/>
      <c r="R568" s="542"/>
      <c r="S568" s="542"/>
      <c r="T568" s="542"/>
      <c r="U568" s="542"/>
      <c r="V568" s="542"/>
      <c r="W568" s="542"/>
      <c r="X568" s="542"/>
      <c r="Y568" s="542"/>
      <c r="Z568" s="542"/>
    </row>
    <row r="569" spans="1:26" ht="19.5">
      <c r="A569" s="573"/>
      <c r="B569" s="574"/>
      <c r="C569" s="574"/>
      <c r="D569" s="574"/>
      <c r="E569" s="586"/>
      <c r="F569" s="586"/>
      <c r="G569" s="175"/>
      <c r="H569" s="192" t="s">
        <v>34</v>
      </c>
      <c r="I569" s="193">
        <f ca="1">IFERROR(__xludf.DUMMYFUNCTION("IMPORTRANGE(""https://docs.google.com/spreadsheets/d/1KxicF4apzSqm0-jIpmueT4kyZtE-Cwn5zskl7GD4loQ/edit?usp=share_link"",""กำแพงเพชร!I569"")+IMPORTRANGE(""https://docs.google.com/spreadsheets/d/1ZNYWeiFoFA1K1U4xKWqRX29MBvEyRHXORjo734Gnq_c/edit?usp=share_li"&amp;"nk"",""เชียงราย!I569"")
+IMPORTRANGE(""https://docs.google.com/spreadsheets/d/1Jgv0Y7YlHDtsiDawwp-uvifEJ8HVaSn0k2aGHG8-hwM/edit?usp=share_link"",""เชียงใหม่!I569"")+IMPORTRANGE(""https://docs.google.com/spreadsheets/d/1JWG2rZePOz9pe-f-ObA-yDr0VoOX2kSb0qIi"&amp;"x2mTUo8/edit?usp=share_link"",""ตาก!I569"")+IMPORTRANGE(""https://docs.google.com/spreadsheets/d/10nSRjK08hx8Y6HgSOQKNw81lyY46Zc7U_Cj72hBMp9U/edit?usp=share_link"",""นครสวรรค์!I569"")+IMPORTRANGE(""https://docs.google.com/spreadsheets/d/1gFVb7qd7amutrIxAA"&amp;"oM7lcy35hllxznovot8lyOfvDo/edit?usp=share_link"",""น่าน!I569"")+IMPORTRANGE(""https://docs.google.com/spreadsheets/d/1K0Aa9s-6EuHE5M0FG1F9aHLXRCOV917xvycTdLdct0w/edit?usp=share_link"",""พะเยา!I569"")+IMPORTRANGE(""https://docs.google.com/spreadsheets/d/1Y"&amp;"9LPKx95PyL5OKy09d-KbKJSuuEZCFdkhYjwC0XQjBA/edit?usp=share_link"",""พิจิตร!I569"")+IMPORTRANGE(""https://docs.google.com/spreadsheets/d/16OMuOwy2eVqZcYWOouQtTpa8X1L23h4660uVHc0C8os/edit?usp=share_link"",""พิษณุโลก!I569"")+IMPORTRANGE(""https://docs.google."&amp;"com/spreadsheets/d/1GfgTldLG6k77HXaMQzaafODklYuucJZQNs_GAPEfZyY/edit?usp=share_link"",""เพชรบูรณ์!I569"")+IMPORTRANGE(""https://docs.google.com/spreadsheets/d/1gvTMYAnm7v1yG1BKWFtr0DnaTsq59oW9dwWvFgq6hs0/edit?usp=share_link"",""แพร่!I569"")+IMPORTRANGE("""&amp;"https://docs.google.com/spreadsheets/d/1Wbcosgy-Xa1xXUArJSOenub6EfZHUSzc_bpJFWwQUf0/edit?usp=share_link"",""แม่ฮ่องสอน!I569"")+IMPORTRANGE(""https://docs.google.com/spreadsheets/d/1p7ERhsr0qZeSn-KSOdeHS9r0heI-lHtkcn2OH7hP0jQ/edit?usp=share_link"",""ลำปาง!"&amp;"I569"")+IMPORTRANGE(""https://docs.google.com/spreadsheets/d/1-uUXvimVhiU2U0bMN-xi2te0tS4X7DI2GLPnMjzl8cA/edit?usp=share_link"",""ลำพูน!I569"")+IMPORTRANGE(""https://docs.google.com/spreadsheets/d/17HrOaa5pBUI1onckFfumXB8xlg35qb2uBAFfF1D-Myo/edit?usp=shar"&amp;"e_link"",""สุโขทัย!I569"")+IMPORTRANGE(""https://docs.google.com/spreadsheets/d/1ubs5cl16eYL9gHbdHTJtmtYb9MGzHBs7CAphn8kNCgM/edit?usp=share_link"",""อุตรดิตถ์!I569"")+IMPORTRANGE(""https://docs.google.com/spreadsheets/d/1kII0BjS6CtVrBvI8IrytgPdxDrlyQDyigz"&amp;"MsohRtDMs/edit?usp=share_link"",""อุทัยธานี!I569"")
"),94109)</f>
        <v>94109</v>
      </c>
      <c r="J569" s="194">
        <f t="shared" ca="1" si="286"/>
        <v>8916</v>
      </c>
      <c r="K569" s="380">
        <f t="shared" ca="1" si="287"/>
        <v>9.4741204348149495</v>
      </c>
      <c r="L569" s="163"/>
      <c r="M569" s="163"/>
      <c r="N569" s="163"/>
      <c r="O569" s="163"/>
      <c r="P569" s="163"/>
      <c r="Q569" s="542"/>
      <c r="R569" s="542"/>
      <c r="S569" s="542"/>
      <c r="T569" s="542"/>
      <c r="U569" s="542"/>
      <c r="V569" s="542"/>
      <c r="W569" s="542"/>
      <c r="X569" s="542"/>
      <c r="Y569" s="542"/>
      <c r="Z569" s="542"/>
    </row>
    <row r="570" spans="1:26" ht="18.75">
      <c r="A570" s="573"/>
      <c r="B570" s="574"/>
      <c r="C570" s="574"/>
      <c r="D570" s="187" t="s">
        <v>240</v>
      </c>
      <c r="E570" s="574"/>
      <c r="F570" s="586"/>
      <c r="G570" s="175"/>
      <c r="H570" s="182" t="s">
        <v>46</v>
      </c>
      <c r="I570" s="162"/>
      <c r="J570" s="183">
        <f ca="1">IFERROR(__xludf.DUMMYFUNCTION("IMPORTRANGE(""https://docs.google.com/spreadsheets/d/1KxicF4apzSqm0-jIpmueT4kyZtE-Cwn5zskl7GD4loQ/edit?usp=share_link"",""กำแพงเพชร!J570"")+IMPORTRANGE(""https://docs.google.com/spreadsheets/d/1ZNYWeiFoFA1K1U4xKWqRX29MBvEyRHXORjo734Gnq_c/edit?usp=share_li"&amp;"nk"",""เชียงราย!J570"")
+IMPORTRANGE(""https://docs.google.com/spreadsheets/d/1Jgv0Y7YlHDtsiDawwp-uvifEJ8HVaSn0k2aGHG8-hwM/edit?usp=share_link"",""เชียงใหม่!J570"")+IMPORTRANGE(""https://docs.google.com/spreadsheets/d/1JWG2rZePOz9pe-f-ObA-yDr0VoOX2kSb0qIi"&amp;"x2mTUo8/edit?usp=share_link"",""ตาก!J570"")+IMPORTRANGE(""https://docs.google.com/spreadsheets/d/10nSRjK08hx8Y6HgSOQKNw81lyY46Zc7U_Cj72hBMp9U/edit?usp=share_link"",""นครสวรรค์!J570"")+IMPORTRANGE(""https://docs.google.com/spreadsheets/d/1gFVb7qd7amutrIxAA"&amp;"oM7lcy35hllxznovot8lyOfvDo/edit?usp=share_link"",""น่าน!J570"")+IMPORTRANGE(""https://docs.google.com/spreadsheets/d/1K0Aa9s-6EuHE5M0FG1F9aHLXRCOV917xvycTdLdct0w/edit?usp=share_link"",""พะเยา!J570"")+IMPORTRANGE(""https://docs.google.com/spreadsheets/d/1Y"&amp;"9LPKx95PyL5OKy09d-KbKJSuuEZCFdkhYjwC0XQjBA/edit?usp=share_link"",""พิจิตร!J570"")+IMPORTRANGE(""https://docs.google.com/spreadsheets/d/16OMuOwy2eVqZcYWOouQtTpa8X1L23h4660uVHc0C8os/edit?usp=share_link"",""พิษณุโลก!J570"")+IMPORTRANGE(""https://docs.google."&amp;"com/spreadsheets/d/1GfgTldLG6k77HXaMQzaafODklYuucJZQNs_GAPEfZyY/edit?usp=share_link"",""เพชรบูรณ์!J570"")+IMPORTRANGE(""https://docs.google.com/spreadsheets/d/1gvTMYAnm7v1yG1BKWFtr0DnaTsq59oW9dwWvFgq6hs0/edit?usp=share_link"",""แพร่!J570"")+IMPORTRANGE("""&amp;"https://docs.google.com/spreadsheets/d/1Wbcosgy-Xa1xXUArJSOenub6EfZHUSzc_bpJFWwQUf0/edit?usp=share_link"",""แม่ฮ่องสอน!J570"")+IMPORTRANGE(""https://docs.google.com/spreadsheets/d/1p7ERhsr0qZeSn-KSOdeHS9r0heI-lHtkcn2OH7hP0jQ/edit?usp=share_link"",""ลำปาง!"&amp;"J570"")+IMPORTRANGE(""https://docs.google.com/spreadsheets/d/1-uUXvimVhiU2U0bMN-xi2te0tS4X7DI2GLPnMjzl8cA/edit?usp=share_link"",""ลำพูน!J570"")+IMPORTRANGE(""https://docs.google.com/spreadsheets/d/17HrOaa5pBUI1onckFfumXB8xlg35qb2uBAFfF1D-Myo/edit?usp=shar"&amp;"e_link"",""สุโขทัย!J570"")+IMPORTRANGE(""https://docs.google.com/spreadsheets/d/1ubs5cl16eYL9gHbdHTJtmtYb9MGzHBs7CAphn8kNCgM/edit?usp=share_link"",""อุตรดิตถ์!J570"")+IMPORTRANGE(""https://docs.google.com/spreadsheets/d/1kII0BjS6CtVrBvI8IrytgPdxDrlyQDyigz"&amp;"MsohRtDMs/edit?usp=share_link"",""อุทัยธานี!J570"")
"),69558.8)</f>
        <v>69558.8</v>
      </c>
      <c r="K570" s="163"/>
      <c r="L570" s="163"/>
      <c r="M570" s="163"/>
      <c r="N570" s="163"/>
      <c r="O570" s="163"/>
      <c r="P570" s="163"/>
      <c r="Q570" s="542"/>
      <c r="R570" s="542"/>
      <c r="S570" s="542"/>
      <c r="T570" s="542"/>
      <c r="U570" s="542"/>
      <c r="V570" s="542"/>
      <c r="W570" s="542"/>
      <c r="X570" s="542"/>
      <c r="Y570" s="542"/>
      <c r="Z570" s="542"/>
    </row>
    <row r="571" spans="1:26" ht="18.75">
      <c r="A571" s="573"/>
      <c r="B571" s="574"/>
      <c r="C571" s="574"/>
      <c r="D571" s="574"/>
      <c r="E571" s="586"/>
      <c r="F571" s="586"/>
      <c r="G571" s="175"/>
      <c r="H571" s="182" t="s">
        <v>34</v>
      </c>
      <c r="I571" s="162"/>
      <c r="J571" s="183">
        <f ca="1">IFERROR(__xludf.DUMMYFUNCTION("IMPORTRANGE(""https://docs.google.com/spreadsheets/d/1KxicF4apzSqm0-jIpmueT4kyZtE-Cwn5zskl7GD4loQ/edit?usp=share_link"",""กำแพงเพชร!J571"")+IMPORTRANGE(""https://docs.google.com/spreadsheets/d/1ZNYWeiFoFA1K1U4xKWqRX29MBvEyRHXORjo734Gnq_c/edit?usp=share_li"&amp;"nk"",""เชียงราย!J571"")
+IMPORTRANGE(""https://docs.google.com/spreadsheets/d/1Jgv0Y7YlHDtsiDawwp-uvifEJ8HVaSn0k2aGHG8-hwM/edit?usp=share_link"",""เชียงใหม่!J571"")+IMPORTRANGE(""https://docs.google.com/spreadsheets/d/1JWG2rZePOz9pe-f-ObA-yDr0VoOX2kSb0qIi"&amp;"x2mTUo8/edit?usp=share_link"",""ตาก!J571"")+IMPORTRANGE(""https://docs.google.com/spreadsheets/d/10nSRjK08hx8Y6HgSOQKNw81lyY46Zc7U_Cj72hBMp9U/edit?usp=share_link"",""นครสวรรค์!J571"")+IMPORTRANGE(""https://docs.google.com/spreadsheets/d/1gFVb7qd7amutrIxAA"&amp;"oM7lcy35hllxznovot8lyOfvDo/edit?usp=share_link"",""น่าน!J571"")+IMPORTRANGE(""https://docs.google.com/spreadsheets/d/1K0Aa9s-6EuHE5M0FG1F9aHLXRCOV917xvycTdLdct0w/edit?usp=share_link"",""พะเยา!J571"")+IMPORTRANGE(""https://docs.google.com/spreadsheets/d/1Y"&amp;"9LPKx95PyL5OKy09d-KbKJSuuEZCFdkhYjwC0XQjBA/edit?usp=share_link"",""พิจิตร!J571"")+IMPORTRANGE(""https://docs.google.com/spreadsheets/d/16OMuOwy2eVqZcYWOouQtTpa8X1L23h4660uVHc0C8os/edit?usp=share_link"",""พิษณุโลก!J571"")+IMPORTRANGE(""https://docs.google."&amp;"com/spreadsheets/d/1GfgTldLG6k77HXaMQzaafODklYuucJZQNs_GAPEfZyY/edit?usp=share_link"",""เพชรบูรณ์!J571"")+IMPORTRANGE(""https://docs.google.com/spreadsheets/d/1gvTMYAnm7v1yG1BKWFtr0DnaTsq59oW9dwWvFgq6hs0/edit?usp=share_link"",""แพร่!J571"")+IMPORTRANGE("""&amp;"https://docs.google.com/spreadsheets/d/1Wbcosgy-Xa1xXUArJSOenub6EfZHUSzc_bpJFWwQUf0/edit?usp=share_link"",""แม่ฮ่องสอน!J571"")+IMPORTRANGE(""https://docs.google.com/spreadsheets/d/1p7ERhsr0qZeSn-KSOdeHS9r0heI-lHtkcn2OH7hP0jQ/edit?usp=share_link"",""ลำปาง!"&amp;"J571"")+IMPORTRANGE(""https://docs.google.com/spreadsheets/d/1-uUXvimVhiU2U0bMN-xi2te0tS4X7DI2GLPnMjzl8cA/edit?usp=share_link"",""ลำพูน!J571"")+IMPORTRANGE(""https://docs.google.com/spreadsheets/d/17HrOaa5pBUI1onckFfumXB8xlg35qb2uBAFfF1D-Myo/edit?usp=shar"&amp;"e_link"",""สุโขทัย!J571"")+IMPORTRANGE(""https://docs.google.com/spreadsheets/d/1ubs5cl16eYL9gHbdHTJtmtYb9MGzHBs7CAphn8kNCgM/edit?usp=share_link"",""อุตรดิตถ์!J571"")+IMPORTRANGE(""https://docs.google.com/spreadsheets/d/1kII0BjS6CtVrBvI8IrytgPdxDrlyQDyigz"&amp;"MsohRtDMs/edit?usp=share_link"",""อุทัยธานี!J571"")
"),8260)</f>
        <v>8260</v>
      </c>
      <c r="K571" s="163"/>
      <c r="L571" s="163"/>
      <c r="M571" s="163"/>
      <c r="N571" s="163"/>
      <c r="O571" s="163"/>
      <c r="P571" s="163"/>
      <c r="Q571" s="542"/>
      <c r="R571" s="542"/>
      <c r="S571" s="542"/>
      <c r="T571" s="542"/>
      <c r="U571" s="542"/>
      <c r="V571" s="542"/>
      <c r="W571" s="542"/>
      <c r="X571" s="542"/>
      <c r="Y571" s="542"/>
      <c r="Z571" s="542"/>
    </row>
    <row r="572" spans="1:26" ht="18.75">
      <c r="A572" s="573"/>
      <c r="B572" s="574"/>
      <c r="C572" s="574"/>
      <c r="D572" s="187" t="s">
        <v>241</v>
      </c>
      <c r="E572" s="586"/>
      <c r="F572" s="586"/>
      <c r="G572" s="175"/>
      <c r="H572" s="182" t="s">
        <v>46</v>
      </c>
      <c r="I572" s="162"/>
      <c r="J572" s="183">
        <f ca="1">IFERROR(__xludf.DUMMYFUNCTION("IMPORTRANGE(""https://docs.google.com/spreadsheets/d/1KxicF4apzSqm0-jIpmueT4kyZtE-Cwn5zskl7GD4loQ/edit?usp=share_link"",""กำแพงเพชร!J572"")+IMPORTRANGE(""https://docs.google.com/spreadsheets/d/1ZNYWeiFoFA1K1U4xKWqRX29MBvEyRHXORjo734Gnq_c/edit?usp=share_li"&amp;"nk"",""เชียงราย!J572"")
+IMPORTRANGE(""https://docs.google.com/spreadsheets/d/1Jgv0Y7YlHDtsiDawwp-uvifEJ8HVaSn0k2aGHG8-hwM/edit?usp=share_link"",""เชียงใหม่!J572"")+IMPORTRANGE(""https://docs.google.com/spreadsheets/d/1JWG2rZePOz9pe-f-ObA-yDr0VoOX2kSb0qIi"&amp;"x2mTUo8/edit?usp=share_link"",""ตาก!J572"")+IMPORTRANGE(""https://docs.google.com/spreadsheets/d/10nSRjK08hx8Y6HgSOQKNw81lyY46Zc7U_Cj72hBMp9U/edit?usp=share_link"",""นครสวรรค์!J572"")+IMPORTRANGE(""https://docs.google.com/spreadsheets/d/1gFVb7qd7amutrIxAA"&amp;"oM7lcy35hllxznovot8lyOfvDo/edit?usp=share_link"",""น่าน!J572"")+IMPORTRANGE(""https://docs.google.com/spreadsheets/d/1K0Aa9s-6EuHE5M0FG1F9aHLXRCOV917xvycTdLdct0w/edit?usp=share_link"",""พะเยา!J572"")+IMPORTRANGE(""https://docs.google.com/spreadsheets/d/1Y"&amp;"9LPKx95PyL5OKy09d-KbKJSuuEZCFdkhYjwC0XQjBA/edit?usp=share_link"",""พิจิตร!J572"")+IMPORTRANGE(""https://docs.google.com/spreadsheets/d/16OMuOwy2eVqZcYWOouQtTpa8X1L23h4660uVHc0C8os/edit?usp=share_link"",""พิษณุโลก!J572"")+IMPORTRANGE(""https://docs.google."&amp;"com/spreadsheets/d/1GfgTldLG6k77HXaMQzaafODklYuucJZQNs_GAPEfZyY/edit?usp=share_link"",""เพชรบูรณ์!J572"")+IMPORTRANGE(""https://docs.google.com/spreadsheets/d/1gvTMYAnm7v1yG1BKWFtr0DnaTsq59oW9dwWvFgq6hs0/edit?usp=share_link"",""แพร่!J572"")+IMPORTRANGE("""&amp;"https://docs.google.com/spreadsheets/d/1Wbcosgy-Xa1xXUArJSOenub6EfZHUSzc_bpJFWwQUf0/edit?usp=share_link"",""แม่ฮ่องสอน!J572"")+IMPORTRANGE(""https://docs.google.com/spreadsheets/d/1p7ERhsr0qZeSn-KSOdeHS9r0heI-lHtkcn2OH7hP0jQ/edit?usp=share_link"",""ลำปาง!"&amp;"J572"")+IMPORTRANGE(""https://docs.google.com/spreadsheets/d/1-uUXvimVhiU2U0bMN-xi2te0tS4X7DI2GLPnMjzl8cA/edit?usp=share_link"",""ลำพูน!J572"")+IMPORTRANGE(""https://docs.google.com/spreadsheets/d/17HrOaa5pBUI1onckFfumXB8xlg35qb2uBAFfF1D-Myo/edit?usp=shar"&amp;"e_link"",""สุโขทัย!J572"")+IMPORTRANGE(""https://docs.google.com/spreadsheets/d/1ubs5cl16eYL9gHbdHTJtmtYb9MGzHBs7CAphn8kNCgM/edit?usp=share_link"",""อุตรดิตถ์!J572"")+IMPORTRANGE(""https://docs.google.com/spreadsheets/d/1kII0BjS6CtVrBvI8IrytgPdxDrlyQDyigz"&amp;"MsohRtDMs/edit?usp=share_link"",""อุทัยธานี!J572"")
"),5698.79)</f>
        <v>5698.79</v>
      </c>
      <c r="K572" s="163"/>
      <c r="L572" s="163"/>
      <c r="M572" s="163"/>
      <c r="N572" s="163"/>
      <c r="O572" s="163"/>
      <c r="P572" s="163"/>
      <c r="Q572" s="542"/>
      <c r="R572" s="542"/>
      <c r="S572" s="542"/>
      <c r="T572" s="542"/>
      <c r="U572" s="542"/>
      <c r="V572" s="542"/>
      <c r="W572" s="542"/>
      <c r="X572" s="542"/>
      <c r="Y572" s="542"/>
      <c r="Z572" s="542"/>
    </row>
    <row r="573" spans="1:26" ht="18.75">
      <c r="A573" s="573"/>
      <c r="B573" s="574"/>
      <c r="C573" s="574"/>
      <c r="D573" s="586"/>
      <c r="E573" s="586"/>
      <c r="F573" s="586"/>
      <c r="G573" s="175"/>
      <c r="H573" s="182" t="s">
        <v>34</v>
      </c>
      <c r="I573" s="162"/>
      <c r="J573" s="183">
        <f ca="1">IFERROR(__xludf.DUMMYFUNCTION("IMPORTRANGE(""https://docs.google.com/spreadsheets/d/1KxicF4apzSqm0-jIpmueT4kyZtE-Cwn5zskl7GD4loQ/edit?usp=share_link"",""กำแพงเพชร!J573"")+IMPORTRANGE(""https://docs.google.com/spreadsheets/d/1ZNYWeiFoFA1K1U4xKWqRX29MBvEyRHXORjo734Gnq_c/edit?usp=share_li"&amp;"nk"",""เชียงราย!J573"")
+IMPORTRANGE(""https://docs.google.com/spreadsheets/d/1Jgv0Y7YlHDtsiDawwp-uvifEJ8HVaSn0k2aGHG8-hwM/edit?usp=share_link"",""เชียงใหม่!J573"")+IMPORTRANGE(""https://docs.google.com/spreadsheets/d/1JWG2rZePOz9pe-f-ObA-yDr0VoOX2kSb0qIi"&amp;"x2mTUo8/edit?usp=share_link"",""ตาก!J573"")+IMPORTRANGE(""https://docs.google.com/spreadsheets/d/10nSRjK08hx8Y6HgSOQKNw81lyY46Zc7U_Cj72hBMp9U/edit?usp=share_link"",""นครสวรรค์!J573"")+IMPORTRANGE(""https://docs.google.com/spreadsheets/d/1gFVb7qd7amutrIxAA"&amp;"oM7lcy35hllxznovot8lyOfvDo/edit?usp=share_link"",""น่าน!J573"")+IMPORTRANGE(""https://docs.google.com/spreadsheets/d/1K0Aa9s-6EuHE5M0FG1F9aHLXRCOV917xvycTdLdct0w/edit?usp=share_link"",""พะเยา!J573"")+IMPORTRANGE(""https://docs.google.com/spreadsheets/d/1Y"&amp;"9LPKx95PyL5OKy09d-KbKJSuuEZCFdkhYjwC0XQjBA/edit?usp=share_link"",""พิจิตร!J573"")+IMPORTRANGE(""https://docs.google.com/spreadsheets/d/16OMuOwy2eVqZcYWOouQtTpa8X1L23h4660uVHc0C8os/edit?usp=share_link"",""พิษณุโลก!J573"")+IMPORTRANGE(""https://docs.google."&amp;"com/spreadsheets/d/1GfgTldLG6k77HXaMQzaafODklYuucJZQNs_GAPEfZyY/edit?usp=share_link"",""เพชรบูรณ์!J573"")+IMPORTRANGE(""https://docs.google.com/spreadsheets/d/1gvTMYAnm7v1yG1BKWFtr0DnaTsq59oW9dwWvFgq6hs0/edit?usp=share_link"",""แพร่!J573"")+IMPORTRANGE("""&amp;"https://docs.google.com/spreadsheets/d/1Wbcosgy-Xa1xXUArJSOenub6EfZHUSzc_bpJFWwQUf0/edit?usp=share_link"",""แม่ฮ่องสอน!J573"")+IMPORTRANGE(""https://docs.google.com/spreadsheets/d/1p7ERhsr0qZeSn-KSOdeHS9r0heI-lHtkcn2OH7hP0jQ/edit?usp=share_link"",""ลำปาง!"&amp;"J573"")+IMPORTRANGE(""https://docs.google.com/spreadsheets/d/1-uUXvimVhiU2U0bMN-xi2te0tS4X7DI2GLPnMjzl8cA/edit?usp=share_link"",""ลำพูน!J573"")+IMPORTRANGE(""https://docs.google.com/spreadsheets/d/17HrOaa5pBUI1onckFfumXB8xlg35qb2uBAFfF1D-Myo/edit?usp=shar"&amp;"e_link"",""สุโขทัย!J573"")+IMPORTRANGE(""https://docs.google.com/spreadsheets/d/1ubs5cl16eYL9gHbdHTJtmtYb9MGzHBs7CAphn8kNCgM/edit?usp=share_link"",""อุตรดิตถ์!J573"")+IMPORTRANGE(""https://docs.google.com/spreadsheets/d/1kII0BjS6CtVrBvI8IrytgPdxDrlyQDyigz"&amp;"MsohRtDMs/edit?usp=share_link"",""อุทัยธานี!J573"")
"),466)</f>
        <v>466</v>
      </c>
      <c r="K573" s="163"/>
      <c r="L573" s="163"/>
      <c r="M573" s="163"/>
      <c r="N573" s="163"/>
      <c r="O573" s="163"/>
      <c r="P573" s="163"/>
      <c r="Q573" s="542"/>
      <c r="R573" s="542"/>
      <c r="S573" s="542"/>
      <c r="T573" s="542"/>
      <c r="U573" s="542"/>
      <c r="V573" s="542"/>
      <c r="W573" s="542"/>
      <c r="X573" s="542"/>
      <c r="Y573" s="542"/>
      <c r="Z573" s="542"/>
    </row>
    <row r="574" spans="1:26" ht="18.75">
      <c r="A574" s="573"/>
      <c r="B574" s="574"/>
      <c r="C574" s="574"/>
      <c r="D574" s="187" t="s">
        <v>242</v>
      </c>
      <c r="E574" s="586"/>
      <c r="F574" s="586"/>
      <c r="G574" s="175"/>
      <c r="H574" s="182" t="s">
        <v>46</v>
      </c>
      <c r="I574" s="162"/>
      <c r="J574" s="183">
        <f ca="1">IFERROR(__xludf.DUMMYFUNCTION("IMPORTRANGE(""https://docs.google.com/spreadsheets/d/1KxicF4apzSqm0-jIpmueT4kyZtE-Cwn5zskl7GD4loQ/edit?usp=share_link"",""กำแพงเพชร!J574"")+IMPORTRANGE(""https://docs.google.com/spreadsheets/d/1ZNYWeiFoFA1K1U4xKWqRX29MBvEyRHXORjo734Gnq_c/edit?usp=share_li"&amp;"nk"",""เชียงราย!J574"")
+IMPORTRANGE(""https://docs.google.com/spreadsheets/d/1Jgv0Y7YlHDtsiDawwp-uvifEJ8HVaSn0k2aGHG8-hwM/edit?usp=share_link"",""เชียงใหม่!J574"")+IMPORTRANGE(""https://docs.google.com/spreadsheets/d/1JWG2rZePOz9pe-f-ObA-yDr0VoOX2kSb0qIi"&amp;"x2mTUo8/edit?usp=share_link"",""ตาก!J574"")+IMPORTRANGE(""https://docs.google.com/spreadsheets/d/10nSRjK08hx8Y6HgSOQKNw81lyY46Zc7U_Cj72hBMp9U/edit?usp=share_link"",""นครสวรรค์!J574"")+IMPORTRANGE(""https://docs.google.com/spreadsheets/d/1gFVb7qd7amutrIxAA"&amp;"oM7lcy35hllxznovot8lyOfvDo/edit?usp=share_link"",""น่าน!J574"")+IMPORTRANGE(""https://docs.google.com/spreadsheets/d/1K0Aa9s-6EuHE5M0FG1F9aHLXRCOV917xvycTdLdct0w/edit?usp=share_link"",""พะเยา!J574"")+IMPORTRANGE(""https://docs.google.com/spreadsheets/d/1Y"&amp;"9LPKx95PyL5OKy09d-KbKJSuuEZCFdkhYjwC0XQjBA/edit?usp=share_link"",""พิจิตร!J574"")+IMPORTRANGE(""https://docs.google.com/spreadsheets/d/16OMuOwy2eVqZcYWOouQtTpa8X1L23h4660uVHc0C8os/edit?usp=share_link"",""พิษณุโลก!J574"")+IMPORTRANGE(""https://docs.google."&amp;"com/spreadsheets/d/1GfgTldLG6k77HXaMQzaafODklYuucJZQNs_GAPEfZyY/edit?usp=share_link"",""เพชรบูรณ์!J574"")+IMPORTRANGE(""https://docs.google.com/spreadsheets/d/1gvTMYAnm7v1yG1BKWFtr0DnaTsq59oW9dwWvFgq6hs0/edit?usp=share_link"",""แพร่!J574"")+IMPORTRANGE("""&amp;"https://docs.google.com/spreadsheets/d/1Wbcosgy-Xa1xXUArJSOenub6EfZHUSzc_bpJFWwQUf0/edit?usp=share_link"",""แม่ฮ่องสอน!J574"")+IMPORTRANGE(""https://docs.google.com/spreadsheets/d/1p7ERhsr0qZeSn-KSOdeHS9r0heI-lHtkcn2OH7hP0jQ/edit?usp=share_link"",""ลำปาง!"&amp;"J574"")+IMPORTRANGE(""https://docs.google.com/spreadsheets/d/1-uUXvimVhiU2U0bMN-xi2te0tS4X7DI2GLPnMjzl8cA/edit?usp=share_link"",""ลำพูน!J574"")+IMPORTRANGE(""https://docs.google.com/spreadsheets/d/17HrOaa5pBUI1onckFfumXB8xlg35qb2uBAFfF1D-Myo/edit?usp=shar"&amp;"e_link"",""สุโขทัย!J574"")+IMPORTRANGE(""https://docs.google.com/spreadsheets/d/1ubs5cl16eYL9gHbdHTJtmtYb9MGzHBs7CAphn8kNCgM/edit?usp=share_link"",""อุตรดิตถ์!J574"")+IMPORTRANGE(""https://docs.google.com/spreadsheets/d/1kII0BjS6CtVrBvI8IrytgPdxDrlyQDyigz"&amp;"MsohRtDMs/edit?usp=share_link"",""อุทัยธานี!J574"")
"),1836.33)</f>
        <v>1836.33</v>
      </c>
      <c r="K574" s="163"/>
      <c r="L574" s="163"/>
      <c r="M574" s="163"/>
      <c r="N574" s="163"/>
      <c r="O574" s="163"/>
      <c r="P574" s="163"/>
      <c r="Q574" s="542"/>
      <c r="R574" s="542"/>
      <c r="S574" s="542"/>
      <c r="T574" s="542"/>
      <c r="U574" s="542"/>
      <c r="V574" s="542"/>
      <c r="W574" s="542"/>
      <c r="X574" s="542"/>
      <c r="Y574" s="542"/>
      <c r="Z574" s="542"/>
    </row>
    <row r="575" spans="1:26" ht="18.75">
      <c r="A575" s="573"/>
      <c r="B575" s="574"/>
      <c r="C575" s="574"/>
      <c r="D575" s="574"/>
      <c r="E575" s="586"/>
      <c r="F575" s="586"/>
      <c r="G575" s="175"/>
      <c r="H575" s="182" t="s">
        <v>34</v>
      </c>
      <c r="I575" s="162"/>
      <c r="J575" s="183">
        <f ca="1">IFERROR(__xludf.DUMMYFUNCTION("IMPORTRANGE(""https://docs.google.com/spreadsheets/d/1KxicF4apzSqm0-jIpmueT4kyZtE-Cwn5zskl7GD4loQ/edit?usp=share_link"",""กำแพงเพชร!J575"")+IMPORTRANGE(""https://docs.google.com/spreadsheets/d/1ZNYWeiFoFA1K1U4xKWqRX29MBvEyRHXORjo734Gnq_c/edit?usp=share_li"&amp;"nk"",""เชียงราย!J575"")
+IMPORTRANGE(""https://docs.google.com/spreadsheets/d/1Jgv0Y7YlHDtsiDawwp-uvifEJ8HVaSn0k2aGHG8-hwM/edit?usp=share_link"",""เชียงใหม่!J575"")+IMPORTRANGE(""https://docs.google.com/spreadsheets/d/1JWG2rZePOz9pe-f-ObA-yDr0VoOX2kSb0qIi"&amp;"x2mTUo8/edit?usp=share_link"",""ตาก!J575"")+IMPORTRANGE(""https://docs.google.com/spreadsheets/d/10nSRjK08hx8Y6HgSOQKNw81lyY46Zc7U_Cj72hBMp9U/edit?usp=share_link"",""นครสวรรค์!J575"")+IMPORTRANGE(""https://docs.google.com/spreadsheets/d/1gFVb7qd7amutrIxAA"&amp;"oM7lcy35hllxznovot8lyOfvDo/edit?usp=share_link"",""น่าน!J575"")+IMPORTRANGE(""https://docs.google.com/spreadsheets/d/1K0Aa9s-6EuHE5M0FG1F9aHLXRCOV917xvycTdLdct0w/edit?usp=share_link"",""พะเยา!J575"")+IMPORTRANGE(""https://docs.google.com/spreadsheets/d/1Y"&amp;"9LPKx95PyL5OKy09d-KbKJSuuEZCFdkhYjwC0XQjBA/edit?usp=share_link"",""พิจิตร!J575"")+IMPORTRANGE(""https://docs.google.com/spreadsheets/d/16OMuOwy2eVqZcYWOouQtTpa8X1L23h4660uVHc0C8os/edit?usp=share_link"",""พิษณุโลก!J575"")+IMPORTRANGE(""https://docs.google."&amp;"com/spreadsheets/d/1GfgTldLG6k77HXaMQzaafODklYuucJZQNs_GAPEfZyY/edit?usp=share_link"",""เพชรบูรณ์!J575"")+IMPORTRANGE(""https://docs.google.com/spreadsheets/d/1gvTMYAnm7v1yG1BKWFtr0DnaTsq59oW9dwWvFgq6hs0/edit?usp=share_link"",""แพร่!J575"")+IMPORTRANGE("""&amp;"https://docs.google.com/spreadsheets/d/1Wbcosgy-Xa1xXUArJSOenub6EfZHUSzc_bpJFWwQUf0/edit?usp=share_link"",""แม่ฮ่องสอน!J575"")+IMPORTRANGE(""https://docs.google.com/spreadsheets/d/1p7ERhsr0qZeSn-KSOdeHS9r0heI-lHtkcn2OH7hP0jQ/edit?usp=share_link"",""ลำปาง!"&amp;"J575"")+IMPORTRANGE(""https://docs.google.com/spreadsheets/d/1-uUXvimVhiU2U0bMN-xi2te0tS4X7DI2GLPnMjzl8cA/edit?usp=share_link"",""ลำพูน!J575"")+IMPORTRANGE(""https://docs.google.com/spreadsheets/d/17HrOaa5pBUI1onckFfumXB8xlg35qb2uBAFfF1D-Myo/edit?usp=shar"&amp;"e_link"",""สุโขทัย!J575"")+IMPORTRANGE(""https://docs.google.com/spreadsheets/d/1ubs5cl16eYL9gHbdHTJtmtYb9MGzHBs7CAphn8kNCgM/edit?usp=share_link"",""อุตรดิตถ์!J575"")+IMPORTRANGE(""https://docs.google.com/spreadsheets/d/1kII0BjS6CtVrBvI8IrytgPdxDrlyQDyigz"&amp;"MsohRtDMs/edit?usp=share_link"",""อุทัยธานี!J575"")
"),190)</f>
        <v>190</v>
      </c>
      <c r="K575" s="163"/>
      <c r="L575" s="163"/>
      <c r="M575" s="163"/>
      <c r="N575" s="163"/>
      <c r="O575" s="163"/>
      <c r="P575" s="163"/>
      <c r="Q575" s="542"/>
      <c r="R575" s="542"/>
      <c r="S575" s="542"/>
      <c r="T575" s="542"/>
      <c r="U575" s="542"/>
      <c r="V575" s="542"/>
      <c r="W575" s="542"/>
      <c r="X575" s="542"/>
      <c r="Y575" s="542"/>
      <c r="Z575" s="542"/>
    </row>
    <row r="576" spans="1:26" ht="19.5">
      <c r="A576" s="573"/>
      <c r="B576" s="574"/>
      <c r="C576" s="589" t="s">
        <v>243</v>
      </c>
      <c r="D576" s="574"/>
      <c r="E576" s="574"/>
      <c r="F576" s="586"/>
      <c r="G576" s="175"/>
      <c r="H576" s="192" t="s">
        <v>46</v>
      </c>
      <c r="I576" s="193">
        <f ca="1">IFERROR(__xludf.DUMMYFUNCTION("IMPORTRANGE(""https://docs.google.com/spreadsheets/d/1KxicF4apzSqm0-jIpmueT4kyZtE-Cwn5zskl7GD4loQ/edit?usp=share_link"",""กำแพงเพชร!I576"")+IMPORTRANGE(""https://docs.google.com/spreadsheets/d/1ZNYWeiFoFA1K1U4xKWqRX29MBvEyRHXORjo734Gnq_c/edit?usp=share_li"&amp;"nk"",""เชียงราย!I576"")
+IMPORTRANGE(""https://docs.google.com/spreadsheets/d/1Jgv0Y7YlHDtsiDawwp-uvifEJ8HVaSn0k2aGHG8-hwM/edit?usp=share_link"",""เชียงใหม่!I576"")+IMPORTRANGE(""https://docs.google.com/spreadsheets/d/1JWG2rZePOz9pe-f-ObA-yDr0VoOX2kSb0qIi"&amp;"x2mTUo8/edit?usp=share_link"",""ตาก!I576"")+IMPORTRANGE(""https://docs.google.com/spreadsheets/d/10nSRjK08hx8Y6HgSOQKNw81lyY46Zc7U_Cj72hBMp9U/edit?usp=share_link"",""นครสวรรค์!I576"")+IMPORTRANGE(""https://docs.google.com/spreadsheets/d/1gFVb7qd7amutrIxAA"&amp;"oM7lcy35hllxznovot8lyOfvDo/edit?usp=share_link"",""น่าน!I576"")+IMPORTRANGE(""https://docs.google.com/spreadsheets/d/1K0Aa9s-6EuHE5M0FG1F9aHLXRCOV917xvycTdLdct0w/edit?usp=share_link"",""พะเยา!I576"")+IMPORTRANGE(""https://docs.google.com/spreadsheets/d/1Y"&amp;"9LPKx95PyL5OKy09d-KbKJSuuEZCFdkhYjwC0XQjBA/edit?usp=share_link"",""พิจิตร!I576"")+IMPORTRANGE(""https://docs.google.com/spreadsheets/d/16OMuOwy2eVqZcYWOouQtTpa8X1L23h4660uVHc0C8os/edit?usp=share_link"",""พิษณุโลก!I576"")+IMPORTRANGE(""https://docs.google."&amp;"com/spreadsheets/d/1GfgTldLG6k77HXaMQzaafODklYuucJZQNs_GAPEfZyY/edit?usp=share_link"",""เพชรบูรณ์!I576"")+IMPORTRANGE(""https://docs.google.com/spreadsheets/d/1gvTMYAnm7v1yG1BKWFtr0DnaTsq59oW9dwWvFgq6hs0/edit?usp=share_link"",""แพร่!I576"")+IMPORTRANGE("""&amp;"https://docs.google.com/spreadsheets/d/1Wbcosgy-Xa1xXUArJSOenub6EfZHUSzc_bpJFWwQUf0/edit?usp=share_link"",""แม่ฮ่องสอน!I576"")+IMPORTRANGE(""https://docs.google.com/spreadsheets/d/1p7ERhsr0qZeSn-KSOdeHS9r0heI-lHtkcn2OH7hP0jQ/edit?usp=share_link"",""ลำปาง!"&amp;"I576"")+IMPORTRANGE(""https://docs.google.com/spreadsheets/d/1-uUXvimVhiU2U0bMN-xi2te0tS4X7DI2GLPnMjzl8cA/edit?usp=share_link"",""ลำพูน!I576"")+IMPORTRANGE(""https://docs.google.com/spreadsheets/d/17HrOaa5pBUI1onckFfumXB8xlg35qb2uBAFfF1D-Myo/edit?usp=shar"&amp;"e_link"",""สุโขทัย!I576"")+IMPORTRANGE(""https://docs.google.com/spreadsheets/d/1ubs5cl16eYL9gHbdHTJtmtYb9MGzHBs7CAphn8kNCgM/edit?usp=share_link"",""อุตรดิตถ์!I576"")+IMPORTRANGE(""https://docs.google.com/spreadsheets/d/1kII0BjS6CtVrBvI8IrytgPdxDrlyQDyigz"&amp;"MsohRtDMs/edit?usp=share_link"",""อุทัยธานี!I576"")
"),789391)</f>
        <v>789391</v>
      </c>
      <c r="J576" s="194">
        <f t="shared" ref="J576:J577" ca="1" si="288">J578+J580+J582+J588+J590</f>
        <v>6342.8</v>
      </c>
      <c r="K576" s="380">
        <f t="shared" ref="K576:K577" ca="1" si="289">IF(I576&gt;0,J576*100/I576,0)</f>
        <v>0.80350548714135328</v>
      </c>
      <c r="L576" s="163"/>
      <c r="M576" s="163"/>
      <c r="N576" s="163"/>
      <c r="O576" s="163"/>
      <c r="P576" s="163"/>
      <c r="Q576" s="542"/>
      <c r="R576" s="542"/>
      <c r="S576" s="542"/>
      <c r="T576" s="542"/>
      <c r="U576" s="542"/>
      <c r="V576" s="542"/>
      <c r="W576" s="542"/>
      <c r="X576" s="542"/>
      <c r="Y576" s="542"/>
      <c r="Z576" s="542"/>
    </row>
    <row r="577" spans="1:26" ht="19.5">
      <c r="A577" s="573"/>
      <c r="B577" s="574"/>
      <c r="C577" s="574"/>
      <c r="D577" s="574"/>
      <c r="E577" s="586"/>
      <c r="F577" s="586"/>
      <c r="G577" s="175"/>
      <c r="H577" s="192" t="s">
        <v>34</v>
      </c>
      <c r="I577" s="193">
        <f ca="1">IFERROR(__xludf.DUMMYFUNCTION("IMPORTRANGE(""https://docs.google.com/spreadsheets/d/1KxicF4apzSqm0-jIpmueT4kyZtE-Cwn5zskl7GD4loQ/edit?usp=share_link"",""กำแพงเพชร!I577"")+IMPORTRANGE(""https://docs.google.com/spreadsheets/d/1ZNYWeiFoFA1K1U4xKWqRX29MBvEyRHXORjo734Gnq_c/edit?usp=share_li"&amp;"nk"",""เชียงราย!I577"")
+IMPORTRANGE(""https://docs.google.com/spreadsheets/d/1Jgv0Y7YlHDtsiDawwp-uvifEJ8HVaSn0k2aGHG8-hwM/edit?usp=share_link"",""เชียงใหม่!I577"")+IMPORTRANGE(""https://docs.google.com/spreadsheets/d/1JWG2rZePOz9pe-f-ObA-yDr0VoOX2kSb0qIi"&amp;"x2mTUo8/edit?usp=share_link"",""ตาก!I577"")+IMPORTRANGE(""https://docs.google.com/spreadsheets/d/10nSRjK08hx8Y6HgSOQKNw81lyY46Zc7U_Cj72hBMp9U/edit?usp=share_link"",""นครสวรรค์!I577"")+IMPORTRANGE(""https://docs.google.com/spreadsheets/d/1gFVb7qd7amutrIxAA"&amp;"oM7lcy35hllxznovot8lyOfvDo/edit?usp=share_link"",""น่าน!I577"")+IMPORTRANGE(""https://docs.google.com/spreadsheets/d/1K0Aa9s-6EuHE5M0FG1F9aHLXRCOV917xvycTdLdct0w/edit?usp=share_link"",""พะเยา!I577"")+IMPORTRANGE(""https://docs.google.com/spreadsheets/d/1Y"&amp;"9LPKx95PyL5OKy09d-KbKJSuuEZCFdkhYjwC0XQjBA/edit?usp=share_link"",""พิจิตร!I577"")+IMPORTRANGE(""https://docs.google.com/spreadsheets/d/16OMuOwy2eVqZcYWOouQtTpa8X1L23h4660uVHc0C8os/edit?usp=share_link"",""พิษณุโลก!I577"")+IMPORTRANGE(""https://docs.google."&amp;"com/spreadsheets/d/1GfgTldLG6k77HXaMQzaafODklYuucJZQNs_GAPEfZyY/edit?usp=share_link"",""เพชรบูรณ์!I577"")+IMPORTRANGE(""https://docs.google.com/spreadsheets/d/1gvTMYAnm7v1yG1BKWFtr0DnaTsq59oW9dwWvFgq6hs0/edit?usp=share_link"",""แพร่!I577"")+IMPORTRANGE("""&amp;"https://docs.google.com/spreadsheets/d/1Wbcosgy-Xa1xXUArJSOenub6EfZHUSzc_bpJFWwQUf0/edit?usp=share_link"",""แม่ฮ่องสอน!I577"")+IMPORTRANGE(""https://docs.google.com/spreadsheets/d/1p7ERhsr0qZeSn-KSOdeHS9r0heI-lHtkcn2OH7hP0jQ/edit?usp=share_link"",""ลำปาง!"&amp;"I577"")+IMPORTRANGE(""https://docs.google.com/spreadsheets/d/1-uUXvimVhiU2U0bMN-xi2te0tS4X7DI2GLPnMjzl8cA/edit?usp=share_link"",""ลำพูน!I577"")+IMPORTRANGE(""https://docs.google.com/spreadsheets/d/17HrOaa5pBUI1onckFfumXB8xlg35qb2uBAFfF1D-Myo/edit?usp=shar"&amp;"e_link"",""สุโขทัย!I577"")+IMPORTRANGE(""https://docs.google.com/spreadsheets/d/1ubs5cl16eYL9gHbdHTJtmtYb9MGzHBs7CAphn8kNCgM/edit?usp=share_link"",""อุตรดิตถ์!I577"")+IMPORTRANGE(""https://docs.google.com/spreadsheets/d/1kII0BjS6CtVrBvI8IrytgPdxDrlyQDyigz"&amp;"MsohRtDMs/edit?usp=share_link"",""อุทัยธานี!I577"")
"),94109)</f>
        <v>94109</v>
      </c>
      <c r="J577" s="194">
        <f t="shared" ca="1" si="288"/>
        <v>1765</v>
      </c>
      <c r="K577" s="380">
        <f t="shared" ca="1" si="289"/>
        <v>1.8754848101669341</v>
      </c>
      <c r="L577" s="163"/>
      <c r="M577" s="163"/>
      <c r="N577" s="163"/>
      <c r="O577" s="163"/>
      <c r="P577" s="163"/>
      <c r="Q577" s="542"/>
      <c r="R577" s="542"/>
      <c r="S577" s="542"/>
      <c r="T577" s="542"/>
      <c r="U577" s="542"/>
      <c r="V577" s="542"/>
      <c r="W577" s="542"/>
      <c r="X577" s="542"/>
      <c r="Y577" s="542"/>
      <c r="Z577" s="542"/>
    </row>
    <row r="578" spans="1:26" ht="18.75">
      <c r="A578" s="573"/>
      <c r="B578" s="574"/>
      <c r="C578" s="574"/>
      <c r="D578" s="187" t="s">
        <v>244</v>
      </c>
      <c r="E578" s="586"/>
      <c r="F578" s="586"/>
      <c r="G578" s="175"/>
      <c r="H578" s="182" t="s">
        <v>46</v>
      </c>
      <c r="I578" s="162"/>
      <c r="J578" s="183">
        <f ca="1">IFERROR(__xludf.DUMMYFUNCTION("IMPORTRANGE(""https://docs.google.com/spreadsheets/d/1KxicF4apzSqm0-jIpmueT4kyZtE-Cwn5zskl7GD4loQ/edit?usp=share_link"",""กำแพงเพชร!J578"")+IMPORTRANGE(""https://docs.google.com/spreadsheets/d/1ZNYWeiFoFA1K1U4xKWqRX29MBvEyRHXORjo734Gnq_c/edit?usp=share_li"&amp;"nk"",""เชียงราย!J578"")
+IMPORTRANGE(""https://docs.google.com/spreadsheets/d/1Jgv0Y7YlHDtsiDawwp-uvifEJ8HVaSn0k2aGHG8-hwM/edit?usp=share_link"",""เชียงใหม่!J578"")+IMPORTRANGE(""https://docs.google.com/spreadsheets/d/1JWG2rZePOz9pe-f-ObA-yDr0VoOX2kSb0qIi"&amp;"x2mTUo8/edit?usp=share_link"",""ตาก!J578"")+IMPORTRANGE(""https://docs.google.com/spreadsheets/d/10nSRjK08hx8Y6HgSOQKNw81lyY46Zc7U_Cj72hBMp9U/edit?usp=share_link"",""นครสวรรค์!J578"")+IMPORTRANGE(""https://docs.google.com/spreadsheets/d/1gFVb7qd7amutrIxAA"&amp;"oM7lcy35hllxznovot8lyOfvDo/edit?usp=share_link"",""น่าน!J578"")+IMPORTRANGE(""https://docs.google.com/spreadsheets/d/1K0Aa9s-6EuHE5M0FG1F9aHLXRCOV917xvycTdLdct0w/edit?usp=share_link"",""พะเยา!J578"")+IMPORTRANGE(""https://docs.google.com/spreadsheets/d/1Y"&amp;"9LPKx95PyL5OKy09d-KbKJSuuEZCFdkhYjwC0XQjBA/edit?usp=share_link"",""พิจิตร!J578"")+IMPORTRANGE(""https://docs.google.com/spreadsheets/d/16OMuOwy2eVqZcYWOouQtTpa8X1L23h4660uVHc0C8os/edit?usp=share_link"",""พิษณุโลก!J578"")+IMPORTRANGE(""https://docs.google."&amp;"com/spreadsheets/d/1GfgTldLG6k77HXaMQzaafODklYuucJZQNs_GAPEfZyY/edit?usp=share_link"",""เพชรบูรณ์!J578"")+IMPORTRANGE(""https://docs.google.com/spreadsheets/d/1gvTMYAnm7v1yG1BKWFtr0DnaTsq59oW9dwWvFgq6hs0/edit?usp=share_link"",""แพร่!J578"")+IMPORTRANGE("""&amp;"https://docs.google.com/spreadsheets/d/1Wbcosgy-Xa1xXUArJSOenub6EfZHUSzc_bpJFWwQUf0/edit?usp=share_link"",""แม่ฮ่องสอน!J578"")+IMPORTRANGE(""https://docs.google.com/spreadsheets/d/1p7ERhsr0qZeSn-KSOdeHS9r0heI-lHtkcn2OH7hP0jQ/edit?usp=share_link"",""ลำปาง!"&amp;"J578"")+IMPORTRANGE(""https://docs.google.com/spreadsheets/d/1-uUXvimVhiU2U0bMN-xi2te0tS4X7DI2GLPnMjzl8cA/edit?usp=share_link"",""ลำพูน!J578"")+IMPORTRANGE(""https://docs.google.com/spreadsheets/d/17HrOaa5pBUI1onckFfumXB8xlg35qb2uBAFfF1D-Myo/edit?usp=shar"&amp;"e_link"",""สุโขทัย!J578"")+IMPORTRANGE(""https://docs.google.com/spreadsheets/d/1ubs5cl16eYL9gHbdHTJtmtYb9MGzHBs7CAphn8kNCgM/edit?usp=share_link"",""อุตรดิตถ์!J578"")+IMPORTRANGE(""https://docs.google.com/spreadsheets/d/1kII0BjS6CtVrBvI8IrytgPdxDrlyQDyigz"&amp;"MsohRtDMs/edit?usp=share_link"",""อุทัยธานี!J578"")
"),6098)</f>
        <v>6098</v>
      </c>
      <c r="K578" s="163"/>
      <c r="L578" s="163"/>
      <c r="M578" s="163"/>
      <c r="N578" s="163"/>
      <c r="O578" s="163"/>
      <c r="P578" s="163"/>
      <c r="Q578" s="542"/>
      <c r="R578" s="542"/>
      <c r="S578" s="542"/>
      <c r="T578" s="542"/>
      <c r="U578" s="542"/>
      <c r="V578" s="542"/>
      <c r="W578" s="542"/>
      <c r="X578" s="542"/>
      <c r="Y578" s="542"/>
      <c r="Z578" s="542"/>
    </row>
    <row r="579" spans="1:26" ht="18.75">
      <c r="A579" s="573"/>
      <c r="B579" s="574"/>
      <c r="C579" s="574"/>
      <c r="D579" s="574"/>
      <c r="E579" s="586"/>
      <c r="F579" s="586"/>
      <c r="G579" s="175"/>
      <c r="H579" s="182" t="s">
        <v>34</v>
      </c>
      <c r="I579" s="162"/>
      <c r="J579" s="183">
        <f ca="1">IFERROR(__xludf.DUMMYFUNCTION("IMPORTRANGE(""https://docs.google.com/spreadsheets/d/1KxicF4apzSqm0-jIpmueT4kyZtE-Cwn5zskl7GD4loQ/edit?usp=share_link"",""กำแพงเพชร!J579"")+IMPORTRANGE(""https://docs.google.com/spreadsheets/d/1ZNYWeiFoFA1K1U4xKWqRX29MBvEyRHXORjo734Gnq_c/edit?usp=share_li"&amp;"nk"",""เชียงราย!J579"")
+IMPORTRANGE(""https://docs.google.com/spreadsheets/d/1Jgv0Y7YlHDtsiDawwp-uvifEJ8HVaSn0k2aGHG8-hwM/edit?usp=share_link"",""เชียงใหม่!J579"")+IMPORTRANGE(""https://docs.google.com/spreadsheets/d/1JWG2rZePOz9pe-f-ObA-yDr0VoOX2kSb0qIi"&amp;"x2mTUo8/edit?usp=share_link"",""ตาก!J579"")+IMPORTRANGE(""https://docs.google.com/spreadsheets/d/10nSRjK08hx8Y6HgSOQKNw81lyY46Zc7U_Cj72hBMp9U/edit?usp=share_link"",""นครสวรรค์!J579"")+IMPORTRANGE(""https://docs.google.com/spreadsheets/d/1gFVb7qd7amutrIxAA"&amp;"oM7lcy35hllxznovot8lyOfvDo/edit?usp=share_link"",""น่าน!J579"")+IMPORTRANGE(""https://docs.google.com/spreadsheets/d/1K0Aa9s-6EuHE5M0FG1F9aHLXRCOV917xvycTdLdct0w/edit?usp=share_link"",""พะเยา!J579"")+IMPORTRANGE(""https://docs.google.com/spreadsheets/d/1Y"&amp;"9LPKx95PyL5OKy09d-KbKJSuuEZCFdkhYjwC0XQjBA/edit?usp=share_link"",""พิจิตร!J579"")+IMPORTRANGE(""https://docs.google.com/spreadsheets/d/16OMuOwy2eVqZcYWOouQtTpa8X1L23h4660uVHc0C8os/edit?usp=share_link"",""พิษณุโลก!J579"")+IMPORTRANGE(""https://docs.google."&amp;"com/spreadsheets/d/1GfgTldLG6k77HXaMQzaafODklYuucJZQNs_GAPEfZyY/edit?usp=share_link"",""เพชรบูรณ์!J579"")+IMPORTRANGE(""https://docs.google.com/spreadsheets/d/1gvTMYAnm7v1yG1BKWFtr0DnaTsq59oW9dwWvFgq6hs0/edit?usp=share_link"",""แพร่!J579"")+IMPORTRANGE("""&amp;"https://docs.google.com/spreadsheets/d/1Wbcosgy-Xa1xXUArJSOenub6EfZHUSzc_bpJFWwQUf0/edit?usp=share_link"",""แม่ฮ่องสอน!J579"")+IMPORTRANGE(""https://docs.google.com/spreadsheets/d/1p7ERhsr0qZeSn-KSOdeHS9r0heI-lHtkcn2OH7hP0jQ/edit?usp=share_link"",""ลำปาง!"&amp;"J579"")+IMPORTRANGE(""https://docs.google.com/spreadsheets/d/1-uUXvimVhiU2U0bMN-xi2te0tS4X7DI2GLPnMjzl8cA/edit?usp=share_link"",""ลำพูน!J579"")+IMPORTRANGE(""https://docs.google.com/spreadsheets/d/17HrOaa5pBUI1onckFfumXB8xlg35qb2uBAFfF1D-Myo/edit?usp=shar"&amp;"e_link"",""สุโขทัย!J579"")+IMPORTRANGE(""https://docs.google.com/spreadsheets/d/1ubs5cl16eYL9gHbdHTJtmtYb9MGzHBs7CAphn8kNCgM/edit?usp=share_link"",""อุตรดิตถ์!J579"")+IMPORTRANGE(""https://docs.google.com/spreadsheets/d/1kII0BjS6CtVrBvI8IrytgPdxDrlyQDyigz"&amp;"MsohRtDMs/edit?usp=share_link"",""อุทัยธานี!J579"")
"),1698)</f>
        <v>1698</v>
      </c>
      <c r="K579" s="163"/>
      <c r="L579" s="163"/>
      <c r="M579" s="163"/>
      <c r="N579" s="163"/>
      <c r="O579" s="163"/>
      <c r="P579" s="163"/>
      <c r="Q579" s="542"/>
      <c r="R579" s="542"/>
      <c r="S579" s="542"/>
      <c r="T579" s="542"/>
      <c r="U579" s="542"/>
      <c r="V579" s="542"/>
      <c r="W579" s="542"/>
      <c r="X579" s="542"/>
      <c r="Y579" s="542"/>
      <c r="Z579" s="542"/>
    </row>
    <row r="580" spans="1:26" ht="18.75">
      <c r="A580" s="573"/>
      <c r="B580" s="574"/>
      <c r="C580" s="574"/>
      <c r="D580" s="187" t="s">
        <v>245</v>
      </c>
      <c r="E580" s="586"/>
      <c r="F580" s="586"/>
      <c r="G580" s="175"/>
      <c r="H580" s="182" t="s">
        <v>46</v>
      </c>
      <c r="I580" s="162"/>
      <c r="J580" s="183">
        <f ca="1">IFERROR(__xludf.DUMMYFUNCTION("IMPORTRANGE(""https://docs.google.com/spreadsheets/d/1KxicF4apzSqm0-jIpmueT4kyZtE-Cwn5zskl7GD4loQ/edit?usp=share_link"",""กำแพงเพชร!J580"")+IMPORTRANGE(""https://docs.google.com/spreadsheets/d/1ZNYWeiFoFA1K1U4xKWqRX29MBvEyRHXORjo734Gnq_c/edit?usp=share_li"&amp;"nk"",""เชียงราย!J580"")
+IMPORTRANGE(""https://docs.google.com/spreadsheets/d/1Jgv0Y7YlHDtsiDawwp-uvifEJ8HVaSn0k2aGHG8-hwM/edit?usp=share_link"",""เชียงใหม่!J580"")+IMPORTRANGE(""https://docs.google.com/spreadsheets/d/1JWG2rZePOz9pe-f-ObA-yDr0VoOX2kSb0qIi"&amp;"x2mTUo8/edit?usp=share_link"",""ตาก!J580"")+IMPORTRANGE(""https://docs.google.com/spreadsheets/d/10nSRjK08hx8Y6HgSOQKNw81lyY46Zc7U_Cj72hBMp9U/edit?usp=share_link"",""นครสวรรค์!J580"")+IMPORTRANGE(""https://docs.google.com/spreadsheets/d/1gFVb7qd7amutrIxAA"&amp;"oM7lcy35hllxznovot8lyOfvDo/edit?usp=share_link"",""น่าน!J580"")+IMPORTRANGE(""https://docs.google.com/spreadsheets/d/1K0Aa9s-6EuHE5M0FG1F9aHLXRCOV917xvycTdLdct0w/edit?usp=share_link"",""พะเยา!J580"")+IMPORTRANGE(""https://docs.google.com/spreadsheets/d/1Y"&amp;"9LPKx95PyL5OKy09d-KbKJSuuEZCFdkhYjwC0XQjBA/edit?usp=share_link"",""พิจิตร!J580"")+IMPORTRANGE(""https://docs.google.com/spreadsheets/d/16OMuOwy2eVqZcYWOouQtTpa8X1L23h4660uVHc0C8os/edit?usp=share_link"",""พิษณุโลก!J580"")+IMPORTRANGE(""https://docs.google."&amp;"com/spreadsheets/d/1GfgTldLG6k77HXaMQzaafODklYuucJZQNs_GAPEfZyY/edit?usp=share_link"",""เพชรบูรณ์!J580"")+IMPORTRANGE(""https://docs.google.com/spreadsheets/d/1gvTMYAnm7v1yG1BKWFtr0DnaTsq59oW9dwWvFgq6hs0/edit?usp=share_link"",""แพร่!J580"")+IMPORTRANGE("""&amp;"https://docs.google.com/spreadsheets/d/1Wbcosgy-Xa1xXUArJSOenub6EfZHUSzc_bpJFWwQUf0/edit?usp=share_link"",""แม่ฮ่องสอน!J580"")+IMPORTRANGE(""https://docs.google.com/spreadsheets/d/1p7ERhsr0qZeSn-KSOdeHS9r0heI-lHtkcn2OH7hP0jQ/edit?usp=share_link"",""ลำปาง!"&amp;"J580"")+IMPORTRANGE(""https://docs.google.com/spreadsheets/d/1-uUXvimVhiU2U0bMN-xi2te0tS4X7DI2GLPnMjzl8cA/edit?usp=share_link"",""ลำพูน!J580"")+IMPORTRANGE(""https://docs.google.com/spreadsheets/d/17HrOaa5pBUI1onckFfumXB8xlg35qb2uBAFfF1D-Myo/edit?usp=shar"&amp;"e_link"",""สุโขทัย!J580"")+IMPORTRANGE(""https://docs.google.com/spreadsheets/d/1ubs5cl16eYL9gHbdHTJtmtYb9MGzHBs7CAphn8kNCgM/edit?usp=share_link"",""อุตรดิตถ์!J580"")+IMPORTRANGE(""https://docs.google.com/spreadsheets/d/1kII0BjS6CtVrBvI8IrytgPdxDrlyQDyigz"&amp;"MsohRtDMs/edit?usp=share_link"",""อุทัยธานี!J580"")
"),0)</f>
        <v>0</v>
      </c>
      <c r="K580" s="163"/>
      <c r="L580" s="163"/>
      <c r="M580" s="163"/>
      <c r="N580" s="163"/>
      <c r="O580" s="163"/>
      <c r="P580" s="163"/>
      <c r="Q580" s="542"/>
      <c r="R580" s="542"/>
      <c r="S580" s="542"/>
      <c r="T580" s="542"/>
      <c r="U580" s="542"/>
      <c r="V580" s="542"/>
      <c r="W580" s="542"/>
      <c r="X580" s="542"/>
      <c r="Y580" s="542"/>
      <c r="Z580" s="542"/>
    </row>
    <row r="581" spans="1:26" ht="18.75">
      <c r="A581" s="573"/>
      <c r="B581" s="574"/>
      <c r="C581" s="574"/>
      <c r="D581" s="574"/>
      <c r="E581" s="586"/>
      <c r="F581" s="586"/>
      <c r="G581" s="175"/>
      <c r="H581" s="182" t="s">
        <v>34</v>
      </c>
      <c r="I581" s="162"/>
      <c r="J581" s="183">
        <f ca="1">IFERROR(__xludf.DUMMYFUNCTION("IMPORTRANGE(""https://docs.google.com/spreadsheets/d/1KxicF4apzSqm0-jIpmueT4kyZtE-Cwn5zskl7GD4loQ/edit?usp=share_link"",""กำแพงเพชร!J581"")+IMPORTRANGE(""https://docs.google.com/spreadsheets/d/1ZNYWeiFoFA1K1U4xKWqRX29MBvEyRHXORjo734Gnq_c/edit?usp=share_li"&amp;"nk"",""เชียงราย!J581"")
+IMPORTRANGE(""https://docs.google.com/spreadsheets/d/1Jgv0Y7YlHDtsiDawwp-uvifEJ8HVaSn0k2aGHG8-hwM/edit?usp=share_link"",""เชียงใหม่!J581"")+IMPORTRANGE(""https://docs.google.com/spreadsheets/d/1JWG2rZePOz9pe-f-ObA-yDr0VoOX2kSb0qIi"&amp;"x2mTUo8/edit?usp=share_link"",""ตาก!J581"")+IMPORTRANGE(""https://docs.google.com/spreadsheets/d/10nSRjK08hx8Y6HgSOQKNw81lyY46Zc7U_Cj72hBMp9U/edit?usp=share_link"",""นครสวรรค์!J581"")+IMPORTRANGE(""https://docs.google.com/spreadsheets/d/1gFVb7qd7amutrIxAA"&amp;"oM7lcy35hllxznovot8lyOfvDo/edit?usp=share_link"",""น่าน!J581"")+IMPORTRANGE(""https://docs.google.com/spreadsheets/d/1K0Aa9s-6EuHE5M0FG1F9aHLXRCOV917xvycTdLdct0w/edit?usp=share_link"",""พะเยา!J581"")+IMPORTRANGE(""https://docs.google.com/spreadsheets/d/1Y"&amp;"9LPKx95PyL5OKy09d-KbKJSuuEZCFdkhYjwC0XQjBA/edit?usp=share_link"",""พิจิตร!J581"")+IMPORTRANGE(""https://docs.google.com/spreadsheets/d/16OMuOwy2eVqZcYWOouQtTpa8X1L23h4660uVHc0C8os/edit?usp=share_link"",""พิษณุโลก!J581"")+IMPORTRANGE(""https://docs.google."&amp;"com/spreadsheets/d/1GfgTldLG6k77HXaMQzaafODklYuucJZQNs_GAPEfZyY/edit?usp=share_link"",""เพชรบูรณ์!J581"")+IMPORTRANGE(""https://docs.google.com/spreadsheets/d/1gvTMYAnm7v1yG1BKWFtr0DnaTsq59oW9dwWvFgq6hs0/edit?usp=share_link"",""แพร่!J581"")+IMPORTRANGE("""&amp;"https://docs.google.com/spreadsheets/d/1Wbcosgy-Xa1xXUArJSOenub6EfZHUSzc_bpJFWwQUf0/edit?usp=share_link"",""แม่ฮ่องสอน!J581"")+IMPORTRANGE(""https://docs.google.com/spreadsheets/d/1p7ERhsr0qZeSn-KSOdeHS9r0heI-lHtkcn2OH7hP0jQ/edit?usp=share_link"",""ลำปาง!"&amp;"J581"")+IMPORTRANGE(""https://docs.google.com/spreadsheets/d/1-uUXvimVhiU2U0bMN-xi2te0tS4X7DI2GLPnMjzl8cA/edit?usp=share_link"",""ลำพูน!J581"")+IMPORTRANGE(""https://docs.google.com/spreadsheets/d/17HrOaa5pBUI1onckFfumXB8xlg35qb2uBAFfF1D-Myo/edit?usp=shar"&amp;"e_link"",""สุโขทัย!J581"")+IMPORTRANGE(""https://docs.google.com/spreadsheets/d/1ubs5cl16eYL9gHbdHTJtmtYb9MGzHBs7CAphn8kNCgM/edit?usp=share_link"",""อุตรดิตถ์!J581"")+IMPORTRANGE(""https://docs.google.com/spreadsheets/d/1kII0BjS6CtVrBvI8IrytgPdxDrlyQDyigz"&amp;"MsohRtDMs/edit?usp=share_link"",""อุทัยธานี!J581"")
"),0)</f>
        <v>0</v>
      </c>
      <c r="K581" s="163"/>
      <c r="L581" s="163"/>
      <c r="M581" s="163"/>
      <c r="N581" s="163"/>
      <c r="O581" s="163"/>
      <c r="P581" s="163"/>
      <c r="Q581" s="542"/>
      <c r="R581" s="542"/>
      <c r="S581" s="542"/>
      <c r="T581" s="542"/>
      <c r="U581" s="542"/>
      <c r="V581" s="542"/>
      <c r="W581" s="542"/>
      <c r="X581" s="542"/>
      <c r="Y581" s="542"/>
      <c r="Z581" s="542"/>
    </row>
    <row r="582" spans="1:26" ht="19.5">
      <c r="A582" s="573"/>
      <c r="B582" s="574"/>
      <c r="C582" s="574"/>
      <c r="D582" s="187" t="s">
        <v>246</v>
      </c>
      <c r="E582" s="586"/>
      <c r="F582" s="586"/>
      <c r="G582" s="175"/>
      <c r="H582" s="182" t="s">
        <v>46</v>
      </c>
      <c r="I582" s="162"/>
      <c r="J582" s="194">
        <f t="shared" ref="J582:J583" ca="1" si="290">J584+J586</f>
        <v>244.79999999999998</v>
      </c>
      <c r="K582" s="380"/>
      <c r="L582" s="163"/>
      <c r="M582" s="163"/>
      <c r="N582" s="163"/>
      <c r="O582" s="163"/>
      <c r="P582" s="163"/>
      <c r="Q582" s="542"/>
      <c r="R582" s="542"/>
      <c r="S582" s="542"/>
      <c r="T582" s="542"/>
      <c r="U582" s="542"/>
      <c r="V582" s="542"/>
      <c r="W582" s="542"/>
      <c r="X582" s="542"/>
      <c r="Y582" s="542"/>
      <c r="Z582" s="542"/>
    </row>
    <row r="583" spans="1:26" ht="19.5">
      <c r="A583" s="573"/>
      <c r="B583" s="574"/>
      <c r="C583" s="574"/>
      <c r="D583" s="574"/>
      <c r="E583" s="586"/>
      <c r="F583" s="586"/>
      <c r="G583" s="175"/>
      <c r="H583" s="182" t="s">
        <v>34</v>
      </c>
      <c r="I583" s="162"/>
      <c r="J583" s="194">
        <f t="shared" ca="1" si="290"/>
        <v>67</v>
      </c>
      <c r="K583" s="380"/>
      <c r="L583" s="163"/>
      <c r="M583" s="163"/>
      <c r="N583" s="163"/>
      <c r="O583" s="163"/>
      <c r="P583" s="163"/>
      <c r="Q583" s="542"/>
      <c r="R583" s="542"/>
      <c r="S583" s="542"/>
      <c r="T583" s="542"/>
      <c r="U583" s="542"/>
      <c r="V583" s="542"/>
      <c r="W583" s="542"/>
      <c r="X583" s="542"/>
      <c r="Y583" s="542"/>
      <c r="Z583" s="542"/>
    </row>
    <row r="584" spans="1:26" ht="18.75">
      <c r="A584" s="573"/>
      <c r="B584" s="574"/>
      <c r="C584" s="574"/>
      <c r="D584" s="574"/>
      <c r="E584" s="187" t="s">
        <v>247</v>
      </c>
      <c r="F584" s="586"/>
      <c r="G584" s="175"/>
      <c r="H584" s="182" t="s">
        <v>46</v>
      </c>
      <c r="I584" s="162"/>
      <c r="J584" s="183">
        <f ca="1">IFERROR(__xludf.DUMMYFUNCTION("IMPORTRANGE(""https://docs.google.com/spreadsheets/d/1KxicF4apzSqm0-jIpmueT4kyZtE-Cwn5zskl7GD4loQ/edit?usp=share_link"",""กำแพงเพชร!J584"")+IMPORTRANGE(""https://docs.google.com/spreadsheets/d/1ZNYWeiFoFA1K1U4xKWqRX29MBvEyRHXORjo734Gnq_c/edit?usp=share_li"&amp;"nk"",""เชียงราย!J584"")
+IMPORTRANGE(""https://docs.google.com/spreadsheets/d/1Jgv0Y7YlHDtsiDawwp-uvifEJ8HVaSn0k2aGHG8-hwM/edit?usp=share_link"",""เชียงใหม่!J584"")+IMPORTRANGE(""https://docs.google.com/spreadsheets/d/1JWG2rZePOz9pe-f-ObA-yDr0VoOX2kSb0qIi"&amp;"x2mTUo8/edit?usp=share_link"",""ตาก!J584"")+IMPORTRANGE(""https://docs.google.com/spreadsheets/d/10nSRjK08hx8Y6HgSOQKNw81lyY46Zc7U_Cj72hBMp9U/edit?usp=share_link"",""นครสวรรค์!J584"")+IMPORTRANGE(""https://docs.google.com/spreadsheets/d/1gFVb7qd7amutrIxAA"&amp;"oM7lcy35hllxznovot8lyOfvDo/edit?usp=share_link"",""น่าน!J584"")+IMPORTRANGE(""https://docs.google.com/spreadsheets/d/1K0Aa9s-6EuHE5M0FG1F9aHLXRCOV917xvycTdLdct0w/edit?usp=share_link"",""พะเยา!J584"")+IMPORTRANGE(""https://docs.google.com/spreadsheets/d/1Y"&amp;"9LPKx95PyL5OKy09d-KbKJSuuEZCFdkhYjwC0XQjBA/edit?usp=share_link"",""พิจิตร!J584"")+IMPORTRANGE(""https://docs.google.com/spreadsheets/d/16OMuOwy2eVqZcYWOouQtTpa8X1L23h4660uVHc0C8os/edit?usp=share_link"",""พิษณุโลก!J584"")+IMPORTRANGE(""https://docs.google."&amp;"com/spreadsheets/d/1GfgTldLG6k77HXaMQzaafODklYuucJZQNs_GAPEfZyY/edit?usp=share_link"",""เพชรบูรณ์!J584"")+IMPORTRANGE(""https://docs.google.com/spreadsheets/d/1gvTMYAnm7v1yG1BKWFtr0DnaTsq59oW9dwWvFgq6hs0/edit?usp=share_link"",""แพร่!J584"")+IMPORTRANGE("""&amp;"https://docs.google.com/spreadsheets/d/1Wbcosgy-Xa1xXUArJSOenub6EfZHUSzc_bpJFWwQUf0/edit?usp=share_link"",""แม่ฮ่องสอน!J584"")+IMPORTRANGE(""https://docs.google.com/spreadsheets/d/1p7ERhsr0qZeSn-KSOdeHS9r0heI-lHtkcn2OH7hP0jQ/edit?usp=share_link"",""ลำปาง!"&amp;"J584"")+IMPORTRANGE(""https://docs.google.com/spreadsheets/d/1-uUXvimVhiU2U0bMN-xi2te0tS4X7DI2GLPnMjzl8cA/edit?usp=share_link"",""ลำพูน!J584"")+IMPORTRANGE(""https://docs.google.com/spreadsheets/d/17HrOaa5pBUI1onckFfumXB8xlg35qb2uBAFfF1D-Myo/edit?usp=shar"&amp;"e_link"",""สุโขทัย!J584"")+IMPORTRANGE(""https://docs.google.com/spreadsheets/d/1ubs5cl16eYL9gHbdHTJtmtYb9MGzHBs7CAphn8kNCgM/edit?usp=share_link"",""อุตรดิตถ์!J584"")+IMPORTRANGE(""https://docs.google.com/spreadsheets/d/1kII0BjS6CtVrBvI8IrytgPdxDrlyQDyigz"&amp;"MsohRtDMs/edit?usp=share_link"",""อุทัยธานี!J584"")
"),243.7)</f>
        <v>243.7</v>
      </c>
      <c r="K584" s="163"/>
      <c r="L584" s="163"/>
      <c r="M584" s="163"/>
      <c r="N584" s="163"/>
      <c r="O584" s="163"/>
      <c r="P584" s="163"/>
      <c r="Q584" s="542"/>
      <c r="R584" s="542"/>
      <c r="S584" s="542"/>
      <c r="T584" s="542"/>
      <c r="U584" s="542"/>
      <c r="V584" s="542"/>
      <c r="W584" s="542"/>
      <c r="X584" s="542"/>
      <c r="Y584" s="542"/>
      <c r="Z584" s="542"/>
    </row>
    <row r="585" spans="1:26" ht="18.75">
      <c r="A585" s="573"/>
      <c r="B585" s="574"/>
      <c r="C585" s="574"/>
      <c r="D585" s="574"/>
      <c r="E585" s="586"/>
      <c r="F585" s="586"/>
      <c r="G585" s="175"/>
      <c r="H585" s="182" t="s">
        <v>34</v>
      </c>
      <c r="I585" s="162"/>
      <c r="J585" s="183">
        <f ca="1">IFERROR(__xludf.DUMMYFUNCTION("IMPORTRANGE(""https://docs.google.com/spreadsheets/d/1KxicF4apzSqm0-jIpmueT4kyZtE-Cwn5zskl7GD4loQ/edit?usp=share_link"",""กำแพงเพชร!J585"")+IMPORTRANGE(""https://docs.google.com/spreadsheets/d/1ZNYWeiFoFA1K1U4xKWqRX29MBvEyRHXORjo734Gnq_c/edit?usp=share_li"&amp;"nk"",""เชียงราย!J585"")
+IMPORTRANGE(""https://docs.google.com/spreadsheets/d/1Jgv0Y7YlHDtsiDawwp-uvifEJ8HVaSn0k2aGHG8-hwM/edit?usp=share_link"",""เชียงใหม่!J585"")+IMPORTRANGE(""https://docs.google.com/spreadsheets/d/1JWG2rZePOz9pe-f-ObA-yDr0VoOX2kSb0qIi"&amp;"x2mTUo8/edit?usp=share_link"",""ตาก!J585"")+IMPORTRANGE(""https://docs.google.com/spreadsheets/d/10nSRjK08hx8Y6HgSOQKNw81lyY46Zc7U_Cj72hBMp9U/edit?usp=share_link"",""นครสวรรค์!J585"")+IMPORTRANGE(""https://docs.google.com/spreadsheets/d/1gFVb7qd7amutrIxAA"&amp;"oM7lcy35hllxznovot8lyOfvDo/edit?usp=share_link"",""น่าน!J585"")+IMPORTRANGE(""https://docs.google.com/spreadsheets/d/1K0Aa9s-6EuHE5M0FG1F9aHLXRCOV917xvycTdLdct0w/edit?usp=share_link"",""พะเยา!J585"")+IMPORTRANGE(""https://docs.google.com/spreadsheets/d/1Y"&amp;"9LPKx95PyL5OKy09d-KbKJSuuEZCFdkhYjwC0XQjBA/edit?usp=share_link"",""พิจิตร!J585"")+IMPORTRANGE(""https://docs.google.com/spreadsheets/d/16OMuOwy2eVqZcYWOouQtTpa8X1L23h4660uVHc0C8os/edit?usp=share_link"",""พิษณุโลก!J585"")+IMPORTRANGE(""https://docs.google."&amp;"com/spreadsheets/d/1GfgTldLG6k77HXaMQzaafODklYuucJZQNs_GAPEfZyY/edit?usp=share_link"",""เพชรบูรณ์!J585"")+IMPORTRANGE(""https://docs.google.com/spreadsheets/d/1gvTMYAnm7v1yG1BKWFtr0DnaTsq59oW9dwWvFgq6hs0/edit?usp=share_link"",""แพร่!J585"")+IMPORTRANGE("""&amp;"https://docs.google.com/spreadsheets/d/1Wbcosgy-Xa1xXUArJSOenub6EfZHUSzc_bpJFWwQUf0/edit?usp=share_link"",""แม่ฮ่องสอน!J585"")+IMPORTRANGE(""https://docs.google.com/spreadsheets/d/1p7ERhsr0qZeSn-KSOdeHS9r0heI-lHtkcn2OH7hP0jQ/edit?usp=share_link"",""ลำปาง!"&amp;"J585"")+IMPORTRANGE(""https://docs.google.com/spreadsheets/d/1-uUXvimVhiU2U0bMN-xi2te0tS4X7DI2GLPnMjzl8cA/edit?usp=share_link"",""ลำพูน!J585"")+IMPORTRANGE(""https://docs.google.com/spreadsheets/d/17HrOaa5pBUI1onckFfumXB8xlg35qb2uBAFfF1D-Myo/edit?usp=shar"&amp;"e_link"",""สุโขทัย!J585"")+IMPORTRANGE(""https://docs.google.com/spreadsheets/d/1ubs5cl16eYL9gHbdHTJtmtYb9MGzHBs7CAphn8kNCgM/edit?usp=share_link"",""อุตรดิตถ์!J585"")+IMPORTRANGE(""https://docs.google.com/spreadsheets/d/1kII0BjS6CtVrBvI8IrytgPdxDrlyQDyigz"&amp;"MsohRtDMs/edit?usp=share_link"",""อุทัยธานี!J585"")
"),66)</f>
        <v>66</v>
      </c>
      <c r="K585" s="163"/>
      <c r="L585" s="163"/>
      <c r="M585" s="163"/>
      <c r="N585" s="163"/>
      <c r="O585" s="163"/>
      <c r="P585" s="163"/>
      <c r="Q585" s="542"/>
      <c r="R585" s="542"/>
      <c r="S585" s="542"/>
      <c r="T585" s="542"/>
      <c r="U585" s="542"/>
      <c r="V585" s="542"/>
      <c r="W585" s="542"/>
      <c r="X585" s="542"/>
      <c r="Y585" s="542"/>
      <c r="Z585" s="542"/>
    </row>
    <row r="586" spans="1:26" ht="18.75">
      <c r="A586" s="573"/>
      <c r="B586" s="574"/>
      <c r="C586" s="574"/>
      <c r="D586" s="574"/>
      <c r="E586" s="187" t="s">
        <v>248</v>
      </c>
      <c r="F586" s="586"/>
      <c r="G586" s="175"/>
      <c r="H586" s="182" t="s">
        <v>46</v>
      </c>
      <c r="I586" s="162"/>
      <c r="J586" s="183">
        <f ca="1">IFERROR(__xludf.DUMMYFUNCTION("IMPORTRANGE(""https://docs.google.com/spreadsheets/d/1KxicF4apzSqm0-jIpmueT4kyZtE-Cwn5zskl7GD4loQ/edit?usp=share_link"",""กำแพงเพชร!J586"")+IMPORTRANGE(""https://docs.google.com/spreadsheets/d/1ZNYWeiFoFA1K1U4xKWqRX29MBvEyRHXORjo734Gnq_c/edit?usp=share_li"&amp;"nk"",""เชียงราย!J586"")
+IMPORTRANGE(""https://docs.google.com/spreadsheets/d/1Jgv0Y7YlHDtsiDawwp-uvifEJ8HVaSn0k2aGHG8-hwM/edit?usp=share_link"",""เชียงใหม่!J586"")+IMPORTRANGE(""https://docs.google.com/spreadsheets/d/1JWG2rZePOz9pe-f-ObA-yDr0VoOX2kSb0qIi"&amp;"x2mTUo8/edit?usp=share_link"",""ตาก!J586"")+IMPORTRANGE(""https://docs.google.com/spreadsheets/d/10nSRjK08hx8Y6HgSOQKNw81lyY46Zc7U_Cj72hBMp9U/edit?usp=share_link"",""นครสวรรค์!J586"")+IMPORTRANGE(""https://docs.google.com/spreadsheets/d/1gFVb7qd7amutrIxAA"&amp;"oM7lcy35hllxznovot8lyOfvDo/edit?usp=share_link"",""น่าน!J586"")+IMPORTRANGE(""https://docs.google.com/spreadsheets/d/1K0Aa9s-6EuHE5M0FG1F9aHLXRCOV917xvycTdLdct0w/edit?usp=share_link"",""พะเยา!J586"")+IMPORTRANGE(""https://docs.google.com/spreadsheets/d/1Y"&amp;"9LPKx95PyL5OKy09d-KbKJSuuEZCFdkhYjwC0XQjBA/edit?usp=share_link"",""พิจิตร!J586"")+IMPORTRANGE(""https://docs.google.com/spreadsheets/d/16OMuOwy2eVqZcYWOouQtTpa8X1L23h4660uVHc0C8os/edit?usp=share_link"",""พิษณุโลก!J586"")+IMPORTRANGE(""https://docs.google."&amp;"com/spreadsheets/d/1GfgTldLG6k77HXaMQzaafODklYuucJZQNs_GAPEfZyY/edit?usp=share_link"",""เพชรบูรณ์!J586"")+IMPORTRANGE(""https://docs.google.com/spreadsheets/d/1gvTMYAnm7v1yG1BKWFtr0DnaTsq59oW9dwWvFgq6hs0/edit?usp=share_link"",""แพร่!J586"")+IMPORTRANGE("""&amp;"https://docs.google.com/spreadsheets/d/1Wbcosgy-Xa1xXUArJSOenub6EfZHUSzc_bpJFWwQUf0/edit?usp=share_link"",""แม่ฮ่องสอน!J586"")+IMPORTRANGE(""https://docs.google.com/spreadsheets/d/1p7ERhsr0qZeSn-KSOdeHS9r0heI-lHtkcn2OH7hP0jQ/edit?usp=share_link"",""ลำปาง!"&amp;"J586"")+IMPORTRANGE(""https://docs.google.com/spreadsheets/d/1-uUXvimVhiU2U0bMN-xi2te0tS4X7DI2GLPnMjzl8cA/edit?usp=share_link"",""ลำพูน!J586"")+IMPORTRANGE(""https://docs.google.com/spreadsheets/d/17HrOaa5pBUI1onckFfumXB8xlg35qb2uBAFfF1D-Myo/edit?usp=shar"&amp;"e_link"",""สุโขทัย!J586"")+IMPORTRANGE(""https://docs.google.com/spreadsheets/d/1ubs5cl16eYL9gHbdHTJtmtYb9MGzHBs7CAphn8kNCgM/edit?usp=share_link"",""อุตรดิตถ์!J586"")+IMPORTRANGE(""https://docs.google.com/spreadsheets/d/1kII0BjS6CtVrBvI8IrytgPdxDrlyQDyigz"&amp;"MsohRtDMs/edit?usp=share_link"",""อุทัยธานี!J586"")
"),1.1)</f>
        <v>1.1000000000000001</v>
      </c>
      <c r="K586" s="163"/>
      <c r="L586" s="163"/>
      <c r="M586" s="163"/>
      <c r="N586" s="163"/>
      <c r="O586" s="163"/>
      <c r="P586" s="163"/>
      <c r="Q586" s="542"/>
      <c r="R586" s="542"/>
      <c r="S586" s="542"/>
      <c r="T586" s="542"/>
      <c r="U586" s="542"/>
      <c r="V586" s="542"/>
      <c r="W586" s="542"/>
      <c r="X586" s="542"/>
      <c r="Y586" s="542"/>
      <c r="Z586" s="542"/>
    </row>
    <row r="587" spans="1:26" ht="18.75">
      <c r="A587" s="573"/>
      <c r="B587" s="574"/>
      <c r="C587" s="574"/>
      <c r="D587" s="574"/>
      <c r="E587" s="574"/>
      <c r="F587" s="586"/>
      <c r="G587" s="175"/>
      <c r="H587" s="182" t="s">
        <v>34</v>
      </c>
      <c r="I587" s="162"/>
      <c r="J587" s="183">
        <f ca="1">IFERROR(__xludf.DUMMYFUNCTION("IMPORTRANGE(""https://docs.google.com/spreadsheets/d/1KxicF4apzSqm0-jIpmueT4kyZtE-Cwn5zskl7GD4loQ/edit?usp=share_link"",""กำแพงเพชร!J587"")+IMPORTRANGE(""https://docs.google.com/spreadsheets/d/1ZNYWeiFoFA1K1U4xKWqRX29MBvEyRHXORjo734Gnq_c/edit?usp=share_li"&amp;"nk"",""เชียงราย!J587"")
+IMPORTRANGE(""https://docs.google.com/spreadsheets/d/1Jgv0Y7YlHDtsiDawwp-uvifEJ8HVaSn0k2aGHG8-hwM/edit?usp=share_link"",""เชียงใหม่!J587"")+IMPORTRANGE(""https://docs.google.com/spreadsheets/d/1JWG2rZePOz9pe-f-ObA-yDr0VoOX2kSb0qIi"&amp;"x2mTUo8/edit?usp=share_link"",""ตาก!J587"")+IMPORTRANGE(""https://docs.google.com/spreadsheets/d/10nSRjK08hx8Y6HgSOQKNw81lyY46Zc7U_Cj72hBMp9U/edit?usp=share_link"",""นครสวรรค์!J587"")+IMPORTRANGE(""https://docs.google.com/spreadsheets/d/1gFVb7qd7amutrIxAA"&amp;"oM7lcy35hllxznovot8lyOfvDo/edit?usp=share_link"",""น่าน!J587"")+IMPORTRANGE(""https://docs.google.com/spreadsheets/d/1K0Aa9s-6EuHE5M0FG1F9aHLXRCOV917xvycTdLdct0w/edit?usp=share_link"",""พะเยา!J587"")+IMPORTRANGE(""https://docs.google.com/spreadsheets/d/1Y"&amp;"9LPKx95PyL5OKy09d-KbKJSuuEZCFdkhYjwC0XQjBA/edit?usp=share_link"",""พิจิตร!J587"")+IMPORTRANGE(""https://docs.google.com/spreadsheets/d/16OMuOwy2eVqZcYWOouQtTpa8X1L23h4660uVHc0C8os/edit?usp=share_link"",""พิษณุโลก!J587"")+IMPORTRANGE(""https://docs.google."&amp;"com/spreadsheets/d/1GfgTldLG6k77HXaMQzaafODklYuucJZQNs_GAPEfZyY/edit?usp=share_link"",""เพชรบูรณ์!J587"")+IMPORTRANGE(""https://docs.google.com/spreadsheets/d/1gvTMYAnm7v1yG1BKWFtr0DnaTsq59oW9dwWvFgq6hs0/edit?usp=share_link"",""แพร่!J587"")+IMPORTRANGE("""&amp;"https://docs.google.com/spreadsheets/d/1Wbcosgy-Xa1xXUArJSOenub6EfZHUSzc_bpJFWwQUf0/edit?usp=share_link"",""แม่ฮ่องสอน!J587"")+IMPORTRANGE(""https://docs.google.com/spreadsheets/d/1p7ERhsr0qZeSn-KSOdeHS9r0heI-lHtkcn2OH7hP0jQ/edit?usp=share_link"",""ลำปาง!"&amp;"J587"")+IMPORTRANGE(""https://docs.google.com/spreadsheets/d/1-uUXvimVhiU2U0bMN-xi2te0tS4X7DI2GLPnMjzl8cA/edit?usp=share_link"",""ลำพูน!J587"")+IMPORTRANGE(""https://docs.google.com/spreadsheets/d/17HrOaa5pBUI1onckFfumXB8xlg35qb2uBAFfF1D-Myo/edit?usp=shar"&amp;"e_link"",""สุโขทัย!J587"")+IMPORTRANGE(""https://docs.google.com/spreadsheets/d/1ubs5cl16eYL9gHbdHTJtmtYb9MGzHBs7CAphn8kNCgM/edit?usp=share_link"",""อุตรดิตถ์!J587"")+IMPORTRANGE(""https://docs.google.com/spreadsheets/d/1kII0BjS6CtVrBvI8IrytgPdxDrlyQDyigz"&amp;"MsohRtDMs/edit?usp=share_link"",""อุทัยธานี!J587"")
"),1)</f>
        <v>1</v>
      </c>
      <c r="K587" s="163"/>
      <c r="L587" s="163"/>
      <c r="M587" s="163"/>
      <c r="N587" s="163"/>
      <c r="O587" s="163"/>
      <c r="P587" s="163"/>
      <c r="Q587" s="542"/>
      <c r="R587" s="542"/>
      <c r="S587" s="542"/>
      <c r="T587" s="542"/>
      <c r="U587" s="542"/>
      <c r="V587" s="542"/>
      <c r="W587" s="542"/>
      <c r="X587" s="542"/>
      <c r="Y587" s="542"/>
      <c r="Z587" s="542"/>
    </row>
    <row r="588" spans="1:26" ht="18.75">
      <c r="A588" s="573"/>
      <c r="B588" s="574"/>
      <c r="C588" s="574"/>
      <c r="D588" s="187" t="s">
        <v>249</v>
      </c>
      <c r="E588" s="586"/>
      <c r="F588" s="586"/>
      <c r="G588" s="175"/>
      <c r="H588" s="182" t="s">
        <v>46</v>
      </c>
      <c r="I588" s="162"/>
      <c r="J588" s="183">
        <f ca="1">IFERROR(__xludf.DUMMYFUNCTION("IMPORTRANGE(""https://docs.google.com/spreadsheets/d/1KxicF4apzSqm0-jIpmueT4kyZtE-Cwn5zskl7GD4loQ/edit?usp=share_link"",""กำแพงเพชร!J588"")+IMPORTRANGE(""https://docs.google.com/spreadsheets/d/1ZNYWeiFoFA1K1U4xKWqRX29MBvEyRHXORjo734Gnq_c/edit?usp=share_li"&amp;"nk"",""เชียงราย!J588"")
+IMPORTRANGE(""https://docs.google.com/spreadsheets/d/1Jgv0Y7YlHDtsiDawwp-uvifEJ8HVaSn0k2aGHG8-hwM/edit?usp=share_link"",""เชียงใหม่!J588"")+IMPORTRANGE(""https://docs.google.com/spreadsheets/d/1JWG2rZePOz9pe-f-ObA-yDr0VoOX2kSb0qIi"&amp;"x2mTUo8/edit?usp=share_link"",""ตาก!J588"")+IMPORTRANGE(""https://docs.google.com/spreadsheets/d/10nSRjK08hx8Y6HgSOQKNw81lyY46Zc7U_Cj72hBMp9U/edit?usp=share_link"",""นครสวรรค์!J588"")+IMPORTRANGE(""https://docs.google.com/spreadsheets/d/1gFVb7qd7amutrIxAA"&amp;"oM7lcy35hllxznovot8lyOfvDo/edit?usp=share_link"",""น่าน!J588"")+IMPORTRANGE(""https://docs.google.com/spreadsheets/d/1K0Aa9s-6EuHE5M0FG1F9aHLXRCOV917xvycTdLdct0w/edit?usp=share_link"",""พะเยา!J588"")+IMPORTRANGE(""https://docs.google.com/spreadsheets/d/1Y"&amp;"9LPKx95PyL5OKy09d-KbKJSuuEZCFdkhYjwC0XQjBA/edit?usp=share_link"",""พิจิตร!J588"")+IMPORTRANGE(""https://docs.google.com/spreadsheets/d/16OMuOwy2eVqZcYWOouQtTpa8X1L23h4660uVHc0C8os/edit?usp=share_link"",""พิษณุโลก!J588"")+IMPORTRANGE(""https://docs.google."&amp;"com/spreadsheets/d/1GfgTldLG6k77HXaMQzaafODklYuucJZQNs_GAPEfZyY/edit?usp=share_link"",""เพชรบูรณ์!J588"")+IMPORTRANGE(""https://docs.google.com/spreadsheets/d/1gvTMYAnm7v1yG1BKWFtr0DnaTsq59oW9dwWvFgq6hs0/edit?usp=share_link"",""แพร่!J588"")+IMPORTRANGE("""&amp;"https://docs.google.com/spreadsheets/d/1Wbcosgy-Xa1xXUArJSOenub6EfZHUSzc_bpJFWwQUf0/edit?usp=share_link"",""แม่ฮ่องสอน!J588"")+IMPORTRANGE(""https://docs.google.com/spreadsheets/d/1p7ERhsr0qZeSn-KSOdeHS9r0heI-lHtkcn2OH7hP0jQ/edit?usp=share_link"",""ลำปาง!"&amp;"J588"")+IMPORTRANGE(""https://docs.google.com/spreadsheets/d/1-uUXvimVhiU2U0bMN-xi2te0tS4X7DI2GLPnMjzl8cA/edit?usp=share_link"",""ลำพูน!J588"")+IMPORTRANGE(""https://docs.google.com/spreadsheets/d/17HrOaa5pBUI1onckFfumXB8xlg35qb2uBAFfF1D-Myo/edit?usp=shar"&amp;"e_link"",""สุโขทัย!J588"")+IMPORTRANGE(""https://docs.google.com/spreadsheets/d/1ubs5cl16eYL9gHbdHTJtmtYb9MGzHBs7CAphn8kNCgM/edit?usp=share_link"",""อุตรดิตถ์!J588"")+IMPORTRANGE(""https://docs.google.com/spreadsheets/d/1kII0BjS6CtVrBvI8IrytgPdxDrlyQDyigz"&amp;"MsohRtDMs/edit?usp=share_link"",""อุทัยธานี!J588"")
"),0)</f>
        <v>0</v>
      </c>
      <c r="K588" s="163"/>
      <c r="L588" s="163"/>
      <c r="M588" s="163"/>
      <c r="N588" s="163"/>
      <c r="O588" s="163"/>
      <c r="P588" s="163"/>
      <c r="Q588" s="542"/>
      <c r="R588" s="542"/>
      <c r="S588" s="542"/>
      <c r="T588" s="542"/>
      <c r="U588" s="542"/>
      <c r="V588" s="542"/>
      <c r="W588" s="542"/>
      <c r="X588" s="542"/>
      <c r="Y588" s="542"/>
      <c r="Z588" s="542"/>
    </row>
    <row r="589" spans="1:26" ht="18.75">
      <c r="A589" s="573"/>
      <c r="B589" s="574"/>
      <c r="C589" s="574"/>
      <c r="D589" s="574"/>
      <c r="E589" s="574"/>
      <c r="F589" s="586"/>
      <c r="G589" s="175"/>
      <c r="H589" s="182" t="s">
        <v>34</v>
      </c>
      <c r="I589" s="162"/>
      <c r="J589" s="183">
        <f ca="1">IFERROR(__xludf.DUMMYFUNCTION("IMPORTRANGE(""https://docs.google.com/spreadsheets/d/1KxicF4apzSqm0-jIpmueT4kyZtE-Cwn5zskl7GD4loQ/edit?usp=share_link"",""กำแพงเพชร!J589"")+IMPORTRANGE(""https://docs.google.com/spreadsheets/d/1ZNYWeiFoFA1K1U4xKWqRX29MBvEyRHXORjo734Gnq_c/edit?usp=share_li"&amp;"nk"",""เชียงราย!J589"")
+IMPORTRANGE(""https://docs.google.com/spreadsheets/d/1Jgv0Y7YlHDtsiDawwp-uvifEJ8HVaSn0k2aGHG8-hwM/edit?usp=share_link"",""เชียงใหม่!J589"")+IMPORTRANGE(""https://docs.google.com/spreadsheets/d/1JWG2rZePOz9pe-f-ObA-yDr0VoOX2kSb0qIi"&amp;"x2mTUo8/edit?usp=share_link"",""ตาก!J589"")+IMPORTRANGE(""https://docs.google.com/spreadsheets/d/10nSRjK08hx8Y6HgSOQKNw81lyY46Zc7U_Cj72hBMp9U/edit?usp=share_link"",""นครสวรรค์!J589"")+IMPORTRANGE(""https://docs.google.com/spreadsheets/d/1gFVb7qd7amutrIxAA"&amp;"oM7lcy35hllxznovot8lyOfvDo/edit?usp=share_link"",""น่าน!J589"")+IMPORTRANGE(""https://docs.google.com/spreadsheets/d/1K0Aa9s-6EuHE5M0FG1F9aHLXRCOV917xvycTdLdct0w/edit?usp=share_link"",""พะเยา!J589"")+IMPORTRANGE(""https://docs.google.com/spreadsheets/d/1Y"&amp;"9LPKx95PyL5OKy09d-KbKJSuuEZCFdkhYjwC0XQjBA/edit?usp=share_link"",""พิจิตร!J589"")+IMPORTRANGE(""https://docs.google.com/spreadsheets/d/16OMuOwy2eVqZcYWOouQtTpa8X1L23h4660uVHc0C8os/edit?usp=share_link"",""พิษณุโลก!J589"")+IMPORTRANGE(""https://docs.google."&amp;"com/spreadsheets/d/1GfgTldLG6k77HXaMQzaafODklYuucJZQNs_GAPEfZyY/edit?usp=share_link"",""เพชรบูรณ์!J589"")+IMPORTRANGE(""https://docs.google.com/spreadsheets/d/1gvTMYAnm7v1yG1BKWFtr0DnaTsq59oW9dwWvFgq6hs0/edit?usp=share_link"",""แพร่!J589"")+IMPORTRANGE("""&amp;"https://docs.google.com/spreadsheets/d/1Wbcosgy-Xa1xXUArJSOenub6EfZHUSzc_bpJFWwQUf0/edit?usp=share_link"",""แม่ฮ่องสอน!J589"")+IMPORTRANGE(""https://docs.google.com/spreadsheets/d/1p7ERhsr0qZeSn-KSOdeHS9r0heI-lHtkcn2OH7hP0jQ/edit?usp=share_link"",""ลำปาง!"&amp;"J589"")+IMPORTRANGE(""https://docs.google.com/spreadsheets/d/1-uUXvimVhiU2U0bMN-xi2te0tS4X7DI2GLPnMjzl8cA/edit?usp=share_link"",""ลำพูน!J589"")+IMPORTRANGE(""https://docs.google.com/spreadsheets/d/17HrOaa5pBUI1onckFfumXB8xlg35qb2uBAFfF1D-Myo/edit?usp=shar"&amp;"e_link"",""สุโขทัย!J589"")+IMPORTRANGE(""https://docs.google.com/spreadsheets/d/1ubs5cl16eYL9gHbdHTJtmtYb9MGzHBs7CAphn8kNCgM/edit?usp=share_link"",""อุตรดิตถ์!J589"")+IMPORTRANGE(""https://docs.google.com/spreadsheets/d/1kII0BjS6CtVrBvI8IrytgPdxDrlyQDyigz"&amp;"MsohRtDMs/edit?usp=share_link"",""อุทัยธานี!J589"")
"),0)</f>
        <v>0</v>
      </c>
      <c r="K589" s="163"/>
      <c r="L589" s="163"/>
      <c r="M589" s="163"/>
      <c r="N589" s="163"/>
      <c r="O589" s="163"/>
      <c r="P589" s="163"/>
      <c r="Q589" s="542"/>
      <c r="R589" s="542"/>
      <c r="S589" s="542"/>
      <c r="T589" s="542"/>
      <c r="U589" s="542"/>
      <c r="V589" s="542"/>
      <c r="W589" s="542"/>
      <c r="X589" s="542"/>
      <c r="Y589" s="542"/>
      <c r="Z589" s="542"/>
    </row>
    <row r="590" spans="1:26" ht="18.75">
      <c r="A590" s="573"/>
      <c r="B590" s="574"/>
      <c r="C590" s="574"/>
      <c r="D590" s="187" t="s">
        <v>250</v>
      </c>
      <c r="E590" s="586"/>
      <c r="F590" s="586"/>
      <c r="G590" s="175"/>
      <c r="H590" s="182" t="s">
        <v>46</v>
      </c>
      <c r="I590" s="162"/>
      <c r="J590" s="183">
        <f ca="1">IFERROR(__xludf.DUMMYFUNCTION("IMPORTRANGE(""https://docs.google.com/spreadsheets/d/1KxicF4apzSqm0-jIpmueT4kyZtE-Cwn5zskl7GD4loQ/edit?usp=share_link"",""กำแพงเพชร!J590"")+IMPORTRANGE(""https://docs.google.com/spreadsheets/d/1ZNYWeiFoFA1K1U4xKWqRX29MBvEyRHXORjo734Gnq_c/edit?usp=share_li"&amp;"nk"",""เชียงราย!J590"")
+IMPORTRANGE(""https://docs.google.com/spreadsheets/d/1Jgv0Y7YlHDtsiDawwp-uvifEJ8HVaSn0k2aGHG8-hwM/edit?usp=share_link"",""เชียงใหม่!J590"")+IMPORTRANGE(""https://docs.google.com/spreadsheets/d/1JWG2rZePOz9pe-f-ObA-yDr0VoOX2kSb0qIi"&amp;"x2mTUo8/edit?usp=share_link"",""ตาก!J590"")+IMPORTRANGE(""https://docs.google.com/spreadsheets/d/10nSRjK08hx8Y6HgSOQKNw81lyY46Zc7U_Cj72hBMp9U/edit?usp=share_link"",""นครสวรรค์!J590"")+IMPORTRANGE(""https://docs.google.com/spreadsheets/d/1gFVb7qd7amutrIxAA"&amp;"oM7lcy35hllxznovot8lyOfvDo/edit?usp=share_link"",""น่าน!J590"")+IMPORTRANGE(""https://docs.google.com/spreadsheets/d/1K0Aa9s-6EuHE5M0FG1F9aHLXRCOV917xvycTdLdct0w/edit?usp=share_link"",""พะเยา!J590"")+IMPORTRANGE(""https://docs.google.com/spreadsheets/d/1Y"&amp;"9LPKx95PyL5OKy09d-KbKJSuuEZCFdkhYjwC0XQjBA/edit?usp=share_link"",""พิจิตร!J590"")+IMPORTRANGE(""https://docs.google.com/spreadsheets/d/16OMuOwy2eVqZcYWOouQtTpa8X1L23h4660uVHc0C8os/edit?usp=share_link"",""พิษณุโลก!J590"")+IMPORTRANGE(""https://docs.google."&amp;"com/spreadsheets/d/1GfgTldLG6k77HXaMQzaafODklYuucJZQNs_GAPEfZyY/edit?usp=share_link"",""เพชรบูรณ์!J590"")+IMPORTRANGE(""https://docs.google.com/spreadsheets/d/1gvTMYAnm7v1yG1BKWFtr0DnaTsq59oW9dwWvFgq6hs0/edit?usp=share_link"",""แพร่!J590"")+IMPORTRANGE("""&amp;"https://docs.google.com/spreadsheets/d/1Wbcosgy-Xa1xXUArJSOenub6EfZHUSzc_bpJFWwQUf0/edit?usp=share_link"",""แม่ฮ่องสอน!J590"")+IMPORTRANGE(""https://docs.google.com/spreadsheets/d/1p7ERhsr0qZeSn-KSOdeHS9r0heI-lHtkcn2OH7hP0jQ/edit?usp=share_link"",""ลำปาง!"&amp;"J590"")+IMPORTRANGE(""https://docs.google.com/spreadsheets/d/1-uUXvimVhiU2U0bMN-xi2te0tS4X7DI2GLPnMjzl8cA/edit?usp=share_link"",""ลำพูน!J590"")+IMPORTRANGE(""https://docs.google.com/spreadsheets/d/17HrOaa5pBUI1onckFfumXB8xlg35qb2uBAFfF1D-Myo/edit?usp=shar"&amp;"e_link"",""สุโขทัย!J590"")+IMPORTRANGE(""https://docs.google.com/spreadsheets/d/1ubs5cl16eYL9gHbdHTJtmtYb9MGzHBs7CAphn8kNCgM/edit?usp=share_link"",""อุตรดิตถ์!J590"")+IMPORTRANGE(""https://docs.google.com/spreadsheets/d/1kII0BjS6CtVrBvI8IrytgPdxDrlyQDyigz"&amp;"MsohRtDMs/edit?usp=share_link"",""อุทัยธานี!J590"")
"),0)</f>
        <v>0</v>
      </c>
      <c r="K590" s="163"/>
      <c r="L590" s="163"/>
      <c r="M590" s="163"/>
      <c r="N590" s="163"/>
      <c r="O590" s="163"/>
      <c r="P590" s="163"/>
      <c r="Q590" s="542"/>
      <c r="R590" s="542"/>
      <c r="S590" s="542"/>
      <c r="T590" s="542"/>
      <c r="U590" s="542"/>
      <c r="V590" s="542"/>
      <c r="W590" s="542"/>
      <c r="X590" s="542"/>
      <c r="Y590" s="542"/>
      <c r="Z590" s="542"/>
    </row>
    <row r="591" spans="1:26" ht="18.75">
      <c r="A591" s="662"/>
      <c r="B591" s="663"/>
      <c r="C591" s="663"/>
      <c r="D591" s="663"/>
      <c r="E591" s="542"/>
      <c r="F591" s="542"/>
      <c r="G591" s="664"/>
      <c r="H591" s="665" t="s">
        <v>34</v>
      </c>
      <c r="I591" s="666"/>
      <c r="J591" s="667">
        <f ca="1">IFERROR(__xludf.DUMMYFUNCTION("IMPORTRANGE(""https://docs.google.com/spreadsheets/d/1KxicF4apzSqm0-jIpmueT4kyZtE-Cwn5zskl7GD4loQ/edit?usp=share_link"",""กำแพงเพชร!J591"")+IMPORTRANGE(""https://docs.google.com/spreadsheets/d/1ZNYWeiFoFA1K1U4xKWqRX29MBvEyRHXORjo734Gnq_c/edit?usp=share_li"&amp;"nk"",""เชียงราย!J591"")
+IMPORTRANGE(""https://docs.google.com/spreadsheets/d/1Jgv0Y7YlHDtsiDawwp-uvifEJ8HVaSn0k2aGHG8-hwM/edit?usp=share_link"",""เชียงใหม่!J591"")+IMPORTRANGE(""https://docs.google.com/spreadsheets/d/1JWG2rZePOz9pe-f-ObA-yDr0VoOX2kSb0qIi"&amp;"x2mTUo8/edit?usp=share_link"",""ตาก!J591"")+IMPORTRANGE(""https://docs.google.com/spreadsheets/d/10nSRjK08hx8Y6HgSOQKNw81lyY46Zc7U_Cj72hBMp9U/edit?usp=share_link"",""นครสวรรค์!J591"")+IMPORTRANGE(""https://docs.google.com/spreadsheets/d/1gFVb7qd7amutrIxAA"&amp;"oM7lcy35hllxznovot8lyOfvDo/edit?usp=share_link"",""น่าน!J591"")+IMPORTRANGE(""https://docs.google.com/spreadsheets/d/1K0Aa9s-6EuHE5M0FG1F9aHLXRCOV917xvycTdLdct0w/edit?usp=share_link"",""พะเยา!J591"")+IMPORTRANGE(""https://docs.google.com/spreadsheets/d/1Y"&amp;"9LPKx95PyL5OKy09d-KbKJSuuEZCFdkhYjwC0XQjBA/edit?usp=share_link"",""พิจิตร!J591"")+IMPORTRANGE(""https://docs.google.com/spreadsheets/d/16OMuOwy2eVqZcYWOouQtTpa8X1L23h4660uVHc0C8os/edit?usp=share_link"",""พิษณุโลก!J591"")+IMPORTRANGE(""https://docs.google."&amp;"com/spreadsheets/d/1GfgTldLG6k77HXaMQzaafODklYuucJZQNs_GAPEfZyY/edit?usp=share_link"",""เพชรบูรณ์!J591"")+IMPORTRANGE(""https://docs.google.com/spreadsheets/d/1gvTMYAnm7v1yG1BKWFtr0DnaTsq59oW9dwWvFgq6hs0/edit?usp=share_link"",""แพร่!J591"")+IMPORTRANGE("""&amp;"https://docs.google.com/spreadsheets/d/1Wbcosgy-Xa1xXUArJSOenub6EfZHUSzc_bpJFWwQUf0/edit?usp=share_link"",""แม่ฮ่องสอน!J591"")+IMPORTRANGE(""https://docs.google.com/spreadsheets/d/1p7ERhsr0qZeSn-KSOdeHS9r0heI-lHtkcn2OH7hP0jQ/edit?usp=share_link"",""ลำปาง!"&amp;"J591"")+IMPORTRANGE(""https://docs.google.com/spreadsheets/d/1-uUXvimVhiU2U0bMN-xi2te0tS4X7DI2GLPnMjzl8cA/edit?usp=share_link"",""ลำพูน!J591"")+IMPORTRANGE(""https://docs.google.com/spreadsheets/d/17HrOaa5pBUI1onckFfumXB8xlg35qb2uBAFfF1D-Myo/edit?usp=shar"&amp;"e_link"",""สุโขทัย!J591"")+IMPORTRANGE(""https://docs.google.com/spreadsheets/d/1ubs5cl16eYL9gHbdHTJtmtYb9MGzHBs7CAphn8kNCgM/edit?usp=share_link"",""อุตรดิตถ์!J591"")+IMPORTRANGE(""https://docs.google.com/spreadsheets/d/1kII0BjS6CtVrBvI8IrytgPdxDrlyQDyigz"&amp;"MsohRtDMs/edit?usp=share_link"",""อุทัยธานี!J591"")
"),0)</f>
        <v>0</v>
      </c>
      <c r="K591" s="668"/>
      <c r="L591" s="668"/>
      <c r="M591" s="668"/>
      <c r="N591" s="668"/>
      <c r="O591" s="668"/>
      <c r="P591" s="668"/>
      <c r="Q591" s="542"/>
      <c r="R591" s="542"/>
      <c r="S591" s="542"/>
      <c r="T591" s="542"/>
      <c r="U591" s="542"/>
      <c r="V591" s="542"/>
      <c r="W591" s="542"/>
      <c r="X591" s="542"/>
      <c r="Y591" s="542"/>
      <c r="Z591" s="542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69">
        <f t="shared" ref="I592:J592" ca="1" si="291">I593</f>
        <v>63469.03</v>
      </c>
      <c r="J592" s="642">
        <f t="shared" ca="1" si="291"/>
        <v>6221.49</v>
      </c>
      <c r="K592" s="643">
        <f t="shared" ref="K592:K594" ca="1" si="292">IF(I592&gt;0,J592*100/I592,0)</f>
        <v>9.8024028411967219</v>
      </c>
      <c r="L592" s="644"/>
      <c r="M592" s="644"/>
      <c r="N592" s="644"/>
      <c r="O592" s="644"/>
      <c r="P592" s="644"/>
      <c r="Q592" s="542"/>
      <c r="R592" s="542"/>
      <c r="S592" s="542"/>
      <c r="T592" s="542"/>
      <c r="U592" s="542"/>
      <c r="V592" s="542"/>
      <c r="W592" s="542"/>
      <c r="X592" s="542"/>
      <c r="Y592" s="542"/>
      <c r="Z592" s="542"/>
    </row>
    <row r="593" spans="1:26" ht="19.5">
      <c r="A593" s="573"/>
      <c r="B593" s="574"/>
      <c r="C593" s="589" t="s">
        <v>252</v>
      </c>
      <c r="D593" s="574"/>
      <c r="E593" s="574"/>
      <c r="F593" s="586"/>
      <c r="G593" s="175"/>
      <c r="H593" s="192" t="s">
        <v>46</v>
      </c>
      <c r="I593" s="670">
        <f ca="1">IFERROR(__xludf.DUMMYFUNCTION("IMPORTRANGE(""https://docs.google.com/spreadsheets/d/1KxicF4apzSqm0-jIpmueT4kyZtE-Cwn5zskl7GD4loQ/edit?usp=share_link"",""กำแพงเพชร!I593"")+IMPORTRANGE(""https://docs.google.com/spreadsheets/d/1ZNYWeiFoFA1K1U4xKWqRX29MBvEyRHXORjo734Gnq_c/edit?usp=share_li"&amp;"nk"",""เชียงราย!I593"")
+IMPORTRANGE(""https://docs.google.com/spreadsheets/d/1Jgv0Y7YlHDtsiDawwp-uvifEJ8HVaSn0k2aGHG8-hwM/edit?usp=share_link"",""เชียงใหม่!I593"")+IMPORTRANGE(""https://docs.google.com/spreadsheets/d/1JWG2rZePOz9pe-f-ObA-yDr0VoOX2kSb0qIi"&amp;"x2mTUo8/edit?usp=share_link"",""ตาก!I593"")+IMPORTRANGE(""https://docs.google.com/spreadsheets/d/10nSRjK08hx8Y6HgSOQKNw81lyY46Zc7U_Cj72hBMp9U/edit?usp=share_link"",""นครสวรรค์!I593"")+IMPORTRANGE(""https://docs.google.com/spreadsheets/d/1gFVb7qd7amutrIxAA"&amp;"oM7lcy35hllxznovot8lyOfvDo/edit?usp=share_link"",""น่าน!I593"")+IMPORTRANGE(""https://docs.google.com/spreadsheets/d/1K0Aa9s-6EuHE5M0FG1F9aHLXRCOV917xvycTdLdct0w/edit?usp=share_link"",""พะเยา!I593"")+IMPORTRANGE(""https://docs.google.com/spreadsheets/d/1Y"&amp;"9LPKx95PyL5OKy09d-KbKJSuuEZCFdkhYjwC0XQjBA/edit?usp=share_link"",""พิจิตร!I593"")+IMPORTRANGE(""https://docs.google.com/spreadsheets/d/16OMuOwy2eVqZcYWOouQtTpa8X1L23h4660uVHc0C8os/edit?usp=share_link"",""พิษณุโลก!I593"")+IMPORTRANGE(""https://docs.google."&amp;"com/spreadsheets/d/1GfgTldLG6k77HXaMQzaafODklYuucJZQNs_GAPEfZyY/edit?usp=share_link"",""เพชรบูรณ์!I593"")+IMPORTRANGE(""https://docs.google.com/spreadsheets/d/1gvTMYAnm7v1yG1BKWFtr0DnaTsq59oW9dwWvFgq6hs0/edit?usp=share_link"",""แพร่!I593"")+IMPORTRANGE("""&amp;"https://docs.google.com/spreadsheets/d/1Wbcosgy-Xa1xXUArJSOenub6EfZHUSzc_bpJFWwQUf0/edit?usp=share_link"",""แม่ฮ่องสอน!I593"")+IMPORTRANGE(""https://docs.google.com/spreadsheets/d/1p7ERhsr0qZeSn-KSOdeHS9r0heI-lHtkcn2OH7hP0jQ/edit?usp=share_link"",""ลำปาง!"&amp;"I593"")+IMPORTRANGE(""https://docs.google.com/spreadsheets/d/1-uUXvimVhiU2U0bMN-xi2te0tS4X7DI2GLPnMjzl8cA/edit?usp=share_link"",""ลำพูน!I593"")+IMPORTRANGE(""https://docs.google.com/spreadsheets/d/17HrOaa5pBUI1onckFfumXB8xlg35qb2uBAFfF1D-Myo/edit?usp=shar"&amp;"e_link"",""สุโขทัย!I593"")+IMPORTRANGE(""https://docs.google.com/spreadsheets/d/1ubs5cl16eYL9gHbdHTJtmtYb9MGzHBs7CAphn8kNCgM/edit?usp=share_link"",""อุตรดิตถ์!I593"")+IMPORTRANGE(""https://docs.google.com/spreadsheets/d/1kII0BjS6CtVrBvI8IrytgPdxDrlyQDyigz"&amp;"MsohRtDMs/edit?usp=share_link"",""อุทัยธานี!I593"")
"),63469.03)</f>
        <v>63469.03</v>
      </c>
      <c r="J593" s="193">
        <f t="shared" ref="J593:J594" ca="1" si="293">J595+J603+J609</f>
        <v>6221.49</v>
      </c>
      <c r="K593" s="380">
        <f t="shared" ca="1" si="292"/>
        <v>9.8024028411967219</v>
      </c>
      <c r="L593" s="163"/>
      <c r="M593" s="163"/>
      <c r="N593" s="163"/>
      <c r="O593" s="163"/>
      <c r="P593" s="163"/>
      <c r="Q593" s="542"/>
      <c r="R593" s="542"/>
      <c r="S593" s="542"/>
      <c r="T593" s="542"/>
      <c r="U593" s="542"/>
      <c r="V593" s="542"/>
      <c r="W593" s="542"/>
      <c r="X593" s="542"/>
      <c r="Y593" s="542"/>
      <c r="Z593" s="542"/>
    </row>
    <row r="594" spans="1:26" ht="19.5">
      <c r="A594" s="573"/>
      <c r="B594" s="574"/>
      <c r="C594" s="574"/>
      <c r="D594" s="574"/>
      <c r="E594" s="586"/>
      <c r="F594" s="586"/>
      <c r="G594" s="175"/>
      <c r="H594" s="192" t="s">
        <v>34</v>
      </c>
      <c r="I594" s="193">
        <f ca="1">IFERROR(__xludf.DUMMYFUNCTION("IMPORTRANGE(""https://docs.google.com/spreadsheets/d/1KxicF4apzSqm0-jIpmueT4kyZtE-Cwn5zskl7GD4loQ/edit?usp=share_link"",""กำแพงเพชร!I594"")+IMPORTRANGE(""https://docs.google.com/spreadsheets/d/1ZNYWeiFoFA1K1U4xKWqRX29MBvEyRHXORjo734Gnq_c/edit?usp=share_li"&amp;"nk"",""เชียงราย!I594"")
+IMPORTRANGE(""https://docs.google.com/spreadsheets/d/1Jgv0Y7YlHDtsiDawwp-uvifEJ8HVaSn0k2aGHG8-hwM/edit?usp=share_link"",""เชียงใหม่!I594"")+IMPORTRANGE(""https://docs.google.com/spreadsheets/d/1JWG2rZePOz9pe-f-ObA-yDr0VoOX2kSb0qIi"&amp;"x2mTUo8/edit?usp=share_link"",""ตาก!I594"")+IMPORTRANGE(""https://docs.google.com/spreadsheets/d/10nSRjK08hx8Y6HgSOQKNw81lyY46Zc7U_Cj72hBMp9U/edit?usp=share_link"",""นครสวรรค์!I594"")+IMPORTRANGE(""https://docs.google.com/spreadsheets/d/1gFVb7qd7amutrIxAA"&amp;"oM7lcy35hllxznovot8lyOfvDo/edit?usp=share_link"",""น่าน!I594"")+IMPORTRANGE(""https://docs.google.com/spreadsheets/d/1K0Aa9s-6EuHE5M0FG1F9aHLXRCOV917xvycTdLdct0w/edit?usp=share_link"",""พะเยา!I594"")+IMPORTRANGE(""https://docs.google.com/spreadsheets/d/1Y"&amp;"9LPKx95PyL5OKy09d-KbKJSuuEZCFdkhYjwC0XQjBA/edit?usp=share_link"",""พิจิตร!I594"")+IMPORTRANGE(""https://docs.google.com/spreadsheets/d/16OMuOwy2eVqZcYWOouQtTpa8X1L23h4660uVHc0C8os/edit?usp=share_link"",""พิษณุโลก!I594"")+IMPORTRANGE(""https://docs.google."&amp;"com/spreadsheets/d/1GfgTldLG6k77HXaMQzaafODklYuucJZQNs_GAPEfZyY/edit?usp=share_link"",""เพชรบูรณ์!I594"")+IMPORTRANGE(""https://docs.google.com/spreadsheets/d/1gvTMYAnm7v1yG1BKWFtr0DnaTsq59oW9dwWvFgq6hs0/edit?usp=share_link"",""แพร่!I594"")+IMPORTRANGE("""&amp;"https://docs.google.com/spreadsheets/d/1Wbcosgy-Xa1xXUArJSOenub6EfZHUSzc_bpJFWwQUf0/edit?usp=share_link"",""แม่ฮ่องสอน!I594"")+IMPORTRANGE(""https://docs.google.com/spreadsheets/d/1p7ERhsr0qZeSn-KSOdeHS9r0heI-lHtkcn2OH7hP0jQ/edit?usp=share_link"",""ลำปาง!"&amp;"I594"")+IMPORTRANGE(""https://docs.google.com/spreadsheets/d/1-uUXvimVhiU2U0bMN-xi2te0tS4X7DI2GLPnMjzl8cA/edit?usp=share_link"",""ลำพูน!I594"")+IMPORTRANGE(""https://docs.google.com/spreadsheets/d/17HrOaa5pBUI1onckFfumXB8xlg35qb2uBAFfF1D-Myo/edit?usp=shar"&amp;"e_link"",""สุโขทัย!I594"")+IMPORTRANGE(""https://docs.google.com/spreadsheets/d/1ubs5cl16eYL9gHbdHTJtmtYb9MGzHBs7CAphn8kNCgM/edit?usp=share_link"",""อุตรดิตถ์!I594"")+IMPORTRANGE(""https://docs.google.com/spreadsheets/d/1kII0BjS6CtVrBvI8IrytgPdxDrlyQDyigz"&amp;"MsohRtDMs/edit?usp=share_link"",""อุทัยธานี!I594"")
"),6509)</f>
        <v>6509</v>
      </c>
      <c r="J594" s="193">
        <f t="shared" ca="1" si="293"/>
        <v>755</v>
      </c>
      <c r="K594" s="380">
        <f t="shared" ca="1" si="292"/>
        <v>11.599324012905209</v>
      </c>
      <c r="L594" s="163"/>
      <c r="M594" s="163"/>
      <c r="N594" s="163"/>
      <c r="O594" s="163"/>
      <c r="P594" s="163"/>
      <c r="Q594" s="542"/>
      <c r="R594" s="542"/>
      <c r="S594" s="542"/>
      <c r="T594" s="542"/>
      <c r="U594" s="542"/>
      <c r="V594" s="542"/>
      <c r="W594" s="542"/>
      <c r="X594" s="542"/>
      <c r="Y594" s="542"/>
      <c r="Z594" s="542"/>
    </row>
    <row r="595" spans="1:26" ht="18.75">
      <c r="A595" s="573"/>
      <c r="B595" s="574"/>
      <c r="C595" s="585" t="s">
        <v>253</v>
      </c>
      <c r="D595" s="574"/>
      <c r="E595" s="574"/>
      <c r="F595" s="586"/>
      <c r="G595" s="175"/>
      <c r="H595" s="182" t="s">
        <v>46</v>
      </c>
      <c r="I595" s="162"/>
      <c r="J595" s="162">
        <f t="shared" ref="J595:J596" ca="1" si="294">J597+J599</f>
        <v>5970.49</v>
      </c>
      <c r="K595" s="163"/>
      <c r="L595" s="163"/>
      <c r="M595" s="163"/>
      <c r="N595" s="163"/>
      <c r="O595" s="163"/>
      <c r="P595" s="163"/>
      <c r="Q595" s="542"/>
      <c r="R595" s="542"/>
      <c r="S595" s="542"/>
      <c r="T595" s="542"/>
      <c r="U595" s="542"/>
      <c r="V595" s="542"/>
      <c r="W595" s="542"/>
      <c r="X595" s="542"/>
      <c r="Y595" s="542"/>
      <c r="Z595" s="542"/>
    </row>
    <row r="596" spans="1:26" ht="18.75">
      <c r="A596" s="573"/>
      <c r="B596" s="574"/>
      <c r="C596" s="574"/>
      <c r="D596" s="574"/>
      <c r="E596" s="586"/>
      <c r="F596" s="586"/>
      <c r="G596" s="175"/>
      <c r="H596" s="182" t="s">
        <v>34</v>
      </c>
      <c r="I596" s="162"/>
      <c r="J596" s="162">
        <f t="shared" ca="1" si="294"/>
        <v>730</v>
      </c>
      <c r="K596" s="163"/>
      <c r="L596" s="163"/>
      <c r="M596" s="163"/>
      <c r="N596" s="163"/>
      <c r="O596" s="163"/>
      <c r="P596" s="163"/>
      <c r="Q596" s="542"/>
      <c r="R596" s="542"/>
      <c r="S596" s="542"/>
      <c r="T596" s="542"/>
      <c r="U596" s="542"/>
      <c r="V596" s="542"/>
      <c r="W596" s="542"/>
      <c r="X596" s="542"/>
      <c r="Y596" s="542"/>
      <c r="Z596" s="542"/>
    </row>
    <row r="597" spans="1:26" ht="18.75">
      <c r="A597" s="573"/>
      <c r="B597" s="574"/>
      <c r="C597" s="574"/>
      <c r="D597" s="263" t="s">
        <v>254</v>
      </c>
      <c r="E597" s="586"/>
      <c r="F597" s="586"/>
      <c r="G597" s="175"/>
      <c r="H597" s="182" t="s">
        <v>46</v>
      </c>
      <c r="I597" s="162"/>
      <c r="J597" s="183">
        <f ca="1">IFERROR(__xludf.DUMMYFUNCTION("IMPORTRANGE(""https://docs.google.com/spreadsheets/d/1KxicF4apzSqm0-jIpmueT4kyZtE-Cwn5zskl7GD4loQ/edit?usp=share_link"",""กำแพงเพชร!J597"")+IMPORTRANGE(""https://docs.google.com/spreadsheets/d/1ZNYWeiFoFA1K1U4xKWqRX29MBvEyRHXORjo734Gnq_c/edit?usp=share_li"&amp;"nk"",""เชียงราย!J597"")
+IMPORTRANGE(""https://docs.google.com/spreadsheets/d/1Jgv0Y7YlHDtsiDawwp-uvifEJ8HVaSn0k2aGHG8-hwM/edit?usp=share_link"",""เชียงใหม่!J597"")+IMPORTRANGE(""https://docs.google.com/spreadsheets/d/1JWG2rZePOz9pe-f-ObA-yDr0VoOX2kSb0qIi"&amp;"x2mTUo8/edit?usp=share_link"",""ตาก!J597"")+IMPORTRANGE(""https://docs.google.com/spreadsheets/d/10nSRjK08hx8Y6HgSOQKNw81lyY46Zc7U_Cj72hBMp9U/edit?usp=share_link"",""นครสวรรค์!J597"")+IMPORTRANGE(""https://docs.google.com/spreadsheets/d/1gFVb7qd7amutrIxAA"&amp;"oM7lcy35hllxznovot8lyOfvDo/edit?usp=share_link"",""น่าน!J597"")+IMPORTRANGE(""https://docs.google.com/spreadsheets/d/1K0Aa9s-6EuHE5M0FG1F9aHLXRCOV917xvycTdLdct0w/edit?usp=share_link"",""พะเยา!J597"")+IMPORTRANGE(""https://docs.google.com/spreadsheets/d/1Y"&amp;"9LPKx95PyL5OKy09d-KbKJSuuEZCFdkhYjwC0XQjBA/edit?usp=share_link"",""พิจิตร!J597"")+IMPORTRANGE(""https://docs.google.com/spreadsheets/d/16OMuOwy2eVqZcYWOouQtTpa8X1L23h4660uVHc0C8os/edit?usp=share_link"",""พิษณุโลก!J597"")+IMPORTRANGE(""https://docs.google."&amp;"com/spreadsheets/d/1GfgTldLG6k77HXaMQzaafODklYuucJZQNs_GAPEfZyY/edit?usp=share_link"",""เพชรบูรณ์!J597"")+IMPORTRANGE(""https://docs.google.com/spreadsheets/d/1gvTMYAnm7v1yG1BKWFtr0DnaTsq59oW9dwWvFgq6hs0/edit?usp=share_link"",""แพร่!J597"")+IMPORTRANGE("""&amp;"https://docs.google.com/spreadsheets/d/1Wbcosgy-Xa1xXUArJSOenub6EfZHUSzc_bpJFWwQUf0/edit?usp=share_link"",""แม่ฮ่องสอน!J597"")+IMPORTRANGE(""https://docs.google.com/spreadsheets/d/1p7ERhsr0qZeSn-KSOdeHS9r0heI-lHtkcn2OH7hP0jQ/edit?usp=share_link"",""ลำปาง!"&amp;"J597"")+IMPORTRANGE(""https://docs.google.com/spreadsheets/d/1-uUXvimVhiU2U0bMN-xi2te0tS4X7DI2GLPnMjzl8cA/edit?usp=share_link"",""ลำพูน!J597"")+IMPORTRANGE(""https://docs.google.com/spreadsheets/d/17HrOaa5pBUI1onckFfumXB8xlg35qb2uBAFfF1D-Myo/edit?usp=shar"&amp;"e_link"",""สุโขทัย!J597"")+IMPORTRANGE(""https://docs.google.com/spreadsheets/d/1ubs5cl16eYL9gHbdHTJtmtYb9MGzHBs7CAphn8kNCgM/edit?usp=share_link"",""อุตรดิตถ์!J597"")+IMPORTRANGE(""https://docs.google.com/spreadsheets/d/1kII0BjS6CtVrBvI8IrytgPdxDrlyQDyigz"&amp;"MsohRtDMs/edit?usp=share_link"",""อุทัยธานี!J597"")
"),3118)</f>
        <v>3118</v>
      </c>
      <c r="K597" s="163"/>
      <c r="L597" s="163"/>
      <c r="M597" s="163"/>
      <c r="N597" s="163"/>
      <c r="O597" s="163"/>
      <c r="P597" s="163"/>
      <c r="Q597" s="542"/>
      <c r="R597" s="542"/>
      <c r="S597" s="542"/>
      <c r="T597" s="542"/>
      <c r="U597" s="542"/>
      <c r="V597" s="542"/>
      <c r="W597" s="542"/>
      <c r="X597" s="542"/>
      <c r="Y597" s="542"/>
      <c r="Z597" s="542"/>
    </row>
    <row r="598" spans="1:26" ht="18.75">
      <c r="A598" s="573"/>
      <c r="B598" s="574"/>
      <c r="C598" s="574"/>
      <c r="D598" s="574"/>
      <c r="E598" s="586"/>
      <c r="F598" s="586"/>
      <c r="G598" s="175"/>
      <c r="H598" s="182" t="s">
        <v>34</v>
      </c>
      <c r="I598" s="37"/>
      <c r="J598" s="183">
        <f ca="1">IFERROR(__xludf.DUMMYFUNCTION("IMPORTRANGE(""https://docs.google.com/spreadsheets/d/1KxicF4apzSqm0-jIpmueT4kyZtE-Cwn5zskl7GD4loQ/edit?usp=share_link"",""กำแพงเพชร!J598"")+IMPORTRANGE(""https://docs.google.com/spreadsheets/d/1ZNYWeiFoFA1K1U4xKWqRX29MBvEyRHXORjo734Gnq_c/edit?usp=share_li"&amp;"nk"",""เชียงราย!J598"")
+IMPORTRANGE(""https://docs.google.com/spreadsheets/d/1Jgv0Y7YlHDtsiDawwp-uvifEJ8HVaSn0k2aGHG8-hwM/edit?usp=share_link"",""เชียงใหม่!J598"")+IMPORTRANGE(""https://docs.google.com/spreadsheets/d/1JWG2rZePOz9pe-f-ObA-yDr0VoOX2kSb0qIi"&amp;"x2mTUo8/edit?usp=share_link"",""ตาก!J598"")+IMPORTRANGE(""https://docs.google.com/spreadsheets/d/10nSRjK08hx8Y6HgSOQKNw81lyY46Zc7U_Cj72hBMp9U/edit?usp=share_link"",""นครสวรรค์!J598"")+IMPORTRANGE(""https://docs.google.com/spreadsheets/d/1gFVb7qd7amutrIxAA"&amp;"oM7lcy35hllxznovot8lyOfvDo/edit?usp=share_link"",""น่าน!J598"")+IMPORTRANGE(""https://docs.google.com/spreadsheets/d/1K0Aa9s-6EuHE5M0FG1F9aHLXRCOV917xvycTdLdct0w/edit?usp=share_link"",""พะเยา!J598"")+IMPORTRANGE(""https://docs.google.com/spreadsheets/d/1Y"&amp;"9LPKx95PyL5OKy09d-KbKJSuuEZCFdkhYjwC0XQjBA/edit?usp=share_link"",""พิจิตร!J598"")+IMPORTRANGE(""https://docs.google.com/spreadsheets/d/16OMuOwy2eVqZcYWOouQtTpa8X1L23h4660uVHc0C8os/edit?usp=share_link"",""พิษณุโลก!J598"")+IMPORTRANGE(""https://docs.google."&amp;"com/spreadsheets/d/1GfgTldLG6k77HXaMQzaafODklYuucJZQNs_GAPEfZyY/edit?usp=share_link"",""เพชรบูรณ์!J598"")+IMPORTRANGE(""https://docs.google.com/spreadsheets/d/1gvTMYAnm7v1yG1BKWFtr0DnaTsq59oW9dwWvFgq6hs0/edit?usp=share_link"",""แพร่!J598"")+IMPORTRANGE("""&amp;"https://docs.google.com/spreadsheets/d/1Wbcosgy-Xa1xXUArJSOenub6EfZHUSzc_bpJFWwQUf0/edit?usp=share_link"",""แม่ฮ่องสอน!J598"")+IMPORTRANGE(""https://docs.google.com/spreadsheets/d/1p7ERhsr0qZeSn-KSOdeHS9r0heI-lHtkcn2OH7hP0jQ/edit?usp=share_link"",""ลำปาง!"&amp;"J598"")+IMPORTRANGE(""https://docs.google.com/spreadsheets/d/1-uUXvimVhiU2U0bMN-xi2te0tS4X7DI2GLPnMjzl8cA/edit?usp=share_link"",""ลำพูน!J598"")+IMPORTRANGE(""https://docs.google.com/spreadsheets/d/17HrOaa5pBUI1onckFfumXB8xlg35qb2uBAFfF1D-Myo/edit?usp=shar"&amp;"e_link"",""สุโขทัย!J598"")+IMPORTRANGE(""https://docs.google.com/spreadsheets/d/1ubs5cl16eYL9gHbdHTJtmtYb9MGzHBs7CAphn8kNCgM/edit?usp=share_link"",""อุตรดิตถ์!J598"")+IMPORTRANGE(""https://docs.google.com/spreadsheets/d/1kII0BjS6CtVrBvI8IrytgPdxDrlyQDyigz"&amp;"MsohRtDMs/edit?usp=share_link"",""อุทัยธานี!J598"")
"),348)</f>
        <v>348</v>
      </c>
      <c r="K598" s="163"/>
      <c r="L598" s="163"/>
      <c r="M598" s="163"/>
      <c r="N598" s="163"/>
      <c r="O598" s="163"/>
      <c r="P598" s="163"/>
      <c r="Q598" s="542"/>
      <c r="R598" s="542"/>
      <c r="S598" s="542"/>
      <c r="T598" s="542"/>
      <c r="U598" s="542"/>
      <c r="V598" s="542"/>
      <c r="W598" s="542"/>
      <c r="X598" s="542"/>
      <c r="Y598" s="542"/>
      <c r="Z598" s="542"/>
    </row>
    <row r="599" spans="1:26" ht="18.75">
      <c r="A599" s="573"/>
      <c r="B599" s="574"/>
      <c r="C599" s="574"/>
      <c r="D599" s="263" t="s">
        <v>255</v>
      </c>
      <c r="E599" s="586"/>
      <c r="F599" s="586"/>
      <c r="G599" s="175"/>
      <c r="H599" s="182" t="s">
        <v>46</v>
      </c>
      <c r="I599" s="37"/>
      <c r="J599" s="183">
        <f ca="1">IFERROR(__xludf.DUMMYFUNCTION("IMPORTRANGE(""https://docs.google.com/spreadsheets/d/1KxicF4apzSqm0-jIpmueT4kyZtE-Cwn5zskl7GD4loQ/edit?usp=share_link"",""กำแพงเพชร!J599"")+IMPORTRANGE(""https://docs.google.com/spreadsheets/d/1ZNYWeiFoFA1K1U4xKWqRX29MBvEyRHXORjo734Gnq_c/edit?usp=share_li"&amp;"nk"",""เชียงราย!J599"")
+IMPORTRANGE(""https://docs.google.com/spreadsheets/d/1Jgv0Y7YlHDtsiDawwp-uvifEJ8HVaSn0k2aGHG8-hwM/edit?usp=share_link"",""เชียงใหม่!J599"")+IMPORTRANGE(""https://docs.google.com/spreadsheets/d/1JWG2rZePOz9pe-f-ObA-yDr0VoOX2kSb0qIi"&amp;"x2mTUo8/edit?usp=share_link"",""ตาก!J599"")+IMPORTRANGE(""https://docs.google.com/spreadsheets/d/10nSRjK08hx8Y6HgSOQKNw81lyY46Zc7U_Cj72hBMp9U/edit?usp=share_link"",""นครสวรรค์!J599"")+IMPORTRANGE(""https://docs.google.com/spreadsheets/d/1gFVb7qd7amutrIxAA"&amp;"oM7lcy35hllxznovot8lyOfvDo/edit?usp=share_link"",""น่าน!J599"")+IMPORTRANGE(""https://docs.google.com/spreadsheets/d/1K0Aa9s-6EuHE5M0FG1F9aHLXRCOV917xvycTdLdct0w/edit?usp=share_link"",""พะเยา!J599"")+IMPORTRANGE(""https://docs.google.com/spreadsheets/d/1Y"&amp;"9LPKx95PyL5OKy09d-KbKJSuuEZCFdkhYjwC0XQjBA/edit?usp=share_link"",""พิจิตร!J599"")+IMPORTRANGE(""https://docs.google.com/spreadsheets/d/16OMuOwy2eVqZcYWOouQtTpa8X1L23h4660uVHc0C8os/edit?usp=share_link"",""พิษณุโลก!J599"")+IMPORTRANGE(""https://docs.google."&amp;"com/spreadsheets/d/1GfgTldLG6k77HXaMQzaafODklYuucJZQNs_GAPEfZyY/edit?usp=share_link"",""เพชรบูรณ์!J599"")+IMPORTRANGE(""https://docs.google.com/spreadsheets/d/1gvTMYAnm7v1yG1BKWFtr0DnaTsq59oW9dwWvFgq6hs0/edit?usp=share_link"",""แพร่!J599"")+IMPORTRANGE("""&amp;"https://docs.google.com/spreadsheets/d/1Wbcosgy-Xa1xXUArJSOenub6EfZHUSzc_bpJFWwQUf0/edit?usp=share_link"",""แม่ฮ่องสอน!J599"")+IMPORTRANGE(""https://docs.google.com/spreadsheets/d/1p7ERhsr0qZeSn-KSOdeHS9r0heI-lHtkcn2OH7hP0jQ/edit?usp=share_link"",""ลำปาง!"&amp;"J599"")+IMPORTRANGE(""https://docs.google.com/spreadsheets/d/1-uUXvimVhiU2U0bMN-xi2te0tS4X7DI2GLPnMjzl8cA/edit?usp=share_link"",""ลำพูน!J599"")+IMPORTRANGE(""https://docs.google.com/spreadsheets/d/17HrOaa5pBUI1onckFfumXB8xlg35qb2uBAFfF1D-Myo/edit?usp=shar"&amp;"e_link"",""สุโขทัย!J599"")+IMPORTRANGE(""https://docs.google.com/spreadsheets/d/1ubs5cl16eYL9gHbdHTJtmtYb9MGzHBs7CAphn8kNCgM/edit?usp=share_link"",""อุตรดิตถ์!J599"")+IMPORTRANGE(""https://docs.google.com/spreadsheets/d/1kII0BjS6CtVrBvI8IrytgPdxDrlyQDyigz"&amp;"MsohRtDMs/edit?usp=share_link"",""อุทัยธานี!J599"")
"),2852.49)</f>
        <v>2852.49</v>
      </c>
      <c r="K599" s="163"/>
      <c r="L599" s="163"/>
      <c r="M599" s="163"/>
      <c r="N599" s="163"/>
      <c r="O599" s="163"/>
      <c r="P599" s="163"/>
      <c r="Q599" s="542"/>
      <c r="R599" s="542"/>
      <c r="S599" s="542"/>
      <c r="T599" s="542"/>
      <c r="U599" s="542"/>
      <c r="V599" s="542"/>
      <c r="W599" s="542"/>
      <c r="X599" s="542"/>
      <c r="Y599" s="542"/>
      <c r="Z599" s="542"/>
    </row>
    <row r="600" spans="1:26" ht="18.75">
      <c r="A600" s="573"/>
      <c r="B600" s="574"/>
      <c r="C600" s="574"/>
      <c r="D600" s="574"/>
      <c r="E600" s="586"/>
      <c r="F600" s="586"/>
      <c r="G600" s="175"/>
      <c r="H600" s="182" t="s">
        <v>34</v>
      </c>
      <c r="I600" s="37"/>
      <c r="J600" s="183">
        <f ca="1">IFERROR(__xludf.DUMMYFUNCTION("IMPORTRANGE(""https://docs.google.com/spreadsheets/d/1KxicF4apzSqm0-jIpmueT4kyZtE-Cwn5zskl7GD4loQ/edit?usp=share_link"",""กำแพงเพชร!J600"")+IMPORTRANGE(""https://docs.google.com/spreadsheets/d/1ZNYWeiFoFA1K1U4xKWqRX29MBvEyRHXORjo734Gnq_c/edit?usp=share_li"&amp;"nk"",""เชียงราย!J600"")
+IMPORTRANGE(""https://docs.google.com/spreadsheets/d/1Jgv0Y7YlHDtsiDawwp-uvifEJ8HVaSn0k2aGHG8-hwM/edit?usp=share_link"",""เชียงใหม่!J600"")+IMPORTRANGE(""https://docs.google.com/spreadsheets/d/1JWG2rZePOz9pe-f-ObA-yDr0VoOX2kSb0qIi"&amp;"x2mTUo8/edit?usp=share_link"",""ตาก!J600"")+IMPORTRANGE(""https://docs.google.com/spreadsheets/d/10nSRjK08hx8Y6HgSOQKNw81lyY46Zc7U_Cj72hBMp9U/edit?usp=share_link"",""นครสวรรค์!J600"")+IMPORTRANGE(""https://docs.google.com/spreadsheets/d/1gFVb7qd7amutrIxAA"&amp;"oM7lcy35hllxznovot8lyOfvDo/edit?usp=share_link"",""น่าน!J600"")+IMPORTRANGE(""https://docs.google.com/spreadsheets/d/1K0Aa9s-6EuHE5M0FG1F9aHLXRCOV917xvycTdLdct0w/edit?usp=share_link"",""พะเยา!J600"")+IMPORTRANGE(""https://docs.google.com/spreadsheets/d/1Y"&amp;"9LPKx95PyL5OKy09d-KbKJSuuEZCFdkhYjwC0XQjBA/edit?usp=share_link"",""พิจิตร!J600"")+IMPORTRANGE(""https://docs.google.com/spreadsheets/d/16OMuOwy2eVqZcYWOouQtTpa8X1L23h4660uVHc0C8os/edit?usp=share_link"",""พิษณุโลก!J600"")+IMPORTRANGE(""https://docs.google."&amp;"com/spreadsheets/d/1GfgTldLG6k77HXaMQzaafODklYuucJZQNs_GAPEfZyY/edit?usp=share_link"",""เพชรบูรณ์!J600"")+IMPORTRANGE(""https://docs.google.com/spreadsheets/d/1gvTMYAnm7v1yG1BKWFtr0DnaTsq59oW9dwWvFgq6hs0/edit?usp=share_link"",""แพร่!J600"")+IMPORTRANGE("""&amp;"https://docs.google.com/spreadsheets/d/1Wbcosgy-Xa1xXUArJSOenub6EfZHUSzc_bpJFWwQUf0/edit?usp=share_link"",""แม่ฮ่องสอน!J600"")+IMPORTRANGE(""https://docs.google.com/spreadsheets/d/1p7ERhsr0qZeSn-KSOdeHS9r0heI-lHtkcn2OH7hP0jQ/edit?usp=share_link"",""ลำปาง!"&amp;"J600"")+IMPORTRANGE(""https://docs.google.com/spreadsheets/d/1-uUXvimVhiU2U0bMN-xi2te0tS4X7DI2GLPnMjzl8cA/edit?usp=share_link"",""ลำพูน!J600"")+IMPORTRANGE(""https://docs.google.com/spreadsheets/d/17HrOaa5pBUI1onckFfumXB8xlg35qb2uBAFfF1D-Myo/edit?usp=shar"&amp;"e_link"",""สุโขทัย!J600"")+IMPORTRANGE(""https://docs.google.com/spreadsheets/d/1ubs5cl16eYL9gHbdHTJtmtYb9MGzHBs7CAphn8kNCgM/edit?usp=share_link"",""อุตรดิตถ์!J600"")+IMPORTRANGE(""https://docs.google.com/spreadsheets/d/1kII0BjS6CtVrBvI8IrytgPdxDrlyQDyigz"&amp;"MsohRtDMs/edit?usp=share_link"",""อุทัยธานี!J600"")
"),382)</f>
        <v>382</v>
      </c>
      <c r="K600" s="163"/>
      <c r="L600" s="163"/>
      <c r="M600" s="163"/>
      <c r="N600" s="163"/>
      <c r="O600" s="163"/>
      <c r="P600" s="163"/>
      <c r="Q600" s="542"/>
      <c r="R600" s="542"/>
      <c r="S600" s="542"/>
      <c r="T600" s="542"/>
      <c r="U600" s="542"/>
      <c r="V600" s="542"/>
      <c r="W600" s="542"/>
      <c r="X600" s="542"/>
      <c r="Y600" s="542"/>
      <c r="Z600" s="542"/>
    </row>
    <row r="601" spans="1:26" ht="18.75">
      <c r="A601" s="573"/>
      <c r="B601" s="574"/>
      <c r="C601" s="574"/>
      <c r="D601" s="263" t="s">
        <v>256</v>
      </c>
      <c r="E601" s="586"/>
      <c r="F601" s="586"/>
      <c r="G601" s="175"/>
      <c r="H601" s="182" t="s">
        <v>46</v>
      </c>
      <c r="I601" s="37"/>
      <c r="J601" s="183">
        <f ca="1">IFERROR(__xludf.DUMMYFUNCTION("IMPORTRANGE(""https://docs.google.com/spreadsheets/d/1KxicF4apzSqm0-jIpmueT4kyZtE-Cwn5zskl7GD4loQ/edit?usp=share_link"",""กำแพงเพชร!J601"")+IMPORTRANGE(""https://docs.google.com/spreadsheets/d/1ZNYWeiFoFA1K1U4xKWqRX29MBvEyRHXORjo734Gnq_c/edit?usp=share_li"&amp;"nk"",""เชียงราย!J601"")
+IMPORTRANGE(""https://docs.google.com/spreadsheets/d/1Jgv0Y7YlHDtsiDawwp-uvifEJ8HVaSn0k2aGHG8-hwM/edit?usp=share_link"",""เชียงใหม่!J601"")+IMPORTRANGE(""https://docs.google.com/spreadsheets/d/1JWG2rZePOz9pe-f-ObA-yDr0VoOX2kSb0qIi"&amp;"x2mTUo8/edit?usp=share_link"",""ตาก!J601"")+IMPORTRANGE(""https://docs.google.com/spreadsheets/d/10nSRjK08hx8Y6HgSOQKNw81lyY46Zc7U_Cj72hBMp9U/edit?usp=share_link"",""นครสวรรค์!J601"")+IMPORTRANGE(""https://docs.google.com/spreadsheets/d/1gFVb7qd7amutrIxAA"&amp;"oM7lcy35hllxznovot8lyOfvDo/edit?usp=share_link"",""น่าน!J601"")+IMPORTRANGE(""https://docs.google.com/spreadsheets/d/1K0Aa9s-6EuHE5M0FG1F9aHLXRCOV917xvycTdLdct0w/edit?usp=share_link"",""พะเยา!J601"")+IMPORTRANGE(""https://docs.google.com/spreadsheets/d/1Y"&amp;"9LPKx95PyL5OKy09d-KbKJSuuEZCFdkhYjwC0XQjBA/edit?usp=share_link"",""พิจิตร!J601"")+IMPORTRANGE(""https://docs.google.com/spreadsheets/d/16OMuOwy2eVqZcYWOouQtTpa8X1L23h4660uVHc0C8os/edit?usp=share_link"",""พิษณุโลก!J601"")+IMPORTRANGE(""https://docs.google."&amp;"com/spreadsheets/d/1GfgTldLG6k77HXaMQzaafODklYuucJZQNs_GAPEfZyY/edit?usp=share_link"",""เพชรบูรณ์!J601"")+IMPORTRANGE(""https://docs.google.com/spreadsheets/d/1gvTMYAnm7v1yG1BKWFtr0DnaTsq59oW9dwWvFgq6hs0/edit?usp=share_link"",""แพร่!J601"")+IMPORTRANGE("""&amp;"https://docs.google.com/spreadsheets/d/1Wbcosgy-Xa1xXUArJSOenub6EfZHUSzc_bpJFWwQUf0/edit?usp=share_link"",""แม่ฮ่องสอน!J601"")+IMPORTRANGE(""https://docs.google.com/spreadsheets/d/1p7ERhsr0qZeSn-KSOdeHS9r0heI-lHtkcn2OH7hP0jQ/edit?usp=share_link"",""ลำปาง!"&amp;"J601"")+IMPORTRANGE(""https://docs.google.com/spreadsheets/d/1-uUXvimVhiU2U0bMN-xi2te0tS4X7DI2GLPnMjzl8cA/edit?usp=share_link"",""ลำพูน!J601"")+IMPORTRANGE(""https://docs.google.com/spreadsheets/d/17HrOaa5pBUI1onckFfumXB8xlg35qb2uBAFfF1D-Myo/edit?usp=shar"&amp;"e_link"",""สุโขทัย!J601"")+IMPORTRANGE(""https://docs.google.com/spreadsheets/d/1ubs5cl16eYL9gHbdHTJtmtYb9MGzHBs7CAphn8kNCgM/edit?usp=share_link"",""อุตรดิตถ์!J601"")+IMPORTRANGE(""https://docs.google.com/spreadsheets/d/1kII0BjS6CtVrBvI8IrytgPdxDrlyQDyigz"&amp;"MsohRtDMs/edit?usp=share_link"",""อุทัยธานี!J601"")
"),0)</f>
        <v>0</v>
      </c>
      <c r="K601" s="163"/>
      <c r="L601" s="163"/>
      <c r="M601" s="163"/>
      <c r="N601" s="163"/>
      <c r="O601" s="163"/>
      <c r="P601" s="163"/>
      <c r="Q601" s="542"/>
      <c r="R601" s="542"/>
      <c r="S601" s="542"/>
      <c r="T601" s="542"/>
      <c r="U601" s="542"/>
      <c r="V601" s="542"/>
      <c r="W601" s="542"/>
      <c r="X601" s="542"/>
      <c r="Y601" s="542"/>
      <c r="Z601" s="542"/>
    </row>
    <row r="602" spans="1:26" ht="18.75">
      <c r="A602" s="573"/>
      <c r="B602" s="574"/>
      <c r="C602" s="574"/>
      <c r="D602" s="574"/>
      <c r="E602" s="586"/>
      <c r="F602" s="586"/>
      <c r="G602" s="175"/>
      <c r="H602" s="182" t="s">
        <v>34</v>
      </c>
      <c r="I602" s="37"/>
      <c r="J602" s="183">
        <f ca="1">IFERROR(__xludf.DUMMYFUNCTION("IMPORTRANGE(""https://docs.google.com/spreadsheets/d/1KxicF4apzSqm0-jIpmueT4kyZtE-Cwn5zskl7GD4loQ/edit?usp=share_link"",""กำแพงเพชร!J602"")+IMPORTRANGE(""https://docs.google.com/spreadsheets/d/1ZNYWeiFoFA1K1U4xKWqRX29MBvEyRHXORjo734Gnq_c/edit?usp=share_li"&amp;"nk"",""เชียงราย!J602"")
+IMPORTRANGE(""https://docs.google.com/spreadsheets/d/1Jgv0Y7YlHDtsiDawwp-uvifEJ8HVaSn0k2aGHG8-hwM/edit?usp=share_link"",""เชียงใหม่!J602"")+IMPORTRANGE(""https://docs.google.com/spreadsheets/d/1JWG2rZePOz9pe-f-ObA-yDr0VoOX2kSb0qIi"&amp;"x2mTUo8/edit?usp=share_link"",""ตาก!J602"")+IMPORTRANGE(""https://docs.google.com/spreadsheets/d/10nSRjK08hx8Y6HgSOQKNw81lyY46Zc7U_Cj72hBMp9U/edit?usp=share_link"",""นครสวรรค์!J602"")+IMPORTRANGE(""https://docs.google.com/spreadsheets/d/1gFVb7qd7amutrIxAA"&amp;"oM7lcy35hllxznovot8lyOfvDo/edit?usp=share_link"",""น่าน!J602"")+IMPORTRANGE(""https://docs.google.com/spreadsheets/d/1K0Aa9s-6EuHE5M0FG1F9aHLXRCOV917xvycTdLdct0w/edit?usp=share_link"",""พะเยา!J602"")+IMPORTRANGE(""https://docs.google.com/spreadsheets/d/1Y"&amp;"9LPKx95PyL5OKy09d-KbKJSuuEZCFdkhYjwC0XQjBA/edit?usp=share_link"",""พิจิตร!J602"")+IMPORTRANGE(""https://docs.google.com/spreadsheets/d/16OMuOwy2eVqZcYWOouQtTpa8X1L23h4660uVHc0C8os/edit?usp=share_link"",""พิษณุโลก!J602"")+IMPORTRANGE(""https://docs.google."&amp;"com/spreadsheets/d/1GfgTldLG6k77HXaMQzaafODklYuucJZQNs_GAPEfZyY/edit?usp=share_link"",""เพชรบูรณ์!J602"")+IMPORTRANGE(""https://docs.google.com/spreadsheets/d/1gvTMYAnm7v1yG1BKWFtr0DnaTsq59oW9dwWvFgq6hs0/edit?usp=share_link"",""แพร่!J602"")+IMPORTRANGE("""&amp;"https://docs.google.com/spreadsheets/d/1Wbcosgy-Xa1xXUArJSOenub6EfZHUSzc_bpJFWwQUf0/edit?usp=share_link"",""แม่ฮ่องสอน!J602"")+IMPORTRANGE(""https://docs.google.com/spreadsheets/d/1p7ERhsr0qZeSn-KSOdeHS9r0heI-lHtkcn2OH7hP0jQ/edit?usp=share_link"",""ลำปาง!"&amp;"J602"")+IMPORTRANGE(""https://docs.google.com/spreadsheets/d/1-uUXvimVhiU2U0bMN-xi2te0tS4X7DI2GLPnMjzl8cA/edit?usp=share_link"",""ลำพูน!J602"")+IMPORTRANGE(""https://docs.google.com/spreadsheets/d/17HrOaa5pBUI1onckFfumXB8xlg35qb2uBAFfF1D-Myo/edit?usp=shar"&amp;"e_link"",""สุโขทัย!J602"")+IMPORTRANGE(""https://docs.google.com/spreadsheets/d/1ubs5cl16eYL9gHbdHTJtmtYb9MGzHBs7CAphn8kNCgM/edit?usp=share_link"",""อุตรดิตถ์!J602"")+IMPORTRANGE(""https://docs.google.com/spreadsheets/d/1kII0BjS6CtVrBvI8IrytgPdxDrlyQDyigz"&amp;"MsohRtDMs/edit?usp=share_link"",""อุทัยธานี!J602"")
"),0)</f>
        <v>0</v>
      </c>
      <c r="K602" s="163"/>
      <c r="L602" s="163"/>
      <c r="M602" s="163"/>
      <c r="N602" s="163"/>
      <c r="O602" s="163"/>
      <c r="P602" s="163"/>
      <c r="Q602" s="542"/>
      <c r="R602" s="542"/>
      <c r="S602" s="542"/>
      <c r="T602" s="542"/>
      <c r="U602" s="542"/>
      <c r="V602" s="542"/>
      <c r="W602" s="542"/>
      <c r="X602" s="542"/>
      <c r="Y602" s="542"/>
      <c r="Z602" s="542"/>
    </row>
    <row r="603" spans="1:26" ht="18.75">
      <c r="A603" s="573"/>
      <c r="B603" s="574"/>
      <c r="C603" s="671" t="s">
        <v>257</v>
      </c>
      <c r="D603" s="574"/>
      <c r="E603" s="574"/>
      <c r="F603" s="586"/>
      <c r="G603" s="175"/>
      <c r="H603" s="182" t="s">
        <v>46</v>
      </c>
      <c r="I603" s="37"/>
      <c r="J603" s="37">
        <f t="shared" ref="J603:J604" ca="1" si="295">J605+J607</f>
        <v>251</v>
      </c>
      <c r="K603" s="163"/>
      <c r="L603" s="163"/>
      <c r="M603" s="163"/>
      <c r="N603" s="163"/>
      <c r="O603" s="163"/>
      <c r="P603" s="163"/>
      <c r="Q603" s="542"/>
      <c r="R603" s="542"/>
      <c r="S603" s="542"/>
      <c r="T603" s="542"/>
      <c r="U603" s="542"/>
      <c r="V603" s="542"/>
      <c r="W603" s="542"/>
      <c r="X603" s="542"/>
      <c r="Y603" s="542"/>
      <c r="Z603" s="542"/>
    </row>
    <row r="604" spans="1:26" ht="18.75">
      <c r="A604" s="573"/>
      <c r="B604" s="574"/>
      <c r="C604" s="574"/>
      <c r="D604" s="574"/>
      <c r="E604" s="586"/>
      <c r="F604" s="586"/>
      <c r="G604" s="175"/>
      <c r="H604" s="182" t="s">
        <v>34</v>
      </c>
      <c r="I604" s="37"/>
      <c r="J604" s="37">
        <f t="shared" ca="1" si="295"/>
        <v>25</v>
      </c>
      <c r="K604" s="163"/>
      <c r="L604" s="163"/>
      <c r="M604" s="163"/>
      <c r="N604" s="163"/>
      <c r="O604" s="163"/>
      <c r="P604" s="163"/>
      <c r="Q604" s="542"/>
      <c r="R604" s="542"/>
      <c r="S604" s="542"/>
      <c r="T604" s="542"/>
      <c r="U604" s="542"/>
      <c r="V604" s="542"/>
      <c r="W604" s="542"/>
      <c r="X604" s="542"/>
      <c r="Y604" s="542"/>
      <c r="Z604" s="542"/>
    </row>
    <row r="605" spans="1:26" ht="18.75">
      <c r="A605" s="573"/>
      <c r="B605" s="574"/>
      <c r="C605" s="574"/>
      <c r="D605" s="671" t="s">
        <v>258</v>
      </c>
      <c r="E605" s="586"/>
      <c r="F605" s="586"/>
      <c r="G605" s="175"/>
      <c r="H605" s="182" t="s">
        <v>46</v>
      </c>
      <c r="I605" s="37"/>
      <c r="J605" s="183">
        <f ca="1">IFERROR(__xludf.DUMMYFUNCTION("IMPORTRANGE(""https://docs.google.com/spreadsheets/d/1KxicF4apzSqm0-jIpmueT4kyZtE-Cwn5zskl7GD4loQ/edit?usp=share_link"",""กำแพงเพชร!J605"")+IMPORTRANGE(""https://docs.google.com/spreadsheets/d/1ZNYWeiFoFA1K1U4xKWqRX29MBvEyRHXORjo734Gnq_c/edit?usp=share_li"&amp;"nk"",""เชียงราย!J605"")
+IMPORTRANGE(""https://docs.google.com/spreadsheets/d/1Jgv0Y7YlHDtsiDawwp-uvifEJ8HVaSn0k2aGHG8-hwM/edit?usp=share_link"",""เชียงใหม่!J605"")+IMPORTRANGE(""https://docs.google.com/spreadsheets/d/1JWG2rZePOz9pe-f-ObA-yDr0VoOX2kSb0qIi"&amp;"x2mTUo8/edit?usp=share_link"",""ตาก!J605"")+IMPORTRANGE(""https://docs.google.com/spreadsheets/d/10nSRjK08hx8Y6HgSOQKNw81lyY46Zc7U_Cj72hBMp9U/edit?usp=share_link"",""นครสวรรค์!J605"")+IMPORTRANGE(""https://docs.google.com/spreadsheets/d/1gFVb7qd7amutrIxAA"&amp;"oM7lcy35hllxznovot8lyOfvDo/edit?usp=share_link"",""น่าน!J605"")+IMPORTRANGE(""https://docs.google.com/spreadsheets/d/1K0Aa9s-6EuHE5M0FG1F9aHLXRCOV917xvycTdLdct0w/edit?usp=share_link"",""พะเยา!J605"")+IMPORTRANGE(""https://docs.google.com/spreadsheets/d/1Y"&amp;"9LPKx95PyL5OKy09d-KbKJSuuEZCFdkhYjwC0XQjBA/edit?usp=share_link"",""พิจิตร!J605"")+IMPORTRANGE(""https://docs.google.com/spreadsheets/d/16OMuOwy2eVqZcYWOouQtTpa8X1L23h4660uVHc0C8os/edit?usp=share_link"",""พิษณุโลก!J605"")+IMPORTRANGE(""https://docs.google."&amp;"com/spreadsheets/d/1GfgTldLG6k77HXaMQzaafODklYuucJZQNs_GAPEfZyY/edit?usp=share_link"",""เพชรบูรณ์!J605"")+IMPORTRANGE(""https://docs.google.com/spreadsheets/d/1gvTMYAnm7v1yG1BKWFtr0DnaTsq59oW9dwWvFgq6hs0/edit?usp=share_link"",""แพร่!J605"")+IMPORTRANGE("""&amp;"https://docs.google.com/spreadsheets/d/1Wbcosgy-Xa1xXUArJSOenub6EfZHUSzc_bpJFWwQUf0/edit?usp=share_link"",""แม่ฮ่องสอน!J605"")+IMPORTRANGE(""https://docs.google.com/spreadsheets/d/1p7ERhsr0qZeSn-KSOdeHS9r0heI-lHtkcn2OH7hP0jQ/edit?usp=share_link"",""ลำปาง!"&amp;"J605"")+IMPORTRANGE(""https://docs.google.com/spreadsheets/d/1-uUXvimVhiU2U0bMN-xi2te0tS4X7DI2GLPnMjzl8cA/edit?usp=share_link"",""ลำพูน!J605"")+IMPORTRANGE(""https://docs.google.com/spreadsheets/d/17HrOaa5pBUI1onckFfumXB8xlg35qb2uBAFfF1D-Myo/edit?usp=shar"&amp;"e_link"",""สุโขทัย!J605"")+IMPORTRANGE(""https://docs.google.com/spreadsheets/d/1ubs5cl16eYL9gHbdHTJtmtYb9MGzHBs7CAphn8kNCgM/edit?usp=share_link"",""อุตรดิตถ์!J605"")+IMPORTRANGE(""https://docs.google.com/spreadsheets/d/1kII0BjS6CtVrBvI8IrytgPdxDrlyQDyigz"&amp;"MsohRtDMs/edit?usp=share_link"",""อุทัยธานี!J605"")
"),233)</f>
        <v>233</v>
      </c>
      <c r="K605" s="163"/>
      <c r="L605" s="163"/>
      <c r="M605" s="163"/>
      <c r="N605" s="163"/>
      <c r="O605" s="163"/>
      <c r="P605" s="163"/>
      <c r="Q605" s="542"/>
      <c r="R605" s="542"/>
      <c r="S605" s="542"/>
      <c r="T605" s="542"/>
      <c r="U605" s="542"/>
      <c r="V605" s="542"/>
      <c r="W605" s="542"/>
      <c r="X605" s="542"/>
      <c r="Y605" s="542"/>
      <c r="Z605" s="542"/>
    </row>
    <row r="606" spans="1:26" ht="18.75">
      <c r="A606" s="573"/>
      <c r="B606" s="574"/>
      <c r="C606" s="574"/>
      <c r="D606" s="574"/>
      <c r="E606" s="574"/>
      <c r="F606" s="586"/>
      <c r="G606" s="175"/>
      <c r="H606" s="182" t="s">
        <v>34</v>
      </c>
      <c r="I606" s="37"/>
      <c r="J606" s="183">
        <f ca="1">IFERROR(__xludf.DUMMYFUNCTION("IMPORTRANGE(""https://docs.google.com/spreadsheets/d/1KxicF4apzSqm0-jIpmueT4kyZtE-Cwn5zskl7GD4loQ/edit?usp=share_link"",""กำแพงเพชร!J606"")+IMPORTRANGE(""https://docs.google.com/spreadsheets/d/1ZNYWeiFoFA1K1U4xKWqRX29MBvEyRHXORjo734Gnq_c/edit?usp=share_li"&amp;"nk"",""เชียงราย!J606"")
+IMPORTRANGE(""https://docs.google.com/spreadsheets/d/1Jgv0Y7YlHDtsiDawwp-uvifEJ8HVaSn0k2aGHG8-hwM/edit?usp=share_link"",""เชียงใหม่!J606"")+IMPORTRANGE(""https://docs.google.com/spreadsheets/d/1JWG2rZePOz9pe-f-ObA-yDr0VoOX2kSb0qIi"&amp;"x2mTUo8/edit?usp=share_link"",""ตาก!J606"")+IMPORTRANGE(""https://docs.google.com/spreadsheets/d/10nSRjK08hx8Y6HgSOQKNw81lyY46Zc7U_Cj72hBMp9U/edit?usp=share_link"",""นครสวรรค์!J606"")+IMPORTRANGE(""https://docs.google.com/spreadsheets/d/1gFVb7qd7amutrIxAA"&amp;"oM7lcy35hllxznovot8lyOfvDo/edit?usp=share_link"",""น่าน!J606"")+IMPORTRANGE(""https://docs.google.com/spreadsheets/d/1K0Aa9s-6EuHE5M0FG1F9aHLXRCOV917xvycTdLdct0w/edit?usp=share_link"",""พะเยา!J606"")+IMPORTRANGE(""https://docs.google.com/spreadsheets/d/1Y"&amp;"9LPKx95PyL5OKy09d-KbKJSuuEZCFdkhYjwC0XQjBA/edit?usp=share_link"",""พิจิตร!J606"")+IMPORTRANGE(""https://docs.google.com/spreadsheets/d/16OMuOwy2eVqZcYWOouQtTpa8X1L23h4660uVHc0C8os/edit?usp=share_link"",""พิษณุโลก!J606"")+IMPORTRANGE(""https://docs.google."&amp;"com/spreadsheets/d/1GfgTldLG6k77HXaMQzaafODklYuucJZQNs_GAPEfZyY/edit?usp=share_link"",""เพชรบูรณ์!J606"")+IMPORTRANGE(""https://docs.google.com/spreadsheets/d/1gvTMYAnm7v1yG1BKWFtr0DnaTsq59oW9dwWvFgq6hs0/edit?usp=share_link"",""แพร่!J606"")+IMPORTRANGE("""&amp;"https://docs.google.com/spreadsheets/d/1Wbcosgy-Xa1xXUArJSOenub6EfZHUSzc_bpJFWwQUf0/edit?usp=share_link"",""แม่ฮ่องสอน!J606"")+IMPORTRANGE(""https://docs.google.com/spreadsheets/d/1p7ERhsr0qZeSn-KSOdeHS9r0heI-lHtkcn2OH7hP0jQ/edit?usp=share_link"",""ลำปาง!"&amp;"J606"")+IMPORTRANGE(""https://docs.google.com/spreadsheets/d/1-uUXvimVhiU2U0bMN-xi2te0tS4X7DI2GLPnMjzl8cA/edit?usp=share_link"",""ลำพูน!J606"")+IMPORTRANGE(""https://docs.google.com/spreadsheets/d/17HrOaa5pBUI1onckFfumXB8xlg35qb2uBAFfF1D-Myo/edit?usp=shar"&amp;"e_link"",""สุโขทัย!J606"")+IMPORTRANGE(""https://docs.google.com/spreadsheets/d/1ubs5cl16eYL9gHbdHTJtmtYb9MGzHBs7CAphn8kNCgM/edit?usp=share_link"",""อุตรดิตถ์!J606"")+IMPORTRANGE(""https://docs.google.com/spreadsheets/d/1kII0BjS6CtVrBvI8IrytgPdxDrlyQDyigz"&amp;"MsohRtDMs/edit?usp=share_link"",""อุทัยธานี!J606"")
"),24)</f>
        <v>24</v>
      </c>
      <c r="K606" s="163"/>
      <c r="L606" s="163"/>
      <c r="M606" s="163"/>
      <c r="N606" s="163"/>
      <c r="O606" s="163"/>
      <c r="P606" s="163"/>
      <c r="Q606" s="542"/>
      <c r="R606" s="542"/>
      <c r="S606" s="542"/>
      <c r="T606" s="542"/>
      <c r="U606" s="542"/>
      <c r="V606" s="542"/>
      <c r="W606" s="542"/>
      <c r="X606" s="542"/>
      <c r="Y606" s="542"/>
      <c r="Z606" s="542"/>
    </row>
    <row r="607" spans="1:26" ht="18.75">
      <c r="A607" s="573"/>
      <c r="B607" s="574"/>
      <c r="C607" s="574"/>
      <c r="D607" s="671" t="s">
        <v>259</v>
      </c>
      <c r="E607" s="574"/>
      <c r="F607" s="586"/>
      <c r="G607" s="175"/>
      <c r="H607" s="182" t="s">
        <v>46</v>
      </c>
      <c r="I607" s="37"/>
      <c r="J607" s="183">
        <f ca="1">IFERROR(__xludf.DUMMYFUNCTION("IMPORTRANGE(""https://docs.google.com/spreadsheets/d/1KxicF4apzSqm0-jIpmueT4kyZtE-Cwn5zskl7GD4loQ/edit?usp=share_link"",""กำแพงเพชร!J607"")+IMPORTRANGE(""https://docs.google.com/spreadsheets/d/1ZNYWeiFoFA1K1U4xKWqRX29MBvEyRHXORjo734Gnq_c/edit?usp=share_li"&amp;"nk"",""เชียงราย!J607"")
+IMPORTRANGE(""https://docs.google.com/spreadsheets/d/1Jgv0Y7YlHDtsiDawwp-uvifEJ8HVaSn0k2aGHG8-hwM/edit?usp=share_link"",""เชียงใหม่!J607"")+IMPORTRANGE(""https://docs.google.com/spreadsheets/d/1JWG2rZePOz9pe-f-ObA-yDr0VoOX2kSb0qIi"&amp;"x2mTUo8/edit?usp=share_link"",""ตาก!J607"")+IMPORTRANGE(""https://docs.google.com/spreadsheets/d/10nSRjK08hx8Y6HgSOQKNw81lyY46Zc7U_Cj72hBMp9U/edit?usp=share_link"",""นครสวรรค์!J607"")+IMPORTRANGE(""https://docs.google.com/spreadsheets/d/1gFVb7qd7amutrIxAA"&amp;"oM7lcy35hllxznovot8lyOfvDo/edit?usp=share_link"",""น่าน!J607"")+IMPORTRANGE(""https://docs.google.com/spreadsheets/d/1K0Aa9s-6EuHE5M0FG1F9aHLXRCOV917xvycTdLdct0w/edit?usp=share_link"",""พะเยา!J607"")+IMPORTRANGE(""https://docs.google.com/spreadsheets/d/1Y"&amp;"9LPKx95PyL5OKy09d-KbKJSuuEZCFdkhYjwC0XQjBA/edit?usp=share_link"",""พิจิตร!J607"")+IMPORTRANGE(""https://docs.google.com/spreadsheets/d/16OMuOwy2eVqZcYWOouQtTpa8X1L23h4660uVHc0C8os/edit?usp=share_link"",""พิษณุโลก!J607"")+IMPORTRANGE(""https://docs.google."&amp;"com/spreadsheets/d/1GfgTldLG6k77HXaMQzaafODklYuucJZQNs_GAPEfZyY/edit?usp=share_link"",""เพชรบูรณ์!J607"")+IMPORTRANGE(""https://docs.google.com/spreadsheets/d/1gvTMYAnm7v1yG1BKWFtr0DnaTsq59oW9dwWvFgq6hs0/edit?usp=share_link"",""แพร่!J607"")+IMPORTRANGE("""&amp;"https://docs.google.com/spreadsheets/d/1Wbcosgy-Xa1xXUArJSOenub6EfZHUSzc_bpJFWwQUf0/edit?usp=share_link"",""แม่ฮ่องสอน!J607"")+IMPORTRANGE(""https://docs.google.com/spreadsheets/d/1p7ERhsr0qZeSn-KSOdeHS9r0heI-lHtkcn2OH7hP0jQ/edit?usp=share_link"",""ลำปาง!"&amp;"J607"")+IMPORTRANGE(""https://docs.google.com/spreadsheets/d/1-uUXvimVhiU2U0bMN-xi2te0tS4X7DI2GLPnMjzl8cA/edit?usp=share_link"",""ลำพูน!J607"")+IMPORTRANGE(""https://docs.google.com/spreadsheets/d/17HrOaa5pBUI1onckFfumXB8xlg35qb2uBAFfF1D-Myo/edit?usp=shar"&amp;"e_link"",""สุโขทัย!J607"")+IMPORTRANGE(""https://docs.google.com/spreadsheets/d/1ubs5cl16eYL9gHbdHTJtmtYb9MGzHBs7CAphn8kNCgM/edit?usp=share_link"",""อุตรดิตถ์!J607"")+IMPORTRANGE(""https://docs.google.com/spreadsheets/d/1kII0BjS6CtVrBvI8IrytgPdxDrlyQDyigz"&amp;"MsohRtDMs/edit?usp=share_link"",""อุทัยธานี!J607"")
"),18)</f>
        <v>18</v>
      </c>
      <c r="K607" s="163"/>
      <c r="L607" s="163"/>
      <c r="M607" s="163"/>
      <c r="N607" s="163"/>
      <c r="O607" s="163"/>
      <c r="P607" s="163"/>
      <c r="Q607" s="542"/>
      <c r="R607" s="542"/>
      <c r="S607" s="542"/>
      <c r="T607" s="542"/>
      <c r="U607" s="542"/>
      <c r="V607" s="542"/>
      <c r="W607" s="542"/>
      <c r="X607" s="542"/>
      <c r="Y607" s="542"/>
      <c r="Z607" s="542"/>
    </row>
    <row r="608" spans="1:26" ht="18.75">
      <c r="A608" s="573"/>
      <c r="B608" s="574"/>
      <c r="C608" s="574"/>
      <c r="D608" s="574"/>
      <c r="E608" s="586"/>
      <c r="F608" s="586"/>
      <c r="G608" s="175"/>
      <c r="H608" s="182" t="s">
        <v>34</v>
      </c>
      <c r="I608" s="37"/>
      <c r="J608" s="183">
        <f ca="1">IFERROR(__xludf.DUMMYFUNCTION("IMPORTRANGE(""https://docs.google.com/spreadsheets/d/1KxicF4apzSqm0-jIpmueT4kyZtE-Cwn5zskl7GD4loQ/edit?usp=share_link"",""กำแพงเพชร!J608"")+IMPORTRANGE(""https://docs.google.com/spreadsheets/d/1ZNYWeiFoFA1K1U4xKWqRX29MBvEyRHXORjo734Gnq_c/edit?usp=share_li"&amp;"nk"",""เชียงราย!J608"")
+IMPORTRANGE(""https://docs.google.com/spreadsheets/d/1Jgv0Y7YlHDtsiDawwp-uvifEJ8HVaSn0k2aGHG8-hwM/edit?usp=share_link"",""เชียงใหม่!J608"")+IMPORTRANGE(""https://docs.google.com/spreadsheets/d/1JWG2rZePOz9pe-f-ObA-yDr0VoOX2kSb0qIi"&amp;"x2mTUo8/edit?usp=share_link"",""ตาก!J608"")+IMPORTRANGE(""https://docs.google.com/spreadsheets/d/10nSRjK08hx8Y6HgSOQKNw81lyY46Zc7U_Cj72hBMp9U/edit?usp=share_link"",""นครสวรรค์!J608"")+IMPORTRANGE(""https://docs.google.com/spreadsheets/d/1gFVb7qd7amutrIxAA"&amp;"oM7lcy35hllxznovot8lyOfvDo/edit?usp=share_link"",""น่าน!J608"")+IMPORTRANGE(""https://docs.google.com/spreadsheets/d/1K0Aa9s-6EuHE5M0FG1F9aHLXRCOV917xvycTdLdct0w/edit?usp=share_link"",""พะเยา!J608"")+IMPORTRANGE(""https://docs.google.com/spreadsheets/d/1Y"&amp;"9LPKx95PyL5OKy09d-KbKJSuuEZCFdkhYjwC0XQjBA/edit?usp=share_link"",""พิจิตร!J608"")+IMPORTRANGE(""https://docs.google.com/spreadsheets/d/16OMuOwy2eVqZcYWOouQtTpa8X1L23h4660uVHc0C8os/edit?usp=share_link"",""พิษณุโลก!J608"")+IMPORTRANGE(""https://docs.google."&amp;"com/spreadsheets/d/1GfgTldLG6k77HXaMQzaafODklYuucJZQNs_GAPEfZyY/edit?usp=share_link"",""เพชรบูรณ์!J608"")+IMPORTRANGE(""https://docs.google.com/spreadsheets/d/1gvTMYAnm7v1yG1BKWFtr0DnaTsq59oW9dwWvFgq6hs0/edit?usp=share_link"",""แพร่!J608"")+IMPORTRANGE("""&amp;"https://docs.google.com/spreadsheets/d/1Wbcosgy-Xa1xXUArJSOenub6EfZHUSzc_bpJFWwQUf0/edit?usp=share_link"",""แม่ฮ่องสอน!J608"")+IMPORTRANGE(""https://docs.google.com/spreadsheets/d/1p7ERhsr0qZeSn-KSOdeHS9r0heI-lHtkcn2OH7hP0jQ/edit?usp=share_link"",""ลำปาง!"&amp;"J608"")+IMPORTRANGE(""https://docs.google.com/spreadsheets/d/1-uUXvimVhiU2U0bMN-xi2te0tS4X7DI2GLPnMjzl8cA/edit?usp=share_link"",""ลำพูน!J608"")+IMPORTRANGE(""https://docs.google.com/spreadsheets/d/17HrOaa5pBUI1onckFfumXB8xlg35qb2uBAFfF1D-Myo/edit?usp=shar"&amp;"e_link"",""สุโขทัย!J608"")+IMPORTRANGE(""https://docs.google.com/spreadsheets/d/1ubs5cl16eYL9gHbdHTJtmtYb9MGzHBs7CAphn8kNCgM/edit?usp=share_link"",""อุตรดิตถ์!J608"")+IMPORTRANGE(""https://docs.google.com/spreadsheets/d/1kII0BjS6CtVrBvI8IrytgPdxDrlyQDyigz"&amp;"MsohRtDMs/edit?usp=share_link"",""อุทัยธานี!J608"")
"),1)</f>
        <v>1</v>
      </c>
      <c r="K608" s="163"/>
      <c r="L608" s="163"/>
      <c r="M608" s="163"/>
      <c r="N608" s="163"/>
      <c r="O608" s="163"/>
      <c r="P608" s="163"/>
      <c r="Q608" s="542"/>
      <c r="R608" s="542"/>
      <c r="S608" s="542"/>
      <c r="T608" s="542"/>
      <c r="U608" s="542"/>
      <c r="V608" s="542"/>
      <c r="W608" s="542"/>
      <c r="X608" s="542"/>
      <c r="Y608" s="542"/>
      <c r="Z608" s="542"/>
    </row>
    <row r="609" spans="1:26" ht="18.75">
      <c r="A609" s="573"/>
      <c r="B609" s="574"/>
      <c r="C609" s="585" t="s">
        <v>260</v>
      </c>
      <c r="D609" s="574"/>
      <c r="E609" s="574"/>
      <c r="F609" s="586"/>
      <c r="G609" s="175"/>
      <c r="H609" s="182" t="s">
        <v>46</v>
      </c>
      <c r="I609" s="37"/>
      <c r="J609" s="183">
        <f ca="1">IFERROR(__xludf.DUMMYFUNCTION("IMPORTRANGE(""https://docs.google.com/spreadsheets/d/1KxicF4apzSqm0-jIpmueT4kyZtE-Cwn5zskl7GD4loQ/edit?usp=share_link"",""กำแพงเพชร!J609"")+IMPORTRANGE(""https://docs.google.com/spreadsheets/d/1ZNYWeiFoFA1K1U4xKWqRX29MBvEyRHXORjo734Gnq_c/edit?usp=share_li"&amp;"nk"",""เชียงราย!J609"")
+IMPORTRANGE(""https://docs.google.com/spreadsheets/d/1Jgv0Y7YlHDtsiDawwp-uvifEJ8HVaSn0k2aGHG8-hwM/edit?usp=share_link"",""เชียงใหม่!J609"")+IMPORTRANGE(""https://docs.google.com/spreadsheets/d/1JWG2rZePOz9pe-f-ObA-yDr0VoOX2kSb0qIi"&amp;"x2mTUo8/edit?usp=share_link"",""ตาก!J609"")+IMPORTRANGE(""https://docs.google.com/spreadsheets/d/10nSRjK08hx8Y6HgSOQKNw81lyY46Zc7U_Cj72hBMp9U/edit?usp=share_link"",""นครสวรรค์!J609"")+IMPORTRANGE(""https://docs.google.com/spreadsheets/d/1gFVb7qd7amutrIxAA"&amp;"oM7lcy35hllxznovot8lyOfvDo/edit?usp=share_link"",""น่าน!J609"")+IMPORTRANGE(""https://docs.google.com/spreadsheets/d/1K0Aa9s-6EuHE5M0FG1F9aHLXRCOV917xvycTdLdct0w/edit?usp=share_link"",""พะเยา!J609"")+IMPORTRANGE(""https://docs.google.com/spreadsheets/d/1Y"&amp;"9LPKx95PyL5OKy09d-KbKJSuuEZCFdkhYjwC0XQjBA/edit?usp=share_link"",""พิจิตร!J609"")+IMPORTRANGE(""https://docs.google.com/spreadsheets/d/16OMuOwy2eVqZcYWOouQtTpa8X1L23h4660uVHc0C8os/edit?usp=share_link"",""พิษณุโลก!J609"")+IMPORTRANGE(""https://docs.google."&amp;"com/spreadsheets/d/1GfgTldLG6k77HXaMQzaafODklYuucJZQNs_GAPEfZyY/edit?usp=share_link"",""เพชรบูรณ์!J609"")+IMPORTRANGE(""https://docs.google.com/spreadsheets/d/1gvTMYAnm7v1yG1BKWFtr0DnaTsq59oW9dwWvFgq6hs0/edit?usp=share_link"",""แพร่!J609"")+IMPORTRANGE("""&amp;"https://docs.google.com/spreadsheets/d/1Wbcosgy-Xa1xXUArJSOenub6EfZHUSzc_bpJFWwQUf0/edit?usp=share_link"",""แม่ฮ่องสอน!J609"")+IMPORTRANGE(""https://docs.google.com/spreadsheets/d/1p7ERhsr0qZeSn-KSOdeHS9r0heI-lHtkcn2OH7hP0jQ/edit?usp=share_link"",""ลำปาง!"&amp;"J609"")+IMPORTRANGE(""https://docs.google.com/spreadsheets/d/1-uUXvimVhiU2U0bMN-xi2te0tS4X7DI2GLPnMjzl8cA/edit?usp=share_link"",""ลำพูน!J609"")+IMPORTRANGE(""https://docs.google.com/spreadsheets/d/17HrOaa5pBUI1onckFfumXB8xlg35qb2uBAFfF1D-Myo/edit?usp=shar"&amp;"e_link"",""สุโขทัย!J609"")+IMPORTRANGE(""https://docs.google.com/spreadsheets/d/1ubs5cl16eYL9gHbdHTJtmtYb9MGzHBs7CAphn8kNCgM/edit?usp=share_link"",""อุตรดิตถ์!J609"")+IMPORTRANGE(""https://docs.google.com/spreadsheets/d/1kII0BjS6CtVrBvI8IrytgPdxDrlyQDyigz"&amp;"MsohRtDMs/edit?usp=share_link"",""อุทัยธานี!J609"")
"),0)</f>
        <v>0</v>
      </c>
      <c r="K609" s="163"/>
      <c r="L609" s="163"/>
      <c r="M609" s="163"/>
      <c r="N609" s="163"/>
      <c r="O609" s="163"/>
      <c r="P609" s="163"/>
      <c r="Q609" s="542"/>
      <c r="R609" s="542"/>
      <c r="S609" s="542"/>
      <c r="T609" s="542"/>
      <c r="U609" s="542"/>
      <c r="V609" s="542"/>
      <c r="W609" s="542"/>
      <c r="X609" s="542"/>
      <c r="Y609" s="542"/>
      <c r="Z609" s="542"/>
    </row>
    <row r="610" spans="1:26" ht="18.75">
      <c r="A610" s="573"/>
      <c r="B610" s="574"/>
      <c r="C610" s="574"/>
      <c r="D610" s="574"/>
      <c r="E610" s="586"/>
      <c r="F610" s="586"/>
      <c r="G610" s="175"/>
      <c r="H610" s="182" t="s">
        <v>34</v>
      </c>
      <c r="I610" s="37"/>
      <c r="J610" s="183">
        <f ca="1">IFERROR(__xludf.DUMMYFUNCTION("IMPORTRANGE(""https://docs.google.com/spreadsheets/d/1KxicF4apzSqm0-jIpmueT4kyZtE-Cwn5zskl7GD4loQ/edit?usp=share_link"",""กำแพงเพชร!J610"")+IMPORTRANGE(""https://docs.google.com/spreadsheets/d/1ZNYWeiFoFA1K1U4xKWqRX29MBvEyRHXORjo734Gnq_c/edit?usp=share_li"&amp;"nk"",""เชียงราย!J610"")
+IMPORTRANGE(""https://docs.google.com/spreadsheets/d/1Jgv0Y7YlHDtsiDawwp-uvifEJ8HVaSn0k2aGHG8-hwM/edit?usp=share_link"",""เชียงใหม่!J610"")+IMPORTRANGE(""https://docs.google.com/spreadsheets/d/1JWG2rZePOz9pe-f-ObA-yDr0VoOX2kSb0qIi"&amp;"x2mTUo8/edit?usp=share_link"",""ตาก!J610"")+IMPORTRANGE(""https://docs.google.com/spreadsheets/d/10nSRjK08hx8Y6HgSOQKNw81lyY46Zc7U_Cj72hBMp9U/edit?usp=share_link"",""นครสวรรค์!J610"")+IMPORTRANGE(""https://docs.google.com/spreadsheets/d/1gFVb7qd7amutrIxAA"&amp;"oM7lcy35hllxznovot8lyOfvDo/edit?usp=share_link"",""น่าน!J610"")+IMPORTRANGE(""https://docs.google.com/spreadsheets/d/1K0Aa9s-6EuHE5M0FG1F9aHLXRCOV917xvycTdLdct0w/edit?usp=share_link"",""พะเยา!J610"")+IMPORTRANGE(""https://docs.google.com/spreadsheets/d/1Y"&amp;"9LPKx95PyL5OKy09d-KbKJSuuEZCFdkhYjwC0XQjBA/edit?usp=share_link"",""พิจิตร!J610"")+IMPORTRANGE(""https://docs.google.com/spreadsheets/d/16OMuOwy2eVqZcYWOouQtTpa8X1L23h4660uVHc0C8os/edit?usp=share_link"",""พิษณุโลก!J610"")+IMPORTRANGE(""https://docs.google."&amp;"com/spreadsheets/d/1GfgTldLG6k77HXaMQzaafODklYuucJZQNs_GAPEfZyY/edit?usp=share_link"",""เพชรบูรณ์!J610"")+IMPORTRANGE(""https://docs.google.com/spreadsheets/d/1gvTMYAnm7v1yG1BKWFtr0DnaTsq59oW9dwWvFgq6hs0/edit?usp=share_link"",""แพร่!J610"")+IMPORTRANGE("""&amp;"https://docs.google.com/spreadsheets/d/1Wbcosgy-Xa1xXUArJSOenub6EfZHUSzc_bpJFWwQUf0/edit?usp=share_link"",""แม่ฮ่องสอน!J610"")+IMPORTRANGE(""https://docs.google.com/spreadsheets/d/1p7ERhsr0qZeSn-KSOdeHS9r0heI-lHtkcn2OH7hP0jQ/edit?usp=share_link"",""ลำปาง!"&amp;"J610"")+IMPORTRANGE(""https://docs.google.com/spreadsheets/d/1-uUXvimVhiU2U0bMN-xi2te0tS4X7DI2GLPnMjzl8cA/edit?usp=share_link"",""ลำพูน!J610"")+IMPORTRANGE(""https://docs.google.com/spreadsheets/d/17HrOaa5pBUI1onckFfumXB8xlg35qb2uBAFfF1D-Myo/edit?usp=shar"&amp;"e_link"",""สุโขทัย!J610"")+IMPORTRANGE(""https://docs.google.com/spreadsheets/d/1ubs5cl16eYL9gHbdHTJtmtYb9MGzHBs7CAphn8kNCgM/edit?usp=share_link"",""อุตรดิตถ์!J610"")+IMPORTRANGE(""https://docs.google.com/spreadsheets/d/1kII0BjS6CtVrBvI8IrytgPdxDrlyQDyigz"&amp;"MsohRtDMs/edit?usp=share_link"",""อุทัยธานี!J610"")
"),0)</f>
        <v>0</v>
      </c>
      <c r="K610" s="163"/>
      <c r="L610" s="163"/>
      <c r="M610" s="163"/>
      <c r="N610" s="163"/>
      <c r="O610" s="163"/>
      <c r="P610" s="163"/>
      <c r="Q610" s="542"/>
      <c r="R610" s="542"/>
      <c r="S610" s="542"/>
      <c r="T610" s="542"/>
      <c r="U610" s="542"/>
      <c r="V610" s="542"/>
      <c r="W610" s="542"/>
      <c r="X610" s="542"/>
      <c r="Y610" s="542"/>
      <c r="Z610" s="542"/>
    </row>
    <row r="611" spans="1:26" ht="19.5">
      <c r="A611" s="658"/>
      <c r="B611" s="672" t="s">
        <v>261</v>
      </c>
      <c r="C611" s="660"/>
      <c r="D611" s="660"/>
      <c r="E611" s="639"/>
      <c r="F611" s="639"/>
      <c r="G611" s="640"/>
      <c r="H611" s="673" t="s">
        <v>46</v>
      </c>
      <c r="I611" s="674">
        <v>0</v>
      </c>
      <c r="J611" s="642">
        <f>J614+J616</f>
        <v>0</v>
      </c>
      <c r="K611" s="643">
        <f t="shared" ref="K611:K613" si="296">IF(I611&gt;0,J611*100/I611,0)</f>
        <v>0</v>
      </c>
      <c r="L611" s="644"/>
      <c r="M611" s="644"/>
      <c r="N611" s="644"/>
      <c r="O611" s="644"/>
      <c r="P611" s="644"/>
      <c r="Q611" s="542"/>
      <c r="R611" s="542"/>
      <c r="S611" s="542"/>
      <c r="T611" s="542"/>
      <c r="U611" s="542"/>
      <c r="V611" s="542"/>
      <c r="W611" s="542"/>
      <c r="X611" s="542"/>
      <c r="Y611" s="542"/>
      <c r="Z611" s="542"/>
    </row>
    <row r="612" spans="1:26" ht="19.5" hidden="1">
      <c r="A612" s="675"/>
      <c r="B612" s="676"/>
      <c r="C612" s="677" t="s">
        <v>262</v>
      </c>
      <c r="D612" s="676"/>
      <c r="E612" s="676"/>
      <c r="F612" s="678"/>
      <c r="G612" s="679"/>
      <c r="H612" s="680" t="s">
        <v>46</v>
      </c>
      <c r="I612" s="681">
        <v>0</v>
      </c>
      <c r="J612" s="682">
        <f t="shared" ref="J612:J613" si="297">J614+J616</f>
        <v>0</v>
      </c>
      <c r="K612" s="683">
        <f t="shared" si="296"/>
        <v>0</v>
      </c>
      <c r="L612" s="684"/>
      <c r="M612" s="684"/>
      <c r="N612" s="684"/>
      <c r="O612" s="684"/>
      <c r="P612" s="684"/>
      <c r="Q612" s="569"/>
      <c r="R612" s="569"/>
      <c r="S612" s="569"/>
      <c r="T612" s="569"/>
      <c r="U612" s="569"/>
      <c r="V612" s="569"/>
      <c r="W612" s="569"/>
      <c r="X612" s="569"/>
      <c r="Y612" s="569"/>
      <c r="Z612" s="569"/>
    </row>
    <row r="613" spans="1:26" ht="19.5" hidden="1">
      <c r="A613" s="675"/>
      <c r="B613" s="676"/>
      <c r="C613" s="685" t="s">
        <v>263</v>
      </c>
      <c r="D613" s="676"/>
      <c r="E613" s="676"/>
      <c r="F613" s="678"/>
      <c r="G613" s="679"/>
      <c r="H613" s="680" t="s">
        <v>34</v>
      </c>
      <c r="I613" s="681">
        <v>0</v>
      </c>
      <c r="J613" s="682">
        <f t="shared" si="297"/>
        <v>0</v>
      </c>
      <c r="K613" s="683">
        <f t="shared" si="296"/>
        <v>0</v>
      </c>
      <c r="L613" s="684"/>
      <c r="M613" s="684"/>
      <c r="N613" s="684"/>
      <c r="O613" s="684"/>
      <c r="P613" s="684"/>
      <c r="Q613" s="569"/>
      <c r="R613" s="569"/>
      <c r="S613" s="569"/>
      <c r="T613" s="569"/>
      <c r="U613" s="569"/>
      <c r="V613" s="569"/>
      <c r="W613" s="569"/>
      <c r="X613" s="569"/>
      <c r="Y613" s="569"/>
      <c r="Z613" s="569"/>
    </row>
    <row r="614" spans="1:26" ht="18.75" hidden="1">
      <c r="A614" s="579"/>
      <c r="B614" s="580"/>
      <c r="C614" s="580"/>
      <c r="D614" s="686" t="s">
        <v>264</v>
      </c>
      <c r="E614" s="580"/>
      <c r="F614" s="566"/>
      <c r="G614" s="582"/>
      <c r="H614" s="583" t="s">
        <v>46</v>
      </c>
      <c r="I614" s="44"/>
      <c r="J614" s="584">
        <v>0</v>
      </c>
      <c r="K614" s="167"/>
      <c r="L614" s="167"/>
      <c r="M614" s="167"/>
      <c r="N614" s="167"/>
      <c r="O614" s="167"/>
      <c r="P614" s="167"/>
      <c r="Q614" s="569"/>
      <c r="R614" s="569"/>
      <c r="S614" s="569"/>
      <c r="T614" s="569"/>
      <c r="U614" s="569"/>
      <c r="V614" s="569"/>
      <c r="W614" s="569"/>
      <c r="X614" s="569"/>
      <c r="Y614" s="569"/>
      <c r="Z614" s="569"/>
    </row>
    <row r="615" spans="1:26" ht="18.75" hidden="1">
      <c r="A615" s="579"/>
      <c r="B615" s="580"/>
      <c r="C615" s="580"/>
      <c r="D615" s="580"/>
      <c r="E615" s="580"/>
      <c r="F615" s="566"/>
      <c r="G615" s="582"/>
      <c r="H615" s="583" t="s">
        <v>34</v>
      </c>
      <c r="I615" s="44"/>
      <c r="J615" s="584">
        <v>0</v>
      </c>
      <c r="K615" s="167"/>
      <c r="L615" s="167"/>
      <c r="M615" s="167"/>
      <c r="N615" s="167"/>
      <c r="O615" s="167"/>
      <c r="P615" s="167"/>
      <c r="Q615" s="569"/>
      <c r="R615" s="569"/>
      <c r="S615" s="569"/>
      <c r="T615" s="569"/>
      <c r="U615" s="569"/>
      <c r="V615" s="569"/>
      <c r="W615" s="569"/>
      <c r="X615" s="569"/>
      <c r="Y615" s="569"/>
      <c r="Z615" s="569"/>
    </row>
    <row r="616" spans="1:26" ht="18.75" hidden="1">
      <c r="A616" s="579"/>
      <c r="B616" s="580"/>
      <c r="C616" s="580"/>
      <c r="D616" s="687" t="s">
        <v>264</v>
      </c>
      <c r="E616" s="566"/>
      <c r="F616" s="566"/>
      <c r="G616" s="582"/>
      <c r="H616" s="583" t="s">
        <v>46</v>
      </c>
      <c r="I616" s="44"/>
      <c r="J616" s="584">
        <v>0</v>
      </c>
      <c r="K616" s="167"/>
      <c r="L616" s="167"/>
      <c r="M616" s="167"/>
      <c r="N616" s="167"/>
      <c r="O616" s="167"/>
      <c r="P616" s="167"/>
      <c r="Q616" s="569"/>
      <c r="R616" s="569"/>
      <c r="S616" s="569"/>
      <c r="T616" s="569"/>
      <c r="U616" s="569"/>
      <c r="V616" s="569"/>
      <c r="W616" s="569"/>
      <c r="X616" s="569"/>
      <c r="Y616" s="569"/>
      <c r="Z616" s="569"/>
    </row>
    <row r="617" spans="1:26" ht="18.75" hidden="1">
      <c r="A617" s="579"/>
      <c r="B617" s="580"/>
      <c r="C617" s="580"/>
      <c r="D617" s="580"/>
      <c r="E617" s="566"/>
      <c r="F617" s="566"/>
      <c r="G617" s="582"/>
      <c r="H617" s="583" t="s">
        <v>34</v>
      </c>
      <c r="I617" s="44"/>
      <c r="J617" s="584">
        <v>0</v>
      </c>
      <c r="K617" s="167"/>
      <c r="L617" s="167"/>
      <c r="M617" s="167"/>
      <c r="N617" s="167"/>
      <c r="O617" s="167"/>
      <c r="P617" s="167"/>
      <c r="Q617" s="569"/>
      <c r="R617" s="569"/>
      <c r="S617" s="569"/>
      <c r="T617" s="569"/>
      <c r="U617" s="569"/>
      <c r="V617" s="569"/>
      <c r="W617" s="569"/>
      <c r="X617" s="569"/>
      <c r="Y617" s="569"/>
      <c r="Z617" s="569"/>
    </row>
    <row r="618" spans="1:26" ht="18.75" hidden="1">
      <c r="A618" s="579"/>
      <c r="B618" s="580"/>
      <c r="C618" s="580"/>
      <c r="D618" s="687" t="s">
        <v>265</v>
      </c>
      <c r="E618" s="566"/>
      <c r="F618" s="566"/>
      <c r="G618" s="582"/>
      <c r="H618" s="583" t="s">
        <v>46</v>
      </c>
      <c r="I618" s="44"/>
      <c r="J618" s="584">
        <v>0</v>
      </c>
      <c r="K618" s="167"/>
      <c r="L618" s="167"/>
      <c r="M618" s="167"/>
      <c r="N618" s="167"/>
      <c r="O618" s="167"/>
      <c r="P618" s="167"/>
      <c r="Q618" s="569"/>
      <c r="R618" s="569"/>
      <c r="S618" s="569"/>
      <c r="T618" s="569"/>
      <c r="U618" s="569"/>
      <c r="V618" s="569"/>
      <c r="W618" s="569"/>
      <c r="X618" s="569"/>
      <c r="Y618" s="569"/>
      <c r="Z618" s="569"/>
    </row>
    <row r="619" spans="1:26" ht="18.75" hidden="1">
      <c r="A619" s="579"/>
      <c r="B619" s="580"/>
      <c r="C619" s="580"/>
      <c r="D619" s="580"/>
      <c r="E619" s="566"/>
      <c r="F619" s="566"/>
      <c r="G619" s="582"/>
      <c r="H619" s="583" t="s">
        <v>34</v>
      </c>
      <c r="I619" s="44"/>
      <c r="J619" s="584">
        <v>0</v>
      </c>
      <c r="K619" s="167"/>
      <c r="L619" s="167"/>
      <c r="M619" s="167"/>
      <c r="N619" s="167"/>
      <c r="O619" s="167"/>
      <c r="P619" s="167"/>
      <c r="Q619" s="569"/>
      <c r="R619" s="569"/>
      <c r="S619" s="569"/>
      <c r="T619" s="569"/>
      <c r="U619" s="569"/>
      <c r="V619" s="569"/>
      <c r="W619" s="569"/>
      <c r="X619" s="569"/>
      <c r="Y619" s="569"/>
      <c r="Z619" s="569"/>
    </row>
    <row r="620" spans="1:26" ht="19.5">
      <c r="A620" s="688"/>
      <c r="B620" s="689"/>
      <c r="C620" s="690" t="s">
        <v>266</v>
      </c>
      <c r="D620" s="689"/>
      <c r="E620" s="689"/>
      <c r="F620" s="691"/>
      <c r="G620" s="692"/>
      <c r="H620" s="693" t="s">
        <v>46</v>
      </c>
      <c r="I620" s="694">
        <f ca="1">IFERROR(__xludf.DUMMYFUNCTION("IMPORTRANGE(""https://docs.google.com/spreadsheets/d/1KxicF4apzSqm0-jIpmueT4kyZtE-Cwn5zskl7GD4loQ/edit?usp=share_link"",""กำแพงเพชร!I620"")+IMPORTRANGE(""https://docs.google.com/spreadsheets/d/1ZNYWeiFoFA1K1U4xKWqRX29MBvEyRHXORjo734Gnq_c/edit?usp=share_li"&amp;"nk"",""เชียงราย!I620"")
+IMPORTRANGE(""https://docs.google.com/spreadsheets/d/1Jgv0Y7YlHDtsiDawwp-uvifEJ8HVaSn0k2aGHG8-hwM/edit?usp=share_link"",""เชียงใหม่!I620"")+IMPORTRANGE(""https://docs.google.com/spreadsheets/d/1JWG2rZePOz9pe-f-ObA-yDr0VoOX2kSb0qIi"&amp;"x2mTUo8/edit?usp=share_link"",""ตาก!I620"")+IMPORTRANGE(""https://docs.google.com/spreadsheets/d/10nSRjK08hx8Y6HgSOQKNw81lyY46Zc7U_Cj72hBMp9U/edit?usp=share_link"",""นครสวรรค์!I620"")+IMPORTRANGE(""https://docs.google.com/spreadsheets/d/1gFVb7qd7amutrIxAA"&amp;"oM7lcy35hllxznovot8lyOfvDo/edit?usp=share_link"",""น่าน!I620"")+IMPORTRANGE(""https://docs.google.com/spreadsheets/d/1K0Aa9s-6EuHE5M0FG1F9aHLXRCOV917xvycTdLdct0w/edit?usp=share_link"",""พะเยา!I620"")+IMPORTRANGE(""https://docs.google.com/spreadsheets/d/1Y"&amp;"9LPKx95PyL5OKy09d-KbKJSuuEZCFdkhYjwC0XQjBA/edit?usp=share_link"",""พิจิตร!I620"")+IMPORTRANGE(""https://docs.google.com/spreadsheets/d/16OMuOwy2eVqZcYWOouQtTpa8X1L23h4660uVHc0C8os/edit?usp=share_link"",""พิษณุโลก!I620"")+IMPORTRANGE(""https://docs.google."&amp;"com/spreadsheets/d/1GfgTldLG6k77HXaMQzaafODklYuucJZQNs_GAPEfZyY/edit?usp=share_link"",""เพชรบูรณ์!I620"")+IMPORTRANGE(""https://docs.google.com/spreadsheets/d/1gvTMYAnm7v1yG1BKWFtr0DnaTsq59oW9dwWvFgq6hs0/edit?usp=share_link"",""แพร่!I620"")+IMPORTRANGE("""&amp;"https://docs.google.com/spreadsheets/d/1Wbcosgy-Xa1xXUArJSOenub6EfZHUSzc_bpJFWwQUf0/edit?usp=share_link"",""แม่ฮ่องสอน!I620"")+IMPORTRANGE(""https://docs.google.com/spreadsheets/d/1p7ERhsr0qZeSn-KSOdeHS9r0heI-lHtkcn2OH7hP0jQ/edit?usp=share_link"",""ลำปาง!"&amp;"I620"")+IMPORTRANGE(""https://docs.google.com/spreadsheets/d/1-uUXvimVhiU2U0bMN-xi2te0tS4X7DI2GLPnMjzl8cA/edit?usp=share_link"",""ลำพูน!I620"")+IMPORTRANGE(""https://docs.google.com/spreadsheets/d/17HrOaa5pBUI1onckFfumXB8xlg35qb2uBAFfF1D-Myo/edit?usp=shar"&amp;"e_link"",""สุโขทัย!I620"")+IMPORTRANGE(""https://docs.google.com/spreadsheets/d/1ubs5cl16eYL9gHbdHTJtmtYb9MGzHBs7CAphn8kNCgM/edit?usp=share_link"",""อุตรดิตถ์!I620"")+IMPORTRANGE(""https://docs.google.com/spreadsheets/d/1kII0BjS6CtVrBvI8IrytgPdxDrlyQDyigz"&amp;"MsohRtDMs/edit?usp=share_link"",""อุทัยธานี!I620"")
"),2500)</f>
        <v>2500</v>
      </c>
      <c r="J620" s="694">
        <f t="shared" ref="J620:J621" ca="1" si="298">J622+J624+J626</f>
        <v>149</v>
      </c>
      <c r="K620" s="695">
        <f t="shared" ref="K620:K621" ca="1" si="299">IF(I620&gt;0,J620*100/I620,0)</f>
        <v>5.96</v>
      </c>
      <c r="L620" s="696"/>
      <c r="M620" s="696"/>
      <c r="N620" s="696"/>
      <c r="O620" s="696"/>
      <c r="P620" s="696"/>
      <c r="Q620" s="542"/>
      <c r="R620" s="542"/>
      <c r="S620" s="542"/>
      <c r="T620" s="542"/>
      <c r="U620" s="542"/>
      <c r="V620" s="542"/>
      <c r="W620" s="542"/>
      <c r="X620" s="542"/>
      <c r="Y620" s="542"/>
      <c r="Z620" s="542"/>
    </row>
    <row r="621" spans="1:26" ht="19.5">
      <c r="A621" s="688"/>
      <c r="B621" s="689"/>
      <c r="C621" s="697" t="s">
        <v>267</v>
      </c>
      <c r="D621" s="689"/>
      <c r="E621" s="689"/>
      <c r="F621" s="691"/>
      <c r="G621" s="692"/>
      <c r="H621" s="693" t="s">
        <v>34</v>
      </c>
      <c r="I621" s="694">
        <f ca="1">IFERROR(__xludf.DUMMYFUNCTION("IMPORTRANGE(""https://docs.google.com/spreadsheets/d/1KxicF4apzSqm0-jIpmueT4kyZtE-Cwn5zskl7GD4loQ/edit?usp=share_link"",""กำแพงเพชร!I621"")+IMPORTRANGE(""https://docs.google.com/spreadsheets/d/1ZNYWeiFoFA1K1U4xKWqRX29MBvEyRHXORjo734Gnq_c/edit?usp=share_li"&amp;"nk"",""เชียงราย!I621"")
+IMPORTRANGE(""https://docs.google.com/spreadsheets/d/1Jgv0Y7YlHDtsiDawwp-uvifEJ8HVaSn0k2aGHG8-hwM/edit?usp=share_link"",""เชียงใหม่!I621"")+IMPORTRANGE(""https://docs.google.com/spreadsheets/d/1JWG2rZePOz9pe-f-ObA-yDr0VoOX2kSb0qIi"&amp;"x2mTUo8/edit?usp=share_link"",""ตาก!I621"")+IMPORTRANGE(""https://docs.google.com/spreadsheets/d/10nSRjK08hx8Y6HgSOQKNw81lyY46Zc7U_Cj72hBMp9U/edit?usp=share_link"",""นครสวรรค์!I621"")+IMPORTRANGE(""https://docs.google.com/spreadsheets/d/1gFVb7qd7amutrIxAA"&amp;"oM7lcy35hllxznovot8lyOfvDo/edit?usp=share_link"",""น่าน!I621"")+IMPORTRANGE(""https://docs.google.com/spreadsheets/d/1K0Aa9s-6EuHE5M0FG1F9aHLXRCOV917xvycTdLdct0w/edit?usp=share_link"",""พะเยา!I621"")+IMPORTRANGE(""https://docs.google.com/spreadsheets/d/1Y"&amp;"9LPKx95PyL5OKy09d-KbKJSuuEZCFdkhYjwC0XQjBA/edit?usp=share_link"",""พิจิตร!I621"")+IMPORTRANGE(""https://docs.google.com/spreadsheets/d/16OMuOwy2eVqZcYWOouQtTpa8X1L23h4660uVHc0C8os/edit?usp=share_link"",""พิษณุโลก!I621"")+IMPORTRANGE(""https://docs.google."&amp;"com/spreadsheets/d/1GfgTldLG6k77HXaMQzaafODklYuucJZQNs_GAPEfZyY/edit?usp=share_link"",""เพชรบูรณ์!I621"")+IMPORTRANGE(""https://docs.google.com/spreadsheets/d/1gvTMYAnm7v1yG1BKWFtr0DnaTsq59oW9dwWvFgq6hs0/edit?usp=share_link"",""แพร่!I621"")+IMPORTRANGE("""&amp;"https://docs.google.com/spreadsheets/d/1Wbcosgy-Xa1xXUArJSOenub6EfZHUSzc_bpJFWwQUf0/edit?usp=share_link"",""แม่ฮ่องสอน!I621"")+IMPORTRANGE(""https://docs.google.com/spreadsheets/d/1p7ERhsr0qZeSn-KSOdeHS9r0heI-lHtkcn2OH7hP0jQ/edit?usp=share_link"",""ลำปาง!"&amp;"I621"")+IMPORTRANGE(""https://docs.google.com/spreadsheets/d/1-uUXvimVhiU2U0bMN-xi2te0tS4X7DI2GLPnMjzl8cA/edit?usp=share_link"",""ลำพูน!I621"")+IMPORTRANGE(""https://docs.google.com/spreadsheets/d/17HrOaa5pBUI1onckFfumXB8xlg35qb2uBAFfF1D-Myo/edit?usp=shar"&amp;"e_link"",""สุโขทัย!I621"")+IMPORTRANGE(""https://docs.google.com/spreadsheets/d/1ubs5cl16eYL9gHbdHTJtmtYb9MGzHBs7CAphn8kNCgM/edit?usp=share_link"",""อุตรดิตถ์!I621"")+IMPORTRANGE(""https://docs.google.com/spreadsheets/d/1kII0BjS6CtVrBvI8IrytgPdxDrlyQDyigz"&amp;"MsohRtDMs/edit?usp=share_link"",""อุทัยธานี!I621"")
"),173)</f>
        <v>173</v>
      </c>
      <c r="J621" s="694">
        <f t="shared" ca="1" si="298"/>
        <v>9</v>
      </c>
      <c r="K621" s="695">
        <f t="shared" ca="1" si="299"/>
        <v>5.202312138728324</v>
      </c>
      <c r="L621" s="696"/>
      <c r="M621" s="696"/>
      <c r="N621" s="696"/>
      <c r="O621" s="696"/>
      <c r="P621" s="696"/>
      <c r="Q621" s="542"/>
      <c r="R621" s="542"/>
      <c r="S621" s="542"/>
      <c r="T621" s="542"/>
      <c r="U621" s="542"/>
      <c r="V621" s="542"/>
      <c r="W621" s="542"/>
      <c r="X621" s="542"/>
      <c r="Y621" s="542"/>
      <c r="Z621" s="542"/>
    </row>
    <row r="622" spans="1:26" ht="18.75">
      <c r="A622" s="573"/>
      <c r="B622" s="574"/>
      <c r="C622" s="574"/>
      <c r="D622" s="263" t="s">
        <v>268</v>
      </c>
      <c r="E622" s="586"/>
      <c r="F622" s="586"/>
      <c r="G622" s="175"/>
      <c r="H622" s="182" t="s">
        <v>46</v>
      </c>
      <c r="I622" s="37"/>
      <c r="J622" s="183">
        <f ca="1">IFERROR(__xludf.DUMMYFUNCTION("IMPORTRANGE(""https://docs.google.com/spreadsheets/d/1KxicF4apzSqm0-jIpmueT4kyZtE-Cwn5zskl7GD4loQ/edit?usp=share_link"",""กำแพงเพชร!J622"")+IMPORTRANGE(""https://docs.google.com/spreadsheets/d/1ZNYWeiFoFA1K1U4xKWqRX29MBvEyRHXORjo734Gnq_c/edit?usp=share_li"&amp;"nk"",""เชียงราย!J622"")
+IMPORTRANGE(""https://docs.google.com/spreadsheets/d/1Jgv0Y7YlHDtsiDawwp-uvifEJ8HVaSn0k2aGHG8-hwM/edit?usp=share_link"",""เชียงใหม่!J622"")+IMPORTRANGE(""https://docs.google.com/spreadsheets/d/1JWG2rZePOz9pe-f-ObA-yDr0VoOX2kSb0qIi"&amp;"x2mTUo8/edit?usp=share_link"",""ตาก!J622"")+IMPORTRANGE(""https://docs.google.com/spreadsheets/d/10nSRjK08hx8Y6HgSOQKNw81lyY46Zc7U_Cj72hBMp9U/edit?usp=share_link"",""นครสวรรค์!J622"")+IMPORTRANGE(""https://docs.google.com/spreadsheets/d/1gFVb7qd7amutrIxAA"&amp;"oM7lcy35hllxznovot8lyOfvDo/edit?usp=share_link"",""น่าน!J622"")+IMPORTRANGE(""https://docs.google.com/spreadsheets/d/1K0Aa9s-6EuHE5M0FG1F9aHLXRCOV917xvycTdLdct0w/edit?usp=share_link"",""พะเยา!J622"")+IMPORTRANGE(""https://docs.google.com/spreadsheets/d/1Y"&amp;"9LPKx95PyL5OKy09d-KbKJSuuEZCFdkhYjwC0XQjBA/edit?usp=share_link"",""พิจิตร!J622"")+IMPORTRANGE(""https://docs.google.com/spreadsheets/d/16OMuOwy2eVqZcYWOouQtTpa8X1L23h4660uVHc0C8os/edit?usp=share_link"",""พิษณุโลก!J622"")+IMPORTRANGE(""https://docs.google."&amp;"com/spreadsheets/d/1GfgTldLG6k77HXaMQzaafODklYuucJZQNs_GAPEfZyY/edit?usp=share_link"",""เพชรบูรณ์!J622"")+IMPORTRANGE(""https://docs.google.com/spreadsheets/d/1gvTMYAnm7v1yG1BKWFtr0DnaTsq59oW9dwWvFgq6hs0/edit?usp=share_link"",""แพร่!J622"")+IMPORTRANGE("""&amp;"https://docs.google.com/spreadsheets/d/1Wbcosgy-Xa1xXUArJSOenub6EfZHUSzc_bpJFWwQUf0/edit?usp=share_link"",""แม่ฮ่องสอน!J622"")+IMPORTRANGE(""https://docs.google.com/spreadsheets/d/1p7ERhsr0qZeSn-KSOdeHS9r0heI-lHtkcn2OH7hP0jQ/edit?usp=share_link"",""ลำปาง!"&amp;"J622"")+IMPORTRANGE(""https://docs.google.com/spreadsheets/d/1-uUXvimVhiU2U0bMN-xi2te0tS4X7DI2GLPnMjzl8cA/edit?usp=share_link"",""ลำพูน!J622"")+IMPORTRANGE(""https://docs.google.com/spreadsheets/d/17HrOaa5pBUI1onckFfumXB8xlg35qb2uBAFfF1D-Myo/edit?usp=shar"&amp;"e_link"",""สุโขทัย!J622"")+IMPORTRANGE(""https://docs.google.com/spreadsheets/d/1ubs5cl16eYL9gHbdHTJtmtYb9MGzHBs7CAphn8kNCgM/edit?usp=share_link"",""อุตรดิตถ์!J622"")+IMPORTRANGE(""https://docs.google.com/spreadsheets/d/1kII0BjS6CtVrBvI8IrytgPdxDrlyQDyigz"&amp;"MsohRtDMs/edit?usp=share_link"",""อุทัยธานี!J622"")
"),97)</f>
        <v>97</v>
      </c>
      <c r="K622" s="163"/>
      <c r="L622" s="163"/>
      <c r="M622" s="163"/>
      <c r="N622" s="163"/>
      <c r="O622" s="163"/>
      <c r="P622" s="163"/>
      <c r="Q622" s="542"/>
      <c r="R622" s="542"/>
      <c r="S622" s="542"/>
      <c r="T622" s="542"/>
      <c r="U622" s="542"/>
      <c r="V622" s="542"/>
      <c r="W622" s="542"/>
      <c r="X622" s="542"/>
      <c r="Y622" s="542"/>
      <c r="Z622" s="542"/>
    </row>
    <row r="623" spans="1:26" ht="18.75">
      <c r="A623" s="573"/>
      <c r="B623" s="574"/>
      <c r="C623" s="574"/>
      <c r="D623" s="574"/>
      <c r="E623" s="586"/>
      <c r="F623" s="586"/>
      <c r="G623" s="175"/>
      <c r="H623" s="182" t="s">
        <v>34</v>
      </c>
      <c r="I623" s="37"/>
      <c r="J623" s="183">
        <f ca="1">IFERROR(__xludf.DUMMYFUNCTION("IMPORTRANGE(""https://docs.google.com/spreadsheets/d/1KxicF4apzSqm0-jIpmueT4kyZtE-Cwn5zskl7GD4loQ/edit?usp=share_link"",""กำแพงเพชร!J623"")+IMPORTRANGE(""https://docs.google.com/spreadsheets/d/1ZNYWeiFoFA1K1U4xKWqRX29MBvEyRHXORjo734Gnq_c/edit?usp=share_li"&amp;"nk"",""เชียงราย!J623"")
+IMPORTRANGE(""https://docs.google.com/spreadsheets/d/1Jgv0Y7YlHDtsiDawwp-uvifEJ8HVaSn0k2aGHG8-hwM/edit?usp=share_link"",""เชียงใหม่!J623"")+IMPORTRANGE(""https://docs.google.com/spreadsheets/d/1JWG2rZePOz9pe-f-ObA-yDr0VoOX2kSb0qIi"&amp;"x2mTUo8/edit?usp=share_link"",""ตาก!J623"")+IMPORTRANGE(""https://docs.google.com/spreadsheets/d/10nSRjK08hx8Y6HgSOQKNw81lyY46Zc7U_Cj72hBMp9U/edit?usp=share_link"",""นครสวรรค์!J623"")+IMPORTRANGE(""https://docs.google.com/spreadsheets/d/1gFVb7qd7amutrIxAA"&amp;"oM7lcy35hllxznovot8lyOfvDo/edit?usp=share_link"",""น่าน!J623"")+IMPORTRANGE(""https://docs.google.com/spreadsheets/d/1K0Aa9s-6EuHE5M0FG1F9aHLXRCOV917xvycTdLdct0w/edit?usp=share_link"",""พะเยา!J623"")+IMPORTRANGE(""https://docs.google.com/spreadsheets/d/1Y"&amp;"9LPKx95PyL5OKy09d-KbKJSuuEZCFdkhYjwC0XQjBA/edit?usp=share_link"",""พิจิตร!J623"")+IMPORTRANGE(""https://docs.google.com/spreadsheets/d/16OMuOwy2eVqZcYWOouQtTpa8X1L23h4660uVHc0C8os/edit?usp=share_link"",""พิษณุโลก!J623"")+IMPORTRANGE(""https://docs.google."&amp;"com/spreadsheets/d/1GfgTldLG6k77HXaMQzaafODklYuucJZQNs_GAPEfZyY/edit?usp=share_link"",""เพชรบูรณ์!J623"")+IMPORTRANGE(""https://docs.google.com/spreadsheets/d/1gvTMYAnm7v1yG1BKWFtr0DnaTsq59oW9dwWvFgq6hs0/edit?usp=share_link"",""แพร่!J623"")+IMPORTRANGE("""&amp;"https://docs.google.com/spreadsheets/d/1Wbcosgy-Xa1xXUArJSOenub6EfZHUSzc_bpJFWwQUf0/edit?usp=share_link"",""แม่ฮ่องสอน!J623"")+IMPORTRANGE(""https://docs.google.com/spreadsheets/d/1p7ERhsr0qZeSn-KSOdeHS9r0heI-lHtkcn2OH7hP0jQ/edit?usp=share_link"",""ลำปาง!"&amp;"J623"")+IMPORTRANGE(""https://docs.google.com/spreadsheets/d/1-uUXvimVhiU2U0bMN-xi2te0tS4X7DI2GLPnMjzl8cA/edit?usp=share_link"",""ลำพูน!J623"")+IMPORTRANGE(""https://docs.google.com/spreadsheets/d/17HrOaa5pBUI1onckFfumXB8xlg35qb2uBAFfF1D-Myo/edit?usp=shar"&amp;"e_link"",""สุโขทัย!J623"")+IMPORTRANGE(""https://docs.google.com/spreadsheets/d/1ubs5cl16eYL9gHbdHTJtmtYb9MGzHBs7CAphn8kNCgM/edit?usp=share_link"",""อุตรดิตถ์!J623"")+IMPORTRANGE(""https://docs.google.com/spreadsheets/d/1kII0BjS6CtVrBvI8IrytgPdxDrlyQDyigz"&amp;"MsohRtDMs/edit?usp=share_link"",""อุทัยธานี!J623"")
"),5)</f>
        <v>5</v>
      </c>
      <c r="K623" s="163"/>
      <c r="L623" s="163"/>
      <c r="M623" s="163"/>
      <c r="N623" s="163"/>
      <c r="O623" s="163"/>
      <c r="P623" s="163"/>
      <c r="Q623" s="542"/>
      <c r="R623" s="542"/>
      <c r="S623" s="542"/>
      <c r="T623" s="542"/>
      <c r="U623" s="542"/>
      <c r="V623" s="542"/>
      <c r="W623" s="542"/>
      <c r="X623" s="542"/>
      <c r="Y623" s="542"/>
      <c r="Z623" s="542"/>
    </row>
    <row r="624" spans="1:26" ht="18.75">
      <c r="A624" s="573"/>
      <c r="B624" s="574"/>
      <c r="C624" s="574"/>
      <c r="D624" s="263" t="s">
        <v>264</v>
      </c>
      <c r="E624" s="586"/>
      <c r="F624" s="586"/>
      <c r="G624" s="175"/>
      <c r="H624" s="182" t="s">
        <v>46</v>
      </c>
      <c r="I624" s="37"/>
      <c r="J624" s="183">
        <f ca="1">IFERROR(__xludf.DUMMYFUNCTION("IMPORTRANGE(""https://docs.google.com/spreadsheets/d/1KxicF4apzSqm0-jIpmueT4kyZtE-Cwn5zskl7GD4loQ/edit?usp=share_link"",""กำแพงเพชร!J624"")+IMPORTRANGE(""https://docs.google.com/spreadsheets/d/1ZNYWeiFoFA1K1U4xKWqRX29MBvEyRHXORjo734Gnq_c/edit?usp=share_li"&amp;"nk"",""เชียงราย!J624"")
+IMPORTRANGE(""https://docs.google.com/spreadsheets/d/1Jgv0Y7YlHDtsiDawwp-uvifEJ8HVaSn0k2aGHG8-hwM/edit?usp=share_link"",""เชียงใหม่!J624"")+IMPORTRANGE(""https://docs.google.com/spreadsheets/d/1JWG2rZePOz9pe-f-ObA-yDr0VoOX2kSb0qIi"&amp;"x2mTUo8/edit?usp=share_link"",""ตาก!J624"")+IMPORTRANGE(""https://docs.google.com/spreadsheets/d/10nSRjK08hx8Y6HgSOQKNw81lyY46Zc7U_Cj72hBMp9U/edit?usp=share_link"",""นครสวรรค์!J624"")+IMPORTRANGE(""https://docs.google.com/spreadsheets/d/1gFVb7qd7amutrIxAA"&amp;"oM7lcy35hllxznovot8lyOfvDo/edit?usp=share_link"",""น่าน!J624"")+IMPORTRANGE(""https://docs.google.com/spreadsheets/d/1K0Aa9s-6EuHE5M0FG1F9aHLXRCOV917xvycTdLdct0w/edit?usp=share_link"",""พะเยา!J624"")+IMPORTRANGE(""https://docs.google.com/spreadsheets/d/1Y"&amp;"9LPKx95PyL5OKy09d-KbKJSuuEZCFdkhYjwC0XQjBA/edit?usp=share_link"",""พิจิตร!J624"")+IMPORTRANGE(""https://docs.google.com/spreadsheets/d/16OMuOwy2eVqZcYWOouQtTpa8X1L23h4660uVHc0C8os/edit?usp=share_link"",""พิษณุโลก!J624"")+IMPORTRANGE(""https://docs.google."&amp;"com/spreadsheets/d/1GfgTldLG6k77HXaMQzaafODklYuucJZQNs_GAPEfZyY/edit?usp=share_link"",""เพชรบูรณ์!J624"")+IMPORTRANGE(""https://docs.google.com/spreadsheets/d/1gvTMYAnm7v1yG1BKWFtr0DnaTsq59oW9dwWvFgq6hs0/edit?usp=share_link"",""แพร่!J624"")+IMPORTRANGE("""&amp;"https://docs.google.com/spreadsheets/d/1Wbcosgy-Xa1xXUArJSOenub6EfZHUSzc_bpJFWwQUf0/edit?usp=share_link"",""แม่ฮ่องสอน!J624"")+IMPORTRANGE(""https://docs.google.com/spreadsheets/d/1p7ERhsr0qZeSn-KSOdeHS9r0heI-lHtkcn2OH7hP0jQ/edit?usp=share_link"",""ลำปาง!"&amp;"J624"")+IMPORTRANGE(""https://docs.google.com/spreadsheets/d/1-uUXvimVhiU2U0bMN-xi2te0tS4X7DI2GLPnMjzl8cA/edit?usp=share_link"",""ลำพูน!J624"")+IMPORTRANGE(""https://docs.google.com/spreadsheets/d/17HrOaa5pBUI1onckFfumXB8xlg35qb2uBAFfF1D-Myo/edit?usp=shar"&amp;"e_link"",""สุโขทัย!J624"")+IMPORTRANGE(""https://docs.google.com/spreadsheets/d/1ubs5cl16eYL9gHbdHTJtmtYb9MGzHBs7CAphn8kNCgM/edit?usp=share_link"",""อุตรดิตถ์!J624"")+IMPORTRANGE(""https://docs.google.com/spreadsheets/d/1kII0BjS6CtVrBvI8IrytgPdxDrlyQDyigz"&amp;"MsohRtDMs/edit?usp=share_link"",""อุทัยธานี!J624"")
"),1)</f>
        <v>1</v>
      </c>
      <c r="K624" s="163"/>
      <c r="L624" s="163"/>
      <c r="M624" s="163"/>
      <c r="N624" s="163"/>
      <c r="O624" s="163"/>
      <c r="P624" s="163"/>
      <c r="Q624" s="542"/>
      <c r="R624" s="542"/>
      <c r="S624" s="542"/>
      <c r="T624" s="542"/>
      <c r="U624" s="542"/>
      <c r="V624" s="542"/>
      <c r="W624" s="542"/>
      <c r="X624" s="542"/>
      <c r="Y624" s="542"/>
      <c r="Z624" s="542"/>
    </row>
    <row r="625" spans="1:26" ht="18.75">
      <c r="A625" s="573"/>
      <c r="B625" s="574"/>
      <c r="C625" s="574"/>
      <c r="D625" s="574"/>
      <c r="E625" s="586"/>
      <c r="F625" s="586"/>
      <c r="G625" s="175"/>
      <c r="H625" s="182" t="s">
        <v>34</v>
      </c>
      <c r="I625" s="37"/>
      <c r="J625" s="183">
        <f ca="1">IFERROR(__xludf.DUMMYFUNCTION("IMPORTRANGE(""https://docs.google.com/spreadsheets/d/1KxicF4apzSqm0-jIpmueT4kyZtE-Cwn5zskl7GD4loQ/edit?usp=share_link"",""กำแพงเพชร!J625"")+IMPORTRANGE(""https://docs.google.com/spreadsheets/d/1ZNYWeiFoFA1K1U4xKWqRX29MBvEyRHXORjo734Gnq_c/edit?usp=share_li"&amp;"nk"",""เชียงราย!J625"")
+IMPORTRANGE(""https://docs.google.com/spreadsheets/d/1Jgv0Y7YlHDtsiDawwp-uvifEJ8HVaSn0k2aGHG8-hwM/edit?usp=share_link"",""เชียงใหม่!J625"")+IMPORTRANGE(""https://docs.google.com/spreadsheets/d/1JWG2rZePOz9pe-f-ObA-yDr0VoOX2kSb0qIi"&amp;"x2mTUo8/edit?usp=share_link"",""ตาก!J625"")+IMPORTRANGE(""https://docs.google.com/spreadsheets/d/10nSRjK08hx8Y6HgSOQKNw81lyY46Zc7U_Cj72hBMp9U/edit?usp=share_link"",""นครสวรรค์!J625"")+IMPORTRANGE(""https://docs.google.com/spreadsheets/d/1gFVb7qd7amutrIxAA"&amp;"oM7lcy35hllxznovot8lyOfvDo/edit?usp=share_link"",""น่าน!J625"")+IMPORTRANGE(""https://docs.google.com/spreadsheets/d/1K0Aa9s-6EuHE5M0FG1F9aHLXRCOV917xvycTdLdct0w/edit?usp=share_link"",""พะเยา!J625"")+IMPORTRANGE(""https://docs.google.com/spreadsheets/d/1Y"&amp;"9LPKx95PyL5OKy09d-KbKJSuuEZCFdkhYjwC0XQjBA/edit?usp=share_link"",""พิจิตร!J625"")+IMPORTRANGE(""https://docs.google.com/spreadsheets/d/16OMuOwy2eVqZcYWOouQtTpa8X1L23h4660uVHc0C8os/edit?usp=share_link"",""พิษณุโลก!J625"")+IMPORTRANGE(""https://docs.google."&amp;"com/spreadsheets/d/1GfgTldLG6k77HXaMQzaafODklYuucJZQNs_GAPEfZyY/edit?usp=share_link"",""เพชรบูรณ์!J625"")+IMPORTRANGE(""https://docs.google.com/spreadsheets/d/1gvTMYAnm7v1yG1BKWFtr0DnaTsq59oW9dwWvFgq6hs0/edit?usp=share_link"",""แพร่!J625"")+IMPORTRANGE("""&amp;"https://docs.google.com/spreadsheets/d/1Wbcosgy-Xa1xXUArJSOenub6EfZHUSzc_bpJFWwQUf0/edit?usp=share_link"",""แม่ฮ่องสอน!J625"")+IMPORTRANGE(""https://docs.google.com/spreadsheets/d/1p7ERhsr0qZeSn-KSOdeHS9r0heI-lHtkcn2OH7hP0jQ/edit?usp=share_link"",""ลำปาง!"&amp;"J625"")+IMPORTRANGE(""https://docs.google.com/spreadsheets/d/1-uUXvimVhiU2U0bMN-xi2te0tS4X7DI2GLPnMjzl8cA/edit?usp=share_link"",""ลำพูน!J625"")+IMPORTRANGE(""https://docs.google.com/spreadsheets/d/17HrOaa5pBUI1onckFfumXB8xlg35qb2uBAFfF1D-Myo/edit?usp=shar"&amp;"e_link"",""สุโขทัย!J625"")+IMPORTRANGE(""https://docs.google.com/spreadsheets/d/1ubs5cl16eYL9gHbdHTJtmtYb9MGzHBs7CAphn8kNCgM/edit?usp=share_link"",""อุตรดิตถ์!J625"")+IMPORTRANGE(""https://docs.google.com/spreadsheets/d/1kII0BjS6CtVrBvI8IrytgPdxDrlyQDyigz"&amp;"MsohRtDMs/edit?usp=share_link"",""อุทัยธานี!J625"")
"),1)</f>
        <v>1</v>
      </c>
      <c r="K625" s="163"/>
      <c r="L625" s="163"/>
      <c r="M625" s="163"/>
      <c r="N625" s="163"/>
      <c r="O625" s="163"/>
      <c r="P625" s="163"/>
      <c r="Q625" s="542"/>
      <c r="R625" s="542"/>
      <c r="S625" s="542"/>
      <c r="T625" s="542"/>
      <c r="U625" s="542"/>
      <c r="V625" s="542"/>
      <c r="W625" s="542"/>
      <c r="X625" s="542"/>
      <c r="Y625" s="542"/>
      <c r="Z625" s="542"/>
    </row>
    <row r="626" spans="1:26" ht="18.75">
      <c r="A626" s="573"/>
      <c r="B626" s="574"/>
      <c r="C626" s="574"/>
      <c r="D626" s="263" t="s">
        <v>269</v>
      </c>
      <c r="E626" s="586"/>
      <c r="F626" s="586"/>
      <c r="G626" s="175"/>
      <c r="H626" s="182" t="s">
        <v>46</v>
      </c>
      <c r="I626" s="37"/>
      <c r="J626" s="183">
        <f ca="1">IFERROR(__xludf.DUMMYFUNCTION("IMPORTRANGE(""https://docs.google.com/spreadsheets/d/1KxicF4apzSqm0-jIpmueT4kyZtE-Cwn5zskl7GD4loQ/edit?usp=share_link"",""กำแพงเพชร!J626"")+IMPORTRANGE(""https://docs.google.com/spreadsheets/d/1ZNYWeiFoFA1K1U4xKWqRX29MBvEyRHXORjo734Gnq_c/edit?usp=share_li"&amp;"nk"",""เชียงราย!J626"")
+IMPORTRANGE(""https://docs.google.com/spreadsheets/d/1Jgv0Y7YlHDtsiDawwp-uvifEJ8HVaSn0k2aGHG8-hwM/edit?usp=share_link"",""เชียงใหม่!J626"")+IMPORTRANGE(""https://docs.google.com/spreadsheets/d/1JWG2rZePOz9pe-f-ObA-yDr0VoOX2kSb0qIi"&amp;"x2mTUo8/edit?usp=share_link"",""ตาก!J626"")+IMPORTRANGE(""https://docs.google.com/spreadsheets/d/10nSRjK08hx8Y6HgSOQKNw81lyY46Zc7U_Cj72hBMp9U/edit?usp=share_link"",""นครสวรรค์!J626"")+IMPORTRANGE(""https://docs.google.com/spreadsheets/d/1gFVb7qd7amutrIxAA"&amp;"oM7lcy35hllxznovot8lyOfvDo/edit?usp=share_link"",""น่าน!J626"")+IMPORTRANGE(""https://docs.google.com/spreadsheets/d/1K0Aa9s-6EuHE5M0FG1F9aHLXRCOV917xvycTdLdct0w/edit?usp=share_link"",""พะเยา!J626"")+IMPORTRANGE(""https://docs.google.com/spreadsheets/d/1Y"&amp;"9LPKx95PyL5OKy09d-KbKJSuuEZCFdkhYjwC0XQjBA/edit?usp=share_link"",""พิจิตร!J626"")+IMPORTRANGE(""https://docs.google.com/spreadsheets/d/16OMuOwy2eVqZcYWOouQtTpa8X1L23h4660uVHc0C8os/edit?usp=share_link"",""พิษณุโลก!J626"")+IMPORTRANGE(""https://docs.google."&amp;"com/spreadsheets/d/1GfgTldLG6k77HXaMQzaafODklYuucJZQNs_GAPEfZyY/edit?usp=share_link"",""เพชรบูรณ์!J626"")+IMPORTRANGE(""https://docs.google.com/spreadsheets/d/1gvTMYAnm7v1yG1BKWFtr0DnaTsq59oW9dwWvFgq6hs0/edit?usp=share_link"",""แพร่!J626"")+IMPORTRANGE("""&amp;"https://docs.google.com/spreadsheets/d/1Wbcosgy-Xa1xXUArJSOenub6EfZHUSzc_bpJFWwQUf0/edit?usp=share_link"",""แม่ฮ่องสอน!J626"")+IMPORTRANGE(""https://docs.google.com/spreadsheets/d/1p7ERhsr0qZeSn-KSOdeHS9r0heI-lHtkcn2OH7hP0jQ/edit?usp=share_link"",""ลำปาง!"&amp;"J626"")+IMPORTRANGE(""https://docs.google.com/spreadsheets/d/1-uUXvimVhiU2U0bMN-xi2te0tS4X7DI2GLPnMjzl8cA/edit?usp=share_link"",""ลำพูน!J626"")+IMPORTRANGE(""https://docs.google.com/spreadsheets/d/17HrOaa5pBUI1onckFfumXB8xlg35qb2uBAFfF1D-Myo/edit?usp=shar"&amp;"e_link"",""สุโขทัย!J626"")+IMPORTRANGE(""https://docs.google.com/spreadsheets/d/1ubs5cl16eYL9gHbdHTJtmtYb9MGzHBs7CAphn8kNCgM/edit?usp=share_link"",""อุตรดิตถ์!J626"")+IMPORTRANGE(""https://docs.google.com/spreadsheets/d/1kII0BjS6CtVrBvI8IrytgPdxDrlyQDyigz"&amp;"MsohRtDMs/edit?usp=share_link"",""อุทัยธานี!J626"")
"),51)</f>
        <v>51</v>
      </c>
      <c r="K626" s="163"/>
      <c r="L626" s="163"/>
      <c r="M626" s="163"/>
      <c r="N626" s="163"/>
      <c r="O626" s="163"/>
      <c r="P626" s="163"/>
      <c r="Q626" s="542"/>
      <c r="R626" s="542"/>
      <c r="S626" s="542"/>
      <c r="T626" s="542"/>
      <c r="U626" s="542"/>
      <c r="V626" s="542"/>
      <c r="W626" s="542"/>
      <c r="X626" s="542"/>
      <c r="Y626" s="542"/>
      <c r="Z626" s="542"/>
    </row>
    <row r="627" spans="1:26" ht="18.75">
      <c r="A627" s="698"/>
      <c r="B627" s="699"/>
      <c r="C627" s="699"/>
      <c r="D627" s="699"/>
      <c r="E627" s="700"/>
      <c r="F627" s="700"/>
      <c r="G627" s="701"/>
      <c r="H627" s="391" t="s">
        <v>34</v>
      </c>
      <c r="I627" s="469"/>
      <c r="J627" s="393">
        <f ca="1">IFERROR(__xludf.DUMMYFUNCTION("IMPORTRANGE(""https://docs.google.com/spreadsheets/d/1KxicF4apzSqm0-jIpmueT4kyZtE-Cwn5zskl7GD4loQ/edit?usp=share_link"",""กำแพงเพชร!J627"")+IMPORTRANGE(""https://docs.google.com/spreadsheets/d/1ZNYWeiFoFA1K1U4xKWqRX29MBvEyRHXORjo734Gnq_c/edit?usp=share_li"&amp;"nk"",""เชียงราย!J627"")
+IMPORTRANGE(""https://docs.google.com/spreadsheets/d/1Jgv0Y7YlHDtsiDawwp-uvifEJ8HVaSn0k2aGHG8-hwM/edit?usp=share_link"",""เชียงใหม่!J627"")+IMPORTRANGE(""https://docs.google.com/spreadsheets/d/1JWG2rZePOz9pe-f-ObA-yDr0VoOX2kSb0qIi"&amp;"x2mTUo8/edit?usp=share_link"",""ตาก!J627"")+IMPORTRANGE(""https://docs.google.com/spreadsheets/d/10nSRjK08hx8Y6HgSOQKNw81lyY46Zc7U_Cj72hBMp9U/edit?usp=share_link"",""นครสวรรค์!J627"")+IMPORTRANGE(""https://docs.google.com/spreadsheets/d/1gFVb7qd7amutrIxAA"&amp;"oM7lcy35hllxznovot8lyOfvDo/edit?usp=share_link"",""น่าน!J627"")+IMPORTRANGE(""https://docs.google.com/spreadsheets/d/1K0Aa9s-6EuHE5M0FG1F9aHLXRCOV917xvycTdLdct0w/edit?usp=share_link"",""พะเยา!J627"")+IMPORTRANGE(""https://docs.google.com/spreadsheets/d/1Y"&amp;"9LPKx95PyL5OKy09d-KbKJSuuEZCFdkhYjwC0XQjBA/edit?usp=share_link"",""พิจิตร!J627"")+IMPORTRANGE(""https://docs.google.com/spreadsheets/d/16OMuOwy2eVqZcYWOouQtTpa8X1L23h4660uVHc0C8os/edit?usp=share_link"",""พิษณุโลก!J627"")+IMPORTRANGE(""https://docs.google."&amp;"com/spreadsheets/d/1GfgTldLG6k77HXaMQzaafODklYuucJZQNs_GAPEfZyY/edit?usp=share_link"",""เพชรบูรณ์!J627"")+IMPORTRANGE(""https://docs.google.com/spreadsheets/d/1gvTMYAnm7v1yG1BKWFtr0DnaTsq59oW9dwWvFgq6hs0/edit?usp=share_link"",""แพร่!J627"")+IMPORTRANGE("""&amp;"https://docs.google.com/spreadsheets/d/1Wbcosgy-Xa1xXUArJSOenub6EfZHUSzc_bpJFWwQUf0/edit?usp=share_link"",""แม่ฮ่องสอน!J627"")+IMPORTRANGE(""https://docs.google.com/spreadsheets/d/1p7ERhsr0qZeSn-KSOdeHS9r0heI-lHtkcn2OH7hP0jQ/edit?usp=share_link"",""ลำปาง!"&amp;"J627"")+IMPORTRANGE(""https://docs.google.com/spreadsheets/d/1-uUXvimVhiU2U0bMN-xi2te0tS4X7DI2GLPnMjzl8cA/edit?usp=share_link"",""ลำพูน!J627"")+IMPORTRANGE(""https://docs.google.com/spreadsheets/d/17HrOaa5pBUI1onckFfumXB8xlg35qb2uBAFfF1D-Myo/edit?usp=shar"&amp;"e_link"",""สุโขทัย!J627"")+IMPORTRANGE(""https://docs.google.com/spreadsheets/d/1ubs5cl16eYL9gHbdHTJtmtYb9MGzHBs7CAphn8kNCgM/edit?usp=share_link"",""อุตรดิตถ์!J627"")+IMPORTRANGE(""https://docs.google.com/spreadsheets/d/1kII0BjS6CtVrBvI8IrytgPdxDrlyQDyigz"&amp;"MsohRtDMs/edit?usp=share_link"",""อุทัยธานี!J627"")
"),3)</f>
        <v>3</v>
      </c>
      <c r="K627" s="354"/>
      <c r="L627" s="354"/>
      <c r="M627" s="354"/>
      <c r="N627" s="354"/>
      <c r="O627" s="354"/>
      <c r="P627" s="354"/>
      <c r="Q627" s="542"/>
      <c r="R627" s="542"/>
      <c r="S627" s="542"/>
      <c r="T627" s="542"/>
      <c r="U627" s="542"/>
      <c r="V627" s="542"/>
      <c r="W627" s="542"/>
      <c r="X627" s="542"/>
      <c r="Y627" s="542"/>
      <c r="Z627" s="542"/>
    </row>
    <row r="628" spans="1:26" ht="19.5">
      <c r="A628" s="702">
        <v>7</v>
      </c>
      <c r="B628" s="703" t="s">
        <v>270</v>
      </c>
      <c r="C628" s="704"/>
      <c r="D628" s="704"/>
      <c r="E628" s="704"/>
      <c r="F628" s="704"/>
      <c r="G628" s="705"/>
      <c r="H628" s="706" t="s">
        <v>35</v>
      </c>
      <c r="I628" s="707">
        <f t="shared" ref="I628:J628" ca="1" si="300">I651</f>
        <v>2481</v>
      </c>
      <c r="J628" s="707">
        <f t="shared" ca="1" si="300"/>
        <v>202</v>
      </c>
      <c r="K628" s="708">
        <f ca="1">IF(I628&gt;0,J628*100/I628,0)</f>
        <v>8.1418782748891569</v>
      </c>
      <c r="L628" s="709"/>
      <c r="M628" s="709"/>
      <c r="N628" s="709"/>
      <c r="O628" s="709"/>
      <c r="P628" s="709"/>
      <c r="Q628" s="542"/>
      <c r="R628" s="542"/>
      <c r="S628" s="542"/>
      <c r="T628" s="542"/>
      <c r="U628" s="542"/>
      <c r="V628" s="542"/>
      <c r="W628" s="542"/>
      <c r="X628" s="542"/>
      <c r="Y628" s="542"/>
      <c r="Z628" s="542"/>
    </row>
    <row r="629" spans="1:26" ht="19.5">
      <c r="A629" s="562"/>
      <c r="B629" s="540"/>
      <c r="C629" s="540" t="s">
        <v>16</v>
      </c>
      <c r="D629" s="1484" t="s">
        <v>17</v>
      </c>
      <c r="E629" s="1485"/>
      <c r="F629" s="1485"/>
      <c r="G629" s="189"/>
      <c r="H629" s="563" t="s">
        <v>12</v>
      </c>
      <c r="I629" s="37"/>
      <c r="J629" s="37"/>
      <c r="K629" s="38"/>
      <c r="L629" s="195">
        <f t="shared" ref="L629:N629" ca="1" si="301">L630+L631</f>
        <v>5684995</v>
      </c>
      <c r="M629" s="195">
        <f t="shared" si="301"/>
        <v>0</v>
      </c>
      <c r="N629" s="195">
        <f t="shared" ca="1" si="301"/>
        <v>1100004.95</v>
      </c>
      <c r="O629" s="195">
        <f t="shared" ref="O629:O634" ca="1" si="302">IF(L629&gt;0,N629*100/L629,0)</f>
        <v>19.349268556964429</v>
      </c>
      <c r="P629" s="195">
        <f t="shared" ref="P629:P634" si="303">IF(M629&gt;0,N629*100/M629,0)</f>
        <v>0</v>
      </c>
      <c r="Q629" s="542"/>
      <c r="R629" s="542"/>
      <c r="S629" s="542"/>
      <c r="T629" s="542"/>
      <c r="U629" s="542"/>
      <c r="V629" s="542"/>
      <c r="W629" s="542"/>
      <c r="X629" s="542"/>
      <c r="Y629" s="542"/>
      <c r="Z629" s="542"/>
    </row>
    <row r="630" spans="1:26" ht="18.75" hidden="1">
      <c r="A630" s="564"/>
      <c r="B630" s="565"/>
      <c r="C630" s="565"/>
      <c r="D630" s="566"/>
      <c r="E630" s="567" t="s">
        <v>184</v>
      </c>
      <c r="F630" s="565"/>
      <c r="G630" s="568"/>
      <c r="H630" s="165" t="s">
        <v>12</v>
      </c>
      <c r="I630" s="44"/>
      <c r="J630" s="44"/>
      <c r="K630" s="45"/>
      <c r="L630" s="45">
        <f t="shared" ref="L630:N630" si="304">L633+L640</f>
        <v>0</v>
      </c>
      <c r="M630" s="45">
        <f t="shared" si="304"/>
        <v>0</v>
      </c>
      <c r="N630" s="45">
        <f t="shared" si="304"/>
        <v>0</v>
      </c>
      <c r="O630" s="45">
        <f t="shared" si="302"/>
        <v>0</v>
      </c>
      <c r="P630" s="45">
        <f t="shared" si="303"/>
        <v>0</v>
      </c>
      <c r="Q630" s="569"/>
      <c r="R630" s="569"/>
      <c r="S630" s="569"/>
      <c r="T630" s="569"/>
      <c r="U630" s="569"/>
      <c r="V630" s="569"/>
      <c r="W630" s="569"/>
      <c r="X630" s="569"/>
      <c r="Y630" s="569"/>
      <c r="Z630" s="569"/>
    </row>
    <row r="631" spans="1:26" ht="18.75" hidden="1">
      <c r="A631" s="564"/>
      <c r="B631" s="570"/>
      <c r="C631" s="565"/>
      <c r="D631" s="566"/>
      <c r="E631" s="567" t="s">
        <v>185</v>
      </c>
      <c r="F631" s="565"/>
      <c r="G631" s="568"/>
      <c r="H631" s="165" t="s">
        <v>12</v>
      </c>
      <c r="I631" s="44"/>
      <c r="J631" s="44"/>
      <c r="K631" s="45"/>
      <c r="L631" s="45">
        <f t="shared" ref="L631:N631" ca="1" si="305">L634+L641</f>
        <v>5684995</v>
      </c>
      <c r="M631" s="45">
        <f t="shared" si="305"/>
        <v>0</v>
      </c>
      <c r="N631" s="45">
        <f t="shared" ca="1" si="305"/>
        <v>1100004.95</v>
      </c>
      <c r="O631" s="45">
        <f t="shared" ca="1" si="302"/>
        <v>19.349268556964429</v>
      </c>
      <c r="P631" s="45">
        <f t="shared" si="303"/>
        <v>0</v>
      </c>
      <c r="Q631" s="569"/>
      <c r="R631" s="569"/>
      <c r="S631" s="569"/>
      <c r="T631" s="569"/>
      <c r="U631" s="569"/>
      <c r="V631" s="569"/>
      <c r="W631" s="569"/>
      <c r="X631" s="569"/>
      <c r="Y631" s="569"/>
      <c r="Z631" s="569"/>
    </row>
    <row r="632" spans="1:26" ht="18.75">
      <c r="A632" s="562"/>
      <c r="B632" s="539"/>
      <c r="C632" s="540"/>
      <c r="D632" s="571" t="s">
        <v>20</v>
      </c>
      <c r="E632" s="540"/>
      <c r="F632" s="540"/>
      <c r="G632" s="189"/>
      <c r="H632" s="161" t="s">
        <v>12</v>
      </c>
      <c r="I632" s="162"/>
      <c r="J632" s="162"/>
      <c r="K632" s="163"/>
      <c r="L632" s="38">
        <f t="shared" ref="L632:N632" ca="1" si="306">L633+L634</f>
        <v>5684995</v>
      </c>
      <c r="M632" s="38">
        <f t="shared" si="306"/>
        <v>0</v>
      </c>
      <c r="N632" s="38">
        <f t="shared" ca="1" si="306"/>
        <v>1100004.95</v>
      </c>
      <c r="O632" s="38">
        <f t="shared" ca="1" si="302"/>
        <v>19.349268556964429</v>
      </c>
      <c r="P632" s="38">
        <f t="shared" si="303"/>
        <v>0</v>
      </c>
      <c r="Q632" s="542"/>
      <c r="R632" s="542"/>
      <c r="S632" s="542"/>
      <c r="T632" s="542"/>
      <c r="U632" s="542"/>
      <c r="V632" s="542"/>
      <c r="W632" s="542"/>
      <c r="X632" s="542"/>
      <c r="Y632" s="542"/>
      <c r="Z632" s="542"/>
    </row>
    <row r="633" spans="1:26" ht="18.75" hidden="1">
      <c r="A633" s="564"/>
      <c r="B633" s="570"/>
      <c r="C633" s="565"/>
      <c r="D633" s="566"/>
      <c r="E633" s="567" t="s">
        <v>184</v>
      </c>
      <c r="F633" s="565"/>
      <c r="G633" s="568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2"/>
        <v>0</v>
      </c>
      <c r="P633" s="45">
        <f t="shared" si="303"/>
        <v>0</v>
      </c>
      <c r="Q633" s="569"/>
      <c r="R633" s="569"/>
      <c r="S633" s="569"/>
      <c r="T633" s="569"/>
      <c r="U633" s="569"/>
      <c r="V633" s="569"/>
      <c r="W633" s="569"/>
      <c r="X633" s="569"/>
      <c r="Y633" s="569"/>
      <c r="Z633" s="569"/>
    </row>
    <row r="634" spans="1:26" ht="18.75" hidden="1">
      <c r="A634" s="564"/>
      <c r="B634" s="570"/>
      <c r="C634" s="565"/>
      <c r="D634" s="566"/>
      <c r="E634" s="567" t="s">
        <v>185</v>
      </c>
      <c r="F634" s="565"/>
      <c r="G634" s="568"/>
      <c r="H634" s="165" t="s">
        <v>12</v>
      </c>
      <c r="I634" s="44"/>
      <c r="J634" s="44"/>
      <c r="K634" s="45"/>
      <c r="L634" s="45">
        <f ca="1">IFERROR(__xludf.DUMMYFUNCTION("IMPORTRANGE(""https://docs.google.com/spreadsheets/d/1KxicF4apzSqm0-jIpmueT4kyZtE-Cwn5zskl7GD4loQ/edit?usp=share_link"",""กำแพงเพชร!l634"")+IMPORTRANGE(""https://docs.google.com/spreadsheets/d/1ZNYWeiFoFA1K1U4xKWqRX29MBvEyRHXORjo734Gnq_c/edit?usp=share_li"&amp;"nk"",""เชียงราย!l634"")
+IMPORTRANGE(""https://docs.google.com/spreadsheets/d/1Jgv0Y7YlHDtsiDawwp-uvifEJ8HVaSn0k2aGHG8-hwM/edit?usp=share_link"",""เชียงใหม่!l634"")+IMPORTRANGE(""https://docs.google.com/spreadsheets/d/1JWG2rZePOz9pe-f-ObA-yDr0VoOX2kSb0qIi"&amp;"x2mTUo8/edit?usp=share_link"",""ตาก!l634"")+IMPORTRANGE(""https://docs.google.com/spreadsheets/d/10nSRjK08hx8Y6HgSOQKNw81lyY46Zc7U_Cj72hBMp9U/edit?usp=share_link"",""นครสวรรค์!l634"")+IMPORTRANGE(""https://docs.google.com/spreadsheets/d/1gFVb7qd7amutrIxAA"&amp;"oM7lcy35hllxznovot8lyOfvDo/edit?usp=share_link"",""น่าน!l634"")+IMPORTRANGE(""https://docs.google.com/spreadsheets/d/1K0Aa9s-6EuHE5M0FG1F9aHLXRCOV917xvycTdLdct0w/edit?usp=share_link"",""พะเยา!l634"")+IMPORTRANGE(""https://docs.google.com/spreadsheets/d/1Y"&amp;"9LPKx95PyL5OKy09d-KbKJSuuEZCFdkhYjwC0XQjBA/edit?usp=share_link"",""พิจิตร!l634"")+IMPORTRANGE(""https://docs.google.com/spreadsheets/d/16OMuOwy2eVqZcYWOouQtTpa8X1L23h4660uVHc0C8os/edit?usp=share_link"",""พิษณุโลก!l634"")+IMPORTRANGE(""https://docs.google."&amp;"com/spreadsheets/d/1GfgTldLG6k77HXaMQzaafODklYuucJZQNs_GAPEfZyY/edit?usp=share_link"",""เพชรบูรณ์!l634"")+IMPORTRANGE(""https://docs.google.com/spreadsheets/d/1gvTMYAnm7v1yG1BKWFtr0DnaTsq59oW9dwWvFgq6hs0/edit?usp=share_link"",""แพร่!l634"")+IMPORTRANGE("""&amp;"https://docs.google.com/spreadsheets/d/1Wbcosgy-Xa1xXUArJSOenub6EfZHUSzc_bpJFWwQUf0/edit?usp=share_link"",""แม่ฮ่องสอน!l634"")+IMPORTRANGE(""https://docs.google.com/spreadsheets/d/1p7ERhsr0qZeSn-KSOdeHS9r0heI-lHtkcn2OH7hP0jQ/edit?usp=share_link"",""ลำปาง!"&amp;"l634"")+IMPORTRANGE(""https://docs.google.com/spreadsheets/d/1-uUXvimVhiU2U0bMN-xi2te0tS4X7DI2GLPnMjzl8cA/edit?usp=share_link"",""ลำพูน!l634"")+IMPORTRANGE(""https://docs.google.com/spreadsheets/d/17HrOaa5pBUI1onckFfumXB8xlg35qb2uBAFfF1D-Myo/edit?usp=shar"&amp;"e_link"",""สุโขทัย!l634"")+IMPORTRANGE(""https://docs.google.com/spreadsheets/d/1ubs5cl16eYL9gHbdHTJtmtYb9MGzHBs7CAphn8kNCgM/edit?usp=share_link"",""อุตรดิตถ์!l634"")+IMPORTRANGE(""https://docs.google.com/spreadsheets/d/1kII0BjS6CtVrBvI8IrytgPdxDrlyQDyigz"&amp;"MsohRtDMs/edit?usp=share_link"",""อุทัยธานี!l634"")
"),5684995)</f>
        <v>5684995</v>
      </c>
      <c r="M634" s="93">
        <v>0</v>
      </c>
      <c r="N634" s="45">
        <f ca="1">N635+N636+N637+N638</f>
        <v>1100004.95</v>
      </c>
      <c r="O634" s="45">
        <f t="shared" ca="1" si="302"/>
        <v>19.349268556964429</v>
      </c>
      <c r="P634" s="45">
        <f t="shared" si="303"/>
        <v>0</v>
      </c>
      <c r="Q634" s="569"/>
      <c r="R634" s="569"/>
      <c r="S634" s="569"/>
      <c r="T634" s="569"/>
      <c r="U634" s="569"/>
      <c r="V634" s="569"/>
      <c r="W634" s="569"/>
      <c r="X634" s="569"/>
      <c r="Y634" s="569"/>
      <c r="Z634" s="569"/>
    </row>
    <row r="635" spans="1:26" ht="18.75">
      <c r="A635" s="538"/>
      <c r="B635" s="539"/>
      <c r="C635" s="540"/>
      <c r="D635" s="540"/>
      <c r="E635" s="540"/>
      <c r="F635" s="541" t="s">
        <v>186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KxicF4apzSqm0-jIpmueT4kyZtE-Cwn5zskl7GD4loQ/edit?usp=share_link"",""กำแพงเพชร!n635"")+IMPORTRANGE(""https://docs.google.com/spreadsheets/d/1ZNYWeiFoFA1K1U4xKWqRX29MBvEyRHXORjo734Gnq_c/edit?usp=share_li"&amp;"nk"",""เชียงราย!n635"")
+IMPORTRANGE(""https://docs.google.com/spreadsheets/d/1Jgv0Y7YlHDtsiDawwp-uvifEJ8HVaSn0k2aGHG8-hwM/edit?usp=share_link"",""เชียงใหม่!n635"")+IMPORTRANGE(""https://docs.google.com/spreadsheets/d/1JWG2rZePOz9pe-f-ObA-yDr0VoOX2kSb0qIi"&amp;"x2mTUo8/edit?usp=share_link"",""ตาก!n635"")+IMPORTRANGE(""https://docs.google.com/spreadsheets/d/10nSRjK08hx8Y6HgSOQKNw81lyY46Zc7U_Cj72hBMp9U/edit?usp=share_link"",""นครสวรรค์!n635"")+IMPORTRANGE(""https://docs.google.com/spreadsheets/d/1gFVb7qd7amutrIxAA"&amp;"oM7lcy35hllxznovot8lyOfvDo/edit?usp=share_link"",""น่าน!n635"")+IMPORTRANGE(""https://docs.google.com/spreadsheets/d/1K0Aa9s-6EuHE5M0FG1F9aHLXRCOV917xvycTdLdct0w/edit?usp=share_link"",""พะเยา!n635"")+IMPORTRANGE(""https://docs.google.com/spreadsheets/d/1Y"&amp;"9LPKx95PyL5OKy09d-KbKJSuuEZCFdkhYjwC0XQjBA/edit?usp=share_link"",""พิจิตร!n635"")+IMPORTRANGE(""https://docs.google.com/spreadsheets/d/16OMuOwy2eVqZcYWOouQtTpa8X1L23h4660uVHc0C8os/edit?usp=share_link"",""พิษณุโลก!n635"")+IMPORTRANGE(""https://docs.google."&amp;"com/spreadsheets/d/1GfgTldLG6k77HXaMQzaafODklYuucJZQNs_GAPEfZyY/edit?usp=share_link"",""เพชรบูรณ์!n635"")+IMPORTRANGE(""https://docs.google.com/spreadsheets/d/1gvTMYAnm7v1yG1BKWFtr0DnaTsq59oW9dwWvFgq6hs0/edit?usp=share_link"",""แพร่!n635"")+IMPORTRANGE("""&amp;"https://docs.google.com/spreadsheets/d/1Wbcosgy-Xa1xXUArJSOenub6EfZHUSzc_bpJFWwQUf0/edit?usp=share_link"",""แม่ฮ่องสอน!n635"")+IMPORTRANGE(""https://docs.google.com/spreadsheets/d/1p7ERhsr0qZeSn-KSOdeHS9r0heI-lHtkcn2OH7hP0jQ/edit?usp=share_link"",""ลำปาง!"&amp;"n635"")+IMPORTRANGE(""https://docs.google.com/spreadsheets/d/1-uUXvimVhiU2U0bMN-xi2te0tS4X7DI2GLPnMjzl8cA/edit?usp=share_link"",""ลำพูน!n635"")+IMPORTRANGE(""https://docs.google.com/spreadsheets/d/17HrOaa5pBUI1onckFfumXB8xlg35qb2uBAFfF1D-Myo/edit?usp=shar"&amp;"e_link"",""สุโขทัย!n635"")+IMPORTRANGE(""https://docs.google.com/spreadsheets/d/1ubs5cl16eYL9gHbdHTJtmtYb9MGzHBs7CAphn8kNCgM/edit?usp=share_link"",""อุตรดิตถ์!n635"")+IMPORTRANGE(""https://docs.google.com/spreadsheets/d/1kII0BjS6CtVrBvI8IrytgPdxDrlyQDyigz"&amp;"MsohRtDMs/edit?usp=share_link"",""อุทัยธานี!n635"")
"),0)</f>
        <v>0</v>
      </c>
      <c r="O635" s="38"/>
      <c r="P635" s="38"/>
      <c r="Q635" s="542"/>
      <c r="R635" s="542"/>
      <c r="S635" s="542"/>
      <c r="T635" s="542"/>
      <c r="U635" s="542"/>
      <c r="V635" s="542"/>
      <c r="W635" s="542"/>
      <c r="X635" s="542"/>
      <c r="Y635" s="542"/>
      <c r="Z635" s="542"/>
    </row>
    <row r="636" spans="1:26" ht="18.75">
      <c r="A636" s="538"/>
      <c r="B636" s="539"/>
      <c r="C636" s="540"/>
      <c r="D636" s="540"/>
      <c r="E636" s="540"/>
      <c r="F636" s="541" t="s">
        <v>187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KxicF4apzSqm0-jIpmueT4kyZtE-Cwn5zskl7GD4loQ/edit?usp=share_link"",""กำแพงเพชร!n636"")+IMPORTRANGE(""https://docs.google.com/spreadsheets/d/1ZNYWeiFoFA1K1U4xKWqRX29MBvEyRHXORjo734Gnq_c/edit?usp=share_li"&amp;"nk"",""เชียงราย!n636"")
+IMPORTRANGE(""https://docs.google.com/spreadsheets/d/1Jgv0Y7YlHDtsiDawwp-uvifEJ8HVaSn0k2aGHG8-hwM/edit?usp=share_link"",""เชียงใหม่!n636"")+IMPORTRANGE(""https://docs.google.com/spreadsheets/d/1JWG2rZePOz9pe-f-ObA-yDr0VoOX2kSb0qIi"&amp;"x2mTUo8/edit?usp=share_link"",""ตาก!n636"")+IMPORTRANGE(""https://docs.google.com/spreadsheets/d/10nSRjK08hx8Y6HgSOQKNw81lyY46Zc7U_Cj72hBMp9U/edit?usp=share_link"",""นครสวรรค์!n636"")+IMPORTRANGE(""https://docs.google.com/spreadsheets/d/1gFVb7qd7amutrIxAA"&amp;"oM7lcy35hllxznovot8lyOfvDo/edit?usp=share_link"",""น่าน!n636"")+IMPORTRANGE(""https://docs.google.com/spreadsheets/d/1K0Aa9s-6EuHE5M0FG1F9aHLXRCOV917xvycTdLdct0w/edit?usp=share_link"",""พะเยา!n636"")+IMPORTRANGE(""https://docs.google.com/spreadsheets/d/1Y"&amp;"9LPKx95PyL5OKy09d-KbKJSuuEZCFdkhYjwC0XQjBA/edit?usp=share_link"",""พิจิตร!n636"")+IMPORTRANGE(""https://docs.google.com/spreadsheets/d/16OMuOwy2eVqZcYWOouQtTpa8X1L23h4660uVHc0C8os/edit?usp=share_link"",""พิษณุโลก!n636"")+IMPORTRANGE(""https://docs.google."&amp;"com/spreadsheets/d/1GfgTldLG6k77HXaMQzaafODklYuucJZQNs_GAPEfZyY/edit?usp=share_link"",""เพชรบูรณ์!n636"")+IMPORTRANGE(""https://docs.google.com/spreadsheets/d/1gvTMYAnm7v1yG1BKWFtr0DnaTsq59oW9dwWvFgq6hs0/edit?usp=share_link"",""แพร่!n636"")+IMPORTRANGE("""&amp;"https://docs.google.com/spreadsheets/d/1Wbcosgy-Xa1xXUArJSOenub6EfZHUSzc_bpJFWwQUf0/edit?usp=share_link"",""แม่ฮ่องสอน!n636"")+IMPORTRANGE(""https://docs.google.com/spreadsheets/d/1p7ERhsr0qZeSn-KSOdeHS9r0heI-lHtkcn2OH7hP0jQ/edit?usp=share_link"",""ลำปาง!"&amp;"n636"")+IMPORTRANGE(""https://docs.google.com/spreadsheets/d/1-uUXvimVhiU2U0bMN-xi2te0tS4X7DI2GLPnMjzl8cA/edit?usp=share_link"",""ลำพูน!n636"")+IMPORTRANGE(""https://docs.google.com/spreadsheets/d/17HrOaa5pBUI1onckFfumXB8xlg35qb2uBAFfF1D-Myo/edit?usp=shar"&amp;"e_link"",""สุโขทัย!n636"")+IMPORTRANGE(""https://docs.google.com/spreadsheets/d/1ubs5cl16eYL9gHbdHTJtmtYb9MGzHBs7CAphn8kNCgM/edit?usp=share_link"",""อุตรดิตถ์!n636"")+IMPORTRANGE(""https://docs.google.com/spreadsheets/d/1kII0BjS6CtVrBvI8IrytgPdxDrlyQDyigz"&amp;"MsohRtDMs/edit?usp=share_link"",""อุทัยธานี!n636"")
"),0)</f>
        <v>0</v>
      </c>
      <c r="O636" s="38"/>
      <c r="P636" s="38"/>
      <c r="Q636" s="542"/>
      <c r="R636" s="542"/>
      <c r="S636" s="542"/>
      <c r="T636" s="542"/>
      <c r="U636" s="542"/>
      <c r="V636" s="542"/>
      <c r="W636" s="542"/>
      <c r="X636" s="542"/>
      <c r="Y636" s="542"/>
      <c r="Z636" s="542"/>
    </row>
    <row r="637" spans="1:26" ht="18.75">
      <c r="A637" s="538"/>
      <c r="B637" s="539"/>
      <c r="C637" s="540"/>
      <c r="D637" s="540"/>
      <c r="E637" s="540"/>
      <c r="F637" s="541" t="s">
        <v>188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KxicF4apzSqm0-jIpmueT4kyZtE-Cwn5zskl7GD4loQ/edit?usp=share_link"",""กำแพงเพชร!n637"")+IMPORTRANGE(""https://docs.google.com/spreadsheets/d/1ZNYWeiFoFA1K1U4xKWqRX29MBvEyRHXORjo734Gnq_c/edit?usp=share_li"&amp;"nk"",""เชียงราย!n637"")
+IMPORTRANGE(""https://docs.google.com/spreadsheets/d/1Jgv0Y7YlHDtsiDawwp-uvifEJ8HVaSn0k2aGHG8-hwM/edit?usp=share_link"",""เชียงใหม่!n637"")+IMPORTRANGE(""https://docs.google.com/spreadsheets/d/1JWG2rZePOz9pe-f-ObA-yDr0VoOX2kSb0qIi"&amp;"x2mTUo8/edit?usp=share_link"",""ตาก!n637"")+IMPORTRANGE(""https://docs.google.com/spreadsheets/d/10nSRjK08hx8Y6HgSOQKNw81lyY46Zc7U_Cj72hBMp9U/edit?usp=share_link"",""นครสวรรค์!n637"")+IMPORTRANGE(""https://docs.google.com/spreadsheets/d/1gFVb7qd7amutrIxAA"&amp;"oM7lcy35hllxznovot8lyOfvDo/edit?usp=share_link"",""น่าน!n637"")+IMPORTRANGE(""https://docs.google.com/spreadsheets/d/1K0Aa9s-6EuHE5M0FG1F9aHLXRCOV917xvycTdLdct0w/edit?usp=share_link"",""พะเยา!n637"")+IMPORTRANGE(""https://docs.google.com/spreadsheets/d/1Y"&amp;"9LPKx95PyL5OKy09d-KbKJSuuEZCFdkhYjwC0XQjBA/edit?usp=share_link"",""พิจิตร!n637"")+IMPORTRANGE(""https://docs.google.com/spreadsheets/d/16OMuOwy2eVqZcYWOouQtTpa8X1L23h4660uVHc0C8os/edit?usp=share_link"",""พิษณุโลก!n637"")+IMPORTRANGE(""https://docs.google."&amp;"com/spreadsheets/d/1GfgTldLG6k77HXaMQzaafODklYuucJZQNs_GAPEfZyY/edit?usp=share_link"",""เพชรบูรณ์!n637"")+IMPORTRANGE(""https://docs.google.com/spreadsheets/d/1gvTMYAnm7v1yG1BKWFtr0DnaTsq59oW9dwWvFgq6hs0/edit?usp=share_link"",""แพร่!n637"")+IMPORTRANGE("""&amp;"https://docs.google.com/spreadsheets/d/1Wbcosgy-Xa1xXUArJSOenub6EfZHUSzc_bpJFWwQUf0/edit?usp=share_link"",""แม่ฮ่องสอน!n637"")+IMPORTRANGE(""https://docs.google.com/spreadsheets/d/1p7ERhsr0qZeSn-KSOdeHS9r0heI-lHtkcn2OH7hP0jQ/edit?usp=share_link"",""ลำปาง!"&amp;"n637"")+IMPORTRANGE(""https://docs.google.com/spreadsheets/d/1-uUXvimVhiU2U0bMN-xi2te0tS4X7DI2GLPnMjzl8cA/edit?usp=share_link"",""ลำพูน!n637"")+IMPORTRANGE(""https://docs.google.com/spreadsheets/d/17HrOaa5pBUI1onckFfumXB8xlg35qb2uBAFfF1D-Myo/edit?usp=shar"&amp;"e_link"",""สุโขทัย!n637"")+IMPORTRANGE(""https://docs.google.com/spreadsheets/d/1ubs5cl16eYL9gHbdHTJtmtYb9MGzHBs7CAphn8kNCgM/edit?usp=share_link"",""อุตรดิตถ์!n637"")+IMPORTRANGE(""https://docs.google.com/spreadsheets/d/1kII0BjS6CtVrBvI8IrytgPdxDrlyQDyigz"&amp;"MsohRtDMs/edit?usp=share_link"",""อุทัยธานี!n637"")
"),337566.67)</f>
        <v>337566.67</v>
      </c>
      <c r="O637" s="38"/>
      <c r="P637" s="38"/>
      <c r="Q637" s="542"/>
      <c r="R637" s="542"/>
      <c r="S637" s="542"/>
      <c r="T637" s="542"/>
      <c r="U637" s="542"/>
      <c r="V637" s="542"/>
      <c r="W637" s="542"/>
      <c r="X637" s="542"/>
      <c r="Y637" s="542"/>
      <c r="Z637" s="542"/>
    </row>
    <row r="638" spans="1:26" ht="18.75">
      <c r="A638" s="538"/>
      <c r="B638" s="539"/>
      <c r="C638" s="540"/>
      <c r="D638" s="540"/>
      <c r="E638" s="540"/>
      <c r="F638" s="541" t="s">
        <v>189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KxicF4apzSqm0-jIpmueT4kyZtE-Cwn5zskl7GD4loQ/edit?usp=share_link"",""กำแพงเพชร!n638"")+IMPORTRANGE(""https://docs.google.com/spreadsheets/d/1ZNYWeiFoFA1K1U4xKWqRX29MBvEyRHXORjo734Gnq_c/edit?usp=share_li"&amp;"nk"",""เชียงราย!n638"")
+IMPORTRANGE(""https://docs.google.com/spreadsheets/d/1Jgv0Y7YlHDtsiDawwp-uvifEJ8HVaSn0k2aGHG8-hwM/edit?usp=share_link"",""เชียงใหม่!n638"")+IMPORTRANGE(""https://docs.google.com/spreadsheets/d/1JWG2rZePOz9pe-f-ObA-yDr0VoOX2kSb0qIi"&amp;"x2mTUo8/edit?usp=share_link"",""ตาก!n638"")+IMPORTRANGE(""https://docs.google.com/spreadsheets/d/10nSRjK08hx8Y6HgSOQKNw81lyY46Zc7U_Cj72hBMp9U/edit?usp=share_link"",""นครสวรรค์!n638"")+IMPORTRANGE(""https://docs.google.com/spreadsheets/d/1gFVb7qd7amutrIxAA"&amp;"oM7lcy35hllxznovot8lyOfvDo/edit?usp=share_link"",""น่าน!n638"")+IMPORTRANGE(""https://docs.google.com/spreadsheets/d/1K0Aa9s-6EuHE5M0FG1F9aHLXRCOV917xvycTdLdct0w/edit?usp=share_link"",""พะเยา!n638"")+IMPORTRANGE(""https://docs.google.com/spreadsheets/d/1Y"&amp;"9LPKx95PyL5OKy09d-KbKJSuuEZCFdkhYjwC0XQjBA/edit?usp=share_link"",""พิจิตร!n638"")+IMPORTRANGE(""https://docs.google.com/spreadsheets/d/16OMuOwy2eVqZcYWOouQtTpa8X1L23h4660uVHc0C8os/edit?usp=share_link"",""พิษณุโลก!n638"")+IMPORTRANGE(""https://docs.google."&amp;"com/spreadsheets/d/1GfgTldLG6k77HXaMQzaafODklYuucJZQNs_GAPEfZyY/edit?usp=share_link"",""เพชรบูรณ์!n638"")+IMPORTRANGE(""https://docs.google.com/spreadsheets/d/1gvTMYAnm7v1yG1BKWFtr0DnaTsq59oW9dwWvFgq6hs0/edit?usp=share_link"",""แพร่!n638"")+IMPORTRANGE("""&amp;"https://docs.google.com/spreadsheets/d/1Wbcosgy-Xa1xXUArJSOenub6EfZHUSzc_bpJFWwQUf0/edit?usp=share_link"",""แม่ฮ่องสอน!n638"")+IMPORTRANGE(""https://docs.google.com/spreadsheets/d/1p7ERhsr0qZeSn-KSOdeHS9r0heI-lHtkcn2OH7hP0jQ/edit?usp=share_link"",""ลำปาง!"&amp;"n638"")+IMPORTRANGE(""https://docs.google.com/spreadsheets/d/1-uUXvimVhiU2U0bMN-xi2te0tS4X7DI2GLPnMjzl8cA/edit?usp=share_link"",""ลำพูน!n638"")+IMPORTRANGE(""https://docs.google.com/spreadsheets/d/17HrOaa5pBUI1onckFfumXB8xlg35qb2uBAFfF1D-Myo/edit?usp=shar"&amp;"e_link"",""สุโขทัย!n638"")+IMPORTRANGE(""https://docs.google.com/spreadsheets/d/1ubs5cl16eYL9gHbdHTJtmtYb9MGzHBs7CAphn8kNCgM/edit?usp=share_link"",""อุตรดิตถ์!n638"")+IMPORTRANGE(""https://docs.google.com/spreadsheets/d/1kII0BjS6CtVrBvI8IrytgPdxDrlyQDyigz"&amp;"MsohRtDMs/edit?usp=share_link"",""อุทัยธานี!n638"")
"),762438.28)</f>
        <v>762438.28</v>
      </c>
      <c r="O638" s="38"/>
      <c r="P638" s="38"/>
      <c r="Q638" s="542"/>
      <c r="R638" s="542"/>
      <c r="S638" s="542"/>
      <c r="T638" s="542"/>
      <c r="U638" s="542"/>
      <c r="V638" s="542"/>
      <c r="W638" s="542"/>
      <c r="X638" s="542"/>
      <c r="Y638" s="542"/>
      <c r="Z638" s="542"/>
    </row>
    <row r="639" spans="1:26" ht="18.75">
      <c r="A639" s="562"/>
      <c r="B639" s="539"/>
      <c r="C639" s="540"/>
      <c r="D639" s="571" t="s">
        <v>21</v>
      </c>
      <c r="E639" s="540"/>
      <c r="F639" s="540"/>
      <c r="G639" s="189"/>
      <c r="H639" s="168" t="s">
        <v>12</v>
      </c>
      <c r="I639" s="162"/>
      <c r="J639" s="162"/>
      <c r="K639" s="163"/>
      <c r="L639" s="38">
        <f t="shared" ref="L639:N639" ca="1" si="307">L640+L641</f>
        <v>0</v>
      </c>
      <c r="M639" s="38">
        <f t="shared" si="307"/>
        <v>0</v>
      </c>
      <c r="N639" s="38">
        <f t="shared" si="307"/>
        <v>0</v>
      </c>
      <c r="O639" s="38">
        <f t="shared" ref="O639:O641" ca="1" si="308">IF(L639&gt;0,N639*100/L639,0)</f>
        <v>0</v>
      </c>
      <c r="P639" s="38">
        <f t="shared" ref="P639:P641" si="309">IF(M639&gt;0,N639*100/M639,0)</f>
        <v>0</v>
      </c>
      <c r="Q639" s="542"/>
      <c r="R639" s="542"/>
      <c r="S639" s="542"/>
      <c r="T639" s="542"/>
      <c r="U639" s="542"/>
      <c r="V639" s="542"/>
      <c r="W639" s="542"/>
      <c r="X639" s="542"/>
      <c r="Y639" s="542"/>
      <c r="Z639" s="542"/>
    </row>
    <row r="640" spans="1:26" ht="18.75" hidden="1">
      <c r="A640" s="564"/>
      <c r="B640" s="570"/>
      <c r="C640" s="565"/>
      <c r="D640" s="565"/>
      <c r="E640" s="567" t="s">
        <v>18</v>
      </c>
      <c r="F640" s="565"/>
      <c r="G640" s="56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8"/>
        <v>0</v>
      </c>
      <c r="P640" s="45">
        <f t="shared" si="309"/>
        <v>0</v>
      </c>
      <c r="Q640" s="569"/>
      <c r="R640" s="569"/>
      <c r="S640" s="569"/>
      <c r="T640" s="569"/>
      <c r="U640" s="569"/>
      <c r="V640" s="569"/>
      <c r="W640" s="569"/>
      <c r="X640" s="569"/>
      <c r="Y640" s="569"/>
      <c r="Z640" s="569"/>
    </row>
    <row r="641" spans="1:26" ht="18.75" hidden="1">
      <c r="A641" s="564"/>
      <c r="B641" s="570"/>
      <c r="C641" s="565"/>
      <c r="D641" s="565"/>
      <c r="E641" s="567" t="s">
        <v>19</v>
      </c>
      <c r="F641" s="565"/>
      <c r="G641" s="568"/>
      <c r="H641" s="169" t="s">
        <v>12</v>
      </c>
      <c r="I641" s="166"/>
      <c r="J641" s="166"/>
      <c r="K641" s="167"/>
      <c r="L641" s="45">
        <f ca="1">IFERROR(__xludf.DUMMYFUNCTION("IMPORTRANGE(""https://docs.google.com/spreadsheets/d/1KxicF4apzSqm0-jIpmueT4kyZtE-Cwn5zskl7GD4loQ/edit?usp=share_link"",""กำแพงเพชร!l641"")+IMPORTRANGE(""https://docs.google.com/spreadsheets/d/1ZNYWeiFoFA1K1U4xKWqRX29MBvEyRHXORjo734Gnq_c/edit?usp=share_li"&amp;"nk"",""เชียงราย!l641"")
+IMPORTRANGE(""https://docs.google.com/spreadsheets/d/1Jgv0Y7YlHDtsiDawwp-uvifEJ8HVaSn0k2aGHG8-hwM/edit?usp=share_link"",""เชียงใหม่!l641"")+IMPORTRANGE(""https://docs.google.com/spreadsheets/d/1JWG2rZePOz9pe-f-ObA-yDr0VoOX2kSb0qIi"&amp;"x2mTUo8/edit?usp=share_link"",""ตาก!l641"")+IMPORTRANGE(""https://docs.google.com/spreadsheets/d/10nSRjK08hx8Y6HgSOQKNw81lyY46Zc7U_Cj72hBMp9U/edit?usp=share_link"",""นครสวรรค์!l641"")+IMPORTRANGE(""https://docs.google.com/spreadsheets/d/1gFVb7qd7amutrIxAA"&amp;"oM7lcy35hllxznovot8lyOfvDo/edit?usp=share_link"",""น่าน!l641"")+IMPORTRANGE(""https://docs.google.com/spreadsheets/d/1K0Aa9s-6EuHE5M0FG1F9aHLXRCOV917xvycTdLdct0w/edit?usp=share_link"",""พะเยา!l641"")+IMPORTRANGE(""https://docs.google.com/spreadsheets/d/1Y"&amp;"9LPKx95PyL5OKy09d-KbKJSuuEZCFdkhYjwC0XQjBA/edit?usp=share_link"",""พิจิตร!l641"")+IMPORTRANGE(""https://docs.google.com/spreadsheets/d/16OMuOwy2eVqZcYWOouQtTpa8X1L23h4660uVHc0C8os/edit?usp=share_link"",""พิษณุโลก!l641"")+IMPORTRANGE(""https://docs.google."&amp;"com/spreadsheets/d/1GfgTldLG6k77HXaMQzaafODklYuucJZQNs_GAPEfZyY/edit?usp=share_link"",""เพชรบูรณ์!l641"")+IMPORTRANGE(""https://docs.google.com/spreadsheets/d/1gvTMYAnm7v1yG1BKWFtr0DnaTsq59oW9dwWvFgq6hs0/edit?usp=share_link"",""แพร่!l641"")+IMPORTRANGE("""&amp;"https://docs.google.com/spreadsheets/d/1Wbcosgy-Xa1xXUArJSOenub6EfZHUSzc_bpJFWwQUf0/edit?usp=share_link"",""แม่ฮ่องสอน!l641"")+IMPORTRANGE(""https://docs.google.com/spreadsheets/d/1p7ERhsr0qZeSn-KSOdeHS9r0heI-lHtkcn2OH7hP0jQ/edit?usp=share_link"",""ลำปาง!"&amp;"l641"")+IMPORTRANGE(""https://docs.google.com/spreadsheets/d/1-uUXvimVhiU2U0bMN-xi2te0tS4X7DI2GLPnMjzl8cA/edit?usp=share_link"",""ลำพูน!l641"")+IMPORTRANGE(""https://docs.google.com/spreadsheets/d/17HrOaa5pBUI1onckFfumXB8xlg35qb2uBAFfF1D-Myo/edit?usp=shar"&amp;"e_link"",""สุโขทัย!l641"")+IMPORTRANGE(""https://docs.google.com/spreadsheets/d/1ubs5cl16eYL9gHbdHTJtmtYb9MGzHBs7CAphn8kNCgM/edit?usp=share_link"",""อุตรดิตถ์!l641"")+IMPORTRANGE(""https://docs.google.com/spreadsheets/d/1kII0BjS6CtVrBvI8IrytgPdxDrlyQDyigz"&amp;"MsohRtDMs/edit?usp=share_link"",""อุทัยธานี!l641"")
"),0)</f>
        <v>0</v>
      </c>
      <c r="M641" s="93">
        <v>0</v>
      </c>
      <c r="N641" s="93">
        <v>0</v>
      </c>
      <c r="O641" s="45">
        <f t="shared" ca="1" si="308"/>
        <v>0</v>
      </c>
      <c r="P641" s="45">
        <f t="shared" si="309"/>
        <v>0</v>
      </c>
      <c r="Q641" s="569"/>
      <c r="R641" s="569"/>
      <c r="S641" s="569"/>
      <c r="T641" s="569"/>
      <c r="U641" s="569"/>
      <c r="V641" s="569"/>
      <c r="W641" s="569"/>
      <c r="X641" s="569"/>
      <c r="Y641" s="569"/>
      <c r="Z641" s="569"/>
    </row>
    <row r="642" spans="1:26" ht="19.5">
      <c r="A642" s="573"/>
      <c r="B642" s="574"/>
      <c r="C642" s="540" t="s">
        <v>16</v>
      </c>
      <c r="D642" s="645" t="s">
        <v>38</v>
      </c>
      <c r="E642" s="577"/>
      <c r="F642" s="577"/>
      <c r="G642" s="578"/>
      <c r="H642" s="175"/>
      <c r="I642" s="162"/>
      <c r="J642" s="162"/>
      <c r="K642" s="163"/>
      <c r="L642" s="163"/>
      <c r="M642" s="163"/>
      <c r="N642" s="163"/>
      <c r="O642" s="163"/>
      <c r="P642" s="163"/>
      <c r="Q642" s="542"/>
      <c r="R642" s="542"/>
      <c r="S642" s="542"/>
      <c r="T642" s="542"/>
      <c r="U642" s="542"/>
      <c r="V642" s="542"/>
      <c r="W642" s="542"/>
      <c r="X642" s="542"/>
      <c r="Y642" s="542"/>
      <c r="Z642" s="542"/>
    </row>
    <row r="643" spans="1:26" ht="18.75">
      <c r="A643" s="710"/>
      <c r="B643" s="539"/>
      <c r="C643" s="540"/>
      <c r="D643" s="586"/>
      <c r="E643" s="711" t="s">
        <v>271</v>
      </c>
      <c r="F643" s="586"/>
      <c r="G643" s="175"/>
      <c r="H643" s="417" t="s">
        <v>272</v>
      </c>
      <c r="I643" s="270">
        <f ca="1">IFERROR(__xludf.DUMMYFUNCTION("IMPORTRANGE(""https://docs.google.com/spreadsheets/d/1KxicF4apzSqm0-jIpmueT4kyZtE-Cwn5zskl7GD4loQ/edit?usp=share_link"",""กำแพงเพชร!I643"")+IMPORTRANGE(""https://docs.google.com/spreadsheets/d/1ZNYWeiFoFA1K1U4xKWqRX29MBvEyRHXORjo734Gnq_c/edit?usp=share_li"&amp;"nk"",""เชียงราย!I643"")
+IMPORTRANGE(""https://docs.google.com/spreadsheets/d/1Jgv0Y7YlHDtsiDawwp-uvifEJ8HVaSn0k2aGHG8-hwM/edit?usp=share_link"",""เชียงใหม่!I643"")+IMPORTRANGE(""https://docs.google.com/spreadsheets/d/1JWG2rZePOz9pe-f-ObA-yDr0VoOX2kSb0qIi"&amp;"x2mTUo8/edit?usp=share_link"",""ตาก!I643"")+IMPORTRANGE(""https://docs.google.com/spreadsheets/d/10nSRjK08hx8Y6HgSOQKNw81lyY46Zc7U_Cj72hBMp9U/edit?usp=share_link"",""นครสวรรค์!I643"")+IMPORTRANGE(""https://docs.google.com/spreadsheets/d/1gFVb7qd7amutrIxAA"&amp;"oM7lcy35hllxznovot8lyOfvDo/edit?usp=share_link"",""น่าน!I643"")+IMPORTRANGE(""https://docs.google.com/spreadsheets/d/1K0Aa9s-6EuHE5M0FG1F9aHLXRCOV917xvycTdLdct0w/edit?usp=share_link"",""พะเยา!I643"")+IMPORTRANGE(""https://docs.google.com/spreadsheets/d/1Y"&amp;"9LPKx95PyL5OKy09d-KbKJSuuEZCFdkhYjwC0XQjBA/edit?usp=share_link"",""พิจิตร!I643"")+IMPORTRANGE(""https://docs.google.com/spreadsheets/d/16OMuOwy2eVqZcYWOouQtTpa8X1L23h4660uVHc0C8os/edit?usp=share_link"",""พิษณุโลก!I643"")+IMPORTRANGE(""https://docs.google."&amp;"com/spreadsheets/d/1GfgTldLG6k77HXaMQzaafODklYuucJZQNs_GAPEfZyY/edit?usp=share_link"",""เพชรบูรณ์!I643"")+IMPORTRANGE(""https://docs.google.com/spreadsheets/d/1gvTMYAnm7v1yG1BKWFtr0DnaTsq59oW9dwWvFgq6hs0/edit?usp=share_link"",""แพร่!I643"")+IMPORTRANGE("""&amp;"https://docs.google.com/spreadsheets/d/1Wbcosgy-Xa1xXUArJSOenub6EfZHUSzc_bpJFWwQUf0/edit?usp=share_link"",""แม่ฮ่องสอน!I643"")+IMPORTRANGE(""https://docs.google.com/spreadsheets/d/1p7ERhsr0qZeSn-KSOdeHS9r0heI-lHtkcn2OH7hP0jQ/edit?usp=share_link"",""ลำปาง!"&amp;"I643"")+IMPORTRANGE(""https://docs.google.com/spreadsheets/d/1-uUXvimVhiU2U0bMN-xi2te0tS4X7DI2GLPnMjzl8cA/edit?usp=share_link"",""ลำพูน!I643"")+IMPORTRANGE(""https://docs.google.com/spreadsheets/d/17HrOaa5pBUI1onckFfumXB8xlg35qb2uBAFfF1D-Myo/edit?usp=shar"&amp;"e_link"",""สุโขทัย!I643"")+IMPORTRANGE(""https://docs.google.com/spreadsheets/d/1ubs5cl16eYL9gHbdHTJtmtYb9MGzHBs7CAphn8kNCgM/edit?usp=share_link"",""อุตรดิตถ์!I643"")+IMPORTRANGE(""https://docs.google.com/spreadsheets/d/1kII0BjS6CtVrBvI8IrytgPdxDrlyQDyigz"&amp;"MsohRtDMs/edit?usp=share_link"",""อุทัยธานี!I643"")
"),14)</f>
        <v>14</v>
      </c>
      <c r="J643" s="183">
        <f ca="1">IFERROR(__xludf.DUMMYFUNCTION("IMPORTRANGE(""https://docs.google.com/spreadsheets/d/1KxicF4apzSqm0-jIpmueT4kyZtE-Cwn5zskl7GD4loQ/edit?usp=share_link"",""กำแพงเพชร!J643"")+IMPORTRANGE(""https://docs.google.com/spreadsheets/d/1ZNYWeiFoFA1K1U4xKWqRX29MBvEyRHXORjo734Gnq_c/edit?usp=share_li"&amp;"nk"",""เชียงราย!J643"")
+IMPORTRANGE(""https://docs.google.com/spreadsheets/d/1Jgv0Y7YlHDtsiDawwp-uvifEJ8HVaSn0k2aGHG8-hwM/edit?usp=share_link"",""เชียงใหม่!J643"")+IMPORTRANGE(""https://docs.google.com/spreadsheets/d/1JWG2rZePOz9pe-f-ObA-yDr0VoOX2kSb0qIi"&amp;"x2mTUo8/edit?usp=share_link"",""ตาก!J643"")+IMPORTRANGE(""https://docs.google.com/spreadsheets/d/10nSRjK08hx8Y6HgSOQKNw81lyY46Zc7U_Cj72hBMp9U/edit?usp=share_link"",""นครสวรรค์!J643"")+IMPORTRANGE(""https://docs.google.com/spreadsheets/d/1gFVb7qd7amutrIxAA"&amp;"oM7lcy35hllxznovot8lyOfvDo/edit?usp=share_link"",""น่าน!J643"")+IMPORTRANGE(""https://docs.google.com/spreadsheets/d/1K0Aa9s-6EuHE5M0FG1F9aHLXRCOV917xvycTdLdct0w/edit?usp=share_link"",""พะเยา!J643"")+IMPORTRANGE(""https://docs.google.com/spreadsheets/d/1Y"&amp;"9LPKx95PyL5OKy09d-KbKJSuuEZCFdkhYjwC0XQjBA/edit?usp=share_link"",""พิจิตร!J643"")+IMPORTRANGE(""https://docs.google.com/spreadsheets/d/16OMuOwy2eVqZcYWOouQtTpa8X1L23h4660uVHc0C8os/edit?usp=share_link"",""พิษณุโลก!J643"")+IMPORTRANGE(""https://docs.google."&amp;"com/spreadsheets/d/1GfgTldLG6k77HXaMQzaafODklYuucJZQNs_GAPEfZyY/edit?usp=share_link"",""เพชรบูรณ์!J643"")+IMPORTRANGE(""https://docs.google.com/spreadsheets/d/1gvTMYAnm7v1yG1BKWFtr0DnaTsq59oW9dwWvFgq6hs0/edit?usp=share_link"",""แพร่!J643"")+IMPORTRANGE("""&amp;"https://docs.google.com/spreadsheets/d/1Wbcosgy-Xa1xXUArJSOenub6EfZHUSzc_bpJFWwQUf0/edit?usp=share_link"",""แม่ฮ่องสอน!J643"")+IMPORTRANGE(""https://docs.google.com/spreadsheets/d/1p7ERhsr0qZeSn-KSOdeHS9r0heI-lHtkcn2OH7hP0jQ/edit?usp=share_link"",""ลำปาง!"&amp;"J643"")+IMPORTRANGE(""https://docs.google.com/spreadsheets/d/1-uUXvimVhiU2U0bMN-xi2te0tS4X7DI2GLPnMjzl8cA/edit?usp=share_link"",""ลำพูน!J643"")+IMPORTRANGE(""https://docs.google.com/spreadsheets/d/17HrOaa5pBUI1onckFfumXB8xlg35qb2uBAFfF1D-Myo/edit?usp=shar"&amp;"e_link"",""สุโขทัย!J643"")+IMPORTRANGE(""https://docs.google.com/spreadsheets/d/1ubs5cl16eYL9gHbdHTJtmtYb9MGzHBs7CAphn8kNCgM/edit?usp=share_link"",""อุตรดิตถ์!J643"")+IMPORTRANGE(""https://docs.google.com/spreadsheets/d/1kII0BjS6CtVrBvI8IrytgPdxDrlyQDyigz"&amp;"MsohRtDMs/edit?usp=share_link"",""อุทัยธานี!J643"")
"),5)</f>
        <v>5</v>
      </c>
      <c r="K643" s="163">
        <f t="shared" ref="K643:K652" ca="1" si="310">IF(I643&gt;0,J643*100/I643,0)</f>
        <v>35.714285714285715</v>
      </c>
      <c r="L643" s="163"/>
      <c r="M643" s="163"/>
      <c r="N643" s="38"/>
      <c r="O643" s="163"/>
      <c r="P643" s="163"/>
      <c r="Q643" s="542"/>
      <c r="R643" s="542"/>
      <c r="S643" s="542"/>
      <c r="T643" s="542"/>
      <c r="U643" s="542"/>
      <c r="V643" s="542"/>
      <c r="W643" s="542"/>
      <c r="X643" s="542"/>
      <c r="Y643" s="542"/>
      <c r="Z643" s="542"/>
    </row>
    <row r="644" spans="1:26" ht="18.75">
      <c r="A644" s="710"/>
      <c r="B644" s="539"/>
      <c r="C644" s="540"/>
      <c r="D644" s="586"/>
      <c r="E644" s="711" t="s">
        <v>273</v>
      </c>
      <c r="F644" s="586"/>
      <c r="G644" s="175"/>
      <c r="H644" s="417" t="s">
        <v>274</v>
      </c>
      <c r="I644" s="270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644" s="183">
        <f ca="1">IFERROR(__xludf.DUMMYFUNCTION("IMPORTRANGE(""https://docs.google.com/spreadsheets/d/1KxicF4apzSqm0-jIpmueT4kyZtE-Cwn5zskl7GD4loQ/edit?usp=share_link"",""กำแพงเพชร!J644"")+IMPORTRANGE(""https://docs.google.com/spreadsheets/d/1ZNYWeiFoFA1K1U4xKWqRX29MBvEyRHXORjo734Gnq_c/edit?usp=share_li"&amp;"nk"",""เชียงราย!J644"")
+IMPORTRANGE(""https://docs.google.com/spreadsheets/d/1Jgv0Y7YlHDtsiDawwp-uvifEJ8HVaSn0k2aGHG8-hwM/edit?usp=share_link"",""เชียงใหม่!J644"")+IMPORTRANGE(""https://docs.google.com/spreadsheets/d/1JWG2rZePOz9pe-f-ObA-yDr0VoOX2kSb0qIi"&amp;"x2mTUo8/edit?usp=share_link"",""ตาก!J644"")+IMPORTRANGE(""https://docs.google.com/spreadsheets/d/10nSRjK08hx8Y6HgSOQKNw81lyY46Zc7U_Cj72hBMp9U/edit?usp=share_link"",""นครสวรรค์!J644"")+IMPORTRANGE(""https://docs.google.com/spreadsheets/d/1gFVb7qd7amutrIxAA"&amp;"oM7lcy35hllxznovot8lyOfvDo/edit?usp=share_link"",""น่าน!J644"")+IMPORTRANGE(""https://docs.google.com/spreadsheets/d/1K0Aa9s-6EuHE5M0FG1F9aHLXRCOV917xvycTdLdct0w/edit?usp=share_link"",""พะเยา!J644"")+IMPORTRANGE(""https://docs.google.com/spreadsheets/d/1Y"&amp;"9LPKx95PyL5OKy09d-KbKJSuuEZCFdkhYjwC0XQjBA/edit?usp=share_link"",""พิจิตร!J644"")+IMPORTRANGE(""https://docs.google.com/spreadsheets/d/16OMuOwy2eVqZcYWOouQtTpa8X1L23h4660uVHc0C8os/edit?usp=share_link"",""พิษณุโลก!J644"")+IMPORTRANGE(""https://docs.google."&amp;"com/spreadsheets/d/1GfgTldLG6k77HXaMQzaafODklYuucJZQNs_GAPEfZyY/edit?usp=share_link"",""เพชรบูรณ์!J644"")+IMPORTRANGE(""https://docs.google.com/spreadsheets/d/1gvTMYAnm7v1yG1BKWFtr0DnaTsq59oW9dwWvFgq6hs0/edit?usp=share_link"",""แพร่!J644"")+IMPORTRANGE("""&amp;"https://docs.google.com/spreadsheets/d/1Wbcosgy-Xa1xXUArJSOenub6EfZHUSzc_bpJFWwQUf0/edit?usp=share_link"",""แม่ฮ่องสอน!J644"")+IMPORTRANGE(""https://docs.google.com/spreadsheets/d/1p7ERhsr0qZeSn-KSOdeHS9r0heI-lHtkcn2OH7hP0jQ/edit?usp=share_link"",""ลำปาง!"&amp;"J644"")+IMPORTRANGE(""https://docs.google.com/spreadsheets/d/1-uUXvimVhiU2U0bMN-xi2te0tS4X7DI2GLPnMjzl8cA/edit?usp=share_link"",""ลำพูน!J644"")+IMPORTRANGE(""https://docs.google.com/spreadsheets/d/17HrOaa5pBUI1onckFfumXB8xlg35qb2uBAFfF1D-Myo/edit?usp=shar"&amp;"e_link"",""สุโขทัย!J644"")+IMPORTRANGE(""https://docs.google.com/spreadsheets/d/1ubs5cl16eYL9gHbdHTJtmtYb9MGzHBs7CAphn8kNCgM/edit?usp=share_link"",""อุตรดิตถ์!J644"")+IMPORTRANGE(""https://docs.google.com/spreadsheets/d/1kII0BjS6CtVrBvI8IrytgPdxDrlyQDyigz"&amp;"MsohRtDMs/edit?usp=share_link"",""อุทัยธานี!J644"")
"),5)</f>
        <v>5</v>
      </c>
      <c r="K644" s="163">
        <f t="shared" ca="1" si="310"/>
        <v>125</v>
      </c>
      <c r="L644" s="163"/>
      <c r="M644" s="163"/>
      <c r="N644" s="38"/>
      <c r="O644" s="163"/>
      <c r="P644" s="163"/>
      <c r="Q644" s="542"/>
      <c r="R644" s="542"/>
      <c r="S644" s="542"/>
      <c r="T644" s="542"/>
      <c r="U644" s="542"/>
      <c r="V644" s="542"/>
      <c r="W644" s="542"/>
      <c r="X644" s="542"/>
      <c r="Y644" s="542"/>
      <c r="Z644" s="542"/>
    </row>
    <row r="645" spans="1:26" ht="18.75">
      <c r="A645" s="710"/>
      <c r="B645" s="539"/>
      <c r="C645" s="540"/>
      <c r="D645" s="586"/>
      <c r="E645" s="712" t="s">
        <v>275</v>
      </c>
      <c r="F645" s="586"/>
      <c r="G645" s="175"/>
      <c r="H645" s="182" t="s">
        <v>34</v>
      </c>
      <c r="I645" s="270">
        <v>0</v>
      </c>
      <c r="J645" s="37">
        <f ca="1">IFERROR(__xludf.DUMMYFUNCTION("IMPORTRANGE(""https://docs.google.com/spreadsheets/d/1KxicF4apzSqm0-jIpmueT4kyZtE-Cwn5zskl7GD4loQ/edit?usp=share_link"",""กำแพงเพชร!J645"")+IMPORTRANGE(""https://docs.google.com/spreadsheets/d/1ZNYWeiFoFA1K1U4xKWqRX29MBvEyRHXORjo734Gnq_c/edit?usp=share_li"&amp;"nk"",""เชียงราย!J645"")
+IMPORTRANGE(""https://docs.google.com/spreadsheets/d/1Jgv0Y7YlHDtsiDawwp-uvifEJ8HVaSn0k2aGHG8-hwM/edit?usp=share_link"",""เชียงใหม่!J645"")+IMPORTRANGE(""https://docs.google.com/spreadsheets/d/1JWG2rZePOz9pe-f-ObA-yDr0VoOX2kSb0qIi"&amp;"x2mTUo8/edit?usp=share_link"",""ตาก!J645"")+IMPORTRANGE(""https://docs.google.com/spreadsheets/d/10nSRjK08hx8Y6HgSOQKNw81lyY46Zc7U_Cj72hBMp9U/edit?usp=share_link"",""นครสวรรค์!J645"")+IMPORTRANGE(""https://docs.google.com/spreadsheets/d/1gFVb7qd7amutrIxAA"&amp;"oM7lcy35hllxznovot8lyOfvDo/edit?usp=share_link"",""น่าน!J645"")+IMPORTRANGE(""https://docs.google.com/spreadsheets/d/1K0Aa9s-6EuHE5M0FG1F9aHLXRCOV917xvycTdLdct0w/edit?usp=share_link"",""พะเยา!J645"")+IMPORTRANGE(""https://docs.google.com/spreadsheets/d/1Y"&amp;"9LPKx95PyL5OKy09d-KbKJSuuEZCFdkhYjwC0XQjBA/edit?usp=share_link"",""พิจิตร!J645"")+IMPORTRANGE(""https://docs.google.com/spreadsheets/d/16OMuOwy2eVqZcYWOouQtTpa8X1L23h4660uVHc0C8os/edit?usp=share_link"",""พิษณุโลก!J645"")+IMPORTRANGE(""https://docs.google."&amp;"com/spreadsheets/d/1GfgTldLG6k77HXaMQzaafODklYuucJZQNs_GAPEfZyY/edit?usp=share_link"",""เพชรบูรณ์!J645"")+IMPORTRANGE(""https://docs.google.com/spreadsheets/d/1gvTMYAnm7v1yG1BKWFtr0DnaTsq59oW9dwWvFgq6hs0/edit?usp=share_link"",""แพร่!J645"")+IMPORTRANGE("""&amp;"https://docs.google.com/spreadsheets/d/1Wbcosgy-Xa1xXUArJSOenub6EfZHUSzc_bpJFWwQUf0/edit?usp=share_link"",""แม่ฮ่องสอน!J645"")+IMPORTRANGE(""https://docs.google.com/spreadsheets/d/1p7ERhsr0qZeSn-KSOdeHS9r0heI-lHtkcn2OH7hP0jQ/edit?usp=share_link"",""ลำปาง!"&amp;"J645"")+IMPORTRANGE(""https://docs.google.com/spreadsheets/d/1-uUXvimVhiU2U0bMN-xi2te0tS4X7DI2GLPnMjzl8cA/edit?usp=share_link"",""ลำพูน!J645"")+IMPORTRANGE(""https://docs.google.com/spreadsheets/d/17HrOaa5pBUI1onckFfumXB8xlg35qb2uBAFfF1D-Myo/edit?usp=shar"&amp;"e_link"",""สุโขทัย!J645"")+IMPORTRANGE(""https://docs.google.com/spreadsheets/d/1ubs5cl16eYL9gHbdHTJtmtYb9MGzHBs7CAphn8kNCgM/edit?usp=share_link"",""อุตรดิตถ์!J645"")+IMPORTRANGE(""https://docs.google.com/spreadsheets/d/1kII0BjS6CtVrBvI8IrytgPdxDrlyQDyigz"&amp;"MsohRtDMs/edit?usp=share_link"",""อุทัยธานี!J645"")
"),873)</f>
        <v>873</v>
      </c>
      <c r="K645" s="163">
        <f t="shared" si="310"/>
        <v>0</v>
      </c>
      <c r="L645" s="163"/>
      <c r="M645" s="163"/>
      <c r="N645" s="38"/>
      <c r="O645" s="163"/>
      <c r="P645" s="163"/>
      <c r="Q645" s="542"/>
      <c r="R645" s="542"/>
      <c r="S645" s="542"/>
      <c r="T645" s="542"/>
      <c r="U645" s="542"/>
      <c r="V645" s="542"/>
      <c r="W645" s="542"/>
      <c r="X645" s="542"/>
      <c r="Y645" s="542"/>
      <c r="Z645" s="542"/>
    </row>
    <row r="646" spans="1:26" ht="18.75">
      <c r="A646" s="710"/>
      <c r="B646" s="539"/>
      <c r="C646" s="540"/>
      <c r="D646" s="586"/>
      <c r="E646" s="586"/>
      <c r="F646" s="586"/>
      <c r="G646" s="175"/>
      <c r="H646" s="182" t="s">
        <v>46</v>
      </c>
      <c r="I646" s="270">
        <v>0</v>
      </c>
      <c r="J646" s="37">
        <f ca="1">IFERROR(__xludf.DUMMYFUNCTION("IMPORTRANGE(""https://docs.google.com/spreadsheets/d/1KxicF4apzSqm0-jIpmueT4kyZtE-Cwn5zskl7GD4loQ/edit?usp=share_link"",""กำแพงเพชร!J646"")+IMPORTRANGE(""https://docs.google.com/spreadsheets/d/1ZNYWeiFoFA1K1U4xKWqRX29MBvEyRHXORjo734Gnq_c/edit?usp=share_li"&amp;"nk"",""เชียงราย!J646"")
+IMPORTRANGE(""https://docs.google.com/spreadsheets/d/1Jgv0Y7YlHDtsiDawwp-uvifEJ8HVaSn0k2aGHG8-hwM/edit?usp=share_link"",""เชียงใหม่!J646"")+IMPORTRANGE(""https://docs.google.com/spreadsheets/d/1JWG2rZePOz9pe-f-ObA-yDr0VoOX2kSb0qIi"&amp;"x2mTUo8/edit?usp=share_link"",""ตาก!J646"")+IMPORTRANGE(""https://docs.google.com/spreadsheets/d/10nSRjK08hx8Y6HgSOQKNw81lyY46Zc7U_Cj72hBMp9U/edit?usp=share_link"",""นครสวรรค์!J646"")+IMPORTRANGE(""https://docs.google.com/spreadsheets/d/1gFVb7qd7amutrIxAA"&amp;"oM7lcy35hllxznovot8lyOfvDo/edit?usp=share_link"",""น่าน!J646"")+IMPORTRANGE(""https://docs.google.com/spreadsheets/d/1K0Aa9s-6EuHE5M0FG1F9aHLXRCOV917xvycTdLdct0w/edit?usp=share_link"",""พะเยา!J646"")+IMPORTRANGE(""https://docs.google.com/spreadsheets/d/1Y"&amp;"9LPKx95PyL5OKy09d-KbKJSuuEZCFdkhYjwC0XQjBA/edit?usp=share_link"",""พิจิตร!J646"")+IMPORTRANGE(""https://docs.google.com/spreadsheets/d/16OMuOwy2eVqZcYWOouQtTpa8X1L23h4660uVHc0C8os/edit?usp=share_link"",""พิษณุโลก!J646"")+IMPORTRANGE(""https://docs.google."&amp;"com/spreadsheets/d/1GfgTldLG6k77HXaMQzaafODklYuucJZQNs_GAPEfZyY/edit?usp=share_link"",""เพชรบูรณ์!J646"")+IMPORTRANGE(""https://docs.google.com/spreadsheets/d/1gvTMYAnm7v1yG1BKWFtr0DnaTsq59oW9dwWvFgq6hs0/edit?usp=share_link"",""แพร่!J646"")+IMPORTRANGE("""&amp;"https://docs.google.com/spreadsheets/d/1Wbcosgy-Xa1xXUArJSOenub6EfZHUSzc_bpJFWwQUf0/edit?usp=share_link"",""แม่ฮ่องสอน!J646"")+IMPORTRANGE(""https://docs.google.com/spreadsheets/d/1p7ERhsr0qZeSn-KSOdeHS9r0heI-lHtkcn2OH7hP0jQ/edit?usp=share_link"",""ลำปาง!"&amp;"J646"")+IMPORTRANGE(""https://docs.google.com/spreadsheets/d/1-uUXvimVhiU2U0bMN-xi2te0tS4X7DI2GLPnMjzl8cA/edit?usp=share_link"",""ลำพูน!J646"")+IMPORTRANGE(""https://docs.google.com/spreadsheets/d/17HrOaa5pBUI1onckFfumXB8xlg35qb2uBAFfF1D-Myo/edit?usp=shar"&amp;"e_link"",""สุโขทัย!J646"")+IMPORTRANGE(""https://docs.google.com/spreadsheets/d/1ubs5cl16eYL9gHbdHTJtmtYb9MGzHBs7CAphn8kNCgM/edit?usp=share_link"",""อุตรดิตถ์!J646"")+IMPORTRANGE(""https://docs.google.com/spreadsheets/d/1kII0BjS6CtVrBvI8IrytgPdxDrlyQDyigz"&amp;"MsohRtDMs/edit?usp=share_link"",""อุทัยธานี!J646"")
"),566.67)</f>
        <v>566.66999999999996</v>
      </c>
      <c r="K646" s="38">
        <f t="shared" si="310"/>
        <v>0</v>
      </c>
      <c r="L646" s="163"/>
      <c r="M646" s="163"/>
      <c r="N646" s="38"/>
      <c r="O646" s="163"/>
      <c r="P646" s="163"/>
      <c r="Q646" s="542"/>
      <c r="R646" s="542"/>
      <c r="S646" s="542"/>
      <c r="T646" s="542"/>
      <c r="U646" s="542"/>
      <c r="V646" s="542"/>
      <c r="W646" s="542"/>
      <c r="X646" s="542"/>
      <c r="Y646" s="542"/>
      <c r="Z646" s="542"/>
    </row>
    <row r="647" spans="1:26" ht="18.75">
      <c r="A647" s="710"/>
      <c r="B647" s="539"/>
      <c r="C647" s="540"/>
      <c r="D647" s="586"/>
      <c r="E647" s="263" t="s">
        <v>162</v>
      </c>
      <c r="F647" s="586"/>
      <c r="G647" s="175"/>
      <c r="H647" s="182" t="s">
        <v>35</v>
      </c>
      <c r="I647" s="37">
        <f ca="1">IFERROR(__xludf.DUMMYFUNCTION("IMPORTRANGE(""https://docs.google.com/spreadsheets/d/1KxicF4apzSqm0-jIpmueT4kyZtE-Cwn5zskl7GD4loQ/edit?usp=share_link"",""กำแพงเพชร!I647"")+IMPORTRANGE(""https://docs.google.com/spreadsheets/d/1ZNYWeiFoFA1K1U4xKWqRX29MBvEyRHXORjo734Gnq_c/edit?usp=share_li"&amp;"nk"",""เชียงราย!I647"")
+IMPORTRANGE(""https://docs.google.com/spreadsheets/d/1Jgv0Y7YlHDtsiDawwp-uvifEJ8HVaSn0k2aGHG8-hwM/edit?usp=share_link"",""เชียงใหม่!I647"")+IMPORTRANGE(""https://docs.google.com/spreadsheets/d/1JWG2rZePOz9pe-f-ObA-yDr0VoOX2kSb0qIi"&amp;"x2mTUo8/edit?usp=share_link"",""ตาก!I647"")+IMPORTRANGE(""https://docs.google.com/spreadsheets/d/10nSRjK08hx8Y6HgSOQKNw81lyY46Zc7U_Cj72hBMp9U/edit?usp=share_link"",""นครสวรรค์!I647"")+IMPORTRANGE(""https://docs.google.com/spreadsheets/d/1gFVb7qd7amutrIxAA"&amp;"oM7lcy35hllxznovot8lyOfvDo/edit?usp=share_link"",""น่าน!I647"")+IMPORTRANGE(""https://docs.google.com/spreadsheets/d/1K0Aa9s-6EuHE5M0FG1F9aHLXRCOV917xvycTdLdct0w/edit?usp=share_link"",""พะเยา!I647"")+IMPORTRANGE(""https://docs.google.com/spreadsheets/d/1Y"&amp;"9LPKx95PyL5OKy09d-KbKJSuuEZCFdkhYjwC0XQjBA/edit?usp=share_link"",""พิจิตร!I647"")+IMPORTRANGE(""https://docs.google.com/spreadsheets/d/16OMuOwy2eVqZcYWOouQtTpa8X1L23h4660uVHc0C8os/edit?usp=share_link"",""พิษณุโลก!I647"")+IMPORTRANGE(""https://docs.google."&amp;"com/spreadsheets/d/1GfgTldLG6k77HXaMQzaafODklYuucJZQNs_GAPEfZyY/edit?usp=share_link"",""เพชรบูรณ์!I647"")+IMPORTRANGE(""https://docs.google.com/spreadsheets/d/1gvTMYAnm7v1yG1BKWFtr0DnaTsq59oW9dwWvFgq6hs0/edit?usp=share_link"",""แพร่!I647"")+IMPORTRANGE("""&amp;"https://docs.google.com/spreadsheets/d/1Wbcosgy-Xa1xXUArJSOenub6EfZHUSzc_bpJFWwQUf0/edit?usp=share_link"",""แม่ฮ่องสอน!I647"")+IMPORTRANGE(""https://docs.google.com/spreadsheets/d/1p7ERhsr0qZeSn-KSOdeHS9r0heI-lHtkcn2OH7hP0jQ/edit?usp=share_link"",""ลำปาง!"&amp;"I647"")+IMPORTRANGE(""https://docs.google.com/spreadsheets/d/1-uUXvimVhiU2U0bMN-xi2te0tS4X7DI2GLPnMjzl8cA/edit?usp=share_link"",""ลำพูน!I647"")+IMPORTRANGE(""https://docs.google.com/spreadsheets/d/17HrOaa5pBUI1onckFfumXB8xlg35qb2uBAFfF1D-Myo/edit?usp=shar"&amp;"e_link"",""สุโขทัย!I647"")+IMPORTRANGE(""https://docs.google.com/spreadsheets/d/1ubs5cl16eYL9gHbdHTJtmtYb9MGzHBs7CAphn8kNCgM/edit?usp=share_link"",""อุตรดิตถ์!I647"")+IMPORTRANGE(""https://docs.google.com/spreadsheets/d/1kII0BjS6CtVrBvI8IrytgPdxDrlyQDyigz"&amp;"MsohRtDMs/edit?usp=share_link"",""อุทัยธานี!I647"")
"),2481)</f>
        <v>2481</v>
      </c>
      <c r="J647" s="37">
        <f ca="1">IFERROR(__xludf.DUMMYFUNCTION("IMPORTRANGE(""https://docs.google.com/spreadsheets/d/1KxicF4apzSqm0-jIpmueT4kyZtE-Cwn5zskl7GD4loQ/edit?usp=share_link"",""กำแพงเพชร!J647"")+IMPORTRANGE(""https://docs.google.com/spreadsheets/d/1ZNYWeiFoFA1K1U4xKWqRX29MBvEyRHXORjo734Gnq_c/edit?usp=share_li"&amp;"nk"",""เชียงราย!J647"")
+IMPORTRANGE(""https://docs.google.com/spreadsheets/d/1Jgv0Y7YlHDtsiDawwp-uvifEJ8HVaSn0k2aGHG8-hwM/edit?usp=share_link"",""เชียงใหม่!J647"")+IMPORTRANGE(""https://docs.google.com/spreadsheets/d/1JWG2rZePOz9pe-f-ObA-yDr0VoOX2kSb0qIi"&amp;"x2mTUo8/edit?usp=share_link"",""ตาก!J647"")+IMPORTRANGE(""https://docs.google.com/spreadsheets/d/10nSRjK08hx8Y6HgSOQKNw81lyY46Zc7U_Cj72hBMp9U/edit?usp=share_link"",""นครสวรรค์!J647"")+IMPORTRANGE(""https://docs.google.com/spreadsheets/d/1gFVb7qd7amutrIxAA"&amp;"oM7lcy35hllxznovot8lyOfvDo/edit?usp=share_link"",""น่าน!J647"")+IMPORTRANGE(""https://docs.google.com/spreadsheets/d/1K0Aa9s-6EuHE5M0FG1F9aHLXRCOV917xvycTdLdct0w/edit?usp=share_link"",""พะเยา!J647"")+IMPORTRANGE(""https://docs.google.com/spreadsheets/d/1Y"&amp;"9LPKx95PyL5OKy09d-KbKJSuuEZCFdkhYjwC0XQjBA/edit?usp=share_link"",""พิจิตร!J647"")+IMPORTRANGE(""https://docs.google.com/spreadsheets/d/16OMuOwy2eVqZcYWOouQtTpa8X1L23h4660uVHc0C8os/edit?usp=share_link"",""พิษณุโลก!J647"")+IMPORTRANGE(""https://docs.google."&amp;"com/spreadsheets/d/1GfgTldLG6k77HXaMQzaafODklYuucJZQNs_GAPEfZyY/edit?usp=share_link"",""เพชรบูรณ์!J647"")+IMPORTRANGE(""https://docs.google.com/spreadsheets/d/1gvTMYAnm7v1yG1BKWFtr0DnaTsq59oW9dwWvFgq6hs0/edit?usp=share_link"",""แพร่!J647"")+IMPORTRANGE("""&amp;"https://docs.google.com/spreadsheets/d/1Wbcosgy-Xa1xXUArJSOenub6EfZHUSzc_bpJFWwQUf0/edit?usp=share_link"",""แม่ฮ่องสอน!J647"")+IMPORTRANGE(""https://docs.google.com/spreadsheets/d/1p7ERhsr0qZeSn-KSOdeHS9r0heI-lHtkcn2OH7hP0jQ/edit?usp=share_link"",""ลำปาง!"&amp;"J647"")+IMPORTRANGE(""https://docs.google.com/spreadsheets/d/1-uUXvimVhiU2U0bMN-xi2te0tS4X7DI2GLPnMjzl8cA/edit?usp=share_link"",""ลำพูน!J647"")+IMPORTRANGE(""https://docs.google.com/spreadsheets/d/17HrOaa5pBUI1onckFfumXB8xlg35qb2uBAFfF1D-Myo/edit?usp=shar"&amp;"e_link"",""สุโขทัย!J647"")+IMPORTRANGE(""https://docs.google.com/spreadsheets/d/1ubs5cl16eYL9gHbdHTJtmtYb9MGzHBs7CAphn8kNCgM/edit?usp=share_link"",""อุตรดิตถ์!J647"")+IMPORTRANGE(""https://docs.google.com/spreadsheets/d/1kII0BjS6CtVrBvI8IrytgPdxDrlyQDyigz"&amp;"MsohRtDMs/edit?usp=share_link"",""อุทัยธานี!J647"")
"),558)</f>
        <v>558</v>
      </c>
      <c r="K647" s="163">
        <f t="shared" ca="1" si="310"/>
        <v>22.49093107617896</v>
      </c>
      <c r="L647" s="163"/>
      <c r="M647" s="163"/>
      <c r="N647" s="163"/>
      <c r="O647" s="163"/>
      <c r="P647" s="163"/>
      <c r="Q647" s="542"/>
      <c r="R647" s="542"/>
      <c r="S647" s="542"/>
      <c r="T647" s="542"/>
      <c r="U647" s="542"/>
      <c r="V647" s="542"/>
      <c r="W647" s="542"/>
      <c r="X647" s="542"/>
      <c r="Y647" s="542"/>
      <c r="Z647" s="542"/>
    </row>
    <row r="648" spans="1:26" ht="18.75">
      <c r="A648" s="710"/>
      <c r="B648" s="539"/>
      <c r="C648" s="540"/>
      <c r="D648" s="586"/>
      <c r="E648" s="586"/>
      <c r="F648" s="586"/>
      <c r="G648" s="175"/>
      <c r="H648" s="182" t="s">
        <v>46</v>
      </c>
      <c r="I648" s="270">
        <v>0</v>
      </c>
      <c r="J648" s="37">
        <f ca="1">IFERROR(__xludf.DUMMYFUNCTION("IMPORTRANGE(""https://docs.google.com/spreadsheets/d/1KxicF4apzSqm0-jIpmueT4kyZtE-Cwn5zskl7GD4loQ/edit?usp=share_link"",""กำแพงเพชร!J648"")+IMPORTRANGE(""https://docs.google.com/spreadsheets/d/1ZNYWeiFoFA1K1U4xKWqRX29MBvEyRHXORjo734Gnq_c/edit?usp=share_li"&amp;"nk"",""เชียงราย!J648"")
+IMPORTRANGE(""https://docs.google.com/spreadsheets/d/1Jgv0Y7YlHDtsiDawwp-uvifEJ8HVaSn0k2aGHG8-hwM/edit?usp=share_link"",""เชียงใหม่!J648"")+IMPORTRANGE(""https://docs.google.com/spreadsheets/d/1JWG2rZePOz9pe-f-ObA-yDr0VoOX2kSb0qIi"&amp;"x2mTUo8/edit?usp=share_link"",""ตาก!J648"")+IMPORTRANGE(""https://docs.google.com/spreadsheets/d/10nSRjK08hx8Y6HgSOQKNw81lyY46Zc7U_Cj72hBMp9U/edit?usp=share_link"",""นครสวรรค์!J648"")+IMPORTRANGE(""https://docs.google.com/spreadsheets/d/1gFVb7qd7amutrIxAA"&amp;"oM7lcy35hllxznovot8lyOfvDo/edit?usp=share_link"",""น่าน!J648"")+IMPORTRANGE(""https://docs.google.com/spreadsheets/d/1K0Aa9s-6EuHE5M0FG1F9aHLXRCOV917xvycTdLdct0w/edit?usp=share_link"",""พะเยา!J648"")+IMPORTRANGE(""https://docs.google.com/spreadsheets/d/1Y"&amp;"9LPKx95PyL5OKy09d-KbKJSuuEZCFdkhYjwC0XQjBA/edit?usp=share_link"",""พิจิตร!J648"")+IMPORTRANGE(""https://docs.google.com/spreadsheets/d/16OMuOwy2eVqZcYWOouQtTpa8X1L23h4660uVHc0C8os/edit?usp=share_link"",""พิษณุโลก!J648"")+IMPORTRANGE(""https://docs.google."&amp;"com/spreadsheets/d/1GfgTldLG6k77HXaMQzaafODklYuucJZQNs_GAPEfZyY/edit?usp=share_link"",""เพชรบูรณ์!J648"")+IMPORTRANGE(""https://docs.google.com/spreadsheets/d/1gvTMYAnm7v1yG1BKWFtr0DnaTsq59oW9dwWvFgq6hs0/edit?usp=share_link"",""แพร่!J648"")+IMPORTRANGE("""&amp;"https://docs.google.com/spreadsheets/d/1Wbcosgy-Xa1xXUArJSOenub6EfZHUSzc_bpJFWwQUf0/edit?usp=share_link"",""แม่ฮ่องสอน!J648"")+IMPORTRANGE(""https://docs.google.com/spreadsheets/d/1p7ERhsr0qZeSn-KSOdeHS9r0heI-lHtkcn2OH7hP0jQ/edit?usp=share_link"",""ลำปาง!"&amp;"J648"")+IMPORTRANGE(""https://docs.google.com/spreadsheets/d/1-uUXvimVhiU2U0bMN-xi2te0tS4X7DI2GLPnMjzl8cA/edit?usp=share_link"",""ลำพูน!J648"")+IMPORTRANGE(""https://docs.google.com/spreadsheets/d/17HrOaa5pBUI1onckFfumXB8xlg35qb2uBAFfF1D-Myo/edit?usp=shar"&amp;"e_link"",""สุโขทัย!J648"")+IMPORTRANGE(""https://docs.google.com/spreadsheets/d/1ubs5cl16eYL9gHbdHTJtmtYb9MGzHBs7CAphn8kNCgM/edit?usp=share_link"",""อุตรดิตถ์!J648"")+IMPORTRANGE(""https://docs.google.com/spreadsheets/d/1kII0BjS6CtVrBvI8IrytgPdxDrlyQDyigz"&amp;"MsohRtDMs/edit?usp=share_link"",""อุทัยธานี!J648"")
"),359.34)</f>
        <v>359.34</v>
      </c>
      <c r="K648" s="38">
        <f t="shared" si="310"/>
        <v>0</v>
      </c>
      <c r="L648" s="163"/>
      <c r="M648" s="163"/>
      <c r="N648" s="163"/>
      <c r="O648" s="163"/>
      <c r="P648" s="163"/>
      <c r="Q648" s="542"/>
      <c r="R648" s="542"/>
      <c r="S648" s="542"/>
      <c r="T648" s="542"/>
      <c r="U648" s="542"/>
      <c r="V648" s="542"/>
      <c r="W648" s="542"/>
      <c r="X648" s="542"/>
      <c r="Y648" s="542"/>
      <c r="Z648" s="542"/>
    </row>
    <row r="649" spans="1:26" ht="18.75">
      <c r="A649" s="710"/>
      <c r="B649" s="539"/>
      <c r="C649" s="540"/>
      <c r="D649" s="586"/>
      <c r="E649" s="263" t="s">
        <v>276</v>
      </c>
      <c r="F649" s="586"/>
      <c r="G649" s="175"/>
      <c r="H649" s="182" t="s">
        <v>35</v>
      </c>
      <c r="I649" s="37">
        <f ca="1">IFERROR(__xludf.DUMMYFUNCTION("IMPORTRANGE(""https://docs.google.com/spreadsheets/d/1KxicF4apzSqm0-jIpmueT4kyZtE-Cwn5zskl7GD4loQ/edit?usp=share_link"",""กำแพงเพชร!I649"")+IMPORTRANGE(""https://docs.google.com/spreadsheets/d/1ZNYWeiFoFA1K1U4xKWqRX29MBvEyRHXORjo734Gnq_c/edit?usp=share_li"&amp;"nk"",""เชียงราย!I649"")
+IMPORTRANGE(""https://docs.google.com/spreadsheets/d/1Jgv0Y7YlHDtsiDawwp-uvifEJ8HVaSn0k2aGHG8-hwM/edit?usp=share_link"",""เชียงใหม่!I649"")+IMPORTRANGE(""https://docs.google.com/spreadsheets/d/1JWG2rZePOz9pe-f-ObA-yDr0VoOX2kSb0qIi"&amp;"x2mTUo8/edit?usp=share_link"",""ตาก!I649"")+IMPORTRANGE(""https://docs.google.com/spreadsheets/d/10nSRjK08hx8Y6HgSOQKNw81lyY46Zc7U_Cj72hBMp9U/edit?usp=share_link"",""นครสวรรค์!I649"")+IMPORTRANGE(""https://docs.google.com/spreadsheets/d/1gFVb7qd7amutrIxAA"&amp;"oM7lcy35hllxznovot8lyOfvDo/edit?usp=share_link"",""น่าน!I649"")+IMPORTRANGE(""https://docs.google.com/spreadsheets/d/1K0Aa9s-6EuHE5M0FG1F9aHLXRCOV917xvycTdLdct0w/edit?usp=share_link"",""พะเยา!I649"")+IMPORTRANGE(""https://docs.google.com/spreadsheets/d/1Y"&amp;"9LPKx95PyL5OKy09d-KbKJSuuEZCFdkhYjwC0XQjBA/edit?usp=share_link"",""พิจิตร!I649"")+IMPORTRANGE(""https://docs.google.com/spreadsheets/d/16OMuOwy2eVqZcYWOouQtTpa8X1L23h4660uVHc0C8os/edit?usp=share_link"",""พิษณุโลก!I649"")+IMPORTRANGE(""https://docs.google."&amp;"com/spreadsheets/d/1GfgTldLG6k77HXaMQzaafODklYuucJZQNs_GAPEfZyY/edit?usp=share_link"",""เพชรบูรณ์!I649"")+IMPORTRANGE(""https://docs.google.com/spreadsheets/d/1gvTMYAnm7v1yG1BKWFtr0DnaTsq59oW9dwWvFgq6hs0/edit?usp=share_link"",""แพร่!I649"")+IMPORTRANGE("""&amp;"https://docs.google.com/spreadsheets/d/1Wbcosgy-Xa1xXUArJSOenub6EfZHUSzc_bpJFWwQUf0/edit?usp=share_link"",""แม่ฮ่องสอน!I649"")+IMPORTRANGE(""https://docs.google.com/spreadsheets/d/1p7ERhsr0qZeSn-KSOdeHS9r0heI-lHtkcn2OH7hP0jQ/edit?usp=share_link"",""ลำปาง!"&amp;"I649"")+IMPORTRANGE(""https://docs.google.com/spreadsheets/d/1-uUXvimVhiU2U0bMN-xi2te0tS4X7DI2GLPnMjzl8cA/edit?usp=share_link"",""ลำพูน!I649"")+IMPORTRANGE(""https://docs.google.com/spreadsheets/d/17HrOaa5pBUI1onckFfumXB8xlg35qb2uBAFfF1D-Myo/edit?usp=shar"&amp;"e_link"",""สุโขทัย!I649"")+IMPORTRANGE(""https://docs.google.com/spreadsheets/d/1ubs5cl16eYL9gHbdHTJtmtYb9MGzHBs7CAphn8kNCgM/edit?usp=share_link"",""อุตรดิตถ์!I649"")+IMPORTRANGE(""https://docs.google.com/spreadsheets/d/1kII0BjS6CtVrBvI8IrytgPdxDrlyQDyigz"&amp;"MsohRtDMs/edit?usp=share_link"",""อุทัยธานี!I649"")
"),2481)</f>
        <v>2481</v>
      </c>
      <c r="J649" s="37">
        <f ca="1">IFERROR(__xludf.DUMMYFUNCTION("IMPORTRANGE(""https://docs.google.com/spreadsheets/d/1KxicF4apzSqm0-jIpmueT4kyZtE-Cwn5zskl7GD4loQ/edit?usp=share_link"",""กำแพงเพชร!J649"")+IMPORTRANGE(""https://docs.google.com/spreadsheets/d/1ZNYWeiFoFA1K1U4xKWqRX29MBvEyRHXORjo734Gnq_c/edit?usp=share_li"&amp;"nk"",""เชียงราย!J649"")
+IMPORTRANGE(""https://docs.google.com/spreadsheets/d/1Jgv0Y7YlHDtsiDawwp-uvifEJ8HVaSn0k2aGHG8-hwM/edit?usp=share_link"",""เชียงใหม่!J649"")+IMPORTRANGE(""https://docs.google.com/spreadsheets/d/1JWG2rZePOz9pe-f-ObA-yDr0VoOX2kSb0qIi"&amp;"x2mTUo8/edit?usp=share_link"",""ตาก!J649"")+IMPORTRANGE(""https://docs.google.com/spreadsheets/d/10nSRjK08hx8Y6HgSOQKNw81lyY46Zc7U_Cj72hBMp9U/edit?usp=share_link"",""นครสวรรค์!J649"")+IMPORTRANGE(""https://docs.google.com/spreadsheets/d/1gFVb7qd7amutrIxAA"&amp;"oM7lcy35hllxznovot8lyOfvDo/edit?usp=share_link"",""น่าน!J649"")+IMPORTRANGE(""https://docs.google.com/spreadsheets/d/1K0Aa9s-6EuHE5M0FG1F9aHLXRCOV917xvycTdLdct0w/edit?usp=share_link"",""พะเยา!J649"")+IMPORTRANGE(""https://docs.google.com/spreadsheets/d/1Y"&amp;"9LPKx95PyL5OKy09d-KbKJSuuEZCFdkhYjwC0XQjBA/edit?usp=share_link"",""พิจิตร!J649"")+IMPORTRANGE(""https://docs.google.com/spreadsheets/d/16OMuOwy2eVqZcYWOouQtTpa8X1L23h4660uVHc0C8os/edit?usp=share_link"",""พิษณุโลก!J649"")+IMPORTRANGE(""https://docs.google."&amp;"com/spreadsheets/d/1GfgTldLG6k77HXaMQzaafODklYuucJZQNs_GAPEfZyY/edit?usp=share_link"",""เพชรบูรณ์!J649"")+IMPORTRANGE(""https://docs.google.com/spreadsheets/d/1gvTMYAnm7v1yG1BKWFtr0DnaTsq59oW9dwWvFgq6hs0/edit?usp=share_link"",""แพร่!J649"")+IMPORTRANGE("""&amp;"https://docs.google.com/spreadsheets/d/1Wbcosgy-Xa1xXUArJSOenub6EfZHUSzc_bpJFWwQUf0/edit?usp=share_link"",""แม่ฮ่องสอน!J649"")+IMPORTRANGE(""https://docs.google.com/spreadsheets/d/1p7ERhsr0qZeSn-KSOdeHS9r0heI-lHtkcn2OH7hP0jQ/edit?usp=share_link"",""ลำปาง!"&amp;"J649"")+IMPORTRANGE(""https://docs.google.com/spreadsheets/d/1-uUXvimVhiU2U0bMN-xi2te0tS4X7DI2GLPnMjzl8cA/edit?usp=share_link"",""ลำพูน!J649"")+IMPORTRANGE(""https://docs.google.com/spreadsheets/d/17HrOaa5pBUI1onckFfumXB8xlg35qb2uBAFfF1D-Myo/edit?usp=shar"&amp;"e_link"",""สุโขทัย!J649"")+IMPORTRANGE(""https://docs.google.com/spreadsheets/d/1ubs5cl16eYL9gHbdHTJtmtYb9MGzHBs7CAphn8kNCgM/edit?usp=share_link"",""อุตรดิตถ์!J649"")+IMPORTRANGE(""https://docs.google.com/spreadsheets/d/1kII0BjS6CtVrBvI8IrytgPdxDrlyQDyigz"&amp;"MsohRtDMs/edit?usp=share_link"",""อุทัยธานี!J649"")
"),292)</f>
        <v>292</v>
      </c>
      <c r="K649" s="163">
        <f t="shared" ca="1" si="310"/>
        <v>11.76944780330512</v>
      </c>
      <c r="L649" s="163"/>
      <c r="M649" s="163"/>
      <c r="N649" s="163"/>
      <c r="O649" s="163"/>
      <c r="P649" s="163"/>
      <c r="Q649" s="542"/>
      <c r="R649" s="542"/>
      <c r="S649" s="542"/>
      <c r="T649" s="542"/>
      <c r="U649" s="542"/>
      <c r="V649" s="542"/>
      <c r="W649" s="542"/>
      <c r="X649" s="542"/>
      <c r="Y649" s="542"/>
      <c r="Z649" s="542"/>
    </row>
    <row r="650" spans="1:26" ht="18.75">
      <c r="A650" s="710"/>
      <c r="B650" s="539"/>
      <c r="C650" s="540"/>
      <c r="D650" s="586"/>
      <c r="E650" s="586"/>
      <c r="F650" s="586"/>
      <c r="G650" s="175"/>
      <c r="H650" s="182" t="s">
        <v>46</v>
      </c>
      <c r="I650" s="270">
        <v>0</v>
      </c>
      <c r="J650" s="37">
        <f ca="1">IFERROR(__xludf.DUMMYFUNCTION("IMPORTRANGE(""https://docs.google.com/spreadsheets/d/1KxicF4apzSqm0-jIpmueT4kyZtE-Cwn5zskl7GD4loQ/edit?usp=share_link"",""กำแพงเพชร!J650"")+IMPORTRANGE(""https://docs.google.com/spreadsheets/d/1ZNYWeiFoFA1K1U4xKWqRX29MBvEyRHXORjo734Gnq_c/edit?usp=share_li"&amp;"nk"",""เชียงราย!J650"")
+IMPORTRANGE(""https://docs.google.com/spreadsheets/d/1Jgv0Y7YlHDtsiDawwp-uvifEJ8HVaSn0k2aGHG8-hwM/edit?usp=share_link"",""เชียงใหม่!J650"")+IMPORTRANGE(""https://docs.google.com/spreadsheets/d/1JWG2rZePOz9pe-f-ObA-yDr0VoOX2kSb0qIi"&amp;"x2mTUo8/edit?usp=share_link"",""ตาก!J650"")+IMPORTRANGE(""https://docs.google.com/spreadsheets/d/10nSRjK08hx8Y6HgSOQKNw81lyY46Zc7U_Cj72hBMp9U/edit?usp=share_link"",""นครสวรรค์!J650"")+IMPORTRANGE(""https://docs.google.com/spreadsheets/d/1gFVb7qd7amutrIxAA"&amp;"oM7lcy35hllxznovot8lyOfvDo/edit?usp=share_link"",""น่าน!J650"")+IMPORTRANGE(""https://docs.google.com/spreadsheets/d/1K0Aa9s-6EuHE5M0FG1F9aHLXRCOV917xvycTdLdct0w/edit?usp=share_link"",""พะเยา!J650"")+IMPORTRANGE(""https://docs.google.com/spreadsheets/d/1Y"&amp;"9LPKx95PyL5OKy09d-KbKJSuuEZCFdkhYjwC0XQjBA/edit?usp=share_link"",""พิจิตร!J650"")+IMPORTRANGE(""https://docs.google.com/spreadsheets/d/16OMuOwy2eVqZcYWOouQtTpa8X1L23h4660uVHc0C8os/edit?usp=share_link"",""พิษณุโลก!J650"")+IMPORTRANGE(""https://docs.google."&amp;"com/spreadsheets/d/1GfgTldLG6k77HXaMQzaafODklYuucJZQNs_GAPEfZyY/edit?usp=share_link"",""เพชรบูรณ์!J650"")+IMPORTRANGE(""https://docs.google.com/spreadsheets/d/1gvTMYAnm7v1yG1BKWFtr0DnaTsq59oW9dwWvFgq6hs0/edit?usp=share_link"",""แพร่!J650"")+IMPORTRANGE("""&amp;"https://docs.google.com/spreadsheets/d/1Wbcosgy-Xa1xXUArJSOenub6EfZHUSzc_bpJFWwQUf0/edit?usp=share_link"",""แม่ฮ่องสอน!J650"")+IMPORTRANGE(""https://docs.google.com/spreadsheets/d/1p7ERhsr0qZeSn-KSOdeHS9r0heI-lHtkcn2OH7hP0jQ/edit?usp=share_link"",""ลำปาง!"&amp;"J650"")+IMPORTRANGE(""https://docs.google.com/spreadsheets/d/1-uUXvimVhiU2U0bMN-xi2te0tS4X7DI2GLPnMjzl8cA/edit?usp=share_link"",""ลำพูน!J650"")+IMPORTRANGE(""https://docs.google.com/spreadsheets/d/17HrOaa5pBUI1onckFfumXB8xlg35qb2uBAFfF1D-Myo/edit?usp=shar"&amp;"e_link"",""สุโขทัย!J650"")+IMPORTRANGE(""https://docs.google.com/spreadsheets/d/1ubs5cl16eYL9gHbdHTJtmtYb9MGzHBs7CAphn8kNCgM/edit?usp=share_link"",""อุตรดิตถ์!J650"")+IMPORTRANGE(""https://docs.google.com/spreadsheets/d/1kII0BjS6CtVrBvI8IrytgPdxDrlyQDyigz"&amp;"MsohRtDMs/edit?usp=share_link"",""อุทัยธานี!J650"")
"),172.7)</f>
        <v>172.7</v>
      </c>
      <c r="K650" s="38">
        <f t="shared" si="310"/>
        <v>0</v>
      </c>
      <c r="L650" s="163"/>
      <c r="M650" s="163"/>
      <c r="N650" s="163"/>
      <c r="O650" s="163"/>
      <c r="P650" s="163"/>
      <c r="Q650" s="542"/>
      <c r="R650" s="542"/>
      <c r="S650" s="542"/>
      <c r="T650" s="542"/>
      <c r="U650" s="542"/>
      <c r="V650" s="542"/>
      <c r="W650" s="542"/>
      <c r="X650" s="542"/>
      <c r="Y650" s="542"/>
      <c r="Z650" s="542"/>
    </row>
    <row r="651" spans="1:26" ht="18.75">
      <c r="A651" s="710"/>
      <c r="B651" s="539"/>
      <c r="C651" s="540"/>
      <c r="D651" s="586"/>
      <c r="E651" s="263" t="s">
        <v>277</v>
      </c>
      <c r="F651" s="586"/>
      <c r="G651" s="175"/>
      <c r="H651" s="182" t="s">
        <v>35</v>
      </c>
      <c r="I651" s="37">
        <f ca="1">IFERROR(__xludf.DUMMYFUNCTION("IMPORTRANGE(""https://docs.google.com/spreadsheets/d/1KxicF4apzSqm0-jIpmueT4kyZtE-Cwn5zskl7GD4loQ/edit?usp=share_link"",""กำแพงเพชร!I651"")+IMPORTRANGE(""https://docs.google.com/spreadsheets/d/1ZNYWeiFoFA1K1U4xKWqRX29MBvEyRHXORjo734Gnq_c/edit?usp=share_li"&amp;"nk"",""เชียงราย!I651"")
+IMPORTRANGE(""https://docs.google.com/spreadsheets/d/1Jgv0Y7YlHDtsiDawwp-uvifEJ8HVaSn0k2aGHG8-hwM/edit?usp=share_link"",""เชียงใหม่!I651"")+IMPORTRANGE(""https://docs.google.com/spreadsheets/d/1JWG2rZePOz9pe-f-ObA-yDr0VoOX2kSb0qIi"&amp;"x2mTUo8/edit?usp=share_link"",""ตาก!I651"")+IMPORTRANGE(""https://docs.google.com/spreadsheets/d/10nSRjK08hx8Y6HgSOQKNw81lyY46Zc7U_Cj72hBMp9U/edit?usp=share_link"",""นครสวรรค์!I651"")+IMPORTRANGE(""https://docs.google.com/spreadsheets/d/1gFVb7qd7amutrIxAA"&amp;"oM7lcy35hllxznovot8lyOfvDo/edit?usp=share_link"",""น่าน!I651"")+IMPORTRANGE(""https://docs.google.com/spreadsheets/d/1K0Aa9s-6EuHE5M0FG1F9aHLXRCOV917xvycTdLdct0w/edit?usp=share_link"",""พะเยา!I651"")+IMPORTRANGE(""https://docs.google.com/spreadsheets/d/1Y"&amp;"9LPKx95PyL5OKy09d-KbKJSuuEZCFdkhYjwC0XQjBA/edit?usp=share_link"",""พิจิตร!I651"")+IMPORTRANGE(""https://docs.google.com/spreadsheets/d/16OMuOwy2eVqZcYWOouQtTpa8X1L23h4660uVHc0C8os/edit?usp=share_link"",""พิษณุโลก!I651"")+IMPORTRANGE(""https://docs.google."&amp;"com/spreadsheets/d/1GfgTldLG6k77HXaMQzaafODklYuucJZQNs_GAPEfZyY/edit?usp=share_link"",""เพชรบูรณ์!I651"")+IMPORTRANGE(""https://docs.google.com/spreadsheets/d/1gvTMYAnm7v1yG1BKWFtr0DnaTsq59oW9dwWvFgq6hs0/edit?usp=share_link"",""แพร่!I651"")+IMPORTRANGE("""&amp;"https://docs.google.com/spreadsheets/d/1Wbcosgy-Xa1xXUArJSOenub6EfZHUSzc_bpJFWwQUf0/edit?usp=share_link"",""แม่ฮ่องสอน!I651"")+IMPORTRANGE(""https://docs.google.com/spreadsheets/d/1p7ERhsr0qZeSn-KSOdeHS9r0heI-lHtkcn2OH7hP0jQ/edit?usp=share_link"",""ลำปาง!"&amp;"I651"")+IMPORTRANGE(""https://docs.google.com/spreadsheets/d/1-uUXvimVhiU2U0bMN-xi2te0tS4X7DI2GLPnMjzl8cA/edit?usp=share_link"",""ลำพูน!I651"")+IMPORTRANGE(""https://docs.google.com/spreadsheets/d/17HrOaa5pBUI1onckFfumXB8xlg35qb2uBAFfF1D-Myo/edit?usp=shar"&amp;"e_link"",""สุโขทัย!I651"")+IMPORTRANGE(""https://docs.google.com/spreadsheets/d/1ubs5cl16eYL9gHbdHTJtmtYb9MGzHBs7CAphn8kNCgM/edit?usp=share_link"",""อุตรดิตถ์!I651"")+IMPORTRANGE(""https://docs.google.com/spreadsheets/d/1kII0BjS6CtVrBvI8IrytgPdxDrlyQDyigz"&amp;"MsohRtDMs/edit?usp=share_link"",""อุทัยธานี!I651"")
"),2481)</f>
        <v>2481</v>
      </c>
      <c r="J651" s="37">
        <f ca="1">IFERROR(__xludf.DUMMYFUNCTION("IMPORTRANGE(""https://docs.google.com/spreadsheets/d/1KxicF4apzSqm0-jIpmueT4kyZtE-Cwn5zskl7GD4loQ/edit?usp=share_link"",""กำแพงเพชร!J651"")+IMPORTRANGE(""https://docs.google.com/spreadsheets/d/1ZNYWeiFoFA1K1U4xKWqRX29MBvEyRHXORjo734Gnq_c/edit?usp=share_li"&amp;"nk"",""เชียงราย!J651"")
+IMPORTRANGE(""https://docs.google.com/spreadsheets/d/1Jgv0Y7YlHDtsiDawwp-uvifEJ8HVaSn0k2aGHG8-hwM/edit?usp=share_link"",""เชียงใหม่!J651"")+IMPORTRANGE(""https://docs.google.com/spreadsheets/d/1JWG2rZePOz9pe-f-ObA-yDr0VoOX2kSb0qIi"&amp;"x2mTUo8/edit?usp=share_link"",""ตาก!J651"")+IMPORTRANGE(""https://docs.google.com/spreadsheets/d/10nSRjK08hx8Y6HgSOQKNw81lyY46Zc7U_Cj72hBMp9U/edit?usp=share_link"",""นครสวรรค์!J651"")+IMPORTRANGE(""https://docs.google.com/spreadsheets/d/1gFVb7qd7amutrIxAA"&amp;"oM7lcy35hllxznovot8lyOfvDo/edit?usp=share_link"",""น่าน!J651"")+IMPORTRANGE(""https://docs.google.com/spreadsheets/d/1K0Aa9s-6EuHE5M0FG1F9aHLXRCOV917xvycTdLdct0w/edit?usp=share_link"",""พะเยา!J651"")+IMPORTRANGE(""https://docs.google.com/spreadsheets/d/1Y"&amp;"9LPKx95PyL5OKy09d-KbKJSuuEZCFdkhYjwC0XQjBA/edit?usp=share_link"",""พิจิตร!J651"")+IMPORTRANGE(""https://docs.google.com/spreadsheets/d/16OMuOwy2eVqZcYWOouQtTpa8X1L23h4660uVHc0C8os/edit?usp=share_link"",""พิษณุโลก!J651"")+IMPORTRANGE(""https://docs.google."&amp;"com/spreadsheets/d/1GfgTldLG6k77HXaMQzaafODklYuucJZQNs_GAPEfZyY/edit?usp=share_link"",""เพชรบูรณ์!J651"")+IMPORTRANGE(""https://docs.google.com/spreadsheets/d/1gvTMYAnm7v1yG1BKWFtr0DnaTsq59oW9dwWvFgq6hs0/edit?usp=share_link"",""แพร่!J651"")+IMPORTRANGE("""&amp;"https://docs.google.com/spreadsheets/d/1Wbcosgy-Xa1xXUArJSOenub6EfZHUSzc_bpJFWwQUf0/edit?usp=share_link"",""แม่ฮ่องสอน!J651"")+IMPORTRANGE(""https://docs.google.com/spreadsheets/d/1p7ERhsr0qZeSn-KSOdeHS9r0heI-lHtkcn2OH7hP0jQ/edit?usp=share_link"",""ลำปาง!"&amp;"J651"")+IMPORTRANGE(""https://docs.google.com/spreadsheets/d/1-uUXvimVhiU2U0bMN-xi2te0tS4X7DI2GLPnMjzl8cA/edit?usp=share_link"",""ลำพูน!J651"")+IMPORTRANGE(""https://docs.google.com/spreadsheets/d/17HrOaa5pBUI1onckFfumXB8xlg35qb2uBAFfF1D-Myo/edit?usp=shar"&amp;"e_link"",""สุโขทัย!J651"")+IMPORTRANGE(""https://docs.google.com/spreadsheets/d/1ubs5cl16eYL9gHbdHTJtmtYb9MGzHBs7CAphn8kNCgM/edit?usp=share_link"",""อุตรดิตถ์!J651"")+IMPORTRANGE(""https://docs.google.com/spreadsheets/d/1kII0BjS6CtVrBvI8IrytgPdxDrlyQDyigz"&amp;"MsohRtDMs/edit?usp=share_link"",""อุทัยธานี!J651"")
"),202)</f>
        <v>202</v>
      </c>
      <c r="K651" s="163">
        <f t="shared" ca="1" si="310"/>
        <v>8.1418782748891569</v>
      </c>
      <c r="L651" s="163"/>
      <c r="M651" s="163"/>
      <c r="N651" s="163"/>
      <c r="O651" s="163"/>
      <c r="P651" s="163"/>
      <c r="Q651" s="542"/>
      <c r="R651" s="542"/>
      <c r="S651" s="542"/>
      <c r="T651" s="542"/>
      <c r="U651" s="542"/>
      <c r="V651" s="542"/>
      <c r="W651" s="542"/>
      <c r="X651" s="542"/>
      <c r="Y651" s="542"/>
      <c r="Z651" s="542"/>
    </row>
    <row r="652" spans="1:26" ht="18.75">
      <c r="A652" s="713"/>
      <c r="B652" s="714"/>
      <c r="C652" s="715"/>
      <c r="D652" s="700"/>
      <c r="E652" s="700"/>
      <c r="F652" s="700"/>
      <c r="G652" s="701"/>
      <c r="H652" s="468" t="s">
        <v>46</v>
      </c>
      <c r="I652" s="352">
        <v>0</v>
      </c>
      <c r="J652" s="469">
        <f ca="1">IFERROR(__xludf.DUMMYFUNCTION("IMPORTRANGE(""https://docs.google.com/spreadsheets/d/1KxicF4apzSqm0-jIpmueT4kyZtE-Cwn5zskl7GD4loQ/edit?usp=share_link"",""กำแพงเพชร!J652"")+IMPORTRANGE(""https://docs.google.com/spreadsheets/d/1ZNYWeiFoFA1K1U4xKWqRX29MBvEyRHXORjo734Gnq_c/edit?usp=share_li"&amp;"nk"",""เชียงราย!J652"")
+IMPORTRANGE(""https://docs.google.com/spreadsheets/d/1Jgv0Y7YlHDtsiDawwp-uvifEJ8HVaSn0k2aGHG8-hwM/edit?usp=share_link"",""เชียงใหม่!J652"")+IMPORTRANGE(""https://docs.google.com/spreadsheets/d/1JWG2rZePOz9pe-f-ObA-yDr0VoOX2kSb0qIi"&amp;"x2mTUo8/edit?usp=share_link"",""ตาก!J652"")+IMPORTRANGE(""https://docs.google.com/spreadsheets/d/10nSRjK08hx8Y6HgSOQKNw81lyY46Zc7U_Cj72hBMp9U/edit?usp=share_link"",""นครสวรรค์!J652"")+IMPORTRANGE(""https://docs.google.com/spreadsheets/d/1gFVb7qd7amutrIxAA"&amp;"oM7lcy35hllxznovot8lyOfvDo/edit?usp=share_link"",""น่าน!J652"")+IMPORTRANGE(""https://docs.google.com/spreadsheets/d/1K0Aa9s-6EuHE5M0FG1F9aHLXRCOV917xvycTdLdct0w/edit?usp=share_link"",""พะเยา!J652"")+IMPORTRANGE(""https://docs.google.com/spreadsheets/d/1Y"&amp;"9LPKx95PyL5OKy09d-KbKJSuuEZCFdkhYjwC0XQjBA/edit?usp=share_link"",""พิจิตร!J652"")+IMPORTRANGE(""https://docs.google.com/spreadsheets/d/16OMuOwy2eVqZcYWOouQtTpa8X1L23h4660uVHc0C8os/edit?usp=share_link"",""พิษณุโลก!J652"")+IMPORTRANGE(""https://docs.google."&amp;"com/spreadsheets/d/1GfgTldLG6k77HXaMQzaafODklYuucJZQNs_GAPEfZyY/edit?usp=share_link"",""เพชรบูรณ์!J652"")+IMPORTRANGE(""https://docs.google.com/spreadsheets/d/1gvTMYAnm7v1yG1BKWFtr0DnaTsq59oW9dwWvFgq6hs0/edit?usp=share_link"",""แพร่!J652"")+IMPORTRANGE("""&amp;"https://docs.google.com/spreadsheets/d/1Wbcosgy-Xa1xXUArJSOenub6EfZHUSzc_bpJFWwQUf0/edit?usp=share_link"",""แม่ฮ่องสอน!J652"")+IMPORTRANGE(""https://docs.google.com/spreadsheets/d/1p7ERhsr0qZeSn-KSOdeHS9r0heI-lHtkcn2OH7hP0jQ/edit?usp=share_link"",""ลำปาง!"&amp;"J652"")+IMPORTRANGE(""https://docs.google.com/spreadsheets/d/1-uUXvimVhiU2U0bMN-xi2te0tS4X7DI2GLPnMjzl8cA/edit?usp=share_link"",""ลำพูน!J652"")+IMPORTRANGE(""https://docs.google.com/spreadsheets/d/17HrOaa5pBUI1onckFfumXB8xlg35qb2uBAFfF1D-Myo/edit?usp=shar"&amp;"e_link"",""สุโขทัย!J652"")+IMPORTRANGE(""https://docs.google.com/spreadsheets/d/1ubs5cl16eYL9gHbdHTJtmtYb9MGzHBs7CAphn8kNCgM/edit?usp=share_link"",""อุตรดิตถ์!J652"")+IMPORTRANGE(""https://docs.google.com/spreadsheets/d/1kII0BjS6CtVrBvI8IrytgPdxDrlyQDyigz"&amp;"MsohRtDMs/edit?usp=share_link"",""อุทัยธานี!J652"")
"),95.25)</f>
        <v>95.25</v>
      </c>
      <c r="K652" s="470">
        <f t="shared" si="310"/>
        <v>0</v>
      </c>
      <c r="L652" s="354"/>
      <c r="M652" s="354"/>
      <c r="N652" s="354"/>
      <c r="O652" s="354"/>
      <c r="P652" s="354"/>
      <c r="Q652" s="542"/>
      <c r="R652" s="542"/>
      <c r="S652" s="542"/>
      <c r="T652" s="542"/>
      <c r="U652" s="542"/>
      <c r="V652" s="542"/>
      <c r="W652" s="542"/>
      <c r="X652" s="542"/>
      <c r="Y652" s="542"/>
      <c r="Z652" s="542"/>
    </row>
    <row r="653" spans="1:26" ht="19.5">
      <c r="A653" s="716">
        <v>8</v>
      </c>
      <c r="B653" s="703" t="s">
        <v>278</v>
      </c>
      <c r="C653" s="704"/>
      <c r="D653" s="704"/>
      <c r="E653" s="704"/>
      <c r="F653" s="704"/>
      <c r="G653" s="705"/>
      <c r="H653" s="705"/>
      <c r="I653" s="717"/>
      <c r="J653" s="717"/>
      <c r="K653" s="709"/>
      <c r="L653" s="709"/>
      <c r="M653" s="709"/>
      <c r="N653" s="709"/>
      <c r="O653" s="709"/>
      <c r="P653" s="709"/>
      <c r="Q653" s="542"/>
      <c r="R653" s="542"/>
      <c r="S653" s="542"/>
      <c r="T653" s="542"/>
      <c r="U653" s="542"/>
      <c r="V653" s="542"/>
      <c r="W653" s="542"/>
      <c r="X653" s="542"/>
      <c r="Y653" s="542"/>
      <c r="Z653" s="542"/>
    </row>
    <row r="654" spans="1:26" ht="19.5">
      <c r="A654" s="639"/>
      <c r="B654" s="638" t="s">
        <v>279</v>
      </c>
      <c r="C654" s="639"/>
      <c r="D654" s="639"/>
      <c r="E654" s="639"/>
      <c r="F654" s="639"/>
      <c r="G654" s="640"/>
      <c r="H654" s="673" t="s">
        <v>46</v>
      </c>
      <c r="I654" s="642">
        <f t="shared" ref="I654:J654" ca="1" si="311">I669</f>
        <v>1100</v>
      </c>
      <c r="J654" s="642">
        <f t="shared" ca="1" si="311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2"/>
      <c r="R654" s="542"/>
      <c r="S654" s="542"/>
      <c r="T654" s="542"/>
      <c r="U654" s="542"/>
      <c r="V654" s="542"/>
      <c r="W654" s="542"/>
      <c r="X654" s="542"/>
      <c r="Y654" s="542"/>
      <c r="Z654" s="542"/>
    </row>
    <row r="655" spans="1:26" ht="19.5">
      <c r="A655" s="562"/>
      <c r="B655" s="540"/>
      <c r="C655" s="540" t="s">
        <v>16</v>
      </c>
      <c r="D655" s="1484" t="s">
        <v>17</v>
      </c>
      <c r="E655" s="1485"/>
      <c r="F655" s="1485"/>
      <c r="G655" s="189"/>
      <c r="H655" s="563" t="s">
        <v>12</v>
      </c>
      <c r="I655" s="37"/>
      <c r="J655" s="37"/>
      <c r="K655" s="38"/>
      <c r="L655" s="195">
        <f t="shared" ref="L655:N655" ca="1" si="312">L656+L657</f>
        <v>139600</v>
      </c>
      <c r="M655" s="195">
        <f t="shared" si="312"/>
        <v>0</v>
      </c>
      <c r="N655" s="195">
        <f t="shared" ca="1" si="312"/>
        <v>28535</v>
      </c>
      <c r="O655" s="195">
        <f t="shared" ref="O655:O660" ca="1" si="313">IF(L655&gt;0,N655*100/L655,0)</f>
        <v>20.440544412607451</v>
      </c>
      <c r="P655" s="195">
        <f t="shared" ref="P655:P660" si="314">IF(M655&gt;0,N655*100/M655,0)</f>
        <v>0</v>
      </c>
      <c r="Q655" s="542"/>
      <c r="R655" s="542"/>
      <c r="S655" s="542"/>
      <c r="T655" s="542"/>
      <c r="U655" s="542"/>
      <c r="V655" s="542"/>
      <c r="W655" s="542"/>
      <c r="X655" s="542"/>
      <c r="Y655" s="542"/>
      <c r="Z655" s="542"/>
    </row>
    <row r="656" spans="1:26" ht="18.75" hidden="1">
      <c r="A656" s="564"/>
      <c r="B656" s="565"/>
      <c r="C656" s="565"/>
      <c r="D656" s="566"/>
      <c r="E656" s="567" t="s">
        <v>184</v>
      </c>
      <c r="F656" s="565"/>
      <c r="G656" s="568"/>
      <c r="H656" s="165" t="s">
        <v>12</v>
      </c>
      <c r="I656" s="44"/>
      <c r="J656" s="44"/>
      <c r="K656" s="45"/>
      <c r="L656" s="45">
        <f t="shared" ref="L656:N656" si="315">L659+L666</f>
        <v>0</v>
      </c>
      <c r="M656" s="45">
        <f t="shared" si="315"/>
        <v>0</v>
      </c>
      <c r="N656" s="45">
        <f t="shared" si="315"/>
        <v>0</v>
      </c>
      <c r="O656" s="45">
        <f t="shared" si="313"/>
        <v>0</v>
      </c>
      <c r="P656" s="45">
        <f t="shared" si="314"/>
        <v>0</v>
      </c>
      <c r="Q656" s="569"/>
      <c r="R656" s="569"/>
      <c r="S656" s="569"/>
      <c r="T656" s="569"/>
      <c r="U656" s="569"/>
      <c r="V656" s="569"/>
      <c r="W656" s="569"/>
      <c r="X656" s="569"/>
      <c r="Y656" s="569"/>
      <c r="Z656" s="569"/>
    </row>
    <row r="657" spans="1:26" ht="18.75" hidden="1">
      <c r="A657" s="564"/>
      <c r="B657" s="570"/>
      <c r="C657" s="565"/>
      <c r="D657" s="566"/>
      <c r="E657" s="567" t="s">
        <v>185</v>
      </c>
      <c r="F657" s="565"/>
      <c r="G657" s="568"/>
      <c r="H657" s="165" t="s">
        <v>12</v>
      </c>
      <c r="I657" s="44"/>
      <c r="J657" s="44"/>
      <c r="K657" s="45"/>
      <c r="L657" s="45">
        <f t="shared" ref="L657:N657" ca="1" si="316">L660+L667</f>
        <v>139600</v>
      </c>
      <c r="M657" s="45">
        <f t="shared" si="316"/>
        <v>0</v>
      </c>
      <c r="N657" s="45">
        <f t="shared" ca="1" si="316"/>
        <v>28535</v>
      </c>
      <c r="O657" s="45">
        <f t="shared" ca="1" si="313"/>
        <v>20.440544412607451</v>
      </c>
      <c r="P657" s="45">
        <f t="shared" si="314"/>
        <v>0</v>
      </c>
      <c r="Q657" s="569"/>
      <c r="R657" s="569"/>
      <c r="S657" s="569"/>
      <c r="T657" s="569"/>
      <c r="U657" s="569"/>
      <c r="V657" s="569"/>
      <c r="W657" s="569"/>
      <c r="X657" s="569"/>
      <c r="Y657" s="569"/>
      <c r="Z657" s="569"/>
    </row>
    <row r="658" spans="1:26" ht="18.75">
      <c r="A658" s="562"/>
      <c r="B658" s="539"/>
      <c r="C658" s="540"/>
      <c r="D658" s="571" t="s">
        <v>20</v>
      </c>
      <c r="E658" s="540"/>
      <c r="F658" s="540"/>
      <c r="G658" s="189"/>
      <c r="H658" s="161" t="s">
        <v>12</v>
      </c>
      <c r="I658" s="162"/>
      <c r="J658" s="162"/>
      <c r="K658" s="163"/>
      <c r="L658" s="38">
        <f t="shared" ref="L658:N658" ca="1" si="317">L659+L660</f>
        <v>139600</v>
      </c>
      <c r="M658" s="38">
        <f t="shared" si="317"/>
        <v>0</v>
      </c>
      <c r="N658" s="38">
        <f t="shared" ca="1" si="317"/>
        <v>28535</v>
      </c>
      <c r="O658" s="38">
        <f t="shared" ca="1" si="313"/>
        <v>20.440544412607451</v>
      </c>
      <c r="P658" s="38">
        <f t="shared" si="314"/>
        <v>0</v>
      </c>
      <c r="Q658" s="542"/>
      <c r="R658" s="542"/>
      <c r="S658" s="542"/>
      <c r="T658" s="542"/>
      <c r="U658" s="542"/>
      <c r="V658" s="542"/>
      <c r="W658" s="542"/>
      <c r="X658" s="542"/>
      <c r="Y658" s="542"/>
      <c r="Z658" s="542"/>
    </row>
    <row r="659" spans="1:26" ht="18.75" hidden="1">
      <c r="A659" s="564"/>
      <c r="B659" s="570"/>
      <c r="C659" s="565"/>
      <c r="D659" s="566"/>
      <c r="E659" s="567" t="s">
        <v>184</v>
      </c>
      <c r="F659" s="565"/>
      <c r="G659" s="568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3"/>
        <v>0</v>
      </c>
      <c r="P659" s="45">
        <f t="shared" si="314"/>
        <v>0</v>
      </c>
      <c r="Q659" s="569"/>
      <c r="R659" s="569"/>
      <c r="S659" s="569"/>
      <c r="T659" s="569"/>
      <c r="U659" s="569"/>
      <c r="V659" s="569"/>
      <c r="W659" s="569"/>
      <c r="X659" s="569"/>
      <c r="Y659" s="569"/>
      <c r="Z659" s="569"/>
    </row>
    <row r="660" spans="1:26" ht="18.75" hidden="1">
      <c r="A660" s="564"/>
      <c r="B660" s="570"/>
      <c r="C660" s="565"/>
      <c r="D660" s="566"/>
      <c r="E660" s="567" t="s">
        <v>185</v>
      </c>
      <c r="F660" s="565"/>
      <c r="G660" s="568"/>
      <c r="H660" s="165" t="s">
        <v>12</v>
      </c>
      <c r="I660" s="44"/>
      <c r="J660" s="44"/>
      <c r="K660" s="45"/>
      <c r="L660" s="45">
        <f ca="1">IFERROR(__xludf.DUMMYFUNCTION("IMPORTRANGE(""https://docs.google.com/spreadsheets/d/1KxicF4apzSqm0-jIpmueT4kyZtE-Cwn5zskl7GD4loQ/edit?usp=share_link"",""กำแพงเพชร!l660"")+IMPORTRANGE(""https://docs.google.com/spreadsheets/d/1ZNYWeiFoFA1K1U4xKWqRX29MBvEyRHXORjo734Gnq_c/edit?usp=share_li"&amp;"nk"",""เชียงราย!l660"")
+IMPORTRANGE(""https://docs.google.com/spreadsheets/d/1Jgv0Y7YlHDtsiDawwp-uvifEJ8HVaSn0k2aGHG8-hwM/edit?usp=share_link"",""เชียงใหม่!l660"")+IMPORTRANGE(""https://docs.google.com/spreadsheets/d/1JWG2rZePOz9pe-f-ObA-yDr0VoOX2kSb0qIi"&amp;"x2mTUo8/edit?usp=share_link"",""ตาก!l660"")+IMPORTRANGE(""https://docs.google.com/spreadsheets/d/10nSRjK08hx8Y6HgSOQKNw81lyY46Zc7U_Cj72hBMp9U/edit?usp=share_link"",""นครสวรรค์!l660"")+IMPORTRANGE(""https://docs.google.com/spreadsheets/d/1gFVb7qd7amutrIxAA"&amp;"oM7lcy35hllxznovot8lyOfvDo/edit?usp=share_link"",""น่าน!l660"")+IMPORTRANGE(""https://docs.google.com/spreadsheets/d/1K0Aa9s-6EuHE5M0FG1F9aHLXRCOV917xvycTdLdct0w/edit?usp=share_link"",""พะเยา!l660"")+IMPORTRANGE(""https://docs.google.com/spreadsheets/d/1Y"&amp;"9LPKx95PyL5OKy09d-KbKJSuuEZCFdkhYjwC0XQjBA/edit?usp=share_link"",""พิจิตร!l660"")+IMPORTRANGE(""https://docs.google.com/spreadsheets/d/16OMuOwy2eVqZcYWOouQtTpa8X1L23h4660uVHc0C8os/edit?usp=share_link"",""พิษณุโลก!l660"")+IMPORTRANGE(""https://docs.google."&amp;"com/spreadsheets/d/1GfgTldLG6k77HXaMQzaafODklYuucJZQNs_GAPEfZyY/edit?usp=share_link"",""เพชรบูรณ์!l660"")+IMPORTRANGE(""https://docs.google.com/spreadsheets/d/1gvTMYAnm7v1yG1BKWFtr0DnaTsq59oW9dwWvFgq6hs0/edit?usp=share_link"",""แพร่!l660"")+IMPORTRANGE("""&amp;"https://docs.google.com/spreadsheets/d/1Wbcosgy-Xa1xXUArJSOenub6EfZHUSzc_bpJFWwQUf0/edit?usp=share_link"",""แม่ฮ่องสอน!l660"")+IMPORTRANGE(""https://docs.google.com/spreadsheets/d/1p7ERhsr0qZeSn-KSOdeHS9r0heI-lHtkcn2OH7hP0jQ/edit?usp=share_link"",""ลำปาง!"&amp;"l660"")+IMPORTRANGE(""https://docs.google.com/spreadsheets/d/1-uUXvimVhiU2U0bMN-xi2te0tS4X7DI2GLPnMjzl8cA/edit?usp=share_link"",""ลำพูน!l660"")+IMPORTRANGE(""https://docs.google.com/spreadsheets/d/17HrOaa5pBUI1onckFfumXB8xlg35qb2uBAFfF1D-Myo/edit?usp=shar"&amp;"e_link"",""สุโขทัย!l660"")+IMPORTRANGE(""https://docs.google.com/spreadsheets/d/1ubs5cl16eYL9gHbdHTJtmtYb9MGzHBs7CAphn8kNCgM/edit?usp=share_link"",""อุตรดิตถ์!l660"")+IMPORTRANGE(""https://docs.google.com/spreadsheets/d/1kII0BjS6CtVrBvI8IrytgPdxDrlyQDyigz"&amp;"MsohRtDMs/edit?usp=share_link"",""อุทัยธานี!l660"")
"),139600)</f>
        <v>139600</v>
      </c>
      <c r="M660" s="93">
        <v>0</v>
      </c>
      <c r="N660" s="45">
        <f ca="1">N661+N662+N663+N664</f>
        <v>28535</v>
      </c>
      <c r="O660" s="45">
        <f t="shared" ca="1" si="313"/>
        <v>20.440544412607451</v>
      </c>
      <c r="P660" s="45">
        <f t="shared" si="314"/>
        <v>0</v>
      </c>
      <c r="Q660" s="569"/>
      <c r="R660" s="569"/>
      <c r="S660" s="569"/>
      <c r="T660" s="569"/>
      <c r="U660" s="569"/>
      <c r="V660" s="569"/>
      <c r="W660" s="569"/>
      <c r="X660" s="569"/>
      <c r="Y660" s="569"/>
      <c r="Z660" s="569"/>
    </row>
    <row r="661" spans="1:26" ht="18.75">
      <c r="A661" s="538"/>
      <c r="B661" s="539"/>
      <c r="C661" s="540"/>
      <c r="D661" s="540"/>
      <c r="E661" s="540"/>
      <c r="F661" s="541" t="s">
        <v>186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KxicF4apzSqm0-jIpmueT4kyZtE-Cwn5zskl7GD4loQ/edit?usp=share_link"",""กำแพงเพชร!n661"")+IMPORTRANGE(""https://docs.google.com/spreadsheets/d/1ZNYWeiFoFA1K1U4xKWqRX29MBvEyRHXORjo734Gnq_c/edit?usp=share_li"&amp;"nk"",""เชียงราย!n661"")
+IMPORTRANGE(""https://docs.google.com/spreadsheets/d/1Jgv0Y7YlHDtsiDawwp-uvifEJ8HVaSn0k2aGHG8-hwM/edit?usp=share_link"",""เชียงใหม่!n661"")+IMPORTRANGE(""https://docs.google.com/spreadsheets/d/1JWG2rZePOz9pe-f-ObA-yDr0VoOX2kSb0qIi"&amp;"x2mTUo8/edit?usp=share_link"",""ตาก!n661"")+IMPORTRANGE(""https://docs.google.com/spreadsheets/d/10nSRjK08hx8Y6HgSOQKNw81lyY46Zc7U_Cj72hBMp9U/edit?usp=share_link"",""นครสวรรค์!n661"")+IMPORTRANGE(""https://docs.google.com/spreadsheets/d/1gFVb7qd7amutrIxAA"&amp;"oM7lcy35hllxznovot8lyOfvDo/edit?usp=share_link"",""น่าน!n661"")+IMPORTRANGE(""https://docs.google.com/spreadsheets/d/1K0Aa9s-6EuHE5M0FG1F9aHLXRCOV917xvycTdLdct0w/edit?usp=share_link"",""พะเยา!n661"")+IMPORTRANGE(""https://docs.google.com/spreadsheets/d/1Y"&amp;"9LPKx95PyL5OKy09d-KbKJSuuEZCFdkhYjwC0XQjBA/edit?usp=share_link"",""พิจิตร!n661"")+IMPORTRANGE(""https://docs.google.com/spreadsheets/d/16OMuOwy2eVqZcYWOouQtTpa8X1L23h4660uVHc0C8os/edit?usp=share_link"",""พิษณุโลก!n661"")+IMPORTRANGE(""https://docs.google."&amp;"com/spreadsheets/d/1GfgTldLG6k77HXaMQzaafODklYuucJZQNs_GAPEfZyY/edit?usp=share_link"",""เพชรบูรณ์!n661"")+IMPORTRANGE(""https://docs.google.com/spreadsheets/d/1gvTMYAnm7v1yG1BKWFtr0DnaTsq59oW9dwWvFgq6hs0/edit?usp=share_link"",""แพร่!n661"")+IMPORTRANGE("""&amp;"https://docs.google.com/spreadsheets/d/1Wbcosgy-Xa1xXUArJSOenub6EfZHUSzc_bpJFWwQUf0/edit?usp=share_link"",""แม่ฮ่องสอน!n661"")+IMPORTRANGE(""https://docs.google.com/spreadsheets/d/1p7ERhsr0qZeSn-KSOdeHS9r0heI-lHtkcn2OH7hP0jQ/edit?usp=share_link"",""ลำปาง!"&amp;"n661"")+IMPORTRANGE(""https://docs.google.com/spreadsheets/d/1-uUXvimVhiU2U0bMN-xi2te0tS4X7DI2GLPnMjzl8cA/edit?usp=share_link"",""ลำพูน!n661"")+IMPORTRANGE(""https://docs.google.com/spreadsheets/d/17HrOaa5pBUI1onckFfumXB8xlg35qb2uBAFfF1D-Myo/edit?usp=shar"&amp;"e_link"",""สุโขทัย!n661"")+IMPORTRANGE(""https://docs.google.com/spreadsheets/d/1ubs5cl16eYL9gHbdHTJtmtYb9MGzHBs7CAphn8kNCgM/edit?usp=share_link"",""อุตรดิตถ์!n661"")+IMPORTRANGE(""https://docs.google.com/spreadsheets/d/1kII0BjS6CtVrBvI8IrytgPdxDrlyQDyigz"&amp;"MsohRtDMs/edit?usp=share_link"",""อุทัยธานี!n661"")
"),0)</f>
        <v>0</v>
      </c>
      <c r="O661" s="38"/>
      <c r="P661" s="38"/>
      <c r="Q661" s="542"/>
      <c r="R661" s="542"/>
      <c r="S661" s="542"/>
      <c r="T661" s="542"/>
      <c r="U661" s="542"/>
      <c r="V661" s="542"/>
      <c r="W661" s="542"/>
      <c r="X661" s="542"/>
      <c r="Y661" s="542"/>
      <c r="Z661" s="542"/>
    </row>
    <row r="662" spans="1:26" ht="18.75">
      <c r="A662" s="538"/>
      <c r="B662" s="539"/>
      <c r="C662" s="540"/>
      <c r="D662" s="540"/>
      <c r="E662" s="540"/>
      <c r="F662" s="541" t="s">
        <v>187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KxicF4apzSqm0-jIpmueT4kyZtE-Cwn5zskl7GD4loQ/edit?usp=share_link"",""กำแพงเพชร!n662"")+IMPORTRANGE(""https://docs.google.com/spreadsheets/d/1ZNYWeiFoFA1K1U4xKWqRX29MBvEyRHXORjo734Gnq_c/edit?usp=share_li"&amp;"nk"",""เชียงราย!n662"")
+IMPORTRANGE(""https://docs.google.com/spreadsheets/d/1Jgv0Y7YlHDtsiDawwp-uvifEJ8HVaSn0k2aGHG8-hwM/edit?usp=share_link"",""เชียงใหม่!n662"")+IMPORTRANGE(""https://docs.google.com/spreadsheets/d/1JWG2rZePOz9pe-f-ObA-yDr0VoOX2kSb0qIi"&amp;"x2mTUo8/edit?usp=share_link"",""ตาก!n662"")+IMPORTRANGE(""https://docs.google.com/spreadsheets/d/10nSRjK08hx8Y6HgSOQKNw81lyY46Zc7U_Cj72hBMp9U/edit?usp=share_link"",""นครสวรรค์!n662"")+IMPORTRANGE(""https://docs.google.com/spreadsheets/d/1gFVb7qd7amutrIxAA"&amp;"oM7lcy35hllxznovot8lyOfvDo/edit?usp=share_link"",""น่าน!n662"")+IMPORTRANGE(""https://docs.google.com/spreadsheets/d/1K0Aa9s-6EuHE5M0FG1F9aHLXRCOV917xvycTdLdct0w/edit?usp=share_link"",""พะเยา!n662"")+IMPORTRANGE(""https://docs.google.com/spreadsheets/d/1Y"&amp;"9LPKx95PyL5OKy09d-KbKJSuuEZCFdkhYjwC0XQjBA/edit?usp=share_link"",""พิจิตร!n662"")+IMPORTRANGE(""https://docs.google.com/spreadsheets/d/16OMuOwy2eVqZcYWOouQtTpa8X1L23h4660uVHc0C8os/edit?usp=share_link"",""พิษณุโลก!n662"")+IMPORTRANGE(""https://docs.google."&amp;"com/spreadsheets/d/1GfgTldLG6k77HXaMQzaafODklYuucJZQNs_GAPEfZyY/edit?usp=share_link"",""เพชรบูรณ์!n662"")+IMPORTRANGE(""https://docs.google.com/spreadsheets/d/1gvTMYAnm7v1yG1BKWFtr0DnaTsq59oW9dwWvFgq6hs0/edit?usp=share_link"",""แพร่!n662"")+IMPORTRANGE("""&amp;"https://docs.google.com/spreadsheets/d/1Wbcosgy-Xa1xXUArJSOenub6EfZHUSzc_bpJFWwQUf0/edit?usp=share_link"",""แม่ฮ่องสอน!n662"")+IMPORTRANGE(""https://docs.google.com/spreadsheets/d/1p7ERhsr0qZeSn-KSOdeHS9r0heI-lHtkcn2OH7hP0jQ/edit?usp=share_link"",""ลำปาง!"&amp;"n662"")+IMPORTRANGE(""https://docs.google.com/spreadsheets/d/1-uUXvimVhiU2U0bMN-xi2te0tS4X7DI2GLPnMjzl8cA/edit?usp=share_link"",""ลำพูน!n662"")+IMPORTRANGE(""https://docs.google.com/spreadsheets/d/17HrOaa5pBUI1onckFfumXB8xlg35qb2uBAFfF1D-Myo/edit?usp=shar"&amp;"e_link"",""สุโขทัย!n662"")+IMPORTRANGE(""https://docs.google.com/spreadsheets/d/1ubs5cl16eYL9gHbdHTJtmtYb9MGzHBs7CAphn8kNCgM/edit?usp=share_link"",""อุตรดิตถ์!n662"")+IMPORTRANGE(""https://docs.google.com/spreadsheets/d/1kII0BjS6CtVrBvI8IrytgPdxDrlyQDyigz"&amp;"MsohRtDMs/edit?usp=share_link"",""อุทัยธานี!n662"")
"),0)</f>
        <v>0</v>
      </c>
      <c r="O662" s="38"/>
      <c r="P662" s="38"/>
      <c r="Q662" s="542"/>
      <c r="R662" s="542"/>
      <c r="S662" s="542"/>
      <c r="T662" s="542"/>
      <c r="U662" s="542"/>
      <c r="V662" s="542"/>
      <c r="W662" s="542"/>
      <c r="X662" s="542"/>
      <c r="Y662" s="542"/>
      <c r="Z662" s="542"/>
    </row>
    <row r="663" spans="1:26" ht="18.75">
      <c r="A663" s="538"/>
      <c r="B663" s="539"/>
      <c r="C663" s="539"/>
      <c r="D663" s="540"/>
      <c r="E663" s="540"/>
      <c r="F663" s="541" t="s">
        <v>188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KxicF4apzSqm0-jIpmueT4kyZtE-Cwn5zskl7GD4loQ/edit?usp=share_link"",""กำแพงเพชร!n663"")+IMPORTRANGE(""https://docs.google.com/spreadsheets/d/1ZNYWeiFoFA1K1U4xKWqRX29MBvEyRHXORjo734Gnq_c/edit?usp=share_li"&amp;"nk"",""เชียงราย!n663"")
+IMPORTRANGE(""https://docs.google.com/spreadsheets/d/1Jgv0Y7YlHDtsiDawwp-uvifEJ8HVaSn0k2aGHG8-hwM/edit?usp=share_link"",""เชียงใหม่!n663"")+IMPORTRANGE(""https://docs.google.com/spreadsheets/d/1JWG2rZePOz9pe-f-ObA-yDr0VoOX2kSb0qIi"&amp;"x2mTUo8/edit?usp=share_link"",""ตาก!n663"")+IMPORTRANGE(""https://docs.google.com/spreadsheets/d/10nSRjK08hx8Y6HgSOQKNw81lyY46Zc7U_Cj72hBMp9U/edit?usp=share_link"",""นครสวรรค์!n663"")+IMPORTRANGE(""https://docs.google.com/spreadsheets/d/1gFVb7qd7amutrIxAA"&amp;"oM7lcy35hllxznovot8lyOfvDo/edit?usp=share_link"",""น่าน!n663"")+IMPORTRANGE(""https://docs.google.com/spreadsheets/d/1K0Aa9s-6EuHE5M0FG1F9aHLXRCOV917xvycTdLdct0w/edit?usp=share_link"",""พะเยา!n663"")+IMPORTRANGE(""https://docs.google.com/spreadsheets/d/1Y"&amp;"9LPKx95PyL5OKy09d-KbKJSuuEZCFdkhYjwC0XQjBA/edit?usp=share_link"",""พิจิตร!n663"")+IMPORTRANGE(""https://docs.google.com/spreadsheets/d/16OMuOwy2eVqZcYWOouQtTpa8X1L23h4660uVHc0C8os/edit?usp=share_link"",""พิษณุโลก!n663"")+IMPORTRANGE(""https://docs.google."&amp;"com/spreadsheets/d/1GfgTldLG6k77HXaMQzaafODklYuucJZQNs_GAPEfZyY/edit?usp=share_link"",""เพชรบูรณ์!n663"")+IMPORTRANGE(""https://docs.google.com/spreadsheets/d/1gvTMYAnm7v1yG1BKWFtr0DnaTsq59oW9dwWvFgq6hs0/edit?usp=share_link"",""แพร่!n663"")+IMPORTRANGE("""&amp;"https://docs.google.com/spreadsheets/d/1Wbcosgy-Xa1xXUArJSOenub6EfZHUSzc_bpJFWwQUf0/edit?usp=share_link"",""แม่ฮ่องสอน!n663"")+IMPORTRANGE(""https://docs.google.com/spreadsheets/d/1p7ERhsr0qZeSn-KSOdeHS9r0heI-lHtkcn2OH7hP0jQ/edit?usp=share_link"",""ลำปาง!"&amp;"n663"")+IMPORTRANGE(""https://docs.google.com/spreadsheets/d/1-uUXvimVhiU2U0bMN-xi2te0tS4X7DI2GLPnMjzl8cA/edit?usp=share_link"",""ลำพูน!n663"")+IMPORTRANGE(""https://docs.google.com/spreadsheets/d/17HrOaa5pBUI1onckFfumXB8xlg35qb2uBAFfF1D-Myo/edit?usp=shar"&amp;"e_link"",""สุโขทัย!n663"")+IMPORTRANGE(""https://docs.google.com/spreadsheets/d/1ubs5cl16eYL9gHbdHTJtmtYb9MGzHBs7CAphn8kNCgM/edit?usp=share_link"",""อุตรดิตถ์!n663"")+IMPORTRANGE(""https://docs.google.com/spreadsheets/d/1kII0BjS6CtVrBvI8IrytgPdxDrlyQDyigz"&amp;"MsohRtDMs/edit?usp=share_link"",""อุทัยธานี!n663"")
"),0)</f>
        <v>0</v>
      </c>
      <c r="O663" s="38"/>
      <c r="P663" s="38"/>
      <c r="Q663" s="542"/>
      <c r="R663" s="542"/>
      <c r="S663" s="542"/>
      <c r="T663" s="542"/>
      <c r="U663" s="542"/>
      <c r="V663" s="542"/>
      <c r="W663" s="542"/>
      <c r="X663" s="542"/>
      <c r="Y663" s="542"/>
      <c r="Z663" s="542"/>
    </row>
    <row r="664" spans="1:26" ht="18.75">
      <c r="A664" s="538"/>
      <c r="B664" s="539"/>
      <c r="C664" s="539"/>
      <c r="D664" s="539"/>
      <c r="E664" s="540"/>
      <c r="F664" s="541" t="s">
        <v>189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KxicF4apzSqm0-jIpmueT4kyZtE-Cwn5zskl7GD4loQ/edit?usp=share_link"",""กำแพงเพชร!n664"")+IMPORTRANGE(""https://docs.google.com/spreadsheets/d/1ZNYWeiFoFA1K1U4xKWqRX29MBvEyRHXORjo734Gnq_c/edit?usp=share_li"&amp;"nk"",""เชียงราย!n664"")
+IMPORTRANGE(""https://docs.google.com/spreadsheets/d/1Jgv0Y7YlHDtsiDawwp-uvifEJ8HVaSn0k2aGHG8-hwM/edit?usp=share_link"",""เชียงใหม่!n664"")+IMPORTRANGE(""https://docs.google.com/spreadsheets/d/1JWG2rZePOz9pe-f-ObA-yDr0VoOX2kSb0qIi"&amp;"x2mTUo8/edit?usp=share_link"",""ตาก!n664"")+IMPORTRANGE(""https://docs.google.com/spreadsheets/d/10nSRjK08hx8Y6HgSOQKNw81lyY46Zc7U_Cj72hBMp9U/edit?usp=share_link"",""นครสวรรค์!n664"")+IMPORTRANGE(""https://docs.google.com/spreadsheets/d/1gFVb7qd7amutrIxAA"&amp;"oM7lcy35hllxznovot8lyOfvDo/edit?usp=share_link"",""น่าน!n664"")+IMPORTRANGE(""https://docs.google.com/spreadsheets/d/1K0Aa9s-6EuHE5M0FG1F9aHLXRCOV917xvycTdLdct0w/edit?usp=share_link"",""พะเยา!n664"")+IMPORTRANGE(""https://docs.google.com/spreadsheets/d/1Y"&amp;"9LPKx95PyL5OKy09d-KbKJSuuEZCFdkhYjwC0XQjBA/edit?usp=share_link"",""พิจิตร!n664"")+IMPORTRANGE(""https://docs.google.com/spreadsheets/d/16OMuOwy2eVqZcYWOouQtTpa8X1L23h4660uVHc0C8os/edit?usp=share_link"",""พิษณุโลก!n664"")+IMPORTRANGE(""https://docs.google."&amp;"com/spreadsheets/d/1GfgTldLG6k77HXaMQzaafODklYuucJZQNs_GAPEfZyY/edit?usp=share_link"",""เพชรบูรณ์!n664"")+IMPORTRANGE(""https://docs.google.com/spreadsheets/d/1gvTMYAnm7v1yG1BKWFtr0DnaTsq59oW9dwWvFgq6hs0/edit?usp=share_link"",""แพร่!n664"")+IMPORTRANGE("""&amp;"https://docs.google.com/spreadsheets/d/1Wbcosgy-Xa1xXUArJSOenub6EfZHUSzc_bpJFWwQUf0/edit?usp=share_link"",""แม่ฮ่องสอน!n664"")+IMPORTRANGE(""https://docs.google.com/spreadsheets/d/1p7ERhsr0qZeSn-KSOdeHS9r0heI-lHtkcn2OH7hP0jQ/edit?usp=share_link"",""ลำปาง!"&amp;"n664"")+IMPORTRANGE(""https://docs.google.com/spreadsheets/d/1-uUXvimVhiU2U0bMN-xi2te0tS4X7DI2GLPnMjzl8cA/edit?usp=share_link"",""ลำพูน!n664"")+IMPORTRANGE(""https://docs.google.com/spreadsheets/d/17HrOaa5pBUI1onckFfumXB8xlg35qb2uBAFfF1D-Myo/edit?usp=shar"&amp;"e_link"",""สุโขทัย!n664"")+IMPORTRANGE(""https://docs.google.com/spreadsheets/d/1ubs5cl16eYL9gHbdHTJtmtYb9MGzHBs7CAphn8kNCgM/edit?usp=share_link"",""อุตรดิตถ์!n664"")+IMPORTRANGE(""https://docs.google.com/spreadsheets/d/1kII0BjS6CtVrBvI8IrytgPdxDrlyQDyigz"&amp;"MsohRtDMs/edit?usp=share_link"",""อุทัยธานี!n664"")
"),28535)</f>
        <v>28535</v>
      </c>
      <c r="O664" s="38"/>
      <c r="P664" s="38"/>
      <c r="Q664" s="542"/>
      <c r="R664" s="542"/>
      <c r="S664" s="542"/>
      <c r="T664" s="542"/>
      <c r="U664" s="542"/>
      <c r="V664" s="542"/>
      <c r="W664" s="542"/>
      <c r="X664" s="542"/>
      <c r="Y664" s="542"/>
      <c r="Z664" s="542"/>
    </row>
    <row r="665" spans="1:26" ht="18.75">
      <c r="A665" s="562"/>
      <c r="B665" s="539"/>
      <c r="C665" s="539"/>
      <c r="D665" s="571" t="s">
        <v>21</v>
      </c>
      <c r="E665" s="540"/>
      <c r="F665" s="540"/>
      <c r="G665" s="189"/>
      <c r="H665" s="168" t="s">
        <v>12</v>
      </c>
      <c r="I665" s="162"/>
      <c r="J665" s="162"/>
      <c r="K665" s="163"/>
      <c r="L665" s="38">
        <f t="shared" ref="L665:N665" si="318">L666+L667</f>
        <v>0</v>
      </c>
      <c r="M665" s="38">
        <f t="shared" si="318"/>
        <v>0</v>
      </c>
      <c r="N665" s="38">
        <f t="shared" si="318"/>
        <v>0</v>
      </c>
      <c r="O665" s="38">
        <f t="shared" ref="O665:O667" si="319">IF(L665&gt;0,N665*100/L665,0)</f>
        <v>0</v>
      </c>
      <c r="P665" s="38">
        <f t="shared" ref="P665:P667" si="320">IF(M665&gt;0,N665*100/M665,0)</f>
        <v>0</v>
      </c>
      <c r="Q665" s="542"/>
      <c r="R665" s="542"/>
      <c r="S665" s="542"/>
      <c r="T665" s="542"/>
      <c r="U665" s="542"/>
      <c r="V665" s="542"/>
      <c r="W665" s="542"/>
      <c r="X665" s="542"/>
      <c r="Y665" s="542"/>
      <c r="Z665" s="542"/>
    </row>
    <row r="666" spans="1:26" ht="18.75" hidden="1">
      <c r="A666" s="564"/>
      <c r="B666" s="570"/>
      <c r="C666" s="570"/>
      <c r="D666" s="570"/>
      <c r="E666" s="567" t="s">
        <v>18</v>
      </c>
      <c r="F666" s="565"/>
      <c r="G666" s="56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9"/>
        <v>0</v>
      </c>
      <c r="P666" s="45">
        <f t="shared" si="320"/>
        <v>0</v>
      </c>
      <c r="Q666" s="569"/>
      <c r="R666" s="569"/>
      <c r="S666" s="569"/>
      <c r="T666" s="569"/>
      <c r="U666" s="569"/>
      <c r="V666" s="569"/>
      <c r="W666" s="569"/>
      <c r="X666" s="569"/>
      <c r="Y666" s="569"/>
      <c r="Z666" s="569"/>
    </row>
    <row r="667" spans="1:26" ht="18.75" hidden="1">
      <c r="A667" s="564"/>
      <c r="B667" s="570"/>
      <c r="C667" s="570"/>
      <c r="D667" s="570"/>
      <c r="E667" s="567" t="s">
        <v>19</v>
      </c>
      <c r="F667" s="565"/>
      <c r="G667" s="56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9"/>
        <v>0</v>
      </c>
      <c r="P667" s="45">
        <f t="shared" si="320"/>
        <v>0</v>
      </c>
      <c r="Q667" s="569"/>
      <c r="R667" s="569"/>
      <c r="S667" s="569"/>
      <c r="T667" s="569"/>
      <c r="U667" s="569"/>
      <c r="V667" s="569"/>
      <c r="W667" s="569"/>
      <c r="X667" s="569"/>
      <c r="Y667" s="569"/>
      <c r="Z667" s="569"/>
    </row>
    <row r="668" spans="1:26" ht="19.5">
      <c r="A668" s="573"/>
      <c r="B668" s="574"/>
      <c r="C668" s="539" t="s">
        <v>16</v>
      </c>
      <c r="D668" s="575" t="s">
        <v>38</v>
      </c>
      <c r="E668" s="577"/>
      <c r="F668" s="577"/>
      <c r="G668" s="578"/>
      <c r="H668" s="175"/>
      <c r="I668" s="162"/>
      <c r="J668" s="162"/>
      <c r="K668" s="163"/>
      <c r="L668" s="163"/>
      <c r="M668" s="163"/>
      <c r="N668" s="163"/>
      <c r="O668" s="163"/>
      <c r="P668" s="163"/>
      <c r="Q668" s="542"/>
      <c r="R668" s="542"/>
      <c r="S668" s="542"/>
      <c r="T668" s="542"/>
      <c r="U668" s="542"/>
      <c r="V668" s="542"/>
      <c r="W668" s="542"/>
      <c r="X668" s="542"/>
      <c r="Y668" s="542"/>
      <c r="Z668" s="542"/>
    </row>
    <row r="669" spans="1:26" ht="19.5">
      <c r="A669" s="573"/>
      <c r="B669" s="574"/>
      <c r="C669" s="574"/>
      <c r="D669" s="585" t="s">
        <v>280</v>
      </c>
      <c r="E669" s="586"/>
      <c r="F669" s="586"/>
      <c r="G669" s="175"/>
      <c r="H669" s="718" t="s">
        <v>46</v>
      </c>
      <c r="I669" s="194">
        <f ca="1">IFERROR(__xludf.DUMMYFUNCTION("IMPORTRANGE(""https://docs.google.com/spreadsheets/d/1KxicF4apzSqm0-jIpmueT4kyZtE-Cwn5zskl7GD4loQ/edit?usp=share_link"",""กำแพงเพชร!I669"")+IMPORTRANGE(""https://docs.google.com/spreadsheets/d/1ZNYWeiFoFA1K1U4xKWqRX29MBvEyRHXORjo734Gnq_c/edit?usp=share_li"&amp;"nk"",""เชียงราย!I669"")
+IMPORTRANGE(""https://docs.google.com/spreadsheets/d/1Jgv0Y7YlHDtsiDawwp-uvifEJ8HVaSn0k2aGHG8-hwM/edit?usp=share_link"",""เชียงใหม่!I669"")+IMPORTRANGE(""https://docs.google.com/spreadsheets/d/1JWG2rZePOz9pe-f-ObA-yDr0VoOX2kSb0qIi"&amp;"x2mTUo8/edit?usp=share_link"",""ตาก!I669"")+IMPORTRANGE(""https://docs.google.com/spreadsheets/d/10nSRjK08hx8Y6HgSOQKNw81lyY46Zc7U_Cj72hBMp9U/edit?usp=share_link"",""นครสวรรค์!I669"")+IMPORTRANGE(""https://docs.google.com/spreadsheets/d/1gFVb7qd7amutrIxAA"&amp;"oM7lcy35hllxznovot8lyOfvDo/edit?usp=share_link"",""น่าน!I669"")+IMPORTRANGE(""https://docs.google.com/spreadsheets/d/1K0Aa9s-6EuHE5M0FG1F9aHLXRCOV917xvycTdLdct0w/edit?usp=share_link"",""พะเยา!I669"")+IMPORTRANGE(""https://docs.google.com/spreadsheets/d/1Y"&amp;"9LPKx95PyL5OKy09d-KbKJSuuEZCFdkhYjwC0XQjBA/edit?usp=share_link"",""พิจิตร!I669"")+IMPORTRANGE(""https://docs.google.com/spreadsheets/d/16OMuOwy2eVqZcYWOouQtTpa8X1L23h4660uVHc0C8os/edit?usp=share_link"",""พิษณุโลก!I669"")+IMPORTRANGE(""https://docs.google."&amp;"com/spreadsheets/d/1GfgTldLG6k77HXaMQzaafODklYuucJZQNs_GAPEfZyY/edit?usp=share_link"",""เพชรบูรณ์!I669"")+IMPORTRANGE(""https://docs.google.com/spreadsheets/d/1gvTMYAnm7v1yG1BKWFtr0DnaTsq59oW9dwWvFgq6hs0/edit?usp=share_link"",""แพร่!I669"")+IMPORTRANGE("""&amp;"https://docs.google.com/spreadsheets/d/1Wbcosgy-Xa1xXUArJSOenub6EfZHUSzc_bpJFWwQUf0/edit?usp=share_link"",""แม่ฮ่องสอน!I669"")+IMPORTRANGE(""https://docs.google.com/spreadsheets/d/1p7ERhsr0qZeSn-KSOdeHS9r0heI-lHtkcn2OH7hP0jQ/edit?usp=share_link"",""ลำปาง!"&amp;"I669"")+IMPORTRANGE(""https://docs.google.com/spreadsheets/d/1-uUXvimVhiU2U0bMN-xi2te0tS4X7DI2GLPnMjzl8cA/edit?usp=share_link"",""ลำพูน!I669"")+IMPORTRANGE(""https://docs.google.com/spreadsheets/d/17HrOaa5pBUI1onckFfumXB8xlg35qb2uBAFfF1D-Myo/edit?usp=shar"&amp;"e_link"",""สุโขทัย!I669"")+IMPORTRANGE(""https://docs.google.com/spreadsheets/d/1ubs5cl16eYL9gHbdHTJtmtYb9MGzHBs7CAphn8kNCgM/edit?usp=share_link"",""อุตรดิตถ์!I669"")+IMPORTRANGE(""https://docs.google.com/spreadsheets/d/1kII0BjS6CtVrBvI8IrytgPdxDrlyQDyigz"&amp;"MsohRtDMs/edit?usp=share_link"",""อุทัยธานี!I669"")
"),1100)</f>
        <v>1100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2"/>
      <c r="R669" s="542"/>
      <c r="S669" s="542"/>
      <c r="T669" s="542"/>
      <c r="U669" s="542"/>
      <c r="V669" s="542"/>
      <c r="W669" s="542"/>
      <c r="X669" s="542"/>
      <c r="Y669" s="542"/>
      <c r="Z669" s="542"/>
    </row>
    <row r="670" spans="1:26" ht="18.75">
      <c r="A670" s="573"/>
      <c r="B670" s="574"/>
      <c r="C670" s="574"/>
      <c r="D670" s="574"/>
      <c r="E670" s="187" t="s">
        <v>281</v>
      </c>
      <c r="F670" s="586"/>
      <c r="G670" s="175"/>
      <c r="H670" s="417" t="s">
        <v>66</v>
      </c>
      <c r="I670" s="37">
        <f ca="1">IFERROR(__xludf.DUMMYFUNCTION("IMPORTRANGE(""https://docs.google.com/spreadsheets/d/1KxicF4apzSqm0-jIpmueT4kyZtE-Cwn5zskl7GD4loQ/edit?usp=share_link"",""กำแพงเพชร!I670"")+IMPORTRANGE(""https://docs.google.com/spreadsheets/d/1ZNYWeiFoFA1K1U4xKWqRX29MBvEyRHXORjo734Gnq_c/edit?usp=share_li"&amp;"nk"",""เชียงราย!I670"")
+IMPORTRANGE(""https://docs.google.com/spreadsheets/d/1Jgv0Y7YlHDtsiDawwp-uvifEJ8HVaSn0k2aGHG8-hwM/edit?usp=share_link"",""เชียงใหม่!I670"")+IMPORTRANGE(""https://docs.google.com/spreadsheets/d/1JWG2rZePOz9pe-f-ObA-yDr0VoOX2kSb0qIi"&amp;"x2mTUo8/edit?usp=share_link"",""ตาก!I670"")+IMPORTRANGE(""https://docs.google.com/spreadsheets/d/10nSRjK08hx8Y6HgSOQKNw81lyY46Zc7U_Cj72hBMp9U/edit?usp=share_link"",""นครสวรรค์!I670"")+IMPORTRANGE(""https://docs.google.com/spreadsheets/d/1gFVb7qd7amutrIxAA"&amp;"oM7lcy35hllxznovot8lyOfvDo/edit?usp=share_link"",""น่าน!I670"")+IMPORTRANGE(""https://docs.google.com/spreadsheets/d/1K0Aa9s-6EuHE5M0FG1F9aHLXRCOV917xvycTdLdct0w/edit?usp=share_link"",""พะเยา!I670"")+IMPORTRANGE(""https://docs.google.com/spreadsheets/d/1Y"&amp;"9LPKx95PyL5OKy09d-KbKJSuuEZCFdkhYjwC0XQjBA/edit?usp=share_link"",""พิจิตร!I670"")+IMPORTRANGE(""https://docs.google.com/spreadsheets/d/16OMuOwy2eVqZcYWOouQtTpa8X1L23h4660uVHc0C8os/edit?usp=share_link"",""พิษณุโลก!I670"")+IMPORTRANGE(""https://docs.google."&amp;"com/spreadsheets/d/1GfgTldLG6k77HXaMQzaafODklYuucJZQNs_GAPEfZyY/edit?usp=share_link"",""เพชรบูรณ์!I670"")+IMPORTRANGE(""https://docs.google.com/spreadsheets/d/1gvTMYAnm7v1yG1BKWFtr0DnaTsq59oW9dwWvFgq6hs0/edit?usp=share_link"",""แพร่!I670"")+IMPORTRANGE("""&amp;"https://docs.google.com/spreadsheets/d/1Wbcosgy-Xa1xXUArJSOenub6EfZHUSzc_bpJFWwQUf0/edit?usp=share_link"",""แม่ฮ่องสอน!I670"")+IMPORTRANGE(""https://docs.google.com/spreadsheets/d/1p7ERhsr0qZeSn-KSOdeHS9r0heI-lHtkcn2OH7hP0jQ/edit?usp=share_link"",""ลำปาง!"&amp;"I670"")+IMPORTRANGE(""https://docs.google.com/spreadsheets/d/1-uUXvimVhiU2U0bMN-xi2te0tS4X7DI2GLPnMjzl8cA/edit?usp=share_link"",""ลำพูน!I670"")+IMPORTRANGE(""https://docs.google.com/spreadsheets/d/17HrOaa5pBUI1onckFfumXB8xlg35qb2uBAFfF1D-Myo/edit?usp=shar"&amp;"e_link"",""สุโขทัย!I670"")+IMPORTRANGE(""https://docs.google.com/spreadsheets/d/1ubs5cl16eYL9gHbdHTJtmtYb9MGzHBs7CAphn8kNCgM/edit?usp=share_link"",""อุตรดิตถ์!I670"")+IMPORTRANGE(""https://docs.google.com/spreadsheets/d/1kII0BjS6CtVrBvI8IrytgPdxDrlyQDyigz"&amp;"MsohRtDMs/edit?usp=share_link"",""อุทัยธานี!I670"")
"),46)</f>
        <v>46</v>
      </c>
      <c r="J670" s="183">
        <f ca="1">IFERROR(__xludf.DUMMYFUNCTION("IMPORTRANGE(""https://docs.google.com/spreadsheets/d/1KxicF4apzSqm0-jIpmueT4kyZtE-Cwn5zskl7GD4loQ/edit?usp=share_link"",""กำแพงเพชร!J670"")+IMPORTRANGE(""https://docs.google.com/spreadsheets/d/1ZNYWeiFoFA1K1U4xKWqRX29MBvEyRHXORjo734Gnq_c/edit?usp=share_li"&amp;"nk"",""เชียงราย!J670"")
+IMPORTRANGE(""https://docs.google.com/spreadsheets/d/1Jgv0Y7YlHDtsiDawwp-uvifEJ8HVaSn0k2aGHG8-hwM/edit?usp=share_link"",""เชียงใหม่!J670"")+IMPORTRANGE(""https://docs.google.com/spreadsheets/d/1JWG2rZePOz9pe-f-ObA-yDr0VoOX2kSb0qIi"&amp;"x2mTUo8/edit?usp=share_link"",""ตาก!J670"")+IMPORTRANGE(""https://docs.google.com/spreadsheets/d/10nSRjK08hx8Y6HgSOQKNw81lyY46Zc7U_Cj72hBMp9U/edit?usp=share_link"",""นครสวรรค์!J670"")+IMPORTRANGE(""https://docs.google.com/spreadsheets/d/1gFVb7qd7amutrIxAA"&amp;"oM7lcy35hllxznovot8lyOfvDo/edit?usp=share_link"",""น่าน!J670"")+IMPORTRANGE(""https://docs.google.com/spreadsheets/d/1K0Aa9s-6EuHE5M0FG1F9aHLXRCOV917xvycTdLdct0w/edit?usp=share_link"",""พะเยา!J670"")+IMPORTRANGE(""https://docs.google.com/spreadsheets/d/1Y"&amp;"9LPKx95PyL5OKy09d-KbKJSuuEZCFdkhYjwC0XQjBA/edit?usp=share_link"",""พิจิตร!J670"")+IMPORTRANGE(""https://docs.google.com/spreadsheets/d/16OMuOwy2eVqZcYWOouQtTpa8X1L23h4660uVHc0C8os/edit?usp=share_link"",""พิษณุโลก!J670"")+IMPORTRANGE(""https://docs.google."&amp;"com/spreadsheets/d/1GfgTldLG6k77HXaMQzaafODklYuucJZQNs_GAPEfZyY/edit?usp=share_link"",""เพชรบูรณ์!J670"")+IMPORTRANGE(""https://docs.google.com/spreadsheets/d/1gvTMYAnm7v1yG1BKWFtr0DnaTsq59oW9dwWvFgq6hs0/edit?usp=share_link"",""แพร่!J670"")+IMPORTRANGE("""&amp;"https://docs.google.com/spreadsheets/d/1Wbcosgy-Xa1xXUArJSOenub6EfZHUSzc_bpJFWwQUf0/edit?usp=share_link"",""แม่ฮ่องสอน!J670"")+IMPORTRANGE(""https://docs.google.com/spreadsheets/d/1p7ERhsr0qZeSn-KSOdeHS9r0heI-lHtkcn2OH7hP0jQ/edit?usp=share_link"",""ลำปาง!"&amp;"J670"")+IMPORTRANGE(""https://docs.google.com/spreadsheets/d/1-uUXvimVhiU2U0bMN-xi2te0tS4X7DI2GLPnMjzl8cA/edit?usp=share_link"",""ลำพูน!J670"")+IMPORTRANGE(""https://docs.google.com/spreadsheets/d/17HrOaa5pBUI1onckFfumXB8xlg35qb2uBAFfF1D-Myo/edit?usp=shar"&amp;"e_link"",""สุโขทัย!J670"")+IMPORTRANGE(""https://docs.google.com/spreadsheets/d/1ubs5cl16eYL9gHbdHTJtmtYb9MGzHBs7CAphn8kNCgM/edit?usp=share_link"",""อุตรดิตถ์!J670"")+IMPORTRANGE(""https://docs.google.com/spreadsheets/d/1kII0BjS6CtVrBvI8IrytgPdxDrlyQDyigz"&amp;"MsohRtDMs/edit?usp=share_link"",""อุทัยธานี!J670"")
"),49)</f>
        <v>49</v>
      </c>
      <c r="K670" s="38">
        <f ca="1">IF(I670&gt;0,(J670*100)/I670,0)</f>
        <v>106.52173913043478</v>
      </c>
      <c r="L670" s="163"/>
      <c r="M670" s="163"/>
      <c r="N670" s="163"/>
      <c r="O670" s="163"/>
      <c r="P670" s="163"/>
      <c r="Q670" s="542"/>
      <c r="R670" s="542"/>
      <c r="S670" s="542"/>
      <c r="T670" s="542"/>
      <c r="U670" s="542"/>
      <c r="V670" s="542"/>
      <c r="W670" s="542"/>
      <c r="X670" s="542"/>
      <c r="Y670" s="542"/>
      <c r="Z670" s="542"/>
    </row>
    <row r="671" spans="1:26" ht="18.75">
      <c r="A671" s="573"/>
      <c r="B671" s="574"/>
      <c r="C671" s="574"/>
      <c r="D671" s="574"/>
      <c r="E671" s="187" t="s">
        <v>282</v>
      </c>
      <c r="F671" s="586"/>
      <c r="G671" s="175"/>
      <c r="H671" s="417" t="s">
        <v>66</v>
      </c>
      <c r="I671" s="37">
        <f ca="1">IFERROR(__xludf.DUMMYFUNCTION("IMPORTRANGE(""https://docs.google.com/spreadsheets/d/1KxicF4apzSqm0-jIpmueT4kyZtE-Cwn5zskl7GD4loQ/edit?usp=share_link"",""กำแพงเพชร!I671"")+IMPORTRANGE(""https://docs.google.com/spreadsheets/d/1ZNYWeiFoFA1K1U4xKWqRX29MBvEyRHXORjo734Gnq_c/edit?usp=share_li"&amp;"nk"",""เชียงราย!I671"")
+IMPORTRANGE(""https://docs.google.com/spreadsheets/d/1Jgv0Y7YlHDtsiDawwp-uvifEJ8HVaSn0k2aGHG8-hwM/edit?usp=share_link"",""เชียงใหม่!I671"")+IMPORTRANGE(""https://docs.google.com/spreadsheets/d/1JWG2rZePOz9pe-f-ObA-yDr0VoOX2kSb0qIi"&amp;"x2mTUo8/edit?usp=share_link"",""ตาก!I671"")+IMPORTRANGE(""https://docs.google.com/spreadsheets/d/10nSRjK08hx8Y6HgSOQKNw81lyY46Zc7U_Cj72hBMp9U/edit?usp=share_link"",""นครสวรรค์!I671"")+IMPORTRANGE(""https://docs.google.com/spreadsheets/d/1gFVb7qd7amutrIxAA"&amp;"oM7lcy35hllxznovot8lyOfvDo/edit?usp=share_link"",""น่าน!I671"")+IMPORTRANGE(""https://docs.google.com/spreadsheets/d/1K0Aa9s-6EuHE5M0FG1F9aHLXRCOV917xvycTdLdct0w/edit?usp=share_link"",""พะเยา!I671"")+IMPORTRANGE(""https://docs.google.com/spreadsheets/d/1Y"&amp;"9LPKx95PyL5OKy09d-KbKJSuuEZCFdkhYjwC0XQjBA/edit?usp=share_link"",""พิจิตร!I671"")+IMPORTRANGE(""https://docs.google.com/spreadsheets/d/16OMuOwy2eVqZcYWOouQtTpa8X1L23h4660uVHc0C8os/edit?usp=share_link"",""พิษณุโลก!I671"")+IMPORTRANGE(""https://docs.google."&amp;"com/spreadsheets/d/1GfgTldLG6k77HXaMQzaafODklYuucJZQNs_GAPEfZyY/edit?usp=share_link"",""เพชรบูรณ์!I671"")+IMPORTRANGE(""https://docs.google.com/spreadsheets/d/1gvTMYAnm7v1yG1BKWFtr0DnaTsq59oW9dwWvFgq6hs0/edit?usp=share_link"",""แพร่!I671"")+IMPORTRANGE("""&amp;"https://docs.google.com/spreadsheets/d/1Wbcosgy-Xa1xXUArJSOenub6EfZHUSzc_bpJFWwQUf0/edit?usp=share_link"",""แม่ฮ่องสอน!I671"")+IMPORTRANGE(""https://docs.google.com/spreadsheets/d/1p7ERhsr0qZeSn-KSOdeHS9r0heI-lHtkcn2OH7hP0jQ/edit?usp=share_link"",""ลำปาง!"&amp;"I671"")+IMPORTRANGE(""https://docs.google.com/spreadsheets/d/1-uUXvimVhiU2U0bMN-xi2te0tS4X7DI2GLPnMjzl8cA/edit?usp=share_link"",""ลำพูน!I671"")+IMPORTRANGE(""https://docs.google.com/spreadsheets/d/17HrOaa5pBUI1onckFfumXB8xlg35qb2uBAFfF1D-Myo/edit?usp=shar"&amp;"e_link"",""สุโขทัย!I671"")+IMPORTRANGE(""https://docs.google.com/spreadsheets/d/1ubs5cl16eYL9gHbdHTJtmtYb9MGzHBs7CAphn8kNCgM/edit?usp=share_link"",""อุตรดิตถ์!I671"")+IMPORTRANGE(""https://docs.google.com/spreadsheets/d/1kII0BjS6CtVrBvI8IrytgPdxDrlyQDyigz"&amp;"MsohRtDMs/edit?usp=share_link"",""อุทัยธานี!I671"")
"),46)</f>
        <v>46</v>
      </c>
      <c r="J671" s="183">
        <f ca="1">IFERROR(__xludf.DUMMYFUNCTION("IMPORTRANGE(""https://docs.google.com/spreadsheets/d/1KxicF4apzSqm0-jIpmueT4kyZtE-Cwn5zskl7GD4loQ/edit?usp=share_link"",""กำแพงเพชร!J671"")+IMPORTRANGE(""https://docs.google.com/spreadsheets/d/1ZNYWeiFoFA1K1U4xKWqRX29MBvEyRHXORjo734Gnq_c/edit?usp=share_li"&amp;"nk"",""เชียงราย!J671"")
+IMPORTRANGE(""https://docs.google.com/spreadsheets/d/1Jgv0Y7YlHDtsiDawwp-uvifEJ8HVaSn0k2aGHG8-hwM/edit?usp=share_link"",""เชียงใหม่!J671"")+IMPORTRANGE(""https://docs.google.com/spreadsheets/d/1JWG2rZePOz9pe-f-ObA-yDr0VoOX2kSb0qIi"&amp;"x2mTUo8/edit?usp=share_link"",""ตาก!J671"")+IMPORTRANGE(""https://docs.google.com/spreadsheets/d/10nSRjK08hx8Y6HgSOQKNw81lyY46Zc7U_Cj72hBMp9U/edit?usp=share_link"",""นครสวรรค์!J671"")+IMPORTRANGE(""https://docs.google.com/spreadsheets/d/1gFVb7qd7amutrIxAA"&amp;"oM7lcy35hllxznovot8lyOfvDo/edit?usp=share_link"",""น่าน!J671"")+IMPORTRANGE(""https://docs.google.com/spreadsheets/d/1K0Aa9s-6EuHE5M0FG1F9aHLXRCOV917xvycTdLdct0w/edit?usp=share_link"",""พะเยา!J671"")+IMPORTRANGE(""https://docs.google.com/spreadsheets/d/1Y"&amp;"9LPKx95PyL5OKy09d-KbKJSuuEZCFdkhYjwC0XQjBA/edit?usp=share_link"",""พิจิตร!J671"")+IMPORTRANGE(""https://docs.google.com/spreadsheets/d/16OMuOwy2eVqZcYWOouQtTpa8X1L23h4660uVHc0C8os/edit?usp=share_link"",""พิษณุโลก!J671"")+IMPORTRANGE(""https://docs.google."&amp;"com/spreadsheets/d/1GfgTldLG6k77HXaMQzaafODklYuucJZQNs_GAPEfZyY/edit?usp=share_link"",""เพชรบูรณ์!J671"")+IMPORTRANGE(""https://docs.google.com/spreadsheets/d/1gvTMYAnm7v1yG1BKWFtr0DnaTsq59oW9dwWvFgq6hs0/edit?usp=share_link"",""แพร่!J671"")+IMPORTRANGE("""&amp;"https://docs.google.com/spreadsheets/d/1Wbcosgy-Xa1xXUArJSOenub6EfZHUSzc_bpJFWwQUf0/edit?usp=share_link"",""แม่ฮ่องสอน!J671"")+IMPORTRANGE(""https://docs.google.com/spreadsheets/d/1p7ERhsr0qZeSn-KSOdeHS9r0heI-lHtkcn2OH7hP0jQ/edit?usp=share_link"",""ลำปาง!"&amp;"J671"")+IMPORTRANGE(""https://docs.google.com/spreadsheets/d/1-uUXvimVhiU2U0bMN-xi2te0tS4X7DI2GLPnMjzl8cA/edit?usp=share_link"",""ลำพูน!J671"")+IMPORTRANGE(""https://docs.google.com/spreadsheets/d/17HrOaa5pBUI1onckFfumXB8xlg35qb2uBAFfF1D-Myo/edit?usp=shar"&amp;"e_link"",""สุโขทัย!J671"")+IMPORTRANGE(""https://docs.google.com/spreadsheets/d/1ubs5cl16eYL9gHbdHTJtmtYb9MGzHBs7CAphn8kNCgM/edit?usp=share_link"",""อุตรดิตถ์!J671"")+IMPORTRANGE(""https://docs.google.com/spreadsheets/d/1kII0BjS6CtVrBvI8IrytgPdxDrlyQDyigz"&amp;"MsohRtDMs/edit?usp=share_link"",""อุทัยธานี!J671"")
"),52)</f>
        <v>52</v>
      </c>
      <c r="K671" s="38">
        <f ca="1">IF(I$671&gt;0,J671*100/I$671,0)</f>
        <v>113.04347826086956</v>
      </c>
      <c r="L671" s="163"/>
      <c r="M671" s="163"/>
      <c r="N671" s="163"/>
      <c r="O671" s="163"/>
      <c r="P671" s="163"/>
      <c r="Q671" s="542"/>
      <c r="R671" s="542"/>
      <c r="S671" s="542"/>
      <c r="T671" s="542"/>
      <c r="U671" s="542"/>
      <c r="V671" s="542"/>
      <c r="W671" s="542"/>
      <c r="X671" s="542"/>
      <c r="Y671" s="542"/>
      <c r="Z671" s="542"/>
    </row>
    <row r="672" spans="1:26" ht="18.75">
      <c r="A672" s="573"/>
      <c r="B672" s="574"/>
      <c r="C672" s="574"/>
      <c r="D672" s="574"/>
      <c r="E672" s="187" t="s">
        <v>283</v>
      </c>
      <c r="F672" s="586"/>
      <c r="G672" s="175"/>
      <c r="H672" s="182" t="s">
        <v>46</v>
      </c>
      <c r="I672" s="37"/>
      <c r="J672" s="183">
        <f ca="1">IFERROR(__xludf.DUMMYFUNCTION("IMPORTRANGE(""https://docs.google.com/spreadsheets/d/1KxicF4apzSqm0-jIpmueT4kyZtE-Cwn5zskl7GD4loQ/edit?usp=share_link"",""กำแพงเพชร!J672"")+IMPORTRANGE(""https://docs.google.com/spreadsheets/d/1ZNYWeiFoFA1K1U4xKWqRX29MBvEyRHXORjo734Gnq_c/edit?usp=share_li"&amp;"nk"",""เชียงราย!J672"")
+IMPORTRANGE(""https://docs.google.com/spreadsheets/d/1Jgv0Y7YlHDtsiDawwp-uvifEJ8HVaSn0k2aGHG8-hwM/edit?usp=share_link"",""เชียงใหม่!J672"")+IMPORTRANGE(""https://docs.google.com/spreadsheets/d/1JWG2rZePOz9pe-f-ObA-yDr0VoOX2kSb0qIi"&amp;"x2mTUo8/edit?usp=share_link"",""ตาก!J672"")+IMPORTRANGE(""https://docs.google.com/spreadsheets/d/10nSRjK08hx8Y6HgSOQKNw81lyY46Zc7U_Cj72hBMp9U/edit?usp=share_link"",""นครสวรรค์!J672"")+IMPORTRANGE(""https://docs.google.com/spreadsheets/d/1gFVb7qd7amutrIxAA"&amp;"oM7lcy35hllxznovot8lyOfvDo/edit?usp=share_link"",""น่าน!J672"")+IMPORTRANGE(""https://docs.google.com/spreadsheets/d/1K0Aa9s-6EuHE5M0FG1F9aHLXRCOV917xvycTdLdct0w/edit?usp=share_link"",""พะเยา!J672"")+IMPORTRANGE(""https://docs.google.com/spreadsheets/d/1Y"&amp;"9LPKx95PyL5OKy09d-KbKJSuuEZCFdkhYjwC0XQjBA/edit?usp=share_link"",""พิจิตร!J672"")+IMPORTRANGE(""https://docs.google.com/spreadsheets/d/16OMuOwy2eVqZcYWOouQtTpa8X1L23h4660uVHc0C8os/edit?usp=share_link"",""พิษณุโลก!J672"")+IMPORTRANGE(""https://docs.google."&amp;"com/spreadsheets/d/1GfgTldLG6k77HXaMQzaafODklYuucJZQNs_GAPEfZyY/edit?usp=share_link"",""เพชรบูรณ์!J672"")+IMPORTRANGE(""https://docs.google.com/spreadsheets/d/1gvTMYAnm7v1yG1BKWFtr0DnaTsq59oW9dwWvFgq6hs0/edit?usp=share_link"",""แพร่!J672"")+IMPORTRANGE("""&amp;"https://docs.google.com/spreadsheets/d/1Wbcosgy-Xa1xXUArJSOenub6EfZHUSzc_bpJFWwQUf0/edit?usp=share_link"",""แม่ฮ่องสอน!J672"")+IMPORTRANGE(""https://docs.google.com/spreadsheets/d/1p7ERhsr0qZeSn-KSOdeHS9r0heI-lHtkcn2OH7hP0jQ/edit?usp=share_link"",""ลำปาง!"&amp;"J672"")+IMPORTRANGE(""https://docs.google.com/spreadsheets/d/1-uUXvimVhiU2U0bMN-xi2te0tS4X7DI2GLPnMjzl8cA/edit?usp=share_link"",""ลำพูน!J672"")+IMPORTRANGE(""https://docs.google.com/spreadsheets/d/17HrOaa5pBUI1onckFfumXB8xlg35qb2uBAFfF1D-Myo/edit?usp=shar"&amp;"e_link"",""สุโขทัย!J672"")+IMPORTRANGE(""https://docs.google.com/spreadsheets/d/1ubs5cl16eYL9gHbdHTJtmtYb9MGzHBs7CAphn8kNCgM/edit?usp=share_link"",""อุตรดิตถ์!J672"")+IMPORTRANGE(""https://docs.google.com/spreadsheets/d/1kII0BjS6CtVrBvI8IrytgPdxDrlyQDyigz"&amp;"MsohRtDMs/edit?usp=share_link"",""อุทัยธานี!J672"")
"),1446.95)</f>
        <v>1446.95</v>
      </c>
      <c r="K672" s="38">
        <f t="shared" ref="K672:K675" ca="1" si="321">IF(I$669&gt;0,J672*100/I$669,0)</f>
        <v>131.54090909090908</v>
      </c>
      <c r="L672" s="163"/>
      <c r="M672" s="163"/>
      <c r="N672" s="163"/>
      <c r="O672" s="163"/>
      <c r="P672" s="163"/>
      <c r="Q672" s="542"/>
      <c r="R672" s="542"/>
      <c r="S672" s="542"/>
      <c r="T672" s="542"/>
      <c r="U672" s="542"/>
      <c r="V672" s="542"/>
      <c r="W672" s="542"/>
      <c r="X672" s="542"/>
      <c r="Y672" s="542"/>
      <c r="Z672" s="542"/>
    </row>
    <row r="673" spans="1:26" ht="18.75">
      <c r="A673" s="573"/>
      <c r="B673" s="574"/>
      <c r="C673" s="574"/>
      <c r="D673" s="574"/>
      <c r="E673" s="187" t="s">
        <v>284</v>
      </c>
      <c r="F673" s="586"/>
      <c r="G673" s="175"/>
      <c r="H673" s="182" t="s">
        <v>46</v>
      </c>
      <c r="I673" s="37"/>
      <c r="J673" s="183">
        <f ca="1">IFERROR(__xludf.DUMMYFUNCTION("IMPORTRANGE(""https://docs.google.com/spreadsheets/d/1KxicF4apzSqm0-jIpmueT4kyZtE-Cwn5zskl7GD4loQ/edit?usp=share_link"",""กำแพงเพชร!J673"")+IMPORTRANGE(""https://docs.google.com/spreadsheets/d/1ZNYWeiFoFA1K1U4xKWqRX29MBvEyRHXORjo734Gnq_c/edit?usp=share_li"&amp;"nk"",""เชียงราย!J673"")
+IMPORTRANGE(""https://docs.google.com/spreadsheets/d/1Jgv0Y7YlHDtsiDawwp-uvifEJ8HVaSn0k2aGHG8-hwM/edit?usp=share_link"",""เชียงใหม่!J673"")+IMPORTRANGE(""https://docs.google.com/spreadsheets/d/1JWG2rZePOz9pe-f-ObA-yDr0VoOX2kSb0qIi"&amp;"x2mTUo8/edit?usp=share_link"",""ตาก!J673"")+IMPORTRANGE(""https://docs.google.com/spreadsheets/d/10nSRjK08hx8Y6HgSOQKNw81lyY46Zc7U_Cj72hBMp9U/edit?usp=share_link"",""นครสวรรค์!J673"")+IMPORTRANGE(""https://docs.google.com/spreadsheets/d/1gFVb7qd7amutrIxAA"&amp;"oM7lcy35hllxznovot8lyOfvDo/edit?usp=share_link"",""น่าน!J673"")+IMPORTRANGE(""https://docs.google.com/spreadsheets/d/1K0Aa9s-6EuHE5M0FG1F9aHLXRCOV917xvycTdLdct0w/edit?usp=share_link"",""พะเยา!J673"")+IMPORTRANGE(""https://docs.google.com/spreadsheets/d/1Y"&amp;"9LPKx95PyL5OKy09d-KbKJSuuEZCFdkhYjwC0XQjBA/edit?usp=share_link"",""พิจิตร!J673"")+IMPORTRANGE(""https://docs.google.com/spreadsheets/d/16OMuOwy2eVqZcYWOouQtTpa8X1L23h4660uVHc0C8os/edit?usp=share_link"",""พิษณุโลก!J673"")+IMPORTRANGE(""https://docs.google."&amp;"com/spreadsheets/d/1GfgTldLG6k77HXaMQzaafODklYuucJZQNs_GAPEfZyY/edit?usp=share_link"",""เพชรบูรณ์!J673"")+IMPORTRANGE(""https://docs.google.com/spreadsheets/d/1gvTMYAnm7v1yG1BKWFtr0DnaTsq59oW9dwWvFgq6hs0/edit?usp=share_link"",""แพร่!J673"")+IMPORTRANGE("""&amp;"https://docs.google.com/spreadsheets/d/1Wbcosgy-Xa1xXUArJSOenub6EfZHUSzc_bpJFWwQUf0/edit?usp=share_link"",""แม่ฮ่องสอน!J673"")+IMPORTRANGE(""https://docs.google.com/spreadsheets/d/1p7ERhsr0qZeSn-KSOdeHS9r0heI-lHtkcn2OH7hP0jQ/edit?usp=share_link"",""ลำปาง!"&amp;"J673"")+IMPORTRANGE(""https://docs.google.com/spreadsheets/d/1-uUXvimVhiU2U0bMN-xi2te0tS4X7DI2GLPnMjzl8cA/edit?usp=share_link"",""ลำพูน!J673"")+IMPORTRANGE(""https://docs.google.com/spreadsheets/d/17HrOaa5pBUI1onckFfumXB8xlg35qb2uBAFfF1D-Myo/edit?usp=shar"&amp;"e_link"",""สุโขทัย!J673"")+IMPORTRANGE(""https://docs.google.com/spreadsheets/d/1ubs5cl16eYL9gHbdHTJtmtYb9MGzHBs7CAphn8kNCgM/edit?usp=share_link"",""อุตรดิตถ์!J673"")+IMPORTRANGE(""https://docs.google.com/spreadsheets/d/1kII0BjS6CtVrBvI8IrytgPdxDrlyQDyigz"&amp;"MsohRtDMs/edit?usp=share_link"",""อุทัยธานี!J673"")
"),647)</f>
        <v>647</v>
      </c>
      <c r="K673" s="38">
        <f t="shared" ca="1" si="321"/>
        <v>58.81818181818182</v>
      </c>
      <c r="L673" s="163"/>
      <c r="M673" s="163"/>
      <c r="N673" s="163"/>
      <c r="O673" s="163"/>
      <c r="P673" s="163"/>
      <c r="Q673" s="542"/>
      <c r="R673" s="542"/>
      <c r="S673" s="542"/>
      <c r="T673" s="542"/>
      <c r="U673" s="542"/>
      <c r="V673" s="542"/>
      <c r="W673" s="542"/>
      <c r="X673" s="542"/>
      <c r="Y673" s="542"/>
      <c r="Z673" s="542"/>
    </row>
    <row r="674" spans="1:26" ht="18.75">
      <c r="A674" s="573"/>
      <c r="B674" s="574"/>
      <c r="C674" s="574"/>
      <c r="D674" s="574"/>
      <c r="E674" s="187" t="s">
        <v>285</v>
      </c>
      <c r="F674" s="586"/>
      <c r="G674" s="175"/>
      <c r="H674" s="182" t="s">
        <v>46</v>
      </c>
      <c r="I674" s="37"/>
      <c r="J674" s="183">
        <f ca="1">IFERROR(__xludf.DUMMYFUNCTION("IMPORTRANGE(""https://docs.google.com/spreadsheets/d/1KxicF4apzSqm0-jIpmueT4kyZtE-Cwn5zskl7GD4loQ/edit?usp=share_link"",""กำแพงเพชร!J674"")+IMPORTRANGE(""https://docs.google.com/spreadsheets/d/1ZNYWeiFoFA1K1U4xKWqRX29MBvEyRHXORjo734Gnq_c/edit?usp=share_li"&amp;"nk"",""เชียงราย!J674"")
+IMPORTRANGE(""https://docs.google.com/spreadsheets/d/1Jgv0Y7YlHDtsiDawwp-uvifEJ8HVaSn0k2aGHG8-hwM/edit?usp=share_link"",""เชียงใหม่!J674"")+IMPORTRANGE(""https://docs.google.com/spreadsheets/d/1JWG2rZePOz9pe-f-ObA-yDr0VoOX2kSb0qIi"&amp;"x2mTUo8/edit?usp=share_link"",""ตาก!J674"")+IMPORTRANGE(""https://docs.google.com/spreadsheets/d/10nSRjK08hx8Y6HgSOQKNw81lyY46Zc7U_Cj72hBMp9U/edit?usp=share_link"",""นครสวรรค์!J674"")+IMPORTRANGE(""https://docs.google.com/spreadsheets/d/1gFVb7qd7amutrIxAA"&amp;"oM7lcy35hllxznovot8lyOfvDo/edit?usp=share_link"",""น่าน!J674"")+IMPORTRANGE(""https://docs.google.com/spreadsheets/d/1K0Aa9s-6EuHE5M0FG1F9aHLXRCOV917xvycTdLdct0w/edit?usp=share_link"",""พะเยา!J674"")+IMPORTRANGE(""https://docs.google.com/spreadsheets/d/1Y"&amp;"9LPKx95PyL5OKy09d-KbKJSuuEZCFdkhYjwC0XQjBA/edit?usp=share_link"",""พิจิตร!J674"")+IMPORTRANGE(""https://docs.google.com/spreadsheets/d/16OMuOwy2eVqZcYWOouQtTpa8X1L23h4660uVHc0C8os/edit?usp=share_link"",""พิษณุโลก!J674"")+IMPORTRANGE(""https://docs.google."&amp;"com/spreadsheets/d/1GfgTldLG6k77HXaMQzaafODklYuucJZQNs_GAPEfZyY/edit?usp=share_link"",""เพชรบูรณ์!J674"")+IMPORTRANGE(""https://docs.google.com/spreadsheets/d/1gvTMYAnm7v1yG1BKWFtr0DnaTsq59oW9dwWvFgq6hs0/edit?usp=share_link"",""แพร่!J674"")+IMPORTRANGE("""&amp;"https://docs.google.com/spreadsheets/d/1Wbcosgy-Xa1xXUArJSOenub6EfZHUSzc_bpJFWwQUf0/edit?usp=share_link"",""แม่ฮ่องสอน!J674"")+IMPORTRANGE(""https://docs.google.com/spreadsheets/d/1p7ERhsr0qZeSn-KSOdeHS9r0heI-lHtkcn2OH7hP0jQ/edit?usp=share_link"",""ลำปาง!"&amp;"J674"")+IMPORTRANGE(""https://docs.google.com/spreadsheets/d/1-uUXvimVhiU2U0bMN-xi2te0tS4X7DI2GLPnMjzl8cA/edit?usp=share_link"",""ลำพูน!J674"")+IMPORTRANGE(""https://docs.google.com/spreadsheets/d/17HrOaa5pBUI1onckFfumXB8xlg35qb2uBAFfF1D-Myo/edit?usp=shar"&amp;"e_link"",""สุโขทัย!J674"")+IMPORTRANGE(""https://docs.google.com/spreadsheets/d/1ubs5cl16eYL9gHbdHTJtmtYb9MGzHBs7CAphn8kNCgM/edit?usp=share_link"",""อุตรดิตถ์!J674"")+IMPORTRANGE(""https://docs.google.com/spreadsheets/d/1kII0BjS6CtVrBvI8IrytgPdxDrlyQDyigz"&amp;"MsohRtDMs/edit?usp=share_link"",""อุทัยธานี!J674"")
"),0)</f>
        <v>0</v>
      </c>
      <c r="K674" s="38">
        <f t="shared" ca="1" si="321"/>
        <v>0</v>
      </c>
      <c r="L674" s="163"/>
      <c r="M674" s="163"/>
      <c r="N674" s="163"/>
      <c r="O674" s="163"/>
      <c r="P674" s="163"/>
      <c r="Q674" s="542"/>
      <c r="R674" s="542"/>
      <c r="S674" s="542"/>
      <c r="T674" s="542"/>
      <c r="U674" s="542"/>
      <c r="V674" s="542"/>
      <c r="W674" s="542"/>
      <c r="X674" s="542"/>
      <c r="Y674" s="542"/>
      <c r="Z674" s="542"/>
    </row>
    <row r="675" spans="1:26" ht="19.5">
      <c r="A675" s="573"/>
      <c r="B675" s="574"/>
      <c r="C675" s="574"/>
      <c r="D675" s="574"/>
      <c r="E675" s="187" t="s">
        <v>286</v>
      </c>
      <c r="F675" s="586"/>
      <c r="G675" s="175"/>
      <c r="H675" s="182" t="s">
        <v>46</v>
      </c>
      <c r="I675" s="37"/>
      <c r="J675" s="194">
        <f ca="1">J676+J677</f>
        <v>0</v>
      </c>
      <c r="K675" s="195">
        <f t="shared" ca="1" si="321"/>
        <v>0</v>
      </c>
      <c r="L675" s="163"/>
      <c r="M675" s="163"/>
      <c r="N675" s="163"/>
      <c r="O675" s="163"/>
      <c r="P675" s="163"/>
      <c r="Q675" s="542"/>
      <c r="R675" s="542"/>
      <c r="S675" s="542"/>
      <c r="T675" s="542"/>
      <c r="U675" s="542"/>
      <c r="V675" s="542"/>
      <c r="W675" s="542"/>
      <c r="X675" s="542"/>
      <c r="Y675" s="542"/>
      <c r="Z675" s="542"/>
    </row>
    <row r="676" spans="1:26" ht="18.75">
      <c r="A676" s="573"/>
      <c r="B676" s="574"/>
      <c r="C676" s="574"/>
      <c r="D676" s="574"/>
      <c r="E676" s="586"/>
      <c r="F676" s="187" t="s">
        <v>287</v>
      </c>
      <c r="G676" s="175"/>
      <c r="H676" s="182" t="s">
        <v>46</v>
      </c>
      <c r="I676" s="37"/>
      <c r="J676" s="183">
        <f ca="1">IFERROR(__xludf.DUMMYFUNCTION("IMPORTRANGE(""https://docs.google.com/spreadsheets/d/1KxicF4apzSqm0-jIpmueT4kyZtE-Cwn5zskl7GD4loQ/edit?usp=share_link"",""กำแพงเพชร!J676"")+IMPORTRANGE(""https://docs.google.com/spreadsheets/d/1ZNYWeiFoFA1K1U4xKWqRX29MBvEyRHXORjo734Gnq_c/edit?usp=share_li"&amp;"nk"",""เชียงราย!J676"")
+IMPORTRANGE(""https://docs.google.com/spreadsheets/d/1Jgv0Y7YlHDtsiDawwp-uvifEJ8HVaSn0k2aGHG8-hwM/edit?usp=share_link"",""เชียงใหม่!J676"")+IMPORTRANGE(""https://docs.google.com/spreadsheets/d/1JWG2rZePOz9pe-f-ObA-yDr0VoOX2kSb0qIi"&amp;"x2mTUo8/edit?usp=share_link"",""ตาก!J676"")+IMPORTRANGE(""https://docs.google.com/spreadsheets/d/10nSRjK08hx8Y6HgSOQKNw81lyY46Zc7U_Cj72hBMp9U/edit?usp=share_link"",""นครสวรรค์!J676"")+IMPORTRANGE(""https://docs.google.com/spreadsheets/d/1gFVb7qd7amutrIxAA"&amp;"oM7lcy35hllxznovot8lyOfvDo/edit?usp=share_link"",""น่าน!J676"")+IMPORTRANGE(""https://docs.google.com/spreadsheets/d/1K0Aa9s-6EuHE5M0FG1F9aHLXRCOV917xvycTdLdct0w/edit?usp=share_link"",""พะเยา!J676"")+IMPORTRANGE(""https://docs.google.com/spreadsheets/d/1Y"&amp;"9LPKx95PyL5OKy09d-KbKJSuuEZCFdkhYjwC0XQjBA/edit?usp=share_link"",""พิจิตร!J676"")+IMPORTRANGE(""https://docs.google.com/spreadsheets/d/16OMuOwy2eVqZcYWOouQtTpa8X1L23h4660uVHc0C8os/edit?usp=share_link"",""พิษณุโลก!J676"")+IMPORTRANGE(""https://docs.google."&amp;"com/spreadsheets/d/1GfgTldLG6k77HXaMQzaafODklYuucJZQNs_GAPEfZyY/edit?usp=share_link"",""เพชรบูรณ์!J676"")+IMPORTRANGE(""https://docs.google.com/spreadsheets/d/1gvTMYAnm7v1yG1BKWFtr0DnaTsq59oW9dwWvFgq6hs0/edit?usp=share_link"",""แพร่!J676"")+IMPORTRANGE("""&amp;"https://docs.google.com/spreadsheets/d/1Wbcosgy-Xa1xXUArJSOenub6EfZHUSzc_bpJFWwQUf0/edit?usp=share_link"",""แม่ฮ่องสอน!J676"")+IMPORTRANGE(""https://docs.google.com/spreadsheets/d/1p7ERhsr0qZeSn-KSOdeHS9r0heI-lHtkcn2OH7hP0jQ/edit?usp=share_link"",""ลำปาง!"&amp;"J676"")+IMPORTRANGE(""https://docs.google.com/spreadsheets/d/1-uUXvimVhiU2U0bMN-xi2te0tS4X7DI2GLPnMjzl8cA/edit?usp=share_link"",""ลำพูน!J676"")+IMPORTRANGE(""https://docs.google.com/spreadsheets/d/17HrOaa5pBUI1onckFfumXB8xlg35qb2uBAFfF1D-Myo/edit?usp=shar"&amp;"e_link"",""สุโขทัย!J676"")+IMPORTRANGE(""https://docs.google.com/spreadsheets/d/1ubs5cl16eYL9gHbdHTJtmtYb9MGzHBs7CAphn8kNCgM/edit?usp=share_link"",""อุตรดิตถ์!J676"")+IMPORTRANGE(""https://docs.google.com/spreadsheets/d/1kII0BjS6CtVrBvI8IrytgPdxDrlyQDyigz"&amp;"MsohRtDMs/edit?usp=share_link"",""อุทัยธานี!J676"")
"),0)</f>
        <v>0</v>
      </c>
      <c r="K676" s="38"/>
      <c r="L676" s="163"/>
      <c r="M676" s="163"/>
      <c r="N676" s="163"/>
      <c r="O676" s="163"/>
      <c r="P676" s="163"/>
      <c r="Q676" s="542"/>
      <c r="R676" s="542"/>
      <c r="S676" s="542"/>
      <c r="T676" s="542"/>
      <c r="U676" s="542"/>
      <c r="V676" s="542"/>
      <c r="W676" s="542"/>
      <c r="X676" s="542"/>
      <c r="Y676" s="542"/>
      <c r="Z676" s="542"/>
    </row>
    <row r="677" spans="1:26" ht="18.75">
      <c r="A677" s="573"/>
      <c r="B677" s="574"/>
      <c r="C677" s="574"/>
      <c r="D677" s="574"/>
      <c r="E677" s="586"/>
      <c r="F677" s="187" t="s">
        <v>288</v>
      </c>
      <c r="G677" s="175"/>
      <c r="H677" s="182" t="s">
        <v>46</v>
      </c>
      <c r="I677" s="37"/>
      <c r="J677" s="183">
        <f ca="1">IFERROR(__xludf.DUMMYFUNCTION("IMPORTRANGE(""https://docs.google.com/spreadsheets/d/1KxicF4apzSqm0-jIpmueT4kyZtE-Cwn5zskl7GD4loQ/edit?usp=share_link"",""กำแพงเพชร!J677"")+IMPORTRANGE(""https://docs.google.com/spreadsheets/d/1ZNYWeiFoFA1K1U4xKWqRX29MBvEyRHXORjo734Gnq_c/edit?usp=share_li"&amp;"nk"",""เชียงราย!J677"")
+IMPORTRANGE(""https://docs.google.com/spreadsheets/d/1Jgv0Y7YlHDtsiDawwp-uvifEJ8HVaSn0k2aGHG8-hwM/edit?usp=share_link"",""เชียงใหม่!J677"")+IMPORTRANGE(""https://docs.google.com/spreadsheets/d/1JWG2rZePOz9pe-f-ObA-yDr0VoOX2kSb0qIi"&amp;"x2mTUo8/edit?usp=share_link"",""ตาก!J677"")+IMPORTRANGE(""https://docs.google.com/spreadsheets/d/10nSRjK08hx8Y6HgSOQKNw81lyY46Zc7U_Cj72hBMp9U/edit?usp=share_link"",""นครสวรรค์!J677"")+IMPORTRANGE(""https://docs.google.com/spreadsheets/d/1gFVb7qd7amutrIxAA"&amp;"oM7lcy35hllxznovot8lyOfvDo/edit?usp=share_link"",""น่าน!J677"")+IMPORTRANGE(""https://docs.google.com/spreadsheets/d/1K0Aa9s-6EuHE5M0FG1F9aHLXRCOV917xvycTdLdct0w/edit?usp=share_link"",""พะเยา!J677"")+IMPORTRANGE(""https://docs.google.com/spreadsheets/d/1Y"&amp;"9LPKx95PyL5OKy09d-KbKJSuuEZCFdkhYjwC0XQjBA/edit?usp=share_link"",""พิจิตร!J677"")+IMPORTRANGE(""https://docs.google.com/spreadsheets/d/16OMuOwy2eVqZcYWOouQtTpa8X1L23h4660uVHc0C8os/edit?usp=share_link"",""พิษณุโลก!J677"")+IMPORTRANGE(""https://docs.google."&amp;"com/spreadsheets/d/1GfgTldLG6k77HXaMQzaafODklYuucJZQNs_GAPEfZyY/edit?usp=share_link"",""เพชรบูรณ์!J677"")+IMPORTRANGE(""https://docs.google.com/spreadsheets/d/1gvTMYAnm7v1yG1BKWFtr0DnaTsq59oW9dwWvFgq6hs0/edit?usp=share_link"",""แพร่!J677"")+IMPORTRANGE("""&amp;"https://docs.google.com/spreadsheets/d/1Wbcosgy-Xa1xXUArJSOenub6EfZHUSzc_bpJFWwQUf0/edit?usp=share_link"",""แม่ฮ่องสอน!J677"")+IMPORTRANGE(""https://docs.google.com/spreadsheets/d/1p7ERhsr0qZeSn-KSOdeHS9r0heI-lHtkcn2OH7hP0jQ/edit?usp=share_link"",""ลำปาง!"&amp;"J677"")+IMPORTRANGE(""https://docs.google.com/spreadsheets/d/1-uUXvimVhiU2U0bMN-xi2te0tS4X7DI2GLPnMjzl8cA/edit?usp=share_link"",""ลำพูน!J677"")+IMPORTRANGE(""https://docs.google.com/spreadsheets/d/17HrOaa5pBUI1onckFfumXB8xlg35qb2uBAFfF1D-Myo/edit?usp=shar"&amp;"e_link"",""สุโขทัย!J677"")+IMPORTRANGE(""https://docs.google.com/spreadsheets/d/1ubs5cl16eYL9gHbdHTJtmtYb9MGzHBs7CAphn8kNCgM/edit?usp=share_link"",""อุตรดิตถ์!J677"")+IMPORTRANGE(""https://docs.google.com/spreadsheets/d/1kII0BjS6CtVrBvI8IrytgPdxDrlyQDyigz"&amp;"MsohRtDMs/edit?usp=share_link"",""อุทัยธานี!J677"")
"),0)</f>
        <v>0</v>
      </c>
      <c r="K677" s="38"/>
      <c r="L677" s="163"/>
      <c r="M677" s="163"/>
      <c r="N677" s="163"/>
      <c r="O677" s="163"/>
      <c r="P677" s="163"/>
      <c r="Q677" s="542"/>
      <c r="R677" s="542"/>
      <c r="S677" s="542"/>
      <c r="T677" s="542"/>
      <c r="U677" s="542"/>
      <c r="V677" s="542"/>
      <c r="W677" s="542"/>
      <c r="X677" s="542"/>
      <c r="Y677" s="542"/>
      <c r="Z677" s="542"/>
    </row>
    <row r="678" spans="1:26" ht="19.5">
      <c r="A678" s="573"/>
      <c r="B678" s="574"/>
      <c r="C678" s="574"/>
      <c r="D678" s="585" t="s">
        <v>289</v>
      </c>
      <c r="E678" s="586"/>
      <c r="F678" s="586"/>
      <c r="G678" s="175"/>
      <c r="H678" s="182" t="s">
        <v>46</v>
      </c>
      <c r="I678" s="194">
        <f ca="1">IFERROR(__xludf.DUMMYFUNCTION("IMPORTRANGE(""https://docs.google.com/spreadsheets/d/1KxicF4apzSqm0-jIpmueT4kyZtE-Cwn5zskl7GD4loQ/edit?usp=share_link"",""กำแพงเพชร!I678"")+IMPORTRANGE(""https://docs.google.com/spreadsheets/d/1ZNYWeiFoFA1K1U4xKWqRX29MBvEyRHXORjo734Gnq_c/edit?usp=share_li"&amp;"nk"",""เชียงราย!I678"")
+IMPORTRANGE(""https://docs.google.com/spreadsheets/d/1Jgv0Y7YlHDtsiDawwp-uvifEJ8HVaSn0k2aGHG8-hwM/edit?usp=share_link"",""เชียงใหม่!I678"")+IMPORTRANGE(""https://docs.google.com/spreadsheets/d/1JWG2rZePOz9pe-f-ObA-yDr0VoOX2kSb0qIi"&amp;"x2mTUo8/edit?usp=share_link"",""ตาก!I678"")+IMPORTRANGE(""https://docs.google.com/spreadsheets/d/10nSRjK08hx8Y6HgSOQKNw81lyY46Zc7U_Cj72hBMp9U/edit?usp=share_link"",""นครสวรรค์!I678"")+IMPORTRANGE(""https://docs.google.com/spreadsheets/d/1gFVb7qd7amutrIxAA"&amp;"oM7lcy35hllxznovot8lyOfvDo/edit?usp=share_link"",""น่าน!I678"")+IMPORTRANGE(""https://docs.google.com/spreadsheets/d/1K0Aa9s-6EuHE5M0FG1F9aHLXRCOV917xvycTdLdct0w/edit?usp=share_link"",""พะเยา!I678"")+IMPORTRANGE(""https://docs.google.com/spreadsheets/d/1Y"&amp;"9LPKx95PyL5OKy09d-KbKJSuuEZCFdkhYjwC0XQjBA/edit?usp=share_link"",""พิจิตร!I678"")+IMPORTRANGE(""https://docs.google.com/spreadsheets/d/16OMuOwy2eVqZcYWOouQtTpa8X1L23h4660uVHc0C8os/edit?usp=share_link"",""พิษณุโลก!I678"")+IMPORTRANGE(""https://docs.google."&amp;"com/spreadsheets/d/1GfgTldLG6k77HXaMQzaafODklYuucJZQNs_GAPEfZyY/edit?usp=share_link"",""เพชรบูรณ์!I678"")+IMPORTRANGE(""https://docs.google.com/spreadsheets/d/1gvTMYAnm7v1yG1BKWFtr0DnaTsq59oW9dwWvFgq6hs0/edit?usp=share_link"",""แพร่!I678"")+IMPORTRANGE("""&amp;"https://docs.google.com/spreadsheets/d/1Wbcosgy-Xa1xXUArJSOenub6EfZHUSzc_bpJFWwQUf0/edit?usp=share_link"",""แม่ฮ่องสอน!I678"")+IMPORTRANGE(""https://docs.google.com/spreadsheets/d/1p7ERhsr0qZeSn-KSOdeHS9r0heI-lHtkcn2OH7hP0jQ/edit?usp=share_link"",""ลำปาง!"&amp;"I678"")+IMPORTRANGE(""https://docs.google.com/spreadsheets/d/1-uUXvimVhiU2U0bMN-xi2te0tS4X7DI2GLPnMjzl8cA/edit?usp=share_link"",""ลำพูน!I678"")+IMPORTRANGE(""https://docs.google.com/spreadsheets/d/17HrOaa5pBUI1onckFfumXB8xlg35qb2uBAFfF1D-Myo/edit?usp=shar"&amp;"e_link"",""สุโขทัย!I678"")+IMPORTRANGE(""https://docs.google.com/spreadsheets/d/1ubs5cl16eYL9gHbdHTJtmtYb9MGzHBs7CAphn8kNCgM/edit?usp=share_link"",""อุตรดิตถ์!I678"")+IMPORTRANGE(""https://docs.google.com/spreadsheets/d/1kII0BjS6CtVrBvI8IrytgPdxDrlyQDyigz"&amp;"MsohRtDMs/edit?usp=share_link"",""อุทัยธานี!I678"")
"),0)</f>
        <v>0</v>
      </c>
      <c r="J678" s="194">
        <f ca="1"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2"/>
      <c r="R678" s="542"/>
      <c r="S678" s="542"/>
      <c r="T678" s="542"/>
      <c r="U678" s="542"/>
      <c r="V678" s="542"/>
      <c r="W678" s="542"/>
      <c r="X678" s="542"/>
      <c r="Y678" s="542"/>
      <c r="Z678" s="542"/>
    </row>
    <row r="679" spans="1:26" ht="18.75">
      <c r="A679" s="573"/>
      <c r="B679" s="574"/>
      <c r="C679" s="574"/>
      <c r="D679" s="574"/>
      <c r="E679" s="187" t="s">
        <v>290</v>
      </c>
      <c r="F679" s="586"/>
      <c r="G679" s="175"/>
      <c r="H679" s="182" t="s">
        <v>46</v>
      </c>
      <c r="I679" s="37"/>
      <c r="J679" s="37">
        <f ca="1">J680+J681</f>
        <v>0</v>
      </c>
      <c r="K679" s="38"/>
      <c r="L679" s="163"/>
      <c r="M679" s="163"/>
      <c r="N679" s="163"/>
      <c r="O679" s="163"/>
      <c r="P679" s="163"/>
      <c r="Q679" s="542"/>
      <c r="R679" s="542"/>
      <c r="S679" s="542"/>
      <c r="T679" s="542"/>
      <c r="U679" s="542"/>
      <c r="V679" s="542"/>
      <c r="W679" s="542"/>
      <c r="X679" s="542"/>
      <c r="Y679" s="542"/>
      <c r="Z679" s="542"/>
    </row>
    <row r="680" spans="1:26" ht="18.75">
      <c r="A680" s="573"/>
      <c r="B680" s="574"/>
      <c r="C680" s="574"/>
      <c r="D680" s="574"/>
      <c r="E680" s="586"/>
      <c r="F680" s="187" t="s">
        <v>287</v>
      </c>
      <c r="G680" s="175"/>
      <c r="H680" s="182" t="s">
        <v>46</v>
      </c>
      <c r="I680" s="37"/>
      <c r="J680" s="183">
        <f ca="1">IFERROR(__xludf.DUMMYFUNCTION("IMPORTRANGE(""https://docs.google.com/spreadsheets/d/1KxicF4apzSqm0-jIpmueT4kyZtE-Cwn5zskl7GD4loQ/edit?usp=share_link"",""กำแพงเพชร!J680"")+IMPORTRANGE(""https://docs.google.com/spreadsheets/d/1ZNYWeiFoFA1K1U4xKWqRX29MBvEyRHXORjo734Gnq_c/edit?usp=share_li"&amp;"nk"",""เชียงราย!J680"")
+IMPORTRANGE(""https://docs.google.com/spreadsheets/d/1Jgv0Y7YlHDtsiDawwp-uvifEJ8HVaSn0k2aGHG8-hwM/edit?usp=share_link"",""เชียงใหม่!J680"")+IMPORTRANGE(""https://docs.google.com/spreadsheets/d/1JWG2rZePOz9pe-f-ObA-yDr0VoOX2kSb0qIi"&amp;"x2mTUo8/edit?usp=share_link"",""ตาก!J680"")+IMPORTRANGE(""https://docs.google.com/spreadsheets/d/10nSRjK08hx8Y6HgSOQKNw81lyY46Zc7U_Cj72hBMp9U/edit?usp=share_link"",""นครสวรรค์!J680"")+IMPORTRANGE(""https://docs.google.com/spreadsheets/d/1gFVb7qd7amutrIxAA"&amp;"oM7lcy35hllxznovot8lyOfvDo/edit?usp=share_link"",""น่าน!J680"")+IMPORTRANGE(""https://docs.google.com/spreadsheets/d/1K0Aa9s-6EuHE5M0FG1F9aHLXRCOV917xvycTdLdct0w/edit?usp=share_link"",""พะเยา!J680"")+IMPORTRANGE(""https://docs.google.com/spreadsheets/d/1Y"&amp;"9LPKx95PyL5OKy09d-KbKJSuuEZCFdkhYjwC0XQjBA/edit?usp=share_link"",""พิจิตร!J680"")+IMPORTRANGE(""https://docs.google.com/spreadsheets/d/16OMuOwy2eVqZcYWOouQtTpa8X1L23h4660uVHc0C8os/edit?usp=share_link"",""พิษณุโลก!J680"")+IMPORTRANGE(""https://docs.google."&amp;"com/spreadsheets/d/1GfgTldLG6k77HXaMQzaafODklYuucJZQNs_GAPEfZyY/edit?usp=share_link"",""เพชรบูรณ์!J680"")+IMPORTRANGE(""https://docs.google.com/spreadsheets/d/1gvTMYAnm7v1yG1BKWFtr0DnaTsq59oW9dwWvFgq6hs0/edit?usp=share_link"",""แพร่!J680"")+IMPORTRANGE("""&amp;"https://docs.google.com/spreadsheets/d/1Wbcosgy-Xa1xXUArJSOenub6EfZHUSzc_bpJFWwQUf0/edit?usp=share_link"",""แม่ฮ่องสอน!J680"")+IMPORTRANGE(""https://docs.google.com/spreadsheets/d/1p7ERhsr0qZeSn-KSOdeHS9r0heI-lHtkcn2OH7hP0jQ/edit?usp=share_link"",""ลำปาง!"&amp;"J680"")+IMPORTRANGE(""https://docs.google.com/spreadsheets/d/1-uUXvimVhiU2U0bMN-xi2te0tS4X7DI2GLPnMjzl8cA/edit?usp=share_link"",""ลำพูน!J680"")+IMPORTRANGE(""https://docs.google.com/spreadsheets/d/17HrOaa5pBUI1onckFfumXB8xlg35qb2uBAFfF1D-Myo/edit?usp=shar"&amp;"e_link"",""สุโขทัย!J680"")+IMPORTRANGE(""https://docs.google.com/spreadsheets/d/1ubs5cl16eYL9gHbdHTJtmtYb9MGzHBs7CAphn8kNCgM/edit?usp=share_link"",""อุตรดิตถ์!J680"")+IMPORTRANGE(""https://docs.google.com/spreadsheets/d/1kII0BjS6CtVrBvI8IrytgPdxDrlyQDyigz"&amp;"MsohRtDMs/edit?usp=share_link"",""อุทัยธานี!J680"")
"),0)</f>
        <v>0</v>
      </c>
      <c r="K680" s="38"/>
      <c r="L680" s="163"/>
      <c r="M680" s="163"/>
      <c r="N680" s="163"/>
      <c r="O680" s="163"/>
      <c r="P680" s="163"/>
      <c r="Q680" s="542"/>
      <c r="R680" s="542"/>
      <c r="S680" s="542"/>
      <c r="T680" s="542"/>
      <c r="U680" s="542"/>
      <c r="V680" s="542"/>
      <c r="W680" s="542"/>
      <c r="X680" s="542"/>
      <c r="Y680" s="542"/>
      <c r="Z680" s="542"/>
    </row>
    <row r="681" spans="1:26" ht="18.75">
      <c r="A681" s="573"/>
      <c r="B681" s="574"/>
      <c r="C681" s="574"/>
      <c r="D681" s="574"/>
      <c r="E681" s="586"/>
      <c r="F681" s="187" t="s">
        <v>288</v>
      </c>
      <c r="G681" s="175"/>
      <c r="H681" s="182" t="s">
        <v>46</v>
      </c>
      <c r="I681" s="37"/>
      <c r="J681" s="183">
        <f ca="1">IFERROR(__xludf.DUMMYFUNCTION("IMPORTRANGE(""https://docs.google.com/spreadsheets/d/1KxicF4apzSqm0-jIpmueT4kyZtE-Cwn5zskl7GD4loQ/edit?usp=share_link"",""กำแพงเพชร!J681"")+IMPORTRANGE(""https://docs.google.com/spreadsheets/d/1ZNYWeiFoFA1K1U4xKWqRX29MBvEyRHXORjo734Gnq_c/edit?usp=share_li"&amp;"nk"",""เชียงราย!J681"")
+IMPORTRANGE(""https://docs.google.com/spreadsheets/d/1Jgv0Y7YlHDtsiDawwp-uvifEJ8HVaSn0k2aGHG8-hwM/edit?usp=share_link"",""เชียงใหม่!J681"")+IMPORTRANGE(""https://docs.google.com/spreadsheets/d/1JWG2rZePOz9pe-f-ObA-yDr0VoOX2kSb0qIi"&amp;"x2mTUo8/edit?usp=share_link"",""ตาก!J681"")+IMPORTRANGE(""https://docs.google.com/spreadsheets/d/10nSRjK08hx8Y6HgSOQKNw81lyY46Zc7U_Cj72hBMp9U/edit?usp=share_link"",""นครสวรรค์!J681"")+IMPORTRANGE(""https://docs.google.com/spreadsheets/d/1gFVb7qd7amutrIxAA"&amp;"oM7lcy35hllxznovot8lyOfvDo/edit?usp=share_link"",""น่าน!J681"")+IMPORTRANGE(""https://docs.google.com/spreadsheets/d/1K0Aa9s-6EuHE5M0FG1F9aHLXRCOV917xvycTdLdct0w/edit?usp=share_link"",""พะเยา!J681"")+IMPORTRANGE(""https://docs.google.com/spreadsheets/d/1Y"&amp;"9LPKx95PyL5OKy09d-KbKJSuuEZCFdkhYjwC0XQjBA/edit?usp=share_link"",""พิจิตร!J681"")+IMPORTRANGE(""https://docs.google.com/spreadsheets/d/16OMuOwy2eVqZcYWOouQtTpa8X1L23h4660uVHc0C8os/edit?usp=share_link"",""พิษณุโลก!J681"")+IMPORTRANGE(""https://docs.google."&amp;"com/spreadsheets/d/1GfgTldLG6k77HXaMQzaafODklYuucJZQNs_GAPEfZyY/edit?usp=share_link"",""เพชรบูรณ์!J681"")+IMPORTRANGE(""https://docs.google.com/spreadsheets/d/1gvTMYAnm7v1yG1BKWFtr0DnaTsq59oW9dwWvFgq6hs0/edit?usp=share_link"",""แพร่!J681"")+IMPORTRANGE("""&amp;"https://docs.google.com/spreadsheets/d/1Wbcosgy-Xa1xXUArJSOenub6EfZHUSzc_bpJFWwQUf0/edit?usp=share_link"",""แม่ฮ่องสอน!J681"")+IMPORTRANGE(""https://docs.google.com/spreadsheets/d/1p7ERhsr0qZeSn-KSOdeHS9r0heI-lHtkcn2OH7hP0jQ/edit?usp=share_link"",""ลำปาง!"&amp;"J681"")+IMPORTRANGE(""https://docs.google.com/spreadsheets/d/1-uUXvimVhiU2U0bMN-xi2te0tS4X7DI2GLPnMjzl8cA/edit?usp=share_link"",""ลำพูน!J681"")+IMPORTRANGE(""https://docs.google.com/spreadsheets/d/17HrOaa5pBUI1onckFfumXB8xlg35qb2uBAFfF1D-Myo/edit?usp=shar"&amp;"e_link"",""สุโขทัย!J681"")+IMPORTRANGE(""https://docs.google.com/spreadsheets/d/1ubs5cl16eYL9gHbdHTJtmtYb9MGzHBs7CAphn8kNCgM/edit?usp=share_link"",""อุตรดิตถ์!J681"")+IMPORTRANGE(""https://docs.google.com/spreadsheets/d/1kII0BjS6CtVrBvI8IrytgPdxDrlyQDyigz"&amp;"MsohRtDMs/edit?usp=share_link"",""อุทัยธานี!J681"")
"),0)</f>
        <v>0</v>
      </c>
      <c r="K681" s="38"/>
      <c r="L681" s="163"/>
      <c r="M681" s="163"/>
      <c r="N681" s="163"/>
      <c r="O681" s="163"/>
      <c r="P681" s="163"/>
      <c r="Q681" s="542"/>
      <c r="R681" s="542"/>
      <c r="S681" s="542"/>
      <c r="T681" s="542"/>
      <c r="U681" s="542"/>
      <c r="V681" s="542"/>
      <c r="W681" s="542"/>
      <c r="X681" s="542"/>
      <c r="Y681" s="542"/>
      <c r="Z681" s="542"/>
    </row>
    <row r="682" spans="1:26" ht="18.75">
      <c r="A682" s="573"/>
      <c r="B682" s="574"/>
      <c r="C682" s="574"/>
      <c r="D682" s="574"/>
      <c r="E682" s="187" t="s">
        <v>291</v>
      </c>
      <c r="F682" s="586"/>
      <c r="G682" s="175"/>
      <c r="H682" s="182" t="s">
        <v>46</v>
      </c>
      <c r="I682" s="37"/>
      <c r="J682" s="183">
        <f ca="1">IFERROR(__xludf.DUMMYFUNCTION("IMPORTRANGE(""https://docs.google.com/spreadsheets/d/1KxicF4apzSqm0-jIpmueT4kyZtE-Cwn5zskl7GD4loQ/edit?usp=share_link"",""กำแพงเพชร!J682"")+IMPORTRANGE(""https://docs.google.com/spreadsheets/d/1ZNYWeiFoFA1K1U4xKWqRX29MBvEyRHXORjo734Gnq_c/edit?usp=share_li"&amp;"nk"",""เชียงราย!J682"")
+IMPORTRANGE(""https://docs.google.com/spreadsheets/d/1Jgv0Y7YlHDtsiDawwp-uvifEJ8HVaSn0k2aGHG8-hwM/edit?usp=share_link"",""เชียงใหม่!J682"")+IMPORTRANGE(""https://docs.google.com/spreadsheets/d/1JWG2rZePOz9pe-f-ObA-yDr0VoOX2kSb0qIi"&amp;"x2mTUo8/edit?usp=share_link"",""ตาก!J682"")+IMPORTRANGE(""https://docs.google.com/spreadsheets/d/10nSRjK08hx8Y6HgSOQKNw81lyY46Zc7U_Cj72hBMp9U/edit?usp=share_link"",""นครสวรรค์!J682"")+IMPORTRANGE(""https://docs.google.com/spreadsheets/d/1gFVb7qd7amutrIxAA"&amp;"oM7lcy35hllxznovot8lyOfvDo/edit?usp=share_link"",""น่าน!J682"")+IMPORTRANGE(""https://docs.google.com/spreadsheets/d/1K0Aa9s-6EuHE5M0FG1F9aHLXRCOV917xvycTdLdct0w/edit?usp=share_link"",""พะเยา!J682"")+IMPORTRANGE(""https://docs.google.com/spreadsheets/d/1Y"&amp;"9LPKx95PyL5OKy09d-KbKJSuuEZCFdkhYjwC0XQjBA/edit?usp=share_link"",""พิจิตร!J682"")+IMPORTRANGE(""https://docs.google.com/spreadsheets/d/16OMuOwy2eVqZcYWOouQtTpa8X1L23h4660uVHc0C8os/edit?usp=share_link"",""พิษณุโลก!J682"")+IMPORTRANGE(""https://docs.google."&amp;"com/spreadsheets/d/1GfgTldLG6k77HXaMQzaafODklYuucJZQNs_GAPEfZyY/edit?usp=share_link"",""เพชรบูรณ์!J682"")+IMPORTRANGE(""https://docs.google.com/spreadsheets/d/1gvTMYAnm7v1yG1BKWFtr0DnaTsq59oW9dwWvFgq6hs0/edit?usp=share_link"",""แพร่!J682"")+IMPORTRANGE("""&amp;"https://docs.google.com/spreadsheets/d/1Wbcosgy-Xa1xXUArJSOenub6EfZHUSzc_bpJFWwQUf0/edit?usp=share_link"",""แม่ฮ่องสอน!J682"")+IMPORTRANGE(""https://docs.google.com/spreadsheets/d/1p7ERhsr0qZeSn-KSOdeHS9r0heI-lHtkcn2OH7hP0jQ/edit?usp=share_link"",""ลำปาง!"&amp;"J682"")+IMPORTRANGE(""https://docs.google.com/spreadsheets/d/1-uUXvimVhiU2U0bMN-xi2te0tS4X7DI2GLPnMjzl8cA/edit?usp=share_link"",""ลำพูน!J682"")+IMPORTRANGE(""https://docs.google.com/spreadsheets/d/17HrOaa5pBUI1onckFfumXB8xlg35qb2uBAFfF1D-Myo/edit?usp=shar"&amp;"e_link"",""สุโขทัย!J682"")+IMPORTRANGE(""https://docs.google.com/spreadsheets/d/1ubs5cl16eYL9gHbdHTJtmtYb9MGzHBs7CAphn8kNCgM/edit?usp=share_link"",""อุตรดิตถ์!J682"")+IMPORTRANGE(""https://docs.google.com/spreadsheets/d/1kII0BjS6CtVrBvI8IrytgPdxDrlyQDyigz"&amp;"MsohRtDMs/edit?usp=share_link"",""อุทัยธานี!J682"")
"),0)</f>
        <v>0</v>
      </c>
      <c r="K682" s="38"/>
      <c r="L682" s="163"/>
      <c r="M682" s="163"/>
      <c r="N682" s="163"/>
      <c r="O682" s="163"/>
      <c r="P682" s="163"/>
      <c r="Q682" s="542"/>
      <c r="R682" s="542"/>
      <c r="S682" s="542"/>
      <c r="T682" s="542"/>
      <c r="U682" s="542"/>
      <c r="V682" s="542"/>
      <c r="W682" s="542"/>
      <c r="X682" s="542"/>
      <c r="Y682" s="542"/>
      <c r="Z682" s="542"/>
    </row>
    <row r="683" spans="1:26" ht="18.75">
      <c r="A683" s="573"/>
      <c r="B683" s="574"/>
      <c r="C683" s="574"/>
      <c r="D683" s="574"/>
      <c r="E683" s="586"/>
      <c r="F683" s="187" t="s">
        <v>292</v>
      </c>
      <c r="G683" s="175"/>
      <c r="H683" s="182" t="s">
        <v>46</v>
      </c>
      <c r="I683" s="37"/>
      <c r="J683" s="183">
        <f ca="1">IFERROR(__xludf.DUMMYFUNCTION("IMPORTRANGE(""https://docs.google.com/spreadsheets/d/1KxicF4apzSqm0-jIpmueT4kyZtE-Cwn5zskl7GD4loQ/edit?usp=share_link"",""กำแพงเพชร!J683"")+IMPORTRANGE(""https://docs.google.com/spreadsheets/d/1ZNYWeiFoFA1K1U4xKWqRX29MBvEyRHXORjo734Gnq_c/edit?usp=share_li"&amp;"nk"",""เชียงราย!J683"")
+IMPORTRANGE(""https://docs.google.com/spreadsheets/d/1Jgv0Y7YlHDtsiDawwp-uvifEJ8HVaSn0k2aGHG8-hwM/edit?usp=share_link"",""เชียงใหม่!J683"")+IMPORTRANGE(""https://docs.google.com/spreadsheets/d/1JWG2rZePOz9pe-f-ObA-yDr0VoOX2kSb0qIi"&amp;"x2mTUo8/edit?usp=share_link"",""ตาก!J683"")+IMPORTRANGE(""https://docs.google.com/spreadsheets/d/10nSRjK08hx8Y6HgSOQKNw81lyY46Zc7U_Cj72hBMp9U/edit?usp=share_link"",""นครสวรรค์!J683"")+IMPORTRANGE(""https://docs.google.com/spreadsheets/d/1gFVb7qd7amutrIxAA"&amp;"oM7lcy35hllxznovot8lyOfvDo/edit?usp=share_link"",""น่าน!J683"")+IMPORTRANGE(""https://docs.google.com/spreadsheets/d/1K0Aa9s-6EuHE5M0FG1F9aHLXRCOV917xvycTdLdct0w/edit?usp=share_link"",""พะเยา!J683"")+IMPORTRANGE(""https://docs.google.com/spreadsheets/d/1Y"&amp;"9LPKx95PyL5OKy09d-KbKJSuuEZCFdkhYjwC0XQjBA/edit?usp=share_link"",""พิจิตร!J683"")+IMPORTRANGE(""https://docs.google.com/spreadsheets/d/16OMuOwy2eVqZcYWOouQtTpa8X1L23h4660uVHc0C8os/edit?usp=share_link"",""พิษณุโลก!J683"")+IMPORTRANGE(""https://docs.google."&amp;"com/spreadsheets/d/1GfgTldLG6k77HXaMQzaafODklYuucJZQNs_GAPEfZyY/edit?usp=share_link"",""เพชรบูรณ์!J683"")+IMPORTRANGE(""https://docs.google.com/spreadsheets/d/1gvTMYAnm7v1yG1BKWFtr0DnaTsq59oW9dwWvFgq6hs0/edit?usp=share_link"",""แพร่!J683"")+IMPORTRANGE("""&amp;"https://docs.google.com/spreadsheets/d/1Wbcosgy-Xa1xXUArJSOenub6EfZHUSzc_bpJFWwQUf0/edit?usp=share_link"",""แม่ฮ่องสอน!J683"")+IMPORTRANGE(""https://docs.google.com/spreadsheets/d/1p7ERhsr0qZeSn-KSOdeHS9r0heI-lHtkcn2OH7hP0jQ/edit?usp=share_link"",""ลำปาง!"&amp;"J683"")+IMPORTRANGE(""https://docs.google.com/spreadsheets/d/1-uUXvimVhiU2U0bMN-xi2te0tS4X7DI2GLPnMjzl8cA/edit?usp=share_link"",""ลำพูน!J683"")+IMPORTRANGE(""https://docs.google.com/spreadsheets/d/17HrOaa5pBUI1onckFfumXB8xlg35qb2uBAFfF1D-Myo/edit?usp=shar"&amp;"e_link"",""สุโขทัย!J683"")+IMPORTRANGE(""https://docs.google.com/spreadsheets/d/1ubs5cl16eYL9gHbdHTJtmtYb9MGzHBs7CAphn8kNCgM/edit?usp=share_link"",""อุตรดิตถ์!J683"")+IMPORTRANGE(""https://docs.google.com/spreadsheets/d/1kII0BjS6CtVrBvI8IrytgPdxDrlyQDyigz"&amp;"MsohRtDMs/edit?usp=share_link"",""อุทัยธานี!J683"")
"),0)</f>
        <v>0</v>
      </c>
      <c r="K683" s="38"/>
      <c r="L683" s="163"/>
      <c r="M683" s="163"/>
      <c r="N683" s="163"/>
      <c r="O683" s="163"/>
      <c r="P683" s="163"/>
      <c r="Q683" s="542"/>
      <c r="R683" s="542"/>
      <c r="S683" s="542"/>
      <c r="T683" s="542"/>
      <c r="U683" s="542"/>
      <c r="V683" s="542"/>
      <c r="W683" s="542"/>
      <c r="X683" s="542"/>
      <c r="Y683" s="542"/>
      <c r="Z683" s="542"/>
    </row>
    <row r="684" spans="1:26" ht="19.5">
      <c r="A684" s="719"/>
      <c r="B684" s="720" t="s">
        <v>293</v>
      </c>
      <c r="C684" s="719"/>
      <c r="D684" s="719"/>
      <c r="E684" s="719"/>
      <c r="F684" s="719"/>
      <c r="G684" s="721"/>
      <c r="H684" s="721"/>
      <c r="I684" s="722"/>
      <c r="J684" s="722"/>
      <c r="K684" s="723"/>
      <c r="L684" s="723"/>
      <c r="M684" s="723"/>
      <c r="N684" s="723"/>
      <c r="O684" s="723"/>
      <c r="P684" s="723"/>
      <c r="Q684" s="542"/>
      <c r="R684" s="542"/>
      <c r="S684" s="542"/>
      <c r="T684" s="542"/>
      <c r="U684" s="542"/>
      <c r="V684" s="542"/>
      <c r="W684" s="542"/>
      <c r="X684" s="542"/>
      <c r="Y684" s="542"/>
      <c r="Z684" s="542"/>
    </row>
    <row r="685" spans="1:26" ht="19.5">
      <c r="A685" s="562"/>
      <c r="B685" s="540"/>
      <c r="C685" s="540" t="s">
        <v>16</v>
      </c>
      <c r="D685" s="1484" t="s">
        <v>17</v>
      </c>
      <c r="E685" s="1485"/>
      <c r="F685" s="1485"/>
      <c r="G685" s="189"/>
      <c r="H685" s="563" t="s">
        <v>12</v>
      </c>
      <c r="I685" s="37"/>
      <c r="J685" s="37"/>
      <c r="K685" s="38"/>
      <c r="L685" s="195">
        <f t="shared" ref="L685:N685" ca="1" si="322">L686+L687</f>
        <v>298560</v>
      </c>
      <c r="M685" s="195">
        <f t="shared" si="322"/>
        <v>0</v>
      </c>
      <c r="N685" s="195">
        <f t="shared" ca="1" si="322"/>
        <v>2000</v>
      </c>
      <c r="O685" s="195">
        <f t="shared" ref="O685:O688" ca="1" si="323">IF(L685&gt;0,N685*100/L685,0)</f>
        <v>0.66988210075026799</v>
      </c>
      <c r="P685" s="195">
        <f t="shared" ref="P685:P688" si="324">IF(M685&gt;0,N685*100/M685,0)</f>
        <v>0</v>
      </c>
      <c r="Q685" s="542"/>
      <c r="R685" s="542"/>
      <c r="S685" s="542"/>
      <c r="T685" s="542"/>
      <c r="U685" s="542"/>
      <c r="V685" s="542"/>
      <c r="W685" s="542"/>
      <c r="X685" s="542"/>
      <c r="Y685" s="542"/>
      <c r="Z685" s="542"/>
    </row>
    <row r="686" spans="1:26" ht="18.75" hidden="1">
      <c r="A686" s="564"/>
      <c r="B686" s="565"/>
      <c r="C686" s="565"/>
      <c r="D686" s="566"/>
      <c r="E686" s="567" t="s">
        <v>184</v>
      </c>
      <c r="F686" s="565"/>
      <c r="G686" s="568"/>
      <c r="H686" s="165" t="s">
        <v>12</v>
      </c>
      <c r="I686" s="44"/>
      <c r="J686" s="44"/>
      <c r="K686" s="45"/>
      <c r="L686" s="45">
        <f t="shared" ref="L686:N686" si="325">L689+L696</f>
        <v>0</v>
      </c>
      <c r="M686" s="45">
        <f t="shared" si="325"/>
        <v>0</v>
      </c>
      <c r="N686" s="45">
        <f t="shared" si="325"/>
        <v>0</v>
      </c>
      <c r="O686" s="45">
        <f t="shared" si="323"/>
        <v>0</v>
      </c>
      <c r="P686" s="45">
        <f t="shared" si="324"/>
        <v>0</v>
      </c>
      <c r="Q686" s="569"/>
      <c r="R686" s="569"/>
      <c r="S686" s="569"/>
      <c r="T686" s="569"/>
      <c r="U686" s="569"/>
      <c r="V686" s="569"/>
      <c r="W686" s="569"/>
      <c r="X686" s="569"/>
      <c r="Y686" s="569"/>
      <c r="Z686" s="569"/>
    </row>
    <row r="687" spans="1:26" ht="18.75" hidden="1">
      <c r="A687" s="564"/>
      <c r="B687" s="570"/>
      <c r="C687" s="565"/>
      <c r="D687" s="566"/>
      <c r="E687" s="567" t="s">
        <v>185</v>
      </c>
      <c r="F687" s="565"/>
      <c r="G687" s="568"/>
      <c r="H687" s="165" t="s">
        <v>12</v>
      </c>
      <c r="I687" s="44"/>
      <c r="J687" s="44"/>
      <c r="K687" s="45"/>
      <c r="L687" s="45">
        <f t="shared" ref="L687:N687" ca="1" si="326">L690+L697</f>
        <v>298560</v>
      </c>
      <c r="M687" s="45">
        <f t="shared" si="326"/>
        <v>0</v>
      </c>
      <c r="N687" s="45">
        <f t="shared" ca="1" si="326"/>
        <v>2000</v>
      </c>
      <c r="O687" s="45">
        <f t="shared" ca="1" si="323"/>
        <v>0.66988210075026799</v>
      </c>
      <c r="P687" s="45">
        <f t="shared" si="324"/>
        <v>0</v>
      </c>
      <c r="Q687" s="569"/>
      <c r="R687" s="569"/>
      <c r="S687" s="569"/>
      <c r="T687" s="569"/>
      <c r="U687" s="569"/>
      <c r="V687" s="569"/>
      <c r="W687" s="569"/>
      <c r="X687" s="569"/>
      <c r="Y687" s="569"/>
      <c r="Z687" s="569"/>
    </row>
    <row r="688" spans="1:26" ht="18.75">
      <c r="A688" s="562"/>
      <c r="B688" s="539"/>
      <c r="C688" s="540"/>
      <c r="D688" s="571" t="s">
        <v>20</v>
      </c>
      <c r="E688" s="540"/>
      <c r="F688" s="540"/>
      <c r="G688" s="189"/>
      <c r="H688" s="161" t="s">
        <v>12</v>
      </c>
      <c r="I688" s="162"/>
      <c r="J688" s="162"/>
      <c r="K688" s="163"/>
      <c r="L688" s="38">
        <f t="shared" ref="L688:N688" ca="1" si="327">L689+L690</f>
        <v>298560</v>
      </c>
      <c r="M688" s="38">
        <f t="shared" si="327"/>
        <v>0</v>
      </c>
      <c r="N688" s="38">
        <f t="shared" ca="1" si="327"/>
        <v>2000</v>
      </c>
      <c r="O688" s="38">
        <f t="shared" ca="1" si="323"/>
        <v>0.66988210075026799</v>
      </c>
      <c r="P688" s="38">
        <f t="shared" si="324"/>
        <v>0</v>
      </c>
      <c r="Q688" s="542"/>
      <c r="R688" s="542"/>
      <c r="S688" s="542"/>
      <c r="T688" s="542"/>
      <c r="U688" s="542"/>
      <c r="V688" s="542"/>
      <c r="W688" s="542"/>
      <c r="X688" s="542"/>
      <c r="Y688" s="542"/>
      <c r="Z688" s="542"/>
    </row>
    <row r="689" spans="1:26" ht="18.75" hidden="1">
      <c r="A689" s="564"/>
      <c r="B689" s="570"/>
      <c r="C689" s="565"/>
      <c r="D689" s="566"/>
      <c r="E689" s="567" t="s">
        <v>184</v>
      </c>
      <c r="F689" s="565"/>
      <c r="G689" s="568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69"/>
      <c r="R689" s="569"/>
      <c r="S689" s="569"/>
      <c r="T689" s="569"/>
      <c r="U689" s="569"/>
      <c r="V689" s="569"/>
      <c r="W689" s="569"/>
      <c r="X689" s="569"/>
      <c r="Y689" s="569"/>
      <c r="Z689" s="569"/>
    </row>
    <row r="690" spans="1:26" ht="18.75" hidden="1">
      <c r="A690" s="564"/>
      <c r="B690" s="570"/>
      <c r="C690" s="565"/>
      <c r="D690" s="566"/>
      <c r="E690" s="567" t="s">
        <v>185</v>
      </c>
      <c r="F690" s="565"/>
      <c r="G690" s="568"/>
      <c r="H690" s="165" t="s">
        <v>12</v>
      </c>
      <c r="I690" s="44"/>
      <c r="J690" s="44"/>
      <c r="K690" s="45"/>
      <c r="L690" s="45">
        <f ca="1">IFERROR(__xludf.DUMMYFUNCTION("IMPORTRANGE(""https://docs.google.com/spreadsheets/d/1KxicF4apzSqm0-jIpmueT4kyZtE-Cwn5zskl7GD4loQ/edit?usp=share_link"",""กำแพงเพชร!l690"")+IMPORTRANGE(""https://docs.google.com/spreadsheets/d/1ZNYWeiFoFA1K1U4xKWqRX29MBvEyRHXORjo734Gnq_c/edit?usp=share_li"&amp;"nk"",""เชียงราย!l690"")
+IMPORTRANGE(""https://docs.google.com/spreadsheets/d/1Jgv0Y7YlHDtsiDawwp-uvifEJ8HVaSn0k2aGHG8-hwM/edit?usp=share_link"",""เชียงใหม่!l690"")+IMPORTRANGE(""https://docs.google.com/spreadsheets/d/1JWG2rZePOz9pe-f-ObA-yDr0VoOX2kSb0qIi"&amp;"x2mTUo8/edit?usp=share_link"",""ตาก!l690"")+IMPORTRANGE(""https://docs.google.com/spreadsheets/d/10nSRjK08hx8Y6HgSOQKNw81lyY46Zc7U_Cj72hBMp9U/edit?usp=share_link"",""นครสวรรค์!l690"")+IMPORTRANGE(""https://docs.google.com/spreadsheets/d/1gFVb7qd7amutrIxAA"&amp;"oM7lcy35hllxznovot8lyOfvDo/edit?usp=share_link"",""น่าน!l690"")+IMPORTRANGE(""https://docs.google.com/spreadsheets/d/1K0Aa9s-6EuHE5M0FG1F9aHLXRCOV917xvycTdLdct0w/edit?usp=share_link"",""พะเยา!l690"")+IMPORTRANGE(""https://docs.google.com/spreadsheets/d/1Y"&amp;"9LPKx95PyL5OKy09d-KbKJSuuEZCFdkhYjwC0XQjBA/edit?usp=share_link"",""พิจิตร!l690"")+IMPORTRANGE(""https://docs.google.com/spreadsheets/d/16OMuOwy2eVqZcYWOouQtTpa8X1L23h4660uVHc0C8os/edit?usp=share_link"",""พิษณุโลก!l690"")+IMPORTRANGE(""https://docs.google."&amp;"com/spreadsheets/d/1GfgTldLG6k77HXaMQzaafODklYuucJZQNs_GAPEfZyY/edit?usp=share_link"",""เพชรบูรณ์!l690"")+IMPORTRANGE(""https://docs.google.com/spreadsheets/d/1gvTMYAnm7v1yG1BKWFtr0DnaTsq59oW9dwWvFgq6hs0/edit?usp=share_link"",""แพร่!l690"")+IMPORTRANGE("""&amp;"https://docs.google.com/spreadsheets/d/1Wbcosgy-Xa1xXUArJSOenub6EfZHUSzc_bpJFWwQUf0/edit?usp=share_link"",""แม่ฮ่องสอน!l690"")+IMPORTRANGE(""https://docs.google.com/spreadsheets/d/1p7ERhsr0qZeSn-KSOdeHS9r0heI-lHtkcn2OH7hP0jQ/edit?usp=share_link"",""ลำปาง!"&amp;"l690"")+IMPORTRANGE(""https://docs.google.com/spreadsheets/d/1-uUXvimVhiU2U0bMN-xi2te0tS4X7DI2GLPnMjzl8cA/edit?usp=share_link"",""ลำพูน!l690"")+IMPORTRANGE(""https://docs.google.com/spreadsheets/d/17HrOaa5pBUI1onckFfumXB8xlg35qb2uBAFfF1D-Myo/edit?usp=shar"&amp;"e_link"",""สุโขทัย!l690"")+IMPORTRANGE(""https://docs.google.com/spreadsheets/d/1ubs5cl16eYL9gHbdHTJtmtYb9MGzHBs7CAphn8kNCgM/edit?usp=share_link"",""อุตรดิตถ์!l690"")+IMPORTRANGE(""https://docs.google.com/spreadsheets/d/1kII0BjS6CtVrBvI8IrytgPdxDrlyQDyigz"&amp;"MsohRtDMs/edit?usp=share_link"",""อุทัยธานี!l690"")
"),298560)</f>
        <v>298560</v>
      </c>
      <c r="M690" s="93">
        <v>0</v>
      </c>
      <c r="N690" s="45">
        <f ca="1">N691+N692+N693+N694</f>
        <v>2000</v>
      </c>
      <c r="O690" s="45">
        <f ca="1">IF(L690&gt;0,N690*100/L690,0)</f>
        <v>0.66988210075026799</v>
      </c>
      <c r="P690" s="45">
        <f>IF(M690&gt;0,N690*100/M690,0)</f>
        <v>0</v>
      </c>
      <c r="Q690" s="569"/>
      <c r="R690" s="569"/>
      <c r="S690" s="569"/>
      <c r="T690" s="569"/>
      <c r="U690" s="569"/>
      <c r="V690" s="569"/>
      <c r="W690" s="569"/>
      <c r="X690" s="569"/>
      <c r="Y690" s="569"/>
      <c r="Z690" s="569"/>
    </row>
    <row r="691" spans="1:26" ht="18.75">
      <c r="A691" s="538"/>
      <c r="B691" s="539"/>
      <c r="C691" s="540"/>
      <c r="D691" s="540"/>
      <c r="E691" s="540"/>
      <c r="F691" s="541" t="s">
        <v>186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KxicF4apzSqm0-jIpmueT4kyZtE-Cwn5zskl7GD4loQ/edit?usp=share_link"",""กำแพงเพชร!n691"")+IMPORTRANGE(""https://docs.google.com/spreadsheets/d/1ZNYWeiFoFA1K1U4xKWqRX29MBvEyRHXORjo734Gnq_c/edit?usp=share_li"&amp;"nk"",""เชียงราย!n691"")
+IMPORTRANGE(""https://docs.google.com/spreadsheets/d/1Jgv0Y7YlHDtsiDawwp-uvifEJ8HVaSn0k2aGHG8-hwM/edit?usp=share_link"",""เชียงใหม่!n691"")+IMPORTRANGE(""https://docs.google.com/spreadsheets/d/1JWG2rZePOz9pe-f-ObA-yDr0VoOX2kSb0qIi"&amp;"x2mTUo8/edit?usp=share_link"",""ตาก!n691"")+IMPORTRANGE(""https://docs.google.com/spreadsheets/d/10nSRjK08hx8Y6HgSOQKNw81lyY46Zc7U_Cj72hBMp9U/edit?usp=share_link"",""นครสวรรค์!n691"")+IMPORTRANGE(""https://docs.google.com/spreadsheets/d/1gFVb7qd7amutrIxAA"&amp;"oM7lcy35hllxznovot8lyOfvDo/edit?usp=share_link"",""น่าน!n691"")+IMPORTRANGE(""https://docs.google.com/spreadsheets/d/1K0Aa9s-6EuHE5M0FG1F9aHLXRCOV917xvycTdLdct0w/edit?usp=share_link"",""พะเยา!n691"")+IMPORTRANGE(""https://docs.google.com/spreadsheets/d/1Y"&amp;"9LPKx95PyL5OKy09d-KbKJSuuEZCFdkhYjwC0XQjBA/edit?usp=share_link"",""พิจิตร!n691"")+IMPORTRANGE(""https://docs.google.com/spreadsheets/d/16OMuOwy2eVqZcYWOouQtTpa8X1L23h4660uVHc0C8os/edit?usp=share_link"",""พิษณุโลก!n691"")+IMPORTRANGE(""https://docs.google."&amp;"com/spreadsheets/d/1GfgTldLG6k77HXaMQzaafODklYuucJZQNs_GAPEfZyY/edit?usp=share_link"",""เพชรบูรณ์!n691"")+IMPORTRANGE(""https://docs.google.com/spreadsheets/d/1gvTMYAnm7v1yG1BKWFtr0DnaTsq59oW9dwWvFgq6hs0/edit?usp=share_link"",""แพร่!n691"")+IMPORTRANGE("""&amp;"https://docs.google.com/spreadsheets/d/1Wbcosgy-Xa1xXUArJSOenub6EfZHUSzc_bpJFWwQUf0/edit?usp=share_link"",""แม่ฮ่องสอน!n691"")+IMPORTRANGE(""https://docs.google.com/spreadsheets/d/1p7ERhsr0qZeSn-KSOdeHS9r0heI-lHtkcn2OH7hP0jQ/edit?usp=share_link"",""ลำปาง!"&amp;"n691"")+IMPORTRANGE(""https://docs.google.com/spreadsheets/d/1-uUXvimVhiU2U0bMN-xi2te0tS4X7DI2GLPnMjzl8cA/edit?usp=share_link"",""ลำพูน!n691"")+IMPORTRANGE(""https://docs.google.com/spreadsheets/d/17HrOaa5pBUI1onckFfumXB8xlg35qb2uBAFfF1D-Myo/edit?usp=shar"&amp;"e_link"",""สุโขทัย!n691"")+IMPORTRANGE(""https://docs.google.com/spreadsheets/d/1ubs5cl16eYL9gHbdHTJtmtYb9MGzHBs7CAphn8kNCgM/edit?usp=share_link"",""อุตรดิตถ์!n691"")+IMPORTRANGE(""https://docs.google.com/spreadsheets/d/1kII0BjS6CtVrBvI8IrytgPdxDrlyQDyigz"&amp;"MsohRtDMs/edit?usp=share_link"",""อุทัยธานี!n691"")
"),0)</f>
        <v>0</v>
      </c>
      <c r="O691" s="38"/>
      <c r="P691" s="38"/>
      <c r="Q691" s="542"/>
      <c r="R691" s="542"/>
      <c r="S691" s="542"/>
      <c r="T691" s="542"/>
      <c r="U691" s="542"/>
      <c r="V691" s="542"/>
      <c r="W691" s="542"/>
      <c r="X691" s="542"/>
      <c r="Y691" s="542"/>
      <c r="Z691" s="542"/>
    </row>
    <row r="692" spans="1:26" ht="18.75">
      <c r="A692" s="538"/>
      <c r="B692" s="539"/>
      <c r="C692" s="540"/>
      <c r="D692" s="540"/>
      <c r="E692" s="540"/>
      <c r="F692" s="541" t="s">
        <v>187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KxicF4apzSqm0-jIpmueT4kyZtE-Cwn5zskl7GD4loQ/edit?usp=share_link"",""กำแพงเพชร!n692"")+IMPORTRANGE(""https://docs.google.com/spreadsheets/d/1ZNYWeiFoFA1K1U4xKWqRX29MBvEyRHXORjo734Gnq_c/edit?usp=share_li"&amp;"nk"",""เชียงราย!n692"")
+IMPORTRANGE(""https://docs.google.com/spreadsheets/d/1Jgv0Y7YlHDtsiDawwp-uvifEJ8HVaSn0k2aGHG8-hwM/edit?usp=share_link"",""เชียงใหม่!n692"")+IMPORTRANGE(""https://docs.google.com/spreadsheets/d/1JWG2rZePOz9pe-f-ObA-yDr0VoOX2kSb0qIi"&amp;"x2mTUo8/edit?usp=share_link"",""ตาก!n692"")+IMPORTRANGE(""https://docs.google.com/spreadsheets/d/10nSRjK08hx8Y6HgSOQKNw81lyY46Zc7U_Cj72hBMp9U/edit?usp=share_link"",""นครสวรรค์!n692"")+IMPORTRANGE(""https://docs.google.com/spreadsheets/d/1gFVb7qd7amutrIxAA"&amp;"oM7lcy35hllxznovot8lyOfvDo/edit?usp=share_link"",""น่าน!n692"")+IMPORTRANGE(""https://docs.google.com/spreadsheets/d/1K0Aa9s-6EuHE5M0FG1F9aHLXRCOV917xvycTdLdct0w/edit?usp=share_link"",""พะเยา!n692"")+IMPORTRANGE(""https://docs.google.com/spreadsheets/d/1Y"&amp;"9LPKx95PyL5OKy09d-KbKJSuuEZCFdkhYjwC0XQjBA/edit?usp=share_link"",""พิจิตร!n692"")+IMPORTRANGE(""https://docs.google.com/spreadsheets/d/16OMuOwy2eVqZcYWOouQtTpa8X1L23h4660uVHc0C8os/edit?usp=share_link"",""พิษณุโลก!n692"")+IMPORTRANGE(""https://docs.google."&amp;"com/spreadsheets/d/1GfgTldLG6k77HXaMQzaafODklYuucJZQNs_GAPEfZyY/edit?usp=share_link"",""เพชรบูรณ์!n692"")+IMPORTRANGE(""https://docs.google.com/spreadsheets/d/1gvTMYAnm7v1yG1BKWFtr0DnaTsq59oW9dwWvFgq6hs0/edit?usp=share_link"",""แพร่!n692"")+IMPORTRANGE("""&amp;"https://docs.google.com/spreadsheets/d/1Wbcosgy-Xa1xXUArJSOenub6EfZHUSzc_bpJFWwQUf0/edit?usp=share_link"",""แม่ฮ่องสอน!n692"")+IMPORTRANGE(""https://docs.google.com/spreadsheets/d/1p7ERhsr0qZeSn-KSOdeHS9r0heI-lHtkcn2OH7hP0jQ/edit?usp=share_link"",""ลำปาง!"&amp;"n692"")+IMPORTRANGE(""https://docs.google.com/spreadsheets/d/1-uUXvimVhiU2U0bMN-xi2te0tS4X7DI2GLPnMjzl8cA/edit?usp=share_link"",""ลำพูน!n692"")+IMPORTRANGE(""https://docs.google.com/spreadsheets/d/17HrOaa5pBUI1onckFfumXB8xlg35qb2uBAFfF1D-Myo/edit?usp=shar"&amp;"e_link"",""สุโขทัย!n692"")+IMPORTRANGE(""https://docs.google.com/spreadsheets/d/1ubs5cl16eYL9gHbdHTJtmtYb9MGzHBs7CAphn8kNCgM/edit?usp=share_link"",""อุตรดิตถ์!n692"")+IMPORTRANGE(""https://docs.google.com/spreadsheets/d/1kII0BjS6CtVrBvI8IrytgPdxDrlyQDyigz"&amp;"MsohRtDMs/edit?usp=share_link"",""อุทัยธานี!n692"")
"),0)</f>
        <v>0</v>
      </c>
      <c r="O692" s="38"/>
      <c r="P692" s="38"/>
      <c r="Q692" s="542"/>
      <c r="R692" s="542"/>
      <c r="S692" s="542"/>
      <c r="T692" s="542"/>
      <c r="U692" s="542"/>
      <c r="V692" s="542"/>
      <c r="W692" s="542"/>
      <c r="X692" s="542"/>
      <c r="Y692" s="542"/>
      <c r="Z692" s="542"/>
    </row>
    <row r="693" spans="1:26" ht="18.75">
      <c r="A693" s="538"/>
      <c r="B693" s="539"/>
      <c r="C693" s="540"/>
      <c r="D693" s="540"/>
      <c r="E693" s="540"/>
      <c r="F693" s="541" t="s">
        <v>188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KxicF4apzSqm0-jIpmueT4kyZtE-Cwn5zskl7GD4loQ/edit?usp=share_link"",""กำแพงเพชร!n693"")+IMPORTRANGE(""https://docs.google.com/spreadsheets/d/1ZNYWeiFoFA1K1U4xKWqRX29MBvEyRHXORjo734Gnq_c/edit?usp=share_li"&amp;"nk"",""เชียงราย!n693"")
+IMPORTRANGE(""https://docs.google.com/spreadsheets/d/1Jgv0Y7YlHDtsiDawwp-uvifEJ8HVaSn0k2aGHG8-hwM/edit?usp=share_link"",""เชียงใหม่!n693"")+IMPORTRANGE(""https://docs.google.com/spreadsheets/d/1JWG2rZePOz9pe-f-ObA-yDr0VoOX2kSb0qIi"&amp;"x2mTUo8/edit?usp=share_link"",""ตาก!n693"")+IMPORTRANGE(""https://docs.google.com/spreadsheets/d/10nSRjK08hx8Y6HgSOQKNw81lyY46Zc7U_Cj72hBMp9U/edit?usp=share_link"",""นครสวรรค์!n693"")+IMPORTRANGE(""https://docs.google.com/spreadsheets/d/1gFVb7qd7amutrIxAA"&amp;"oM7lcy35hllxznovot8lyOfvDo/edit?usp=share_link"",""น่าน!n693"")+IMPORTRANGE(""https://docs.google.com/spreadsheets/d/1K0Aa9s-6EuHE5M0FG1F9aHLXRCOV917xvycTdLdct0w/edit?usp=share_link"",""พะเยา!n693"")+IMPORTRANGE(""https://docs.google.com/spreadsheets/d/1Y"&amp;"9LPKx95PyL5OKy09d-KbKJSuuEZCFdkhYjwC0XQjBA/edit?usp=share_link"",""พิจิตร!n693"")+IMPORTRANGE(""https://docs.google.com/spreadsheets/d/16OMuOwy2eVqZcYWOouQtTpa8X1L23h4660uVHc0C8os/edit?usp=share_link"",""พิษณุโลก!n693"")+IMPORTRANGE(""https://docs.google."&amp;"com/spreadsheets/d/1GfgTldLG6k77HXaMQzaafODklYuucJZQNs_GAPEfZyY/edit?usp=share_link"",""เพชรบูรณ์!n693"")+IMPORTRANGE(""https://docs.google.com/spreadsheets/d/1gvTMYAnm7v1yG1BKWFtr0DnaTsq59oW9dwWvFgq6hs0/edit?usp=share_link"",""แพร่!n693"")+IMPORTRANGE("""&amp;"https://docs.google.com/spreadsheets/d/1Wbcosgy-Xa1xXUArJSOenub6EfZHUSzc_bpJFWwQUf0/edit?usp=share_link"",""แม่ฮ่องสอน!n693"")+IMPORTRANGE(""https://docs.google.com/spreadsheets/d/1p7ERhsr0qZeSn-KSOdeHS9r0heI-lHtkcn2OH7hP0jQ/edit?usp=share_link"",""ลำปาง!"&amp;"n693"")+IMPORTRANGE(""https://docs.google.com/spreadsheets/d/1-uUXvimVhiU2U0bMN-xi2te0tS4X7DI2GLPnMjzl8cA/edit?usp=share_link"",""ลำพูน!n693"")+IMPORTRANGE(""https://docs.google.com/spreadsheets/d/17HrOaa5pBUI1onckFfumXB8xlg35qb2uBAFfF1D-Myo/edit?usp=shar"&amp;"e_link"",""สุโขทัย!n693"")+IMPORTRANGE(""https://docs.google.com/spreadsheets/d/1ubs5cl16eYL9gHbdHTJtmtYb9MGzHBs7CAphn8kNCgM/edit?usp=share_link"",""อุตรดิตถ์!n693"")+IMPORTRANGE(""https://docs.google.com/spreadsheets/d/1kII0BjS6CtVrBvI8IrytgPdxDrlyQDyigz"&amp;"MsohRtDMs/edit?usp=share_link"",""อุทัยธานี!n693"")
"),0)</f>
        <v>0</v>
      </c>
      <c r="O693" s="38"/>
      <c r="P693" s="38"/>
      <c r="Q693" s="542"/>
      <c r="R693" s="542"/>
      <c r="S693" s="542"/>
      <c r="T693" s="542"/>
      <c r="U693" s="542"/>
      <c r="V693" s="542"/>
      <c r="W693" s="542"/>
      <c r="X693" s="542"/>
      <c r="Y693" s="542"/>
      <c r="Z693" s="542"/>
    </row>
    <row r="694" spans="1:26" ht="18.75">
      <c r="A694" s="538"/>
      <c r="B694" s="539"/>
      <c r="C694" s="540"/>
      <c r="D694" s="540"/>
      <c r="E694" s="540"/>
      <c r="F694" s="541" t="s">
        <v>189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KxicF4apzSqm0-jIpmueT4kyZtE-Cwn5zskl7GD4loQ/edit?usp=share_link"",""กำแพงเพชร!n694"")+IMPORTRANGE(""https://docs.google.com/spreadsheets/d/1ZNYWeiFoFA1K1U4xKWqRX29MBvEyRHXORjo734Gnq_c/edit?usp=share_li"&amp;"nk"",""เชียงราย!n694"")
+IMPORTRANGE(""https://docs.google.com/spreadsheets/d/1Jgv0Y7YlHDtsiDawwp-uvifEJ8HVaSn0k2aGHG8-hwM/edit?usp=share_link"",""เชียงใหม่!n694"")+IMPORTRANGE(""https://docs.google.com/spreadsheets/d/1JWG2rZePOz9pe-f-ObA-yDr0VoOX2kSb0qIi"&amp;"x2mTUo8/edit?usp=share_link"",""ตาก!n694"")+IMPORTRANGE(""https://docs.google.com/spreadsheets/d/10nSRjK08hx8Y6HgSOQKNw81lyY46Zc7U_Cj72hBMp9U/edit?usp=share_link"",""นครสวรรค์!n694"")+IMPORTRANGE(""https://docs.google.com/spreadsheets/d/1gFVb7qd7amutrIxAA"&amp;"oM7lcy35hllxznovot8lyOfvDo/edit?usp=share_link"",""น่าน!n694"")+IMPORTRANGE(""https://docs.google.com/spreadsheets/d/1K0Aa9s-6EuHE5M0FG1F9aHLXRCOV917xvycTdLdct0w/edit?usp=share_link"",""พะเยา!n694"")+IMPORTRANGE(""https://docs.google.com/spreadsheets/d/1Y"&amp;"9LPKx95PyL5OKy09d-KbKJSuuEZCFdkhYjwC0XQjBA/edit?usp=share_link"",""พิจิตร!n694"")+IMPORTRANGE(""https://docs.google.com/spreadsheets/d/16OMuOwy2eVqZcYWOouQtTpa8X1L23h4660uVHc0C8os/edit?usp=share_link"",""พิษณุโลก!n694"")+IMPORTRANGE(""https://docs.google."&amp;"com/spreadsheets/d/1GfgTldLG6k77HXaMQzaafODklYuucJZQNs_GAPEfZyY/edit?usp=share_link"",""เพชรบูรณ์!n694"")+IMPORTRANGE(""https://docs.google.com/spreadsheets/d/1gvTMYAnm7v1yG1BKWFtr0DnaTsq59oW9dwWvFgq6hs0/edit?usp=share_link"",""แพร่!n694"")+IMPORTRANGE("""&amp;"https://docs.google.com/spreadsheets/d/1Wbcosgy-Xa1xXUArJSOenub6EfZHUSzc_bpJFWwQUf0/edit?usp=share_link"",""แม่ฮ่องสอน!n694"")+IMPORTRANGE(""https://docs.google.com/spreadsheets/d/1p7ERhsr0qZeSn-KSOdeHS9r0heI-lHtkcn2OH7hP0jQ/edit?usp=share_link"",""ลำปาง!"&amp;"n694"")+IMPORTRANGE(""https://docs.google.com/spreadsheets/d/1-uUXvimVhiU2U0bMN-xi2te0tS4X7DI2GLPnMjzl8cA/edit?usp=share_link"",""ลำพูน!n694"")+IMPORTRANGE(""https://docs.google.com/spreadsheets/d/17HrOaa5pBUI1onckFfumXB8xlg35qb2uBAFfF1D-Myo/edit?usp=shar"&amp;"e_link"",""สุโขทัย!n694"")+IMPORTRANGE(""https://docs.google.com/spreadsheets/d/1ubs5cl16eYL9gHbdHTJtmtYb9MGzHBs7CAphn8kNCgM/edit?usp=share_link"",""อุตรดิตถ์!n694"")+IMPORTRANGE(""https://docs.google.com/spreadsheets/d/1kII0BjS6CtVrBvI8IrytgPdxDrlyQDyigz"&amp;"MsohRtDMs/edit?usp=share_link"",""อุทัยธานี!n694"")
"),2000)</f>
        <v>2000</v>
      </c>
      <c r="O694" s="38"/>
      <c r="P694" s="38"/>
      <c r="Q694" s="542"/>
      <c r="R694" s="542"/>
      <c r="S694" s="542"/>
      <c r="T694" s="542"/>
      <c r="U694" s="542"/>
      <c r="V694" s="542"/>
      <c r="W694" s="542"/>
      <c r="X694" s="542"/>
      <c r="Y694" s="542"/>
      <c r="Z694" s="542"/>
    </row>
    <row r="695" spans="1:26" ht="18.75">
      <c r="A695" s="562"/>
      <c r="B695" s="539"/>
      <c r="C695" s="540"/>
      <c r="D695" s="724" t="s">
        <v>21</v>
      </c>
      <c r="E695" s="540"/>
      <c r="F695" s="540"/>
      <c r="G695" s="189"/>
      <c r="H695" s="168" t="s">
        <v>12</v>
      </c>
      <c r="I695" s="162"/>
      <c r="J695" s="162"/>
      <c r="K695" s="163"/>
      <c r="L695" s="38">
        <f t="shared" ref="L695:N695" si="328">L696+L697</f>
        <v>0</v>
      </c>
      <c r="M695" s="38">
        <f t="shared" si="328"/>
        <v>0</v>
      </c>
      <c r="N695" s="38">
        <f t="shared" si="328"/>
        <v>0</v>
      </c>
      <c r="O695" s="38">
        <f t="shared" ref="O695:O697" si="329">IF(L695&gt;0,N695*100/L695,0)</f>
        <v>0</v>
      </c>
      <c r="P695" s="38">
        <f t="shared" ref="P695:P697" si="330">IF(M695&gt;0,N695*100/M695,0)</f>
        <v>0</v>
      </c>
      <c r="Q695" s="542"/>
      <c r="R695" s="542"/>
      <c r="S695" s="542"/>
      <c r="T695" s="542"/>
      <c r="U695" s="542"/>
      <c r="V695" s="542"/>
      <c r="W695" s="542"/>
      <c r="X695" s="542"/>
      <c r="Y695" s="542"/>
      <c r="Z695" s="542"/>
    </row>
    <row r="696" spans="1:26" ht="18.75" hidden="1">
      <c r="A696" s="564"/>
      <c r="B696" s="570"/>
      <c r="C696" s="565"/>
      <c r="D696" s="565"/>
      <c r="E696" s="725" t="s">
        <v>18</v>
      </c>
      <c r="F696" s="565"/>
      <c r="G696" s="56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9"/>
        <v>0</v>
      </c>
      <c r="P696" s="45">
        <f t="shared" si="330"/>
        <v>0</v>
      </c>
      <c r="Q696" s="569"/>
      <c r="R696" s="569"/>
      <c r="S696" s="569"/>
      <c r="T696" s="569"/>
      <c r="U696" s="569"/>
      <c r="V696" s="569"/>
      <c r="W696" s="569"/>
      <c r="X696" s="569"/>
      <c r="Y696" s="569"/>
      <c r="Z696" s="569"/>
    </row>
    <row r="697" spans="1:26" ht="18.75" hidden="1">
      <c r="A697" s="564"/>
      <c r="B697" s="570"/>
      <c r="C697" s="565"/>
      <c r="D697" s="565"/>
      <c r="E697" s="725" t="s">
        <v>19</v>
      </c>
      <c r="F697" s="565"/>
      <c r="G697" s="56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9"/>
        <v>0</v>
      </c>
      <c r="P697" s="45">
        <f t="shared" si="330"/>
        <v>0</v>
      </c>
      <c r="Q697" s="569"/>
      <c r="R697" s="569"/>
      <c r="S697" s="569"/>
      <c r="T697" s="569"/>
      <c r="U697" s="569"/>
      <c r="V697" s="569"/>
      <c r="W697" s="569"/>
      <c r="X697" s="569"/>
      <c r="Y697" s="569"/>
      <c r="Z697" s="569"/>
    </row>
    <row r="698" spans="1:26" ht="19.5">
      <c r="A698" s="573"/>
      <c r="B698" s="574"/>
      <c r="C698" s="540" t="s">
        <v>16</v>
      </c>
      <c r="D698" s="726" t="s">
        <v>38</v>
      </c>
      <c r="E698" s="727"/>
      <c r="F698" s="577"/>
      <c r="G698" s="578"/>
      <c r="H698" s="728"/>
      <c r="I698" s="162"/>
      <c r="J698" s="162"/>
      <c r="K698" s="163"/>
      <c r="L698" s="163"/>
      <c r="M698" s="163"/>
      <c r="N698" s="163"/>
      <c r="O698" s="163"/>
      <c r="P698" s="163"/>
      <c r="Q698" s="542"/>
      <c r="R698" s="542"/>
      <c r="S698" s="542"/>
      <c r="T698" s="542"/>
      <c r="U698" s="542"/>
      <c r="V698" s="542"/>
      <c r="W698" s="542"/>
      <c r="X698" s="542"/>
      <c r="Y698" s="542"/>
      <c r="Z698" s="542"/>
    </row>
    <row r="699" spans="1:26" ht="18.75">
      <c r="A699" s="710"/>
      <c r="B699" s="540"/>
      <c r="C699" s="540"/>
      <c r="D699" s="541" t="s">
        <v>294</v>
      </c>
      <c r="E699" s="729"/>
      <c r="F699" s="540"/>
      <c r="G699" s="189"/>
      <c r="H699" s="730" t="s">
        <v>46</v>
      </c>
      <c r="I699" s="731">
        <f ca="1">IFERROR(__xludf.DUMMYFUNCTION("IMPORTRANGE(""https://docs.google.com/spreadsheets/d/1KxicF4apzSqm0-jIpmueT4kyZtE-Cwn5zskl7GD4loQ/edit?usp=share_link"",""กำแพงเพชร!I699"")+IMPORTRANGE(""https://docs.google.com/spreadsheets/d/1ZNYWeiFoFA1K1U4xKWqRX29MBvEyRHXORjo734Gnq_c/edit?usp=share_li"&amp;"nk"",""เชียงราย!I699"")
+IMPORTRANGE(""https://docs.google.com/spreadsheets/d/1Jgv0Y7YlHDtsiDawwp-uvifEJ8HVaSn0k2aGHG8-hwM/edit?usp=share_link"",""เชียงใหม่!I699"")+IMPORTRANGE(""https://docs.google.com/spreadsheets/d/1JWG2rZePOz9pe-f-ObA-yDr0VoOX2kSb0qIi"&amp;"x2mTUo8/edit?usp=share_link"",""ตาก!I699"")+IMPORTRANGE(""https://docs.google.com/spreadsheets/d/10nSRjK08hx8Y6HgSOQKNw81lyY46Zc7U_Cj72hBMp9U/edit?usp=share_link"",""นครสวรรค์!I699"")+IMPORTRANGE(""https://docs.google.com/spreadsheets/d/1gFVb7qd7amutrIxAA"&amp;"oM7lcy35hllxznovot8lyOfvDo/edit?usp=share_link"",""น่าน!I699"")+IMPORTRANGE(""https://docs.google.com/spreadsheets/d/1K0Aa9s-6EuHE5M0FG1F9aHLXRCOV917xvycTdLdct0w/edit?usp=share_link"",""พะเยา!I699"")+IMPORTRANGE(""https://docs.google.com/spreadsheets/d/1Y"&amp;"9LPKx95PyL5OKy09d-KbKJSuuEZCFdkhYjwC0XQjBA/edit?usp=share_link"",""พิจิตร!I699"")+IMPORTRANGE(""https://docs.google.com/spreadsheets/d/16OMuOwy2eVqZcYWOouQtTpa8X1L23h4660uVHc0C8os/edit?usp=share_link"",""พิษณุโลก!I699"")+IMPORTRANGE(""https://docs.google."&amp;"com/spreadsheets/d/1GfgTldLG6k77HXaMQzaafODklYuucJZQNs_GAPEfZyY/edit?usp=share_link"",""เพชรบูรณ์!I699"")+IMPORTRANGE(""https://docs.google.com/spreadsheets/d/1gvTMYAnm7v1yG1BKWFtr0DnaTsq59oW9dwWvFgq6hs0/edit?usp=share_link"",""แพร่!I699"")+IMPORTRANGE("""&amp;"https://docs.google.com/spreadsheets/d/1Wbcosgy-Xa1xXUArJSOenub6EfZHUSzc_bpJFWwQUf0/edit?usp=share_link"",""แม่ฮ่องสอน!I699"")+IMPORTRANGE(""https://docs.google.com/spreadsheets/d/1p7ERhsr0qZeSn-KSOdeHS9r0heI-lHtkcn2OH7hP0jQ/edit?usp=share_link"",""ลำปาง!"&amp;"I699"")+IMPORTRANGE(""https://docs.google.com/spreadsheets/d/1-uUXvimVhiU2U0bMN-xi2te0tS4X7DI2GLPnMjzl8cA/edit?usp=share_link"",""ลำพูน!I699"")+IMPORTRANGE(""https://docs.google.com/spreadsheets/d/17HrOaa5pBUI1onckFfumXB8xlg35qb2uBAFfF1D-Myo/edit?usp=shar"&amp;"e_link"",""สุโขทัย!I699"")+IMPORTRANGE(""https://docs.google.com/spreadsheets/d/1ubs5cl16eYL9gHbdHTJtmtYb9MGzHBs7CAphn8kNCgM/edit?usp=share_link"",""อุตรดิตถ์!I699"")+IMPORTRANGE(""https://docs.google.com/spreadsheets/d/1kII0BjS6CtVrBvI8IrytgPdxDrlyQDyigz"&amp;"MsohRtDMs/edit?usp=share_link"",""อุทัยธานี!I699"")
"),118)</f>
        <v>118</v>
      </c>
      <c r="J699" s="37">
        <f ca="1">IFERROR(__xludf.DUMMYFUNCTION("IMPORTRANGE(""https://docs.google.com/spreadsheets/d/1KxicF4apzSqm0-jIpmueT4kyZtE-Cwn5zskl7GD4loQ/edit?usp=share_link"",""กำแพงเพชร!J699"")+IMPORTRANGE(""https://docs.google.com/spreadsheets/d/1ZNYWeiFoFA1K1U4xKWqRX29MBvEyRHXORjo734Gnq_c/edit?usp=share_li"&amp;"nk"",""เชียงราย!J699"")
+IMPORTRANGE(""https://docs.google.com/spreadsheets/d/1Jgv0Y7YlHDtsiDawwp-uvifEJ8HVaSn0k2aGHG8-hwM/edit?usp=share_link"",""เชียงใหม่!J699"")+IMPORTRANGE(""https://docs.google.com/spreadsheets/d/1JWG2rZePOz9pe-f-ObA-yDr0VoOX2kSb0qIi"&amp;"x2mTUo8/edit?usp=share_link"",""ตาก!J699"")+IMPORTRANGE(""https://docs.google.com/spreadsheets/d/10nSRjK08hx8Y6HgSOQKNw81lyY46Zc7U_Cj72hBMp9U/edit?usp=share_link"",""นครสวรรค์!J699"")+IMPORTRANGE(""https://docs.google.com/spreadsheets/d/1gFVb7qd7amutrIxAA"&amp;"oM7lcy35hllxznovot8lyOfvDo/edit?usp=share_link"",""น่าน!J699"")+IMPORTRANGE(""https://docs.google.com/spreadsheets/d/1K0Aa9s-6EuHE5M0FG1F9aHLXRCOV917xvycTdLdct0w/edit?usp=share_link"",""พะเยา!J699"")+IMPORTRANGE(""https://docs.google.com/spreadsheets/d/1Y"&amp;"9LPKx95PyL5OKy09d-KbKJSuuEZCFdkhYjwC0XQjBA/edit?usp=share_link"",""พิจิตร!J699"")+IMPORTRANGE(""https://docs.google.com/spreadsheets/d/16OMuOwy2eVqZcYWOouQtTpa8X1L23h4660uVHc0C8os/edit?usp=share_link"",""พิษณุโลก!J699"")+IMPORTRANGE(""https://docs.google."&amp;"com/spreadsheets/d/1GfgTldLG6k77HXaMQzaafODklYuucJZQNs_GAPEfZyY/edit?usp=share_link"",""เพชรบูรณ์!J699"")+IMPORTRANGE(""https://docs.google.com/spreadsheets/d/1gvTMYAnm7v1yG1BKWFtr0DnaTsq59oW9dwWvFgq6hs0/edit?usp=share_link"",""แพร่!J699"")+IMPORTRANGE("""&amp;"https://docs.google.com/spreadsheets/d/1Wbcosgy-Xa1xXUArJSOenub6EfZHUSzc_bpJFWwQUf0/edit?usp=share_link"",""แม่ฮ่องสอน!J699"")+IMPORTRANGE(""https://docs.google.com/spreadsheets/d/1p7ERhsr0qZeSn-KSOdeHS9r0heI-lHtkcn2OH7hP0jQ/edit?usp=share_link"",""ลำปาง!"&amp;"J699"")+IMPORTRANGE(""https://docs.google.com/spreadsheets/d/1-uUXvimVhiU2U0bMN-xi2te0tS4X7DI2GLPnMjzl8cA/edit?usp=share_link"",""ลำพูน!J699"")+IMPORTRANGE(""https://docs.google.com/spreadsheets/d/17HrOaa5pBUI1onckFfumXB8xlg35qb2uBAFfF1D-Myo/edit?usp=shar"&amp;"e_link"",""สุโขทัย!J699"")+IMPORTRANGE(""https://docs.google.com/spreadsheets/d/1ubs5cl16eYL9gHbdHTJtmtYb9MGzHBs7CAphn8kNCgM/edit?usp=share_link"",""อุตรดิตถ์!J699"")+IMPORTRANGE(""https://docs.google.com/spreadsheets/d/1kII0BjS6CtVrBvI8IrytgPdxDrlyQDyigz"&amp;"MsohRtDMs/edit?usp=share_link"",""อุทัยธานี!J699"")
"),0)</f>
        <v>0</v>
      </c>
      <c r="K699" s="38">
        <f t="shared" ref="K699:K701" ca="1" si="331">IF(I699&gt;0,J699*100/I699,0)</f>
        <v>0</v>
      </c>
      <c r="L699" s="38"/>
      <c r="M699" s="189"/>
      <c r="N699" s="732"/>
      <c r="O699" s="38"/>
      <c r="P699" s="38"/>
      <c r="Q699" s="542"/>
      <c r="R699" s="542"/>
      <c r="S699" s="542"/>
      <c r="T699" s="542"/>
      <c r="U699" s="542"/>
      <c r="V699" s="542"/>
      <c r="W699" s="542"/>
      <c r="X699" s="542"/>
      <c r="Y699" s="542"/>
      <c r="Z699" s="542"/>
    </row>
    <row r="700" spans="1:26" ht="18.75">
      <c r="A700" s="710"/>
      <c r="B700" s="540"/>
      <c r="C700" s="540"/>
      <c r="D700" s="541" t="s">
        <v>295</v>
      </c>
      <c r="E700" s="540"/>
      <c r="F700" s="540"/>
      <c r="G700" s="189"/>
      <c r="H700" s="730" t="s">
        <v>35</v>
      </c>
      <c r="I700" s="731">
        <f ca="1">IFERROR(__xludf.DUMMYFUNCTION("IMPORTRANGE(""https://docs.google.com/spreadsheets/d/1KxicF4apzSqm0-jIpmueT4kyZtE-Cwn5zskl7GD4loQ/edit?usp=share_link"",""กำแพงเพชร!I700"")+IMPORTRANGE(""https://docs.google.com/spreadsheets/d/1ZNYWeiFoFA1K1U4xKWqRX29MBvEyRHXORjo734Gnq_c/edit?usp=share_li"&amp;"nk"",""เชียงราย!I700"")
+IMPORTRANGE(""https://docs.google.com/spreadsheets/d/1Jgv0Y7YlHDtsiDawwp-uvifEJ8HVaSn0k2aGHG8-hwM/edit?usp=share_link"",""เชียงใหม่!I700"")+IMPORTRANGE(""https://docs.google.com/spreadsheets/d/1JWG2rZePOz9pe-f-ObA-yDr0VoOX2kSb0qIi"&amp;"x2mTUo8/edit?usp=share_link"",""ตาก!I700"")+IMPORTRANGE(""https://docs.google.com/spreadsheets/d/10nSRjK08hx8Y6HgSOQKNw81lyY46Zc7U_Cj72hBMp9U/edit?usp=share_link"",""นครสวรรค์!I700"")+IMPORTRANGE(""https://docs.google.com/spreadsheets/d/1gFVb7qd7amutrIxAA"&amp;"oM7lcy35hllxznovot8lyOfvDo/edit?usp=share_link"",""น่าน!I700"")+IMPORTRANGE(""https://docs.google.com/spreadsheets/d/1K0Aa9s-6EuHE5M0FG1F9aHLXRCOV917xvycTdLdct0w/edit?usp=share_link"",""พะเยา!I700"")+IMPORTRANGE(""https://docs.google.com/spreadsheets/d/1Y"&amp;"9LPKx95PyL5OKy09d-KbKJSuuEZCFdkhYjwC0XQjBA/edit?usp=share_link"",""พิจิตร!I700"")+IMPORTRANGE(""https://docs.google.com/spreadsheets/d/16OMuOwy2eVqZcYWOouQtTpa8X1L23h4660uVHc0C8os/edit?usp=share_link"",""พิษณุโลก!I700"")+IMPORTRANGE(""https://docs.google."&amp;"com/spreadsheets/d/1GfgTldLG6k77HXaMQzaafODklYuucJZQNs_GAPEfZyY/edit?usp=share_link"",""เพชรบูรณ์!I700"")+IMPORTRANGE(""https://docs.google.com/spreadsheets/d/1gvTMYAnm7v1yG1BKWFtr0DnaTsq59oW9dwWvFgq6hs0/edit?usp=share_link"",""แพร่!I700"")+IMPORTRANGE("""&amp;"https://docs.google.com/spreadsheets/d/1Wbcosgy-Xa1xXUArJSOenub6EfZHUSzc_bpJFWwQUf0/edit?usp=share_link"",""แม่ฮ่องสอน!I700"")+IMPORTRANGE(""https://docs.google.com/spreadsheets/d/1p7ERhsr0qZeSn-KSOdeHS9r0heI-lHtkcn2OH7hP0jQ/edit?usp=share_link"",""ลำปาง!"&amp;"I700"")+IMPORTRANGE(""https://docs.google.com/spreadsheets/d/1-uUXvimVhiU2U0bMN-xi2te0tS4X7DI2GLPnMjzl8cA/edit?usp=share_link"",""ลำพูน!I700"")+IMPORTRANGE(""https://docs.google.com/spreadsheets/d/17HrOaa5pBUI1onckFfumXB8xlg35qb2uBAFfF1D-Myo/edit?usp=shar"&amp;"e_link"",""สุโขทัย!I700"")+IMPORTRANGE(""https://docs.google.com/spreadsheets/d/1ubs5cl16eYL9gHbdHTJtmtYb9MGzHBs7CAphn8kNCgM/edit?usp=share_link"",""อุตรดิตถ์!I700"")+IMPORTRANGE(""https://docs.google.com/spreadsheets/d/1kII0BjS6CtVrBvI8IrytgPdxDrlyQDyigz"&amp;"MsohRtDMs/edit?usp=share_link"",""อุทัยธานี!I700"")
"),187)</f>
        <v>187</v>
      </c>
      <c r="J700" s="37">
        <f ca="1">IFERROR(__xludf.DUMMYFUNCTION("IMPORTRANGE(""https://docs.google.com/spreadsheets/d/1KxicF4apzSqm0-jIpmueT4kyZtE-Cwn5zskl7GD4loQ/edit?usp=share_link"",""กำแพงเพชร!J700"")+IMPORTRANGE(""https://docs.google.com/spreadsheets/d/1ZNYWeiFoFA1K1U4xKWqRX29MBvEyRHXORjo734Gnq_c/edit?usp=share_li"&amp;"nk"",""เชียงราย!J700"")
+IMPORTRANGE(""https://docs.google.com/spreadsheets/d/1Jgv0Y7YlHDtsiDawwp-uvifEJ8HVaSn0k2aGHG8-hwM/edit?usp=share_link"",""เชียงใหม่!J700"")+IMPORTRANGE(""https://docs.google.com/spreadsheets/d/1JWG2rZePOz9pe-f-ObA-yDr0VoOX2kSb0qIi"&amp;"x2mTUo8/edit?usp=share_link"",""ตาก!J700"")+IMPORTRANGE(""https://docs.google.com/spreadsheets/d/10nSRjK08hx8Y6HgSOQKNw81lyY46Zc7U_Cj72hBMp9U/edit?usp=share_link"",""นครสวรรค์!J700"")+IMPORTRANGE(""https://docs.google.com/spreadsheets/d/1gFVb7qd7amutrIxAA"&amp;"oM7lcy35hllxznovot8lyOfvDo/edit?usp=share_link"",""น่าน!J700"")+IMPORTRANGE(""https://docs.google.com/spreadsheets/d/1K0Aa9s-6EuHE5M0FG1F9aHLXRCOV917xvycTdLdct0w/edit?usp=share_link"",""พะเยา!J700"")+IMPORTRANGE(""https://docs.google.com/spreadsheets/d/1Y"&amp;"9LPKx95PyL5OKy09d-KbKJSuuEZCFdkhYjwC0XQjBA/edit?usp=share_link"",""พิจิตร!J700"")+IMPORTRANGE(""https://docs.google.com/spreadsheets/d/16OMuOwy2eVqZcYWOouQtTpa8X1L23h4660uVHc0C8os/edit?usp=share_link"",""พิษณุโลก!J700"")+IMPORTRANGE(""https://docs.google."&amp;"com/spreadsheets/d/1GfgTldLG6k77HXaMQzaafODklYuucJZQNs_GAPEfZyY/edit?usp=share_link"",""เพชรบูรณ์!J700"")+IMPORTRANGE(""https://docs.google.com/spreadsheets/d/1gvTMYAnm7v1yG1BKWFtr0DnaTsq59oW9dwWvFgq6hs0/edit?usp=share_link"",""แพร่!J700"")+IMPORTRANGE("""&amp;"https://docs.google.com/spreadsheets/d/1Wbcosgy-Xa1xXUArJSOenub6EfZHUSzc_bpJFWwQUf0/edit?usp=share_link"",""แม่ฮ่องสอน!J700"")+IMPORTRANGE(""https://docs.google.com/spreadsheets/d/1p7ERhsr0qZeSn-KSOdeHS9r0heI-lHtkcn2OH7hP0jQ/edit?usp=share_link"",""ลำปาง!"&amp;"J700"")+IMPORTRANGE(""https://docs.google.com/spreadsheets/d/1-uUXvimVhiU2U0bMN-xi2te0tS4X7DI2GLPnMjzl8cA/edit?usp=share_link"",""ลำพูน!J700"")+IMPORTRANGE(""https://docs.google.com/spreadsheets/d/17HrOaa5pBUI1onckFfumXB8xlg35qb2uBAFfF1D-Myo/edit?usp=shar"&amp;"e_link"",""สุโขทัย!J700"")+IMPORTRANGE(""https://docs.google.com/spreadsheets/d/1ubs5cl16eYL9gHbdHTJtmtYb9MGzHBs7CAphn8kNCgM/edit?usp=share_link"",""อุตรดิตถ์!J700"")+IMPORTRANGE(""https://docs.google.com/spreadsheets/d/1kII0BjS6CtVrBvI8IrytgPdxDrlyQDyigz"&amp;"MsohRtDMs/edit?usp=share_link"",""อุทัยธานี!J700"")
"),3)</f>
        <v>3</v>
      </c>
      <c r="K700" s="38">
        <f t="shared" ca="1" si="331"/>
        <v>1.6042780748663101</v>
      </c>
      <c r="L700" s="38"/>
      <c r="M700" s="189"/>
      <c r="N700" s="732"/>
      <c r="O700" s="38"/>
      <c r="P700" s="38"/>
      <c r="Q700" s="542"/>
      <c r="R700" s="542"/>
      <c r="S700" s="542"/>
      <c r="T700" s="542"/>
      <c r="U700" s="542"/>
      <c r="V700" s="542"/>
      <c r="W700" s="542"/>
      <c r="X700" s="542"/>
      <c r="Y700" s="542"/>
      <c r="Z700" s="542"/>
    </row>
    <row r="701" spans="1:26" ht="19.5">
      <c r="A701" s="710"/>
      <c r="B701" s="540"/>
      <c r="C701" s="540"/>
      <c r="D701" s="541" t="s">
        <v>296</v>
      </c>
      <c r="E701" s="540"/>
      <c r="F701" s="540"/>
      <c r="G701" s="189"/>
      <c r="H701" s="733" t="s">
        <v>46</v>
      </c>
      <c r="I701" s="734">
        <f ca="1">IFERROR(__xludf.DUMMYFUNCTION("IMPORTRANGE(""https://docs.google.com/spreadsheets/d/1KxicF4apzSqm0-jIpmueT4kyZtE-Cwn5zskl7GD4loQ/edit?usp=share_link"",""กำแพงเพชร!I701"")+IMPORTRANGE(""https://docs.google.com/spreadsheets/d/1ZNYWeiFoFA1K1U4xKWqRX29MBvEyRHXORjo734Gnq_c/edit?usp=share_li"&amp;"nk"",""เชียงราย!I701"")
+IMPORTRANGE(""https://docs.google.com/spreadsheets/d/1Jgv0Y7YlHDtsiDawwp-uvifEJ8HVaSn0k2aGHG8-hwM/edit?usp=share_link"",""เชียงใหม่!I701"")+IMPORTRANGE(""https://docs.google.com/spreadsheets/d/1JWG2rZePOz9pe-f-ObA-yDr0VoOX2kSb0qIi"&amp;"x2mTUo8/edit?usp=share_link"",""ตาก!I701"")+IMPORTRANGE(""https://docs.google.com/spreadsheets/d/10nSRjK08hx8Y6HgSOQKNw81lyY46Zc7U_Cj72hBMp9U/edit?usp=share_link"",""นครสวรรค์!I701"")+IMPORTRANGE(""https://docs.google.com/spreadsheets/d/1gFVb7qd7amutrIxAA"&amp;"oM7lcy35hllxznovot8lyOfvDo/edit?usp=share_link"",""น่าน!I701"")+IMPORTRANGE(""https://docs.google.com/spreadsheets/d/1K0Aa9s-6EuHE5M0FG1F9aHLXRCOV917xvycTdLdct0w/edit?usp=share_link"",""พะเยา!I701"")+IMPORTRANGE(""https://docs.google.com/spreadsheets/d/1Y"&amp;"9LPKx95PyL5OKy09d-KbKJSuuEZCFdkhYjwC0XQjBA/edit?usp=share_link"",""พิจิตร!I701"")+IMPORTRANGE(""https://docs.google.com/spreadsheets/d/16OMuOwy2eVqZcYWOouQtTpa8X1L23h4660uVHc0C8os/edit?usp=share_link"",""พิษณุโลก!I701"")+IMPORTRANGE(""https://docs.google."&amp;"com/spreadsheets/d/1GfgTldLG6k77HXaMQzaafODklYuucJZQNs_GAPEfZyY/edit?usp=share_link"",""เพชรบูรณ์!I701"")+IMPORTRANGE(""https://docs.google.com/spreadsheets/d/1gvTMYAnm7v1yG1BKWFtr0DnaTsq59oW9dwWvFgq6hs0/edit?usp=share_link"",""แพร่!I701"")+IMPORTRANGE("""&amp;"https://docs.google.com/spreadsheets/d/1Wbcosgy-Xa1xXUArJSOenub6EfZHUSzc_bpJFWwQUf0/edit?usp=share_link"",""แม่ฮ่องสอน!I701"")+IMPORTRANGE(""https://docs.google.com/spreadsheets/d/1p7ERhsr0qZeSn-KSOdeHS9r0heI-lHtkcn2OH7hP0jQ/edit?usp=share_link"",""ลำปาง!"&amp;"I701"")+IMPORTRANGE(""https://docs.google.com/spreadsheets/d/1-uUXvimVhiU2U0bMN-xi2te0tS4X7DI2GLPnMjzl8cA/edit?usp=share_link"",""ลำพูน!I701"")+IMPORTRANGE(""https://docs.google.com/spreadsheets/d/17HrOaa5pBUI1onckFfumXB8xlg35qb2uBAFfF1D-Myo/edit?usp=shar"&amp;"e_link"",""สุโขทัย!I701"")+IMPORTRANGE(""https://docs.google.com/spreadsheets/d/1ubs5cl16eYL9gHbdHTJtmtYb9MGzHBs7CAphn8kNCgM/edit?usp=share_link"",""อุตรดิตถ์!I701"")+IMPORTRANGE(""https://docs.google.com/spreadsheets/d/1kII0BjS6CtVrBvI8IrytgPdxDrlyQDyigz"&amp;"MsohRtDMs/edit?usp=share_link"",""อุทัยธานี!I701"")
"),2088)</f>
        <v>2088</v>
      </c>
      <c r="J701" s="194">
        <f ca="1">J704+J707</f>
        <v>202.25499999999991</v>
      </c>
      <c r="K701" s="195">
        <f t="shared" ca="1" si="331"/>
        <v>9.6865421455938669</v>
      </c>
      <c r="L701" s="38"/>
      <c r="M701" s="189"/>
      <c r="N701" s="732"/>
      <c r="O701" s="38"/>
      <c r="P701" s="38"/>
      <c r="Q701" s="542"/>
      <c r="R701" s="542"/>
      <c r="S701" s="542"/>
      <c r="T701" s="542"/>
      <c r="U701" s="542"/>
      <c r="V701" s="542"/>
      <c r="W701" s="542"/>
      <c r="X701" s="542"/>
      <c r="Y701" s="542"/>
      <c r="Z701" s="542"/>
    </row>
    <row r="702" spans="1:26" ht="18.75">
      <c r="A702" s="710"/>
      <c r="B702" s="540"/>
      <c r="C702" s="540"/>
      <c r="D702" s="540"/>
      <c r="E702" s="541" t="s">
        <v>297</v>
      </c>
      <c r="F702" s="540"/>
      <c r="G702" s="189"/>
      <c r="H702" s="182" t="s">
        <v>35</v>
      </c>
      <c r="I702" s="731"/>
      <c r="J702" s="183">
        <f ca="1">IFERROR(__xludf.DUMMYFUNCTION("IMPORTRANGE(""https://docs.google.com/spreadsheets/d/1KxicF4apzSqm0-jIpmueT4kyZtE-Cwn5zskl7GD4loQ/edit?usp=share_link"",""กำแพงเพชร!J702"")+IMPORTRANGE(""https://docs.google.com/spreadsheets/d/1ZNYWeiFoFA1K1U4xKWqRX29MBvEyRHXORjo734Gnq_c/edit?usp=share_li"&amp;"nk"",""เชียงราย!J702"")
+IMPORTRANGE(""https://docs.google.com/spreadsheets/d/1Jgv0Y7YlHDtsiDawwp-uvifEJ8HVaSn0k2aGHG8-hwM/edit?usp=share_link"",""เชียงใหม่!J702"")+IMPORTRANGE(""https://docs.google.com/spreadsheets/d/1JWG2rZePOz9pe-f-ObA-yDr0VoOX2kSb0qIi"&amp;"x2mTUo8/edit?usp=share_link"",""ตาก!J702"")+IMPORTRANGE(""https://docs.google.com/spreadsheets/d/10nSRjK08hx8Y6HgSOQKNw81lyY46Zc7U_Cj72hBMp9U/edit?usp=share_link"",""นครสวรรค์!J702"")+IMPORTRANGE(""https://docs.google.com/spreadsheets/d/1gFVb7qd7amutrIxAA"&amp;"oM7lcy35hllxznovot8lyOfvDo/edit?usp=share_link"",""น่าน!J702"")+IMPORTRANGE(""https://docs.google.com/spreadsheets/d/1K0Aa9s-6EuHE5M0FG1F9aHLXRCOV917xvycTdLdct0w/edit?usp=share_link"",""พะเยา!J702"")+IMPORTRANGE(""https://docs.google.com/spreadsheets/d/1Y"&amp;"9LPKx95PyL5OKy09d-KbKJSuuEZCFdkhYjwC0XQjBA/edit?usp=share_link"",""พิจิตร!J702"")+IMPORTRANGE(""https://docs.google.com/spreadsheets/d/16OMuOwy2eVqZcYWOouQtTpa8X1L23h4660uVHc0C8os/edit?usp=share_link"",""พิษณุโลก!J702"")+IMPORTRANGE(""https://docs.google."&amp;"com/spreadsheets/d/1GfgTldLG6k77HXaMQzaafODklYuucJZQNs_GAPEfZyY/edit?usp=share_link"",""เพชรบูรณ์!J702"")+IMPORTRANGE(""https://docs.google.com/spreadsheets/d/1gvTMYAnm7v1yG1BKWFtr0DnaTsq59oW9dwWvFgq6hs0/edit?usp=share_link"",""แพร่!J702"")+IMPORTRANGE("""&amp;"https://docs.google.com/spreadsheets/d/1Wbcosgy-Xa1xXUArJSOenub6EfZHUSzc_bpJFWwQUf0/edit?usp=share_link"",""แม่ฮ่องสอน!J702"")+IMPORTRANGE(""https://docs.google.com/spreadsheets/d/1p7ERhsr0qZeSn-KSOdeHS9r0heI-lHtkcn2OH7hP0jQ/edit?usp=share_link"",""ลำปาง!"&amp;"J702"")+IMPORTRANGE(""https://docs.google.com/spreadsheets/d/1-uUXvimVhiU2U0bMN-xi2te0tS4X7DI2GLPnMjzl8cA/edit?usp=share_link"",""ลำพูน!J702"")+IMPORTRANGE(""https://docs.google.com/spreadsheets/d/17HrOaa5pBUI1onckFfumXB8xlg35qb2uBAFfF1D-Myo/edit?usp=shar"&amp;"e_link"",""สุโขทัย!J702"")+IMPORTRANGE(""https://docs.google.com/spreadsheets/d/1ubs5cl16eYL9gHbdHTJtmtYb9MGzHBs7CAphn8kNCgM/edit?usp=share_link"",""อุตรดิตถ์!J702"")+IMPORTRANGE(""https://docs.google.com/spreadsheets/d/1kII0BjS6CtVrBvI8IrytgPdxDrlyQDyigz"&amp;"MsohRtDMs/edit?usp=share_link"",""อุทัยธานี!J702"")
"),7)</f>
        <v>7</v>
      </c>
      <c r="K702" s="38"/>
      <c r="L702" s="38"/>
      <c r="M702" s="189"/>
      <c r="N702" s="732"/>
      <c r="O702" s="38"/>
      <c r="P702" s="38"/>
      <c r="Q702" s="542"/>
      <c r="R702" s="542"/>
      <c r="S702" s="542"/>
      <c r="T702" s="542"/>
      <c r="U702" s="542"/>
      <c r="V702" s="542"/>
      <c r="W702" s="542"/>
      <c r="X702" s="542"/>
      <c r="Y702" s="542"/>
      <c r="Z702" s="542"/>
    </row>
    <row r="703" spans="1:26" ht="18.75">
      <c r="A703" s="710"/>
      <c r="B703" s="540"/>
      <c r="C703" s="540"/>
      <c r="D703" s="540"/>
      <c r="E703" s="540"/>
      <c r="F703" s="540"/>
      <c r="G703" s="189"/>
      <c r="H703" s="182" t="s">
        <v>34</v>
      </c>
      <c r="I703" s="731"/>
      <c r="J703" s="183">
        <f ca="1">IFERROR(__xludf.DUMMYFUNCTION("IMPORTRANGE(""https://docs.google.com/spreadsheets/d/1KxicF4apzSqm0-jIpmueT4kyZtE-Cwn5zskl7GD4loQ/edit?usp=share_link"",""กำแพงเพชร!J703"")+IMPORTRANGE(""https://docs.google.com/spreadsheets/d/1ZNYWeiFoFA1K1U4xKWqRX29MBvEyRHXORjo734Gnq_c/edit?usp=share_li"&amp;"nk"",""เชียงราย!J703"")
+IMPORTRANGE(""https://docs.google.com/spreadsheets/d/1Jgv0Y7YlHDtsiDawwp-uvifEJ8HVaSn0k2aGHG8-hwM/edit?usp=share_link"",""เชียงใหม่!J703"")+IMPORTRANGE(""https://docs.google.com/spreadsheets/d/1JWG2rZePOz9pe-f-ObA-yDr0VoOX2kSb0qIi"&amp;"x2mTUo8/edit?usp=share_link"",""ตาก!J703"")+IMPORTRANGE(""https://docs.google.com/spreadsheets/d/10nSRjK08hx8Y6HgSOQKNw81lyY46Zc7U_Cj72hBMp9U/edit?usp=share_link"",""นครสวรรค์!J703"")+IMPORTRANGE(""https://docs.google.com/spreadsheets/d/1gFVb7qd7amutrIxAA"&amp;"oM7lcy35hllxznovot8lyOfvDo/edit?usp=share_link"",""น่าน!J703"")+IMPORTRANGE(""https://docs.google.com/spreadsheets/d/1K0Aa9s-6EuHE5M0FG1F9aHLXRCOV917xvycTdLdct0w/edit?usp=share_link"",""พะเยา!J703"")+IMPORTRANGE(""https://docs.google.com/spreadsheets/d/1Y"&amp;"9LPKx95PyL5OKy09d-KbKJSuuEZCFdkhYjwC0XQjBA/edit?usp=share_link"",""พิจิตร!J703"")+IMPORTRANGE(""https://docs.google.com/spreadsheets/d/16OMuOwy2eVqZcYWOouQtTpa8X1L23h4660uVHc0C8os/edit?usp=share_link"",""พิษณุโลก!J703"")+IMPORTRANGE(""https://docs.google."&amp;"com/spreadsheets/d/1GfgTldLG6k77HXaMQzaafODklYuucJZQNs_GAPEfZyY/edit?usp=share_link"",""เพชรบูรณ์!J703"")+IMPORTRANGE(""https://docs.google.com/spreadsheets/d/1gvTMYAnm7v1yG1BKWFtr0DnaTsq59oW9dwWvFgq6hs0/edit?usp=share_link"",""แพร่!J703"")+IMPORTRANGE("""&amp;"https://docs.google.com/spreadsheets/d/1Wbcosgy-Xa1xXUArJSOenub6EfZHUSzc_bpJFWwQUf0/edit?usp=share_link"",""แม่ฮ่องสอน!J703"")+IMPORTRANGE(""https://docs.google.com/spreadsheets/d/1p7ERhsr0qZeSn-KSOdeHS9r0heI-lHtkcn2OH7hP0jQ/edit?usp=share_link"",""ลำปาง!"&amp;"J703"")+IMPORTRANGE(""https://docs.google.com/spreadsheets/d/1-uUXvimVhiU2U0bMN-xi2te0tS4X7DI2GLPnMjzl8cA/edit?usp=share_link"",""ลำพูน!J703"")+IMPORTRANGE(""https://docs.google.com/spreadsheets/d/17HrOaa5pBUI1onckFfumXB8xlg35qb2uBAFfF1D-Myo/edit?usp=shar"&amp;"e_link"",""สุโขทัย!J703"")+IMPORTRANGE(""https://docs.google.com/spreadsheets/d/1ubs5cl16eYL9gHbdHTJtmtYb9MGzHBs7CAphn8kNCgM/edit?usp=share_link"",""อุตรดิตถ์!J703"")+IMPORTRANGE(""https://docs.google.com/spreadsheets/d/1kII0BjS6CtVrBvI8IrytgPdxDrlyQDyigz"&amp;"MsohRtDMs/edit?usp=share_link"",""อุทัยธานี!J703"")
"),8)</f>
        <v>8</v>
      </c>
      <c r="K703" s="38"/>
      <c r="L703" s="38"/>
      <c r="M703" s="189"/>
      <c r="N703" s="732"/>
      <c r="O703" s="38"/>
      <c r="P703" s="38"/>
      <c r="Q703" s="542"/>
      <c r="R703" s="542"/>
      <c r="S703" s="542"/>
      <c r="T703" s="542"/>
      <c r="U703" s="542"/>
      <c r="V703" s="542"/>
      <c r="W703" s="542"/>
      <c r="X703" s="542"/>
      <c r="Y703" s="542"/>
      <c r="Z703" s="542"/>
    </row>
    <row r="704" spans="1:26" ht="18.75">
      <c r="A704" s="710"/>
      <c r="B704" s="540"/>
      <c r="C704" s="540"/>
      <c r="D704" s="540"/>
      <c r="E704" s="540"/>
      <c r="F704" s="540"/>
      <c r="G704" s="189"/>
      <c r="H704" s="182" t="s">
        <v>46</v>
      </c>
      <c r="I704" s="731">
        <f ca="1">IFERROR(__xludf.DUMMYFUNCTION("IMPORTRANGE(""https://docs.google.com/spreadsheets/d/1KxicF4apzSqm0-jIpmueT4kyZtE-Cwn5zskl7GD4loQ/edit?usp=share_link"",""กำแพงเพชร!I704"")+IMPORTRANGE(""https://docs.google.com/spreadsheets/d/1ZNYWeiFoFA1K1U4xKWqRX29MBvEyRHXORjo734Gnq_c/edit?usp=share_li"&amp;"nk"",""เชียงราย!I704"")
+IMPORTRANGE(""https://docs.google.com/spreadsheets/d/1Jgv0Y7YlHDtsiDawwp-uvifEJ8HVaSn0k2aGHG8-hwM/edit?usp=share_link"",""เชียงใหม่!I704"")+IMPORTRANGE(""https://docs.google.com/spreadsheets/d/1JWG2rZePOz9pe-f-ObA-yDr0VoOX2kSb0qIi"&amp;"x2mTUo8/edit?usp=share_link"",""ตาก!I704"")+IMPORTRANGE(""https://docs.google.com/spreadsheets/d/10nSRjK08hx8Y6HgSOQKNw81lyY46Zc7U_Cj72hBMp9U/edit?usp=share_link"",""นครสวรรค์!I704"")+IMPORTRANGE(""https://docs.google.com/spreadsheets/d/1gFVb7qd7amutrIxAA"&amp;"oM7lcy35hllxznovot8lyOfvDo/edit?usp=share_link"",""น่าน!I704"")+IMPORTRANGE(""https://docs.google.com/spreadsheets/d/1K0Aa9s-6EuHE5M0FG1F9aHLXRCOV917xvycTdLdct0w/edit?usp=share_link"",""พะเยา!I704"")+IMPORTRANGE(""https://docs.google.com/spreadsheets/d/1Y"&amp;"9LPKx95PyL5OKy09d-KbKJSuuEZCFdkhYjwC0XQjBA/edit?usp=share_link"",""พิจิตร!I704"")+IMPORTRANGE(""https://docs.google.com/spreadsheets/d/16OMuOwy2eVqZcYWOouQtTpa8X1L23h4660uVHc0C8os/edit?usp=share_link"",""พิษณุโลก!I704"")+IMPORTRANGE(""https://docs.google."&amp;"com/spreadsheets/d/1GfgTldLG6k77HXaMQzaafODklYuucJZQNs_GAPEfZyY/edit?usp=share_link"",""เพชรบูรณ์!I704"")+IMPORTRANGE(""https://docs.google.com/spreadsheets/d/1gvTMYAnm7v1yG1BKWFtr0DnaTsq59oW9dwWvFgq6hs0/edit?usp=share_link"",""แพร่!I704"")+IMPORTRANGE("""&amp;"https://docs.google.com/spreadsheets/d/1Wbcosgy-Xa1xXUArJSOenub6EfZHUSzc_bpJFWwQUf0/edit?usp=share_link"",""แม่ฮ่องสอน!I704"")+IMPORTRANGE(""https://docs.google.com/spreadsheets/d/1p7ERhsr0qZeSn-KSOdeHS9r0heI-lHtkcn2OH7hP0jQ/edit?usp=share_link"",""ลำปาง!"&amp;"I704"")+IMPORTRANGE(""https://docs.google.com/spreadsheets/d/1-uUXvimVhiU2U0bMN-xi2te0tS4X7DI2GLPnMjzl8cA/edit?usp=share_link"",""ลำพูน!I704"")+IMPORTRANGE(""https://docs.google.com/spreadsheets/d/17HrOaa5pBUI1onckFfumXB8xlg35qb2uBAFfF1D-Myo/edit?usp=shar"&amp;"e_link"",""สุโขทัย!I704"")+IMPORTRANGE(""https://docs.google.com/spreadsheets/d/1ubs5cl16eYL9gHbdHTJtmtYb9MGzHBs7CAphn8kNCgM/edit?usp=share_link"",""อุตรดิตถ์!I704"")+IMPORTRANGE(""https://docs.google.com/spreadsheets/d/1kII0BjS6CtVrBvI8IrytgPdxDrlyQDyigz"&amp;"MsohRtDMs/edit?usp=share_link"",""อุทัยธานี!I704"")
"),2021)</f>
        <v>2021</v>
      </c>
      <c r="J704" s="183">
        <f ca="1">IFERROR(__xludf.DUMMYFUNCTION("IMPORTRANGE(""https://docs.google.com/spreadsheets/d/1KxicF4apzSqm0-jIpmueT4kyZtE-Cwn5zskl7GD4loQ/edit?usp=share_link"",""กำแพงเพชร!J704"")+IMPORTRANGE(""https://docs.google.com/spreadsheets/d/1ZNYWeiFoFA1K1U4xKWqRX29MBvEyRHXORjo734Gnq_c/edit?usp=share_li"&amp;"nk"",""เชียงราย!J704"")
+IMPORTRANGE(""https://docs.google.com/spreadsheets/d/1Jgv0Y7YlHDtsiDawwp-uvifEJ8HVaSn0k2aGHG8-hwM/edit?usp=share_link"",""เชียงใหม่!J704"")+IMPORTRANGE(""https://docs.google.com/spreadsheets/d/1JWG2rZePOz9pe-f-ObA-yDr0VoOX2kSb0qIi"&amp;"x2mTUo8/edit?usp=share_link"",""ตาก!J704"")+IMPORTRANGE(""https://docs.google.com/spreadsheets/d/10nSRjK08hx8Y6HgSOQKNw81lyY46Zc7U_Cj72hBMp9U/edit?usp=share_link"",""นครสวรรค์!J704"")+IMPORTRANGE(""https://docs.google.com/spreadsheets/d/1gFVb7qd7amutrIxAA"&amp;"oM7lcy35hllxznovot8lyOfvDo/edit?usp=share_link"",""น่าน!J704"")+IMPORTRANGE(""https://docs.google.com/spreadsheets/d/1K0Aa9s-6EuHE5M0FG1F9aHLXRCOV917xvycTdLdct0w/edit?usp=share_link"",""พะเยา!J704"")+IMPORTRANGE(""https://docs.google.com/spreadsheets/d/1Y"&amp;"9LPKx95PyL5OKy09d-KbKJSuuEZCFdkhYjwC0XQjBA/edit?usp=share_link"",""พิจิตร!J704"")+IMPORTRANGE(""https://docs.google.com/spreadsheets/d/16OMuOwy2eVqZcYWOouQtTpa8X1L23h4660uVHc0C8os/edit?usp=share_link"",""พิษณุโลก!J704"")+IMPORTRANGE(""https://docs.google."&amp;"com/spreadsheets/d/1GfgTldLG6k77HXaMQzaafODklYuucJZQNs_GAPEfZyY/edit?usp=share_link"",""เพชรบูรณ์!J704"")+IMPORTRANGE(""https://docs.google.com/spreadsheets/d/1gvTMYAnm7v1yG1BKWFtr0DnaTsq59oW9dwWvFgq6hs0/edit?usp=share_link"",""แพร่!J704"")+IMPORTRANGE("""&amp;"https://docs.google.com/spreadsheets/d/1Wbcosgy-Xa1xXUArJSOenub6EfZHUSzc_bpJFWwQUf0/edit?usp=share_link"",""แม่ฮ่องสอน!J704"")+IMPORTRANGE(""https://docs.google.com/spreadsheets/d/1p7ERhsr0qZeSn-KSOdeHS9r0heI-lHtkcn2OH7hP0jQ/edit?usp=share_link"",""ลำปาง!"&amp;"J704"")+IMPORTRANGE(""https://docs.google.com/spreadsheets/d/1-uUXvimVhiU2U0bMN-xi2te0tS4X7DI2GLPnMjzl8cA/edit?usp=share_link"",""ลำพูน!J704"")+IMPORTRANGE(""https://docs.google.com/spreadsheets/d/17HrOaa5pBUI1onckFfumXB8xlg35qb2uBAFfF1D-Myo/edit?usp=shar"&amp;"e_link"",""สุโขทัย!J704"")+IMPORTRANGE(""https://docs.google.com/spreadsheets/d/1ubs5cl16eYL9gHbdHTJtmtYb9MGzHBs7CAphn8kNCgM/edit?usp=share_link"",""อุตรดิตถ์!J704"")+IMPORTRANGE(""https://docs.google.com/spreadsheets/d/1kII0BjS6CtVrBvI8IrytgPdxDrlyQDyigz"&amp;"MsohRtDMs/edit?usp=share_link"",""อุทัยธานี!J704"")
"),132.215)</f>
        <v>132.215</v>
      </c>
      <c r="K704" s="38"/>
      <c r="L704" s="38"/>
      <c r="M704" s="189"/>
      <c r="N704" s="732"/>
      <c r="O704" s="38"/>
      <c r="P704" s="38"/>
      <c r="Q704" s="542"/>
      <c r="R704" s="542"/>
      <c r="S704" s="542"/>
      <c r="T704" s="542"/>
      <c r="U704" s="542"/>
      <c r="V704" s="542"/>
      <c r="W704" s="542"/>
      <c r="X704" s="542"/>
      <c r="Y704" s="542"/>
      <c r="Z704" s="542"/>
    </row>
    <row r="705" spans="1:26" ht="18.75">
      <c r="A705" s="710"/>
      <c r="B705" s="540"/>
      <c r="C705" s="540"/>
      <c r="D705" s="540"/>
      <c r="E705" s="541" t="s">
        <v>298</v>
      </c>
      <c r="F705" s="540"/>
      <c r="G705" s="189"/>
      <c r="H705" s="182" t="s">
        <v>35</v>
      </c>
      <c r="I705" s="731"/>
      <c r="J705" s="183">
        <f ca="1">IFERROR(__xludf.DUMMYFUNCTION("IMPORTRANGE(""https://docs.google.com/spreadsheets/d/1KxicF4apzSqm0-jIpmueT4kyZtE-Cwn5zskl7GD4loQ/edit?usp=share_link"",""กำแพงเพชร!J705"")+IMPORTRANGE(""https://docs.google.com/spreadsheets/d/1ZNYWeiFoFA1K1U4xKWqRX29MBvEyRHXORjo734Gnq_c/edit?usp=share_li"&amp;"nk"",""เชียงราย!J705"")
+IMPORTRANGE(""https://docs.google.com/spreadsheets/d/1Jgv0Y7YlHDtsiDawwp-uvifEJ8HVaSn0k2aGHG8-hwM/edit?usp=share_link"",""เชียงใหม่!J705"")+IMPORTRANGE(""https://docs.google.com/spreadsheets/d/1JWG2rZePOz9pe-f-ObA-yDr0VoOX2kSb0qIi"&amp;"x2mTUo8/edit?usp=share_link"",""ตาก!J705"")+IMPORTRANGE(""https://docs.google.com/spreadsheets/d/10nSRjK08hx8Y6HgSOQKNw81lyY46Zc7U_Cj72hBMp9U/edit?usp=share_link"",""นครสวรรค์!J705"")+IMPORTRANGE(""https://docs.google.com/spreadsheets/d/1gFVb7qd7amutrIxAA"&amp;"oM7lcy35hllxznovot8lyOfvDo/edit?usp=share_link"",""น่าน!J705"")+IMPORTRANGE(""https://docs.google.com/spreadsheets/d/1K0Aa9s-6EuHE5M0FG1F9aHLXRCOV917xvycTdLdct0w/edit?usp=share_link"",""พะเยา!J705"")+IMPORTRANGE(""https://docs.google.com/spreadsheets/d/1Y"&amp;"9LPKx95PyL5OKy09d-KbKJSuuEZCFdkhYjwC0XQjBA/edit?usp=share_link"",""พิจิตร!J705"")+IMPORTRANGE(""https://docs.google.com/spreadsheets/d/16OMuOwy2eVqZcYWOouQtTpa8X1L23h4660uVHc0C8os/edit?usp=share_link"",""พิษณุโลก!J705"")+IMPORTRANGE(""https://docs.google."&amp;"com/spreadsheets/d/1GfgTldLG6k77HXaMQzaafODklYuucJZQNs_GAPEfZyY/edit?usp=share_link"",""เพชรบูรณ์!J705"")+IMPORTRANGE(""https://docs.google.com/spreadsheets/d/1gvTMYAnm7v1yG1BKWFtr0DnaTsq59oW9dwWvFgq6hs0/edit?usp=share_link"",""แพร่!J705"")+IMPORTRANGE("""&amp;"https://docs.google.com/spreadsheets/d/1Wbcosgy-Xa1xXUArJSOenub6EfZHUSzc_bpJFWwQUf0/edit?usp=share_link"",""แม่ฮ่องสอน!J705"")+IMPORTRANGE(""https://docs.google.com/spreadsheets/d/1p7ERhsr0qZeSn-KSOdeHS9r0heI-lHtkcn2OH7hP0jQ/edit?usp=share_link"",""ลำปาง!"&amp;"J705"")+IMPORTRANGE(""https://docs.google.com/spreadsheets/d/1-uUXvimVhiU2U0bMN-xi2te0tS4X7DI2GLPnMjzl8cA/edit?usp=share_link"",""ลำพูน!J705"")+IMPORTRANGE(""https://docs.google.com/spreadsheets/d/17HrOaa5pBUI1onckFfumXB8xlg35qb2uBAFfF1D-Myo/edit?usp=shar"&amp;"e_link"",""สุโขทัย!J705"")+IMPORTRANGE(""https://docs.google.com/spreadsheets/d/1ubs5cl16eYL9gHbdHTJtmtYb9MGzHBs7CAphn8kNCgM/edit?usp=share_link"",""อุตรดิตถ์!J705"")+IMPORTRANGE(""https://docs.google.com/spreadsheets/d/1kII0BjS6CtVrBvI8IrytgPdxDrlyQDyigz"&amp;"MsohRtDMs/edit?usp=share_link"",""อุทัยธานี!J705"")
"),4)</f>
        <v>4</v>
      </c>
      <c r="K705" s="38"/>
      <c r="L705" s="38"/>
      <c r="M705" s="189"/>
      <c r="N705" s="732"/>
      <c r="O705" s="38"/>
      <c r="P705" s="38"/>
      <c r="Q705" s="542"/>
      <c r="R705" s="542"/>
      <c r="S705" s="542"/>
      <c r="T705" s="542"/>
      <c r="U705" s="542"/>
      <c r="V705" s="542"/>
      <c r="W705" s="542"/>
      <c r="X705" s="542"/>
      <c r="Y705" s="542"/>
      <c r="Z705" s="542"/>
    </row>
    <row r="706" spans="1:26" ht="18.75">
      <c r="A706" s="710"/>
      <c r="B706" s="540"/>
      <c r="C706" s="540"/>
      <c r="D706" s="540"/>
      <c r="E706" s="540"/>
      <c r="F706" s="540"/>
      <c r="G706" s="189"/>
      <c r="H706" s="182" t="s">
        <v>34</v>
      </c>
      <c r="I706" s="731"/>
      <c r="J706" s="183">
        <f ca="1">IFERROR(__xludf.DUMMYFUNCTION("IMPORTRANGE(""https://docs.google.com/spreadsheets/d/1KxicF4apzSqm0-jIpmueT4kyZtE-Cwn5zskl7GD4loQ/edit?usp=share_link"",""กำแพงเพชร!J706"")+IMPORTRANGE(""https://docs.google.com/spreadsheets/d/1ZNYWeiFoFA1K1U4xKWqRX29MBvEyRHXORjo734Gnq_c/edit?usp=share_li"&amp;"nk"",""เชียงราย!J706"")
+IMPORTRANGE(""https://docs.google.com/spreadsheets/d/1Jgv0Y7YlHDtsiDawwp-uvifEJ8HVaSn0k2aGHG8-hwM/edit?usp=share_link"",""เชียงใหม่!J706"")+IMPORTRANGE(""https://docs.google.com/spreadsheets/d/1JWG2rZePOz9pe-f-ObA-yDr0VoOX2kSb0qIi"&amp;"x2mTUo8/edit?usp=share_link"",""ตาก!J706"")+IMPORTRANGE(""https://docs.google.com/spreadsheets/d/10nSRjK08hx8Y6HgSOQKNw81lyY46Zc7U_Cj72hBMp9U/edit?usp=share_link"",""นครสวรรค์!J706"")+IMPORTRANGE(""https://docs.google.com/spreadsheets/d/1gFVb7qd7amutrIxAA"&amp;"oM7lcy35hllxznovot8lyOfvDo/edit?usp=share_link"",""น่าน!J706"")+IMPORTRANGE(""https://docs.google.com/spreadsheets/d/1K0Aa9s-6EuHE5M0FG1F9aHLXRCOV917xvycTdLdct0w/edit?usp=share_link"",""พะเยา!J706"")+IMPORTRANGE(""https://docs.google.com/spreadsheets/d/1Y"&amp;"9LPKx95PyL5OKy09d-KbKJSuuEZCFdkhYjwC0XQjBA/edit?usp=share_link"",""พิจิตร!J706"")+IMPORTRANGE(""https://docs.google.com/spreadsheets/d/16OMuOwy2eVqZcYWOouQtTpa8X1L23h4660uVHc0C8os/edit?usp=share_link"",""พิษณุโลก!J706"")+IMPORTRANGE(""https://docs.google."&amp;"com/spreadsheets/d/1GfgTldLG6k77HXaMQzaafODklYuucJZQNs_GAPEfZyY/edit?usp=share_link"",""เพชรบูรณ์!J706"")+IMPORTRANGE(""https://docs.google.com/spreadsheets/d/1gvTMYAnm7v1yG1BKWFtr0DnaTsq59oW9dwWvFgq6hs0/edit?usp=share_link"",""แพร่!J706"")+IMPORTRANGE("""&amp;"https://docs.google.com/spreadsheets/d/1Wbcosgy-Xa1xXUArJSOenub6EfZHUSzc_bpJFWwQUf0/edit?usp=share_link"",""แม่ฮ่องสอน!J706"")+IMPORTRANGE(""https://docs.google.com/spreadsheets/d/1p7ERhsr0qZeSn-KSOdeHS9r0heI-lHtkcn2OH7hP0jQ/edit?usp=share_link"",""ลำปาง!"&amp;"J706"")+IMPORTRANGE(""https://docs.google.com/spreadsheets/d/1-uUXvimVhiU2U0bMN-xi2te0tS4X7DI2GLPnMjzl8cA/edit?usp=share_link"",""ลำพูน!J706"")+IMPORTRANGE(""https://docs.google.com/spreadsheets/d/17HrOaa5pBUI1onckFfumXB8xlg35qb2uBAFfF1D-Myo/edit?usp=shar"&amp;"e_link"",""สุโขทัย!J706"")+IMPORTRANGE(""https://docs.google.com/spreadsheets/d/1ubs5cl16eYL9gHbdHTJtmtYb9MGzHBs7CAphn8kNCgM/edit?usp=share_link"",""อุตรดิตถ์!J706"")+IMPORTRANGE(""https://docs.google.com/spreadsheets/d/1kII0BjS6CtVrBvI8IrytgPdxDrlyQDyigz"&amp;"MsohRtDMs/edit?usp=share_link"",""อุทัยธานี!J706"")
"),4)</f>
        <v>4</v>
      </c>
      <c r="K706" s="38"/>
      <c r="L706" s="38"/>
      <c r="M706" s="189"/>
      <c r="N706" s="732"/>
      <c r="O706" s="38"/>
      <c r="P706" s="38"/>
      <c r="Q706" s="542"/>
      <c r="R706" s="542"/>
      <c r="S706" s="542"/>
      <c r="T706" s="542"/>
      <c r="U706" s="542"/>
      <c r="V706" s="542"/>
      <c r="W706" s="542"/>
      <c r="X706" s="542"/>
      <c r="Y706" s="542"/>
      <c r="Z706" s="542"/>
    </row>
    <row r="707" spans="1:26" ht="18.75">
      <c r="A707" s="710"/>
      <c r="B707" s="540"/>
      <c r="C707" s="540"/>
      <c r="D707" s="540"/>
      <c r="E707" s="540"/>
      <c r="F707" s="540"/>
      <c r="G707" s="189"/>
      <c r="H707" s="182" t="s">
        <v>46</v>
      </c>
      <c r="I707" s="731">
        <f ca="1">IFERROR(__xludf.DUMMYFUNCTION("IMPORTRANGE(""https://docs.google.com/spreadsheets/d/1KxicF4apzSqm0-jIpmueT4kyZtE-Cwn5zskl7GD4loQ/edit?usp=share_link"",""กำแพงเพชร!I707"")+IMPORTRANGE(""https://docs.google.com/spreadsheets/d/1ZNYWeiFoFA1K1U4xKWqRX29MBvEyRHXORjo734Gnq_c/edit?usp=share_li"&amp;"nk"",""เชียงราย!I707"")
+IMPORTRANGE(""https://docs.google.com/spreadsheets/d/1Jgv0Y7YlHDtsiDawwp-uvifEJ8HVaSn0k2aGHG8-hwM/edit?usp=share_link"",""เชียงใหม่!I707"")+IMPORTRANGE(""https://docs.google.com/spreadsheets/d/1JWG2rZePOz9pe-f-ObA-yDr0VoOX2kSb0qIi"&amp;"x2mTUo8/edit?usp=share_link"",""ตาก!I707"")+IMPORTRANGE(""https://docs.google.com/spreadsheets/d/10nSRjK08hx8Y6HgSOQKNw81lyY46Zc7U_Cj72hBMp9U/edit?usp=share_link"",""นครสวรรค์!I707"")+IMPORTRANGE(""https://docs.google.com/spreadsheets/d/1gFVb7qd7amutrIxAA"&amp;"oM7lcy35hllxznovot8lyOfvDo/edit?usp=share_link"",""น่าน!I707"")+IMPORTRANGE(""https://docs.google.com/spreadsheets/d/1K0Aa9s-6EuHE5M0FG1F9aHLXRCOV917xvycTdLdct0w/edit?usp=share_link"",""พะเยา!I707"")+IMPORTRANGE(""https://docs.google.com/spreadsheets/d/1Y"&amp;"9LPKx95PyL5OKy09d-KbKJSuuEZCFdkhYjwC0XQjBA/edit?usp=share_link"",""พิจิตร!I707"")+IMPORTRANGE(""https://docs.google.com/spreadsheets/d/16OMuOwy2eVqZcYWOouQtTpa8X1L23h4660uVHc0C8os/edit?usp=share_link"",""พิษณุโลก!I707"")+IMPORTRANGE(""https://docs.google."&amp;"com/spreadsheets/d/1GfgTldLG6k77HXaMQzaafODklYuucJZQNs_GAPEfZyY/edit?usp=share_link"",""เพชรบูรณ์!I707"")+IMPORTRANGE(""https://docs.google.com/spreadsheets/d/1gvTMYAnm7v1yG1BKWFtr0DnaTsq59oW9dwWvFgq6hs0/edit?usp=share_link"",""แพร่!I707"")+IMPORTRANGE("""&amp;"https://docs.google.com/spreadsheets/d/1Wbcosgy-Xa1xXUArJSOenub6EfZHUSzc_bpJFWwQUf0/edit?usp=share_link"",""แม่ฮ่องสอน!I707"")+IMPORTRANGE(""https://docs.google.com/spreadsheets/d/1p7ERhsr0qZeSn-KSOdeHS9r0heI-lHtkcn2OH7hP0jQ/edit?usp=share_link"",""ลำปาง!"&amp;"I707"")+IMPORTRANGE(""https://docs.google.com/spreadsheets/d/1-uUXvimVhiU2U0bMN-xi2te0tS4X7DI2GLPnMjzl8cA/edit?usp=share_link"",""ลำพูน!I707"")+IMPORTRANGE(""https://docs.google.com/spreadsheets/d/17HrOaa5pBUI1onckFfumXB8xlg35qb2uBAFfF1D-Myo/edit?usp=shar"&amp;"e_link"",""สุโขทัย!I707"")+IMPORTRANGE(""https://docs.google.com/spreadsheets/d/1ubs5cl16eYL9gHbdHTJtmtYb9MGzHBs7CAphn8kNCgM/edit?usp=share_link"",""อุตรดิตถ์!I707"")+IMPORTRANGE(""https://docs.google.com/spreadsheets/d/1kII0BjS6CtVrBvI8IrytgPdxDrlyQDyigz"&amp;"MsohRtDMs/edit?usp=share_link"",""อุทัยธานี!I707"")
"),67)</f>
        <v>67</v>
      </c>
      <c r="J707" s="183">
        <f ca="1">IFERROR(__xludf.DUMMYFUNCTION("IMPORTRANGE(""https://docs.google.com/spreadsheets/d/1KxicF4apzSqm0-jIpmueT4kyZtE-Cwn5zskl7GD4loQ/edit?usp=share_link"",""กำแพงเพชร!J707"")+IMPORTRANGE(""https://docs.google.com/spreadsheets/d/1ZNYWeiFoFA1K1U4xKWqRX29MBvEyRHXORjo734Gnq_c/edit?usp=share_li"&amp;"nk"",""เชียงราย!J707"")
+IMPORTRANGE(""https://docs.google.com/spreadsheets/d/1Jgv0Y7YlHDtsiDawwp-uvifEJ8HVaSn0k2aGHG8-hwM/edit?usp=share_link"",""เชียงใหม่!J707"")+IMPORTRANGE(""https://docs.google.com/spreadsheets/d/1JWG2rZePOz9pe-f-ObA-yDr0VoOX2kSb0qIi"&amp;"x2mTUo8/edit?usp=share_link"",""ตาก!J707"")+IMPORTRANGE(""https://docs.google.com/spreadsheets/d/10nSRjK08hx8Y6HgSOQKNw81lyY46Zc7U_Cj72hBMp9U/edit?usp=share_link"",""นครสวรรค์!J707"")+IMPORTRANGE(""https://docs.google.com/spreadsheets/d/1gFVb7qd7amutrIxAA"&amp;"oM7lcy35hllxznovot8lyOfvDo/edit?usp=share_link"",""น่าน!J707"")+IMPORTRANGE(""https://docs.google.com/spreadsheets/d/1K0Aa9s-6EuHE5M0FG1F9aHLXRCOV917xvycTdLdct0w/edit?usp=share_link"",""พะเยา!J707"")+IMPORTRANGE(""https://docs.google.com/spreadsheets/d/1Y"&amp;"9LPKx95PyL5OKy09d-KbKJSuuEZCFdkhYjwC0XQjBA/edit?usp=share_link"",""พิจิตร!J707"")+IMPORTRANGE(""https://docs.google.com/spreadsheets/d/16OMuOwy2eVqZcYWOouQtTpa8X1L23h4660uVHc0C8os/edit?usp=share_link"",""พิษณุโลก!J707"")+IMPORTRANGE(""https://docs.google."&amp;"com/spreadsheets/d/1GfgTldLG6k77HXaMQzaafODklYuucJZQNs_GAPEfZyY/edit?usp=share_link"",""เพชรบูรณ์!J707"")+IMPORTRANGE(""https://docs.google.com/spreadsheets/d/1gvTMYAnm7v1yG1BKWFtr0DnaTsq59oW9dwWvFgq6hs0/edit?usp=share_link"",""แพร่!J707"")+IMPORTRANGE("""&amp;"https://docs.google.com/spreadsheets/d/1Wbcosgy-Xa1xXUArJSOenub6EfZHUSzc_bpJFWwQUf0/edit?usp=share_link"",""แม่ฮ่องสอน!J707"")+IMPORTRANGE(""https://docs.google.com/spreadsheets/d/1p7ERhsr0qZeSn-KSOdeHS9r0heI-lHtkcn2OH7hP0jQ/edit?usp=share_link"",""ลำปาง!"&amp;"J707"")+IMPORTRANGE(""https://docs.google.com/spreadsheets/d/1-uUXvimVhiU2U0bMN-xi2te0tS4X7DI2GLPnMjzl8cA/edit?usp=share_link"",""ลำพูน!J707"")+IMPORTRANGE(""https://docs.google.com/spreadsheets/d/17HrOaa5pBUI1onckFfumXB8xlg35qb2uBAFfF1D-Myo/edit?usp=shar"&amp;"e_link"",""สุโขทัย!J707"")+IMPORTRANGE(""https://docs.google.com/spreadsheets/d/1ubs5cl16eYL9gHbdHTJtmtYb9MGzHBs7CAphn8kNCgM/edit?usp=share_link"",""อุตรดิตถ์!J707"")+IMPORTRANGE(""https://docs.google.com/spreadsheets/d/1kII0BjS6CtVrBvI8IrytgPdxDrlyQDyigz"&amp;"MsohRtDMs/edit?usp=share_link"",""อุทัยธานี!J707"")
"),70.0399999999999)</f>
        <v>70.039999999999907</v>
      </c>
      <c r="K707" s="38"/>
      <c r="L707" s="38"/>
      <c r="M707" s="189"/>
      <c r="N707" s="732"/>
      <c r="O707" s="38"/>
      <c r="P707" s="38"/>
      <c r="Q707" s="542"/>
      <c r="R707" s="542"/>
      <c r="S707" s="542"/>
      <c r="T707" s="542"/>
      <c r="U707" s="542"/>
      <c r="V707" s="542"/>
      <c r="W707" s="542"/>
      <c r="X707" s="542"/>
      <c r="Y707" s="542"/>
      <c r="Z707" s="542"/>
    </row>
    <row r="708" spans="1:26" ht="19.5">
      <c r="A708" s="710"/>
      <c r="B708" s="540"/>
      <c r="C708" s="540"/>
      <c r="D708" s="735" t="s">
        <v>299</v>
      </c>
      <c r="E708" s="540"/>
      <c r="F708" s="540"/>
      <c r="G708" s="189"/>
      <c r="H708" s="192" t="s">
        <v>46</v>
      </c>
      <c r="I708" s="734">
        <f ca="1">IFERROR(__xludf.DUMMYFUNCTION("IMPORTRANGE(""https://docs.google.com/spreadsheets/d/1KxicF4apzSqm0-jIpmueT4kyZtE-Cwn5zskl7GD4loQ/edit?usp=share_link"",""กำแพงเพชร!I708"")+IMPORTRANGE(""https://docs.google.com/spreadsheets/d/1ZNYWeiFoFA1K1U4xKWqRX29MBvEyRHXORjo734Gnq_c/edit?usp=share_li"&amp;"nk"",""เชียงราย!I708"")
+IMPORTRANGE(""https://docs.google.com/spreadsheets/d/1Jgv0Y7YlHDtsiDawwp-uvifEJ8HVaSn0k2aGHG8-hwM/edit?usp=share_link"",""เชียงใหม่!I708"")+IMPORTRANGE(""https://docs.google.com/spreadsheets/d/1JWG2rZePOz9pe-f-ObA-yDr0VoOX2kSb0qIi"&amp;"x2mTUo8/edit?usp=share_link"",""ตาก!I708"")+IMPORTRANGE(""https://docs.google.com/spreadsheets/d/10nSRjK08hx8Y6HgSOQKNw81lyY46Zc7U_Cj72hBMp9U/edit?usp=share_link"",""นครสวรรค์!I708"")+IMPORTRANGE(""https://docs.google.com/spreadsheets/d/1gFVb7qd7amutrIxAA"&amp;"oM7lcy35hllxznovot8lyOfvDo/edit?usp=share_link"",""น่าน!I708"")+IMPORTRANGE(""https://docs.google.com/spreadsheets/d/1K0Aa9s-6EuHE5M0FG1F9aHLXRCOV917xvycTdLdct0w/edit?usp=share_link"",""พะเยา!I708"")+IMPORTRANGE(""https://docs.google.com/spreadsheets/d/1Y"&amp;"9LPKx95PyL5OKy09d-KbKJSuuEZCFdkhYjwC0XQjBA/edit?usp=share_link"",""พิจิตร!I708"")+IMPORTRANGE(""https://docs.google.com/spreadsheets/d/16OMuOwy2eVqZcYWOouQtTpa8X1L23h4660uVHc0C8os/edit?usp=share_link"",""พิษณุโลก!I708"")+IMPORTRANGE(""https://docs.google."&amp;"com/spreadsheets/d/1GfgTldLG6k77HXaMQzaafODklYuucJZQNs_GAPEfZyY/edit?usp=share_link"",""เพชรบูรณ์!I708"")+IMPORTRANGE(""https://docs.google.com/spreadsheets/d/1gvTMYAnm7v1yG1BKWFtr0DnaTsq59oW9dwWvFgq6hs0/edit?usp=share_link"",""แพร่!I708"")+IMPORTRANGE("""&amp;"https://docs.google.com/spreadsheets/d/1Wbcosgy-Xa1xXUArJSOenub6EfZHUSzc_bpJFWwQUf0/edit?usp=share_link"",""แม่ฮ่องสอน!I708"")+IMPORTRANGE(""https://docs.google.com/spreadsheets/d/1p7ERhsr0qZeSn-KSOdeHS9r0heI-lHtkcn2OH7hP0jQ/edit?usp=share_link"",""ลำปาง!"&amp;"I708"")+IMPORTRANGE(""https://docs.google.com/spreadsheets/d/1-uUXvimVhiU2U0bMN-xi2te0tS4X7DI2GLPnMjzl8cA/edit?usp=share_link"",""ลำพูน!I708"")+IMPORTRANGE(""https://docs.google.com/spreadsheets/d/17HrOaa5pBUI1onckFfumXB8xlg35qb2uBAFfF1D-Myo/edit?usp=shar"&amp;"e_link"",""สุโขทัย!I708"")+IMPORTRANGE(""https://docs.google.com/spreadsheets/d/1ubs5cl16eYL9gHbdHTJtmtYb9MGzHBs7CAphn8kNCgM/edit?usp=share_link"",""อุตรดิตถ์!I708"")+IMPORTRANGE(""https://docs.google.com/spreadsheets/d/1kII0BjS6CtVrBvI8IrytgPdxDrlyQDyigz"&amp;"MsohRtDMs/edit?usp=share_link"",""อุทัยธานี!I708"")
"),2246)</f>
        <v>2246</v>
      </c>
      <c r="J708" s="194">
        <f ca="1">J714+J717</f>
        <v>0</v>
      </c>
      <c r="K708" s="195">
        <f ca="1">IF(I708&gt;0,J708*100/I708,0)</f>
        <v>0</v>
      </c>
      <c r="L708" s="38"/>
      <c r="M708" s="189"/>
      <c r="N708" s="732"/>
      <c r="O708" s="38"/>
      <c r="P708" s="38"/>
      <c r="Q708" s="542"/>
      <c r="R708" s="542"/>
      <c r="S708" s="542"/>
      <c r="T708" s="542"/>
      <c r="U708" s="542"/>
      <c r="V708" s="542"/>
      <c r="W708" s="542"/>
      <c r="X708" s="542"/>
      <c r="Y708" s="542"/>
      <c r="Z708" s="542"/>
    </row>
    <row r="709" spans="1:26" ht="18.75">
      <c r="A709" s="710"/>
      <c r="B709" s="540"/>
      <c r="C709" s="540"/>
      <c r="D709" s="540"/>
      <c r="E709" s="541" t="s">
        <v>300</v>
      </c>
      <c r="F709" s="540"/>
      <c r="G709" s="189"/>
      <c r="H709" s="182" t="s">
        <v>34</v>
      </c>
      <c r="I709" s="731"/>
      <c r="J709" s="183">
        <f ca="1">IFERROR(__xludf.DUMMYFUNCTION("IMPORTRANGE(""https://docs.google.com/spreadsheets/d/1KxicF4apzSqm0-jIpmueT4kyZtE-Cwn5zskl7GD4loQ/edit?usp=share_link"",""กำแพงเพชร!J709"")+IMPORTRANGE(""https://docs.google.com/spreadsheets/d/1ZNYWeiFoFA1K1U4xKWqRX29MBvEyRHXORjo734Gnq_c/edit?usp=share_li"&amp;"nk"",""เชียงราย!J709"")
+IMPORTRANGE(""https://docs.google.com/spreadsheets/d/1Jgv0Y7YlHDtsiDawwp-uvifEJ8HVaSn0k2aGHG8-hwM/edit?usp=share_link"",""เชียงใหม่!J709"")+IMPORTRANGE(""https://docs.google.com/spreadsheets/d/1JWG2rZePOz9pe-f-ObA-yDr0VoOX2kSb0qIi"&amp;"x2mTUo8/edit?usp=share_link"",""ตาก!J709"")+IMPORTRANGE(""https://docs.google.com/spreadsheets/d/10nSRjK08hx8Y6HgSOQKNw81lyY46Zc7U_Cj72hBMp9U/edit?usp=share_link"",""นครสวรรค์!J709"")+IMPORTRANGE(""https://docs.google.com/spreadsheets/d/1gFVb7qd7amutrIxAA"&amp;"oM7lcy35hllxznovot8lyOfvDo/edit?usp=share_link"",""น่าน!J709"")+IMPORTRANGE(""https://docs.google.com/spreadsheets/d/1K0Aa9s-6EuHE5M0FG1F9aHLXRCOV917xvycTdLdct0w/edit?usp=share_link"",""พะเยา!J709"")+IMPORTRANGE(""https://docs.google.com/spreadsheets/d/1Y"&amp;"9LPKx95PyL5OKy09d-KbKJSuuEZCFdkhYjwC0XQjBA/edit?usp=share_link"",""พิจิตร!J709"")+IMPORTRANGE(""https://docs.google.com/spreadsheets/d/16OMuOwy2eVqZcYWOouQtTpa8X1L23h4660uVHc0C8os/edit?usp=share_link"",""พิษณุโลก!J709"")+IMPORTRANGE(""https://docs.google."&amp;"com/spreadsheets/d/1GfgTldLG6k77HXaMQzaafODklYuucJZQNs_GAPEfZyY/edit?usp=share_link"",""เพชรบูรณ์!J709"")+IMPORTRANGE(""https://docs.google.com/spreadsheets/d/1gvTMYAnm7v1yG1BKWFtr0DnaTsq59oW9dwWvFgq6hs0/edit?usp=share_link"",""แพร่!J709"")+IMPORTRANGE("""&amp;"https://docs.google.com/spreadsheets/d/1Wbcosgy-Xa1xXUArJSOenub6EfZHUSzc_bpJFWwQUf0/edit?usp=share_link"",""แม่ฮ่องสอน!J709"")+IMPORTRANGE(""https://docs.google.com/spreadsheets/d/1p7ERhsr0qZeSn-KSOdeHS9r0heI-lHtkcn2OH7hP0jQ/edit?usp=share_link"",""ลำปาง!"&amp;"J709"")+IMPORTRANGE(""https://docs.google.com/spreadsheets/d/1-uUXvimVhiU2U0bMN-xi2te0tS4X7DI2GLPnMjzl8cA/edit?usp=share_link"",""ลำพูน!J709"")+IMPORTRANGE(""https://docs.google.com/spreadsheets/d/17HrOaa5pBUI1onckFfumXB8xlg35qb2uBAFfF1D-Myo/edit?usp=shar"&amp;"e_link"",""สุโขทัย!J709"")+IMPORTRANGE(""https://docs.google.com/spreadsheets/d/1ubs5cl16eYL9gHbdHTJtmtYb9MGzHBs7CAphn8kNCgM/edit?usp=share_link"",""อุตรดิตถ์!J709"")+IMPORTRANGE(""https://docs.google.com/spreadsheets/d/1kII0BjS6CtVrBvI8IrytgPdxDrlyQDyigz"&amp;"MsohRtDMs/edit?usp=share_link"",""อุทัยธานี!J709"")
"),0)</f>
        <v>0</v>
      </c>
      <c r="K709" s="38"/>
      <c r="L709" s="732"/>
      <c r="M709" s="189"/>
      <c r="N709" s="732"/>
      <c r="O709" s="38"/>
      <c r="P709" s="38"/>
      <c r="Q709" s="542"/>
      <c r="R709" s="542"/>
      <c r="S709" s="542"/>
      <c r="T709" s="542"/>
      <c r="U709" s="542"/>
      <c r="V709" s="542"/>
      <c r="W709" s="542"/>
      <c r="X709" s="542"/>
      <c r="Y709" s="542"/>
      <c r="Z709" s="542"/>
    </row>
    <row r="710" spans="1:26" ht="18.75">
      <c r="A710" s="710"/>
      <c r="B710" s="540"/>
      <c r="C710" s="540"/>
      <c r="D710" s="540"/>
      <c r="E710" s="540"/>
      <c r="F710" s="540"/>
      <c r="G710" s="189"/>
      <c r="H710" s="182" t="s">
        <v>46</v>
      </c>
      <c r="I710" s="731"/>
      <c r="J710" s="183">
        <f ca="1">IFERROR(__xludf.DUMMYFUNCTION("IMPORTRANGE(""https://docs.google.com/spreadsheets/d/1KxicF4apzSqm0-jIpmueT4kyZtE-Cwn5zskl7GD4loQ/edit?usp=share_link"",""กำแพงเพชร!J710"")+IMPORTRANGE(""https://docs.google.com/spreadsheets/d/1ZNYWeiFoFA1K1U4xKWqRX29MBvEyRHXORjo734Gnq_c/edit?usp=share_li"&amp;"nk"",""เชียงราย!J710"")
+IMPORTRANGE(""https://docs.google.com/spreadsheets/d/1Jgv0Y7YlHDtsiDawwp-uvifEJ8HVaSn0k2aGHG8-hwM/edit?usp=share_link"",""เชียงใหม่!J710"")+IMPORTRANGE(""https://docs.google.com/spreadsheets/d/1JWG2rZePOz9pe-f-ObA-yDr0VoOX2kSb0qIi"&amp;"x2mTUo8/edit?usp=share_link"",""ตาก!J710"")+IMPORTRANGE(""https://docs.google.com/spreadsheets/d/10nSRjK08hx8Y6HgSOQKNw81lyY46Zc7U_Cj72hBMp9U/edit?usp=share_link"",""นครสวรรค์!J710"")+IMPORTRANGE(""https://docs.google.com/spreadsheets/d/1gFVb7qd7amutrIxAA"&amp;"oM7lcy35hllxznovot8lyOfvDo/edit?usp=share_link"",""น่าน!J710"")+IMPORTRANGE(""https://docs.google.com/spreadsheets/d/1K0Aa9s-6EuHE5M0FG1F9aHLXRCOV917xvycTdLdct0w/edit?usp=share_link"",""พะเยา!J710"")+IMPORTRANGE(""https://docs.google.com/spreadsheets/d/1Y"&amp;"9LPKx95PyL5OKy09d-KbKJSuuEZCFdkhYjwC0XQjBA/edit?usp=share_link"",""พิจิตร!J710"")+IMPORTRANGE(""https://docs.google.com/spreadsheets/d/16OMuOwy2eVqZcYWOouQtTpa8X1L23h4660uVHc0C8os/edit?usp=share_link"",""พิษณุโลก!J710"")+IMPORTRANGE(""https://docs.google."&amp;"com/spreadsheets/d/1GfgTldLG6k77HXaMQzaafODklYuucJZQNs_GAPEfZyY/edit?usp=share_link"",""เพชรบูรณ์!J710"")+IMPORTRANGE(""https://docs.google.com/spreadsheets/d/1gvTMYAnm7v1yG1BKWFtr0DnaTsq59oW9dwWvFgq6hs0/edit?usp=share_link"",""แพร่!J710"")+IMPORTRANGE("""&amp;"https://docs.google.com/spreadsheets/d/1Wbcosgy-Xa1xXUArJSOenub6EfZHUSzc_bpJFWwQUf0/edit?usp=share_link"",""แม่ฮ่องสอน!J710"")+IMPORTRANGE(""https://docs.google.com/spreadsheets/d/1p7ERhsr0qZeSn-KSOdeHS9r0heI-lHtkcn2OH7hP0jQ/edit?usp=share_link"",""ลำปาง!"&amp;"J710"")+IMPORTRANGE(""https://docs.google.com/spreadsheets/d/1-uUXvimVhiU2U0bMN-xi2te0tS4X7DI2GLPnMjzl8cA/edit?usp=share_link"",""ลำพูน!J710"")+IMPORTRANGE(""https://docs.google.com/spreadsheets/d/17HrOaa5pBUI1onckFfumXB8xlg35qb2uBAFfF1D-Myo/edit?usp=shar"&amp;"e_link"",""สุโขทัย!J710"")+IMPORTRANGE(""https://docs.google.com/spreadsheets/d/1ubs5cl16eYL9gHbdHTJtmtYb9MGzHBs7CAphn8kNCgM/edit?usp=share_link"",""อุตรดิตถ์!J710"")+IMPORTRANGE(""https://docs.google.com/spreadsheets/d/1kII0BjS6CtVrBvI8IrytgPdxDrlyQDyigz"&amp;"MsohRtDMs/edit?usp=share_link"",""อุทัยธานี!J710"")
"),0)</f>
        <v>0</v>
      </c>
      <c r="K710" s="38"/>
      <c r="L710" s="732"/>
      <c r="M710" s="189"/>
      <c r="N710" s="732"/>
      <c r="O710" s="38"/>
      <c r="P710" s="38"/>
      <c r="Q710" s="542"/>
      <c r="R710" s="542"/>
      <c r="S710" s="542"/>
      <c r="T710" s="542"/>
      <c r="U710" s="542"/>
      <c r="V710" s="542"/>
      <c r="W710" s="542"/>
      <c r="X710" s="542"/>
      <c r="Y710" s="542"/>
      <c r="Z710" s="542"/>
    </row>
    <row r="711" spans="1:26" ht="18.75">
      <c r="A711" s="710"/>
      <c r="B711" s="540"/>
      <c r="C711" s="540"/>
      <c r="D711" s="540"/>
      <c r="E711" s="541" t="s">
        <v>301</v>
      </c>
      <c r="F711" s="540"/>
      <c r="G711" s="189"/>
      <c r="H711" s="175"/>
      <c r="I711" s="731"/>
      <c r="J711" s="37"/>
      <c r="K711" s="38"/>
      <c r="L711" s="732"/>
      <c r="M711" s="189"/>
      <c r="N711" s="732"/>
      <c r="O711" s="38"/>
      <c r="P711" s="38"/>
      <c r="Q711" s="542"/>
      <c r="R711" s="542"/>
      <c r="S711" s="542"/>
      <c r="T711" s="542"/>
      <c r="U711" s="542"/>
      <c r="V711" s="542"/>
      <c r="W711" s="542"/>
      <c r="X711" s="542"/>
      <c r="Y711" s="542"/>
      <c r="Z711" s="542"/>
    </row>
    <row r="712" spans="1:26" ht="18.75">
      <c r="A712" s="710"/>
      <c r="B712" s="540"/>
      <c r="C712" s="540"/>
      <c r="D712" s="540"/>
      <c r="E712" s="540"/>
      <c r="F712" s="541" t="s">
        <v>302</v>
      </c>
      <c r="G712" s="189"/>
      <c r="H712" s="182" t="s">
        <v>35</v>
      </c>
      <c r="I712" s="731"/>
      <c r="J712" s="183">
        <f ca="1">IFERROR(__xludf.DUMMYFUNCTION("IMPORTRANGE(""https://docs.google.com/spreadsheets/d/1KxicF4apzSqm0-jIpmueT4kyZtE-Cwn5zskl7GD4loQ/edit?usp=share_link"",""กำแพงเพชร!J712"")+IMPORTRANGE(""https://docs.google.com/spreadsheets/d/1ZNYWeiFoFA1K1U4xKWqRX29MBvEyRHXORjo734Gnq_c/edit?usp=share_li"&amp;"nk"",""เชียงราย!J712"")
+IMPORTRANGE(""https://docs.google.com/spreadsheets/d/1Jgv0Y7YlHDtsiDawwp-uvifEJ8HVaSn0k2aGHG8-hwM/edit?usp=share_link"",""เชียงใหม่!J712"")+IMPORTRANGE(""https://docs.google.com/spreadsheets/d/1JWG2rZePOz9pe-f-ObA-yDr0VoOX2kSb0qIi"&amp;"x2mTUo8/edit?usp=share_link"",""ตาก!J712"")+IMPORTRANGE(""https://docs.google.com/spreadsheets/d/10nSRjK08hx8Y6HgSOQKNw81lyY46Zc7U_Cj72hBMp9U/edit?usp=share_link"",""นครสวรรค์!J712"")+IMPORTRANGE(""https://docs.google.com/spreadsheets/d/1gFVb7qd7amutrIxAA"&amp;"oM7lcy35hllxznovot8lyOfvDo/edit?usp=share_link"",""น่าน!J712"")+IMPORTRANGE(""https://docs.google.com/spreadsheets/d/1K0Aa9s-6EuHE5M0FG1F9aHLXRCOV917xvycTdLdct0w/edit?usp=share_link"",""พะเยา!J712"")+IMPORTRANGE(""https://docs.google.com/spreadsheets/d/1Y"&amp;"9LPKx95PyL5OKy09d-KbKJSuuEZCFdkhYjwC0XQjBA/edit?usp=share_link"",""พิจิตร!J712"")+IMPORTRANGE(""https://docs.google.com/spreadsheets/d/16OMuOwy2eVqZcYWOouQtTpa8X1L23h4660uVHc0C8os/edit?usp=share_link"",""พิษณุโลก!J712"")+IMPORTRANGE(""https://docs.google."&amp;"com/spreadsheets/d/1GfgTldLG6k77HXaMQzaafODklYuucJZQNs_GAPEfZyY/edit?usp=share_link"",""เพชรบูรณ์!J712"")+IMPORTRANGE(""https://docs.google.com/spreadsheets/d/1gvTMYAnm7v1yG1BKWFtr0DnaTsq59oW9dwWvFgq6hs0/edit?usp=share_link"",""แพร่!J712"")+IMPORTRANGE("""&amp;"https://docs.google.com/spreadsheets/d/1Wbcosgy-Xa1xXUArJSOenub6EfZHUSzc_bpJFWwQUf0/edit?usp=share_link"",""แม่ฮ่องสอน!J712"")+IMPORTRANGE(""https://docs.google.com/spreadsheets/d/1p7ERhsr0qZeSn-KSOdeHS9r0heI-lHtkcn2OH7hP0jQ/edit?usp=share_link"",""ลำปาง!"&amp;"J712"")+IMPORTRANGE(""https://docs.google.com/spreadsheets/d/1-uUXvimVhiU2U0bMN-xi2te0tS4X7DI2GLPnMjzl8cA/edit?usp=share_link"",""ลำพูน!J712"")+IMPORTRANGE(""https://docs.google.com/spreadsheets/d/17HrOaa5pBUI1onckFfumXB8xlg35qb2uBAFfF1D-Myo/edit?usp=shar"&amp;"e_link"",""สุโขทัย!J712"")+IMPORTRANGE(""https://docs.google.com/spreadsheets/d/1ubs5cl16eYL9gHbdHTJtmtYb9MGzHBs7CAphn8kNCgM/edit?usp=share_link"",""อุตรดิตถ์!J712"")+IMPORTRANGE(""https://docs.google.com/spreadsheets/d/1kII0BjS6CtVrBvI8IrytgPdxDrlyQDyigz"&amp;"MsohRtDMs/edit?usp=share_link"",""อุทัยธานี!J712"")
"),0)</f>
        <v>0</v>
      </c>
      <c r="K712" s="38"/>
      <c r="L712" s="732"/>
      <c r="M712" s="189"/>
      <c r="N712" s="732"/>
      <c r="O712" s="38"/>
      <c r="P712" s="38"/>
      <c r="Q712" s="542"/>
      <c r="R712" s="542"/>
      <c r="S712" s="542"/>
      <c r="T712" s="542"/>
      <c r="U712" s="542"/>
      <c r="V712" s="542"/>
      <c r="W712" s="542"/>
      <c r="X712" s="542"/>
      <c r="Y712" s="542"/>
      <c r="Z712" s="542"/>
    </row>
    <row r="713" spans="1:26" ht="18.75">
      <c r="A713" s="710"/>
      <c r="B713" s="540"/>
      <c r="C713" s="540"/>
      <c r="D713" s="540"/>
      <c r="E713" s="540"/>
      <c r="F713" s="540"/>
      <c r="G713" s="189"/>
      <c r="H713" s="182" t="s">
        <v>34</v>
      </c>
      <c r="I713" s="731"/>
      <c r="J713" s="183">
        <f ca="1">IFERROR(__xludf.DUMMYFUNCTION("IMPORTRANGE(""https://docs.google.com/spreadsheets/d/1KxicF4apzSqm0-jIpmueT4kyZtE-Cwn5zskl7GD4loQ/edit?usp=share_link"",""กำแพงเพชร!J713"")+IMPORTRANGE(""https://docs.google.com/spreadsheets/d/1ZNYWeiFoFA1K1U4xKWqRX29MBvEyRHXORjo734Gnq_c/edit?usp=share_li"&amp;"nk"",""เชียงราย!J713"")
+IMPORTRANGE(""https://docs.google.com/spreadsheets/d/1Jgv0Y7YlHDtsiDawwp-uvifEJ8HVaSn0k2aGHG8-hwM/edit?usp=share_link"",""เชียงใหม่!J713"")+IMPORTRANGE(""https://docs.google.com/spreadsheets/d/1JWG2rZePOz9pe-f-ObA-yDr0VoOX2kSb0qIi"&amp;"x2mTUo8/edit?usp=share_link"",""ตาก!J713"")+IMPORTRANGE(""https://docs.google.com/spreadsheets/d/10nSRjK08hx8Y6HgSOQKNw81lyY46Zc7U_Cj72hBMp9U/edit?usp=share_link"",""นครสวรรค์!J713"")+IMPORTRANGE(""https://docs.google.com/spreadsheets/d/1gFVb7qd7amutrIxAA"&amp;"oM7lcy35hllxznovot8lyOfvDo/edit?usp=share_link"",""น่าน!J713"")+IMPORTRANGE(""https://docs.google.com/spreadsheets/d/1K0Aa9s-6EuHE5M0FG1F9aHLXRCOV917xvycTdLdct0w/edit?usp=share_link"",""พะเยา!J713"")+IMPORTRANGE(""https://docs.google.com/spreadsheets/d/1Y"&amp;"9LPKx95PyL5OKy09d-KbKJSuuEZCFdkhYjwC0XQjBA/edit?usp=share_link"",""พิจิตร!J713"")+IMPORTRANGE(""https://docs.google.com/spreadsheets/d/16OMuOwy2eVqZcYWOouQtTpa8X1L23h4660uVHc0C8os/edit?usp=share_link"",""พิษณุโลก!J713"")+IMPORTRANGE(""https://docs.google."&amp;"com/spreadsheets/d/1GfgTldLG6k77HXaMQzaafODklYuucJZQNs_GAPEfZyY/edit?usp=share_link"",""เพชรบูรณ์!J713"")+IMPORTRANGE(""https://docs.google.com/spreadsheets/d/1gvTMYAnm7v1yG1BKWFtr0DnaTsq59oW9dwWvFgq6hs0/edit?usp=share_link"",""แพร่!J713"")+IMPORTRANGE("""&amp;"https://docs.google.com/spreadsheets/d/1Wbcosgy-Xa1xXUArJSOenub6EfZHUSzc_bpJFWwQUf0/edit?usp=share_link"",""แม่ฮ่องสอน!J713"")+IMPORTRANGE(""https://docs.google.com/spreadsheets/d/1p7ERhsr0qZeSn-KSOdeHS9r0heI-lHtkcn2OH7hP0jQ/edit?usp=share_link"",""ลำปาง!"&amp;"J713"")+IMPORTRANGE(""https://docs.google.com/spreadsheets/d/1-uUXvimVhiU2U0bMN-xi2te0tS4X7DI2GLPnMjzl8cA/edit?usp=share_link"",""ลำพูน!J713"")+IMPORTRANGE(""https://docs.google.com/spreadsheets/d/17HrOaa5pBUI1onckFfumXB8xlg35qb2uBAFfF1D-Myo/edit?usp=shar"&amp;"e_link"",""สุโขทัย!J713"")+IMPORTRANGE(""https://docs.google.com/spreadsheets/d/1ubs5cl16eYL9gHbdHTJtmtYb9MGzHBs7CAphn8kNCgM/edit?usp=share_link"",""อุตรดิตถ์!J713"")+IMPORTRANGE(""https://docs.google.com/spreadsheets/d/1kII0BjS6CtVrBvI8IrytgPdxDrlyQDyigz"&amp;"MsohRtDMs/edit?usp=share_link"",""อุทัยธานี!J713"")
"),0)</f>
        <v>0</v>
      </c>
      <c r="K713" s="38"/>
      <c r="L713" s="732"/>
      <c r="M713" s="189"/>
      <c r="N713" s="732"/>
      <c r="O713" s="38"/>
      <c r="P713" s="38"/>
      <c r="Q713" s="542"/>
      <c r="R713" s="542"/>
      <c r="S713" s="542"/>
      <c r="T713" s="542"/>
      <c r="U713" s="542"/>
      <c r="V713" s="542"/>
      <c r="W713" s="542"/>
      <c r="X713" s="542"/>
      <c r="Y713" s="542"/>
      <c r="Z713" s="542"/>
    </row>
    <row r="714" spans="1:26" ht="18.75">
      <c r="A714" s="710"/>
      <c r="B714" s="540"/>
      <c r="C714" s="540"/>
      <c r="D714" s="540"/>
      <c r="E714" s="540"/>
      <c r="F714" s="540"/>
      <c r="G714" s="189"/>
      <c r="H714" s="182" t="s">
        <v>46</v>
      </c>
      <c r="I714" s="731"/>
      <c r="J714" s="183">
        <f ca="1">IFERROR(__xludf.DUMMYFUNCTION("IMPORTRANGE(""https://docs.google.com/spreadsheets/d/1KxicF4apzSqm0-jIpmueT4kyZtE-Cwn5zskl7GD4loQ/edit?usp=share_link"",""กำแพงเพชร!J714"")+IMPORTRANGE(""https://docs.google.com/spreadsheets/d/1ZNYWeiFoFA1K1U4xKWqRX29MBvEyRHXORjo734Gnq_c/edit?usp=share_li"&amp;"nk"",""เชียงราย!J714"")
+IMPORTRANGE(""https://docs.google.com/spreadsheets/d/1Jgv0Y7YlHDtsiDawwp-uvifEJ8HVaSn0k2aGHG8-hwM/edit?usp=share_link"",""เชียงใหม่!J714"")+IMPORTRANGE(""https://docs.google.com/spreadsheets/d/1JWG2rZePOz9pe-f-ObA-yDr0VoOX2kSb0qIi"&amp;"x2mTUo8/edit?usp=share_link"",""ตาก!J714"")+IMPORTRANGE(""https://docs.google.com/spreadsheets/d/10nSRjK08hx8Y6HgSOQKNw81lyY46Zc7U_Cj72hBMp9U/edit?usp=share_link"",""นครสวรรค์!J714"")+IMPORTRANGE(""https://docs.google.com/spreadsheets/d/1gFVb7qd7amutrIxAA"&amp;"oM7lcy35hllxznovot8lyOfvDo/edit?usp=share_link"",""น่าน!J714"")+IMPORTRANGE(""https://docs.google.com/spreadsheets/d/1K0Aa9s-6EuHE5M0FG1F9aHLXRCOV917xvycTdLdct0w/edit?usp=share_link"",""พะเยา!J714"")+IMPORTRANGE(""https://docs.google.com/spreadsheets/d/1Y"&amp;"9LPKx95PyL5OKy09d-KbKJSuuEZCFdkhYjwC0XQjBA/edit?usp=share_link"",""พิจิตร!J714"")+IMPORTRANGE(""https://docs.google.com/spreadsheets/d/16OMuOwy2eVqZcYWOouQtTpa8X1L23h4660uVHc0C8os/edit?usp=share_link"",""พิษณุโลก!J714"")+IMPORTRANGE(""https://docs.google."&amp;"com/spreadsheets/d/1GfgTldLG6k77HXaMQzaafODklYuucJZQNs_GAPEfZyY/edit?usp=share_link"",""เพชรบูรณ์!J714"")+IMPORTRANGE(""https://docs.google.com/spreadsheets/d/1gvTMYAnm7v1yG1BKWFtr0DnaTsq59oW9dwWvFgq6hs0/edit?usp=share_link"",""แพร่!J714"")+IMPORTRANGE("""&amp;"https://docs.google.com/spreadsheets/d/1Wbcosgy-Xa1xXUArJSOenub6EfZHUSzc_bpJFWwQUf0/edit?usp=share_link"",""แม่ฮ่องสอน!J714"")+IMPORTRANGE(""https://docs.google.com/spreadsheets/d/1p7ERhsr0qZeSn-KSOdeHS9r0heI-lHtkcn2OH7hP0jQ/edit?usp=share_link"",""ลำปาง!"&amp;"J714"")+IMPORTRANGE(""https://docs.google.com/spreadsheets/d/1-uUXvimVhiU2U0bMN-xi2te0tS4X7DI2GLPnMjzl8cA/edit?usp=share_link"",""ลำพูน!J714"")+IMPORTRANGE(""https://docs.google.com/spreadsheets/d/17HrOaa5pBUI1onckFfumXB8xlg35qb2uBAFfF1D-Myo/edit?usp=shar"&amp;"e_link"",""สุโขทัย!J714"")+IMPORTRANGE(""https://docs.google.com/spreadsheets/d/1ubs5cl16eYL9gHbdHTJtmtYb9MGzHBs7CAphn8kNCgM/edit?usp=share_link"",""อุตรดิตถ์!J714"")+IMPORTRANGE(""https://docs.google.com/spreadsheets/d/1kII0BjS6CtVrBvI8IrytgPdxDrlyQDyigz"&amp;"MsohRtDMs/edit?usp=share_link"",""อุทัยธานี!J714"")
"),0)</f>
        <v>0</v>
      </c>
      <c r="K714" s="38"/>
      <c r="L714" s="732"/>
      <c r="M714" s="189"/>
      <c r="N714" s="732"/>
      <c r="O714" s="38"/>
      <c r="P714" s="38"/>
      <c r="Q714" s="542"/>
      <c r="R714" s="542"/>
      <c r="S714" s="542"/>
      <c r="T714" s="542"/>
      <c r="U714" s="542"/>
      <c r="V714" s="542"/>
      <c r="W714" s="542"/>
      <c r="X714" s="542"/>
      <c r="Y714" s="542"/>
      <c r="Z714" s="542"/>
    </row>
    <row r="715" spans="1:26" ht="18.75">
      <c r="A715" s="710"/>
      <c r="B715" s="540"/>
      <c r="C715" s="540"/>
      <c r="D715" s="540"/>
      <c r="E715" s="540"/>
      <c r="F715" s="541" t="s">
        <v>303</v>
      </c>
      <c r="G715" s="189"/>
      <c r="H715" s="182" t="s">
        <v>35</v>
      </c>
      <c r="I715" s="731"/>
      <c r="J715" s="183">
        <f ca="1">IFERROR(__xludf.DUMMYFUNCTION("IMPORTRANGE(""https://docs.google.com/spreadsheets/d/1KxicF4apzSqm0-jIpmueT4kyZtE-Cwn5zskl7GD4loQ/edit?usp=share_link"",""กำแพงเพชร!J715"")+IMPORTRANGE(""https://docs.google.com/spreadsheets/d/1ZNYWeiFoFA1K1U4xKWqRX29MBvEyRHXORjo734Gnq_c/edit?usp=share_li"&amp;"nk"",""เชียงราย!J715"")
+IMPORTRANGE(""https://docs.google.com/spreadsheets/d/1Jgv0Y7YlHDtsiDawwp-uvifEJ8HVaSn0k2aGHG8-hwM/edit?usp=share_link"",""เชียงใหม่!J715"")+IMPORTRANGE(""https://docs.google.com/spreadsheets/d/1JWG2rZePOz9pe-f-ObA-yDr0VoOX2kSb0qIi"&amp;"x2mTUo8/edit?usp=share_link"",""ตาก!J715"")+IMPORTRANGE(""https://docs.google.com/spreadsheets/d/10nSRjK08hx8Y6HgSOQKNw81lyY46Zc7U_Cj72hBMp9U/edit?usp=share_link"",""นครสวรรค์!J715"")+IMPORTRANGE(""https://docs.google.com/spreadsheets/d/1gFVb7qd7amutrIxAA"&amp;"oM7lcy35hllxznovot8lyOfvDo/edit?usp=share_link"",""น่าน!J715"")+IMPORTRANGE(""https://docs.google.com/spreadsheets/d/1K0Aa9s-6EuHE5M0FG1F9aHLXRCOV917xvycTdLdct0w/edit?usp=share_link"",""พะเยา!J715"")+IMPORTRANGE(""https://docs.google.com/spreadsheets/d/1Y"&amp;"9LPKx95PyL5OKy09d-KbKJSuuEZCFdkhYjwC0XQjBA/edit?usp=share_link"",""พิจิตร!J715"")+IMPORTRANGE(""https://docs.google.com/spreadsheets/d/16OMuOwy2eVqZcYWOouQtTpa8X1L23h4660uVHc0C8os/edit?usp=share_link"",""พิษณุโลก!J715"")+IMPORTRANGE(""https://docs.google."&amp;"com/spreadsheets/d/1GfgTldLG6k77HXaMQzaafODklYuucJZQNs_GAPEfZyY/edit?usp=share_link"",""เพชรบูรณ์!J715"")+IMPORTRANGE(""https://docs.google.com/spreadsheets/d/1gvTMYAnm7v1yG1BKWFtr0DnaTsq59oW9dwWvFgq6hs0/edit?usp=share_link"",""แพร่!J715"")+IMPORTRANGE("""&amp;"https://docs.google.com/spreadsheets/d/1Wbcosgy-Xa1xXUArJSOenub6EfZHUSzc_bpJFWwQUf0/edit?usp=share_link"",""แม่ฮ่องสอน!J715"")+IMPORTRANGE(""https://docs.google.com/spreadsheets/d/1p7ERhsr0qZeSn-KSOdeHS9r0heI-lHtkcn2OH7hP0jQ/edit?usp=share_link"",""ลำปาง!"&amp;"J715"")+IMPORTRANGE(""https://docs.google.com/spreadsheets/d/1-uUXvimVhiU2U0bMN-xi2te0tS4X7DI2GLPnMjzl8cA/edit?usp=share_link"",""ลำพูน!J715"")+IMPORTRANGE(""https://docs.google.com/spreadsheets/d/17HrOaa5pBUI1onckFfumXB8xlg35qb2uBAFfF1D-Myo/edit?usp=shar"&amp;"e_link"",""สุโขทัย!J715"")+IMPORTRANGE(""https://docs.google.com/spreadsheets/d/1ubs5cl16eYL9gHbdHTJtmtYb9MGzHBs7CAphn8kNCgM/edit?usp=share_link"",""อุตรดิตถ์!J715"")+IMPORTRANGE(""https://docs.google.com/spreadsheets/d/1kII0BjS6CtVrBvI8IrytgPdxDrlyQDyigz"&amp;"MsohRtDMs/edit?usp=share_link"",""อุทัยธานี!J715"")
"),0)</f>
        <v>0</v>
      </c>
      <c r="K715" s="38"/>
      <c r="L715" s="732"/>
      <c r="M715" s="189"/>
      <c r="N715" s="732"/>
      <c r="O715" s="38"/>
      <c r="P715" s="38"/>
      <c r="Q715" s="542"/>
      <c r="R715" s="542"/>
      <c r="S715" s="542"/>
      <c r="T715" s="542"/>
      <c r="U715" s="542"/>
      <c r="V715" s="542"/>
      <c r="W715" s="542"/>
      <c r="X715" s="542"/>
      <c r="Y715" s="542"/>
      <c r="Z715" s="542"/>
    </row>
    <row r="716" spans="1:26" ht="18.75">
      <c r="A716" s="710"/>
      <c r="B716" s="540"/>
      <c r="C716" s="540"/>
      <c r="D716" s="540"/>
      <c r="E716" s="540"/>
      <c r="F716" s="540"/>
      <c r="G716" s="189"/>
      <c r="H716" s="182" t="s">
        <v>34</v>
      </c>
      <c r="I716" s="731"/>
      <c r="J716" s="183">
        <f ca="1">IFERROR(__xludf.DUMMYFUNCTION("IMPORTRANGE(""https://docs.google.com/spreadsheets/d/1KxicF4apzSqm0-jIpmueT4kyZtE-Cwn5zskl7GD4loQ/edit?usp=share_link"",""กำแพงเพชร!J716"")+IMPORTRANGE(""https://docs.google.com/spreadsheets/d/1ZNYWeiFoFA1K1U4xKWqRX29MBvEyRHXORjo734Gnq_c/edit?usp=share_li"&amp;"nk"",""เชียงราย!J716"")
+IMPORTRANGE(""https://docs.google.com/spreadsheets/d/1Jgv0Y7YlHDtsiDawwp-uvifEJ8HVaSn0k2aGHG8-hwM/edit?usp=share_link"",""เชียงใหม่!J716"")+IMPORTRANGE(""https://docs.google.com/spreadsheets/d/1JWG2rZePOz9pe-f-ObA-yDr0VoOX2kSb0qIi"&amp;"x2mTUo8/edit?usp=share_link"",""ตาก!J716"")+IMPORTRANGE(""https://docs.google.com/spreadsheets/d/10nSRjK08hx8Y6HgSOQKNw81lyY46Zc7U_Cj72hBMp9U/edit?usp=share_link"",""นครสวรรค์!J716"")+IMPORTRANGE(""https://docs.google.com/spreadsheets/d/1gFVb7qd7amutrIxAA"&amp;"oM7lcy35hllxznovot8lyOfvDo/edit?usp=share_link"",""น่าน!J716"")+IMPORTRANGE(""https://docs.google.com/spreadsheets/d/1K0Aa9s-6EuHE5M0FG1F9aHLXRCOV917xvycTdLdct0w/edit?usp=share_link"",""พะเยา!J716"")+IMPORTRANGE(""https://docs.google.com/spreadsheets/d/1Y"&amp;"9LPKx95PyL5OKy09d-KbKJSuuEZCFdkhYjwC0XQjBA/edit?usp=share_link"",""พิจิตร!J716"")+IMPORTRANGE(""https://docs.google.com/spreadsheets/d/16OMuOwy2eVqZcYWOouQtTpa8X1L23h4660uVHc0C8os/edit?usp=share_link"",""พิษณุโลก!J716"")+IMPORTRANGE(""https://docs.google."&amp;"com/spreadsheets/d/1GfgTldLG6k77HXaMQzaafODklYuucJZQNs_GAPEfZyY/edit?usp=share_link"",""เพชรบูรณ์!J716"")+IMPORTRANGE(""https://docs.google.com/spreadsheets/d/1gvTMYAnm7v1yG1BKWFtr0DnaTsq59oW9dwWvFgq6hs0/edit?usp=share_link"",""แพร่!J716"")+IMPORTRANGE("""&amp;"https://docs.google.com/spreadsheets/d/1Wbcosgy-Xa1xXUArJSOenub6EfZHUSzc_bpJFWwQUf0/edit?usp=share_link"",""แม่ฮ่องสอน!J716"")+IMPORTRANGE(""https://docs.google.com/spreadsheets/d/1p7ERhsr0qZeSn-KSOdeHS9r0heI-lHtkcn2OH7hP0jQ/edit?usp=share_link"",""ลำปาง!"&amp;"J716"")+IMPORTRANGE(""https://docs.google.com/spreadsheets/d/1-uUXvimVhiU2U0bMN-xi2te0tS4X7DI2GLPnMjzl8cA/edit?usp=share_link"",""ลำพูน!J716"")+IMPORTRANGE(""https://docs.google.com/spreadsheets/d/17HrOaa5pBUI1onckFfumXB8xlg35qb2uBAFfF1D-Myo/edit?usp=shar"&amp;"e_link"",""สุโขทัย!J716"")+IMPORTRANGE(""https://docs.google.com/spreadsheets/d/1ubs5cl16eYL9gHbdHTJtmtYb9MGzHBs7CAphn8kNCgM/edit?usp=share_link"",""อุตรดิตถ์!J716"")+IMPORTRANGE(""https://docs.google.com/spreadsheets/d/1kII0BjS6CtVrBvI8IrytgPdxDrlyQDyigz"&amp;"MsohRtDMs/edit?usp=share_link"",""อุทัยธานี!J716"")
"),0)</f>
        <v>0</v>
      </c>
      <c r="K716" s="38"/>
      <c r="L716" s="732"/>
      <c r="M716" s="189"/>
      <c r="N716" s="732"/>
      <c r="O716" s="38"/>
      <c r="P716" s="38"/>
      <c r="Q716" s="542"/>
      <c r="R716" s="542"/>
      <c r="S716" s="542"/>
      <c r="T716" s="542"/>
      <c r="U716" s="542"/>
      <c r="V716" s="542"/>
      <c r="W716" s="542"/>
      <c r="X716" s="542"/>
      <c r="Y716" s="542"/>
      <c r="Z716" s="542"/>
    </row>
    <row r="717" spans="1:26" ht="18.75">
      <c r="A717" s="710"/>
      <c r="B717" s="540"/>
      <c r="C717" s="540"/>
      <c r="D717" s="540"/>
      <c r="E717" s="540"/>
      <c r="F717" s="540"/>
      <c r="G717" s="189"/>
      <c r="H717" s="182" t="s">
        <v>46</v>
      </c>
      <c r="I717" s="731"/>
      <c r="J717" s="183">
        <f ca="1">IFERROR(__xludf.DUMMYFUNCTION("IMPORTRANGE(""https://docs.google.com/spreadsheets/d/1KxicF4apzSqm0-jIpmueT4kyZtE-Cwn5zskl7GD4loQ/edit?usp=share_link"",""กำแพงเพชร!J717"")+IMPORTRANGE(""https://docs.google.com/spreadsheets/d/1ZNYWeiFoFA1K1U4xKWqRX29MBvEyRHXORjo734Gnq_c/edit?usp=share_li"&amp;"nk"",""เชียงราย!J717"")
+IMPORTRANGE(""https://docs.google.com/spreadsheets/d/1Jgv0Y7YlHDtsiDawwp-uvifEJ8HVaSn0k2aGHG8-hwM/edit?usp=share_link"",""เชียงใหม่!J717"")+IMPORTRANGE(""https://docs.google.com/spreadsheets/d/1JWG2rZePOz9pe-f-ObA-yDr0VoOX2kSb0qIi"&amp;"x2mTUo8/edit?usp=share_link"",""ตาก!J717"")+IMPORTRANGE(""https://docs.google.com/spreadsheets/d/10nSRjK08hx8Y6HgSOQKNw81lyY46Zc7U_Cj72hBMp9U/edit?usp=share_link"",""นครสวรรค์!J717"")+IMPORTRANGE(""https://docs.google.com/spreadsheets/d/1gFVb7qd7amutrIxAA"&amp;"oM7lcy35hllxznovot8lyOfvDo/edit?usp=share_link"",""น่าน!J717"")+IMPORTRANGE(""https://docs.google.com/spreadsheets/d/1K0Aa9s-6EuHE5M0FG1F9aHLXRCOV917xvycTdLdct0w/edit?usp=share_link"",""พะเยา!J717"")+IMPORTRANGE(""https://docs.google.com/spreadsheets/d/1Y"&amp;"9LPKx95PyL5OKy09d-KbKJSuuEZCFdkhYjwC0XQjBA/edit?usp=share_link"",""พิจิตร!J717"")+IMPORTRANGE(""https://docs.google.com/spreadsheets/d/16OMuOwy2eVqZcYWOouQtTpa8X1L23h4660uVHc0C8os/edit?usp=share_link"",""พิษณุโลก!J717"")+IMPORTRANGE(""https://docs.google."&amp;"com/spreadsheets/d/1GfgTldLG6k77HXaMQzaafODklYuucJZQNs_GAPEfZyY/edit?usp=share_link"",""เพชรบูรณ์!J717"")+IMPORTRANGE(""https://docs.google.com/spreadsheets/d/1gvTMYAnm7v1yG1BKWFtr0DnaTsq59oW9dwWvFgq6hs0/edit?usp=share_link"",""แพร่!J717"")+IMPORTRANGE("""&amp;"https://docs.google.com/spreadsheets/d/1Wbcosgy-Xa1xXUArJSOenub6EfZHUSzc_bpJFWwQUf0/edit?usp=share_link"",""แม่ฮ่องสอน!J717"")+IMPORTRANGE(""https://docs.google.com/spreadsheets/d/1p7ERhsr0qZeSn-KSOdeHS9r0heI-lHtkcn2OH7hP0jQ/edit?usp=share_link"",""ลำปาง!"&amp;"J717"")+IMPORTRANGE(""https://docs.google.com/spreadsheets/d/1-uUXvimVhiU2U0bMN-xi2te0tS4X7DI2GLPnMjzl8cA/edit?usp=share_link"",""ลำพูน!J717"")+IMPORTRANGE(""https://docs.google.com/spreadsheets/d/17HrOaa5pBUI1onckFfumXB8xlg35qb2uBAFfF1D-Myo/edit?usp=shar"&amp;"e_link"",""สุโขทัย!J717"")+IMPORTRANGE(""https://docs.google.com/spreadsheets/d/1ubs5cl16eYL9gHbdHTJtmtYb9MGzHBs7CAphn8kNCgM/edit?usp=share_link"",""อุตรดิตถ์!J717"")+IMPORTRANGE(""https://docs.google.com/spreadsheets/d/1kII0BjS6CtVrBvI8IrytgPdxDrlyQDyigz"&amp;"MsohRtDMs/edit?usp=share_link"",""อุทัยธานี!J717"")
"),0)</f>
        <v>0</v>
      </c>
      <c r="K717" s="38"/>
      <c r="L717" s="732"/>
      <c r="M717" s="189"/>
      <c r="N717" s="732"/>
      <c r="O717" s="38"/>
      <c r="P717" s="38"/>
      <c r="Q717" s="542"/>
      <c r="R717" s="542"/>
      <c r="S717" s="542"/>
      <c r="T717" s="542"/>
      <c r="U717" s="542"/>
      <c r="V717" s="542"/>
      <c r="W717" s="542"/>
      <c r="X717" s="542"/>
      <c r="Y717" s="542"/>
      <c r="Z717" s="542"/>
    </row>
    <row r="718" spans="1:26" ht="18.75">
      <c r="A718" s="710"/>
      <c r="B718" s="540"/>
      <c r="C718" s="540"/>
      <c r="D718" s="541" t="s">
        <v>304</v>
      </c>
      <c r="E718" s="540"/>
      <c r="F718" s="540"/>
      <c r="G718" s="189"/>
      <c r="H718" s="182" t="s">
        <v>35</v>
      </c>
      <c r="I718" s="731"/>
      <c r="J718" s="37">
        <f ca="1">IFERROR(__xludf.DUMMYFUNCTION("IMPORTRANGE(""https://docs.google.com/spreadsheets/d/1KxicF4apzSqm0-jIpmueT4kyZtE-Cwn5zskl7GD4loQ/edit?usp=share_link"",""กำแพงเพชร!J718"")+IMPORTRANGE(""https://docs.google.com/spreadsheets/d/1ZNYWeiFoFA1K1U4xKWqRX29MBvEyRHXORjo734Gnq_c/edit?usp=share_li"&amp;"nk"",""เชียงราย!J718"")
+IMPORTRANGE(""https://docs.google.com/spreadsheets/d/1Jgv0Y7YlHDtsiDawwp-uvifEJ8HVaSn0k2aGHG8-hwM/edit?usp=share_link"",""เชียงใหม่!J718"")+IMPORTRANGE(""https://docs.google.com/spreadsheets/d/1JWG2rZePOz9pe-f-ObA-yDr0VoOX2kSb0qIi"&amp;"x2mTUo8/edit?usp=share_link"",""ตาก!J718"")+IMPORTRANGE(""https://docs.google.com/spreadsheets/d/10nSRjK08hx8Y6HgSOQKNw81lyY46Zc7U_Cj72hBMp9U/edit?usp=share_link"",""นครสวรรค์!J718"")+IMPORTRANGE(""https://docs.google.com/spreadsheets/d/1gFVb7qd7amutrIxAA"&amp;"oM7lcy35hllxznovot8lyOfvDo/edit?usp=share_link"",""น่าน!J718"")+IMPORTRANGE(""https://docs.google.com/spreadsheets/d/1K0Aa9s-6EuHE5M0FG1F9aHLXRCOV917xvycTdLdct0w/edit?usp=share_link"",""พะเยา!J718"")+IMPORTRANGE(""https://docs.google.com/spreadsheets/d/1Y"&amp;"9LPKx95PyL5OKy09d-KbKJSuuEZCFdkhYjwC0XQjBA/edit?usp=share_link"",""พิจิตร!J718"")+IMPORTRANGE(""https://docs.google.com/spreadsheets/d/16OMuOwy2eVqZcYWOouQtTpa8X1L23h4660uVHc0C8os/edit?usp=share_link"",""พิษณุโลก!J718"")+IMPORTRANGE(""https://docs.google."&amp;"com/spreadsheets/d/1GfgTldLG6k77HXaMQzaafODklYuucJZQNs_GAPEfZyY/edit?usp=share_link"",""เพชรบูรณ์!J718"")+IMPORTRANGE(""https://docs.google.com/spreadsheets/d/1gvTMYAnm7v1yG1BKWFtr0DnaTsq59oW9dwWvFgq6hs0/edit?usp=share_link"",""แพร่!J718"")+IMPORTRANGE("""&amp;"https://docs.google.com/spreadsheets/d/1Wbcosgy-Xa1xXUArJSOenub6EfZHUSzc_bpJFWwQUf0/edit?usp=share_link"",""แม่ฮ่องสอน!J718"")+IMPORTRANGE(""https://docs.google.com/spreadsheets/d/1p7ERhsr0qZeSn-KSOdeHS9r0heI-lHtkcn2OH7hP0jQ/edit?usp=share_link"",""ลำปาง!"&amp;"J718"")+IMPORTRANGE(""https://docs.google.com/spreadsheets/d/1-uUXvimVhiU2U0bMN-xi2te0tS4X7DI2GLPnMjzl8cA/edit?usp=share_link"",""ลำพูน!J718"")+IMPORTRANGE(""https://docs.google.com/spreadsheets/d/17HrOaa5pBUI1onckFfumXB8xlg35qb2uBAFfF1D-Myo/edit?usp=shar"&amp;"e_link"",""สุโขทัย!J718"")+IMPORTRANGE(""https://docs.google.com/spreadsheets/d/1ubs5cl16eYL9gHbdHTJtmtYb9MGzHBs7CAphn8kNCgM/edit?usp=share_link"",""อุตรดิตถ์!J718"")+IMPORTRANGE(""https://docs.google.com/spreadsheets/d/1kII0BjS6CtVrBvI8IrytgPdxDrlyQDyigz"&amp;"MsohRtDMs/edit?usp=share_link"",""อุทัยธานี!J718"")
"),1)</f>
        <v>1</v>
      </c>
      <c r="K718" s="38"/>
      <c r="L718" s="38"/>
      <c r="M718" s="189"/>
      <c r="N718" s="732"/>
      <c r="O718" s="38"/>
      <c r="P718" s="38"/>
      <c r="Q718" s="542"/>
      <c r="R718" s="542"/>
      <c r="S718" s="542"/>
      <c r="T718" s="542"/>
      <c r="U718" s="542"/>
      <c r="V718" s="542"/>
      <c r="W718" s="542"/>
      <c r="X718" s="542"/>
      <c r="Y718" s="542"/>
      <c r="Z718" s="542"/>
    </row>
    <row r="719" spans="1:26" ht="18.75">
      <c r="A719" s="710"/>
      <c r="B719" s="540"/>
      <c r="C719" s="540"/>
      <c r="D719" s="540"/>
      <c r="E719" s="540"/>
      <c r="F719" s="540"/>
      <c r="G719" s="189"/>
      <c r="H719" s="182" t="s">
        <v>34</v>
      </c>
      <c r="I719" s="731"/>
      <c r="J719" s="37">
        <f ca="1">IFERROR(__xludf.DUMMYFUNCTION("IMPORTRANGE(""https://docs.google.com/spreadsheets/d/1KxicF4apzSqm0-jIpmueT4kyZtE-Cwn5zskl7GD4loQ/edit?usp=share_link"",""กำแพงเพชร!J719"")+IMPORTRANGE(""https://docs.google.com/spreadsheets/d/1ZNYWeiFoFA1K1U4xKWqRX29MBvEyRHXORjo734Gnq_c/edit?usp=share_li"&amp;"nk"",""เชียงราย!J719"")
+IMPORTRANGE(""https://docs.google.com/spreadsheets/d/1Jgv0Y7YlHDtsiDawwp-uvifEJ8HVaSn0k2aGHG8-hwM/edit?usp=share_link"",""เชียงใหม่!J719"")+IMPORTRANGE(""https://docs.google.com/spreadsheets/d/1JWG2rZePOz9pe-f-ObA-yDr0VoOX2kSb0qIi"&amp;"x2mTUo8/edit?usp=share_link"",""ตาก!J719"")+IMPORTRANGE(""https://docs.google.com/spreadsheets/d/10nSRjK08hx8Y6HgSOQKNw81lyY46Zc7U_Cj72hBMp9U/edit?usp=share_link"",""นครสวรรค์!J719"")+IMPORTRANGE(""https://docs.google.com/spreadsheets/d/1gFVb7qd7amutrIxAA"&amp;"oM7lcy35hllxznovot8lyOfvDo/edit?usp=share_link"",""น่าน!J719"")+IMPORTRANGE(""https://docs.google.com/spreadsheets/d/1K0Aa9s-6EuHE5M0FG1F9aHLXRCOV917xvycTdLdct0w/edit?usp=share_link"",""พะเยา!J719"")+IMPORTRANGE(""https://docs.google.com/spreadsheets/d/1Y"&amp;"9LPKx95PyL5OKy09d-KbKJSuuEZCFdkhYjwC0XQjBA/edit?usp=share_link"",""พิจิตร!J719"")+IMPORTRANGE(""https://docs.google.com/spreadsheets/d/16OMuOwy2eVqZcYWOouQtTpa8X1L23h4660uVHc0C8os/edit?usp=share_link"",""พิษณุโลก!J719"")+IMPORTRANGE(""https://docs.google."&amp;"com/spreadsheets/d/1GfgTldLG6k77HXaMQzaafODklYuucJZQNs_GAPEfZyY/edit?usp=share_link"",""เพชรบูรณ์!J719"")+IMPORTRANGE(""https://docs.google.com/spreadsheets/d/1gvTMYAnm7v1yG1BKWFtr0DnaTsq59oW9dwWvFgq6hs0/edit?usp=share_link"",""แพร่!J719"")+IMPORTRANGE("""&amp;"https://docs.google.com/spreadsheets/d/1Wbcosgy-Xa1xXUArJSOenub6EfZHUSzc_bpJFWwQUf0/edit?usp=share_link"",""แม่ฮ่องสอน!J719"")+IMPORTRANGE(""https://docs.google.com/spreadsheets/d/1p7ERhsr0qZeSn-KSOdeHS9r0heI-lHtkcn2OH7hP0jQ/edit?usp=share_link"",""ลำปาง!"&amp;"J719"")+IMPORTRANGE(""https://docs.google.com/spreadsheets/d/1-uUXvimVhiU2U0bMN-xi2te0tS4X7DI2GLPnMjzl8cA/edit?usp=share_link"",""ลำพูน!J719"")+IMPORTRANGE(""https://docs.google.com/spreadsheets/d/17HrOaa5pBUI1onckFfumXB8xlg35qb2uBAFfF1D-Myo/edit?usp=shar"&amp;"e_link"",""สุโขทัย!J719"")+IMPORTRANGE(""https://docs.google.com/spreadsheets/d/1ubs5cl16eYL9gHbdHTJtmtYb9MGzHBs7CAphn8kNCgM/edit?usp=share_link"",""อุตรดิตถ์!J719"")+IMPORTRANGE(""https://docs.google.com/spreadsheets/d/1kII0BjS6CtVrBvI8IrytgPdxDrlyQDyigz"&amp;"MsohRtDMs/edit?usp=share_link"",""อุทัยธานี!J719"")
"),1)</f>
        <v>1</v>
      </c>
      <c r="K719" s="38"/>
      <c r="L719" s="732"/>
      <c r="M719" s="189"/>
      <c r="N719" s="732"/>
      <c r="O719" s="38"/>
      <c r="P719" s="38"/>
      <c r="Q719" s="542"/>
      <c r="R719" s="542"/>
      <c r="S719" s="542"/>
      <c r="T719" s="542"/>
      <c r="U719" s="542"/>
      <c r="V719" s="542"/>
      <c r="W719" s="542"/>
      <c r="X719" s="542"/>
      <c r="Y719" s="542"/>
      <c r="Z719" s="542"/>
    </row>
    <row r="720" spans="1:26" ht="18.75">
      <c r="A720" s="710"/>
      <c r="B720" s="540"/>
      <c r="C720" s="540"/>
      <c r="D720" s="540"/>
      <c r="E720" s="540"/>
      <c r="F720" s="540"/>
      <c r="G720" s="189"/>
      <c r="H720" s="182" t="s">
        <v>46</v>
      </c>
      <c r="I720" s="731">
        <f ca="1">IFERROR(__xludf.DUMMYFUNCTION("IMPORTRANGE(""https://docs.google.com/spreadsheets/d/1KxicF4apzSqm0-jIpmueT4kyZtE-Cwn5zskl7GD4loQ/edit?usp=share_link"",""กำแพงเพชร!I720"")+IMPORTRANGE(""https://docs.google.com/spreadsheets/d/1ZNYWeiFoFA1K1U4xKWqRX29MBvEyRHXORjo734Gnq_c/edit?usp=share_li"&amp;"nk"",""เชียงราย!I720"")
+IMPORTRANGE(""https://docs.google.com/spreadsheets/d/1Jgv0Y7YlHDtsiDawwp-uvifEJ8HVaSn0k2aGHG8-hwM/edit?usp=share_link"",""เชียงใหม่!I720"")+IMPORTRANGE(""https://docs.google.com/spreadsheets/d/1JWG2rZePOz9pe-f-ObA-yDr0VoOX2kSb0qIi"&amp;"x2mTUo8/edit?usp=share_link"",""ตาก!I720"")+IMPORTRANGE(""https://docs.google.com/spreadsheets/d/10nSRjK08hx8Y6HgSOQKNw81lyY46Zc7U_Cj72hBMp9U/edit?usp=share_link"",""นครสวรรค์!I720"")+IMPORTRANGE(""https://docs.google.com/spreadsheets/d/1gFVb7qd7amutrIxAA"&amp;"oM7lcy35hllxznovot8lyOfvDo/edit?usp=share_link"",""น่าน!I720"")+IMPORTRANGE(""https://docs.google.com/spreadsheets/d/1K0Aa9s-6EuHE5M0FG1F9aHLXRCOV917xvycTdLdct0w/edit?usp=share_link"",""พะเยา!I720"")+IMPORTRANGE(""https://docs.google.com/spreadsheets/d/1Y"&amp;"9LPKx95PyL5OKy09d-KbKJSuuEZCFdkhYjwC0XQjBA/edit?usp=share_link"",""พิจิตร!I720"")+IMPORTRANGE(""https://docs.google.com/spreadsheets/d/16OMuOwy2eVqZcYWOouQtTpa8X1L23h4660uVHc0C8os/edit?usp=share_link"",""พิษณุโลก!I720"")+IMPORTRANGE(""https://docs.google."&amp;"com/spreadsheets/d/1GfgTldLG6k77HXaMQzaafODklYuucJZQNs_GAPEfZyY/edit?usp=share_link"",""เพชรบูรณ์!I720"")+IMPORTRANGE(""https://docs.google.com/spreadsheets/d/1gvTMYAnm7v1yG1BKWFtr0DnaTsq59oW9dwWvFgq6hs0/edit?usp=share_link"",""แพร่!I720"")+IMPORTRANGE("""&amp;"https://docs.google.com/spreadsheets/d/1Wbcosgy-Xa1xXUArJSOenub6EfZHUSzc_bpJFWwQUf0/edit?usp=share_link"",""แม่ฮ่องสอน!I720"")+IMPORTRANGE(""https://docs.google.com/spreadsheets/d/1p7ERhsr0qZeSn-KSOdeHS9r0heI-lHtkcn2OH7hP0jQ/edit?usp=share_link"",""ลำปาง!"&amp;"I720"")+IMPORTRANGE(""https://docs.google.com/spreadsheets/d/1-uUXvimVhiU2U0bMN-xi2te0tS4X7DI2GLPnMjzl8cA/edit?usp=share_link"",""ลำพูน!I720"")+IMPORTRANGE(""https://docs.google.com/spreadsheets/d/17HrOaa5pBUI1onckFfumXB8xlg35qb2uBAFfF1D-Myo/edit?usp=shar"&amp;"e_link"",""สุโขทัย!I720"")+IMPORTRANGE(""https://docs.google.com/spreadsheets/d/1ubs5cl16eYL9gHbdHTJtmtYb9MGzHBs7CAphn8kNCgM/edit?usp=share_link"",""อุตรดิตถ์!I720"")+IMPORTRANGE(""https://docs.google.com/spreadsheets/d/1kII0BjS6CtVrBvI8IrytgPdxDrlyQDyigz"&amp;"MsohRtDMs/edit?usp=share_link"",""อุทัยธานี!I720"")
"),3778)</f>
        <v>3778</v>
      </c>
      <c r="J720" s="37">
        <f ca="1">IFERROR(__xludf.DUMMYFUNCTION("IMPORTRANGE(""https://docs.google.com/spreadsheets/d/1KxicF4apzSqm0-jIpmueT4kyZtE-Cwn5zskl7GD4loQ/edit?usp=share_link"",""กำแพงเพชร!J720"")+IMPORTRANGE(""https://docs.google.com/spreadsheets/d/1ZNYWeiFoFA1K1U4xKWqRX29MBvEyRHXORjo734Gnq_c/edit?usp=share_li"&amp;"nk"",""เชียงราย!J720"")
+IMPORTRANGE(""https://docs.google.com/spreadsheets/d/1Jgv0Y7YlHDtsiDawwp-uvifEJ8HVaSn0k2aGHG8-hwM/edit?usp=share_link"",""เชียงใหม่!J720"")+IMPORTRANGE(""https://docs.google.com/spreadsheets/d/1JWG2rZePOz9pe-f-ObA-yDr0VoOX2kSb0qIi"&amp;"x2mTUo8/edit?usp=share_link"",""ตาก!J720"")+IMPORTRANGE(""https://docs.google.com/spreadsheets/d/10nSRjK08hx8Y6HgSOQKNw81lyY46Zc7U_Cj72hBMp9U/edit?usp=share_link"",""นครสวรรค์!J720"")+IMPORTRANGE(""https://docs.google.com/spreadsheets/d/1gFVb7qd7amutrIxAA"&amp;"oM7lcy35hllxznovot8lyOfvDo/edit?usp=share_link"",""น่าน!J720"")+IMPORTRANGE(""https://docs.google.com/spreadsheets/d/1K0Aa9s-6EuHE5M0FG1F9aHLXRCOV917xvycTdLdct0w/edit?usp=share_link"",""พะเยา!J720"")+IMPORTRANGE(""https://docs.google.com/spreadsheets/d/1Y"&amp;"9LPKx95PyL5OKy09d-KbKJSuuEZCFdkhYjwC0XQjBA/edit?usp=share_link"",""พิจิตร!J720"")+IMPORTRANGE(""https://docs.google.com/spreadsheets/d/16OMuOwy2eVqZcYWOouQtTpa8X1L23h4660uVHc0C8os/edit?usp=share_link"",""พิษณุโลก!J720"")+IMPORTRANGE(""https://docs.google."&amp;"com/spreadsheets/d/1GfgTldLG6k77HXaMQzaafODklYuucJZQNs_GAPEfZyY/edit?usp=share_link"",""เพชรบูรณ์!J720"")+IMPORTRANGE(""https://docs.google.com/spreadsheets/d/1gvTMYAnm7v1yG1BKWFtr0DnaTsq59oW9dwWvFgq6hs0/edit?usp=share_link"",""แพร่!J720"")+IMPORTRANGE("""&amp;"https://docs.google.com/spreadsheets/d/1Wbcosgy-Xa1xXUArJSOenub6EfZHUSzc_bpJFWwQUf0/edit?usp=share_link"",""แม่ฮ่องสอน!J720"")+IMPORTRANGE(""https://docs.google.com/spreadsheets/d/1p7ERhsr0qZeSn-KSOdeHS9r0heI-lHtkcn2OH7hP0jQ/edit?usp=share_link"",""ลำปาง!"&amp;"J720"")+IMPORTRANGE(""https://docs.google.com/spreadsheets/d/1-uUXvimVhiU2U0bMN-xi2te0tS4X7DI2GLPnMjzl8cA/edit?usp=share_link"",""ลำพูน!J720"")+IMPORTRANGE(""https://docs.google.com/spreadsheets/d/17HrOaa5pBUI1onckFfumXB8xlg35qb2uBAFfF1D-Myo/edit?usp=shar"&amp;"e_link"",""สุโขทัย!J720"")+IMPORTRANGE(""https://docs.google.com/spreadsheets/d/1ubs5cl16eYL9gHbdHTJtmtYb9MGzHBs7CAphn8kNCgM/edit?usp=share_link"",""อุตรดิตถ์!J720"")+IMPORTRANGE(""https://docs.google.com/spreadsheets/d/1kII0BjS6CtVrBvI8IrytgPdxDrlyQDyigz"&amp;"MsohRtDMs/edit?usp=share_link"",""อุทัยธานี!J720"")
"),10.05)</f>
        <v>10.050000000000001</v>
      </c>
      <c r="K720" s="38">
        <f t="shared" ref="K720:K723" ca="1" si="332">IF(I720&gt;0,J720*100/I720,0)</f>
        <v>0.26601376389624143</v>
      </c>
      <c r="L720" s="732"/>
      <c r="M720" s="189"/>
      <c r="N720" s="732"/>
      <c r="O720" s="38"/>
      <c r="P720" s="38"/>
      <c r="Q720" s="542"/>
      <c r="R720" s="542"/>
      <c r="S720" s="542"/>
      <c r="T720" s="542"/>
      <c r="U720" s="542"/>
      <c r="V720" s="542"/>
      <c r="W720" s="542"/>
      <c r="X720" s="542"/>
      <c r="Y720" s="542"/>
      <c r="Z720" s="542"/>
    </row>
    <row r="721" spans="1:26" ht="19.5">
      <c r="A721" s="710"/>
      <c r="B721" s="540"/>
      <c r="C721" s="540"/>
      <c r="D721" s="541" t="s">
        <v>305</v>
      </c>
      <c r="E721" s="540"/>
      <c r="F721" s="540"/>
      <c r="G721" s="189"/>
      <c r="H721" s="718" t="s">
        <v>35</v>
      </c>
      <c r="I721" s="734">
        <f ca="1">IFERROR(__xludf.DUMMYFUNCTION("IMPORTRANGE(""https://docs.google.com/spreadsheets/d/1KxicF4apzSqm0-jIpmueT4kyZtE-Cwn5zskl7GD4loQ/edit?usp=share_link"",""กำแพงเพชร!I721"")+IMPORTRANGE(""https://docs.google.com/spreadsheets/d/1ZNYWeiFoFA1K1U4xKWqRX29MBvEyRHXORjo734Gnq_c/edit?usp=share_li"&amp;"nk"",""เชียงราย!I721"")
+IMPORTRANGE(""https://docs.google.com/spreadsheets/d/1Jgv0Y7YlHDtsiDawwp-uvifEJ8HVaSn0k2aGHG8-hwM/edit?usp=share_link"",""เชียงใหม่!I721"")+IMPORTRANGE(""https://docs.google.com/spreadsheets/d/1JWG2rZePOz9pe-f-ObA-yDr0VoOX2kSb0qIi"&amp;"x2mTUo8/edit?usp=share_link"",""ตาก!I721"")+IMPORTRANGE(""https://docs.google.com/spreadsheets/d/10nSRjK08hx8Y6HgSOQKNw81lyY46Zc7U_Cj72hBMp9U/edit?usp=share_link"",""นครสวรรค์!I721"")+IMPORTRANGE(""https://docs.google.com/spreadsheets/d/1gFVb7qd7amutrIxAA"&amp;"oM7lcy35hllxznovot8lyOfvDo/edit?usp=share_link"",""น่าน!I721"")+IMPORTRANGE(""https://docs.google.com/spreadsheets/d/1K0Aa9s-6EuHE5M0FG1F9aHLXRCOV917xvycTdLdct0w/edit?usp=share_link"",""พะเยา!I721"")+IMPORTRANGE(""https://docs.google.com/spreadsheets/d/1Y"&amp;"9LPKx95PyL5OKy09d-KbKJSuuEZCFdkhYjwC0XQjBA/edit?usp=share_link"",""พิจิตร!I721"")+IMPORTRANGE(""https://docs.google.com/spreadsheets/d/16OMuOwy2eVqZcYWOouQtTpa8X1L23h4660uVHc0C8os/edit?usp=share_link"",""พิษณุโลก!I721"")+IMPORTRANGE(""https://docs.google."&amp;"com/spreadsheets/d/1GfgTldLG6k77HXaMQzaafODklYuucJZQNs_GAPEfZyY/edit?usp=share_link"",""เพชรบูรณ์!I721"")+IMPORTRANGE(""https://docs.google.com/spreadsheets/d/1gvTMYAnm7v1yG1BKWFtr0DnaTsq59oW9dwWvFgq6hs0/edit?usp=share_link"",""แพร่!I721"")+IMPORTRANGE("""&amp;"https://docs.google.com/spreadsheets/d/1Wbcosgy-Xa1xXUArJSOenub6EfZHUSzc_bpJFWwQUf0/edit?usp=share_link"",""แม่ฮ่องสอน!I721"")+IMPORTRANGE(""https://docs.google.com/spreadsheets/d/1p7ERhsr0qZeSn-KSOdeHS9r0heI-lHtkcn2OH7hP0jQ/edit?usp=share_link"",""ลำปาง!"&amp;"I721"")+IMPORTRANGE(""https://docs.google.com/spreadsheets/d/1-uUXvimVhiU2U0bMN-xi2te0tS4X7DI2GLPnMjzl8cA/edit?usp=share_link"",""ลำพูน!I721"")+IMPORTRANGE(""https://docs.google.com/spreadsheets/d/17HrOaa5pBUI1onckFfumXB8xlg35qb2uBAFfF1D-Myo/edit?usp=shar"&amp;"e_link"",""สุโขทัย!I721"")+IMPORTRANGE(""https://docs.google.com/spreadsheets/d/1ubs5cl16eYL9gHbdHTJtmtYb9MGzHBs7CAphn8kNCgM/edit?usp=share_link"",""อุตรดิตถ์!I721"")+IMPORTRANGE(""https://docs.google.com/spreadsheets/d/1kII0BjS6CtVrBvI8IrytgPdxDrlyQDyigz"&amp;"MsohRtDMs/edit?usp=share_link"",""อุทัยธานี!I721"")
"),105)</f>
        <v>105</v>
      </c>
      <c r="J721" s="194">
        <f ca="1">J723+J726</f>
        <v>7</v>
      </c>
      <c r="K721" s="195">
        <f t="shared" ca="1" si="332"/>
        <v>6.666666666666667</v>
      </c>
      <c r="L721" s="732"/>
      <c r="M721" s="189"/>
      <c r="N721" s="732"/>
      <c r="O721" s="38"/>
      <c r="P721" s="38"/>
      <c r="Q721" s="542"/>
      <c r="R721" s="542"/>
      <c r="S721" s="542"/>
      <c r="T721" s="542"/>
      <c r="U721" s="542"/>
      <c r="V721" s="542"/>
      <c r="W721" s="542"/>
      <c r="X721" s="542"/>
      <c r="Y721" s="542"/>
      <c r="Z721" s="542"/>
    </row>
    <row r="722" spans="1:26" ht="19.5">
      <c r="A722" s="710"/>
      <c r="B722" s="540"/>
      <c r="C722" s="540"/>
      <c r="D722" s="540"/>
      <c r="E722" s="541"/>
      <c r="F722" s="540"/>
      <c r="G722" s="189"/>
      <c r="H722" s="718" t="s">
        <v>46</v>
      </c>
      <c r="I722" s="734">
        <f ca="1">IFERROR(__xludf.DUMMYFUNCTION("IMPORTRANGE(""https://docs.google.com/spreadsheets/d/1KxicF4apzSqm0-jIpmueT4kyZtE-Cwn5zskl7GD4loQ/edit?usp=share_link"",""กำแพงเพชร!I722"")+IMPORTRANGE(""https://docs.google.com/spreadsheets/d/1ZNYWeiFoFA1K1U4xKWqRX29MBvEyRHXORjo734Gnq_c/edit?usp=share_li"&amp;"nk"",""เชียงราย!I722"")
+IMPORTRANGE(""https://docs.google.com/spreadsheets/d/1Jgv0Y7YlHDtsiDawwp-uvifEJ8HVaSn0k2aGHG8-hwM/edit?usp=share_link"",""เชียงใหม่!I722"")+IMPORTRANGE(""https://docs.google.com/spreadsheets/d/1JWG2rZePOz9pe-f-ObA-yDr0VoOX2kSb0qIi"&amp;"x2mTUo8/edit?usp=share_link"",""ตาก!I722"")+IMPORTRANGE(""https://docs.google.com/spreadsheets/d/10nSRjK08hx8Y6HgSOQKNw81lyY46Zc7U_Cj72hBMp9U/edit?usp=share_link"",""นครสวรรค์!I722"")+IMPORTRANGE(""https://docs.google.com/spreadsheets/d/1gFVb7qd7amutrIxAA"&amp;"oM7lcy35hllxznovot8lyOfvDo/edit?usp=share_link"",""น่าน!I722"")+IMPORTRANGE(""https://docs.google.com/spreadsheets/d/1K0Aa9s-6EuHE5M0FG1F9aHLXRCOV917xvycTdLdct0w/edit?usp=share_link"",""พะเยา!I722"")+IMPORTRANGE(""https://docs.google.com/spreadsheets/d/1Y"&amp;"9LPKx95PyL5OKy09d-KbKJSuuEZCFdkhYjwC0XQjBA/edit?usp=share_link"",""พิจิตร!I722"")+IMPORTRANGE(""https://docs.google.com/spreadsheets/d/16OMuOwy2eVqZcYWOouQtTpa8X1L23h4660uVHc0C8os/edit?usp=share_link"",""พิษณุโลก!I722"")+IMPORTRANGE(""https://docs.google."&amp;"com/spreadsheets/d/1GfgTldLG6k77HXaMQzaafODklYuucJZQNs_GAPEfZyY/edit?usp=share_link"",""เพชรบูรณ์!I722"")+IMPORTRANGE(""https://docs.google.com/spreadsheets/d/1gvTMYAnm7v1yG1BKWFtr0DnaTsq59oW9dwWvFgq6hs0/edit?usp=share_link"",""แพร่!I722"")+IMPORTRANGE("""&amp;"https://docs.google.com/spreadsheets/d/1Wbcosgy-Xa1xXUArJSOenub6EfZHUSzc_bpJFWwQUf0/edit?usp=share_link"",""แม่ฮ่องสอน!I722"")+IMPORTRANGE(""https://docs.google.com/spreadsheets/d/1p7ERhsr0qZeSn-KSOdeHS9r0heI-lHtkcn2OH7hP0jQ/edit?usp=share_link"",""ลำปาง!"&amp;"I722"")+IMPORTRANGE(""https://docs.google.com/spreadsheets/d/1-uUXvimVhiU2U0bMN-xi2te0tS4X7DI2GLPnMjzl8cA/edit?usp=share_link"",""ลำพูน!I722"")+IMPORTRANGE(""https://docs.google.com/spreadsheets/d/17HrOaa5pBUI1onckFfumXB8xlg35qb2uBAFfF1D-Myo/edit?usp=shar"&amp;"e_link"",""สุโขทัย!I722"")+IMPORTRANGE(""https://docs.google.com/spreadsheets/d/1ubs5cl16eYL9gHbdHTJtmtYb9MGzHBs7CAphn8kNCgM/edit?usp=share_link"",""อุตรดิตถ์!I722"")+IMPORTRANGE(""https://docs.google.com/spreadsheets/d/1kII0BjS6CtVrBvI8IrytgPdxDrlyQDyigz"&amp;"MsohRtDMs/edit?usp=share_link"",""อุทัยธานี!I722"")
"),1659)</f>
        <v>1659</v>
      </c>
      <c r="J722" s="194">
        <f ca="1">J725+J728</f>
        <v>147.59</v>
      </c>
      <c r="K722" s="195">
        <f t="shared" ca="1" si="332"/>
        <v>8.8963230861965048</v>
      </c>
      <c r="L722" s="38"/>
      <c r="M722" s="189"/>
      <c r="N722" s="732"/>
      <c r="O722" s="38"/>
      <c r="P722" s="38"/>
      <c r="Q722" s="542"/>
      <c r="R722" s="542"/>
      <c r="S722" s="542"/>
      <c r="T722" s="542"/>
      <c r="U722" s="542"/>
      <c r="V722" s="542"/>
      <c r="W722" s="542"/>
      <c r="X722" s="542"/>
      <c r="Y722" s="542"/>
      <c r="Z722" s="542"/>
    </row>
    <row r="723" spans="1:26" ht="18.75">
      <c r="A723" s="710"/>
      <c r="B723" s="540"/>
      <c r="C723" s="540"/>
      <c r="D723" s="540"/>
      <c r="E723" s="541" t="s">
        <v>306</v>
      </c>
      <c r="F723" s="540"/>
      <c r="G723" s="189"/>
      <c r="H723" s="182" t="s">
        <v>35</v>
      </c>
      <c r="I723" s="731">
        <f ca="1">IFERROR(__xludf.DUMMYFUNCTION("IMPORTRANGE(""https://docs.google.com/spreadsheets/d/1KxicF4apzSqm0-jIpmueT4kyZtE-Cwn5zskl7GD4loQ/edit?usp=share_link"",""กำแพงเพชร!I723"")+IMPORTRANGE(""https://docs.google.com/spreadsheets/d/1ZNYWeiFoFA1K1U4xKWqRX29MBvEyRHXORjo734Gnq_c/edit?usp=share_li"&amp;"nk"",""เชียงราย!I723"")
+IMPORTRANGE(""https://docs.google.com/spreadsheets/d/1Jgv0Y7YlHDtsiDawwp-uvifEJ8HVaSn0k2aGHG8-hwM/edit?usp=share_link"",""เชียงใหม่!I723"")+IMPORTRANGE(""https://docs.google.com/spreadsheets/d/1JWG2rZePOz9pe-f-ObA-yDr0VoOX2kSb0qIi"&amp;"x2mTUo8/edit?usp=share_link"",""ตาก!I723"")+IMPORTRANGE(""https://docs.google.com/spreadsheets/d/10nSRjK08hx8Y6HgSOQKNw81lyY46Zc7U_Cj72hBMp9U/edit?usp=share_link"",""นครสวรรค์!I723"")+IMPORTRANGE(""https://docs.google.com/spreadsheets/d/1gFVb7qd7amutrIxAA"&amp;"oM7lcy35hllxznovot8lyOfvDo/edit?usp=share_link"",""น่าน!I723"")+IMPORTRANGE(""https://docs.google.com/spreadsheets/d/1K0Aa9s-6EuHE5M0FG1F9aHLXRCOV917xvycTdLdct0w/edit?usp=share_link"",""พะเยา!I723"")+IMPORTRANGE(""https://docs.google.com/spreadsheets/d/1Y"&amp;"9LPKx95PyL5OKy09d-KbKJSuuEZCFdkhYjwC0XQjBA/edit?usp=share_link"",""พิจิตร!I723"")+IMPORTRANGE(""https://docs.google.com/spreadsheets/d/16OMuOwy2eVqZcYWOouQtTpa8X1L23h4660uVHc0C8os/edit?usp=share_link"",""พิษณุโลก!I723"")+IMPORTRANGE(""https://docs.google."&amp;"com/spreadsheets/d/1GfgTldLG6k77HXaMQzaafODklYuucJZQNs_GAPEfZyY/edit?usp=share_link"",""เพชรบูรณ์!I723"")+IMPORTRANGE(""https://docs.google.com/spreadsheets/d/1gvTMYAnm7v1yG1BKWFtr0DnaTsq59oW9dwWvFgq6hs0/edit?usp=share_link"",""แพร่!I723"")+IMPORTRANGE("""&amp;"https://docs.google.com/spreadsheets/d/1Wbcosgy-Xa1xXUArJSOenub6EfZHUSzc_bpJFWwQUf0/edit?usp=share_link"",""แม่ฮ่องสอน!I723"")+IMPORTRANGE(""https://docs.google.com/spreadsheets/d/1p7ERhsr0qZeSn-KSOdeHS9r0heI-lHtkcn2OH7hP0jQ/edit?usp=share_link"",""ลำปาง!"&amp;"I723"")+IMPORTRANGE(""https://docs.google.com/spreadsheets/d/1-uUXvimVhiU2U0bMN-xi2te0tS4X7DI2GLPnMjzl8cA/edit?usp=share_link"",""ลำพูน!I723"")+IMPORTRANGE(""https://docs.google.com/spreadsheets/d/17HrOaa5pBUI1onckFfumXB8xlg35qb2uBAFfF1D-Myo/edit?usp=shar"&amp;"e_link"",""สุโขทัย!I723"")+IMPORTRANGE(""https://docs.google.com/spreadsheets/d/1ubs5cl16eYL9gHbdHTJtmtYb9MGzHBs7CAphn8kNCgM/edit?usp=share_link"",""อุตรดิตถ์!I723"")+IMPORTRANGE(""https://docs.google.com/spreadsheets/d/1kII0BjS6CtVrBvI8IrytgPdxDrlyQDyigz"&amp;"MsohRtDMs/edit?usp=share_link"",""อุทัยธานี!I723"")
"),77)</f>
        <v>77</v>
      </c>
      <c r="J723" s="37">
        <f ca="1">IFERROR(__xludf.DUMMYFUNCTION("IMPORTRANGE(""https://docs.google.com/spreadsheets/d/1KxicF4apzSqm0-jIpmueT4kyZtE-Cwn5zskl7GD4loQ/edit?usp=share_link"",""กำแพงเพชร!J723"")+IMPORTRANGE(""https://docs.google.com/spreadsheets/d/1ZNYWeiFoFA1K1U4xKWqRX29MBvEyRHXORjo734Gnq_c/edit?usp=share_li"&amp;"nk"",""เชียงราย!J723"")
+IMPORTRANGE(""https://docs.google.com/spreadsheets/d/1Jgv0Y7YlHDtsiDawwp-uvifEJ8HVaSn0k2aGHG8-hwM/edit?usp=share_link"",""เชียงใหม่!J723"")+IMPORTRANGE(""https://docs.google.com/spreadsheets/d/1JWG2rZePOz9pe-f-ObA-yDr0VoOX2kSb0qIi"&amp;"x2mTUo8/edit?usp=share_link"",""ตาก!J723"")+IMPORTRANGE(""https://docs.google.com/spreadsheets/d/10nSRjK08hx8Y6HgSOQKNw81lyY46Zc7U_Cj72hBMp9U/edit?usp=share_link"",""นครสวรรค์!J723"")+IMPORTRANGE(""https://docs.google.com/spreadsheets/d/1gFVb7qd7amutrIxAA"&amp;"oM7lcy35hllxznovot8lyOfvDo/edit?usp=share_link"",""น่าน!J723"")+IMPORTRANGE(""https://docs.google.com/spreadsheets/d/1K0Aa9s-6EuHE5M0FG1F9aHLXRCOV917xvycTdLdct0w/edit?usp=share_link"",""พะเยา!J723"")+IMPORTRANGE(""https://docs.google.com/spreadsheets/d/1Y"&amp;"9LPKx95PyL5OKy09d-KbKJSuuEZCFdkhYjwC0XQjBA/edit?usp=share_link"",""พิจิตร!J723"")+IMPORTRANGE(""https://docs.google.com/spreadsheets/d/16OMuOwy2eVqZcYWOouQtTpa8X1L23h4660uVHc0C8os/edit?usp=share_link"",""พิษณุโลก!J723"")+IMPORTRANGE(""https://docs.google."&amp;"com/spreadsheets/d/1GfgTldLG6k77HXaMQzaafODklYuucJZQNs_GAPEfZyY/edit?usp=share_link"",""เพชรบูรณ์!J723"")+IMPORTRANGE(""https://docs.google.com/spreadsheets/d/1gvTMYAnm7v1yG1BKWFtr0DnaTsq59oW9dwWvFgq6hs0/edit?usp=share_link"",""แพร่!J723"")+IMPORTRANGE("""&amp;"https://docs.google.com/spreadsheets/d/1Wbcosgy-Xa1xXUArJSOenub6EfZHUSzc_bpJFWwQUf0/edit?usp=share_link"",""แม่ฮ่องสอน!J723"")+IMPORTRANGE(""https://docs.google.com/spreadsheets/d/1p7ERhsr0qZeSn-KSOdeHS9r0heI-lHtkcn2OH7hP0jQ/edit?usp=share_link"",""ลำปาง!"&amp;"J723"")+IMPORTRANGE(""https://docs.google.com/spreadsheets/d/1-uUXvimVhiU2U0bMN-xi2te0tS4X7DI2GLPnMjzl8cA/edit?usp=share_link"",""ลำพูน!J723"")+IMPORTRANGE(""https://docs.google.com/spreadsheets/d/17HrOaa5pBUI1onckFfumXB8xlg35qb2uBAFfF1D-Myo/edit?usp=shar"&amp;"e_link"",""สุโขทัย!J723"")+IMPORTRANGE(""https://docs.google.com/spreadsheets/d/1ubs5cl16eYL9gHbdHTJtmtYb9MGzHBs7CAphn8kNCgM/edit?usp=share_link"",""อุตรดิตถ์!J723"")+IMPORTRANGE(""https://docs.google.com/spreadsheets/d/1kII0BjS6CtVrBvI8IrytgPdxDrlyQDyigz"&amp;"MsohRtDMs/edit?usp=share_link"",""อุทัยธานี!J723"")
"),7)</f>
        <v>7</v>
      </c>
      <c r="K723" s="38">
        <f t="shared" ca="1" si="332"/>
        <v>9.0909090909090917</v>
      </c>
      <c r="L723" s="38"/>
      <c r="M723" s="189"/>
      <c r="N723" s="732"/>
      <c r="O723" s="38"/>
      <c r="P723" s="38"/>
      <c r="Q723" s="542"/>
      <c r="R723" s="542"/>
      <c r="S723" s="542"/>
      <c r="T723" s="542"/>
      <c r="U723" s="542"/>
      <c r="V723" s="542"/>
      <c r="W723" s="542"/>
      <c r="X723" s="542"/>
      <c r="Y723" s="542"/>
      <c r="Z723" s="542"/>
    </row>
    <row r="724" spans="1:26" ht="18.75">
      <c r="A724" s="710"/>
      <c r="B724" s="540"/>
      <c r="C724" s="540"/>
      <c r="D724" s="540"/>
      <c r="E724" s="540"/>
      <c r="F724" s="540"/>
      <c r="G724" s="189"/>
      <c r="H724" s="182" t="s">
        <v>34</v>
      </c>
      <c r="I724" s="731"/>
      <c r="J724" s="37">
        <f ca="1">IFERROR(__xludf.DUMMYFUNCTION("IMPORTRANGE(""https://docs.google.com/spreadsheets/d/1KxicF4apzSqm0-jIpmueT4kyZtE-Cwn5zskl7GD4loQ/edit?usp=share_link"",""กำแพงเพชร!J724"")+IMPORTRANGE(""https://docs.google.com/spreadsheets/d/1ZNYWeiFoFA1K1U4xKWqRX29MBvEyRHXORjo734Gnq_c/edit?usp=share_li"&amp;"nk"",""เชียงราย!J724"")
+IMPORTRANGE(""https://docs.google.com/spreadsheets/d/1Jgv0Y7YlHDtsiDawwp-uvifEJ8HVaSn0k2aGHG8-hwM/edit?usp=share_link"",""เชียงใหม่!J724"")+IMPORTRANGE(""https://docs.google.com/spreadsheets/d/1JWG2rZePOz9pe-f-ObA-yDr0VoOX2kSb0qIi"&amp;"x2mTUo8/edit?usp=share_link"",""ตาก!J724"")+IMPORTRANGE(""https://docs.google.com/spreadsheets/d/10nSRjK08hx8Y6HgSOQKNw81lyY46Zc7U_Cj72hBMp9U/edit?usp=share_link"",""นครสวรรค์!J724"")+IMPORTRANGE(""https://docs.google.com/spreadsheets/d/1gFVb7qd7amutrIxAA"&amp;"oM7lcy35hllxznovot8lyOfvDo/edit?usp=share_link"",""น่าน!J724"")+IMPORTRANGE(""https://docs.google.com/spreadsheets/d/1K0Aa9s-6EuHE5M0FG1F9aHLXRCOV917xvycTdLdct0w/edit?usp=share_link"",""พะเยา!J724"")+IMPORTRANGE(""https://docs.google.com/spreadsheets/d/1Y"&amp;"9LPKx95PyL5OKy09d-KbKJSuuEZCFdkhYjwC0XQjBA/edit?usp=share_link"",""พิจิตร!J724"")+IMPORTRANGE(""https://docs.google.com/spreadsheets/d/16OMuOwy2eVqZcYWOouQtTpa8X1L23h4660uVHc0C8os/edit?usp=share_link"",""พิษณุโลก!J724"")+IMPORTRANGE(""https://docs.google."&amp;"com/spreadsheets/d/1GfgTldLG6k77HXaMQzaafODklYuucJZQNs_GAPEfZyY/edit?usp=share_link"",""เพชรบูรณ์!J724"")+IMPORTRANGE(""https://docs.google.com/spreadsheets/d/1gvTMYAnm7v1yG1BKWFtr0DnaTsq59oW9dwWvFgq6hs0/edit?usp=share_link"",""แพร่!J724"")+IMPORTRANGE("""&amp;"https://docs.google.com/spreadsheets/d/1Wbcosgy-Xa1xXUArJSOenub6EfZHUSzc_bpJFWwQUf0/edit?usp=share_link"",""แม่ฮ่องสอน!J724"")+IMPORTRANGE(""https://docs.google.com/spreadsheets/d/1p7ERhsr0qZeSn-KSOdeHS9r0heI-lHtkcn2OH7hP0jQ/edit?usp=share_link"",""ลำปาง!"&amp;"J724"")+IMPORTRANGE(""https://docs.google.com/spreadsheets/d/1-uUXvimVhiU2U0bMN-xi2te0tS4X7DI2GLPnMjzl8cA/edit?usp=share_link"",""ลำพูน!J724"")+IMPORTRANGE(""https://docs.google.com/spreadsheets/d/17HrOaa5pBUI1onckFfumXB8xlg35qb2uBAFfF1D-Myo/edit?usp=shar"&amp;"e_link"",""สุโขทัย!J724"")+IMPORTRANGE(""https://docs.google.com/spreadsheets/d/1ubs5cl16eYL9gHbdHTJtmtYb9MGzHBs7CAphn8kNCgM/edit?usp=share_link"",""อุตรดิตถ์!J724"")+IMPORTRANGE(""https://docs.google.com/spreadsheets/d/1kII0BjS6CtVrBvI8IrytgPdxDrlyQDyigz"&amp;"MsohRtDMs/edit?usp=share_link"",""อุทัยธานี!J724"")
"),7)</f>
        <v>7</v>
      </c>
      <c r="K724" s="38"/>
      <c r="L724" s="732"/>
      <c r="M724" s="189"/>
      <c r="N724" s="732"/>
      <c r="O724" s="38"/>
      <c r="P724" s="38"/>
      <c r="Q724" s="542"/>
      <c r="R724" s="542"/>
      <c r="S724" s="542"/>
      <c r="T724" s="542"/>
      <c r="U724" s="542"/>
      <c r="V724" s="542"/>
      <c r="W724" s="542"/>
      <c r="X724" s="542"/>
      <c r="Y724" s="542"/>
      <c r="Z724" s="542"/>
    </row>
    <row r="725" spans="1:26" ht="18.75">
      <c r="A725" s="710"/>
      <c r="B725" s="540"/>
      <c r="C725" s="540"/>
      <c r="D725" s="540"/>
      <c r="E725" s="540"/>
      <c r="F725" s="540"/>
      <c r="G725" s="189"/>
      <c r="H725" s="182" t="s">
        <v>46</v>
      </c>
      <c r="I725" s="731">
        <f ca="1">IFERROR(__xludf.DUMMYFUNCTION("IMPORTRANGE(""https://docs.google.com/spreadsheets/d/1KxicF4apzSqm0-jIpmueT4kyZtE-Cwn5zskl7GD4loQ/edit?usp=share_link"",""กำแพงเพชร!I725"")+IMPORTRANGE(""https://docs.google.com/spreadsheets/d/1ZNYWeiFoFA1K1U4xKWqRX29MBvEyRHXORjo734Gnq_c/edit?usp=share_li"&amp;"nk"",""เชียงราย!I725"")
+IMPORTRANGE(""https://docs.google.com/spreadsheets/d/1Jgv0Y7YlHDtsiDawwp-uvifEJ8HVaSn0k2aGHG8-hwM/edit?usp=share_link"",""เชียงใหม่!I725"")+IMPORTRANGE(""https://docs.google.com/spreadsheets/d/1JWG2rZePOz9pe-f-ObA-yDr0VoOX2kSb0qIi"&amp;"x2mTUo8/edit?usp=share_link"",""ตาก!I725"")+IMPORTRANGE(""https://docs.google.com/spreadsheets/d/10nSRjK08hx8Y6HgSOQKNw81lyY46Zc7U_Cj72hBMp9U/edit?usp=share_link"",""นครสวรรค์!I725"")+IMPORTRANGE(""https://docs.google.com/spreadsheets/d/1gFVb7qd7amutrIxAA"&amp;"oM7lcy35hllxznovot8lyOfvDo/edit?usp=share_link"",""น่าน!I725"")+IMPORTRANGE(""https://docs.google.com/spreadsheets/d/1K0Aa9s-6EuHE5M0FG1F9aHLXRCOV917xvycTdLdct0w/edit?usp=share_link"",""พะเยา!I725"")+IMPORTRANGE(""https://docs.google.com/spreadsheets/d/1Y"&amp;"9LPKx95PyL5OKy09d-KbKJSuuEZCFdkhYjwC0XQjBA/edit?usp=share_link"",""พิจิตร!I725"")+IMPORTRANGE(""https://docs.google.com/spreadsheets/d/16OMuOwy2eVqZcYWOouQtTpa8X1L23h4660uVHc0C8os/edit?usp=share_link"",""พิษณุโลก!I725"")+IMPORTRANGE(""https://docs.google."&amp;"com/spreadsheets/d/1GfgTldLG6k77HXaMQzaafODklYuucJZQNs_GAPEfZyY/edit?usp=share_link"",""เพชรบูรณ์!I725"")+IMPORTRANGE(""https://docs.google.com/spreadsheets/d/1gvTMYAnm7v1yG1BKWFtr0DnaTsq59oW9dwWvFgq6hs0/edit?usp=share_link"",""แพร่!I725"")+IMPORTRANGE("""&amp;"https://docs.google.com/spreadsheets/d/1Wbcosgy-Xa1xXUArJSOenub6EfZHUSzc_bpJFWwQUf0/edit?usp=share_link"",""แม่ฮ่องสอน!I725"")+IMPORTRANGE(""https://docs.google.com/spreadsheets/d/1p7ERhsr0qZeSn-KSOdeHS9r0heI-lHtkcn2OH7hP0jQ/edit?usp=share_link"",""ลำปาง!"&amp;"I725"")+IMPORTRANGE(""https://docs.google.com/spreadsheets/d/1-uUXvimVhiU2U0bMN-xi2te0tS4X7DI2GLPnMjzl8cA/edit?usp=share_link"",""ลำพูน!I725"")+IMPORTRANGE(""https://docs.google.com/spreadsheets/d/17HrOaa5pBUI1onckFfumXB8xlg35qb2uBAFfF1D-Myo/edit?usp=shar"&amp;"e_link"",""สุโขทัย!I725"")+IMPORTRANGE(""https://docs.google.com/spreadsheets/d/1ubs5cl16eYL9gHbdHTJtmtYb9MGzHBs7CAphn8kNCgM/edit?usp=share_link"",""อุตรดิตถ์!I725"")+IMPORTRANGE(""https://docs.google.com/spreadsheets/d/1kII0BjS6CtVrBvI8IrytgPdxDrlyQDyigz"&amp;"MsohRtDMs/edit?usp=share_link"",""อุทัยธานี!I725"")
"),1442)</f>
        <v>1442</v>
      </c>
      <c r="J725" s="37">
        <f ca="1">IFERROR(__xludf.DUMMYFUNCTION("IMPORTRANGE(""https://docs.google.com/spreadsheets/d/1KxicF4apzSqm0-jIpmueT4kyZtE-Cwn5zskl7GD4loQ/edit?usp=share_link"",""กำแพงเพชร!J725"")+IMPORTRANGE(""https://docs.google.com/spreadsheets/d/1ZNYWeiFoFA1K1U4xKWqRX29MBvEyRHXORjo734Gnq_c/edit?usp=share_li"&amp;"nk"",""เชียงราย!J725"")
+IMPORTRANGE(""https://docs.google.com/spreadsheets/d/1Jgv0Y7YlHDtsiDawwp-uvifEJ8HVaSn0k2aGHG8-hwM/edit?usp=share_link"",""เชียงใหม่!J725"")+IMPORTRANGE(""https://docs.google.com/spreadsheets/d/1JWG2rZePOz9pe-f-ObA-yDr0VoOX2kSb0qIi"&amp;"x2mTUo8/edit?usp=share_link"",""ตาก!J725"")+IMPORTRANGE(""https://docs.google.com/spreadsheets/d/10nSRjK08hx8Y6HgSOQKNw81lyY46Zc7U_Cj72hBMp9U/edit?usp=share_link"",""นครสวรรค์!J725"")+IMPORTRANGE(""https://docs.google.com/spreadsheets/d/1gFVb7qd7amutrIxAA"&amp;"oM7lcy35hllxznovot8lyOfvDo/edit?usp=share_link"",""น่าน!J725"")+IMPORTRANGE(""https://docs.google.com/spreadsheets/d/1K0Aa9s-6EuHE5M0FG1F9aHLXRCOV917xvycTdLdct0w/edit?usp=share_link"",""พะเยา!J725"")+IMPORTRANGE(""https://docs.google.com/spreadsheets/d/1Y"&amp;"9LPKx95PyL5OKy09d-KbKJSuuEZCFdkhYjwC0XQjBA/edit?usp=share_link"",""พิจิตร!J725"")+IMPORTRANGE(""https://docs.google.com/spreadsheets/d/16OMuOwy2eVqZcYWOouQtTpa8X1L23h4660uVHc0C8os/edit?usp=share_link"",""พิษณุโลก!J725"")+IMPORTRANGE(""https://docs.google."&amp;"com/spreadsheets/d/1GfgTldLG6k77HXaMQzaafODklYuucJZQNs_GAPEfZyY/edit?usp=share_link"",""เพชรบูรณ์!J725"")+IMPORTRANGE(""https://docs.google.com/spreadsheets/d/1gvTMYAnm7v1yG1BKWFtr0DnaTsq59oW9dwWvFgq6hs0/edit?usp=share_link"",""แพร่!J725"")+IMPORTRANGE("""&amp;"https://docs.google.com/spreadsheets/d/1Wbcosgy-Xa1xXUArJSOenub6EfZHUSzc_bpJFWwQUf0/edit?usp=share_link"",""แม่ฮ่องสอน!J725"")+IMPORTRANGE(""https://docs.google.com/spreadsheets/d/1p7ERhsr0qZeSn-KSOdeHS9r0heI-lHtkcn2OH7hP0jQ/edit?usp=share_link"",""ลำปาง!"&amp;"J725"")+IMPORTRANGE(""https://docs.google.com/spreadsheets/d/1-uUXvimVhiU2U0bMN-xi2te0tS4X7DI2GLPnMjzl8cA/edit?usp=share_link"",""ลำพูน!J725"")+IMPORTRANGE(""https://docs.google.com/spreadsheets/d/17HrOaa5pBUI1onckFfumXB8xlg35qb2uBAFfF1D-Myo/edit?usp=shar"&amp;"e_link"",""สุโขทัย!J725"")+IMPORTRANGE(""https://docs.google.com/spreadsheets/d/1ubs5cl16eYL9gHbdHTJtmtYb9MGzHBs7CAphn8kNCgM/edit?usp=share_link"",""อุตรดิตถ์!J725"")+IMPORTRANGE(""https://docs.google.com/spreadsheets/d/1kII0BjS6CtVrBvI8IrytgPdxDrlyQDyigz"&amp;"MsohRtDMs/edit?usp=share_link"",""อุทัยธานี!J725"")
"),147.59)</f>
        <v>147.59</v>
      </c>
      <c r="K725" s="38">
        <f t="shared" ref="K725:K726" ca="1" si="333">IF(I725&gt;0,J725*100/I725,0)</f>
        <v>10.235090152565881</v>
      </c>
      <c r="L725" s="732"/>
      <c r="M725" s="189"/>
      <c r="N725" s="732"/>
      <c r="O725" s="38"/>
      <c r="P725" s="38"/>
      <c r="Q725" s="542"/>
      <c r="R725" s="542"/>
      <c r="S725" s="542"/>
      <c r="T725" s="542"/>
      <c r="U725" s="542"/>
      <c r="V725" s="542"/>
      <c r="W725" s="542"/>
      <c r="X725" s="542"/>
      <c r="Y725" s="542"/>
      <c r="Z725" s="542"/>
    </row>
    <row r="726" spans="1:26" ht="18.75">
      <c r="A726" s="710"/>
      <c r="B726" s="540"/>
      <c r="C726" s="540"/>
      <c r="D726" s="540"/>
      <c r="E726" s="541" t="s">
        <v>307</v>
      </c>
      <c r="F726" s="540"/>
      <c r="G726" s="189"/>
      <c r="H726" s="182" t="s">
        <v>35</v>
      </c>
      <c r="I726" s="731">
        <f ca="1">IFERROR(__xludf.DUMMYFUNCTION("IMPORTRANGE(""https://docs.google.com/spreadsheets/d/1KxicF4apzSqm0-jIpmueT4kyZtE-Cwn5zskl7GD4loQ/edit?usp=share_link"",""กำแพงเพชร!I726"")+IMPORTRANGE(""https://docs.google.com/spreadsheets/d/1ZNYWeiFoFA1K1U4xKWqRX29MBvEyRHXORjo734Gnq_c/edit?usp=share_li"&amp;"nk"",""เชียงราย!I726"")
+IMPORTRANGE(""https://docs.google.com/spreadsheets/d/1Jgv0Y7YlHDtsiDawwp-uvifEJ8HVaSn0k2aGHG8-hwM/edit?usp=share_link"",""เชียงใหม่!I726"")+IMPORTRANGE(""https://docs.google.com/spreadsheets/d/1JWG2rZePOz9pe-f-ObA-yDr0VoOX2kSb0qIi"&amp;"x2mTUo8/edit?usp=share_link"",""ตาก!I726"")+IMPORTRANGE(""https://docs.google.com/spreadsheets/d/10nSRjK08hx8Y6HgSOQKNw81lyY46Zc7U_Cj72hBMp9U/edit?usp=share_link"",""นครสวรรค์!I726"")+IMPORTRANGE(""https://docs.google.com/spreadsheets/d/1gFVb7qd7amutrIxAA"&amp;"oM7lcy35hllxznovot8lyOfvDo/edit?usp=share_link"",""น่าน!I726"")+IMPORTRANGE(""https://docs.google.com/spreadsheets/d/1K0Aa9s-6EuHE5M0FG1F9aHLXRCOV917xvycTdLdct0w/edit?usp=share_link"",""พะเยา!I726"")+IMPORTRANGE(""https://docs.google.com/spreadsheets/d/1Y"&amp;"9LPKx95PyL5OKy09d-KbKJSuuEZCFdkhYjwC0XQjBA/edit?usp=share_link"",""พิจิตร!I726"")+IMPORTRANGE(""https://docs.google.com/spreadsheets/d/16OMuOwy2eVqZcYWOouQtTpa8X1L23h4660uVHc0C8os/edit?usp=share_link"",""พิษณุโลก!I726"")+IMPORTRANGE(""https://docs.google."&amp;"com/spreadsheets/d/1GfgTldLG6k77HXaMQzaafODklYuucJZQNs_GAPEfZyY/edit?usp=share_link"",""เพชรบูรณ์!I726"")+IMPORTRANGE(""https://docs.google.com/spreadsheets/d/1gvTMYAnm7v1yG1BKWFtr0DnaTsq59oW9dwWvFgq6hs0/edit?usp=share_link"",""แพร่!I726"")+IMPORTRANGE("""&amp;"https://docs.google.com/spreadsheets/d/1Wbcosgy-Xa1xXUArJSOenub6EfZHUSzc_bpJFWwQUf0/edit?usp=share_link"",""แม่ฮ่องสอน!I726"")+IMPORTRANGE(""https://docs.google.com/spreadsheets/d/1p7ERhsr0qZeSn-KSOdeHS9r0heI-lHtkcn2OH7hP0jQ/edit?usp=share_link"",""ลำปาง!"&amp;"I726"")+IMPORTRANGE(""https://docs.google.com/spreadsheets/d/1-uUXvimVhiU2U0bMN-xi2te0tS4X7DI2GLPnMjzl8cA/edit?usp=share_link"",""ลำพูน!I726"")+IMPORTRANGE(""https://docs.google.com/spreadsheets/d/17HrOaa5pBUI1onckFfumXB8xlg35qb2uBAFfF1D-Myo/edit?usp=shar"&amp;"e_link"",""สุโขทัย!I726"")+IMPORTRANGE(""https://docs.google.com/spreadsheets/d/1ubs5cl16eYL9gHbdHTJtmtYb9MGzHBs7CAphn8kNCgM/edit?usp=share_link"",""อุตรดิตถ์!I726"")+IMPORTRANGE(""https://docs.google.com/spreadsheets/d/1kII0BjS6CtVrBvI8IrytgPdxDrlyQDyigz"&amp;"MsohRtDMs/edit?usp=share_link"",""อุทัยธานี!I726"")
"),28)</f>
        <v>28</v>
      </c>
      <c r="J726" s="37">
        <f ca="1">IFERROR(__xludf.DUMMYFUNCTION("IMPORTRANGE(""https://docs.google.com/spreadsheets/d/1KxicF4apzSqm0-jIpmueT4kyZtE-Cwn5zskl7GD4loQ/edit?usp=share_link"",""กำแพงเพชร!J726"")+IMPORTRANGE(""https://docs.google.com/spreadsheets/d/1ZNYWeiFoFA1K1U4xKWqRX29MBvEyRHXORjo734Gnq_c/edit?usp=share_li"&amp;"nk"",""เชียงราย!J726"")
+IMPORTRANGE(""https://docs.google.com/spreadsheets/d/1Jgv0Y7YlHDtsiDawwp-uvifEJ8HVaSn0k2aGHG8-hwM/edit?usp=share_link"",""เชียงใหม่!J726"")+IMPORTRANGE(""https://docs.google.com/spreadsheets/d/1JWG2rZePOz9pe-f-ObA-yDr0VoOX2kSb0qIi"&amp;"x2mTUo8/edit?usp=share_link"",""ตาก!J726"")+IMPORTRANGE(""https://docs.google.com/spreadsheets/d/10nSRjK08hx8Y6HgSOQKNw81lyY46Zc7U_Cj72hBMp9U/edit?usp=share_link"",""นครสวรรค์!J726"")+IMPORTRANGE(""https://docs.google.com/spreadsheets/d/1gFVb7qd7amutrIxAA"&amp;"oM7lcy35hllxznovot8lyOfvDo/edit?usp=share_link"",""น่าน!J726"")+IMPORTRANGE(""https://docs.google.com/spreadsheets/d/1K0Aa9s-6EuHE5M0FG1F9aHLXRCOV917xvycTdLdct0w/edit?usp=share_link"",""พะเยา!J726"")+IMPORTRANGE(""https://docs.google.com/spreadsheets/d/1Y"&amp;"9LPKx95PyL5OKy09d-KbKJSuuEZCFdkhYjwC0XQjBA/edit?usp=share_link"",""พิจิตร!J726"")+IMPORTRANGE(""https://docs.google.com/spreadsheets/d/16OMuOwy2eVqZcYWOouQtTpa8X1L23h4660uVHc0C8os/edit?usp=share_link"",""พิษณุโลก!J726"")+IMPORTRANGE(""https://docs.google."&amp;"com/spreadsheets/d/1GfgTldLG6k77HXaMQzaafODklYuucJZQNs_GAPEfZyY/edit?usp=share_link"",""เพชรบูรณ์!J726"")+IMPORTRANGE(""https://docs.google.com/spreadsheets/d/1gvTMYAnm7v1yG1BKWFtr0DnaTsq59oW9dwWvFgq6hs0/edit?usp=share_link"",""แพร่!J726"")+IMPORTRANGE("""&amp;"https://docs.google.com/spreadsheets/d/1Wbcosgy-Xa1xXUArJSOenub6EfZHUSzc_bpJFWwQUf0/edit?usp=share_link"",""แม่ฮ่องสอน!J726"")+IMPORTRANGE(""https://docs.google.com/spreadsheets/d/1p7ERhsr0qZeSn-KSOdeHS9r0heI-lHtkcn2OH7hP0jQ/edit?usp=share_link"",""ลำปาง!"&amp;"J726"")+IMPORTRANGE(""https://docs.google.com/spreadsheets/d/1-uUXvimVhiU2U0bMN-xi2te0tS4X7DI2GLPnMjzl8cA/edit?usp=share_link"",""ลำพูน!J726"")+IMPORTRANGE(""https://docs.google.com/spreadsheets/d/17HrOaa5pBUI1onckFfumXB8xlg35qb2uBAFfF1D-Myo/edit?usp=shar"&amp;"e_link"",""สุโขทัย!J726"")+IMPORTRANGE(""https://docs.google.com/spreadsheets/d/1ubs5cl16eYL9gHbdHTJtmtYb9MGzHBs7CAphn8kNCgM/edit?usp=share_link"",""อุตรดิตถ์!J726"")+IMPORTRANGE(""https://docs.google.com/spreadsheets/d/1kII0BjS6CtVrBvI8IrytgPdxDrlyQDyigz"&amp;"MsohRtDMs/edit?usp=share_link"",""อุทัยธานี!J726"")
"),0)</f>
        <v>0</v>
      </c>
      <c r="K726" s="38">
        <f t="shared" ca="1" si="333"/>
        <v>0</v>
      </c>
      <c r="L726" s="38"/>
      <c r="M726" s="189"/>
      <c r="N726" s="732"/>
      <c r="O726" s="38"/>
      <c r="P726" s="38"/>
      <c r="Q726" s="542"/>
      <c r="R726" s="542"/>
      <c r="S726" s="542"/>
      <c r="T726" s="542"/>
      <c r="U726" s="542"/>
      <c r="V726" s="542"/>
      <c r="W726" s="542"/>
      <c r="X726" s="542"/>
      <c r="Y726" s="542"/>
      <c r="Z726" s="542"/>
    </row>
    <row r="727" spans="1:26" ht="18.75">
      <c r="A727" s="710"/>
      <c r="B727" s="540"/>
      <c r="C727" s="540"/>
      <c r="D727" s="540"/>
      <c r="E727" s="540"/>
      <c r="F727" s="540"/>
      <c r="G727" s="189"/>
      <c r="H727" s="182" t="s">
        <v>34</v>
      </c>
      <c r="I727" s="731"/>
      <c r="J727" s="37">
        <f ca="1">IFERROR(__xludf.DUMMYFUNCTION("IMPORTRANGE(""https://docs.google.com/spreadsheets/d/1KxicF4apzSqm0-jIpmueT4kyZtE-Cwn5zskl7GD4loQ/edit?usp=share_link"",""กำแพงเพชร!J727"")+IMPORTRANGE(""https://docs.google.com/spreadsheets/d/1ZNYWeiFoFA1K1U4xKWqRX29MBvEyRHXORjo734Gnq_c/edit?usp=share_li"&amp;"nk"",""เชียงราย!J727"")
+IMPORTRANGE(""https://docs.google.com/spreadsheets/d/1Jgv0Y7YlHDtsiDawwp-uvifEJ8HVaSn0k2aGHG8-hwM/edit?usp=share_link"",""เชียงใหม่!J727"")+IMPORTRANGE(""https://docs.google.com/spreadsheets/d/1JWG2rZePOz9pe-f-ObA-yDr0VoOX2kSb0qIi"&amp;"x2mTUo8/edit?usp=share_link"",""ตาก!J727"")+IMPORTRANGE(""https://docs.google.com/spreadsheets/d/10nSRjK08hx8Y6HgSOQKNw81lyY46Zc7U_Cj72hBMp9U/edit?usp=share_link"",""นครสวรรค์!J727"")+IMPORTRANGE(""https://docs.google.com/spreadsheets/d/1gFVb7qd7amutrIxAA"&amp;"oM7lcy35hllxznovot8lyOfvDo/edit?usp=share_link"",""น่าน!J727"")+IMPORTRANGE(""https://docs.google.com/spreadsheets/d/1K0Aa9s-6EuHE5M0FG1F9aHLXRCOV917xvycTdLdct0w/edit?usp=share_link"",""พะเยา!J727"")+IMPORTRANGE(""https://docs.google.com/spreadsheets/d/1Y"&amp;"9LPKx95PyL5OKy09d-KbKJSuuEZCFdkhYjwC0XQjBA/edit?usp=share_link"",""พิจิตร!J727"")+IMPORTRANGE(""https://docs.google.com/spreadsheets/d/16OMuOwy2eVqZcYWOouQtTpa8X1L23h4660uVHc0C8os/edit?usp=share_link"",""พิษณุโลก!J727"")+IMPORTRANGE(""https://docs.google."&amp;"com/spreadsheets/d/1GfgTldLG6k77HXaMQzaafODklYuucJZQNs_GAPEfZyY/edit?usp=share_link"",""เพชรบูรณ์!J727"")+IMPORTRANGE(""https://docs.google.com/spreadsheets/d/1gvTMYAnm7v1yG1BKWFtr0DnaTsq59oW9dwWvFgq6hs0/edit?usp=share_link"",""แพร่!J727"")+IMPORTRANGE("""&amp;"https://docs.google.com/spreadsheets/d/1Wbcosgy-Xa1xXUArJSOenub6EfZHUSzc_bpJFWwQUf0/edit?usp=share_link"",""แม่ฮ่องสอน!J727"")+IMPORTRANGE(""https://docs.google.com/spreadsheets/d/1p7ERhsr0qZeSn-KSOdeHS9r0heI-lHtkcn2OH7hP0jQ/edit?usp=share_link"",""ลำปาง!"&amp;"J727"")+IMPORTRANGE(""https://docs.google.com/spreadsheets/d/1-uUXvimVhiU2U0bMN-xi2te0tS4X7DI2GLPnMjzl8cA/edit?usp=share_link"",""ลำพูน!J727"")+IMPORTRANGE(""https://docs.google.com/spreadsheets/d/17HrOaa5pBUI1onckFfumXB8xlg35qb2uBAFfF1D-Myo/edit?usp=shar"&amp;"e_link"",""สุโขทัย!J727"")+IMPORTRANGE(""https://docs.google.com/spreadsheets/d/1ubs5cl16eYL9gHbdHTJtmtYb9MGzHBs7CAphn8kNCgM/edit?usp=share_link"",""อุตรดิตถ์!J727"")+IMPORTRANGE(""https://docs.google.com/spreadsheets/d/1kII0BjS6CtVrBvI8IrytgPdxDrlyQDyigz"&amp;"MsohRtDMs/edit?usp=share_link"",""อุทัยธานี!J727"")
"),0)</f>
        <v>0</v>
      </c>
      <c r="K727" s="38"/>
      <c r="L727" s="732"/>
      <c r="M727" s="189"/>
      <c r="N727" s="732"/>
      <c r="O727" s="38"/>
      <c r="P727" s="38"/>
      <c r="Q727" s="542"/>
      <c r="R727" s="542"/>
      <c r="S727" s="542"/>
      <c r="T727" s="542"/>
      <c r="U727" s="542"/>
      <c r="V727" s="542"/>
      <c r="W727" s="542"/>
      <c r="X727" s="542"/>
      <c r="Y727" s="542"/>
      <c r="Z727" s="542"/>
    </row>
    <row r="728" spans="1:26" ht="18.75">
      <c r="A728" s="710"/>
      <c r="B728" s="540"/>
      <c r="C728" s="540"/>
      <c r="D728" s="540"/>
      <c r="E728" s="540"/>
      <c r="F728" s="540"/>
      <c r="G728" s="189"/>
      <c r="H728" s="182" t="s">
        <v>46</v>
      </c>
      <c r="I728" s="731">
        <f ca="1">IFERROR(__xludf.DUMMYFUNCTION("IMPORTRANGE(""https://docs.google.com/spreadsheets/d/1KxicF4apzSqm0-jIpmueT4kyZtE-Cwn5zskl7GD4loQ/edit?usp=share_link"",""กำแพงเพชร!I728"")+IMPORTRANGE(""https://docs.google.com/spreadsheets/d/1ZNYWeiFoFA1K1U4xKWqRX29MBvEyRHXORjo734Gnq_c/edit?usp=share_li"&amp;"nk"",""เชียงราย!I728"")
+IMPORTRANGE(""https://docs.google.com/spreadsheets/d/1Jgv0Y7YlHDtsiDawwp-uvifEJ8HVaSn0k2aGHG8-hwM/edit?usp=share_link"",""เชียงใหม่!I728"")+IMPORTRANGE(""https://docs.google.com/spreadsheets/d/1JWG2rZePOz9pe-f-ObA-yDr0VoOX2kSb0qIi"&amp;"x2mTUo8/edit?usp=share_link"",""ตาก!I728"")+IMPORTRANGE(""https://docs.google.com/spreadsheets/d/10nSRjK08hx8Y6HgSOQKNw81lyY46Zc7U_Cj72hBMp9U/edit?usp=share_link"",""นครสวรรค์!I728"")+IMPORTRANGE(""https://docs.google.com/spreadsheets/d/1gFVb7qd7amutrIxAA"&amp;"oM7lcy35hllxznovot8lyOfvDo/edit?usp=share_link"",""น่าน!I728"")+IMPORTRANGE(""https://docs.google.com/spreadsheets/d/1K0Aa9s-6EuHE5M0FG1F9aHLXRCOV917xvycTdLdct0w/edit?usp=share_link"",""พะเยา!I728"")+IMPORTRANGE(""https://docs.google.com/spreadsheets/d/1Y"&amp;"9LPKx95PyL5OKy09d-KbKJSuuEZCFdkhYjwC0XQjBA/edit?usp=share_link"",""พิจิตร!I728"")+IMPORTRANGE(""https://docs.google.com/spreadsheets/d/16OMuOwy2eVqZcYWOouQtTpa8X1L23h4660uVHc0C8os/edit?usp=share_link"",""พิษณุโลก!I728"")+IMPORTRANGE(""https://docs.google."&amp;"com/spreadsheets/d/1GfgTldLG6k77HXaMQzaafODklYuucJZQNs_GAPEfZyY/edit?usp=share_link"",""เพชรบูรณ์!I728"")+IMPORTRANGE(""https://docs.google.com/spreadsheets/d/1gvTMYAnm7v1yG1BKWFtr0DnaTsq59oW9dwWvFgq6hs0/edit?usp=share_link"",""แพร่!I728"")+IMPORTRANGE("""&amp;"https://docs.google.com/spreadsheets/d/1Wbcosgy-Xa1xXUArJSOenub6EfZHUSzc_bpJFWwQUf0/edit?usp=share_link"",""แม่ฮ่องสอน!I728"")+IMPORTRANGE(""https://docs.google.com/spreadsheets/d/1p7ERhsr0qZeSn-KSOdeHS9r0heI-lHtkcn2OH7hP0jQ/edit?usp=share_link"",""ลำปาง!"&amp;"I728"")+IMPORTRANGE(""https://docs.google.com/spreadsheets/d/1-uUXvimVhiU2U0bMN-xi2te0tS4X7DI2GLPnMjzl8cA/edit?usp=share_link"",""ลำพูน!I728"")+IMPORTRANGE(""https://docs.google.com/spreadsheets/d/17HrOaa5pBUI1onckFfumXB8xlg35qb2uBAFfF1D-Myo/edit?usp=shar"&amp;"e_link"",""สุโขทัย!I728"")+IMPORTRANGE(""https://docs.google.com/spreadsheets/d/1ubs5cl16eYL9gHbdHTJtmtYb9MGzHBs7CAphn8kNCgM/edit?usp=share_link"",""อุตรดิตถ์!I728"")+IMPORTRANGE(""https://docs.google.com/spreadsheets/d/1kII0BjS6CtVrBvI8IrytgPdxDrlyQDyigz"&amp;"MsohRtDMs/edit?usp=share_link"",""อุทัยธานี!I728"")
"),217)</f>
        <v>217</v>
      </c>
      <c r="J728" s="37">
        <f ca="1">IFERROR(__xludf.DUMMYFUNCTION("IMPORTRANGE(""https://docs.google.com/spreadsheets/d/1KxicF4apzSqm0-jIpmueT4kyZtE-Cwn5zskl7GD4loQ/edit?usp=share_link"",""กำแพงเพชร!J728"")+IMPORTRANGE(""https://docs.google.com/spreadsheets/d/1ZNYWeiFoFA1K1U4xKWqRX29MBvEyRHXORjo734Gnq_c/edit?usp=share_li"&amp;"nk"",""เชียงราย!J728"")
+IMPORTRANGE(""https://docs.google.com/spreadsheets/d/1Jgv0Y7YlHDtsiDawwp-uvifEJ8HVaSn0k2aGHG8-hwM/edit?usp=share_link"",""เชียงใหม่!J728"")+IMPORTRANGE(""https://docs.google.com/spreadsheets/d/1JWG2rZePOz9pe-f-ObA-yDr0VoOX2kSb0qIi"&amp;"x2mTUo8/edit?usp=share_link"",""ตาก!J728"")+IMPORTRANGE(""https://docs.google.com/spreadsheets/d/10nSRjK08hx8Y6HgSOQKNw81lyY46Zc7U_Cj72hBMp9U/edit?usp=share_link"",""นครสวรรค์!J728"")+IMPORTRANGE(""https://docs.google.com/spreadsheets/d/1gFVb7qd7amutrIxAA"&amp;"oM7lcy35hllxznovot8lyOfvDo/edit?usp=share_link"",""น่าน!J728"")+IMPORTRANGE(""https://docs.google.com/spreadsheets/d/1K0Aa9s-6EuHE5M0FG1F9aHLXRCOV917xvycTdLdct0w/edit?usp=share_link"",""พะเยา!J728"")+IMPORTRANGE(""https://docs.google.com/spreadsheets/d/1Y"&amp;"9LPKx95PyL5OKy09d-KbKJSuuEZCFdkhYjwC0XQjBA/edit?usp=share_link"",""พิจิตร!J728"")+IMPORTRANGE(""https://docs.google.com/spreadsheets/d/16OMuOwy2eVqZcYWOouQtTpa8X1L23h4660uVHc0C8os/edit?usp=share_link"",""พิษณุโลก!J728"")+IMPORTRANGE(""https://docs.google."&amp;"com/spreadsheets/d/1GfgTldLG6k77HXaMQzaafODklYuucJZQNs_GAPEfZyY/edit?usp=share_link"",""เพชรบูรณ์!J728"")+IMPORTRANGE(""https://docs.google.com/spreadsheets/d/1gvTMYAnm7v1yG1BKWFtr0DnaTsq59oW9dwWvFgq6hs0/edit?usp=share_link"",""แพร่!J728"")+IMPORTRANGE("""&amp;"https://docs.google.com/spreadsheets/d/1Wbcosgy-Xa1xXUArJSOenub6EfZHUSzc_bpJFWwQUf0/edit?usp=share_link"",""แม่ฮ่องสอน!J728"")+IMPORTRANGE(""https://docs.google.com/spreadsheets/d/1p7ERhsr0qZeSn-KSOdeHS9r0heI-lHtkcn2OH7hP0jQ/edit?usp=share_link"",""ลำปาง!"&amp;"J728"")+IMPORTRANGE(""https://docs.google.com/spreadsheets/d/1-uUXvimVhiU2U0bMN-xi2te0tS4X7DI2GLPnMjzl8cA/edit?usp=share_link"",""ลำพูน!J728"")+IMPORTRANGE(""https://docs.google.com/spreadsheets/d/17HrOaa5pBUI1onckFfumXB8xlg35qb2uBAFfF1D-Myo/edit?usp=shar"&amp;"e_link"",""สุโขทัย!J728"")+IMPORTRANGE(""https://docs.google.com/spreadsheets/d/1ubs5cl16eYL9gHbdHTJtmtYb9MGzHBs7CAphn8kNCgM/edit?usp=share_link"",""อุตรดิตถ์!J728"")+IMPORTRANGE(""https://docs.google.com/spreadsheets/d/1kII0BjS6CtVrBvI8IrytgPdxDrlyQDyigz"&amp;"MsohRtDMs/edit?usp=share_link"",""อุทัยธานี!J728"")
"),0)</f>
        <v>0</v>
      </c>
      <c r="K728" s="38">
        <f t="shared" ref="K728:K729" ca="1" si="334">IF(I728&gt;0,J728*100/I728,0)</f>
        <v>0</v>
      </c>
      <c r="L728" s="732"/>
      <c r="M728" s="189"/>
      <c r="N728" s="732"/>
      <c r="O728" s="38"/>
      <c r="P728" s="38"/>
      <c r="Q728" s="542"/>
      <c r="R728" s="542"/>
      <c r="S728" s="542"/>
      <c r="T728" s="542"/>
      <c r="U728" s="542"/>
      <c r="V728" s="542"/>
      <c r="W728" s="542"/>
      <c r="X728" s="542"/>
      <c r="Y728" s="542"/>
      <c r="Z728" s="542"/>
    </row>
    <row r="729" spans="1:26" ht="19.5">
      <c r="A729" s="710"/>
      <c r="B729" s="540"/>
      <c r="C729" s="540"/>
      <c r="D729" s="541" t="s">
        <v>308</v>
      </c>
      <c r="E729" s="540"/>
      <c r="F729" s="540"/>
      <c r="G729" s="189"/>
      <c r="H729" s="192" t="s">
        <v>46</v>
      </c>
      <c r="I729" s="734">
        <f ca="1">IFERROR(__xludf.DUMMYFUNCTION("IMPORTRANGE(""https://docs.google.com/spreadsheets/d/1KxicF4apzSqm0-jIpmueT4kyZtE-Cwn5zskl7GD4loQ/edit?usp=share_link"",""กำแพงเพชร!I729"")+IMPORTRANGE(""https://docs.google.com/spreadsheets/d/1ZNYWeiFoFA1K1U4xKWqRX29MBvEyRHXORjo734Gnq_c/edit?usp=share_li"&amp;"nk"",""เชียงราย!I729"")
+IMPORTRANGE(""https://docs.google.com/spreadsheets/d/1Jgv0Y7YlHDtsiDawwp-uvifEJ8HVaSn0k2aGHG8-hwM/edit?usp=share_link"",""เชียงใหม่!I729"")+IMPORTRANGE(""https://docs.google.com/spreadsheets/d/1JWG2rZePOz9pe-f-ObA-yDr0VoOX2kSb0qIi"&amp;"x2mTUo8/edit?usp=share_link"",""ตาก!I729"")+IMPORTRANGE(""https://docs.google.com/spreadsheets/d/10nSRjK08hx8Y6HgSOQKNw81lyY46Zc7U_Cj72hBMp9U/edit?usp=share_link"",""นครสวรรค์!I729"")+IMPORTRANGE(""https://docs.google.com/spreadsheets/d/1gFVb7qd7amutrIxAA"&amp;"oM7lcy35hllxznovot8lyOfvDo/edit?usp=share_link"",""น่าน!I729"")+IMPORTRANGE(""https://docs.google.com/spreadsheets/d/1K0Aa9s-6EuHE5M0FG1F9aHLXRCOV917xvycTdLdct0w/edit?usp=share_link"",""พะเยา!I729"")+IMPORTRANGE(""https://docs.google.com/spreadsheets/d/1Y"&amp;"9LPKx95PyL5OKy09d-KbKJSuuEZCFdkhYjwC0XQjBA/edit?usp=share_link"",""พิจิตร!I729"")+IMPORTRANGE(""https://docs.google.com/spreadsheets/d/16OMuOwy2eVqZcYWOouQtTpa8X1L23h4660uVHc0C8os/edit?usp=share_link"",""พิษณุโลก!I729"")+IMPORTRANGE(""https://docs.google."&amp;"com/spreadsheets/d/1GfgTldLG6k77HXaMQzaafODklYuucJZQNs_GAPEfZyY/edit?usp=share_link"",""เพชรบูรณ์!I729"")+IMPORTRANGE(""https://docs.google.com/spreadsheets/d/1gvTMYAnm7v1yG1BKWFtr0DnaTsq59oW9dwWvFgq6hs0/edit?usp=share_link"",""แพร่!I729"")+IMPORTRANGE("""&amp;"https://docs.google.com/spreadsheets/d/1Wbcosgy-Xa1xXUArJSOenub6EfZHUSzc_bpJFWwQUf0/edit?usp=share_link"",""แม่ฮ่องสอน!I729"")+IMPORTRANGE(""https://docs.google.com/spreadsheets/d/1p7ERhsr0qZeSn-KSOdeHS9r0heI-lHtkcn2OH7hP0jQ/edit?usp=share_link"",""ลำปาง!"&amp;"I729"")+IMPORTRANGE(""https://docs.google.com/spreadsheets/d/1-uUXvimVhiU2U0bMN-xi2te0tS4X7DI2GLPnMjzl8cA/edit?usp=share_link"",""ลำพูน!I729"")+IMPORTRANGE(""https://docs.google.com/spreadsheets/d/17HrOaa5pBUI1onckFfumXB8xlg35qb2uBAFfF1D-Myo/edit?usp=shar"&amp;"e_link"",""สุโขทัย!I729"")+IMPORTRANGE(""https://docs.google.com/spreadsheets/d/1ubs5cl16eYL9gHbdHTJtmtYb9MGzHBs7CAphn8kNCgM/edit?usp=share_link"",""อุตรดิตถ์!I729"")+IMPORTRANGE(""https://docs.google.com/spreadsheets/d/1kII0BjS6CtVrBvI8IrytgPdxDrlyQDyigz"&amp;"MsohRtDMs/edit?usp=share_link"",""อุทัยธานี!I729"")
"),210)</f>
        <v>210</v>
      </c>
      <c r="J729" s="194">
        <f ca="1">J732+J735</f>
        <v>151.72</v>
      </c>
      <c r="K729" s="195">
        <f t="shared" ca="1" si="334"/>
        <v>72.247619047619054</v>
      </c>
      <c r="L729" s="38"/>
      <c r="M729" s="189"/>
      <c r="N729" s="732"/>
      <c r="O729" s="38"/>
      <c r="P729" s="38"/>
      <c r="Q729" s="542"/>
      <c r="R729" s="542"/>
      <c r="S729" s="542"/>
      <c r="T729" s="542"/>
      <c r="U729" s="542"/>
      <c r="V729" s="542"/>
      <c r="W729" s="542"/>
      <c r="X729" s="542"/>
      <c r="Y729" s="542"/>
      <c r="Z729" s="542"/>
    </row>
    <row r="730" spans="1:26" ht="18.75">
      <c r="A730" s="710"/>
      <c r="B730" s="540"/>
      <c r="C730" s="540"/>
      <c r="D730" s="540"/>
      <c r="E730" s="541" t="s">
        <v>309</v>
      </c>
      <c r="F730" s="540"/>
      <c r="G730" s="189"/>
      <c r="H730" s="182" t="s">
        <v>35</v>
      </c>
      <c r="I730" s="731"/>
      <c r="J730" s="183">
        <f ca="1">IFERROR(__xludf.DUMMYFUNCTION("IMPORTRANGE(""https://docs.google.com/spreadsheets/d/1KxicF4apzSqm0-jIpmueT4kyZtE-Cwn5zskl7GD4loQ/edit?usp=share_link"",""กำแพงเพชร!J730"")+IMPORTRANGE(""https://docs.google.com/spreadsheets/d/1ZNYWeiFoFA1K1U4xKWqRX29MBvEyRHXORjo734Gnq_c/edit?usp=share_li"&amp;"nk"",""เชียงราย!J730"")
+IMPORTRANGE(""https://docs.google.com/spreadsheets/d/1Jgv0Y7YlHDtsiDawwp-uvifEJ8HVaSn0k2aGHG8-hwM/edit?usp=share_link"",""เชียงใหม่!J730"")+IMPORTRANGE(""https://docs.google.com/spreadsheets/d/1JWG2rZePOz9pe-f-ObA-yDr0VoOX2kSb0qIi"&amp;"x2mTUo8/edit?usp=share_link"",""ตาก!J730"")+IMPORTRANGE(""https://docs.google.com/spreadsheets/d/10nSRjK08hx8Y6HgSOQKNw81lyY46Zc7U_Cj72hBMp9U/edit?usp=share_link"",""นครสวรรค์!J730"")+IMPORTRANGE(""https://docs.google.com/spreadsheets/d/1gFVb7qd7amutrIxAA"&amp;"oM7lcy35hllxznovot8lyOfvDo/edit?usp=share_link"",""น่าน!J730"")+IMPORTRANGE(""https://docs.google.com/spreadsheets/d/1K0Aa9s-6EuHE5M0FG1F9aHLXRCOV917xvycTdLdct0w/edit?usp=share_link"",""พะเยา!J730"")+IMPORTRANGE(""https://docs.google.com/spreadsheets/d/1Y"&amp;"9LPKx95PyL5OKy09d-KbKJSuuEZCFdkhYjwC0XQjBA/edit?usp=share_link"",""พิจิตร!J730"")+IMPORTRANGE(""https://docs.google.com/spreadsheets/d/16OMuOwy2eVqZcYWOouQtTpa8X1L23h4660uVHc0C8os/edit?usp=share_link"",""พิษณุโลก!J730"")+IMPORTRANGE(""https://docs.google."&amp;"com/spreadsheets/d/1GfgTldLG6k77HXaMQzaafODklYuucJZQNs_GAPEfZyY/edit?usp=share_link"",""เพชรบูรณ์!J730"")+IMPORTRANGE(""https://docs.google.com/spreadsheets/d/1gvTMYAnm7v1yG1BKWFtr0DnaTsq59oW9dwWvFgq6hs0/edit?usp=share_link"",""แพร่!J730"")+IMPORTRANGE("""&amp;"https://docs.google.com/spreadsheets/d/1Wbcosgy-Xa1xXUArJSOenub6EfZHUSzc_bpJFWwQUf0/edit?usp=share_link"",""แม่ฮ่องสอน!J730"")+IMPORTRANGE(""https://docs.google.com/spreadsheets/d/1p7ERhsr0qZeSn-KSOdeHS9r0heI-lHtkcn2OH7hP0jQ/edit?usp=share_link"",""ลำปาง!"&amp;"J730"")+IMPORTRANGE(""https://docs.google.com/spreadsheets/d/1-uUXvimVhiU2U0bMN-xi2te0tS4X7DI2GLPnMjzl8cA/edit?usp=share_link"",""ลำพูน!J730"")+IMPORTRANGE(""https://docs.google.com/spreadsheets/d/17HrOaa5pBUI1onckFfumXB8xlg35qb2uBAFfF1D-Myo/edit?usp=shar"&amp;"e_link"",""สุโขทัย!J730"")+IMPORTRANGE(""https://docs.google.com/spreadsheets/d/1ubs5cl16eYL9gHbdHTJtmtYb9MGzHBs7CAphn8kNCgM/edit?usp=share_link"",""อุตรดิตถ์!J730"")+IMPORTRANGE(""https://docs.google.com/spreadsheets/d/1kII0BjS6CtVrBvI8IrytgPdxDrlyQDyigz"&amp;"MsohRtDMs/edit?usp=share_link"",""อุทัยธานี!J730"")
"),5)</f>
        <v>5</v>
      </c>
      <c r="K730" s="38"/>
      <c r="L730" s="732"/>
      <c r="M730" s="38"/>
      <c r="N730" s="732"/>
      <c r="O730" s="38"/>
      <c r="P730" s="38"/>
      <c r="Q730" s="542"/>
      <c r="R730" s="542"/>
      <c r="S730" s="542"/>
      <c r="T730" s="542"/>
      <c r="U730" s="542"/>
      <c r="V730" s="542"/>
      <c r="W730" s="542"/>
      <c r="X730" s="542"/>
      <c r="Y730" s="542"/>
      <c r="Z730" s="542"/>
    </row>
    <row r="731" spans="1:26" ht="18.75">
      <c r="A731" s="710"/>
      <c r="B731" s="540"/>
      <c r="C731" s="540"/>
      <c r="D731" s="540"/>
      <c r="E731" s="540"/>
      <c r="F731" s="540"/>
      <c r="G731" s="189"/>
      <c r="H731" s="182" t="s">
        <v>34</v>
      </c>
      <c r="I731" s="731"/>
      <c r="J731" s="183">
        <f ca="1">IFERROR(__xludf.DUMMYFUNCTION("IMPORTRANGE(""https://docs.google.com/spreadsheets/d/1KxicF4apzSqm0-jIpmueT4kyZtE-Cwn5zskl7GD4loQ/edit?usp=share_link"",""กำแพงเพชร!J731"")+IMPORTRANGE(""https://docs.google.com/spreadsheets/d/1ZNYWeiFoFA1K1U4xKWqRX29MBvEyRHXORjo734Gnq_c/edit?usp=share_li"&amp;"nk"",""เชียงราย!J731"")
+IMPORTRANGE(""https://docs.google.com/spreadsheets/d/1Jgv0Y7YlHDtsiDawwp-uvifEJ8HVaSn0k2aGHG8-hwM/edit?usp=share_link"",""เชียงใหม่!J731"")+IMPORTRANGE(""https://docs.google.com/spreadsheets/d/1JWG2rZePOz9pe-f-ObA-yDr0VoOX2kSb0qIi"&amp;"x2mTUo8/edit?usp=share_link"",""ตาก!J731"")+IMPORTRANGE(""https://docs.google.com/spreadsheets/d/10nSRjK08hx8Y6HgSOQKNw81lyY46Zc7U_Cj72hBMp9U/edit?usp=share_link"",""นครสวรรค์!J731"")+IMPORTRANGE(""https://docs.google.com/spreadsheets/d/1gFVb7qd7amutrIxAA"&amp;"oM7lcy35hllxznovot8lyOfvDo/edit?usp=share_link"",""น่าน!J731"")+IMPORTRANGE(""https://docs.google.com/spreadsheets/d/1K0Aa9s-6EuHE5M0FG1F9aHLXRCOV917xvycTdLdct0w/edit?usp=share_link"",""พะเยา!J731"")+IMPORTRANGE(""https://docs.google.com/spreadsheets/d/1Y"&amp;"9LPKx95PyL5OKy09d-KbKJSuuEZCFdkhYjwC0XQjBA/edit?usp=share_link"",""พิจิตร!J731"")+IMPORTRANGE(""https://docs.google.com/spreadsheets/d/16OMuOwy2eVqZcYWOouQtTpa8X1L23h4660uVHc0C8os/edit?usp=share_link"",""พิษณุโลก!J731"")+IMPORTRANGE(""https://docs.google."&amp;"com/spreadsheets/d/1GfgTldLG6k77HXaMQzaafODklYuucJZQNs_GAPEfZyY/edit?usp=share_link"",""เพชรบูรณ์!J731"")+IMPORTRANGE(""https://docs.google.com/spreadsheets/d/1gvTMYAnm7v1yG1BKWFtr0DnaTsq59oW9dwWvFgq6hs0/edit?usp=share_link"",""แพร่!J731"")+IMPORTRANGE("""&amp;"https://docs.google.com/spreadsheets/d/1Wbcosgy-Xa1xXUArJSOenub6EfZHUSzc_bpJFWwQUf0/edit?usp=share_link"",""แม่ฮ่องสอน!J731"")+IMPORTRANGE(""https://docs.google.com/spreadsheets/d/1p7ERhsr0qZeSn-KSOdeHS9r0heI-lHtkcn2OH7hP0jQ/edit?usp=share_link"",""ลำปาง!"&amp;"J731"")+IMPORTRANGE(""https://docs.google.com/spreadsheets/d/1-uUXvimVhiU2U0bMN-xi2te0tS4X7DI2GLPnMjzl8cA/edit?usp=share_link"",""ลำพูน!J731"")+IMPORTRANGE(""https://docs.google.com/spreadsheets/d/17HrOaa5pBUI1onckFfumXB8xlg35qb2uBAFfF1D-Myo/edit?usp=shar"&amp;"e_link"",""สุโขทัย!J731"")+IMPORTRANGE(""https://docs.google.com/spreadsheets/d/1ubs5cl16eYL9gHbdHTJtmtYb9MGzHBs7CAphn8kNCgM/edit?usp=share_link"",""อุตรดิตถ์!J731"")+IMPORTRANGE(""https://docs.google.com/spreadsheets/d/1kII0BjS6CtVrBvI8IrytgPdxDrlyQDyigz"&amp;"MsohRtDMs/edit?usp=share_link"",""อุทัยธานี!J731"")
"),5)</f>
        <v>5</v>
      </c>
      <c r="K731" s="38"/>
      <c r="L731" s="732"/>
      <c r="M731" s="38"/>
      <c r="N731" s="732"/>
      <c r="O731" s="38"/>
      <c r="P731" s="38"/>
      <c r="Q731" s="542"/>
      <c r="R731" s="542"/>
      <c r="S731" s="542"/>
      <c r="T731" s="542"/>
      <c r="U731" s="542"/>
      <c r="V731" s="542"/>
      <c r="W731" s="542"/>
      <c r="X731" s="542"/>
      <c r="Y731" s="542"/>
      <c r="Z731" s="542"/>
    </row>
    <row r="732" spans="1:26" ht="18.75">
      <c r="A732" s="710"/>
      <c r="B732" s="540"/>
      <c r="C732" s="540"/>
      <c r="D732" s="540"/>
      <c r="E732" s="540"/>
      <c r="F732" s="540"/>
      <c r="G732" s="189"/>
      <c r="H732" s="182" t="s">
        <v>46</v>
      </c>
      <c r="I732" s="731"/>
      <c r="J732" s="183">
        <f ca="1">IFERROR(__xludf.DUMMYFUNCTION("IMPORTRANGE(""https://docs.google.com/spreadsheets/d/1KxicF4apzSqm0-jIpmueT4kyZtE-Cwn5zskl7GD4loQ/edit?usp=share_link"",""กำแพงเพชร!J732"")+IMPORTRANGE(""https://docs.google.com/spreadsheets/d/1ZNYWeiFoFA1K1U4xKWqRX29MBvEyRHXORjo734Gnq_c/edit?usp=share_li"&amp;"nk"",""เชียงราย!J732"")
+IMPORTRANGE(""https://docs.google.com/spreadsheets/d/1Jgv0Y7YlHDtsiDawwp-uvifEJ8HVaSn0k2aGHG8-hwM/edit?usp=share_link"",""เชียงใหม่!J732"")+IMPORTRANGE(""https://docs.google.com/spreadsheets/d/1JWG2rZePOz9pe-f-ObA-yDr0VoOX2kSb0qIi"&amp;"x2mTUo8/edit?usp=share_link"",""ตาก!J732"")+IMPORTRANGE(""https://docs.google.com/spreadsheets/d/10nSRjK08hx8Y6HgSOQKNw81lyY46Zc7U_Cj72hBMp9U/edit?usp=share_link"",""นครสวรรค์!J732"")+IMPORTRANGE(""https://docs.google.com/spreadsheets/d/1gFVb7qd7amutrIxAA"&amp;"oM7lcy35hllxznovot8lyOfvDo/edit?usp=share_link"",""น่าน!J732"")+IMPORTRANGE(""https://docs.google.com/spreadsheets/d/1K0Aa9s-6EuHE5M0FG1F9aHLXRCOV917xvycTdLdct0w/edit?usp=share_link"",""พะเยา!J732"")+IMPORTRANGE(""https://docs.google.com/spreadsheets/d/1Y"&amp;"9LPKx95PyL5OKy09d-KbKJSuuEZCFdkhYjwC0XQjBA/edit?usp=share_link"",""พิจิตร!J732"")+IMPORTRANGE(""https://docs.google.com/spreadsheets/d/16OMuOwy2eVqZcYWOouQtTpa8X1L23h4660uVHc0C8os/edit?usp=share_link"",""พิษณุโลก!J732"")+IMPORTRANGE(""https://docs.google."&amp;"com/spreadsheets/d/1GfgTldLG6k77HXaMQzaafODklYuucJZQNs_GAPEfZyY/edit?usp=share_link"",""เพชรบูรณ์!J732"")+IMPORTRANGE(""https://docs.google.com/spreadsheets/d/1gvTMYAnm7v1yG1BKWFtr0DnaTsq59oW9dwWvFgq6hs0/edit?usp=share_link"",""แพร่!J732"")+IMPORTRANGE("""&amp;"https://docs.google.com/spreadsheets/d/1Wbcosgy-Xa1xXUArJSOenub6EfZHUSzc_bpJFWwQUf0/edit?usp=share_link"",""แม่ฮ่องสอน!J732"")+IMPORTRANGE(""https://docs.google.com/spreadsheets/d/1p7ERhsr0qZeSn-KSOdeHS9r0heI-lHtkcn2OH7hP0jQ/edit?usp=share_link"",""ลำปาง!"&amp;"J732"")+IMPORTRANGE(""https://docs.google.com/spreadsheets/d/1-uUXvimVhiU2U0bMN-xi2te0tS4X7DI2GLPnMjzl8cA/edit?usp=share_link"",""ลำพูน!J732"")+IMPORTRANGE(""https://docs.google.com/spreadsheets/d/17HrOaa5pBUI1onckFfumXB8xlg35qb2uBAFfF1D-Myo/edit?usp=shar"&amp;"e_link"",""สุโขทัย!J732"")+IMPORTRANGE(""https://docs.google.com/spreadsheets/d/1ubs5cl16eYL9gHbdHTJtmtYb9MGzHBs7CAphn8kNCgM/edit?usp=share_link"",""อุตรดิตถ์!J732"")+IMPORTRANGE(""https://docs.google.com/spreadsheets/d/1kII0BjS6CtVrBvI8IrytgPdxDrlyQDyigz"&amp;"MsohRtDMs/edit?usp=share_link"",""อุทัยธานี!J732"")
"),94.48)</f>
        <v>94.48</v>
      </c>
      <c r="K732" s="38"/>
      <c r="L732" s="732"/>
      <c r="M732" s="38"/>
      <c r="N732" s="732"/>
      <c r="O732" s="38"/>
      <c r="P732" s="38"/>
      <c r="Q732" s="542"/>
      <c r="R732" s="542"/>
      <c r="S732" s="542"/>
      <c r="T732" s="542"/>
      <c r="U732" s="542"/>
      <c r="V732" s="542"/>
      <c r="W732" s="542"/>
      <c r="X732" s="542"/>
      <c r="Y732" s="542"/>
      <c r="Z732" s="542"/>
    </row>
    <row r="733" spans="1:26" ht="18.75">
      <c r="A733" s="710"/>
      <c r="B733" s="540"/>
      <c r="C733" s="540"/>
      <c r="D733" s="540"/>
      <c r="E733" s="541" t="s">
        <v>310</v>
      </c>
      <c r="F733" s="540"/>
      <c r="G733" s="189"/>
      <c r="H733" s="182" t="s">
        <v>35</v>
      </c>
      <c r="I733" s="731"/>
      <c r="J733" s="183">
        <f ca="1">IFERROR(__xludf.DUMMYFUNCTION("IMPORTRANGE(""https://docs.google.com/spreadsheets/d/1KxicF4apzSqm0-jIpmueT4kyZtE-Cwn5zskl7GD4loQ/edit?usp=share_link"",""กำแพงเพชร!J733"")+IMPORTRANGE(""https://docs.google.com/spreadsheets/d/1ZNYWeiFoFA1K1U4xKWqRX29MBvEyRHXORjo734Gnq_c/edit?usp=share_li"&amp;"nk"",""เชียงราย!J733"")
+IMPORTRANGE(""https://docs.google.com/spreadsheets/d/1Jgv0Y7YlHDtsiDawwp-uvifEJ8HVaSn0k2aGHG8-hwM/edit?usp=share_link"",""เชียงใหม่!J733"")+IMPORTRANGE(""https://docs.google.com/spreadsheets/d/1JWG2rZePOz9pe-f-ObA-yDr0VoOX2kSb0qIi"&amp;"x2mTUo8/edit?usp=share_link"",""ตาก!J733"")+IMPORTRANGE(""https://docs.google.com/spreadsheets/d/10nSRjK08hx8Y6HgSOQKNw81lyY46Zc7U_Cj72hBMp9U/edit?usp=share_link"",""นครสวรรค์!J733"")+IMPORTRANGE(""https://docs.google.com/spreadsheets/d/1gFVb7qd7amutrIxAA"&amp;"oM7lcy35hllxznovot8lyOfvDo/edit?usp=share_link"",""น่าน!J733"")+IMPORTRANGE(""https://docs.google.com/spreadsheets/d/1K0Aa9s-6EuHE5M0FG1F9aHLXRCOV917xvycTdLdct0w/edit?usp=share_link"",""พะเยา!J733"")+IMPORTRANGE(""https://docs.google.com/spreadsheets/d/1Y"&amp;"9LPKx95PyL5OKy09d-KbKJSuuEZCFdkhYjwC0XQjBA/edit?usp=share_link"",""พิจิตร!J733"")+IMPORTRANGE(""https://docs.google.com/spreadsheets/d/16OMuOwy2eVqZcYWOouQtTpa8X1L23h4660uVHc0C8os/edit?usp=share_link"",""พิษณุโลก!J733"")+IMPORTRANGE(""https://docs.google."&amp;"com/spreadsheets/d/1GfgTldLG6k77HXaMQzaafODklYuucJZQNs_GAPEfZyY/edit?usp=share_link"",""เพชรบูรณ์!J733"")+IMPORTRANGE(""https://docs.google.com/spreadsheets/d/1gvTMYAnm7v1yG1BKWFtr0DnaTsq59oW9dwWvFgq6hs0/edit?usp=share_link"",""แพร่!J733"")+IMPORTRANGE("""&amp;"https://docs.google.com/spreadsheets/d/1Wbcosgy-Xa1xXUArJSOenub6EfZHUSzc_bpJFWwQUf0/edit?usp=share_link"",""แม่ฮ่องสอน!J733"")+IMPORTRANGE(""https://docs.google.com/spreadsheets/d/1p7ERhsr0qZeSn-KSOdeHS9r0heI-lHtkcn2OH7hP0jQ/edit?usp=share_link"",""ลำปาง!"&amp;"J733"")+IMPORTRANGE(""https://docs.google.com/spreadsheets/d/1-uUXvimVhiU2U0bMN-xi2te0tS4X7DI2GLPnMjzl8cA/edit?usp=share_link"",""ลำพูน!J733"")+IMPORTRANGE(""https://docs.google.com/spreadsheets/d/17HrOaa5pBUI1onckFfumXB8xlg35qb2uBAFfF1D-Myo/edit?usp=shar"&amp;"e_link"",""สุโขทัย!J733"")+IMPORTRANGE(""https://docs.google.com/spreadsheets/d/1ubs5cl16eYL9gHbdHTJtmtYb9MGzHBs7CAphn8kNCgM/edit?usp=share_link"",""อุตรดิตถ์!J733"")+IMPORTRANGE(""https://docs.google.com/spreadsheets/d/1kII0BjS6CtVrBvI8IrytgPdxDrlyQDyigz"&amp;"MsohRtDMs/edit?usp=share_link"",""อุทัยธานี!J733"")
"),3)</f>
        <v>3</v>
      </c>
      <c r="K733" s="38"/>
      <c r="L733" s="732"/>
      <c r="M733" s="38"/>
      <c r="N733" s="732"/>
      <c r="O733" s="38"/>
      <c r="P733" s="38"/>
      <c r="Q733" s="542"/>
      <c r="R733" s="542"/>
      <c r="S733" s="542"/>
      <c r="T733" s="542"/>
      <c r="U733" s="542"/>
      <c r="V733" s="542"/>
      <c r="W733" s="542"/>
      <c r="X733" s="542"/>
      <c r="Y733" s="542"/>
      <c r="Z733" s="542"/>
    </row>
    <row r="734" spans="1:26" ht="18.75">
      <c r="A734" s="710"/>
      <c r="B734" s="540"/>
      <c r="C734" s="540"/>
      <c r="D734" s="540"/>
      <c r="E734" s="540"/>
      <c r="F734" s="540"/>
      <c r="G734" s="189"/>
      <c r="H734" s="182" t="s">
        <v>34</v>
      </c>
      <c r="I734" s="731"/>
      <c r="J734" s="183">
        <f ca="1">IFERROR(__xludf.DUMMYFUNCTION("IMPORTRANGE(""https://docs.google.com/spreadsheets/d/1KxicF4apzSqm0-jIpmueT4kyZtE-Cwn5zskl7GD4loQ/edit?usp=share_link"",""กำแพงเพชร!J734"")+IMPORTRANGE(""https://docs.google.com/spreadsheets/d/1ZNYWeiFoFA1K1U4xKWqRX29MBvEyRHXORjo734Gnq_c/edit?usp=share_li"&amp;"nk"",""เชียงราย!J734"")
+IMPORTRANGE(""https://docs.google.com/spreadsheets/d/1Jgv0Y7YlHDtsiDawwp-uvifEJ8HVaSn0k2aGHG8-hwM/edit?usp=share_link"",""เชียงใหม่!J734"")+IMPORTRANGE(""https://docs.google.com/spreadsheets/d/1JWG2rZePOz9pe-f-ObA-yDr0VoOX2kSb0qIi"&amp;"x2mTUo8/edit?usp=share_link"",""ตาก!J734"")+IMPORTRANGE(""https://docs.google.com/spreadsheets/d/10nSRjK08hx8Y6HgSOQKNw81lyY46Zc7U_Cj72hBMp9U/edit?usp=share_link"",""นครสวรรค์!J734"")+IMPORTRANGE(""https://docs.google.com/spreadsheets/d/1gFVb7qd7amutrIxAA"&amp;"oM7lcy35hllxznovot8lyOfvDo/edit?usp=share_link"",""น่าน!J734"")+IMPORTRANGE(""https://docs.google.com/spreadsheets/d/1K0Aa9s-6EuHE5M0FG1F9aHLXRCOV917xvycTdLdct0w/edit?usp=share_link"",""พะเยา!J734"")+IMPORTRANGE(""https://docs.google.com/spreadsheets/d/1Y"&amp;"9LPKx95PyL5OKy09d-KbKJSuuEZCFdkhYjwC0XQjBA/edit?usp=share_link"",""พิจิตร!J734"")+IMPORTRANGE(""https://docs.google.com/spreadsheets/d/16OMuOwy2eVqZcYWOouQtTpa8X1L23h4660uVHc0C8os/edit?usp=share_link"",""พิษณุโลก!J734"")+IMPORTRANGE(""https://docs.google."&amp;"com/spreadsheets/d/1GfgTldLG6k77HXaMQzaafODklYuucJZQNs_GAPEfZyY/edit?usp=share_link"",""เพชรบูรณ์!J734"")+IMPORTRANGE(""https://docs.google.com/spreadsheets/d/1gvTMYAnm7v1yG1BKWFtr0DnaTsq59oW9dwWvFgq6hs0/edit?usp=share_link"",""แพร่!J734"")+IMPORTRANGE("""&amp;"https://docs.google.com/spreadsheets/d/1Wbcosgy-Xa1xXUArJSOenub6EfZHUSzc_bpJFWwQUf0/edit?usp=share_link"",""แม่ฮ่องสอน!J734"")+IMPORTRANGE(""https://docs.google.com/spreadsheets/d/1p7ERhsr0qZeSn-KSOdeHS9r0heI-lHtkcn2OH7hP0jQ/edit?usp=share_link"",""ลำปาง!"&amp;"J734"")+IMPORTRANGE(""https://docs.google.com/spreadsheets/d/1-uUXvimVhiU2U0bMN-xi2te0tS4X7DI2GLPnMjzl8cA/edit?usp=share_link"",""ลำพูน!J734"")+IMPORTRANGE(""https://docs.google.com/spreadsheets/d/17HrOaa5pBUI1onckFfumXB8xlg35qb2uBAFfF1D-Myo/edit?usp=shar"&amp;"e_link"",""สุโขทัย!J734"")+IMPORTRANGE(""https://docs.google.com/spreadsheets/d/1ubs5cl16eYL9gHbdHTJtmtYb9MGzHBs7CAphn8kNCgM/edit?usp=share_link"",""อุตรดิตถ์!J734"")+IMPORTRANGE(""https://docs.google.com/spreadsheets/d/1kII0BjS6CtVrBvI8IrytgPdxDrlyQDyigz"&amp;"MsohRtDMs/edit?usp=share_link"",""อุทัยธานี!J734"")
"),3)</f>
        <v>3</v>
      </c>
      <c r="K734" s="38"/>
      <c r="L734" s="732"/>
      <c r="M734" s="38"/>
      <c r="N734" s="732"/>
      <c r="O734" s="38"/>
      <c r="P734" s="38"/>
      <c r="Q734" s="542"/>
      <c r="R734" s="542"/>
      <c r="S734" s="542"/>
      <c r="T734" s="542"/>
      <c r="U734" s="542"/>
      <c r="V734" s="542"/>
      <c r="W734" s="542"/>
      <c r="X734" s="542"/>
      <c r="Y734" s="542"/>
      <c r="Z734" s="542"/>
    </row>
    <row r="735" spans="1:26" ht="19.5">
      <c r="A735" s="736"/>
      <c r="B735" s="737" t="s">
        <v>311</v>
      </c>
      <c r="C735" s="700"/>
      <c r="D735" s="700"/>
      <c r="E735" s="700"/>
      <c r="F735" s="700"/>
      <c r="G735" s="701"/>
      <c r="H735" s="391" t="s">
        <v>46</v>
      </c>
      <c r="I735" s="738"/>
      <c r="J735" s="393">
        <f ca="1">IFERROR(__xludf.DUMMYFUNCTION("IMPORTRANGE(""https://docs.google.com/spreadsheets/d/1KxicF4apzSqm0-jIpmueT4kyZtE-Cwn5zskl7GD4loQ/edit?usp=share_link"",""กำแพงเพชร!J735"")+IMPORTRANGE(""https://docs.google.com/spreadsheets/d/1ZNYWeiFoFA1K1U4xKWqRX29MBvEyRHXORjo734Gnq_c/edit?usp=share_li"&amp;"nk"",""เชียงราย!J735"")
+IMPORTRANGE(""https://docs.google.com/spreadsheets/d/1Jgv0Y7YlHDtsiDawwp-uvifEJ8HVaSn0k2aGHG8-hwM/edit?usp=share_link"",""เชียงใหม่!J735"")+IMPORTRANGE(""https://docs.google.com/spreadsheets/d/1JWG2rZePOz9pe-f-ObA-yDr0VoOX2kSb0qIi"&amp;"x2mTUo8/edit?usp=share_link"",""ตาก!J735"")+IMPORTRANGE(""https://docs.google.com/spreadsheets/d/10nSRjK08hx8Y6HgSOQKNw81lyY46Zc7U_Cj72hBMp9U/edit?usp=share_link"",""นครสวรรค์!J735"")+IMPORTRANGE(""https://docs.google.com/spreadsheets/d/1gFVb7qd7amutrIxAA"&amp;"oM7lcy35hllxznovot8lyOfvDo/edit?usp=share_link"",""น่าน!J735"")+IMPORTRANGE(""https://docs.google.com/spreadsheets/d/1K0Aa9s-6EuHE5M0FG1F9aHLXRCOV917xvycTdLdct0w/edit?usp=share_link"",""พะเยา!J735"")+IMPORTRANGE(""https://docs.google.com/spreadsheets/d/1Y"&amp;"9LPKx95PyL5OKy09d-KbKJSuuEZCFdkhYjwC0XQjBA/edit?usp=share_link"",""พิจิตร!J735"")+IMPORTRANGE(""https://docs.google.com/spreadsheets/d/16OMuOwy2eVqZcYWOouQtTpa8X1L23h4660uVHc0C8os/edit?usp=share_link"",""พิษณุโลก!J735"")+IMPORTRANGE(""https://docs.google."&amp;"com/spreadsheets/d/1GfgTldLG6k77HXaMQzaafODklYuucJZQNs_GAPEfZyY/edit?usp=share_link"",""เพชรบูรณ์!J735"")+IMPORTRANGE(""https://docs.google.com/spreadsheets/d/1gvTMYAnm7v1yG1BKWFtr0DnaTsq59oW9dwWvFgq6hs0/edit?usp=share_link"",""แพร่!J735"")+IMPORTRANGE("""&amp;"https://docs.google.com/spreadsheets/d/1Wbcosgy-Xa1xXUArJSOenub6EfZHUSzc_bpJFWwQUf0/edit?usp=share_link"",""แม่ฮ่องสอน!J735"")+IMPORTRANGE(""https://docs.google.com/spreadsheets/d/1p7ERhsr0qZeSn-KSOdeHS9r0heI-lHtkcn2OH7hP0jQ/edit?usp=share_link"",""ลำปาง!"&amp;"J735"")+IMPORTRANGE(""https://docs.google.com/spreadsheets/d/1-uUXvimVhiU2U0bMN-xi2te0tS4X7DI2GLPnMjzl8cA/edit?usp=share_link"",""ลำพูน!J735"")+IMPORTRANGE(""https://docs.google.com/spreadsheets/d/17HrOaa5pBUI1onckFfumXB8xlg35qb2uBAFfF1D-Myo/edit?usp=shar"&amp;"e_link"",""สุโขทัย!J735"")+IMPORTRANGE(""https://docs.google.com/spreadsheets/d/1ubs5cl16eYL9gHbdHTJtmtYb9MGzHBs7CAphn8kNCgM/edit?usp=share_link"",""อุตรดิตถ์!J735"")+IMPORTRANGE(""https://docs.google.com/spreadsheets/d/1kII0BjS6CtVrBvI8IrytgPdxDrlyQDyigz"&amp;"MsohRtDMs/edit?usp=share_link"",""อุทัยธานี!J735"")
"),57.24)</f>
        <v>57.24</v>
      </c>
      <c r="K735" s="470"/>
      <c r="L735" s="739"/>
      <c r="M735" s="470"/>
      <c r="N735" s="739"/>
      <c r="O735" s="470"/>
      <c r="P735" s="470"/>
      <c r="Q735" s="542"/>
      <c r="R735" s="542"/>
      <c r="S735" s="542"/>
      <c r="T735" s="542"/>
      <c r="U735" s="542"/>
      <c r="V735" s="542"/>
      <c r="W735" s="542"/>
      <c r="X735" s="542"/>
      <c r="Y735" s="542"/>
      <c r="Z735" s="542"/>
    </row>
    <row r="736" spans="1:26" ht="19.5" hidden="1">
      <c r="A736" s="740">
        <v>9</v>
      </c>
      <c r="B736" s="741" t="s">
        <v>312</v>
      </c>
      <c r="C736" s="742"/>
      <c r="D736" s="742"/>
      <c r="E736" s="742"/>
      <c r="F736" s="742"/>
      <c r="G736" s="743"/>
      <c r="H736" s="744" t="s">
        <v>46</v>
      </c>
      <c r="I736" s="745"/>
      <c r="J736" s="745">
        <f>J751</f>
        <v>0</v>
      </c>
      <c r="K736" s="746">
        <f>IF(I736&gt;0,J736*100/I736,0)</f>
        <v>0</v>
      </c>
      <c r="L736" s="747"/>
      <c r="M736" s="747"/>
      <c r="N736" s="747"/>
      <c r="O736" s="747"/>
      <c r="P736" s="747"/>
      <c r="Q736" s="569"/>
      <c r="R736" s="569"/>
      <c r="S736" s="569"/>
      <c r="T736" s="569"/>
      <c r="U736" s="569"/>
      <c r="V736" s="569"/>
      <c r="W736" s="569"/>
      <c r="X736" s="569"/>
      <c r="Y736" s="569"/>
      <c r="Z736" s="569"/>
    </row>
    <row r="737" spans="1:26" ht="19.5" hidden="1">
      <c r="A737" s="564"/>
      <c r="B737" s="565"/>
      <c r="C737" s="565" t="s">
        <v>16</v>
      </c>
      <c r="D737" s="1489" t="s">
        <v>17</v>
      </c>
      <c r="E737" s="1485"/>
      <c r="F737" s="1485"/>
      <c r="G737" s="568"/>
      <c r="H737" s="612" t="s">
        <v>12</v>
      </c>
      <c r="I737" s="44"/>
      <c r="J737" s="44"/>
      <c r="K737" s="45"/>
      <c r="L737" s="613">
        <f t="shared" ref="L737:N737" si="335">L738+L739</f>
        <v>0</v>
      </c>
      <c r="M737" s="613">
        <f t="shared" si="335"/>
        <v>0</v>
      </c>
      <c r="N737" s="613">
        <f t="shared" si="335"/>
        <v>0</v>
      </c>
      <c r="O737" s="613">
        <f t="shared" ref="O737:O742" si="336">IF(L737&gt;0,N737*100/L737,0)</f>
        <v>0</v>
      </c>
      <c r="P737" s="613">
        <f t="shared" ref="P737:P742" si="337">IF(M737&gt;0,N737*100/M737,0)</f>
        <v>0</v>
      </c>
      <c r="Q737" s="569"/>
      <c r="R737" s="569"/>
      <c r="S737" s="569"/>
      <c r="T737" s="569"/>
      <c r="U737" s="569"/>
      <c r="V737" s="569"/>
      <c r="W737" s="569"/>
      <c r="X737" s="569"/>
      <c r="Y737" s="569"/>
      <c r="Z737" s="569"/>
    </row>
    <row r="738" spans="1:26" ht="18.75" hidden="1">
      <c r="A738" s="564"/>
      <c r="B738" s="565"/>
      <c r="C738" s="565"/>
      <c r="D738" s="566"/>
      <c r="E738" s="567" t="s">
        <v>184</v>
      </c>
      <c r="F738" s="565"/>
      <c r="G738" s="568"/>
      <c r="H738" s="165" t="s">
        <v>12</v>
      </c>
      <c r="I738" s="44"/>
      <c r="J738" s="44"/>
      <c r="K738" s="45"/>
      <c r="L738" s="45">
        <f t="shared" ref="L738:N738" si="338">L741+L748</f>
        <v>0</v>
      </c>
      <c r="M738" s="45">
        <f t="shared" si="338"/>
        <v>0</v>
      </c>
      <c r="N738" s="45">
        <f t="shared" si="338"/>
        <v>0</v>
      </c>
      <c r="O738" s="45">
        <f t="shared" si="336"/>
        <v>0</v>
      </c>
      <c r="P738" s="45">
        <f t="shared" si="337"/>
        <v>0</v>
      </c>
      <c r="Q738" s="569"/>
      <c r="R738" s="569"/>
      <c r="S738" s="569"/>
      <c r="T738" s="569"/>
      <c r="U738" s="569"/>
      <c r="V738" s="569"/>
      <c r="W738" s="569"/>
      <c r="X738" s="569"/>
      <c r="Y738" s="569"/>
      <c r="Z738" s="569"/>
    </row>
    <row r="739" spans="1:26" ht="18.75" hidden="1">
      <c r="A739" s="564"/>
      <c r="B739" s="570"/>
      <c r="C739" s="565"/>
      <c r="D739" s="566"/>
      <c r="E739" s="567" t="s">
        <v>185</v>
      </c>
      <c r="F739" s="565"/>
      <c r="G739" s="568"/>
      <c r="H739" s="165" t="s">
        <v>12</v>
      </c>
      <c r="I739" s="44"/>
      <c r="J739" s="44"/>
      <c r="K739" s="45"/>
      <c r="L739" s="45">
        <f t="shared" ref="L739:N739" si="339">L742+L749</f>
        <v>0</v>
      </c>
      <c r="M739" s="45">
        <f t="shared" si="339"/>
        <v>0</v>
      </c>
      <c r="N739" s="45">
        <f t="shared" si="339"/>
        <v>0</v>
      </c>
      <c r="O739" s="45">
        <f t="shared" si="336"/>
        <v>0</v>
      </c>
      <c r="P739" s="45">
        <f t="shared" si="337"/>
        <v>0</v>
      </c>
      <c r="Q739" s="569"/>
      <c r="R739" s="569"/>
      <c r="S739" s="569"/>
      <c r="T739" s="569"/>
      <c r="U739" s="569"/>
      <c r="V739" s="569"/>
      <c r="W739" s="569"/>
      <c r="X739" s="569"/>
      <c r="Y739" s="569"/>
      <c r="Z739" s="569"/>
    </row>
    <row r="740" spans="1:26" ht="19.5" hidden="1">
      <c r="A740" s="564"/>
      <c r="B740" s="570"/>
      <c r="C740" s="565"/>
      <c r="D740" s="748" t="s">
        <v>20</v>
      </c>
      <c r="E740" s="565"/>
      <c r="F740" s="565"/>
      <c r="G740" s="568"/>
      <c r="H740" s="612" t="s">
        <v>12</v>
      </c>
      <c r="I740" s="166"/>
      <c r="J740" s="166"/>
      <c r="K740" s="167"/>
      <c r="L740" s="613">
        <f t="shared" ref="L740:N740" si="340">L741+L742</f>
        <v>0</v>
      </c>
      <c r="M740" s="613">
        <f t="shared" si="340"/>
        <v>0</v>
      </c>
      <c r="N740" s="613">
        <f t="shared" si="340"/>
        <v>0</v>
      </c>
      <c r="O740" s="613">
        <f t="shared" si="336"/>
        <v>0</v>
      </c>
      <c r="P740" s="613">
        <f t="shared" si="337"/>
        <v>0</v>
      </c>
      <c r="Q740" s="569"/>
      <c r="R740" s="569"/>
      <c r="S740" s="569"/>
      <c r="T740" s="569"/>
      <c r="U740" s="569"/>
      <c r="V740" s="569"/>
      <c r="W740" s="569"/>
      <c r="X740" s="569"/>
      <c r="Y740" s="569"/>
      <c r="Z740" s="569"/>
    </row>
    <row r="741" spans="1:26" ht="18.75" hidden="1">
      <c r="A741" s="564"/>
      <c r="B741" s="570"/>
      <c r="C741" s="565"/>
      <c r="D741" s="566"/>
      <c r="E741" s="567" t="s">
        <v>184</v>
      </c>
      <c r="F741" s="565"/>
      <c r="G741" s="568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6"/>
        <v>0</v>
      </c>
      <c r="P741" s="45">
        <f t="shared" si="337"/>
        <v>0</v>
      </c>
      <c r="Q741" s="569"/>
      <c r="R741" s="569"/>
      <c r="S741" s="569"/>
      <c r="T741" s="569"/>
      <c r="U741" s="569"/>
      <c r="V741" s="569"/>
      <c r="W741" s="569"/>
      <c r="X741" s="569"/>
      <c r="Y741" s="569"/>
      <c r="Z741" s="569"/>
    </row>
    <row r="742" spans="1:26" ht="18.75" hidden="1">
      <c r="A742" s="564"/>
      <c r="B742" s="570"/>
      <c r="C742" s="565"/>
      <c r="D742" s="566"/>
      <c r="E742" s="567" t="s">
        <v>185</v>
      </c>
      <c r="F742" s="565"/>
      <c r="G742" s="568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6"/>
        <v>0</v>
      </c>
      <c r="P742" s="45">
        <f t="shared" si="337"/>
        <v>0</v>
      </c>
      <c r="Q742" s="569"/>
      <c r="R742" s="569"/>
      <c r="S742" s="569"/>
      <c r="T742" s="569"/>
      <c r="U742" s="569"/>
      <c r="V742" s="569"/>
      <c r="W742" s="569"/>
      <c r="X742" s="569"/>
      <c r="Y742" s="569"/>
      <c r="Z742" s="569"/>
    </row>
    <row r="743" spans="1:26" ht="18.75" hidden="1">
      <c r="A743" s="615"/>
      <c r="B743" s="570"/>
      <c r="C743" s="565"/>
      <c r="D743" s="565"/>
      <c r="E743" s="565"/>
      <c r="F743" s="567" t="s">
        <v>186</v>
      </c>
      <c r="G743" s="568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69"/>
      <c r="R743" s="569"/>
      <c r="S743" s="569"/>
      <c r="T743" s="569"/>
      <c r="U743" s="569"/>
      <c r="V743" s="569"/>
      <c r="W743" s="569"/>
      <c r="X743" s="569"/>
      <c r="Y743" s="569"/>
      <c r="Z743" s="569"/>
    </row>
    <row r="744" spans="1:26" ht="18.75" hidden="1">
      <c r="A744" s="615"/>
      <c r="B744" s="570"/>
      <c r="C744" s="565"/>
      <c r="D744" s="565"/>
      <c r="E744" s="565"/>
      <c r="F744" s="567" t="s">
        <v>187</v>
      </c>
      <c r="G744" s="568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69"/>
      <c r="R744" s="569"/>
      <c r="S744" s="569"/>
      <c r="T744" s="569"/>
      <c r="U744" s="569"/>
      <c r="V744" s="569"/>
      <c r="W744" s="569"/>
      <c r="X744" s="569"/>
      <c r="Y744" s="569"/>
      <c r="Z744" s="569"/>
    </row>
    <row r="745" spans="1:26" ht="18.75" hidden="1">
      <c r="A745" s="615"/>
      <c r="B745" s="570"/>
      <c r="C745" s="565"/>
      <c r="D745" s="565"/>
      <c r="E745" s="565"/>
      <c r="F745" s="567" t="s">
        <v>188</v>
      </c>
      <c r="G745" s="568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69"/>
      <c r="R745" s="569"/>
      <c r="S745" s="569"/>
      <c r="T745" s="569"/>
      <c r="U745" s="569"/>
      <c r="V745" s="569"/>
      <c r="W745" s="569"/>
      <c r="X745" s="569"/>
      <c r="Y745" s="569"/>
      <c r="Z745" s="569"/>
    </row>
    <row r="746" spans="1:26" ht="18.75" hidden="1">
      <c r="A746" s="615"/>
      <c r="B746" s="570"/>
      <c r="C746" s="565"/>
      <c r="D746" s="565"/>
      <c r="E746" s="565"/>
      <c r="F746" s="567" t="s">
        <v>189</v>
      </c>
      <c r="G746" s="568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69"/>
      <c r="R746" s="569"/>
      <c r="S746" s="569"/>
      <c r="T746" s="569"/>
      <c r="U746" s="569"/>
      <c r="V746" s="569"/>
      <c r="W746" s="569"/>
      <c r="X746" s="569"/>
      <c r="Y746" s="569"/>
      <c r="Z746" s="569"/>
    </row>
    <row r="747" spans="1:26" ht="19.5" hidden="1">
      <c r="A747" s="564"/>
      <c r="B747" s="570"/>
      <c r="C747" s="565"/>
      <c r="D747" s="748" t="s">
        <v>21</v>
      </c>
      <c r="E747" s="565"/>
      <c r="F747" s="565"/>
      <c r="G747" s="568"/>
      <c r="H747" s="749" t="s">
        <v>12</v>
      </c>
      <c r="I747" s="166"/>
      <c r="J747" s="166"/>
      <c r="K747" s="167"/>
      <c r="L747" s="613">
        <f t="shared" ref="L747:N747" si="341">L748+L749</f>
        <v>0</v>
      </c>
      <c r="M747" s="613">
        <f t="shared" si="341"/>
        <v>0</v>
      </c>
      <c r="N747" s="613">
        <f t="shared" si="341"/>
        <v>0</v>
      </c>
      <c r="O747" s="613">
        <f t="shared" ref="O747:O749" si="342">IF(L747&gt;0,N747*100/L747,0)</f>
        <v>0</v>
      </c>
      <c r="P747" s="613">
        <f t="shared" ref="P747:P749" si="343">IF(M747&gt;0,N747*100/M747,0)</f>
        <v>0</v>
      </c>
      <c r="Q747" s="569"/>
      <c r="R747" s="569"/>
      <c r="S747" s="569"/>
      <c r="T747" s="569"/>
      <c r="U747" s="569"/>
      <c r="V747" s="569"/>
      <c r="W747" s="569"/>
      <c r="X747" s="569"/>
      <c r="Y747" s="569"/>
      <c r="Z747" s="569"/>
    </row>
    <row r="748" spans="1:26" ht="18.75" hidden="1">
      <c r="A748" s="564"/>
      <c r="B748" s="570"/>
      <c r="C748" s="565"/>
      <c r="D748" s="565"/>
      <c r="E748" s="567" t="s">
        <v>18</v>
      </c>
      <c r="F748" s="565"/>
      <c r="G748" s="56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2"/>
        <v>0</v>
      </c>
      <c r="P748" s="45">
        <f t="shared" si="343"/>
        <v>0</v>
      </c>
      <c r="Q748" s="569"/>
      <c r="R748" s="569"/>
      <c r="S748" s="569"/>
      <c r="T748" s="569"/>
      <c r="U748" s="569"/>
      <c r="V748" s="569"/>
      <c r="W748" s="569"/>
      <c r="X748" s="569"/>
      <c r="Y748" s="569"/>
      <c r="Z748" s="569"/>
    </row>
    <row r="749" spans="1:26" ht="18.75" hidden="1">
      <c r="A749" s="564"/>
      <c r="B749" s="570"/>
      <c r="C749" s="565"/>
      <c r="D749" s="565"/>
      <c r="E749" s="567" t="s">
        <v>19</v>
      </c>
      <c r="F749" s="565"/>
      <c r="G749" s="56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2"/>
        <v>0</v>
      </c>
      <c r="P749" s="45">
        <f t="shared" si="343"/>
        <v>0</v>
      </c>
      <c r="Q749" s="569"/>
      <c r="R749" s="569"/>
      <c r="S749" s="569"/>
      <c r="T749" s="569"/>
      <c r="U749" s="569"/>
      <c r="V749" s="569"/>
      <c r="W749" s="569"/>
      <c r="X749" s="569"/>
      <c r="Y749" s="569"/>
      <c r="Z749" s="569"/>
    </row>
    <row r="750" spans="1:26" ht="19.5" hidden="1">
      <c r="A750" s="579"/>
      <c r="B750" s="580"/>
      <c r="C750" s="565" t="s">
        <v>16</v>
      </c>
      <c r="D750" s="750" t="s">
        <v>38</v>
      </c>
      <c r="E750" s="617"/>
      <c r="F750" s="617"/>
      <c r="G750" s="618"/>
      <c r="H750" s="582"/>
      <c r="I750" s="166"/>
      <c r="J750" s="166"/>
      <c r="K750" s="167"/>
      <c r="L750" s="167"/>
      <c r="M750" s="167"/>
      <c r="N750" s="167"/>
      <c r="O750" s="167"/>
      <c r="P750" s="167"/>
      <c r="Q750" s="569"/>
      <c r="R750" s="569"/>
      <c r="S750" s="569"/>
      <c r="T750" s="569"/>
      <c r="U750" s="569"/>
      <c r="V750" s="569"/>
      <c r="W750" s="569"/>
      <c r="X750" s="569"/>
      <c r="Y750" s="569"/>
      <c r="Z750" s="569"/>
    </row>
    <row r="751" spans="1:26" ht="18.75" hidden="1">
      <c r="A751" s="615"/>
      <c r="B751" s="570"/>
      <c r="C751" s="565"/>
      <c r="D751" s="565"/>
      <c r="E751" s="567" t="s">
        <v>313</v>
      </c>
      <c r="F751" s="565"/>
      <c r="G751" s="568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69"/>
      <c r="R751" s="569"/>
      <c r="S751" s="569"/>
      <c r="T751" s="569"/>
      <c r="U751" s="569"/>
      <c r="V751" s="569"/>
      <c r="W751" s="569"/>
      <c r="X751" s="569"/>
      <c r="Y751" s="569"/>
      <c r="Z751" s="569"/>
    </row>
    <row r="752" spans="1:26" ht="18.75" hidden="1">
      <c r="A752" s="615"/>
      <c r="B752" s="570"/>
      <c r="C752" s="565"/>
      <c r="D752" s="565"/>
      <c r="E752" s="565"/>
      <c r="F752" s="565"/>
      <c r="G752" s="568"/>
      <c r="H752" s="165" t="s">
        <v>314</v>
      </c>
      <c r="I752" s="44"/>
      <c r="J752" s="44"/>
      <c r="K752" s="45"/>
      <c r="L752" s="45"/>
      <c r="M752" s="45"/>
      <c r="N752" s="45"/>
      <c r="O752" s="45"/>
      <c r="P752" s="45"/>
      <c r="Q752" s="569"/>
      <c r="R752" s="569"/>
      <c r="S752" s="569"/>
      <c r="T752" s="569"/>
      <c r="U752" s="569"/>
      <c r="V752" s="569"/>
      <c r="W752" s="569"/>
      <c r="X752" s="569"/>
      <c r="Y752" s="569"/>
      <c r="Z752" s="569"/>
    </row>
    <row r="753" spans="1:26" ht="19.5" hidden="1">
      <c r="A753" s="751">
        <v>10</v>
      </c>
      <c r="B753" s="752" t="s">
        <v>315</v>
      </c>
      <c r="C753" s="753"/>
      <c r="D753" s="753"/>
      <c r="E753" s="753"/>
      <c r="F753" s="753"/>
      <c r="G753" s="754"/>
      <c r="H753" s="755" t="s">
        <v>46</v>
      </c>
      <c r="I753" s="756"/>
      <c r="J753" s="756">
        <f>J768</f>
        <v>0</v>
      </c>
      <c r="K753" s="757">
        <f>IF(I753&gt;0,J753*100/I753,0)</f>
        <v>0</v>
      </c>
      <c r="L753" s="758"/>
      <c r="M753" s="758"/>
      <c r="N753" s="758"/>
      <c r="O753" s="758"/>
      <c r="P753" s="758"/>
      <c r="Q753" s="569"/>
      <c r="R753" s="569"/>
      <c r="S753" s="569"/>
      <c r="T753" s="569"/>
      <c r="U753" s="569"/>
      <c r="V753" s="569"/>
      <c r="W753" s="569"/>
      <c r="X753" s="569"/>
      <c r="Y753" s="569"/>
      <c r="Z753" s="569"/>
    </row>
    <row r="754" spans="1:26" ht="19.5" hidden="1">
      <c r="A754" s="564"/>
      <c r="B754" s="565"/>
      <c r="C754" s="565" t="s">
        <v>16</v>
      </c>
      <c r="D754" s="1489" t="s">
        <v>17</v>
      </c>
      <c r="E754" s="1485"/>
      <c r="F754" s="1485"/>
      <c r="G754" s="568"/>
      <c r="H754" s="612" t="s">
        <v>12</v>
      </c>
      <c r="I754" s="44"/>
      <c r="J754" s="44"/>
      <c r="K754" s="45"/>
      <c r="L754" s="613">
        <f t="shared" ref="L754:N754" si="344">L755+L756</f>
        <v>0</v>
      </c>
      <c r="M754" s="613">
        <f t="shared" si="344"/>
        <v>0</v>
      </c>
      <c r="N754" s="613">
        <f t="shared" si="344"/>
        <v>0</v>
      </c>
      <c r="O754" s="613">
        <f t="shared" ref="O754:O759" si="345">IF(L754&gt;0,N754*100/L754,0)</f>
        <v>0</v>
      </c>
      <c r="P754" s="613">
        <f t="shared" ref="P754:P759" si="346">IF(M754&gt;0,N754*100/M754,0)</f>
        <v>0</v>
      </c>
      <c r="Q754" s="569"/>
      <c r="R754" s="569"/>
      <c r="S754" s="569"/>
      <c r="T754" s="569"/>
      <c r="U754" s="569"/>
      <c r="V754" s="569"/>
      <c r="W754" s="569"/>
      <c r="X754" s="569"/>
      <c r="Y754" s="569"/>
      <c r="Z754" s="569"/>
    </row>
    <row r="755" spans="1:26" ht="18.75" hidden="1">
      <c r="A755" s="564"/>
      <c r="B755" s="565"/>
      <c r="C755" s="565"/>
      <c r="D755" s="566"/>
      <c r="E755" s="567" t="s">
        <v>184</v>
      </c>
      <c r="F755" s="565"/>
      <c r="G755" s="568"/>
      <c r="H755" s="165" t="s">
        <v>12</v>
      </c>
      <c r="I755" s="44"/>
      <c r="J755" s="44"/>
      <c r="K755" s="45"/>
      <c r="L755" s="45">
        <f t="shared" ref="L755:N755" si="347">L758+L765</f>
        <v>0</v>
      </c>
      <c r="M755" s="45">
        <f t="shared" si="347"/>
        <v>0</v>
      </c>
      <c r="N755" s="45">
        <f t="shared" si="347"/>
        <v>0</v>
      </c>
      <c r="O755" s="45">
        <f t="shared" si="345"/>
        <v>0</v>
      </c>
      <c r="P755" s="45">
        <f t="shared" si="346"/>
        <v>0</v>
      </c>
      <c r="Q755" s="569"/>
      <c r="R755" s="569"/>
      <c r="S755" s="569"/>
      <c r="T755" s="569"/>
      <c r="U755" s="569"/>
      <c r="V755" s="569"/>
      <c r="W755" s="569"/>
      <c r="X755" s="569"/>
      <c r="Y755" s="569"/>
      <c r="Z755" s="569"/>
    </row>
    <row r="756" spans="1:26" ht="18.75" hidden="1">
      <c r="A756" s="564"/>
      <c r="B756" s="570"/>
      <c r="C756" s="565"/>
      <c r="D756" s="566"/>
      <c r="E756" s="567" t="s">
        <v>185</v>
      </c>
      <c r="F756" s="565"/>
      <c r="G756" s="568"/>
      <c r="H756" s="165" t="s">
        <v>12</v>
      </c>
      <c r="I756" s="44"/>
      <c r="J756" s="44"/>
      <c r="K756" s="45"/>
      <c r="L756" s="45">
        <f t="shared" ref="L756:N756" si="348">L759+L766</f>
        <v>0</v>
      </c>
      <c r="M756" s="45">
        <f t="shared" si="348"/>
        <v>0</v>
      </c>
      <c r="N756" s="45">
        <f t="shared" si="348"/>
        <v>0</v>
      </c>
      <c r="O756" s="45">
        <f t="shared" si="345"/>
        <v>0</v>
      </c>
      <c r="P756" s="45">
        <f t="shared" si="346"/>
        <v>0</v>
      </c>
      <c r="Q756" s="569"/>
      <c r="R756" s="569"/>
      <c r="S756" s="569"/>
      <c r="T756" s="569"/>
      <c r="U756" s="569"/>
      <c r="V756" s="569"/>
      <c r="W756" s="569"/>
      <c r="X756" s="569"/>
      <c r="Y756" s="569"/>
      <c r="Z756" s="569"/>
    </row>
    <row r="757" spans="1:26" ht="19.5" hidden="1">
      <c r="A757" s="564"/>
      <c r="B757" s="570"/>
      <c r="C757" s="565"/>
      <c r="D757" s="748" t="s">
        <v>20</v>
      </c>
      <c r="E757" s="565"/>
      <c r="F757" s="565"/>
      <c r="G757" s="568"/>
      <c r="H757" s="612" t="s">
        <v>12</v>
      </c>
      <c r="I757" s="166"/>
      <c r="J757" s="166"/>
      <c r="K757" s="167"/>
      <c r="L757" s="613">
        <f t="shared" ref="L757:N757" si="349">L758+L759</f>
        <v>0</v>
      </c>
      <c r="M757" s="613">
        <f t="shared" si="349"/>
        <v>0</v>
      </c>
      <c r="N757" s="613">
        <f t="shared" si="349"/>
        <v>0</v>
      </c>
      <c r="O757" s="613">
        <f t="shared" si="345"/>
        <v>0</v>
      </c>
      <c r="P757" s="613">
        <f t="shared" si="346"/>
        <v>0</v>
      </c>
      <c r="Q757" s="569"/>
      <c r="R757" s="569"/>
      <c r="S757" s="569"/>
      <c r="T757" s="569"/>
      <c r="U757" s="569"/>
      <c r="V757" s="569"/>
      <c r="W757" s="569"/>
      <c r="X757" s="569"/>
      <c r="Y757" s="569"/>
      <c r="Z757" s="569"/>
    </row>
    <row r="758" spans="1:26" ht="18.75" hidden="1">
      <c r="A758" s="564"/>
      <c r="B758" s="570"/>
      <c r="C758" s="565"/>
      <c r="D758" s="566"/>
      <c r="E758" s="567" t="s">
        <v>184</v>
      </c>
      <c r="F758" s="565"/>
      <c r="G758" s="568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5"/>
        <v>0</v>
      </c>
      <c r="P758" s="45">
        <f t="shared" si="346"/>
        <v>0</v>
      </c>
      <c r="Q758" s="569"/>
      <c r="R758" s="569"/>
      <c r="S758" s="569"/>
      <c r="T758" s="569"/>
      <c r="U758" s="569"/>
      <c r="V758" s="569"/>
      <c r="W758" s="569"/>
      <c r="X758" s="569"/>
      <c r="Y758" s="569"/>
      <c r="Z758" s="569"/>
    </row>
    <row r="759" spans="1:26" ht="18.75" hidden="1">
      <c r="A759" s="564"/>
      <c r="B759" s="570"/>
      <c r="C759" s="565"/>
      <c r="D759" s="566"/>
      <c r="E759" s="567" t="s">
        <v>185</v>
      </c>
      <c r="F759" s="565"/>
      <c r="G759" s="568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5"/>
        <v>0</v>
      </c>
      <c r="P759" s="45">
        <f t="shared" si="346"/>
        <v>0</v>
      </c>
      <c r="Q759" s="569"/>
      <c r="R759" s="569"/>
      <c r="S759" s="569"/>
      <c r="T759" s="569"/>
      <c r="U759" s="569"/>
      <c r="V759" s="569"/>
      <c r="W759" s="569"/>
      <c r="X759" s="569"/>
      <c r="Y759" s="569"/>
      <c r="Z759" s="569"/>
    </row>
    <row r="760" spans="1:26" ht="18.75" hidden="1">
      <c r="A760" s="615"/>
      <c r="B760" s="570"/>
      <c r="C760" s="565"/>
      <c r="D760" s="565"/>
      <c r="E760" s="565"/>
      <c r="F760" s="567" t="s">
        <v>186</v>
      </c>
      <c r="G760" s="568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69"/>
      <c r="R760" s="569"/>
      <c r="S760" s="569"/>
      <c r="T760" s="569"/>
      <c r="U760" s="569"/>
      <c r="V760" s="569"/>
      <c r="W760" s="569"/>
      <c r="X760" s="569"/>
      <c r="Y760" s="569"/>
      <c r="Z760" s="569"/>
    </row>
    <row r="761" spans="1:26" ht="18.75" hidden="1">
      <c r="A761" s="615"/>
      <c r="B761" s="570"/>
      <c r="C761" s="565"/>
      <c r="D761" s="565"/>
      <c r="E761" s="565"/>
      <c r="F761" s="567" t="s">
        <v>187</v>
      </c>
      <c r="G761" s="568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69"/>
      <c r="R761" s="569"/>
      <c r="S761" s="569"/>
      <c r="T761" s="569"/>
      <c r="U761" s="569"/>
      <c r="V761" s="569"/>
      <c r="W761" s="569"/>
      <c r="X761" s="569"/>
      <c r="Y761" s="569"/>
      <c r="Z761" s="569"/>
    </row>
    <row r="762" spans="1:26" ht="18.75" hidden="1">
      <c r="A762" s="615"/>
      <c r="B762" s="570"/>
      <c r="C762" s="565"/>
      <c r="D762" s="565"/>
      <c r="E762" s="565"/>
      <c r="F762" s="567" t="s">
        <v>188</v>
      </c>
      <c r="G762" s="568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69"/>
      <c r="R762" s="569"/>
      <c r="S762" s="569"/>
      <c r="T762" s="569"/>
      <c r="U762" s="569"/>
      <c r="V762" s="569"/>
      <c r="W762" s="569"/>
      <c r="X762" s="569"/>
      <c r="Y762" s="569"/>
      <c r="Z762" s="569"/>
    </row>
    <row r="763" spans="1:26" ht="18.75" hidden="1">
      <c r="A763" s="615"/>
      <c r="B763" s="570"/>
      <c r="C763" s="565"/>
      <c r="D763" s="565"/>
      <c r="E763" s="565"/>
      <c r="F763" s="567" t="s">
        <v>189</v>
      </c>
      <c r="G763" s="568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69"/>
      <c r="R763" s="569"/>
      <c r="S763" s="569"/>
      <c r="T763" s="569"/>
      <c r="U763" s="569"/>
      <c r="V763" s="569"/>
      <c r="W763" s="569"/>
      <c r="X763" s="569"/>
      <c r="Y763" s="569"/>
      <c r="Z763" s="569"/>
    </row>
    <row r="764" spans="1:26" ht="19.5" hidden="1">
      <c r="A764" s="564"/>
      <c r="B764" s="570"/>
      <c r="C764" s="565"/>
      <c r="D764" s="748" t="s">
        <v>21</v>
      </c>
      <c r="E764" s="565"/>
      <c r="F764" s="565"/>
      <c r="G764" s="568"/>
      <c r="H764" s="749" t="s">
        <v>12</v>
      </c>
      <c r="I764" s="166"/>
      <c r="J764" s="166"/>
      <c r="K764" s="167"/>
      <c r="L764" s="613">
        <f t="shared" ref="L764:N764" si="350">L765+L766</f>
        <v>0</v>
      </c>
      <c r="M764" s="613">
        <f t="shared" si="350"/>
        <v>0</v>
      </c>
      <c r="N764" s="613">
        <f t="shared" si="350"/>
        <v>0</v>
      </c>
      <c r="O764" s="613">
        <f t="shared" ref="O764:O766" si="351">IF(L764&gt;0,N764*100/L764,0)</f>
        <v>0</v>
      </c>
      <c r="P764" s="613">
        <f t="shared" ref="P764:P766" si="352">IF(M764&gt;0,N764*100/M764,0)</f>
        <v>0</v>
      </c>
      <c r="Q764" s="569"/>
      <c r="R764" s="569"/>
      <c r="S764" s="569"/>
      <c r="T764" s="569"/>
      <c r="U764" s="569"/>
      <c r="V764" s="569"/>
      <c r="W764" s="569"/>
      <c r="X764" s="569"/>
      <c r="Y764" s="569"/>
      <c r="Z764" s="569"/>
    </row>
    <row r="765" spans="1:26" ht="18.75" hidden="1">
      <c r="A765" s="564"/>
      <c r="B765" s="570"/>
      <c r="C765" s="565"/>
      <c r="D765" s="565"/>
      <c r="E765" s="567" t="s">
        <v>18</v>
      </c>
      <c r="F765" s="565"/>
      <c r="G765" s="56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51"/>
        <v>0</v>
      </c>
      <c r="P765" s="45">
        <f t="shared" si="352"/>
        <v>0</v>
      </c>
      <c r="Q765" s="569"/>
      <c r="R765" s="569"/>
      <c r="S765" s="569"/>
      <c r="T765" s="569"/>
      <c r="U765" s="569"/>
      <c r="V765" s="569"/>
      <c r="W765" s="569"/>
      <c r="X765" s="569"/>
      <c r="Y765" s="569"/>
      <c r="Z765" s="569"/>
    </row>
    <row r="766" spans="1:26" ht="18.75" hidden="1">
      <c r="A766" s="564"/>
      <c r="B766" s="570"/>
      <c r="C766" s="565"/>
      <c r="D766" s="565"/>
      <c r="E766" s="567" t="s">
        <v>19</v>
      </c>
      <c r="F766" s="565"/>
      <c r="G766" s="56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51"/>
        <v>0</v>
      </c>
      <c r="P766" s="45">
        <f t="shared" si="352"/>
        <v>0</v>
      </c>
      <c r="Q766" s="569"/>
      <c r="R766" s="569"/>
      <c r="S766" s="569"/>
      <c r="T766" s="569"/>
      <c r="U766" s="569"/>
      <c r="V766" s="569"/>
      <c r="W766" s="569"/>
      <c r="X766" s="569"/>
      <c r="Y766" s="569"/>
      <c r="Z766" s="569"/>
    </row>
    <row r="767" spans="1:26" ht="19.5" hidden="1">
      <c r="A767" s="579"/>
      <c r="B767" s="580"/>
      <c r="C767" s="565" t="s">
        <v>16</v>
      </c>
      <c r="D767" s="750" t="s">
        <v>38</v>
      </c>
      <c r="E767" s="617"/>
      <c r="F767" s="617"/>
      <c r="G767" s="618"/>
      <c r="H767" s="582"/>
      <c r="I767" s="166"/>
      <c r="J767" s="166"/>
      <c r="K767" s="167"/>
      <c r="L767" s="167"/>
      <c r="M767" s="167"/>
      <c r="N767" s="167"/>
      <c r="O767" s="167"/>
      <c r="P767" s="167"/>
      <c r="Q767" s="569"/>
      <c r="R767" s="569"/>
      <c r="S767" s="569"/>
      <c r="T767" s="569"/>
      <c r="U767" s="569"/>
      <c r="V767" s="569"/>
      <c r="W767" s="569"/>
      <c r="X767" s="569"/>
      <c r="Y767" s="569"/>
      <c r="Z767" s="569"/>
    </row>
    <row r="768" spans="1:26" ht="18.75" hidden="1">
      <c r="A768" s="615"/>
      <c r="B768" s="570"/>
      <c r="C768" s="565"/>
      <c r="D768" s="565"/>
      <c r="E768" s="567" t="s">
        <v>316</v>
      </c>
      <c r="F768" s="565"/>
      <c r="G768" s="568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69"/>
      <c r="R768" s="569"/>
      <c r="S768" s="569"/>
      <c r="T768" s="569"/>
      <c r="U768" s="569"/>
      <c r="V768" s="569"/>
      <c r="W768" s="569"/>
      <c r="X768" s="569"/>
      <c r="Y768" s="569"/>
      <c r="Z768" s="569"/>
    </row>
    <row r="769" spans="1:26" ht="19.5" hidden="1">
      <c r="A769" s="759">
        <v>11</v>
      </c>
      <c r="B769" s="760" t="s">
        <v>317</v>
      </c>
      <c r="C769" s="761"/>
      <c r="D769" s="761"/>
      <c r="E769" s="761"/>
      <c r="F769" s="761"/>
      <c r="G769" s="762"/>
      <c r="H769" s="763" t="s">
        <v>46</v>
      </c>
      <c r="I769" s="764"/>
      <c r="J769" s="764">
        <f>J1074</f>
        <v>0</v>
      </c>
      <c r="K769" s="765">
        <f>IF(I769&gt;0,J769*100/I769,0)</f>
        <v>0</v>
      </c>
      <c r="L769" s="766"/>
      <c r="M769" s="766"/>
      <c r="N769" s="766"/>
      <c r="O769" s="766"/>
      <c r="P769" s="766"/>
      <c r="Q769" s="569"/>
      <c r="R769" s="569"/>
      <c r="S769" s="569"/>
      <c r="T769" s="569"/>
      <c r="U769" s="569"/>
      <c r="V769" s="569"/>
      <c r="W769" s="569"/>
      <c r="X769" s="569"/>
      <c r="Y769" s="569"/>
      <c r="Z769" s="569"/>
    </row>
    <row r="770" spans="1:26" ht="19.5" hidden="1">
      <c r="A770" s="564"/>
      <c r="B770" s="565"/>
      <c r="C770" s="565" t="s">
        <v>16</v>
      </c>
      <c r="D770" s="1489" t="s">
        <v>17</v>
      </c>
      <c r="E770" s="1485"/>
      <c r="F770" s="1485"/>
      <c r="G770" s="568"/>
      <c r="H770" s="612" t="s">
        <v>12</v>
      </c>
      <c r="I770" s="44"/>
      <c r="J770" s="44"/>
      <c r="K770" s="45"/>
      <c r="L770" s="613">
        <f t="shared" ref="L770:N770" si="353">L771+L772</f>
        <v>0</v>
      </c>
      <c r="M770" s="613">
        <f t="shared" si="353"/>
        <v>0</v>
      </c>
      <c r="N770" s="613">
        <f t="shared" si="353"/>
        <v>0</v>
      </c>
      <c r="O770" s="613">
        <f t="shared" ref="O770:O775" si="354">IF(L770&gt;0,N770*100/L770,0)</f>
        <v>0</v>
      </c>
      <c r="P770" s="613">
        <f t="shared" ref="P770:P775" si="355">IF(M770&gt;0,N770*100/M770,0)</f>
        <v>0</v>
      </c>
      <c r="Q770" s="569"/>
      <c r="R770" s="569"/>
      <c r="S770" s="569"/>
      <c r="T770" s="569"/>
      <c r="U770" s="569"/>
      <c r="V770" s="569"/>
      <c r="W770" s="569"/>
      <c r="X770" s="569"/>
      <c r="Y770" s="569"/>
      <c r="Z770" s="569"/>
    </row>
    <row r="771" spans="1:26" ht="18.75" hidden="1">
      <c r="A771" s="564"/>
      <c r="B771" s="565"/>
      <c r="C771" s="565"/>
      <c r="D771" s="566"/>
      <c r="E771" s="567" t="s">
        <v>184</v>
      </c>
      <c r="F771" s="565"/>
      <c r="G771" s="568"/>
      <c r="H771" s="165" t="s">
        <v>12</v>
      </c>
      <c r="I771" s="44"/>
      <c r="J771" s="44"/>
      <c r="K771" s="45"/>
      <c r="L771" s="45">
        <f t="shared" ref="L771:N771" si="356">L774+L781</f>
        <v>0</v>
      </c>
      <c r="M771" s="45">
        <f t="shared" si="356"/>
        <v>0</v>
      </c>
      <c r="N771" s="45">
        <f t="shared" si="356"/>
        <v>0</v>
      </c>
      <c r="O771" s="45">
        <f t="shared" si="354"/>
        <v>0</v>
      </c>
      <c r="P771" s="45">
        <f t="shared" si="355"/>
        <v>0</v>
      </c>
      <c r="Q771" s="569"/>
      <c r="R771" s="569"/>
      <c r="S771" s="569"/>
      <c r="T771" s="569"/>
      <c r="U771" s="569"/>
      <c r="V771" s="569"/>
      <c r="W771" s="569"/>
      <c r="X771" s="569"/>
      <c r="Y771" s="569"/>
      <c r="Z771" s="569"/>
    </row>
    <row r="772" spans="1:26" ht="18.75" hidden="1">
      <c r="A772" s="564"/>
      <c r="B772" s="570"/>
      <c r="C772" s="565"/>
      <c r="D772" s="566"/>
      <c r="E772" s="567" t="s">
        <v>185</v>
      </c>
      <c r="F772" s="565"/>
      <c r="G772" s="568"/>
      <c r="H772" s="165" t="s">
        <v>12</v>
      </c>
      <c r="I772" s="44"/>
      <c r="J772" s="44"/>
      <c r="K772" s="45"/>
      <c r="L772" s="45">
        <f t="shared" ref="L772:N772" si="357">L775+L782</f>
        <v>0</v>
      </c>
      <c r="M772" s="45">
        <f t="shared" si="357"/>
        <v>0</v>
      </c>
      <c r="N772" s="45">
        <f t="shared" si="357"/>
        <v>0</v>
      </c>
      <c r="O772" s="45">
        <f t="shared" si="354"/>
        <v>0</v>
      </c>
      <c r="P772" s="45">
        <f t="shared" si="355"/>
        <v>0</v>
      </c>
      <c r="Q772" s="569"/>
      <c r="R772" s="569"/>
      <c r="S772" s="569"/>
      <c r="T772" s="569"/>
      <c r="U772" s="569"/>
      <c r="V772" s="569"/>
      <c r="W772" s="569"/>
      <c r="X772" s="569"/>
      <c r="Y772" s="569"/>
      <c r="Z772" s="569"/>
    </row>
    <row r="773" spans="1:26" ht="19.5" hidden="1">
      <c r="A773" s="564"/>
      <c r="B773" s="570"/>
      <c r="C773" s="565"/>
      <c r="D773" s="748" t="s">
        <v>20</v>
      </c>
      <c r="E773" s="565"/>
      <c r="F773" s="565"/>
      <c r="G773" s="568"/>
      <c r="H773" s="612" t="s">
        <v>12</v>
      </c>
      <c r="I773" s="166"/>
      <c r="J773" s="166"/>
      <c r="K773" s="167"/>
      <c r="L773" s="613">
        <f t="shared" ref="L773:N773" si="358">L774+L775</f>
        <v>0</v>
      </c>
      <c r="M773" s="613">
        <f t="shared" si="358"/>
        <v>0</v>
      </c>
      <c r="N773" s="613">
        <f t="shared" si="358"/>
        <v>0</v>
      </c>
      <c r="O773" s="613">
        <f t="shared" si="354"/>
        <v>0</v>
      </c>
      <c r="P773" s="613">
        <f t="shared" si="355"/>
        <v>0</v>
      </c>
      <c r="Q773" s="569"/>
      <c r="R773" s="569"/>
      <c r="S773" s="569"/>
      <c r="T773" s="569"/>
      <c r="U773" s="569"/>
      <c r="V773" s="569"/>
      <c r="W773" s="569"/>
      <c r="X773" s="569"/>
      <c r="Y773" s="569"/>
      <c r="Z773" s="569"/>
    </row>
    <row r="774" spans="1:26" ht="18.75" hidden="1">
      <c r="A774" s="564"/>
      <c r="B774" s="570"/>
      <c r="C774" s="565"/>
      <c r="D774" s="566"/>
      <c r="E774" s="567" t="s">
        <v>184</v>
      </c>
      <c r="F774" s="565"/>
      <c r="G774" s="568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4"/>
        <v>0</v>
      </c>
      <c r="P774" s="45">
        <f t="shared" si="355"/>
        <v>0</v>
      </c>
      <c r="Q774" s="569"/>
      <c r="R774" s="569"/>
      <c r="S774" s="569"/>
      <c r="T774" s="569"/>
      <c r="U774" s="569"/>
      <c r="V774" s="569"/>
      <c r="W774" s="569"/>
      <c r="X774" s="569"/>
      <c r="Y774" s="569"/>
      <c r="Z774" s="569"/>
    </row>
    <row r="775" spans="1:26" ht="18.75" hidden="1">
      <c r="A775" s="564"/>
      <c r="B775" s="570"/>
      <c r="C775" s="565"/>
      <c r="D775" s="566"/>
      <c r="E775" s="567" t="s">
        <v>185</v>
      </c>
      <c r="F775" s="565"/>
      <c r="G775" s="568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4"/>
        <v>0</v>
      </c>
      <c r="P775" s="45">
        <f t="shared" si="355"/>
        <v>0</v>
      </c>
      <c r="Q775" s="569"/>
      <c r="R775" s="569"/>
      <c r="S775" s="569"/>
      <c r="T775" s="569"/>
      <c r="U775" s="569"/>
      <c r="V775" s="569"/>
      <c r="W775" s="569"/>
      <c r="X775" s="569"/>
      <c r="Y775" s="569"/>
      <c r="Z775" s="569"/>
    </row>
    <row r="776" spans="1:26" ht="18.75" hidden="1">
      <c r="A776" s="615"/>
      <c r="B776" s="570"/>
      <c r="C776" s="565"/>
      <c r="D776" s="565"/>
      <c r="E776" s="565"/>
      <c r="F776" s="567" t="s">
        <v>186</v>
      </c>
      <c r="G776" s="568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69"/>
      <c r="R776" s="569"/>
      <c r="S776" s="569"/>
      <c r="T776" s="569"/>
      <c r="U776" s="569"/>
      <c r="V776" s="569"/>
      <c r="W776" s="569"/>
      <c r="X776" s="569"/>
      <c r="Y776" s="569"/>
      <c r="Z776" s="569"/>
    </row>
    <row r="777" spans="1:26" ht="18.75" hidden="1">
      <c r="A777" s="615"/>
      <c r="B777" s="570"/>
      <c r="C777" s="565"/>
      <c r="D777" s="565"/>
      <c r="E777" s="565"/>
      <c r="F777" s="567" t="s">
        <v>187</v>
      </c>
      <c r="G777" s="568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69"/>
      <c r="R777" s="569"/>
      <c r="S777" s="569"/>
      <c r="T777" s="569"/>
      <c r="U777" s="569"/>
      <c r="V777" s="569"/>
      <c r="W777" s="569"/>
      <c r="X777" s="569"/>
      <c r="Y777" s="569"/>
      <c r="Z777" s="569"/>
    </row>
    <row r="778" spans="1:26" ht="18.75" hidden="1">
      <c r="A778" s="615"/>
      <c r="B778" s="570"/>
      <c r="C778" s="565"/>
      <c r="D778" s="565"/>
      <c r="E778" s="565"/>
      <c r="F778" s="567" t="s">
        <v>188</v>
      </c>
      <c r="G778" s="568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69"/>
      <c r="R778" s="569"/>
      <c r="S778" s="569"/>
      <c r="T778" s="569"/>
      <c r="U778" s="569"/>
      <c r="V778" s="569"/>
      <c r="W778" s="569"/>
      <c r="X778" s="569"/>
      <c r="Y778" s="569"/>
      <c r="Z778" s="569"/>
    </row>
    <row r="779" spans="1:26" ht="18.75" hidden="1">
      <c r="A779" s="615"/>
      <c r="B779" s="570"/>
      <c r="C779" s="565"/>
      <c r="D779" s="565"/>
      <c r="E779" s="565"/>
      <c r="F779" s="567" t="s">
        <v>189</v>
      </c>
      <c r="G779" s="568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69"/>
      <c r="R779" s="569"/>
      <c r="S779" s="569"/>
      <c r="T779" s="569"/>
      <c r="U779" s="569"/>
      <c r="V779" s="569"/>
      <c r="W779" s="569"/>
      <c r="X779" s="569"/>
      <c r="Y779" s="569"/>
      <c r="Z779" s="569"/>
    </row>
    <row r="780" spans="1:26" ht="19.5" hidden="1">
      <c r="A780" s="564"/>
      <c r="B780" s="570"/>
      <c r="C780" s="565"/>
      <c r="D780" s="748" t="s">
        <v>21</v>
      </c>
      <c r="E780" s="565"/>
      <c r="F780" s="565"/>
      <c r="G780" s="568"/>
      <c r="H780" s="749" t="s">
        <v>12</v>
      </c>
      <c r="I780" s="166"/>
      <c r="J780" s="166"/>
      <c r="K780" s="167"/>
      <c r="L780" s="613">
        <f t="shared" ref="L780:N780" si="359">L781+L782</f>
        <v>0</v>
      </c>
      <c r="M780" s="613">
        <f t="shared" si="359"/>
        <v>0</v>
      </c>
      <c r="N780" s="613">
        <f t="shared" si="359"/>
        <v>0</v>
      </c>
      <c r="O780" s="613">
        <f t="shared" ref="O780:O782" si="360">IF(L780&gt;0,N780*100/L780,0)</f>
        <v>0</v>
      </c>
      <c r="P780" s="613">
        <f t="shared" ref="P780:P782" si="361">IF(M780&gt;0,N780*100/M780,0)</f>
        <v>0</v>
      </c>
      <c r="Q780" s="569"/>
      <c r="R780" s="569"/>
      <c r="S780" s="569"/>
      <c r="T780" s="569"/>
      <c r="U780" s="569"/>
      <c r="V780" s="569"/>
      <c r="W780" s="569"/>
      <c r="X780" s="569"/>
      <c r="Y780" s="569"/>
      <c r="Z780" s="569"/>
    </row>
    <row r="781" spans="1:26" ht="18.75" hidden="1">
      <c r="A781" s="564"/>
      <c r="B781" s="570"/>
      <c r="C781" s="565"/>
      <c r="D781" s="565"/>
      <c r="E781" s="567" t="s">
        <v>18</v>
      </c>
      <c r="F781" s="565"/>
      <c r="G781" s="56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60"/>
        <v>0</v>
      </c>
      <c r="P781" s="45">
        <f t="shared" si="361"/>
        <v>0</v>
      </c>
      <c r="Q781" s="569"/>
      <c r="R781" s="569"/>
      <c r="S781" s="569"/>
      <c r="T781" s="569"/>
      <c r="U781" s="569"/>
      <c r="V781" s="569"/>
      <c r="W781" s="569"/>
      <c r="X781" s="569"/>
      <c r="Y781" s="569"/>
      <c r="Z781" s="569"/>
    </row>
    <row r="782" spans="1:26" ht="18.75" hidden="1">
      <c r="A782" s="564"/>
      <c r="B782" s="570"/>
      <c r="C782" s="565"/>
      <c r="D782" s="565"/>
      <c r="E782" s="567" t="s">
        <v>19</v>
      </c>
      <c r="F782" s="565"/>
      <c r="G782" s="56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60"/>
        <v>0</v>
      </c>
      <c r="P782" s="45">
        <f t="shared" si="361"/>
        <v>0</v>
      </c>
      <c r="Q782" s="569"/>
      <c r="R782" s="569"/>
      <c r="S782" s="569"/>
      <c r="T782" s="569"/>
      <c r="U782" s="569"/>
      <c r="V782" s="569"/>
      <c r="W782" s="569"/>
      <c r="X782" s="569"/>
      <c r="Y782" s="569"/>
      <c r="Z782" s="569"/>
    </row>
    <row r="783" spans="1:26" ht="19.5" hidden="1">
      <c r="A783" s="579"/>
      <c r="B783" s="580"/>
      <c r="C783" s="565" t="s">
        <v>16</v>
      </c>
      <c r="D783" s="750" t="s">
        <v>38</v>
      </c>
      <c r="E783" s="617"/>
      <c r="F783" s="617"/>
      <c r="G783" s="618"/>
      <c r="H783" s="767"/>
      <c r="I783" s="166"/>
      <c r="J783" s="166"/>
      <c r="K783" s="167"/>
      <c r="L783" s="167"/>
      <c r="M783" s="167"/>
      <c r="N783" s="167"/>
      <c r="O783" s="167"/>
      <c r="P783" s="167"/>
      <c r="Q783" s="569"/>
      <c r="R783" s="569"/>
      <c r="S783" s="569"/>
      <c r="T783" s="569"/>
      <c r="U783" s="569"/>
      <c r="V783" s="569"/>
      <c r="W783" s="569"/>
      <c r="X783" s="569"/>
      <c r="Y783" s="569"/>
      <c r="Z783" s="569"/>
    </row>
    <row r="784" spans="1:26" ht="18.75" hidden="1">
      <c r="A784" s="615"/>
      <c r="B784" s="570"/>
      <c r="C784" s="565"/>
      <c r="D784" s="565"/>
      <c r="E784" s="567" t="s">
        <v>318</v>
      </c>
      <c r="F784" s="565"/>
      <c r="G784" s="568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69"/>
      <c r="R784" s="569"/>
      <c r="S784" s="569"/>
      <c r="T784" s="569"/>
      <c r="U784" s="569"/>
      <c r="V784" s="569"/>
      <c r="W784" s="569"/>
      <c r="X784" s="569"/>
      <c r="Y784" s="569"/>
      <c r="Z784" s="569"/>
    </row>
    <row r="785" spans="1:26" ht="19.5">
      <c r="A785" s="768">
        <v>12</v>
      </c>
      <c r="B785" s="769" t="s">
        <v>319</v>
      </c>
      <c r="C785" s="770"/>
      <c r="D785" s="770"/>
      <c r="E785" s="770"/>
      <c r="F785" s="770"/>
      <c r="G785" s="771"/>
      <c r="H785" s="772" t="s">
        <v>46</v>
      </c>
      <c r="I785" s="773">
        <f t="shared" ref="I785:J785" ca="1" si="362">I801+I803</f>
        <v>148000</v>
      </c>
      <c r="J785" s="773">
        <f t="shared" ca="1" si="362"/>
        <v>39940</v>
      </c>
      <c r="K785" s="774">
        <f ca="1">IF(I785&gt;0,J785*100/I785,0)</f>
        <v>26.986486486486488</v>
      </c>
      <c r="L785" s="775"/>
      <c r="M785" s="775"/>
      <c r="N785" s="775"/>
      <c r="O785" s="775"/>
      <c r="P785" s="775"/>
      <c r="Q785" s="542"/>
      <c r="R785" s="542"/>
      <c r="S785" s="542"/>
      <c r="T785" s="542"/>
      <c r="U785" s="542"/>
      <c r="V785" s="542"/>
      <c r="W785" s="542"/>
      <c r="X785" s="542"/>
      <c r="Y785" s="542"/>
      <c r="Z785" s="542"/>
    </row>
    <row r="786" spans="1:26" ht="19.5">
      <c r="A786" s="562"/>
      <c r="B786" s="539"/>
      <c r="C786" s="540" t="s">
        <v>16</v>
      </c>
      <c r="D786" s="1484" t="s">
        <v>17</v>
      </c>
      <c r="E786" s="1485"/>
      <c r="F786" s="1485"/>
      <c r="G786" s="189"/>
      <c r="H786" s="563" t="s">
        <v>12</v>
      </c>
      <c r="I786" s="37"/>
      <c r="J786" s="37"/>
      <c r="K786" s="38"/>
      <c r="L786" s="195">
        <f t="shared" ref="L786:N786" ca="1" si="363">L787+L788</f>
        <v>1668000</v>
      </c>
      <c r="M786" s="195">
        <f t="shared" si="363"/>
        <v>0</v>
      </c>
      <c r="N786" s="195">
        <f t="shared" ca="1" si="363"/>
        <v>641892.13999999897</v>
      </c>
      <c r="O786" s="195">
        <f t="shared" ref="O786:O791" ca="1" si="364">IF(L786&gt;0,N786*100/L786,0)</f>
        <v>38.482742206234953</v>
      </c>
      <c r="P786" s="195">
        <f t="shared" ref="P786:P791" si="365">IF(M786&gt;0,N786*100/M786,0)</f>
        <v>0</v>
      </c>
      <c r="Q786" s="542"/>
      <c r="R786" s="542"/>
      <c r="S786" s="542"/>
      <c r="T786" s="542"/>
      <c r="U786" s="542"/>
      <c r="V786" s="542"/>
      <c r="W786" s="542"/>
      <c r="X786" s="542"/>
      <c r="Y786" s="542"/>
      <c r="Z786" s="542"/>
    </row>
    <row r="787" spans="1:26" ht="18.75" hidden="1">
      <c r="A787" s="564"/>
      <c r="B787" s="570"/>
      <c r="C787" s="565"/>
      <c r="D787" s="566"/>
      <c r="E787" s="567" t="s">
        <v>184</v>
      </c>
      <c r="F787" s="565"/>
      <c r="G787" s="568"/>
      <c r="H787" s="165" t="s">
        <v>12</v>
      </c>
      <c r="I787" s="44"/>
      <c r="J787" s="44"/>
      <c r="K787" s="45"/>
      <c r="L787" s="45">
        <f t="shared" ref="L787:N787" si="366">L790+L797</f>
        <v>0</v>
      </c>
      <c r="M787" s="45">
        <f t="shared" si="366"/>
        <v>0</v>
      </c>
      <c r="N787" s="45">
        <f t="shared" si="366"/>
        <v>0</v>
      </c>
      <c r="O787" s="45">
        <f t="shared" si="364"/>
        <v>0</v>
      </c>
      <c r="P787" s="45">
        <f t="shared" si="365"/>
        <v>0</v>
      </c>
      <c r="Q787" s="569"/>
      <c r="R787" s="569"/>
      <c r="S787" s="569"/>
      <c r="T787" s="569"/>
      <c r="U787" s="569"/>
      <c r="V787" s="569"/>
      <c r="W787" s="569"/>
      <c r="X787" s="569"/>
      <c r="Y787" s="569"/>
      <c r="Z787" s="569"/>
    </row>
    <row r="788" spans="1:26" ht="18.75" hidden="1">
      <c r="A788" s="564"/>
      <c r="B788" s="570"/>
      <c r="C788" s="570"/>
      <c r="D788" s="580"/>
      <c r="E788" s="567" t="s">
        <v>185</v>
      </c>
      <c r="F788" s="565"/>
      <c r="G788" s="568"/>
      <c r="H788" s="165" t="s">
        <v>12</v>
      </c>
      <c r="I788" s="44"/>
      <c r="J788" s="44"/>
      <c r="K788" s="45"/>
      <c r="L788" s="45">
        <f t="shared" ref="L788:N788" ca="1" si="367">L791+L798</f>
        <v>1668000</v>
      </c>
      <c r="M788" s="45">
        <f t="shared" si="367"/>
        <v>0</v>
      </c>
      <c r="N788" s="45">
        <f t="shared" ca="1" si="367"/>
        <v>641892.13999999897</v>
      </c>
      <c r="O788" s="45">
        <f t="shared" ca="1" si="364"/>
        <v>38.482742206234953</v>
      </c>
      <c r="P788" s="45">
        <f t="shared" si="365"/>
        <v>0</v>
      </c>
      <c r="Q788" s="569"/>
      <c r="R788" s="569"/>
      <c r="S788" s="569"/>
      <c r="T788" s="569"/>
      <c r="U788" s="569"/>
      <c r="V788" s="569"/>
      <c r="W788" s="569"/>
      <c r="X788" s="569"/>
      <c r="Y788" s="569"/>
      <c r="Z788" s="569"/>
    </row>
    <row r="789" spans="1:26" ht="18.75">
      <c r="A789" s="562"/>
      <c r="B789" s="539"/>
      <c r="C789" s="539"/>
      <c r="D789" s="571" t="s">
        <v>20</v>
      </c>
      <c r="E789" s="540"/>
      <c r="F789" s="540"/>
      <c r="G789" s="189"/>
      <c r="H789" s="161" t="s">
        <v>12</v>
      </c>
      <c r="I789" s="162"/>
      <c r="J789" s="162"/>
      <c r="K789" s="163"/>
      <c r="L789" s="38">
        <f t="shared" ref="L789:N789" ca="1" si="368">L790+L791</f>
        <v>1668000</v>
      </c>
      <c r="M789" s="38">
        <f t="shared" si="368"/>
        <v>0</v>
      </c>
      <c r="N789" s="38">
        <f t="shared" ca="1" si="368"/>
        <v>641892.13999999897</v>
      </c>
      <c r="O789" s="38">
        <f t="shared" ca="1" si="364"/>
        <v>38.482742206234953</v>
      </c>
      <c r="P789" s="38">
        <f t="shared" si="365"/>
        <v>0</v>
      </c>
      <c r="Q789" s="542"/>
      <c r="R789" s="542"/>
      <c r="S789" s="542"/>
      <c r="T789" s="542"/>
      <c r="U789" s="542"/>
      <c r="V789" s="542"/>
      <c r="W789" s="542"/>
      <c r="X789" s="542"/>
      <c r="Y789" s="542"/>
      <c r="Z789" s="542"/>
    </row>
    <row r="790" spans="1:26" ht="18.75" hidden="1">
      <c r="A790" s="564"/>
      <c r="B790" s="570"/>
      <c r="C790" s="570"/>
      <c r="D790" s="580"/>
      <c r="E790" s="567" t="s">
        <v>184</v>
      </c>
      <c r="F790" s="565"/>
      <c r="G790" s="568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4"/>
        <v>0</v>
      </c>
      <c r="P790" s="45">
        <f t="shared" si="365"/>
        <v>0</v>
      </c>
      <c r="Q790" s="569"/>
      <c r="R790" s="569"/>
      <c r="S790" s="569"/>
      <c r="T790" s="569"/>
      <c r="U790" s="569"/>
      <c r="V790" s="569"/>
      <c r="W790" s="569"/>
      <c r="X790" s="569"/>
      <c r="Y790" s="569"/>
      <c r="Z790" s="569"/>
    </row>
    <row r="791" spans="1:26" ht="18.75" hidden="1">
      <c r="A791" s="564"/>
      <c r="B791" s="570"/>
      <c r="C791" s="570"/>
      <c r="D791" s="580"/>
      <c r="E791" s="567" t="s">
        <v>185</v>
      </c>
      <c r="F791" s="565"/>
      <c r="G791" s="568"/>
      <c r="H791" s="165" t="s">
        <v>12</v>
      </c>
      <c r="I791" s="44"/>
      <c r="J791" s="44"/>
      <c r="K791" s="45"/>
      <c r="L791" s="45">
        <f ca="1">IFERROR(__xludf.DUMMYFUNCTION("IMPORTRANGE(""https://docs.google.com/spreadsheets/d/1KxicF4apzSqm0-jIpmueT4kyZtE-Cwn5zskl7GD4loQ/edit?usp=share_link"",""กำแพงเพชร!l791"")+IMPORTRANGE(""https://docs.google.com/spreadsheets/d/1ZNYWeiFoFA1K1U4xKWqRX29MBvEyRHXORjo734Gnq_c/edit?usp=share_li"&amp;"nk"",""เชียงราย!l791"")
+IMPORTRANGE(""https://docs.google.com/spreadsheets/d/1Jgv0Y7YlHDtsiDawwp-uvifEJ8HVaSn0k2aGHG8-hwM/edit?usp=share_link"",""เชียงใหม่!l791"")+IMPORTRANGE(""https://docs.google.com/spreadsheets/d/1JWG2rZePOz9pe-f-ObA-yDr0VoOX2kSb0qIi"&amp;"x2mTUo8/edit?usp=share_link"",""ตาก!l791"")+IMPORTRANGE(""https://docs.google.com/spreadsheets/d/10nSRjK08hx8Y6HgSOQKNw81lyY46Zc7U_Cj72hBMp9U/edit?usp=share_link"",""นครสวรรค์!l791"")+IMPORTRANGE(""https://docs.google.com/spreadsheets/d/1gFVb7qd7amutrIxAA"&amp;"oM7lcy35hllxznovot8lyOfvDo/edit?usp=share_link"",""น่าน!l791"")+IMPORTRANGE(""https://docs.google.com/spreadsheets/d/1K0Aa9s-6EuHE5M0FG1F9aHLXRCOV917xvycTdLdct0w/edit?usp=share_link"",""พะเยา!l791"")+IMPORTRANGE(""https://docs.google.com/spreadsheets/d/1Y"&amp;"9LPKx95PyL5OKy09d-KbKJSuuEZCFdkhYjwC0XQjBA/edit?usp=share_link"",""พิจิตร!l791"")+IMPORTRANGE(""https://docs.google.com/spreadsheets/d/16OMuOwy2eVqZcYWOouQtTpa8X1L23h4660uVHc0C8os/edit?usp=share_link"",""พิษณุโลก!l791"")+IMPORTRANGE(""https://docs.google."&amp;"com/spreadsheets/d/1GfgTldLG6k77HXaMQzaafODklYuucJZQNs_GAPEfZyY/edit?usp=share_link"",""เพชรบูรณ์!l791"")+IMPORTRANGE(""https://docs.google.com/spreadsheets/d/1gvTMYAnm7v1yG1BKWFtr0DnaTsq59oW9dwWvFgq6hs0/edit?usp=share_link"",""แพร่!l791"")+IMPORTRANGE("""&amp;"https://docs.google.com/spreadsheets/d/1Wbcosgy-Xa1xXUArJSOenub6EfZHUSzc_bpJFWwQUf0/edit?usp=share_link"",""แม่ฮ่องสอน!l791"")+IMPORTRANGE(""https://docs.google.com/spreadsheets/d/1p7ERhsr0qZeSn-KSOdeHS9r0heI-lHtkcn2OH7hP0jQ/edit?usp=share_link"",""ลำปาง!"&amp;"l791"")+IMPORTRANGE(""https://docs.google.com/spreadsheets/d/1-uUXvimVhiU2U0bMN-xi2te0tS4X7DI2GLPnMjzl8cA/edit?usp=share_link"",""ลำพูน!l791"")+IMPORTRANGE(""https://docs.google.com/spreadsheets/d/17HrOaa5pBUI1onckFfumXB8xlg35qb2uBAFfF1D-Myo/edit?usp=shar"&amp;"e_link"",""สุโขทัย!l791"")+IMPORTRANGE(""https://docs.google.com/spreadsheets/d/1ubs5cl16eYL9gHbdHTJtmtYb9MGzHBs7CAphn8kNCgM/edit?usp=share_link"",""อุตรดิตถ์!l791"")+IMPORTRANGE(""https://docs.google.com/spreadsheets/d/1kII0BjS6CtVrBvI8IrytgPdxDrlyQDyigz"&amp;"MsohRtDMs/edit?usp=share_link"",""อุทัยธานี!l791"")
"),1668000)</f>
        <v>1668000</v>
      </c>
      <c r="M791" s="93">
        <v>0</v>
      </c>
      <c r="N791" s="45">
        <f ca="1">N792+N793+N794+N795</f>
        <v>641892.13999999897</v>
      </c>
      <c r="O791" s="45">
        <f t="shared" ca="1" si="364"/>
        <v>38.482742206234953</v>
      </c>
      <c r="P791" s="45">
        <f t="shared" si="365"/>
        <v>0</v>
      </c>
      <c r="Q791" s="569"/>
      <c r="R791" s="569"/>
      <c r="S791" s="569"/>
      <c r="T791" s="569"/>
      <c r="U791" s="569"/>
      <c r="V791" s="569"/>
      <c r="W791" s="569"/>
      <c r="X791" s="569"/>
      <c r="Y791" s="569"/>
      <c r="Z791" s="569"/>
    </row>
    <row r="792" spans="1:26" ht="18.75">
      <c r="A792" s="538"/>
      <c r="B792" s="539"/>
      <c r="C792" s="540"/>
      <c r="D792" s="540"/>
      <c r="E792" s="540"/>
      <c r="F792" s="541" t="s">
        <v>186</v>
      </c>
      <c r="G792" s="189"/>
      <c r="H792" s="161" t="s">
        <v>12</v>
      </c>
      <c r="I792" s="37"/>
      <c r="J792" s="37"/>
      <c r="K792" s="38"/>
      <c r="L792" s="38"/>
      <c r="M792" s="38"/>
      <c r="N792" s="283">
        <f ca="1">IFERROR(__xludf.DUMMYFUNCTION("IMPORTRANGE(""https://docs.google.com/spreadsheets/d/1KxicF4apzSqm0-jIpmueT4kyZtE-Cwn5zskl7GD4loQ/edit?usp=share_link"",""กำแพงเพชร!n792"")+IMPORTRANGE(""https://docs.google.com/spreadsheets/d/1ZNYWeiFoFA1K1U4xKWqRX29MBvEyRHXORjo734Gnq_c/edit?usp=share_li"&amp;"nk"",""เชียงราย!n792"")
+IMPORTRANGE(""https://docs.google.com/spreadsheets/d/1Jgv0Y7YlHDtsiDawwp-uvifEJ8HVaSn0k2aGHG8-hwM/edit?usp=share_link"",""เชียงใหม่!n792"")+IMPORTRANGE(""https://docs.google.com/spreadsheets/d/1JWG2rZePOz9pe-f-ObA-yDr0VoOX2kSb0qIi"&amp;"x2mTUo8/edit?usp=share_link"",""ตาก!n792"")+IMPORTRANGE(""https://docs.google.com/spreadsheets/d/10nSRjK08hx8Y6HgSOQKNw81lyY46Zc7U_Cj72hBMp9U/edit?usp=share_link"",""นครสวรรค์!n792"")+IMPORTRANGE(""https://docs.google.com/spreadsheets/d/1gFVb7qd7amutrIxAA"&amp;"oM7lcy35hllxznovot8lyOfvDo/edit?usp=share_link"",""น่าน!n792"")+IMPORTRANGE(""https://docs.google.com/spreadsheets/d/1K0Aa9s-6EuHE5M0FG1F9aHLXRCOV917xvycTdLdct0w/edit?usp=share_link"",""พะเยา!n792"")+IMPORTRANGE(""https://docs.google.com/spreadsheets/d/1Y"&amp;"9LPKx95PyL5OKy09d-KbKJSuuEZCFdkhYjwC0XQjBA/edit?usp=share_link"",""พิจิตร!n792"")+IMPORTRANGE(""https://docs.google.com/spreadsheets/d/16OMuOwy2eVqZcYWOouQtTpa8X1L23h4660uVHc0C8os/edit?usp=share_link"",""พิษณุโลก!n792"")+IMPORTRANGE(""https://docs.google."&amp;"com/spreadsheets/d/1GfgTldLG6k77HXaMQzaafODklYuucJZQNs_GAPEfZyY/edit?usp=share_link"",""เพชรบูรณ์!n792"")+IMPORTRANGE(""https://docs.google.com/spreadsheets/d/1gvTMYAnm7v1yG1BKWFtr0DnaTsq59oW9dwWvFgq6hs0/edit?usp=share_link"",""แพร่!n792"")+IMPORTRANGE("""&amp;"https://docs.google.com/spreadsheets/d/1Wbcosgy-Xa1xXUArJSOenub6EfZHUSzc_bpJFWwQUf0/edit?usp=share_link"",""แม่ฮ่องสอน!n792"")+IMPORTRANGE(""https://docs.google.com/spreadsheets/d/1p7ERhsr0qZeSn-KSOdeHS9r0heI-lHtkcn2OH7hP0jQ/edit?usp=share_link"",""ลำปาง!"&amp;"n792"")+IMPORTRANGE(""https://docs.google.com/spreadsheets/d/1-uUXvimVhiU2U0bMN-xi2te0tS4X7DI2GLPnMjzl8cA/edit?usp=share_link"",""ลำพูน!n792"")+IMPORTRANGE(""https://docs.google.com/spreadsheets/d/17HrOaa5pBUI1onckFfumXB8xlg35qb2uBAFfF1D-Myo/edit?usp=shar"&amp;"e_link"",""สุโขทัย!n792"")+IMPORTRANGE(""https://docs.google.com/spreadsheets/d/1ubs5cl16eYL9gHbdHTJtmtYb9MGzHBs7CAphn8kNCgM/edit?usp=share_link"",""อุตรดิตถ์!n792"")+IMPORTRANGE(""https://docs.google.com/spreadsheets/d/1kII0BjS6CtVrBvI8IrytgPdxDrlyQDyigz"&amp;"MsohRtDMs/edit?usp=share_link"",""อุทัยธานี!n792"")
"),0)</f>
        <v>0</v>
      </c>
      <c r="O792" s="38"/>
      <c r="P792" s="38"/>
      <c r="Q792" s="542"/>
      <c r="R792" s="542"/>
      <c r="S792" s="542"/>
      <c r="T792" s="542"/>
      <c r="U792" s="542"/>
      <c r="V792" s="542"/>
      <c r="W792" s="542"/>
      <c r="X792" s="542"/>
      <c r="Y792" s="542"/>
      <c r="Z792" s="542"/>
    </row>
    <row r="793" spans="1:26" ht="18.75">
      <c r="A793" s="538"/>
      <c r="B793" s="539"/>
      <c r="C793" s="540"/>
      <c r="D793" s="540"/>
      <c r="E793" s="540"/>
      <c r="F793" s="541" t="s">
        <v>187</v>
      </c>
      <c r="G793" s="189"/>
      <c r="H793" s="161" t="s">
        <v>12</v>
      </c>
      <c r="I793" s="37"/>
      <c r="J793" s="37"/>
      <c r="K793" s="38"/>
      <c r="L793" s="38"/>
      <c r="M793" s="38"/>
      <c r="N793" s="283">
        <f ca="1">IFERROR(__xludf.DUMMYFUNCTION("IMPORTRANGE(""https://docs.google.com/spreadsheets/d/1KxicF4apzSqm0-jIpmueT4kyZtE-Cwn5zskl7GD4loQ/edit?usp=share_link"",""กำแพงเพชร!n793"")+IMPORTRANGE(""https://docs.google.com/spreadsheets/d/1ZNYWeiFoFA1K1U4xKWqRX29MBvEyRHXORjo734Gnq_c/edit?usp=share_li"&amp;"nk"",""เชียงราย!n793"")
+IMPORTRANGE(""https://docs.google.com/spreadsheets/d/1Jgv0Y7YlHDtsiDawwp-uvifEJ8HVaSn0k2aGHG8-hwM/edit?usp=share_link"",""เชียงใหม่!n793"")+IMPORTRANGE(""https://docs.google.com/spreadsheets/d/1JWG2rZePOz9pe-f-ObA-yDr0VoOX2kSb0qIi"&amp;"x2mTUo8/edit?usp=share_link"",""ตาก!n793"")+IMPORTRANGE(""https://docs.google.com/spreadsheets/d/10nSRjK08hx8Y6HgSOQKNw81lyY46Zc7U_Cj72hBMp9U/edit?usp=share_link"",""นครสวรรค์!n793"")+IMPORTRANGE(""https://docs.google.com/spreadsheets/d/1gFVb7qd7amutrIxAA"&amp;"oM7lcy35hllxznovot8lyOfvDo/edit?usp=share_link"",""น่าน!n793"")+IMPORTRANGE(""https://docs.google.com/spreadsheets/d/1K0Aa9s-6EuHE5M0FG1F9aHLXRCOV917xvycTdLdct0w/edit?usp=share_link"",""พะเยา!n793"")+IMPORTRANGE(""https://docs.google.com/spreadsheets/d/1Y"&amp;"9LPKx95PyL5OKy09d-KbKJSuuEZCFdkhYjwC0XQjBA/edit?usp=share_link"",""พิจิตร!n793"")+IMPORTRANGE(""https://docs.google.com/spreadsheets/d/16OMuOwy2eVqZcYWOouQtTpa8X1L23h4660uVHc0C8os/edit?usp=share_link"",""พิษณุโลก!n793"")+IMPORTRANGE(""https://docs.google."&amp;"com/spreadsheets/d/1GfgTldLG6k77HXaMQzaafODklYuucJZQNs_GAPEfZyY/edit?usp=share_link"",""เพชรบูรณ์!n793"")+IMPORTRANGE(""https://docs.google.com/spreadsheets/d/1gvTMYAnm7v1yG1BKWFtr0DnaTsq59oW9dwWvFgq6hs0/edit?usp=share_link"",""แพร่!n793"")+IMPORTRANGE("""&amp;"https://docs.google.com/spreadsheets/d/1Wbcosgy-Xa1xXUArJSOenub6EfZHUSzc_bpJFWwQUf0/edit?usp=share_link"",""แม่ฮ่องสอน!n793"")+IMPORTRANGE(""https://docs.google.com/spreadsheets/d/1p7ERhsr0qZeSn-KSOdeHS9r0heI-lHtkcn2OH7hP0jQ/edit?usp=share_link"",""ลำปาง!"&amp;"n793"")+IMPORTRANGE(""https://docs.google.com/spreadsheets/d/1-uUXvimVhiU2U0bMN-xi2te0tS4X7DI2GLPnMjzl8cA/edit?usp=share_link"",""ลำพูน!n793"")+IMPORTRANGE(""https://docs.google.com/spreadsheets/d/17HrOaa5pBUI1onckFfumXB8xlg35qb2uBAFfF1D-Myo/edit?usp=shar"&amp;"e_link"",""สุโขทัย!n793"")+IMPORTRANGE(""https://docs.google.com/spreadsheets/d/1ubs5cl16eYL9gHbdHTJtmtYb9MGzHBs7CAphn8kNCgM/edit?usp=share_link"",""อุตรดิตถ์!n793"")+IMPORTRANGE(""https://docs.google.com/spreadsheets/d/1kII0BjS6CtVrBvI8IrytgPdxDrlyQDyigz"&amp;"MsohRtDMs/edit?usp=share_link"",""อุทัยธานี!n793"")
"),31840)</f>
        <v>31840</v>
      </c>
      <c r="O793" s="38"/>
      <c r="P793" s="38"/>
      <c r="Q793" s="542"/>
      <c r="R793" s="542"/>
      <c r="S793" s="542"/>
      <c r="T793" s="542"/>
      <c r="U793" s="542"/>
      <c r="V793" s="542"/>
      <c r="W793" s="542"/>
      <c r="X793" s="542"/>
      <c r="Y793" s="542"/>
      <c r="Z793" s="542"/>
    </row>
    <row r="794" spans="1:26" ht="18.75">
      <c r="A794" s="538"/>
      <c r="B794" s="539"/>
      <c r="C794" s="540"/>
      <c r="D794" s="540"/>
      <c r="E794" s="540"/>
      <c r="F794" s="541" t="s">
        <v>188</v>
      </c>
      <c r="G794" s="189"/>
      <c r="H794" s="161" t="s">
        <v>12</v>
      </c>
      <c r="I794" s="37"/>
      <c r="J794" s="37"/>
      <c r="K794" s="38"/>
      <c r="L794" s="38"/>
      <c r="M794" s="38"/>
      <c r="N794" s="283">
        <f ca="1">IFERROR(__xludf.DUMMYFUNCTION("IMPORTRANGE(""https://docs.google.com/spreadsheets/d/1KxicF4apzSqm0-jIpmueT4kyZtE-Cwn5zskl7GD4loQ/edit?usp=share_link"",""กำแพงเพชร!n794"")+IMPORTRANGE(""https://docs.google.com/spreadsheets/d/1ZNYWeiFoFA1K1U4xKWqRX29MBvEyRHXORjo734Gnq_c/edit?usp=share_li"&amp;"nk"",""เชียงราย!n794"")
+IMPORTRANGE(""https://docs.google.com/spreadsheets/d/1Jgv0Y7YlHDtsiDawwp-uvifEJ8HVaSn0k2aGHG8-hwM/edit?usp=share_link"",""เชียงใหม่!n794"")+IMPORTRANGE(""https://docs.google.com/spreadsheets/d/1JWG2rZePOz9pe-f-ObA-yDr0VoOX2kSb0qIi"&amp;"x2mTUo8/edit?usp=share_link"",""ตาก!n794"")+IMPORTRANGE(""https://docs.google.com/spreadsheets/d/10nSRjK08hx8Y6HgSOQKNw81lyY46Zc7U_Cj72hBMp9U/edit?usp=share_link"",""นครสวรรค์!n794"")+IMPORTRANGE(""https://docs.google.com/spreadsheets/d/1gFVb7qd7amutrIxAA"&amp;"oM7lcy35hllxznovot8lyOfvDo/edit?usp=share_link"",""น่าน!n794"")+IMPORTRANGE(""https://docs.google.com/spreadsheets/d/1K0Aa9s-6EuHE5M0FG1F9aHLXRCOV917xvycTdLdct0w/edit?usp=share_link"",""พะเยา!n794"")+IMPORTRANGE(""https://docs.google.com/spreadsheets/d/1Y"&amp;"9LPKx95PyL5OKy09d-KbKJSuuEZCFdkhYjwC0XQjBA/edit?usp=share_link"",""พิจิตร!n794"")+IMPORTRANGE(""https://docs.google.com/spreadsheets/d/16OMuOwy2eVqZcYWOouQtTpa8X1L23h4660uVHc0C8os/edit?usp=share_link"",""พิษณุโลก!n794"")+IMPORTRANGE(""https://docs.google."&amp;"com/spreadsheets/d/1GfgTldLG6k77HXaMQzaafODklYuucJZQNs_GAPEfZyY/edit?usp=share_link"",""เพชรบูรณ์!n794"")+IMPORTRANGE(""https://docs.google.com/spreadsheets/d/1gvTMYAnm7v1yG1BKWFtr0DnaTsq59oW9dwWvFgq6hs0/edit?usp=share_link"",""แพร่!n794"")+IMPORTRANGE("""&amp;"https://docs.google.com/spreadsheets/d/1Wbcosgy-Xa1xXUArJSOenub6EfZHUSzc_bpJFWwQUf0/edit?usp=share_link"",""แม่ฮ่องสอน!n794"")+IMPORTRANGE(""https://docs.google.com/spreadsheets/d/1p7ERhsr0qZeSn-KSOdeHS9r0heI-lHtkcn2OH7hP0jQ/edit?usp=share_link"",""ลำปาง!"&amp;"n794"")+IMPORTRANGE(""https://docs.google.com/spreadsheets/d/1-uUXvimVhiU2U0bMN-xi2te0tS4X7DI2GLPnMjzl8cA/edit?usp=share_link"",""ลำพูน!n794"")+IMPORTRANGE(""https://docs.google.com/spreadsheets/d/17HrOaa5pBUI1onckFfumXB8xlg35qb2uBAFfF1D-Myo/edit?usp=shar"&amp;"e_link"",""สุโขทัย!n794"")+IMPORTRANGE(""https://docs.google.com/spreadsheets/d/1ubs5cl16eYL9gHbdHTJtmtYb9MGzHBs7CAphn8kNCgM/edit?usp=share_link"",""อุตรดิตถ์!n794"")+IMPORTRANGE(""https://docs.google.com/spreadsheets/d/1kII0BjS6CtVrBvI8IrytgPdxDrlyQDyigz"&amp;"MsohRtDMs/edit?usp=share_link"",""อุทัยธานี!n794"")
"),259957.68)</f>
        <v>259957.68</v>
      </c>
      <c r="O794" s="38"/>
      <c r="P794" s="38"/>
      <c r="Q794" s="542"/>
      <c r="R794" s="542"/>
      <c r="S794" s="542"/>
      <c r="T794" s="542"/>
      <c r="U794" s="542"/>
      <c r="V794" s="542"/>
      <c r="W794" s="542"/>
      <c r="X794" s="542"/>
      <c r="Y794" s="542"/>
      <c r="Z794" s="542"/>
    </row>
    <row r="795" spans="1:26" ht="18.75">
      <c r="A795" s="538"/>
      <c r="B795" s="539"/>
      <c r="C795" s="540"/>
      <c r="D795" s="540"/>
      <c r="E795" s="540"/>
      <c r="F795" s="541" t="s">
        <v>189</v>
      </c>
      <c r="G795" s="189"/>
      <c r="H795" s="161" t="s">
        <v>12</v>
      </c>
      <c r="I795" s="37"/>
      <c r="J795" s="37"/>
      <c r="K795" s="38"/>
      <c r="L795" s="38"/>
      <c r="M795" s="38"/>
      <c r="N795" s="283">
        <f ca="1">IFERROR(__xludf.DUMMYFUNCTION("IMPORTRANGE(""https://docs.google.com/spreadsheets/d/1KxicF4apzSqm0-jIpmueT4kyZtE-Cwn5zskl7GD4loQ/edit?usp=share_link"",""กำแพงเพชร!n795"")+IMPORTRANGE(""https://docs.google.com/spreadsheets/d/1ZNYWeiFoFA1K1U4xKWqRX29MBvEyRHXORjo734Gnq_c/edit?usp=share_li"&amp;"nk"",""เชียงราย!n795"")
+IMPORTRANGE(""https://docs.google.com/spreadsheets/d/1Jgv0Y7YlHDtsiDawwp-uvifEJ8HVaSn0k2aGHG8-hwM/edit?usp=share_link"",""เชียงใหม่!n795"")+IMPORTRANGE(""https://docs.google.com/spreadsheets/d/1JWG2rZePOz9pe-f-ObA-yDr0VoOX2kSb0qIi"&amp;"x2mTUo8/edit?usp=share_link"",""ตาก!n795"")+IMPORTRANGE(""https://docs.google.com/spreadsheets/d/10nSRjK08hx8Y6HgSOQKNw81lyY46Zc7U_Cj72hBMp9U/edit?usp=share_link"",""นครสวรรค์!n795"")+IMPORTRANGE(""https://docs.google.com/spreadsheets/d/1gFVb7qd7amutrIxAA"&amp;"oM7lcy35hllxznovot8lyOfvDo/edit?usp=share_link"",""น่าน!n795"")+IMPORTRANGE(""https://docs.google.com/spreadsheets/d/1K0Aa9s-6EuHE5M0FG1F9aHLXRCOV917xvycTdLdct0w/edit?usp=share_link"",""พะเยา!n795"")+IMPORTRANGE(""https://docs.google.com/spreadsheets/d/1Y"&amp;"9LPKx95PyL5OKy09d-KbKJSuuEZCFdkhYjwC0XQjBA/edit?usp=share_link"",""พิจิตร!n795"")+IMPORTRANGE(""https://docs.google.com/spreadsheets/d/16OMuOwy2eVqZcYWOouQtTpa8X1L23h4660uVHc0C8os/edit?usp=share_link"",""พิษณุโลก!n795"")+IMPORTRANGE(""https://docs.google."&amp;"com/spreadsheets/d/1GfgTldLG6k77HXaMQzaafODklYuucJZQNs_GAPEfZyY/edit?usp=share_link"",""เพชรบูรณ์!n795"")+IMPORTRANGE(""https://docs.google.com/spreadsheets/d/1gvTMYAnm7v1yG1BKWFtr0DnaTsq59oW9dwWvFgq6hs0/edit?usp=share_link"",""แพร่!n795"")+IMPORTRANGE("""&amp;"https://docs.google.com/spreadsheets/d/1Wbcosgy-Xa1xXUArJSOenub6EfZHUSzc_bpJFWwQUf0/edit?usp=share_link"",""แม่ฮ่องสอน!n795"")+IMPORTRANGE(""https://docs.google.com/spreadsheets/d/1p7ERhsr0qZeSn-KSOdeHS9r0heI-lHtkcn2OH7hP0jQ/edit?usp=share_link"",""ลำปาง!"&amp;"n795"")+IMPORTRANGE(""https://docs.google.com/spreadsheets/d/1-uUXvimVhiU2U0bMN-xi2te0tS4X7DI2GLPnMjzl8cA/edit?usp=share_link"",""ลำพูน!n795"")+IMPORTRANGE(""https://docs.google.com/spreadsheets/d/17HrOaa5pBUI1onckFfumXB8xlg35qb2uBAFfF1D-Myo/edit?usp=shar"&amp;"e_link"",""สุโขทัย!n795"")+IMPORTRANGE(""https://docs.google.com/spreadsheets/d/1ubs5cl16eYL9gHbdHTJtmtYb9MGzHBs7CAphn8kNCgM/edit?usp=share_link"",""อุตรดิตถ์!n795"")+IMPORTRANGE(""https://docs.google.com/spreadsheets/d/1kII0BjS6CtVrBvI8IrytgPdxDrlyQDyigz"&amp;"MsohRtDMs/edit?usp=share_link"",""อุทัยธานี!n795"")
"),350094.459999999)</f>
        <v>350094.45999999897</v>
      </c>
      <c r="O795" s="38"/>
      <c r="P795" s="38"/>
      <c r="Q795" s="542"/>
      <c r="R795" s="542"/>
      <c r="S795" s="542"/>
      <c r="T795" s="542"/>
      <c r="U795" s="542"/>
      <c r="V795" s="542"/>
      <c r="W795" s="542"/>
      <c r="X795" s="542"/>
      <c r="Y795" s="542"/>
      <c r="Z795" s="542"/>
    </row>
    <row r="796" spans="1:26" ht="18.75">
      <c r="A796" s="562"/>
      <c r="B796" s="539"/>
      <c r="C796" s="540"/>
      <c r="D796" s="571" t="s">
        <v>21</v>
      </c>
      <c r="E796" s="540"/>
      <c r="F796" s="540"/>
      <c r="G796" s="189"/>
      <c r="H796" s="168" t="s">
        <v>12</v>
      </c>
      <c r="I796" s="162"/>
      <c r="J796" s="162"/>
      <c r="K796" s="163"/>
      <c r="L796" s="38">
        <f t="shared" ref="L796:N796" si="369">L797+L798</f>
        <v>0</v>
      </c>
      <c r="M796" s="38">
        <f t="shared" si="369"/>
        <v>0</v>
      </c>
      <c r="N796" s="38">
        <f t="shared" si="369"/>
        <v>0</v>
      </c>
      <c r="O796" s="38">
        <f t="shared" ref="O796:O798" si="370">IF(L796&gt;0,N796*100/L796,0)</f>
        <v>0</v>
      </c>
      <c r="P796" s="38">
        <f t="shared" ref="P796:P798" si="371">IF(M796&gt;0,N796*100/M796,0)</f>
        <v>0</v>
      </c>
      <c r="Q796" s="542"/>
      <c r="R796" s="542"/>
      <c r="S796" s="542"/>
      <c r="T796" s="542"/>
      <c r="U796" s="542"/>
      <c r="V796" s="542"/>
      <c r="W796" s="542"/>
      <c r="X796" s="542"/>
      <c r="Y796" s="542"/>
      <c r="Z796" s="542"/>
    </row>
    <row r="797" spans="1:26" ht="18.75" hidden="1">
      <c r="A797" s="564"/>
      <c r="B797" s="570"/>
      <c r="C797" s="565"/>
      <c r="D797" s="565"/>
      <c r="E797" s="567" t="s">
        <v>18</v>
      </c>
      <c r="F797" s="565"/>
      <c r="G797" s="56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70"/>
        <v>0</v>
      </c>
      <c r="P797" s="45">
        <f t="shared" si="371"/>
        <v>0</v>
      </c>
      <c r="Q797" s="569"/>
      <c r="R797" s="569"/>
      <c r="S797" s="569"/>
      <c r="T797" s="569"/>
      <c r="U797" s="569"/>
      <c r="V797" s="569"/>
      <c r="W797" s="569"/>
      <c r="X797" s="569"/>
      <c r="Y797" s="569"/>
      <c r="Z797" s="569"/>
    </row>
    <row r="798" spans="1:26" ht="18.75" hidden="1">
      <c r="A798" s="564"/>
      <c r="B798" s="570"/>
      <c r="C798" s="565"/>
      <c r="D798" s="565"/>
      <c r="E798" s="567" t="s">
        <v>19</v>
      </c>
      <c r="F798" s="565"/>
      <c r="G798" s="56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70"/>
        <v>0</v>
      </c>
      <c r="P798" s="45">
        <f t="shared" si="371"/>
        <v>0</v>
      </c>
      <c r="Q798" s="569"/>
      <c r="R798" s="569"/>
      <c r="S798" s="569"/>
      <c r="T798" s="569"/>
      <c r="U798" s="569"/>
      <c r="V798" s="569"/>
      <c r="W798" s="569"/>
      <c r="X798" s="569"/>
      <c r="Y798" s="569"/>
      <c r="Z798" s="569"/>
    </row>
    <row r="799" spans="1:26" ht="19.5">
      <c r="A799" s="573"/>
      <c r="B799" s="574"/>
      <c r="C799" s="540" t="s">
        <v>16</v>
      </c>
      <c r="D799" s="726" t="s">
        <v>38</v>
      </c>
      <c r="E799" s="577"/>
      <c r="F799" s="577"/>
      <c r="G799" s="578"/>
      <c r="H799" s="776"/>
      <c r="I799" s="162"/>
      <c r="J799" s="162"/>
      <c r="K799" s="163"/>
      <c r="L799" s="163"/>
      <c r="M799" s="163"/>
      <c r="N799" s="163"/>
      <c r="O799" s="163"/>
      <c r="P799" s="163"/>
      <c r="Q799" s="542"/>
      <c r="R799" s="542"/>
      <c r="S799" s="542"/>
      <c r="T799" s="542"/>
      <c r="U799" s="542"/>
      <c r="V799" s="542"/>
      <c r="W799" s="542"/>
      <c r="X799" s="542"/>
      <c r="Y799" s="542"/>
      <c r="Z799" s="542"/>
    </row>
    <row r="800" spans="1:26" ht="18.75">
      <c r="A800" s="573"/>
      <c r="B800" s="574"/>
      <c r="C800" s="574"/>
      <c r="D800" s="574"/>
      <c r="E800" s="586"/>
      <c r="F800" s="187" t="s">
        <v>320</v>
      </c>
      <c r="G800" s="175"/>
      <c r="H800" s="777" t="s">
        <v>34</v>
      </c>
      <c r="I800" s="162"/>
      <c r="J800" s="184">
        <f ca="1">IFERROR(__xludf.DUMMYFUNCTION("IMPORTRANGE(""https://docs.google.com/spreadsheets/d/1KxicF4apzSqm0-jIpmueT4kyZtE-Cwn5zskl7GD4loQ/edit?usp=share_link"",""กำแพงเพชร!J800"")+IMPORTRANGE(""https://docs.google.com/spreadsheets/d/1ZNYWeiFoFA1K1U4xKWqRX29MBvEyRHXORjo734Gnq_c/edit?usp=share_li"&amp;"nk"",""เชียงราย!J800"")
+IMPORTRANGE(""https://docs.google.com/spreadsheets/d/1Jgv0Y7YlHDtsiDawwp-uvifEJ8HVaSn0k2aGHG8-hwM/edit?usp=share_link"",""เชียงใหม่!J800"")+IMPORTRANGE(""https://docs.google.com/spreadsheets/d/1JWG2rZePOz9pe-f-ObA-yDr0VoOX2kSb0qIi"&amp;"x2mTUo8/edit?usp=share_link"",""ตาก!J800"")+IMPORTRANGE(""https://docs.google.com/spreadsheets/d/10nSRjK08hx8Y6HgSOQKNw81lyY46Zc7U_Cj72hBMp9U/edit?usp=share_link"",""นครสวรรค์!J800"")+IMPORTRANGE(""https://docs.google.com/spreadsheets/d/1gFVb7qd7amutrIxAA"&amp;"oM7lcy35hllxznovot8lyOfvDo/edit?usp=share_link"",""น่าน!J800"")+IMPORTRANGE(""https://docs.google.com/spreadsheets/d/1K0Aa9s-6EuHE5M0FG1F9aHLXRCOV917xvycTdLdct0w/edit?usp=share_link"",""พะเยา!J800"")+IMPORTRANGE(""https://docs.google.com/spreadsheets/d/1Y"&amp;"9LPKx95PyL5OKy09d-KbKJSuuEZCFdkhYjwC0XQjBA/edit?usp=share_link"",""พิจิตร!J800"")+IMPORTRANGE(""https://docs.google.com/spreadsheets/d/16OMuOwy2eVqZcYWOouQtTpa8X1L23h4660uVHc0C8os/edit?usp=share_link"",""พิษณุโลก!J800"")+IMPORTRANGE(""https://docs.google."&amp;"com/spreadsheets/d/1GfgTldLG6k77HXaMQzaafODklYuucJZQNs_GAPEfZyY/edit?usp=share_link"",""เพชรบูรณ์!J800"")+IMPORTRANGE(""https://docs.google.com/spreadsheets/d/1gvTMYAnm7v1yG1BKWFtr0DnaTsq59oW9dwWvFgq6hs0/edit?usp=share_link"",""แพร่!J800"")+IMPORTRANGE("""&amp;"https://docs.google.com/spreadsheets/d/1Wbcosgy-Xa1xXUArJSOenub6EfZHUSzc_bpJFWwQUf0/edit?usp=share_link"",""แม่ฮ่องสอน!J800"")+IMPORTRANGE(""https://docs.google.com/spreadsheets/d/1p7ERhsr0qZeSn-KSOdeHS9r0heI-lHtkcn2OH7hP0jQ/edit?usp=share_link"",""ลำปาง!"&amp;"J800"")+IMPORTRANGE(""https://docs.google.com/spreadsheets/d/1-uUXvimVhiU2U0bMN-xi2te0tS4X7DI2GLPnMjzl8cA/edit?usp=share_link"",""ลำพูน!J800"")+IMPORTRANGE(""https://docs.google.com/spreadsheets/d/17HrOaa5pBUI1onckFfumXB8xlg35qb2uBAFfF1D-Myo/edit?usp=shar"&amp;"e_link"",""สุโขทัย!J800"")+IMPORTRANGE(""https://docs.google.com/spreadsheets/d/1ubs5cl16eYL9gHbdHTJtmtYb9MGzHBs7CAphn8kNCgM/edit?usp=share_link"",""อุตรดิตถ์!J800"")+IMPORTRANGE(""https://docs.google.com/spreadsheets/d/1kII0BjS6CtVrBvI8IrytgPdxDrlyQDyigz"&amp;"MsohRtDMs/edit?usp=share_link"",""อุทัยธานี!J800"")
"),465)</f>
        <v>465</v>
      </c>
      <c r="K800" s="38"/>
      <c r="L800" s="38"/>
      <c r="M800" s="38"/>
      <c r="N800" s="38"/>
      <c r="O800" s="163"/>
      <c r="P800" s="163"/>
      <c r="Q800" s="542"/>
      <c r="R800" s="542"/>
      <c r="S800" s="542"/>
      <c r="T800" s="542"/>
      <c r="U800" s="542"/>
      <c r="V800" s="542"/>
      <c r="W800" s="542"/>
      <c r="X800" s="542"/>
      <c r="Y800" s="542"/>
      <c r="Z800" s="542"/>
    </row>
    <row r="801" spans="1:26" ht="18.75">
      <c r="A801" s="573"/>
      <c r="B801" s="574"/>
      <c r="C801" s="574"/>
      <c r="D801" s="574"/>
      <c r="E801" s="586"/>
      <c r="F801" s="586"/>
      <c r="G801" s="175"/>
      <c r="H801" s="778" t="s">
        <v>46</v>
      </c>
      <c r="I801" s="162">
        <f ca="1">IFERROR(__xludf.DUMMYFUNCTION("IMPORTRANGE(""https://docs.google.com/spreadsheets/d/1KxicF4apzSqm0-jIpmueT4kyZtE-Cwn5zskl7GD4loQ/edit?usp=share_link"",""กำแพงเพชร!I801"")+IMPORTRANGE(""https://docs.google.com/spreadsheets/d/1ZNYWeiFoFA1K1U4xKWqRX29MBvEyRHXORjo734Gnq_c/edit?usp=share_li"&amp;"nk"",""เชียงราย!I801"")
+IMPORTRANGE(""https://docs.google.com/spreadsheets/d/1Jgv0Y7YlHDtsiDawwp-uvifEJ8HVaSn0k2aGHG8-hwM/edit?usp=share_link"",""เชียงใหม่!I801"")+IMPORTRANGE(""https://docs.google.com/spreadsheets/d/1JWG2rZePOz9pe-f-ObA-yDr0VoOX2kSb0qIi"&amp;"x2mTUo8/edit?usp=share_link"",""ตาก!I801"")+IMPORTRANGE(""https://docs.google.com/spreadsheets/d/10nSRjK08hx8Y6HgSOQKNw81lyY46Zc7U_Cj72hBMp9U/edit?usp=share_link"",""นครสวรรค์!I801"")+IMPORTRANGE(""https://docs.google.com/spreadsheets/d/1gFVb7qd7amutrIxAA"&amp;"oM7lcy35hllxznovot8lyOfvDo/edit?usp=share_link"",""น่าน!I801"")+IMPORTRANGE(""https://docs.google.com/spreadsheets/d/1K0Aa9s-6EuHE5M0FG1F9aHLXRCOV917xvycTdLdct0w/edit?usp=share_link"",""พะเยา!I801"")+IMPORTRANGE(""https://docs.google.com/spreadsheets/d/1Y"&amp;"9LPKx95PyL5OKy09d-KbKJSuuEZCFdkhYjwC0XQjBA/edit?usp=share_link"",""พิจิตร!I801"")+IMPORTRANGE(""https://docs.google.com/spreadsheets/d/16OMuOwy2eVqZcYWOouQtTpa8X1L23h4660uVHc0C8os/edit?usp=share_link"",""พิษณุโลก!I801"")+IMPORTRANGE(""https://docs.google."&amp;"com/spreadsheets/d/1GfgTldLG6k77HXaMQzaafODklYuucJZQNs_GAPEfZyY/edit?usp=share_link"",""เพชรบูรณ์!I801"")+IMPORTRANGE(""https://docs.google.com/spreadsheets/d/1gvTMYAnm7v1yG1BKWFtr0DnaTsq59oW9dwWvFgq6hs0/edit?usp=share_link"",""แพร่!I801"")+IMPORTRANGE("""&amp;"https://docs.google.com/spreadsheets/d/1Wbcosgy-Xa1xXUArJSOenub6EfZHUSzc_bpJFWwQUf0/edit?usp=share_link"",""แม่ฮ่องสอน!I801"")+IMPORTRANGE(""https://docs.google.com/spreadsheets/d/1p7ERhsr0qZeSn-KSOdeHS9r0heI-lHtkcn2OH7hP0jQ/edit?usp=share_link"",""ลำปาง!"&amp;"I801"")+IMPORTRANGE(""https://docs.google.com/spreadsheets/d/1-uUXvimVhiU2U0bMN-xi2te0tS4X7DI2GLPnMjzl8cA/edit?usp=share_link"",""ลำพูน!I801"")+IMPORTRANGE(""https://docs.google.com/spreadsheets/d/17HrOaa5pBUI1onckFfumXB8xlg35qb2uBAFfF1D-Myo/edit?usp=shar"&amp;"e_link"",""สุโขทัย!I801"")+IMPORTRANGE(""https://docs.google.com/spreadsheets/d/1ubs5cl16eYL9gHbdHTJtmtYb9MGzHBs7CAphn8kNCgM/edit?usp=share_link"",""อุตรดิตถ์!I801"")+IMPORTRANGE(""https://docs.google.com/spreadsheets/d/1kII0BjS6CtVrBvI8IrytgPdxDrlyQDyigz"&amp;"MsohRtDMs/edit?usp=share_link"",""อุทัยธานี!I801"")
"),25000)</f>
        <v>25000</v>
      </c>
      <c r="J801" s="37">
        <f ca="1">IFERROR(__xludf.DUMMYFUNCTION("IMPORTRANGE(""https://docs.google.com/spreadsheets/d/1KxicF4apzSqm0-jIpmueT4kyZtE-Cwn5zskl7GD4loQ/edit?usp=share_link"",""กำแพงเพชร!J801"")+IMPORTRANGE(""https://docs.google.com/spreadsheets/d/1ZNYWeiFoFA1K1U4xKWqRX29MBvEyRHXORjo734Gnq_c/edit?usp=share_li"&amp;"nk"",""เชียงราย!J801"")
+IMPORTRANGE(""https://docs.google.com/spreadsheets/d/1Jgv0Y7YlHDtsiDawwp-uvifEJ8HVaSn0k2aGHG8-hwM/edit?usp=share_link"",""เชียงใหม่!J801"")+IMPORTRANGE(""https://docs.google.com/spreadsheets/d/1JWG2rZePOz9pe-f-ObA-yDr0VoOX2kSb0qIi"&amp;"x2mTUo8/edit?usp=share_link"",""ตาก!J801"")+IMPORTRANGE(""https://docs.google.com/spreadsheets/d/10nSRjK08hx8Y6HgSOQKNw81lyY46Zc7U_Cj72hBMp9U/edit?usp=share_link"",""นครสวรรค์!J801"")+IMPORTRANGE(""https://docs.google.com/spreadsheets/d/1gFVb7qd7amutrIxAA"&amp;"oM7lcy35hllxznovot8lyOfvDo/edit?usp=share_link"",""น่าน!J801"")+IMPORTRANGE(""https://docs.google.com/spreadsheets/d/1K0Aa9s-6EuHE5M0FG1F9aHLXRCOV917xvycTdLdct0w/edit?usp=share_link"",""พะเยา!J801"")+IMPORTRANGE(""https://docs.google.com/spreadsheets/d/1Y"&amp;"9LPKx95PyL5OKy09d-KbKJSuuEZCFdkhYjwC0XQjBA/edit?usp=share_link"",""พิจิตร!J801"")+IMPORTRANGE(""https://docs.google.com/spreadsheets/d/16OMuOwy2eVqZcYWOouQtTpa8X1L23h4660uVHc0C8os/edit?usp=share_link"",""พิษณุโลก!J801"")+IMPORTRANGE(""https://docs.google."&amp;"com/spreadsheets/d/1GfgTldLG6k77HXaMQzaafODklYuucJZQNs_GAPEfZyY/edit?usp=share_link"",""เพชรบูรณ์!J801"")+IMPORTRANGE(""https://docs.google.com/spreadsheets/d/1gvTMYAnm7v1yG1BKWFtr0DnaTsq59oW9dwWvFgq6hs0/edit?usp=share_link"",""แพร่!J801"")+IMPORTRANGE("""&amp;"https://docs.google.com/spreadsheets/d/1Wbcosgy-Xa1xXUArJSOenub6EfZHUSzc_bpJFWwQUf0/edit?usp=share_link"",""แม่ฮ่องสอน!J801"")+IMPORTRANGE(""https://docs.google.com/spreadsheets/d/1p7ERhsr0qZeSn-KSOdeHS9r0heI-lHtkcn2OH7hP0jQ/edit?usp=share_link"",""ลำปาง!"&amp;"J801"")+IMPORTRANGE(""https://docs.google.com/spreadsheets/d/1-uUXvimVhiU2U0bMN-xi2te0tS4X7DI2GLPnMjzl8cA/edit?usp=share_link"",""ลำพูน!J801"")+IMPORTRANGE(""https://docs.google.com/spreadsheets/d/17HrOaa5pBUI1onckFfumXB8xlg35qb2uBAFfF1D-Myo/edit?usp=shar"&amp;"e_link"",""สุโขทัย!J801"")+IMPORTRANGE(""https://docs.google.com/spreadsheets/d/1ubs5cl16eYL9gHbdHTJtmtYb9MGzHBs7CAphn8kNCgM/edit?usp=share_link"",""อุตรดิตถ์!J801"")+IMPORTRANGE(""https://docs.google.com/spreadsheets/d/1kII0BjS6CtVrBvI8IrytgPdxDrlyQDyigz"&amp;"MsohRtDMs/edit?usp=share_link"",""อุทัยธานี!J801"")
"),6112)</f>
        <v>6112</v>
      </c>
      <c r="K801" s="38">
        <f ca="1">IF(I801&gt;0,J801*100/I801,0)</f>
        <v>24.448</v>
      </c>
      <c r="L801" s="38"/>
      <c r="M801" s="38"/>
      <c r="N801" s="38"/>
      <c r="O801" s="163"/>
      <c r="P801" s="163"/>
      <c r="Q801" s="542"/>
      <c r="R801" s="542"/>
      <c r="S801" s="542"/>
      <c r="T801" s="542"/>
      <c r="U801" s="542"/>
      <c r="V801" s="542"/>
      <c r="W801" s="542"/>
      <c r="X801" s="542"/>
      <c r="Y801" s="542"/>
      <c r="Z801" s="542"/>
    </row>
    <row r="802" spans="1:26" ht="18.75">
      <c r="A802" s="779"/>
      <c r="B802" s="780"/>
      <c r="C802" s="780"/>
      <c r="D802" s="780"/>
      <c r="E802" s="781"/>
      <c r="F802" s="782" t="s">
        <v>321</v>
      </c>
      <c r="G802" s="333"/>
      <c r="H802" s="783" t="s">
        <v>34</v>
      </c>
      <c r="I802" s="320"/>
      <c r="J802" s="326">
        <f ca="1">IFERROR(__xludf.DUMMYFUNCTION("IMPORTRANGE(""https://docs.google.com/spreadsheets/d/1KxicF4apzSqm0-jIpmueT4kyZtE-Cwn5zskl7GD4loQ/edit?usp=share_link"",""กำแพงเพชร!J802"")+IMPORTRANGE(""https://docs.google.com/spreadsheets/d/1ZNYWeiFoFA1K1U4xKWqRX29MBvEyRHXORjo734Gnq_c/edit?usp=share_li"&amp;"nk"",""เชียงราย!J802"")
+IMPORTRANGE(""https://docs.google.com/spreadsheets/d/1Jgv0Y7YlHDtsiDawwp-uvifEJ8HVaSn0k2aGHG8-hwM/edit?usp=share_link"",""เชียงใหม่!J802"")+IMPORTRANGE(""https://docs.google.com/spreadsheets/d/1JWG2rZePOz9pe-f-ObA-yDr0VoOX2kSb0qIi"&amp;"x2mTUo8/edit?usp=share_link"",""ตาก!J802"")+IMPORTRANGE(""https://docs.google.com/spreadsheets/d/10nSRjK08hx8Y6HgSOQKNw81lyY46Zc7U_Cj72hBMp9U/edit?usp=share_link"",""นครสวรรค์!J802"")+IMPORTRANGE(""https://docs.google.com/spreadsheets/d/1gFVb7qd7amutrIxAA"&amp;"oM7lcy35hllxznovot8lyOfvDo/edit?usp=share_link"",""น่าน!J802"")+IMPORTRANGE(""https://docs.google.com/spreadsheets/d/1K0Aa9s-6EuHE5M0FG1F9aHLXRCOV917xvycTdLdct0w/edit?usp=share_link"",""พะเยา!J802"")+IMPORTRANGE(""https://docs.google.com/spreadsheets/d/1Y"&amp;"9LPKx95PyL5OKy09d-KbKJSuuEZCFdkhYjwC0XQjBA/edit?usp=share_link"",""พิจิตร!J802"")+IMPORTRANGE(""https://docs.google.com/spreadsheets/d/16OMuOwy2eVqZcYWOouQtTpa8X1L23h4660uVHc0C8os/edit?usp=share_link"",""พิษณุโลก!J802"")+IMPORTRANGE(""https://docs.google."&amp;"com/spreadsheets/d/1GfgTldLG6k77HXaMQzaafODklYuucJZQNs_GAPEfZyY/edit?usp=share_link"",""เพชรบูรณ์!J802"")+IMPORTRANGE(""https://docs.google.com/spreadsheets/d/1gvTMYAnm7v1yG1BKWFtr0DnaTsq59oW9dwWvFgq6hs0/edit?usp=share_link"",""แพร่!J802"")+IMPORTRANGE("""&amp;"https://docs.google.com/spreadsheets/d/1Wbcosgy-Xa1xXUArJSOenub6EfZHUSzc_bpJFWwQUf0/edit?usp=share_link"",""แม่ฮ่องสอน!J802"")+IMPORTRANGE(""https://docs.google.com/spreadsheets/d/1p7ERhsr0qZeSn-KSOdeHS9r0heI-lHtkcn2OH7hP0jQ/edit?usp=share_link"",""ลำปาง!"&amp;"J802"")+IMPORTRANGE(""https://docs.google.com/spreadsheets/d/1-uUXvimVhiU2U0bMN-xi2te0tS4X7DI2GLPnMjzl8cA/edit?usp=share_link"",""ลำพูน!J802"")+IMPORTRANGE(""https://docs.google.com/spreadsheets/d/17HrOaa5pBUI1onckFfumXB8xlg35qb2uBAFfF1D-Myo/edit?usp=shar"&amp;"e_link"",""สุโขทัย!J802"")+IMPORTRANGE(""https://docs.google.com/spreadsheets/d/1ubs5cl16eYL9gHbdHTJtmtYb9MGzHBs7CAphn8kNCgM/edit?usp=share_link"",""อุตรดิตถ์!J802"")+IMPORTRANGE(""https://docs.google.com/spreadsheets/d/1kII0BjS6CtVrBvI8IrytgPdxDrlyQDyigz"&amp;"MsohRtDMs/edit?usp=share_link"",""อุทัยธานี!J802"")
"),2256)</f>
        <v>2256</v>
      </c>
      <c r="K802" s="321"/>
      <c r="L802" s="321"/>
      <c r="M802" s="321"/>
      <c r="N802" s="321"/>
      <c r="O802" s="321"/>
      <c r="P802" s="321"/>
      <c r="Q802" s="784"/>
      <c r="R802" s="784"/>
      <c r="S802" s="784"/>
      <c r="T802" s="784"/>
      <c r="U802" s="784"/>
      <c r="V802" s="784"/>
      <c r="W802" s="784"/>
      <c r="X802" s="784"/>
      <c r="Y802" s="784"/>
      <c r="Z802" s="784"/>
    </row>
    <row r="803" spans="1:26" ht="18.75">
      <c r="A803" s="779"/>
      <c r="B803" s="780"/>
      <c r="C803" s="780"/>
      <c r="D803" s="780"/>
      <c r="E803" s="781"/>
      <c r="F803" s="781"/>
      <c r="G803" s="333"/>
      <c r="H803" s="783" t="s">
        <v>46</v>
      </c>
      <c r="I803" s="320">
        <f ca="1">IFERROR(__xludf.DUMMYFUNCTION("IMPORTRANGE(""https://docs.google.com/spreadsheets/d/1KxicF4apzSqm0-jIpmueT4kyZtE-Cwn5zskl7GD4loQ/edit?usp=share_link"",""กำแพงเพชร!I803"")+IMPORTRANGE(""https://docs.google.com/spreadsheets/d/1ZNYWeiFoFA1K1U4xKWqRX29MBvEyRHXORjo734Gnq_c/edit?usp=share_li"&amp;"nk"",""เชียงราย!I803"")
+IMPORTRANGE(""https://docs.google.com/spreadsheets/d/1Jgv0Y7YlHDtsiDawwp-uvifEJ8HVaSn0k2aGHG8-hwM/edit?usp=share_link"",""เชียงใหม่!I803"")+IMPORTRANGE(""https://docs.google.com/spreadsheets/d/1JWG2rZePOz9pe-f-ObA-yDr0VoOX2kSb0qIi"&amp;"x2mTUo8/edit?usp=share_link"",""ตาก!I803"")+IMPORTRANGE(""https://docs.google.com/spreadsheets/d/10nSRjK08hx8Y6HgSOQKNw81lyY46Zc7U_Cj72hBMp9U/edit?usp=share_link"",""นครสวรรค์!I803"")+IMPORTRANGE(""https://docs.google.com/spreadsheets/d/1gFVb7qd7amutrIxAA"&amp;"oM7lcy35hllxznovot8lyOfvDo/edit?usp=share_link"",""น่าน!I803"")+IMPORTRANGE(""https://docs.google.com/spreadsheets/d/1K0Aa9s-6EuHE5M0FG1F9aHLXRCOV917xvycTdLdct0w/edit?usp=share_link"",""พะเยา!I803"")+IMPORTRANGE(""https://docs.google.com/spreadsheets/d/1Y"&amp;"9LPKx95PyL5OKy09d-KbKJSuuEZCFdkhYjwC0XQjBA/edit?usp=share_link"",""พิจิตร!I803"")+IMPORTRANGE(""https://docs.google.com/spreadsheets/d/16OMuOwy2eVqZcYWOouQtTpa8X1L23h4660uVHc0C8os/edit?usp=share_link"",""พิษณุโลก!I803"")+IMPORTRANGE(""https://docs.google."&amp;"com/spreadsheets/d/1GfgTldLG6k77HXaMQzaafODklYuucJZQNs_GAPEfZyY/edit?usp=share_link"",""เพชรบูรณ์!I803"")+IMPORTRANGE(""https://docs.google.com/spreadsheets/d/1gvTMYAnm7v1yG1BKWFtr0DnaTsq59oW9dwWvFgq6hs0/edit?usp=share_link"",""แพร่!I803"")+IMPORTRANGE("""&amp;"https://docs.google.com/spreadsheets/d/1Wbcosgy-Xa1xXUArJSOenub6EfZHUSzc_bpJFWwQUf0/edit?usp=share_link"",""แม่ฮ่องสอน!I803"")+IMPORTRANGE(""https://docs.google.com/spreadsheets/d/1p7ERhsr0qZeSn-KSOdeHS9r0heI-lHtkcn2OH7hP0jQ/edit?usp=share_link"",""ลำปาง!"&amp;"I803"")+IMPORTRANGE(""https://docs.google.com/spreadsheets/d/1-uUXvimVhiU2U0bMN-xi2te0tS4X7DI2GLPnMjzl8cA/edit?usp=share_link"",""ลำพูน!I803"")+IMPORTRANGE(""https://docs.google.com/spreadsheets/d/17HrOaa5pBUI1onckFfumXB8xlg35qb2uBAFfF1D-Myo/edit?usp=shar"&amp;"e_link"",""สุโขทัย!I803"")+IMPORTRANGE(""https://docs.google.com/spreadsheets/d/1ubs5cl16eYL9gHbdHTJtmtYb9MGzHBs7CAphn8kNCgM/edit?usp=share_link"",""อุตรดิตถ์!I803"")+IMPORTRANGE(""https://docs.google.com/spreadsheets/d/1kII0BjS6CtVrBvI8IrytgPdxDrlyQDyigz"&amp;"MsohRtDMs/edit?usp=share_link"",""อุทัยธานี!I803"")
"),123000)</f>
        <v>123000</v>
      </c>
      <c r="J803" s="326">
        <f ca="1">IFERROR(__xludf.DUMMYFUNCTION("IMPORTRANGE(""https://docs.google.com/spreadsheets/d/1KxicF4apzSqm0-jIpmueT4kyZtE-Cwn5zskl7GD4loQ/edit?usp=share_link"",""กำแพงเพชร!J803"")+IMPORTRANGE(""https://docs.google.com/spreadsheets/d/1ZNYWeiFoFA1K1U4xKWqRX29MBvEyRHXORjo734Gnq_c/edit?usp=share_li"&amp;"nk"",""เชียงราย!J803"")
+IMPORTRANGE(""https://docs.google.com/spreadsheets/d/1Jgv0Y7YlHDtsiDawwp-uvifEJ8HVaSn0k2aGHG8-hwM/edit?usp=share_link"",""เชียงใหม่!J803"")+IMPORTRANGE(""https://docs.google.com/spreadsheets/d/1JWG2rZePOz9pe-f-ObA-yDr0VoOX2kSb0qIi"&amp;"x2mTUo8/edit?usp=share_link"",""ตาก!J803"")+IMPORTRANGE(""https://docs.google.com/spreadsheets/d/10nSRjK08hx8Y6HgSOQKNw81lyY46Zc7U_Cj72hBMp9U/edit?usp=share_link"",""นครสวรรค์!J803"")+IMPORTRANGE(""https://docs.google.com/spreadsheets/d/1gFVb7qd7amutrIxAA"&amp;"oM7lcy35hllxznovot8lyOfvDo/edit?usp=share_link"",""น่าน!J803"")+IMPORTRANGE(""https://docs.google.com/spreadsheets/d/1K0Aa9s-6EuHE5M0FG1F9aHLXRCOV917xvycTdLdct0w/edit?usp=share_link"",""พะเยา!J803"")+IMPORTRANGE(""https://docs.google.com/spreadsheets/d/1Y"&amp;"9LPKx95PyL5OKy09d-KbKJSuuEZCFdkhYjwC0XQjBA/edit?usp=share_link"",""พิจิตร!J803"")+IMPORTRANGE(""https://docs.google.com/spreadsheets/d/16OMuOwy2eVqZcYWOouQtTpa8X1L23h4660uVHc0C8os/edit?usp=share_link"",""พิษณุโลก!J803"")+IMPORTRANGE(""https://docs.google."&amp;"com/spreadsheets/d/1GfgTldLG6k77HXaMQzaafODklYuucJZQNs_GAPEfZyY/edit?usp=share_link"",""เพชรบูรณ์!J803"")+IMPORTRANGE(""https://docs.google.com/spreadsheets/d/1gvTMYAnm7v1yG1BKWFtr0DnaTsq59oW9dwWvFgq6hs0/edit?usp=share_link"",""แพร่!J803"")+IMPORTRANGE("""&amp;"https://docs.google.com/spreadsheets/d/1Wbcosgy-Xa1xXUArJSOenub6EfZHUSzc_bpJFWwQUf0/edit?usp=share_link"",""แม่ฮ่องสอน!J803"")+IMPORTRANGE(""https://docs.google.com/spreadsheets/d/1p7ERhsr0qZeSn-KSOdeHS9r0heI-lHtkcn2OH7hP0jQ/edit?usp=share_link"",""ลำปาง!"&amp;"J803"")+IMPORTRANGE(""https://docs.google.com/spreadsheets/d/1-uUXvimVhiU2U0bMN-xi2te0tS4X7DI2GLPnMjzl8cA/edit?usp=share_link"",""ลำพูน!J803"")+IMPORTRANGE(""https://docs.google.com/spreadsheets/d/17HrOaa5pBUI1onckFfumXB8xlg35qb2uBAFfF1D-Myo/edit?usp=shar"&amp;"e_link"",""สุโขทัย!J803"")+IMPORTRANGE(""https://docs.google.com/spreadsheets/d/1ubs5cl16eYL9gHbdHTJtmtYb9MGzHBs7CAphn8kNCgM/edit?usp=share_link"",""อุตรดิตถ์!J803"")+IMPORTRANGE(""https://docs.google.com/spreadsheets/d/1kII0BjS6CtVrBvI8IrytgPdxDrlyQDyigz"&amp;"MsohRtDMs/edit?usp=share_link"",""อุทัยธานี!J803"")
"),33828)</f>
        <v>33828</v>
      </c>
      <c r="K803" s="321">
        <f t="shared" ref="K803:K804" ca="1" si="372">IF(I803&gt;0,J803*100/I803,0)</f>
        <v>27.502439024390245</v>
      </c>
      <c r="L803" s="321"/>
      <c r="M803" s="321"/>
      <c r="N803" s="321"/>
      <c r="O803" s="321"/>
      <c r="P803" s="321"/>
      <c r="Q803" s="784"/>
      <c r="R803" s="784"/>
      <c r="S803" s="784"/>
      <c r="T803" s="784"/>
      <c r="U803" s="784"/>
      <c r="V803" s="784"/>
      <c r="W803" s="784"/>
      <c r="X803" s="784"/>
      <c r="Y803" s="784"/>
      <c r="Z803" s="784"/>
    </row>
    <row r="804" spans="1:26" ht="19.5" hidden="1">
      <c r="A804" s="759">
        <v>13</v>
      </c>
      <c r="B804" s="760" t="s">
        <v>322</v>
      </c>
      <c r="C804" s="761"/>
      <c r="D804" s="785"/>
      <c r="E804" s="761"/>
      <c r="F804" s="761"/>
      <c r="G804" s="762"/>
      <c r="H804" s="763" t="s">
        <v>46</v>
      </c>
      <c r="I804" s="764"/>
      <c r="J804" s="764">
        <f>J819</f>
        <v>0</v>
      </c>
      <c r="K804" s="765">
        <f t="shared" si="372"/>
        <v>0</v>
      </c>
      <c r="L804" s="766"/>
      <c r="M804" s="766"/>
      <c r="N804" s="766"/>
      <c r="O804" s="766"/>
      <c r="P804" s="766"/>
      <c r="Q804" s="569"/>
      <c r="R804" s="569"/>
      <c r="S804" s="569"/>
      <c r="T804" s="569"/>
      <c r="U804" s="569"/>
      <c r="V804" s="569"/>
      <c r="W804" s="569"/>
      <c r="X804" s="569"/>
      <c r="Y804" s="569"/>
      <c r="Z804" s="569"/>
    </row>
    <row r="805" spans="1:26" ht="19.5" hidden="1">
      <c r="A805" s="564"/>
      <c r="B805" s="565"/>
      <c r="C805" s="565" t="s">
        <v>16</v>
      </c>
      <c r="D805" s="1489" t="s">
        <v>17</v>
      </c>
      <c r="E805" s="1485"/>
      <c r="F805" s="1485"/>
      <c r="G805" s="568"/>
      <c r="H805" s="612" t="s">
        <v>12</v>
      </c>
      <c r="I805" s="44"/>
      <c r="J805" s="44"/>
      <c r="K805" s="45"/>
      <c r="L805" s="613">
        <f t="shared" ref="L805:N805" si="373">L806+L807</f>
        <v>0</v>
      </c>
      <c r="M805" s="613">
        <f t="shared" si="373"/>
        <v>0</v>
      </c>
      <c r="N805" s="613">
        <f t="shared" si="373"/>
        <v>0</v>
      </c>
      <c r="O805" s="613">
        <f t="shared" ref="O805:O810" si="374">IF(L805&gt;0,N805*100/L805,0)</f>
        <v>0</v>
      </c>
      <c r="P805" s="613">
        <f t="shared" ref="P805:P810" si="375">IF(M805&gt;0,N805*100/M805,0)</f>
        <v>0</v>
      </c>
      <c r="Q805" s="569"/>
      <c r="R805" s="569"/>
      <c r="S805" s="569"/>
      <c r="T805" s="569"/>
      <c r="U805" s="569"/>
      <c r="V805" s="569"/>
      <c r="W805" s="569"/>
      <c r="X805" s="569"/>
      <c r="Y805" s="569"/>
      <c r="Z805" s="569"/>
    </row>
    <row r="806" spans="1:26" ht="18.75" hidden="1">
      <c r="A806" s="564"/>
      <c r="B806" s="565"/>
      <c r="C806" s="565"/>
      <c r="D806" s="580"/>
      <c r="E806" s="567" t="s">
        <v>184</v>
      </c>
      <c r="F806" s="565"/>
      <c r="G806" s="568"/>
      <c r="H806" s="165" t="s">
        <v>12</v>
      </c>
      <c r="I806" s="44"/>
      <c r="J806" s="44"/>
      <c r="K806" s="45"/>
      <c r="L806" s="45">
        <f t="shared" ref="L806:N806" si="376">L809+L816</f>
        <v>0</v>
      </c>
      <c r="M806" s="45">
        <f t="shared" si="376"/>
        <v>0</v>
      </c>
      <c r="N806" s="45">
        <f t="shared" si="376"/>
        <v>0</v>
      </c>
      <c r="O806" s="45">
        <f t="shared" si="374"/>
        <v>0</v>
      </c>
      <c r="P806" s="45">
        <f t="shared" si="375"/>
        <v>0</v>
      </c>
      <c r="Q806" s="569"/>
      <c r="R806" s="569"/>
      <c r="S806" s="569"/>
      <c r="T806" s="569"/>
      <c r="U806" s="569"/>
      <c r="V806" s="569"/>
      <c r="W806" s="569"/>
      <c r="X806" s="569"/>
      <c r="Y806" s="569"/>
      <c r="Z806" s="569"/>
    </row>
    <row r="807" spans="1:26" ht="18.75" hidden="1">
      <c r="A807" s="564"/>
      <c r="B807" s="565"/>
      <c r="C807" s="565"/>
      <c r="D807" s="580"/>
      <c r="E807" s="567" t="s">
        <v>185</v>
      </c>
      <c r="F807" s="565"/>
      <c r="G807" s="568"/>
      <c r="H807" s="165" t="s">
        <v>12</v>
      </c>
      <c r="I807" s="44"/>
      <c r="J807" s="44"/>
      <c r="K807" s="45"/>
      <c r="L807" s="45">
        <f t="shared" ref="L807:N807" si="377">L810+L817</f>
        <v>0</v>
      </c>
      <c r="M807" s="45">
        <f t="shared" si="377"/>
        <v>0</v>
      </c>
      <c r="N807" s="45">
        <f t="shared" si="377"/>
        <v>0</v>
      </c>
      <c r="O807" s="45">
        <f t="shared" si="374"/>
        <v>0</v>
      </c>
      <c r="P807" s="45">
        <f t="shared" si="375"/>
        <v>0</v>
      </c>
      <c r="Q807" s="569"/>
      <c r="R807" s="569"/>
      <c r="S807" s="569"/>
      <c r="T807" s="569"/>
      <c r="U807" s="569"/>
      <c r="V807" s="569"/>
      <c r="W807" s="569"/>
      <c r="X807" s="569"/>
      <c r="Y807" s="569"/>
      <c r="Z807" s="569"/>
    </row>
    <row r="808" spans="1:26" ht="19.5" hidden="1">
      <c r="A808" s="564"/>
      <c r="B808" s="570"/>
      <c r="C808" s="565"/>
      <c r="D808" s="1488" t="s">
        <v>20</v>
      </c>
      <c r="E808" s="1485"/>
      <c r="F808" s="1485"/>
      <c r="G808" s="568"/>
      <c r="H808" s="612" t="s">
        <v>12</v>
      </c>
      <c r="I808" s="166"/>
      <c r="J808" s="166"/>
      <c r="K808" s="167"/>
      <c r="L808" s="613">
        <f t="shared" ref="L808:N808" si="378">L809+L810</f>
        <v>0</v>
      </c>
      <c r="M808" s="613">
        <f t="shared" si="378"/>
        <v>0</v>
      </c>
      <c r="N808" s="613">
        <f t="shared" si="378"/>
        <v>0</v>
      </c>
      <c r="O808" s="613">
        <f t="shared" si="374"/>
        <v>0</v>
      </c>
      <c r="P808" s="613">
        <f t="shared" si="375"/>
        <v>0</v>
      </c>
      <c r="Q808" s="569"/>
      <c r="R808" s="569"/>
      <c r="S808" s="569"/>
      <c r="T808" s="569"/>
      <c r="U808" s="569"/>
      <c r="V808" s="569"/>
      <c r="W808" s="569"/>
      <c r="X808" s="569"/>
      <c r="Y808" s="569"/>
      <c r="Z808" s="569"/>
    </row>
    <row r="809" spans="1:26" ht="18.75" hidden="1">
      <c r="A809" s="564"/>
      <c r="B809" s="565"/>
      <c r="C809" s="565"/>
      <c r="D809" s="580"/>
      <c r="E809" s="567" t="s">
        <v>184</v>
      </c>
      <c r="F809" s="565"/>
      <c r="G809" s="568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4"/>
        <v>0</v>
      </c>
      <c r="P809" s="45">
        <f t="shared" si="375"/>
        <v>0</v>
      </c>
      <c r="Q809" s="569"/>
      <c r="R809" s="569"/>
      <c r="S809" s="569"/>
      <c r="T809" s="569"/>
      <c r="U809" s="569"/>
      <c r="V809" s="569"/>
      <c r="W809" s="569"/>
      <c r="X809" s="569"/>
      <c r="Y809" s="569"/>
      <c r="Z809" s="569"/>
    </row>
    <row r="810" spans="1:26" ht="18.75" hidden="1">
      <c r="A810" s="564"/>
      <c r="B810" s="565"/>
      <c r="C810" s="565"/>
      <c r="D810" s="580"/>
      <c r="E810" s="567" t="s">
        <v>185</v>
      </c>
      <c r="F810" s="565"/>
      <c r="G810" s="568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4"/>
        <v>0</v>
      </c>
      <c r="P810" s="45">
        <f t="shared" si="375"/>
        <v>0</v>
      </c>
      <c r="Q810" s="569"/>
      <c r="R810" s="569"/>
      <c r="S810" s="569"/>
      <c r="T810" s="569"/>
      <c r="U810" s="569"/>
      <c r="V810" s="569"/>
      <c r="W810" s="569"/>
      <c r="X810" s="569"/>
      <c r="Y810" s="569"/>
      <c r="Z810" s="569"/>
    </row>
    <row r="811" spans="1:26" ht="18.75" hidden="1">
      <c r="A811" s="615"/>
      <c r="B811" s="570"/>
      <c r="C811" s="565"/>
      <c r="D811" s="570"/>
      <c r="E811" s="565"/>
      <c r="F811" s="567" t="s">
        <v>186</v>
      </c>
      <c r="G811" s="568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69"/>
      <c r="R811" s="569"/>
      <c r="S811" s="569"/>
      <c r="T811" s="569"/>
      <c r="U811" s="569"/>
      <c r="V811" s="569"/>
      <c r="W811" s="569"/>
      <c r="X811" s="569"/>
      <c r="Y811" s="569"/>
      <c r="Z811" s="569"/>
    </row>
    <row r="812" spans="1:26" ht="18.75" hidden="1">
      <c r="A812" s="615"/>
      <c r="B812" s="570"/>
      <c r="C812" s="565"/>
      <c r="D812" s="570"/>
      <c r="E812" s="565"/>
      <c r="F812" s="567" t="s">
        <v>187</v>
      </c>
      <c r="G812" s="568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69"/>
      <c r="R812" s="569"/>
      <c r="S812" s="569"/>
      <c r="T812" s="569"/>
      <c r="U812" s="569"/>
      <c r="V812" s="569"/>
      <c r="W812" s="569"/>
      <c r="X812" s="569"/>
      <c r="Y812" s="569"/>
      <c r="Z812" s="569"/>
    </row>
    <row r="813" spans="1:26" ht="18.75" hidden="1">
      <c r="A813" s="615"/>
      <c r="B813" s="570"/>
      <c r="C813" s="565"/>
      <c r="D813" s="570"/>
      <c r="E813" s="565"/>
      <c r="F813" s="567" t="s">
        <v>188</v>
      </c>
      <c r="G813" s="568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69"/>
      <c r="R813" s="569"/>
      <c r="S813" s="569"/>
      <c r="T813" s="569"/>
      <c r="U813" s="569"/>
      <c r="V813" s="569"/>
      <c r="W813" s="569"/>
      <c r="X813" s="569"/>
      <c r="Y813" s="569"/>
      <c r="Z813" s="569"/>
    </row>
    <row r="814" spans="1:26" ht="18.75" hidden="1">
      <c r="A814" s="615"/>
      <c r="B814" s="570"/>
      <c r="C814" s="565"/>
      <c r="D814" s="570"/>
      <c r="E814" s="565"/>
      <c r="F814" s="567" t="s">
        <v>189</v>
      </c>
      <c r="G814" s="568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69"/>
      <c r="R814" s="569"/>
      <c r="S814" s="569"/>
      <c r="T814" s="569"/>
      <c r="U814" s="569"/>
      <c r="V814" s="569"/>
      <c r="W814" s="569"/>
      <c r="X814" s="569"/>
      <c r="Y814" s="569"/>
      <c r="Z814" s="569"/>
    </row>
    <row r="815" spans="1:26" ht="19.5" hidden="1">
      <c r="A815" s="564"/>
      <c r="B815" s="570"/>
      <c r="C815" s="565"/>
      <c r="D815" s="1488" t="s">
        <v>21</v>
      </c>
      <c r="E815" s="1485"/>
      <c r="F815" s="1485"/>
      <c r="G815" s="568"/>
      <c r="H815" s="749" t="s">
        <v>12</v>
      </c>
      <c r="I815" s="166"/>
      <c r="J815" s="166"/>
      <c r="K815" s="167"/>
      <c r="L815" s="613">
        <f t="shared" ref="L815:N815" si="379">L816+L817</f>
        <v>0</v>
      </c>
      <c r="M815" s="613">
        <f t="shared" si="379"/>
        <v>0</v>
      </c>
      <c r="N815" s="613">
        <f t="shared" si="379"/>
        <v>0</v>
      </c>
      <c r="O815" s="613">
        <f t="shared" ref="O815:O817" si="380">IF(L815&gt;0,N815*100/L815,0)</f>
        <v>0</v>
      </c>
      <c r="P815" s="613">
        <f t="shared" ref="P815:P817" si="381">IF(M815&gt;0,N815*100/M815,0)</f>
        <v>0</v>
      </c>
      <c r="Q815" s="569"/>
      <c r="R815" s="569"/>
      <c r="S815" s="569"/>
      <c r="T815" s="569"/>
      <c r="U815" s="569"/>
      <c r="V815" s="569"/>
      <c r="W815" s="569"/>
      <c r="X815" s="569"/>
      <c r="Y815" s="569"/>
      <c r="Z815" s="569"/>
    </row>
    <row r="816" spans="1:26" ht="18.75" hidden="1">
      <c r="A816" s="564"/>
      <c r="B816" s="570"/>
      <c r="C816" s="565"/>
      <c r="D816" s="570"/>
      <c r="E816" s="567" t="s">
        <v>18</v>
      </c>
      <c r="F816" s="565"/>
      <c r="G816" s="56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80"/>
        <v>0</v>
      </c>
      <c r="P816" s="45">
        <f t="shared" si="381"/>
        <v>0</v>
      </c>
      <c r="Q816" s="569"/>
      <c r="R816" s="569"/>
      <c r="S816" s="569"/>
      <c r="T816" s="569"/>
      <c r="U816" s="569"/>
      <c r="V816" s="569"/>
      <c r="W816" s="569"/>
      <c r="X816" s="569"/>
      <c r="Y816" s="569"/>
      <c r="Z816" s="569"/>
    </row>
    <row r="817" spans="1:26" ht="18.75" hidden="1">
      <c r="A817" s="564"/>
      <c r="B817" s="570"/>
      <c r="C817" s="565"/>
      <c r="D817" s="570"/>
      <c r="E817" s="567" t="s">
        <v>19</v>
      </c>
      <c r="F817" s="565"/>
      <c r="G817" s="56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80"/>
        <v>0</v>
      </c>
      <c r="P817" s="45">
        <f t="shared" si="381"/>
        <v>0</v>
      </c>
      <c r="Q817" s="569"/>
      <c r="R817" s="569"/>
      <c r="S817" s="569"/>
      <c r="T817" s="569"/>
      <c r="U817" s="569"/>
      <c r="V817" s="569"/>
      <c r="W817" s="569"/>
      <c r="X817" s="569"/>
      <c r="Y817" s="569"/>
      <c r="Z817" s="569"/>
    </row>
    <row r="818" spans="1:26" ht="19.5" hidden="1">
      <c r="A818" s="579"/>
      <c r="B818" s="580"/>
      <c r="C818" s="565" t="s">
        <v>16</v>
      </c>
      <c r="D818" s="786" t="s">
        <v>38</v>
      </c>
      <c r="E818" s="617"/>
      <c r="F818" s="617"/>
      <c r="G818" s="618"/>
      <c r="H818" s="582"/>
      <c r="I818" s="166"/>
      <c r="J818" s="166"/>
      <c r="K818" s="167"/>
      <c r="L818" s="167"/>
      <c r="M818" s="167"/>
      <c r="N818" s="167"/>
      <c r="O818" s="167"/>
      <c r="P818" s="167"/>
      <c r="Q818" s="569"/>
      <c r="R818" s="569"/>
      <c r="S818" s="569"/>
      <c r="T818" s="569"/>
      <c r="U818" s="569"/>
      <c r="V818" s="569"/>
      <c r="W818" s="569"/>
      <c r="X818" s="569"/>
      <c r="Y818" s="569"/>
      <c r="Z818" s="569"/>
    </row>
    <row r="819" spans="1:26" ht="18.75" hidden="1">
      <c r="A819" s="787"/>
      <c r="B819" s="788"/>
      <c r="C819" s="789"/>
      <c r="D819" s="788"/>
      <c r="E819" s="790" t="s">
        <v>323</v>
      </c>
      <c r="F819" s="789"/>
      <c r="G819" s="791"/>
      <c r="H819" s="792" t="s">
        <v>46</v>
      </c>
      <c r="I819" s="793"/>
      <c r="J819" s="793"/>
      <c r="K819" s="794"/>
      <c r="L819" s="794"/>
      <c r="M819" s="794"/>
      <c r="N819" s="794"/>
      <c r="O819" s="794"/>
      <c r="P819" s="794"/>
      <c r="Q819" s="569"/>
      <c r="R819" s="569"/>
      <c r="S819" s="569"/>
      <c r="T819" s="569"/>
      <c r="U819" s="569"/>
      <c r="V819" s="569"/>
      <c r="W819" s="569"/>
      <c r="X819" s="569"/>
      <c r="Y819" s="569"/>
      <c r="Z819" s="569"/>
    </row>
    <row r="820" spans="1:26" ht="19.5">
      <c r="A820" s="795" t="s">
        <v>324</v>
      </c>
      <c r="B820" s="796"/>
      <c r="C820" s="796"/>
      <c r="D820" s="797"/>
      <c r="E820" s="796"/>
      <c r="F820" s="796"/>
      <c r="G820" s="798"/>
      <c r="H820" s="799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215"/>
      <c r="J820" s="215"/>
      <c r="K820" s="800"/>
      <c r="L820" s="800"/>
      <c r="M820" s="800"/>
      <c r="N820" s="800"/>
      <c r="O820" s="800"/>
      <c r="P820" s="800"/>
      <c r="Q820" s="542"/>
      <c r="R820" s="542"/>
      <c r="S820" s="542"/>
      <c r="T820" s="542"/>
      <c r="U820" s="542"/>
      <c r="V820" s="542"/>
      <c r="W820" s="542"/>
      <c r="X820" s="542"/>
      <c r="Y820" s="542"/>
      <c r="Z820" s="542"/>
    </row>
    <row r="821" spans="1:26" ht="18.75">
      <c r="A821" s="710"/>
      <c r="B821" s="541" t="s">
        <v>325</v>
      </c>
      <c r="C821" s="540"/>
      <c r="D821" s="539"/>
      <c r="E821" s="540"/>
      <c r="F821" s="540"/>
      <c r="G821" s="189"/>
      <c r="H821" s="36" t="s">
        <v>12</v>
      </c>
      <c r="I821" s="37">
        <f ca="1">IFERROR(__xludf.DUMMYFUNCTION("IMPORTRANGE(""https://docs.google.com/spreadsheets/d/1KxicF4apzSqm0-jIpmueT4kyZtE-Cwn5zskl7GD4loQ/edit?usp=share_link"",""กำแพงเพชร!I821"")+IMPORTRANGE(""https://docs.google.com/spreadsheets/d/1ZNYWeiFoFA1K1U4xKWqRX29MBvEyRHXORjo734Gnq_c/edit?usp=share_li"&amp;"nk"",""เชียงราย!I821"")
+IMPORTRANGE(""https://docs.google.com/spreadsheets/d/1Jgv0Y7YlHDtsiDawwp-uvifEJ8HVaSn0k2aGHG8-hwM/edit?usp=share_link"",""เชียงใหม่!I821"")+IMPORTRANGE(""https://docs.google.com/spreadsheets/d/1JWG2rZePOz9pe-f-ObA-yDr0VoOX2kSb0qIi"&amp;"x2mTUo8/edit?usp=share_link"",""ตาก!I821"")+IMPORTRANGE(""https://docs.google.com/spreadsheets/d/10nSRjK08hx8Y6HgSOQKNw81lyY46Zc7U_Cj72hBMp9U/edit?usp=share_link"",""นครสวรรค์!I821"")+IMPORTRANGE(""https://docs.google.com/spreadsheets/d/1gFVb7qd7amutrIxAA"&amp;"oM7lcy35hllxznovot8lyOfvDo/edit?usp=share_link"",""น่าน!I821"")+IMPORTRANGE(""https://docs.google.com/spreadsheets/d/1K0Aa9s-6EuHE5M0FG1F9aHLXRCOV917xvycTdLdct0w/edit?usp=share_link"",""พะเยา!I821"")+IMPORTRANGE(""https://docs.google.com/spreadsheets/d/1Y"&amp;"9LPKx95PyL5OKy09d-KbKJSuuEZCFdkhYjwC0XQjBA/edit?usp=share_link"",""พิจิตร!I821"")+IMPORTRANGE(""https://docs.google.com/spreadsheets/d/16OMuOwy2eVqZcYWOouQtTpa8X1L23h4660uVHc0C8os/edit?usp=share_link"",""พิษณุโลก!I821"")+IMPORTRANGE(""https://docs.google."&amp;"com/spreadsheets/d/1GfgTldLG6k77HXaMQzaafODklYuucJZQNs_GAPEfZyY/edit?usp=share_link"",""เพชรบูรณ์!I821"")+IMPORTRANGE(""https://docs.google.com/spreadsheets/d/1gvTMYAnm7v1yG1BKWFtr0DnaTsq59oW9dwWvFgq6hs0/edit?usp=share_link"",""แพร่!I821"")+IMPORTRANGE("""&amp;"https://docs.google.com/spreadsheets/d/1Wbcosgy-Xa1xXUArJSOenub6EfZHUSzc_bpJFWwQUf0/edit?usp=share_link"",""แม่ฮ่องสอน!I821"")+IMPORTRANGE(""https://docs.google.com/spreadsheets/d/1p7ERhsr0qZeSn-KSOdeHS9r0heI-lHtkcn2OH7hP0jQ/edit?usp=share_link"",""ลำปาง!"&amp;"I821"")+IMPORTRANGE(""https://docs.google.com/spreadsheets/d/1-uUXvimVhiU2U0bMN-xi2te0tS4X7DI2GLPnMjzl8cA/edit?usp=share_link"",""ลำพูน!I821"")+IMPORTRANGE(""https://docs.google.com/spreadsheets/d/17HrOaa5pBUI1onckFfumXB8xlg35qb2uBAFfF1D-Myo/edit?usp=shar"&amp;"e_link"",""สุโขทัย!I821"")+IMPORTRANGE(""https://docs.google.com/spreadsheets/d/1ubs5cl16eYL9gHbdHTJtmtYb9MGzHBs7CAphn8kNCgM/edit?usp=share_link"",""อุตรดิตถ์!I821"")+IMPORTRANGE(""https://docs.google.com/spreadsheets/d/1kII0BjS6CtVrBvI8IrytgPdxDrlyQDyigz"&amp;"MsohRtDMs/edit?usp=share_link"",""อุทัยธานี!I821"")
"),93627448.35)</f>
        <v>93627448.349999994</v>
      </c>
      <c r="J821" s="37">
        <f ca="1">IFERROR(__xludf.DUMMYFUNCTION("IMPORTRANGE(""https://docs.google.com/spreadsheets/d/1KxicF4apzSqm0-jIpmueT4kyZtE-Cwn5zskl7GD4loQ/edit?usp=share_link"",""กำแพงเพชร!J821"")+IMPORTRANGE(""https://docs.google.com/spreadsheets/d/1ZNYWeiFoFA1K1U4xKWqRX29MBvEyRHXORjo734Gnq_c/edit?usp=share_li"&amp;"nk"",""เชียงราย!J821"")
+IMPORTRANGE(""https://docs.google.com/spreadsheets/d/1Jgv0Y7YlHDtsiDawwp-uvifEJ8HVaSn0k2aGHG8-hwM/edit?usp=share_link"",""เชียงใหม่!J821"")+IMPORTRANGE(""https://docs.google.com/spreadsheets/d/1JWG2rZePOz9pe-f-ObA-yDr0VoOX2kSb0qIi"&amp;"x2mTUo8/edit?usp=share_link"",""ตาก!J821"")+IMPORTRANGE(""https://docs.google.com/spreadsheets/d/10nSRjK08hx8Y6HgSOQKNw81lyY46Zc7U_Cj72hBMp9U/edit?usp=share_link"",""นครสวรรค์!J821"")+IMPORTRANGE(""https://docs.google.com/spreadsheets/d/1gFVb7qd7amutrIxAA"&amp;"oM7lcy35hllxznovot8lyOfvDo/edit?usp=share_link"",""น่าน!J821"")+IMPORTRANGE(""https://docs.google.com/spreadsheets/d/1K0Aa9s-6EuHE5M0FG1F9aHLXRCOV917xvycTdLdct0w/edit?usp=share_link"",""พะเยา!J821"")+IMPORTRANGE(""https://docs.google.com/spreadsheets/d/1Y"&amp;"9LPKx95PyL5OKy09d-KbKJSuuEZCFdkhYjwC0XQjBA/edit?usp=share_link"",""พิจิตร!J821"")+IMPORTRANGE(""https://docs.google.com/spreadsheets/d/16OMuOwy2eVqZcYWOouQtTpa8X1L23h4660uVHc0C8os/edit?usp=share_link"",""พิษณุโลก!J821"")+IMPORTRANGE(""https://docs.google."&amp;"com/spreadsheets/d/1GfgTldLG6k77HXaMQzaafODklYuucJZQNs_GAPEfZyY/edit?usp=share_link"",""เพชรบูรณ์!J821"")+IMPORTRANGE(""https://docs.google.com/spreadsheets/d/1gvTMYAnm7v1yG1BKWFtr0DnaTsq59oW9dwWvFgq6hs0/edit?usp=share_link"",""แพร่!J821"")+IMPORTRANGE("""&amp;"https://docs.google.com/spreadsheets/d/1Wbcosgy-Xa1xXUArJSOenub6EfZHUSzc_bpJFWwQUf0/edit?usp=share_link"",""แม่ฮ่องสอน!J821"")+IMPORTRANGE(""https://docs.google.com/spreadsheets/d/1p7ERhsr0qZeSn-KSOdeHS9r0heI-lHtkcn2OH7hP0jQ/edit?usp=share_link"",""ลำปาง!"&amp;"J821"")+IMPORTRANGE(""https://docs.google.com/spreadsheets/d/1-uUXvimVhiU2U0bMN-xi2te0tS4X7DI2GLPnMjzl8cA/edit?usp=share_link"",""ลำพูน!J821"")+IMPORTRANGE(""https://docs.google.com/spreadsheets/d/17HrOaa5pBUI1onckFfumXB8xlg35qb2uBAFfF1D-Myo/edit?usp=shar"&amp;"e_link"",""สุโขทัย!J821"")+IMPORTRANGE(""https://docs.google.com/spreadsheets/d/1ubs5cl16eYL9gHbdHTJtmtYb9MGzHBs7CAphn8kNCgM/edit?usp=share_link"",""อุตรดิตถ์!J821"")+IMPORTRANGE(""https://docs.google.com/spreadsheets/d/1kII0BjS6CtVrBvI8IrytgPdxDrlyQDyigz"&amp;"MsohRtDMs/edit?usp=share_link"",""อุทัยธานี!J821"")
"),37467036.68)</f>
        <v>37467036.68</v>
      </c>
      <c r="K821" s="38">
        <f t="shared" ref="K821:K828" ca="1" si="382">IF(I821&gt;0,J821*100/I821,0)</f>
        <v>40.01715024843994</v>
      </c>
      <c r="L821" s="38"/>
      <c r="M821" s="38"/>
      <c r="N821" s="38"/>
      <c r="O821" s="38"/>
      <c r="P821" s="38"/>
      <c r="Q821" s="542"/>
      <c r="R821" s="542"/>
      <c r="S821" s="542"/>
      <c r="T821" s="542"/>
      <c r="U821" s="542"/>
      <c r="V821" s="542"/>
      <c r="W821" s="542"/>
      <c r="X821" s="542"/>
      <c r="Y821" s="542"/>
      <c r="Z821" s="542"/>
    </row>
    <row r="822" spans="1:26" ht="18.75">
      <c r="A822" s="710"/>
      <c r="B822" s="540"/>
      <c r="C822" s="540"/>
      <c r="D822" s="539"/>
      <c r="E822" s="540"/>
      <c r="F822" s="540"/>
      <c r="G822" s="189"/>
      <c r="H822" s="36" t="s">
        <v>35</v>
      </c>
      <c r="I822" s="37">
        <f ca="1">IFERROR(__xludf.DUMMYFUNCTION("IMPORTRANGE(""https://docs.google.com/spreadsheets/d/1KxicF4apzSqm0-jIpmueT4kyZtE-Cwn5zskl7GD4loQ/edit?usp=share_link"",""กำแพงเพชร!I822"")+IMPORTRANGE(""https://docs.google.com/spreadsheets/d/1ZNYWeiFoFA1K1U4xKWqRX29MBvEyRHXORjo734Gnq_c/edit?usp=share_li"&amp;"nk"",""เชียงราย!I822"")
+IMPORTRANGE(""https://docs.google.com/spreadsheets/d/1Jgv0Y7YlHDtsiDawwp-uvifEJ8HVaSn0k2aGHG8-hwM/edit?usp=share_link"",""เชียงใหม่!I822"")+IMPORTRANGE(""https://docs.google.com/spreadsheets/d/1JWG2rZePOz9pe-f-ObA-yDr0VoOX2kSb0qIi"&amp;"x2mTUo8/edit?usp=share_link"",""ตาก!I822"")+IMPORTRANGE(""https://docs.google.com/spreadsheets/d/10nSRjK08hx8Y6HgSOQKNw81lyY46Zc7U_Cj72hBMp9U/edit?usp=share_link"",""นครสวรรค์!I822"")+IMPORTRANGE(""https://docs.google.com/spreadsheets/d/1gFVb7qd7amutrIxAA"&amp;"oM7lcy35hllxznovot8lyOfvDo/edit?usp=share_link"",""น่าน!I822"")+IMPORTRANGE(""https://docs.google.com/spreadsheets/d/1K0Aa9s-6EuHE5M0FG1F9aHLXRCOV917xvycTdLdct0w/edit?usp=share_link"",""พะเยา!I822"")+IMPORTRANGE(""https://docs.google.com/spreadsheets/d/1Y"&amp;"9LPKx95PyL5OKy09d-KbKJSuuEZCFdkhYjwC0XQjBA/edit?usp=share_link"",""พิจิตร!I822"")+IMPORTRANGE(""https://docs.google.com/spreadsheets/d/16OMuOwy2eVqZcYWOouQtTpa8X1L23h4660uVHc0C8os/edit?usp=share_link"",""พิษณุโลก!I822"")+IMPORTRANGE(""https://docs.google."&amp;"com/spreadsheets/d/1GfgTldLG6k77HXaMQzaafODklYuucJZQNs_GAPEfZyY/edit?usp=share_link"",""เพชรบูรณ์!I822"")+IMPORTRANGE(""https://docs.google.com/spreadsheets/d/1gvTMYAnm7v1yG1BKWFtr0DnaTsq59oW9dwWvFgq6hs0/edit?usp=share_link"",""แพร่!I822"")+IMPORTRANGE("""&amp;"https://docs.google.com/spreadsheets/d/1Wbcosgy-Xa1xXUArJSOenub6EfZHUSzc_bpJFWwQUf0/edit?usp=share_link"",""แม่ฮ่องสอน!I822"")+IMPORTRANGE(""https://docs.google.com/spreadsheets/d/1p7ERhsr0qZeSn-KSOdeHS9r0heI-lHtkcn2OH7hP0jQ/edit?usp=share_link"",""ลำปาง!"&amp;"I822"")+IMPORTRANGE(""https://docs.google.com/spreadsheets/d/1-uUXvimVhiU2U0bMN-xi2te0tS4X7DI2GLPnMjzl8cA/edit?usp=share_link"",""ลำพูน!I822"")+IMPORTRANGE(""https://docs.google.com/spreadsheets/d/17HrOaa5pBUI1onckFfumXB8xlg35qb2uBAFfF1D-Myo/edit?usp=shar"&amp;"e_link"",""สุโขทัย!I822"")+IMPORTRANGE(""https://docs.google.com/spreadsheets/d/1ubs5cl16eYL9gHbdHTJtmtYb9MGzHBs7CAphn8kNCgM/edit?usp=share_link"",""อุตรดิตถ์!I822"")+IMPORTRANGE(""https://docs.google.com/spreadsheets/d/1kII0BjS6CtVrBvI8IrytgPdxDrlyQDyigz"&amp;"MsohRtDMs/edit?usp=share_link"",""อุทัยธานี!I822"")
"),4449)</f>
        <v>4449</v>
      </c>
      <c r="J822" s="37">
        <f ca="1">IFERROR(__xludf.DUMMYFUNCTION("IMPORTRANGE(""https://docs.google.com/spreadsheets/d/1KxicF4apzSqm0-jIpmueT4kyZtE-Cwn5zskl7GD4loQ/edit?usp=share_link"",""กำแพงเพชร!J822"")+IMPORTRANGE(""https://docs.google.com/spreadsheets/d/1ZNYWeiFoFA1K1U4xKWqRX29MBvEyRHXORjo734Gnq_c/edit?usp=share_li"&amp;"nk"",""เชียงราย!J822"")
+IMPORTRANGE(""https://docs.google.com/spreadsheets/d/1Jgv0Y7YlHDtsiDawwp-uvifEJ8HVaSn0k2aGHG8-hwM/edit?usp=share_link"",""เชียงใหม่!J822"")+IMPORTRANGE(""https://docs.google.com/spreadsheets/d/1JWG2rZePOz9pe-f-ObA-yDr0VoOX2kSb0qIi"&amp;"x2mTUo8/edit?usp=share_link"",""ตาก!J822"")+IMPORTRANGE(""https://docs.google.com/spreadsheets/d/10nSRjK08hx8Y6HgSOQKNw81lyY46Zc7U_Cj72hBMp9U/edit?usp=share_link"",""นครสวรรค์!J822"")+IMPORTRANGE(""https://docs.google.com/spreadsheets/d/1gFVb7qd7amutrIxAA"&amp;"oM7lcy35hllxznovot8lyOfvDo/edit?usp=share_link"",""น่าน!J822"")+IMPORTRANGE(""https://docs.google.com/spreadsheets/d/1K0Aa9s-6EuHE5M0FG1F9aHLXRCOV917xvycTdLdct0w/edit?usp=share_link"",""พะเยา!J822"")+IMPORTRANGE(""https://docs.google.com/spreadsheets/d/1Y"&amp;"9LPKx95PyL5OKy09d-KbKJSuuEZCFdkhYjwC0XQjBA/edit?usp=share_link"",""พิจิตร!J822"")+IMPORTRANGE(""https://docs.google.com/spreadsheets/d/16OMuOwy2eVqZcYWOouQtTpa8X1L23h4660uVHc0C8os/edit?usp=share_link"",""พิษณุโลก!J822"")+IMPORTRANGE(""https://docs.google."&amp;"com/spreadsheets/d/1GfgTldLG6k77HXaMQzaafODklYuucJZQNs_GAPEfZyY/edit?usp=share_link"",""เพชรบูรณ์!J822"")+IMPORTRANGE(""https://docs.google.com/spreadsheets/d/1gvTMYAnm7v1yG1BKWFtr0DnaTsq59oW9dwWvFgq6hs0/edit?usp=share_link"",""แพร่!J822"")+IMPORTRANGE("""&amp;"https://docs.google.com/spreadsheets/d/1Wbcosgy-Xa1xXUArJSOenub6EfZHUSzc_bpJFWwQUf0/edit?usp=share_link"",""แม่ฮ่องสอน!J822"")+IMPORTRANGE(""https://docs.google.com/spreadsheets/d/1p7ERhsr0qZeSn-KSOdeHS9r0heI-lHtkcn2OH7hP0jQ/edit?usp=share_link"",""ลำปาง!"&amp;"J822"")+IMPORTRANGE(""https://docs.google.com/spreadsheets/d/1-uUXvimVhiU2U0bMN-xi2te0tS4X7DI2GLPnMjzl8cA/edit?usp=share_link"",""ลำพูน!J822"")+IMPORTRANGE(""https://docs.google.com/spreadsheets/d/17HrOaa5pBUI1onckFfumXB8xlg35qb2uBAFfF1D-Myo/edit?usp=shar"&amp;"e_link"",""สุโขทัย!J822"")+IMPORTRANGE(""https://docs.google.com/spreadsheets/d/1ubs5cl16eYL9gHbdHTJtmtYb9MGzHBs7CAphn8kNCgM/edit?usp=share_link"",""อุตรดิตถ์!J822"")+IMPORTRANGE(""https://docs.google.com/spreadsheets/d/1kII0BjS6CtVrBvI8IrytgPdxDrlyQDyigz"&amp;"MsohRtDMs/edit?usp=share_link"",""อุทัยธานี!J822"")
"),2015)</f>
        <v>2015</v>
      </c>
      <c r="K822" s="38">
        <f t="shared" ca="1" si="382"/>
        <v>45.291076646437403</v>
      </c>
      <c r="L822" s="38"/>
      <c r="M822" s="38"/>
      <c r="N822" s="38"/>
      <c r="O822" s="38"/>
      <c r="P822" s="38"/>
      <c r="Q822" s="542"/>
      <c r="R822" s="542"/>
      <c r="S822" s="542"/>
      <c r="T822" s="542"/>
      <c r="U822" s="542"/>
      <c r="V822" s="542"/>
      <c r="W822" s="542"/>
      <c r="X822" s="542"/>
      <c r="Y822" s="542"/>
      <c r="Z822" s="542"/>
    </row>
    <row r="823" spans="1:26" ht="18.75">
      <c r="A823" s="710"/>
      <c r="B823" s="541" t="s">
        <v>326</v>
      </c>
      <c r="C823" s="540"/>
      <c r="D823" s="539"/>
      <c r="E823" s="540"/>
      <c r="F823" s="540"/>
      <c r="G823" s="189"/>
      <c r="H823" s="36" t="s">
        <v>12</v>
      </c>
      <c r="I823" s="37">
        <f ca="1">IFERROR(__xludf.DUMMYFUNCTION("IMPORTRANGE(""https://docs.google.com/spreadsheets/d/1KxicF4apzSqm0-jIpmueT4kyZtE-Cwn5zskl7GD4loQ/edit?usp=share_link"",""กำแพงเพชร!I823"")+IMPORTRANGE(""https://docs.google.com/spreadsheets/d/1ZNYWeiFoFA1K1U4xKWqRX29MBvEyRHXORjo734Gnq_c/edit?usp=share_li"&amp;"nk"",""เชียงราย!I823"")
+IMPORTRANGE(""https://docs.google.com/spreadsheets/d/1Jgv0Y7YlHDtsiDawwp-uvifEJ8HVaSn0k2aGHG8-hwM/edit?usp=share_link"",""เชียงใหม่!I823"")+IMPORTRANGE(""https://docs.google.com/spreadsheets/d/1JWG2rZePOz9pe-f-ObA-yDr0VoOX2kSb0qIi"&amp;"x2mTUo8/edit?usp=share_link"",""ตาก!I823"")+IMPORTRANGE(""https://docs.google.com/spreadsheets/d/10nSRjK08hx8Y6HgSOQKNw81lyY46Zc7U_Cj72hBMp9U/edit?usp=share_link"",""นครสวรรค์!I823"")+IMPORTRANGE(""https://docs.google.com/spreadsheets/d/1gFVb7qd7amutrIxAA"&amp;"oM7lcy35hllxznovot8lyOfvDo/edit?usp=share_link"",""น่าน!I823"")+IMPORTRANGE(""https://docs.google.com/spreadsheets/d/1K0Aa9s-6EuHE5M0FG1F9aHLXRCOV917xvycTdLdct0w/edit?usp=share_link"",""พะเยา!I823"")+IMPORTRANGE(""https://docs.google.com/spreadsheets/d/1Y"&amp;"9LPKx95PyL5OKy09d-KbKJSuuEZCFdkhYjwC0XQjBA/edit?usp=share_link"",""พิจิตร!I823"")+IMPORTRANGE(""https://docs.google.com/spreadsheets/d/16OMuOwy2eVqZcYWOouQtTpa8X1L23h4660uVHc0C8os/edit?usp=share_link"",""พิษณุโลก!I823"")+IMPORTRANGE(""https://docs.google."&amp;"com/spreadsheets/d/1GfgTldLG6k77HXaMQzaafODklYuucJZQNs_GAPEfZyY/edit?usp=share_link"",""เพชรบูรณ์!I823"")+IMPORTRANGE(""https://docs.google.com/spreadsheets/d/1gvTMYAnm7v1yG1BKWFtr0DnaTsq59oW9dwWvFgq6hs0/edit?usp=share_link"",""แพร่!I823"")+IMPORTRANGE("""&amp;"https://docs.google.com/spreadsheets/d/1Wbcosgy-Xa1xXUArJSOenub6EfZHUSzc_bpJFWwQUf0/edit?usp=share_link"",""แม่ฮ่องสอน!I823"")+IMPORTRANGE(""https://docs.google.com/spreadsheets/d/1p7ERhsr0qZeSn-KSOdeHS9r0heI-lHtkcn2OH7hP0jQ/edit?usp=share_link"",""ลำปาง!"&amp;"I823"")+IMPORTRANGE(""https://docs.google.com/spreadsheets/d/1-uUXvimVhiU2U0bMN-xi2te0tS4X7DI2GLPnMjzl8cA/edit?usp=share_link"",""ลำพูน!I823"")+IMPORTRANGE(""https://docs.google.com/spreadsheets/d/17HrOaa5pBUI1onckFfumXB8xlg35qb2uBAFfF1D-Myo/edit?usp=shar"&amp;"e_link"",""สุโขทัย!I823"")+IMPORTRANGE(""https://docs.google.com/spreadsheets/d/1ubs5cl16eYL9gHbdHTJtmtYb9MGzHBs7CAphn8kNCgM/edit?usp=share_link"",""อุตรดิตถ์!I823"")+IMPORTRANGE(""https://docs.google.com/spreadsheets/d/1kII0BjS6CtVrBvI8IrytgPdxDrlyQDyigz"&amp;"MsohRtDMs/edit?usp=share_link"",""อุทัยธานี!I823"")
"),126388061.13)</f>
        <v>126388061.13</v>
      </c>
      <c r="J823" s="37">
        <f ca="1">IFERROR(__xludf.DUMMYFUNCTION("IMPORTRANGE(""https://docs.google.com/spreadsheets/d/1KxicF4apzSqm0-jIpmueT4kyZtE-Cwn5zskl7GD4loQ/edit?usp=share_link"",""กำแพงเพชร!J823"")+IMPORTRANGE(""https://docs.google.com/spreadsheets/d/1ZNYWeiFoFA1K1U4xKWqRX29MBvEyRHXORjo734Gnq_c/edit?usp=share_li"&amp;"nk"",""เชียงราย!J823"")
+IMPORTRANGE(""https://docs.google.com/spreadsheets/d/1Jgv0Y7YlHDtsiDawwp-uvifEJ8HVaSn0k2aGHG8-hwM/edit?usp=share_link"",""เชียงใหม่!J823"")+IMPORTRANGE(""https://docs.google.com/spreadsheets/d/1JWG2rZePOz9pe-f-ObA-yDr0VoOX2kSb0qIi"&amp;"x2mTUo8/edit?usp=share_link"",""ตาก!J823"")+IMPORTRANGE(""https://docs.google.com/spreadsheets/d/10nSRjK08hx8Y6HgSOQKNw81lyY46Zc7U_Cj72hBMp9U/edit?usp=share_link"",""นครสวรรค์!J823"")+IMPORTRANGE(""https://docs.google.com/spreadsheets/d/1gFVb7qd7amutrIxAA"&amp;"oM7lcy35hllxznovot8lyOfvDo/edit?usp=share_link"",""น่าน!J823"")+IMPORTRANGE(""https://docs.google.com/spreadsheets/d/1K0Aa9s-6EuHE5M0FG1F9aHLXRCOV917xvycTdLdct0w/edit?usp=share_link"",""พะเยา!J823"")+IMPORTRANGE(""https://docs.google.com/spreadsheets/d/1Y"&amp;"9LPKx95PyL5OKy09d-KbKJSuuEZCFdkhYjwC0XQjBA/edit?usp=share_link"",""พิจิตร!J823"")+IMPORTRANGE(""https://docs.google.com/spreadsheets/d/16OMuOwy2eVqZcYWOouQtTpa8X1L23h4660uVHc0C8os/edit?usp=share_link"",""พิษณุโลก!J823"")+IMPORTRANGE(""https://docs.google."&amp;"com/spreadsheets/d/1GfgTldLG6k77HXaMQzaafODklYuucJZQNs_GAPEfZyY/edit?usp=share_link"",""เพชรบูรณ์!J823"")+IMPORTRANGE(""https://docs.google.com/spreadsheets/d/1gvTMYAnm7v1yG1BKWFtr0DnaTsq59oW9dwWvFgq6hs0/edit?usp=share_link"",""แพร่!J823"")+IMPORTRANGE("""&amp;"https://docs.google.com/spreadsheets/d/1Wbcosgy-Xa1xXUArJSOenub6EfZHUSzc_bpJFWwQUf0/edit?usp=share_link"",""แม่ฮ่องสอน!J823"")+IMPORTRANGE(""https://docs.google.com/spreadsheets/d/1p7ERhsr0qZeSn-KSOdeHS9r0heI-lHtkcn2OH7hP0jQ/edit?usp=share_link"",""ลำปาง!"&amp;"J823"")+IMPORTRANGE(""https://docs.google.com/spreadsheets/d/1-uUXvimVhiU2U0bMN-xi2te0tS4X7DI2GLPnMjzl8cA/edit?usp=share_link"",""ลำพูน!J823"")+IMPORTRANGE(""https://docs.google.com/spreadsheets/d/17HrOaa5pBUI1onckFfumXB8xlg35qb2uBAFfF1D-Myo/edit?usp=shar"&amp;"e_link"",""สุโขทัย!J823"")+IMPORTRANGE(""https://docs.google.com/spreadsheets/d/1ubs5cl16eYL9gHbdHTJtmtYb9MGzHBs7CAphn8kNCgM/edit?usp=share_link"",""อุตรดิตถ์!J823"")+IMPORTRANGE(""https://docs.google.com/spreadsheets/d/1kII0BjS6CtVrBvI8IrytgPdxDrlyQDyigz"&amp;"MsohRtDMs/edit?usp=share_link"",""อุทัยธานี!J823"")
"),7426769.31999999)</f>
        <v>7426769.3199999901</v>
      </c>
      <c r="K823" s="38">
        <f t="shared" ca="1" si="382"/>
        <v>5.8761636610288512</v>
      </c>
      <c r="L823" s="38"/>
      <c r="M823" s="38"/>
      <c r="N823" s="38"/>
      <c r="O823" s="38"/>
      <c r="P823" s="38"/>
      <c r="Q823" s="542"/>
      <c r="R823" s="542"/>
      <c r="S823" s="542"/>
      <c r="T823" s="542"/>
      <c r="U823" s="542"/>
      <c r="V823" s="542"/>
      <c r="W823" s="542"/>
      <c r="X823" s="542"/>
      <c r="Y823" s="542"/>
      <c r="Z823" s="542"/>
    </row>
    <row r="824" spans="1:26" ht="18.75">
      <c r="A824" s="710"/>
      <c r="B824" s="540"/>
      <c r="C824" s="540"/>
      <c r="D824" s="539"/>
      <c r="E824" s="540"/>
      <c r="F824" s="540"/>
      <c r="G824" s="189"/>
      <c r="H824" s="36" t="s">
        <v>35</v>
      </c>
      <c r="I824" s="37">
        <f ca="1">IFERROR(__xludf.DUMMYFUNCTION("IMPORTRANGE(""https://docs.google.com/spreadsheets/d/1KxicF4apzSqm0-jIpmueT4kyZtE-Cwn5zskl7GD4loQ/edit?usp=share_link"",""กำแพงเพชร!I824"")+IMPORTRANGE(""https://docs.google.com/spreadsheets/d/1ZNYWeiFoFA1K1U4xKWqRX29MBvEyRHXORjo734Gnq_c/edit?usp=share_li"&amp;"nk"",""เชียงราย!I824"")
+IMPORTRANGE(""https://docs.google.com/spreadsheets/d/1Jgv0Y7YlHDtsiDawwp-uvifEJ8HVaSn0k2aGHG8-hwM/edit?usp=share_link"",""เชียงใหม่!I824"")+IMPORTRANGE(""https://docs.google.com/spreadsheets/d/1JWG2rZePOz9pe-f-ObA-yDr0VoOX2kSb0qIi"&amp;"x2mTUo8/edit?usp=share_link"",""ตาก!I824"")+IMPORTRANGE(""https://docs.google.com/spreadsheets/d/10nSRjK08hx8Y6HgSOQKNw81lyY46Zc7U_Cj72hBMp9U/edit?usp=share_link"",""นครสวรรค์!I824"")+IMPORTRANGE(""https://docs.google.com/spreadsheets/d/1gFVb7qd7amutrIxAA"&amp;"oM7lcy35hllxznovot8lyOfvDo/edit?usp=share_link"",""น่าน!I824"")+IMPORTRANGE(""https://docs.google.com/spreadsheets/d/1K0Aa9s-6EuHE5M0FG1F9aHLXRCOV917xvycTdLdct0w/edit?usp=share_link"",""พะเยา!I824"")+IMPORTRANGE(""https://docs.google.com/spreadsheets/d/1Y"&amp;"9LPKx95PyL5OKy09d-KbKJSuuEZCFdkhYjwC0XQjBA/edit?usp=share_link"",""พิจิตร!I824"")+IMPORTRANGE(""https://docs.google.com/spreadsheets/d/16OMuOwy2eVqZcYWOouQtTpa8X1L23h4660uVHc0C8os/edit?usp=share_link"",""พิษณุโลก!I824"")+IMPORTRANGE(""https://docs.google."&amp;"com/spreadsheets/d/1GfgTldLG6k77HXaMQzaafODklYuucJZQNs_GAPEfZyY/edit?usp=share_link"",""เพชรบูรณ์!I824"")+IMPORTRANGE(""https://docs.google.com/spreadsheets/d/1gvTMYAnm7v1yG1BKWFtr0DnaTsq59oW9dwWvFgq6hs0/edit?usp=share_link"",""แพร่!I824"")+IMPORTRANGE("""&amp;"https://docs.google.com/spreadsheets/d/1Wbcosgy-Xa1xXUArJSOenub6EfZHUSzc_bpJFWwQUf0/edit?usp=share_link"",""แม่ฮ่องสอน!I824"")+IMPORTRANGE(""https://docs.google.com/spreadsheets/d/1p7ERhsr0qZeSn-KSOdeHS9r0heI-lHtkcn2OH7hP0jQ/edit?usp=share_link"",""ลำปาง!"&amp;"I824"")+IMPORTRANGE(""https://docs.google.com/spreadsheets/d/1-uUXvimVhiU2U0bMN-xi2te0tS4X7DI2GLPnMjzl8cA/edit?usp=share_link"",""ลำพูน!I824"")+IMPORTRANGE(""https://docs.google.com/spreadsheets/d/17HrOaa5pBUI1onckFfumXB8xlg35qb2uBAFfF1D-Myo/edit?usp=shar"&amp;"e_link"",""สุโขทัย!I824"")+IMPORTRANGE(""https://docs.google.com/spreadsheets/d/1ubs5cl16eYL9gHbdHTJtmtYb9MGzHBs7CAphn8kNCgM/edit?usp=share_link"",""อุตรดิตถ์!I824"")+IMPORTRANGE(""https://docs.google.com/spreadsheets/d/1kII0BjS6CtVrBvI8IrytgPdxDrlyQDyigz"&amp;"MsohRtDMs/edit?usp=share_link"",""อุทัยธานี!I824"")
"),4417)</f>
        <v>4417</v>
      </c>
      <c r="J824" s="37">
        <f ca="1">IFERROR(__xludf.DUMMYFUNCTION("IMPORTRANGE(""https://docs.google.com/spreadsheets/d/1KxicF4apzSqm0-jIpmueT4kyZtE-Cwn5zskl7GD4loQ/edit?usp=share_link"",""กำแพงเพชร!J824"")+IMPORTRANGE(""https://docs.google.com/spreadsheets/d/1ZNYWeiFoFA1K1U4xKWqRX29MBvEyRHXORjo734Gnq_c/edit?usp=share_li"&amp;"nk"",""เชียงราย!J824"")
+IMPORTRANGE(""https://docs.google.com/spreadsheets/d/1Jgv0Y7YlHDtsiDawwp-uvifEJ8HVaSn0k2aGHG8-hwM/edit?usp=share_link"",""เชียงใหม่!J824"")+IMPORTRANGE(""https://docs.google.com/spreadsheets/d/1JWG2rZePOz9pe-f-ObA-yDr0VoOX2kSb0qIi"&amp;"x2mTUo8/edit?usp=share_link"",""ตาก!J824"")+IMPORTRANGE(""https://docs.google.com/spreadsheets/d/10nSRjK08hx8Y6HgSOQKNw81lyY46Zc7U_Cj72hBMp9U/edit?usp=share_link"",""นครสวรรค์!J824"")+IMPORTRANGE(""https://docs.google.com/spreadsheets/d/1gFVb7qd7amutrIxAA"&amp;"oM7lcy35hllxznovot8lyOfvDo/edit?usp=share_link"",""น่าน!J824"")+IMPORTRANGE(""https://docs.google.com/spreadsheets/d/1K0Aa9s-6EuHE5M0FG1F9aHLXRCOV917xvycTdLdct0w/edit?usp=share_link"",""พะเยา!J824"")+IMPORTRANGE(""https://docs.google.com/spreadsheets/d/1Y"&amp;"9LPKx95PyL5OKy09d-KbKJSuuEZCFdkhYjwC0XQjBA/edit?usp=share_link"",""พิจิตร!J824"")+IMPORTRANGE(""https://docs.google.com/spreadsheets/d/16OMuOwy2eVqZcYWOouQtTpa8X1L23h4660uVHc0C8os/edit?usp=share_link"",""พิษณุโลก!J824"")+IMPORTRANGE(""https://docs.google."&amp;"com/spreadsheets/d/1GfgTldLG6k77HXaMQzaafODklYuucJZQNs_GAPEfZyY/edit?usp=share_link"",""เพชรบูรณ์!J824"")+IMPORTRANGE(""https://docs.google.com/spreadsheets/d/1gvTMYAnm7v1yG1BKWFtr0DnaTsq59oW9dwWvFgq6hs0/edit?usp=share_link"",""แพร่!J824"")+IMPORTRANGE("""&amp;"https://docs.google.com/spreadsheets/d/1Wbcosgy-Xa1xXUArJSOenub6EfZHUSzc_bpJFWwQUf0/edit?usp=share_link"",""แม่ฮ่องสอน!J824"")+IMPORTRANGE(""https://docs.google.com/spreadsheets/d/1p7ERhsr0qZeSn-KSOdeHS9r0heI-lHtkcn2OH7hP0jQ/edit?usp=share_link"",""ลำปาง!"&amp;"J824"")+IMPORTRANGE(""https://docs.google.com/spreadsheets/d/1-uUXvimVhiU2U0bMN-xi2te0tS4X7DI2GLPnMjzl8cA/edit?usp=share_link"",""ลำพูน!J824"")+IMPORTRANGE(""https://docs.google.com/spreadsheets/d/17HrOaa5pBUI1onckFfumXB8xlg35qb2uBAFfF1D-Myo/edit?usp=shar"&amp;"e_link"",""สุโขทัย!J824"")+IMPORTRANGE(""https://docs.google.com/spreadsheets/d/1ubs5cl16eYL9gHbdHTJtmtYb9MGzHBs7CAphn8kNCgM/edit?usp=share_link"",""อุตรดิตถ์!J824"")+IMPORTRANGE(""https://docs.google.com/spreadsheets/d/1kII0BjS6CtVrBvI8IrytgPdxDrlyQDyigz"&amp;"MsohRtDMs/edit?usp=share_link"",""อุทัยธานี!J824"")
"),1279)</f>
        <v>1279</v>
      </c>
      <c r="K824" s="38">
        <f t="shared" ca="1" si="382"/>
        <v>28.956305184514378</v>
      </c>
      <c r="L824" s="38"/>
      <c r="M824" s="38"/>
      <c r="N824" s="38"/>
      <c r="O824" s="38"/>
      <c r="P824" s="38"/>
      <c r="Q824" s="542"/>
      <c r="R824" s="542"/>
      <c r="S824" s="542"/>
      <c r="T824" s="542"/>
      <c r="U824" s="542"/>
      <c r="V824" s="542"/>
      <c r="W824" s="542"/>
      <c r="X824" s="542"/>
      <c r="Y824" s="542"/>
      <c r="Z824" s="542"/>
    </row>
    <row r="825" spans="1:26" ht="18.75">
      <c r="A825" s="710"/>
      <c r="B825" s="541" t="s">
        <v>327</v>
      </c>
      <c r="C825" s="540"/>
      <c r="D825" s="539"/>
      <c r="E825" s="540"/>
      <c r="F825" s="540"/>
      <c r="G825" s="189"/>
      <c r="H825" s="36" t="s">
        <v>12</v>
      </c>
      <c r="I825" s="37">
        <f ca="1">IFERROR(__xludf.DUMMYFUNCTION("IMPORTRANGE(""https://docs.google.com/spreadsheets/d/1KxicF4apzSqm0-jIpmueT4kyZtE-Cwn5zskl7GD4loQ/edit?usp=share_link"",""กำแพงเพชร!I825"")+IMPORTRANGE(""https://docs.google.com/spreadsheets/d/1ZNYWeiFoFA1K1U4xKWqRX29MBvEyRHXORjo734Gnq_c/edit?usp=share_li"&amp;"nk"",""เชียงราย!I825"")
+IMPORTRANGE(""https://docs.google.com/spreadsheets/d/1Jgv0Y7YlHDtsiDawwp-uvifEJ8HVaSn0k2aGHG8-hwM/edit?usp=share_link"",""เชียงใหม่!I825"")+IMPORTRANGE(""https://docs.google.com/spreadsheets/d/1JWG2rZePOz9pe-f-ObA-yDr0VoOX2kSb0qIi"&amp;"x2mTUo8/edit?usp=share_link"",""ตาก!I825"")+IMPORTRANGE(""https://docs.google.com/spreadsheets/d/10nSRjK08hx8Y6HgSOQKNw81lyY46Zc7U_Cj72hBMp9U/edit?usp=share_link"",""นครสวรรค์!I825"")+IMPORTRANGE(""https://docs.google.com/spreadsheets/d/1gFVb7qd7amutrIxAA"&amp;"oM7lcy35hllxznovot8lyOfvDo/edit?usp=share_link"",""น่าน!I825"")+IMPORTRANGE(""https://docs.google.com/spreadsheets/d/1K0Aa9s-6EuHE5M0FG1F9aHLXRCOV917xvycTdLdct0w/edit?usp=share_link"",""พะเยา!I825"")+IMPORTRANGE(""https://docs.google.com/spreadsheets/d/1Y"&amp;"9LPKx95PyL5OKy09d-KbKJSuuEZCFdkhYjwC0XQjBA/edit?usp=share_link"",""พิจิตร!I825"")+IMPORTRANGE(""https://docs.google.com/spreadsheets/d/16OMuOwy2eVqZcYWOouQtTpa8X1L23h4660uVHc0C8os/edit?usp=share_link"",""พิษณุโลก!I825"")+IMPORTRANGE(""https://docs.google."&amp;"com/spreadsheets/d/1GfgTldLG6k77HXaMQzaafODklYuucJZQNs_GAPEfZyY/edit?usp=share_link"",""เพชรบูรณ์!I825"")+IMPORTRANGE(""https://docs.google.com/spreadsheets/d/1gvTMYAnm7v1yG1BKWFtr0DnaTsq59oW9dwWvFgq6hs0/edit?usp=share_link"",""แพร่!I825"")+IMPORTRANGE("""&amp;"https://docs.google.com/spreadsheets/d/1Wbcosgy-Xa1xXUArJSOenub6EfZHUSzc_bpJFWwQUf0/edit?usp=share_link"",""แม่ฮ่องสอน!I825"")+IMPORTRANGE(""https://docs.google.com/spreadsheets/d/1p7ERhsr0qZeSn-KSOdeHS9r0heI-lHtkcn2OH7hP0jQ/edit?usp=share_link"",""ลำปาง!"&amp;"I825"")+IMPORTRANGE(""https://docs.google.com/spreadsheets/d/1-uUXvimVhiU2U0bMN-xi2te0tS4X7DI2GLPnMjzl8cA/edit?usp=share_link"",""ลำพูน!I825"")+IMPORTRANGE(""https://docs.google.com/spreadsheets/d/17HrOaa5pBUI1onckFfumXB8xlg35qb2uBAFfF1D-Myo/edit?usp=shar"&amp;"e_link"",""สุโขทัย!I825"")+IMPORTRANGE(""https://docs.google.com/spreadsheets/d/1ubs5cl16eYL9gHbdHTJtmtYb9MGzHBs7CAphn8kNCgM/edit?usp=share_link"",""อุตรดิตถ์!I825"")+IMPORTRANGE(""https://docs.google.com/spreadsheets/d/1kII0BjS6CtVrBvI8IrytgPdxDrlyQDyigz"&amp;"MsohRtDMs/edit?usp=share_link"",""อุทัยธานี!I825"")
"),67317652.6)</f>
        <v>67317652.599999994</v>
      </c>
      <c r="J825" s="37">
        <f ca="1">IFERROR(__xludf.DUMMYFUNCTION("IMPORTRANGE(""https://docs.google.com/spreadsheets/d/1KxicF4apzSqm0-jIpmueT4kyZtE-Cwn5zskl7GD4loQ/edit?usp=share_link"",""กำแพงเพชร!J825"")+IMPORTRANGE(""https://docs.google.com/spreadsheets/d/1ZNYWeiFoFA1K1U4xKWqRX29MBvEyRHXORjo734Gnq_c/edit?usp=share_li"&amp;"nk"",""เชียงราย!J825"")
+IMPORTRANGE(""https://docs.google.com/spreadsheets/d/1Jgv0Y7YlHDtsiDawwp-uvifEJ8HVaSn0k2aGHG8-hwM/edit?usp=share_link"",""เชียงใหม่!J825"")+IMPORTRANGE(""https://docs.google.com/spreadsheets/d/1JWG2rZePOz9pe-f-ObA-yDr0VoOX2kSb0qIi"&amp;"x2mTUo8/edit?usp=share_link"",""ตาก!J825"")+IMPORTRANGE(""https://docs.google.com/spreadsheets/d/10nSRjK08hx8Y6HgSOQKNw81lyY46Zc7U_Cj72hBMp9U/edit?usp=share_link"",""นครสวรรค์!J825"")+IMPORTRANGE(""https://docs.google.com/spreadsheets/d/1gFVb7qd7amutrIxAA"&amp;"oM7lcy35hllxznovot8lyOfvDo/edit?usp=share_link"",""น่าน!J825"")+IMPORTRANGE(""https://docs.google.com/spreadsheets/d/1K0Aa9s-6EuHE5M0FG1F9aHLXRCOV917xvycTdLdct0w/edit?usp=share_link"",""พะเยา!J825"")+IMPORTRANGE(""https://docs.google.com/spreadsheets/d/1Y"&amp;"9LPKx95PyL5OKy09d-KbKJSuuEZCFdkhYjwC0XQjBA/edit?usp=share_link"",""พิจิตร!J825"")+IMPORTRANGE(""https://docs.google.com/spreadsheets/d/16OMuOwy2eVqZcYWOouQtTpa8X1L23h4660uVHc0C8os/edit?usp=share_link"",""พิษณุโลก!J825"")+IMPORTRANGE(""https://docs.google."&amp;"com/spreadsheets/d/1GfgTldLG6k77HXaMQzaafODklYuucJZQNs_GAPEfZyY/edit?usp=share_link"",""เพชรบูรณ์!J825"")+IMPORTRANGE(""https://docs.google.com/spreadsheets/d/1gvTMYAnm7v1yG1BKWFtr0DnaTsq59oW9dwWvFgq6hs0/edit?usp=share_link"",""แพร่!J825"")+IMPORTRANGE("""&amp;"https://docs.google.com/spreadsheets/d/1Wbcosgy-Xa1xXUArJSOenub6EfZHUSzc_bpJFWwQUf0/edit?usp=share_link"",""แม่ฮ่องสอน!J825"")+IMPORTRANGE(""https://docs.google.com/spreadsheets/d/1p7ERhsr0qZeSn-KSOdeHS9r0heI-lHtkcn2OH7hP0jQ/edit?usp=share_link"",""ลำปาง!"&amp;"J825"")+IMPORTRANGE(""https://docs.google.com/spreadsheets/d/1-uUXvimVhiU2U0bMN-xi2te0tS4X7DI2GLPnMjzl8cA/edit?usp=share_link"",""ลำพูน!J825"")+IMPORTRANGE(""https://docs.google.com/spreadsheets/d/17HrOaa5pBUI1onckFfumXB8xlg35qb2uBAFfF1D-Myo/edit?usp=shar"&amp;"e_link"",""สุโขทัย!J825"")+IMPORTRANGE(""https://docs.google.com/spreadsheets/d/1ubs5cl16eYL9gHbdHTJtmtYb9MGzHBs7CAphn8kNCgM/edit?usp=share_link"",""อุตรดิตถ์!J825"")+IMPORTRANGE(""https://docs.google.com/spreadsheets/d/1kII0BjS6CtVrBvI8IrytgPdxDrlyQDyigz"&amp;"MsohRtDMs/edit?usp=share_link"",""อุทัยธานี!J825"")
"),16520846.13)</f>
        <v>16520846.130000001</v>
      </c>
      <c r="K825" s="38">
        <f t="shared" ca="1" si="382"/>
        <v>24.541625401239855</v>
      </c>
      <c r="L825" s="38"/>
      <c r="M825" s="38"/>
      <c r="N825" s="38"/>
      <c r="O825" s="38"/>
      <c r="P825" s="38"/>
      <c r="Q825" s="542"/>
      <c r="R825" s="542"/>
      <c r="S825" s="542"/>
      <c r="T825" s="542"/>
      <c r="U825" s="542"/>
      <c r="V825" s="542"/>
      <c r="W825" s="542"/>
      <c r="X825" s="542"/>
      <c r="Y825" s="542"/>
      <c r="Z825" s="542"/>
    </row>
    <row r="826" spans="1:26" ht="18.75">
      <c r="A826" s="710"/>
      <c r="B826" s="540"/>
      <c r="C826" s="540"/>
      <c r="D826" s="539"/>
      <c r="E826" s="540"/>
      <c r="F826" s="540"/>
      <c r="G826" s="189"/>
      <c r="H826" s="36" t="s">
        <v>35</v>
      </c>
      <c r="I826" s="37">
        <f ca="1">IFERROR(__xludf.DUMMYFUNCTION("IMPORTRANGE(""https://docs.google.com/spreadsheets/d/1KxicF4apzSqm0-jIpmueT4kyZtE-Cwn5zskl7GD4loQ/edit?usp=share_link"",""กำแพงเพชร!I826"")+IMPORTRANGE(""https://docs.google.com/spreadsheets/d/1ZNYWeiFoFA1K1U4xKWqRX29MBvEyRHXORjo734Gnq_c/edit?usp=share_li"&amp;"nk"",""เชียงราย!I826"")
+IMPORTRANGE(""https://docs.google.com/spreadsheets/d/1Jgv0Y7YlHDtsiDawwp-uvifEJ8HVaSn0k2aGHG8-hwM/edit?usp=share_link"",""เชียงใหม่!I826"")+IMPORTRANGE(""https://docs.google.com/spreadsheets/d/1JWG2rZePOz9pe-f-ObA-yDr0VoOX2kSb0qIi"&amp;"x2mTUo8/edit?usp=share_link"",""ตาก!I826"")+IMPORTRANGE(""https://docs.google.com/spreadsheets/d/10nSRjK08hx8Y6HgSOQKNw81lyY46Zc7U_Cj72hBMp9U/edit?usp=share_link"",""นครสวรรค์!I826"")+IMPORTRANGE(""https://docs.google.com/spreadsheets/d/1gFVb7qd7amutrIxAA"&amp;"oM7lcy35hllxznovot8lyOfvDo/edit?usp=share_link"",""น่าน!I826"")+IMPORTRANGE(""https://docs.google.com/spreadsheets/d/1K0Aa9s-6EuHE5M0FG1F9aHLXRCOV917xvycTdLdct0w/edit?usp=share_link"",""พะเยา!I826"")+IMPORTRANGE(""https://docs.google.com/spreadsheets/d/1Y"&amp;"9LPKx95PyL5OKy09d-KbKJSuuEZCFdkhYjwC0XQjBA/edit?usp=share_link"",""พิจิตร!I826"")+IMPORTRANGE(""https://docs.google.com/spreadsheets/d/16OMuOwy2eVqZcYWOouQtTpa8X1L23h4660uVHc0C8os/edit?usp=share_link"",""พิษณุโลก!I826"")+IMPORTRANGE(""https://docs.google."&amp;"com/spreadsheets/d/1GfgTldLG6k77HXaMQzaafODklYuucJZQNs_GAPEfZyY/edit?usp=share_link"",""เพชรบูรณ์!I826"")+IMPORTRANGE(""https://docs.google.com/spreadsheets/d/1gvTMYAnm7v1yG1BKWFtr0DnaTsq59oW9dwWvFgq6hs0/edit?usp=share_link"",""แพร่!I826"")+IMPORTRANGE("""&amp;"https://docs.google.com/spreadsheets/d/1Wbcosgy-Xa1xXUArJSOenub6EfZHUSzc_bpJFWwQUf0/edit?usp=share_link"",""แม่ฮ่องสอน!I826"")+IMPORTRANGE(""https://docs.google.com/spreadsheets/d/1p7ERhsr0qZeSn-KSOdeHS9r0heI-lHtkcn2OH7hP0jQ/edit?usp=share_link"",""ลำปาง!"&amp;"I826"")+IMPORTRANGE(""https://docs.google.com/spreadsheets/d/1-uUXvimVhiU2U0bMN-xi2te0tS4X7DI2GLPnMjzl8cA/edit?usp=share_link"",""ลำพูน!I826"")+IMPORTRANGE(""https://docs.google.com/spreadsheets/d/17HrOaa5pBUI1onckFfumXB8xlg35qb2uBAFfF1D-Myo/edit?usp=shar"&amp;"e_link"",""สุโขทัย!I826"")+IMPORTRANGE(""https://docs.google.com/spreadsheets/d/1ubs5cl16eYL9gHbdHTJtmtYb9MGzHBs7CAphn8kNCgM/edit?usp=share_link"",""อุตรดิตถ์!I826"")+IMPORTRANGE(""https://docs.google.com/spreadsheets/d/1kII0BjS6CtVrBvI8IrytgPdxDrlyQDyigz"&amp;"MsohRtDMs/edit?usp=share_link"",""อุทัยธานี!I826"")
"),5463)</f>
        <v>5463</v>
      </c>
      <c r="J826" s="37">
        <f ca="1">IFERROR(__xludf.DUMMYFUNCTION("IMPORTRANGE(""https://docs.google.com/spreadsheets/d/1KxicF4apzSqm0-jIpmueT4kyZtE-Cwn5zskl7GD4loQ/edit?usp=share_link"",""กำแพงเพชร!J826"")+IMPORTRANGE(""https://docs.google.com/spreadsheets/d/1ZNYWeiFoFA1K1U4xKWqRX29MBvEyRHXORjo734Gnq_c/edit?usp=share_li"&amp;"nk"",""เชียงราย!J826"")
+IMPORTRANGE(""https://docs.google.com/spreadsheets/d/1Jgv0Y7YlHDtsiDawwp-uvifEJ8HVaSn0k2aGHG8-hwM/edit?usp=share_link"",""เชียงใหม่!J826"")+IMPORTRANGE(""https://docs.google.com/spreadsheets/d/1JWG2rZePOz9pe-f-ObA-yDr0VoOX2kSb0qIi"&amp;"x2mTUo8/edit?usp=share_link"",""ตาก!J826"")+IMPORTRANGE(""https://docs.google.com/spreadsheets/d/10nSRjK08hx8Y6HgSOQKNw81lyY46Zc7U_Cj72hBMp9U/edit?usp=share_link"",""นครสวรรค์!J826"")+IMPORTRANGE(""https://docs.google.com/spreadsheets/d/1gFVb7qd7amutrIxAA"&amp;"oM7lcy35hllxznovot8lyOfvDo/edit?usp=share_link"",""น่าน!J826"")+IMPORTRANGE(""https://docs.google.com/spreadsheets/d/1K0Aa9s-6EuHE5M0FG1F9aHLXRCOV917xvycTdLdct0w/edit?usp=share_link"",""พะเยา!J826"")+IMPORTRANGE(""https://docs.google.com/spreadsheets/d/1Y"&amp;"9LPKx95PyL5OKy09d-KbKJSuuEZCFdkhYjwC0XQjBA/edit?usp=share_link"",""พิจิตร!J826"")+IMPORTRANGE(""https://docs.google.com/spreadsheets/d/16OMuOwy2eVqZcYWOouQtTpa8X1L23h4660uVHc0C8os/edit?usp=share_link"",""พิษณุโลก!J826"")+IMPORTRANGE(""https://docs.google."&amp;"com/spreadsheets/d/1GfgTldLG6k77HXaMQzaafODklYuucJZQNs_GAPEfZyY/edit?usp=share_link"",""เพชรบูรณ์!J826"")+IMPORTRANGE(""https://docs.google.com/spreadsheets/d/1gvTMYAnm7v1yG1BKWFtr0DnaTsq59oW9dwWvFgq6hs0/edit?usp=share_link"",""แพร่!J826"")+IMPORTRANGE("""&amp;"https://docs.google.com/spreadsheets/d/1Wbcosgy-Xa1xXUArJSOenub6EfZHUSzc_bpJFWwQUf0/edit?usp=share_link"",""แม่ฮ่องสอน!J826"")+IMPORTRANGE(""https://docs.google.com/spreadsheets/d/1p7ERhsr0qZeSn-KSOdeHS9r0heI-lHtkcn2OH7hP0jQ/edit?usp=share_link"",""ลำปาง!"&amp;"J826"")+IMPORTRANGE(""https://docs.google.com/spreadsheets/d/1-uUXvimVhiU2U0bMN-xi2te0tS4X7DI2GLPnMjzl8cA/edit?usp=share_link"",""ลำพูน!J826"")+IMPORTRANGE(""https://docs.google.com/spreadsheets/d/17HrOaa5pBUI1onckFfumXB8xlg35qb2uBAFfF1D-Myo/edit?usp=shar"&amp;"e_link"",""สุโขทัย!J826"")+IMPORTRANGE(""https://docs.google.com/spreadsheets/d/1ubs5cl16eYL9gHbdHTJtmtYb9MGzHBs7CAphn8kNCgM/edit?usp=share_link"",""อุตรดิตถ์!J826"")+IMPORTRANGE(""https://docs.google.com/spreadsheets/d/1kII0BjS6CtVrBvI8IrytgPdxDrlyQDyigz"&amp;"MsohRtDMs/edit?usp=share_link"",""อุทัยธานี!J826"")
"),2571)</f>
        <v>2571</v>
      </c>
      <c r="K826" s="38">
        <f t="shared" ca="1" si="382"/>
        <v>47.062053816584296</v>
      </c>
      <c r="L826" s="38"/>
      <c r="M826" s="38"/>
      <c r="N826" s="38"/>
      <c r="O826" s="38"/>
      <c r="P826" s="38"/>
      <c r="Q826" s="542"/>
      <c r="R826" s="542"/>
      <c r="S826" s="542"/>
      <c r="T826" s="542"/>
      <c r="U826" s="542"/>
      <c r="V826" s="542"/>
      <c r="W826" s="542"/>
      <c r="X826" s="542"/>
      <c r="Y826" s="542"/>
      <c r="Z826" s="542"/>
    </row>
    <row r="827" spans="1:26" ht="18.75">
      <c r="A827" s="710"/>
      <c r="B827" s="541" t="s">
        <v>328</v>
      </c>
      <c r="C827" s="540"/>
      <c r="D827" s="539"/>
      <c r="E827" s="540"/>
      <c r="F827" s="540"/>
      <c r="G827" s="189"/>
      <c r="H827" s="36" t="s">
        <v>12</v>
      </c>
      <c r="I827" s="37">
        <f ca="1">IFERROR(__xludf.DUMMYFUNCTION("IMPORTRANGE(""https://docs.google.com/spreadsheets/d/1KxicF4apzSqm0-jIpmueT4kyZtE-Cwn5zskl7GD4loQ/edit?usp=share_link"",""กำแพงเพชร!I827"")+IMPORTRANGE(""https://docs.google.com/spreadsheets/d/1ZNYWeiFoFA1K1U4xKWqRX29MBvEyRHXORjo734Gnq_c/edit?usp=share_li"&amp;"nk"",""เชียงราย!I827"")
+IMPORTRANGE(""https://docs.google.com/spreadsheets/d/1Jgv0Y7YlHDtsiDawwp-uvifEJ8HVaSn0k2aGHG8-hwM/edit?usp=share_link"",""เชียงใหม่!I827"")+IMPORTRANGE(""https://docs.google.com/spreadsheets/d/1JWG2rZePOz9pe-f-ObA-yDr0VoOX2kSb0qIi"&amp;"x2mTUo8/edit?usp=share_link"",""ตาก!I827"")+IMPORTRANGE(""https://docs.google.com/spreadsheets/d/10nSRjK08hx8Y6HgSOQKNw81lyY46Zc7U_Cj72hBMp9U/edit?usp=share_link"",""นครสวรรค์!I827"")+IMPORTRANGE(""https://docs.google.com/spreadsheets/d/1gFVb7qd7amutrIxAA"&amp;"oM7lcy35hllxznovot8lyOfvDo/edit?usp=share_link"",""น่าน!I827"")+IMPORTRANGE(""https://docs.google.com/spreadsheets/d/1K0Aa9s-6EuHE5M0FG1F9aHLXRCOV917xvycTdLdct0w/edit?usp=share_link"",""พะเยา!I827"")+IMPORTRANGE(""https://docs.google.com/spreadsheets/d/1Y"&amp;"9LPKx95PyL5OKy09d-KbKJSuuEZCFdkhYjwC0XQjBA/edit?usp=share_link"",""พิจิตร!I827"")+IMPORTRANGE(""https://docs.google.com/spreadsheets/d/16OMuOwy2eVqZcYWOouQtTpa8X1L23h4660uVHc0C8os/edit?usp=share_link"",""พิษณุโลก!I827"")+IMPORTRANGE(""https://docs.google."&amp;"com/spreadsheets/d/1GfgTldLG6k77HXaMQzaafODklYuucJZQNs_GAPEfZyY/edit?usp=share_link"",""เพชรบูรณ์!I827"")+IMPORTRANGE(""https://docs.google.com/spreadsheets/d/1gvTMYAnm7v1yG1BKWFtr0DnaTsq59oW9dwWvFgq6hs0/edit?usp=share_link"",""แพร่!I827"")+IMPORTRANGE("""&amp;"https://docs.google.com/spreadsheets/d/1Wbcosgy-Xa1xXUArJSOenub6EfZHUSzc_bpJFWwQUf0/edit?usp=share_link"",""แม่ฮ่องสอน!I827"")+IMPORTRANGE(""https://docs.google.com/spreadsheets/d/1p7ERhsr0qZeSn-KSOdeHS9r0heI-lHtkcn2OH7hP0jQ/edit?usp=share_link"",""ลำปาง!"&amp;"I827"")+IMPORTRANGE(""https://docs.google.com/spreadsheets/d/1-uUXvimVhiU2U0bMN-xi2te0tS4X7DI2GLPnMjzl8cA/edit?usp=share_link"",""ลำพูน!I827"")+IMPORTRANGE(""https://docs.google.com/spreadsheets/d/17HrOaa5pBUI1onckFfumXB8xlg35qb2uBAFfF1D-Myo/edit?usp=shar"&amp;"e_link"",""สุโขทัย!I827"")+IMPORTRANGE(""https://docs.google.com/spreadsheets/d/1ubs5cl16eYL9gHbdHTJtmtYb9MGzHBs7CAphn8kNCgM/edit?usp=share_link"",""อุตรดิตถ์!I827"")+IMPORTRANGE(""https://docs.google.com/spreadsheets/d/1kII0BjS6CtVrBvI8IrytgPdxDrlyQDyigz"&amp;"MsohRtDMs/edit?usp=share_link"",""อุทัยธานี!I827"")
"),95075000)</f>
        <v>95075000</v>
      </c>
      <c r="J827" s="37">
        <f ca="1">IFERROR(__xludf.DUMMYFUNCTION("IMPORTRANGE(""https://docs.google.com/spreadsheets/d/1KxicF4apzSqm0-jIpmueT4kyZtE-Cwn5zskl7GD4loQ/edit?usp=share_link"",""กำแพงเพชร!J827"")+IMPORTRANGE(""https://docs.google.com/spreadsheets/d/1ZNYWeiFoFA1K1U4xKWqRX29MBvEyRHXORjo734Gnq_c/edit?usp=share_li"&amp;"nk"",""เชียงราย!J827"")
+IMPORTRANGE(""https://docs.google.com/spreadsheets/d/1Jgv0Y7YlHDtsiDawwp-uvifEJ8HVaSn0k2aGHG8-hwM/edit?usp=share_link"",""เชียงใหม่!J827"")+IMPORTRANGE(""https://docs.google.com/spreadsheets/d/1JWG2rZePOz9pe-f-ObA-yDr0VoOX2kSb0qIi"&amp;"x2mTUo8/edit?usp=share_link"",""ตาก!J827"")+IMPORTRANGE(""https://docs.google.com/spreadsheets/d/10nSRjK08hx8Y6HgSOQKNw81lyY46Zc7U_Cj72hBMp9U/edit?usp=share_link"",""นครสวรรค์!J827"")+IMPORTRANGE(""https://docs.google.com/spreadsheets/d/1gFVb7qd7amutrIxAA"&amp;"oM7lcy35hllxznovot8lyOfvDo/edit?usp=share_link"",""น่าน!J827"")+IMPORTRANGE(""https://docs.google.com/spreadsheets/d/1K0Aa9s-6EuHE5M0FG1F9aHLXRCOV917xvycTdLdct0w/edit?usp=share_link"",""พะเยา!J827"")+IMPORTRANGE(""https://docs.google.com/spreadsheets/d/1Y"&amp;"9LPKx95PyL5OKy09d-KbKJSuuEZCFdkhYjwC0XQjBA/edit?usp=share_link"",""พิจิตร!J827"")+IMPORTRANGE(""https://docs.google.com/spreadsheets/d/16OMuOwy2eVqZcYWOouQtTpa8X1L23h4660uVHc0C8os/edit?usp=share_link"",""พิษณุโลก!J827"")+IMPORTRANGE(""https://docs.google."&amp;"com/spreadsheets/d/1GfgTldLG6k77HXaMQzaafODklYuucJZQNs_GAPEfZyY/edit?usp=share_link"",""เพชรบูรณ์!J827"")+IMPORTRANGE(""https://docs.google.com/spreadsheets/d/1gvTMYAnm7v1yG1BKWFtr0DnaTsq59oW9dwWvFgq6hs0/edit?usp=share_link"",""แพร่!J827"")+IMPORTRANGE("""&amp;"https://docs.google.com/spreadsheets/d/1Wbcosgy-Xa1xXUArJSOenub6EfZHUSzc_bpJFWwQUf0/edit?usp=share_link"",""แม่ฮ่องสอน!J827"")+IMPORTRANGE(""https://docs.google.com/spreadsheets/d/1p7ERhsr0qZeSn-KSOdeHS9r0heI-lHtkcn2OH7hP0jQ/edit?usp=share_link"",""ลำปาง!"&amp;"J827"")+IMPORTRANGE(""https://docs.google.com/spreadsheets/d/1-uUXvimVhiU2U0bMN-xi2te0tS4X7DI2GLPnMjzl8cA/edit?usp=share_link"",""ลำพูน!J827"")+IMPORTRANGE(""https://docs.google.com/spreadsheets/d/17HrOaa5pBUI1onckFfumXB8xlg35qb2uBAFfF1D-Myo/edit?usp=shar"&amp;"e_link"",""สุโขทัย!J827"")+IMPORTRANGE(""https://docs.google.com/spreadsheets/d/1ubs5cl16eYL9gHbdHTJtmtYb9MGzHBs7CAphn8kNCgM/edit?usp=share_link"",""อุตรดิตถ์!J827"")+IMPORTRANGE(""https://docs.google.com/spreadsheets/d/1kII0BjS6CtVrBvI8IrytgPdxDrlyQDyigz"&amp;"MsohRtDMs/edit?usp=share_link"",""อุทัยธานี!J827"")
"),34705000)</f>
        <v>34705000</v>
      </c>
      <c r="K827" s="38">
        <f t="shared" ca="1" si="382"/>
        <v>36.502760978175125</v>
      </c>
      <c r="L827" s="38"/>
      <c r="M827" s="38"/>
      <c r="N827" s="38"/>
      <c r="O827" s="38"/>
      <c r="P827" s="38"/>
      <c r="Q827" s="542"/>
      <c r="R827" s="542"/>
      <c r="S827" s="542"/>
      <c r="T827" s="542"/>
      <c r="U827" s="542"/>
      <c r="V827" s="542"/>
      <c r="W827" s="542"/>
      <c r="X827" s="542"/>
      <c r="Y827" s="542"/>
      <c r="Z827" s="542"/>
    </row>
    <row r="828" spans="1:26" ht="18.75">
      <c r="A828" s="713"/>
      <c r="B828" s="715"/>
      <c r="C828" s="715"/>
      <c r="D828" s="714"/>
      <c r="E828" s="715"/>
      <c r="F828" s="715"/>
      <c r="G828" s="801"/>
      <c r="H828" s="802" t="s">
        <v>35</v>
      </c>
      <c r="I828" s="469">
        <f ca="1">IFERROR(__xludf.DUMMYFUNCTION("IMPORTRANGE(""https://docs.google.com/spreadsheets/d/1KxicF4apzSqm0-jIpmueT4kyZtE-Cwn5zskl7GD4loQ/edit?usp=share_link"",""กำแพงเพชร!I828"")+IMPORTRANGE(""https://docs.google.com/spreadsheets/d/1ZNYWeiFoFA1K1U4xKWqRX29MBvEyRHXORjo734Gnq_c/edit?usp=share_li"&amp;"nk"",""เชียงราย!I828"")
+IMPORTRANGE(""https://docs.google.com/spreadsheets/d/1Jgv0Y7YlHDtsiDawwp-uvifEJ8HVaSn0k2aGHG8-hwM/edit?usp=share_link"",""เชียงใหม่!I828"")+IMPORTRANGE(""https://docs.google.com/spreadsheets/d/1JWG2rZePOz9pe-f-ObA-yDr0VoOX2kSb0qIi"&amp;"x2mTUo8/edit?usp=share_link"",""ตาก!I828"")+IMPORTRANGE(""https://docs.google.com/spreadsheets/d/10nSRjK08hx8Y6HgSOQKNw81lyY46Zc7U_Cj72hBMp9U/edit?usp=share_link"",""นครสวรรค์!I828"")+IMPORTRANGE(""https://docs.google.com/spreadsheets/d/1gFVb7qd7amutrIxAA"&amp;"oM7lcy35hllxznovot8lyOfvDo/edit?usp=share_link"",""น่าน!I828"")+IMPORTRANGE(""https://docs.google.com/spreadsheets/d/1K0Aa9s-6EuHE5M0FG1F9aHLXRCOV917xvycTdLdct0w/edit?usp=share_link"",""พะเยา!I828"")+IMPORTRANGE(""https://docs.google.com/spreadsheets/d/1Y"&amp;"9LPKx95PyL5OKy09d-KbKJSuuEZCFdkhYjwC0XQjBA/edit?usp=share_link"",""พิจิตร!I828"")+IMPORTRANGE(""https://docs.google.com/spreadsheets/d/16OMuOwy2eVqZcYWOouQtTpa8X1L23h4660uVHc0C8os/edit?usp=share_link"",""พิษณุโลก!I828"")+IMPORTRANGE(""https://docs.google."&amp;"com/spreadsheets/d/1GfgTldLG6k77HXaMQzaafODklYuucJZQNs_GAPEfZyY/edit?usp=share_link"",""เพชรบูรณ์!I828"")+IMPORTRANGE(""https://docs.google.com/spreadsheets/d/1gvTMYAnm7v1yG1BKWFtr0DnaTsq59oW9dwWvFgq6hs0/edit?usp=share_link"",""แพร่!I828"")+IMPORTRANGE("""&amp;"https://docs.google.com/spreadsheets/d/1Wbcosgy-Xa1xXUArJSOenub6EfZHUSzc_bpJFWwQUf0/edit?usp=share_link"",""แม่ฮ่องสอน!I828"")+IMPORTRANGE(""https://docs.google.com/spreadsheets/d/1p7ERhsr0qZeSn-KSOdeHS9r0heI-lHtkcn2OH7hP0jQ/edit?usp=share_link"",""ลำปาง!"&amp;"I828"")+IMPORTRANGE(""https://docs.google.com/spreadsheets/d/1-uUXvimVhiU2U0bMN-xi2te0tS4X7DI2GLPnMjzl8cA/edit?usp=share_link"",""ลำพูน!I828"")+IMPORTRANGE(""https://docs.google.com/spreadsheets/d/17HrOaa5pBUI1onckFfumXB8xlg35qb2uBAFfF1D-Myo/edit?usp=shar"&amp;"e_link"",""สุโขทัย!I828"")+IMPORTRANGE(""https://docs.google.com/spreadsheets/d/1ubs5cl16eYL9gHbdHTJtmtYb9MGzHBs7CAphn8kNCgM/edit?usp=share_link"",""อุตรดิตถ์!I828"")+IMPORTRANGE(""https://docs.google.com/spreadsheets/d/1kII0BjS6CtVrBvI8IrytgPdxDrlyQDyigz"&amp;"MsohRtDMs/edit?usp=share_link"",""อุทัยธานี!I828"")
"),3650)</f>
        <v>3650</v>
      </c>
      <c r="J828" s="469">
        <f ca="1">IFERROR(__xludf.DUMMYFUNCTION("IMPORTRANGE(""https://docs.google.com/spreadsheets/d/1KxicF4apzSqm0-jIpmueT4kyZtE-Cwn5zskl7GD4loQ/edit?usp=share_link"",""กำแพงเพชร!J828"")+IMPORTRANGE(""https://docs.google.com/spreadsheets/d/1ZNYWeiFoFA1K1U4xKWqRX29MBvEyRHXORjo734Gnq_c/edit?usp=share_li"&amp;"nk"",""เชียงราย!J828"")
+IMPORTRANGE(""https://docs.google.com/spreadsheets/d/1Jgv0Y7YlHDtsiDawwp-uvifEJ8HVaSn0k2aGHG8-hwM/edit?usp=share_link"",""เชียงใหม่!J828"")+IMPORTRANGE(""https://docs.google.com/spreadsheets/d/1JWG2rZePOz9pe-f-ObA-yDr0VoOX2kSb0qIi"&amp;"x2mTUo8/edit?usp=share_link"",""ตาก!J828"")+IMPORTRANGE(""https://docs.google.com/spreadsheets/d/10nSRjK08hx8Y6HgSOQKNw81lyY46Zc7U_Cj72hBMp9U/edit?usp=share_link"",""นครสวรรค์!J828"")+IMPORTRANGE(""https://docs.google.com/spreadsheets/d/1gFVb7qd7amutrIxAA"&amp;"oM7lcy35hllxznovot8lyOfvDo/edit?usp=share_link"",""น่าน!J828"")+IMPORTRANGE(""https://docs.google.com/spreadsheets/d/1K0Aa9s-6EuHE5M0FG1F9aHLXRCOV917xvycTdLdct0w/edit?usp=share_link"",""พะเยา!J828"")+IMPORTRANGE(""https://docs.google.com/spreadsheets/d/1Y"&amp;"9LPKx95PyL5OKy09d-KbKJSuuEZCFdkhYjwC0XQjBA/edit?usp=share_link"",""พิจิตร!J828"")+IMPORTRANGE(""https://docs.google.com/spreadsheets/d/16OMuOwy2eVqZcYWOouQtTpa8X1L23h4660uVHc0C8os/edit?usp=share_link"",""พิษณุโลก!J828"")+IMPORTRANGE(""https://docs.google."&amp;"com/spreadsheets/d/1GfgTldLG6k77HXaMQzaafODklYuucJZQNs_GAPEfZyY/edit?usp=share_link"",""เพชรบูรณ์!J828"")+IMPORTRANGE(""https://docs.google.com/spreadsheets/d/1gvTMYAnm7v1yG1BKWFtr0DnaTsq59oW9dwWvFgq6hs0/edit?usp=share_link"",""แพร่!J828"")+IMPORTRANGE("""&amp;"https://docs.google.com/spreadsheets/d/1Wbcosgy-Xa1xXUArJSOenub6EfZHUSzc_bpJFWwQUf0/edit?usp=share_link"",""แม่ฮ่องสอน!J828"")+IMPORTRANGE(""https://docs.google.com/spreadsheets/d/1p7ERhsr0qZeSn-KSOdeHS9r0heI-lHtkcn2OH7hP0jQ/edit?usp=share_link"",""ลำปาง!"&amp;"J828"")+IMPORTRANGE(""https://docs.google.com/spreadsheets/d/1-uUXvimVhiU2U0bMN-xi2te0tS4X7DI2GLPnMjzl8cA/edit?usp=share_link"",""ลำพูน!J828"")+IMPORTRANGE(""https://docs.google.com/spreadsheets/d/17HrOaa5pBUI1onckFfumXB8xlg35qb2uBAFfF1D-Myo/edit?usp=shar"&amp;"e_link"",""สุโขทัย!J828"")+IMPORTRANGE(""https://docs.google.com/spreadsheets/d/1ubs5cl16eYL9gHbdHTJtmtYb9MGzHBs7CAphn8kNCgM/edit?usp=share_link"",""อุตรดิตถ์!J828"")+IMPORTRANGE(""https://docs.google.com/spreadsheets/d/1kII0BjS6CtVrBvI8IrytgPdxDrlyQDyigz"&amp;"MsohRtDMs/edit?usp=share_link"",""อุทัยธานี!J828"")
"),1011)</f>
        <v>1011</v>
      </c>
      <c r="K828" s="470">
        <f t="shared" ca="1" si="382"/>
        <v>27.698630136986303</v>
      </c>
      <c r="L828" s="470"/>
      <c r="M828" s="470"/>
      <c r="N828" s="470"/>
      <c r="O828" s="470"/>
      <c r="P828" s="470"/>
      <c r="Q828" s="542"/>
      <c r="R828" s="542"/>
      <c r="S828" s="542"/>
      <c r="T828" s="542"/>
      <c r="U828" s="542"/>
      <c r="V828" s="542"/>
      <c r="W828" s="542"/>
      <c r="X828" s="542"/>
      <c r="Y828" s="542"/>
      <c r="Z828" s="542"/>
    </row>
  </sheetData>
  <mergeCells count="30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</mergeCells>
  <printOptions horizontalCentered="1"/>
  <pageMargins left="0.23622047244094491" right="0.23622047244094491" top="0.74803149606299213" bottom="0.74803149606299213" header="0" footer="0"/>
  <pageSetup paperSize="9" scale="39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F0E22-8647-4581-BEB2-4916D611A0DF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Q24" sqref="Q24"/>
      <selection pane="bottomLeft" activeCell="Q24" sqref="Q24"/>
    </sheetView>
  </sheetViews>
  <sheetFormatPr defaultColWidth="12.5703125" defaultRowHeight="15.75" customHeight="1"/>
  <cols>
    <col min="1" max="3" width="3.28515625" style="803" customWidth="1"/>
    <col min="4" max="6" width="5.85546875" style="803" customWidth="1"/>
    <col min="7" max="7" width="56.42578125" style="803" customWidth="1"/>
    <col min="8" max="8" width="9.42578125" style="803" customWidth="1"/>
    <col min="9" max="10" width="16.85546875" style="803" bestFit="1" customWidth="1"/>
    <col min="11" max="11" width="12.5703125" style="803" bestFit="1" customWidth="1"/>
    <col min="12" max="14" width="23" style="803" bestFit="1" customWidth="1"/>
    <col min="15" max="15" width="20.140625" style="803" bestFit="1" customWidth="1"/>
    <col min="16" max="16" width="22" style="803" bestFit="1" customWidth="1"/>
    <col min="17" max="16384" width="12.5703125" style="803"/>
  </cols>
  <sheetData>
    <row r="1" spans="1:26" ht="19.5">
      <c r="A1" s="1498" t="s">
        <v>0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</row>
    <row r="2" spans="1:26" ht="19.5">
      <c r="A2" s="1498" t="s">
        <v>345</v>
      </c>
      <c r="B2" s="1516"/>
      <c r="C2" s="1516"/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  <c r="O2" s="1516"/>
      <c r="P2" s="1516"/>
    </row>
    <row r="3" spans="1:26" ht="19.5">
      <c r="A3" s="1498" t="s">
        <v>329</v>
      </c>
      <c r="B3" s="1516"/>
      <c r="C3" s="1516"/>
      <c r="D3" s="1516"/>
      <c r="E3" s="1516"/>
      <c r="F3" s="1516"/>
      <c r="G3" s="1516"/>
      <c r="H3" s="1516"/>
      <c r="I3" s="1516"/>
      <c r="J3" s="1516"/>
      <c r="K3" s="1516"/>
      <c r="L3" s="1516"/>
      <c r="M3" s="1516"/>
      <c r="N3" s="1516"/>
      <c r="O3" s="1516"/>
      <c r="P3" s="1516"/>
    </row>
    <row r="4" spans="1:26" ht="12.75">
      <c r="A4" s="804"/>
      <c r="B4" s="804"/>
      <c r="C4" s="804"/>
      <c r="D4" s="804"/>
      <c r="E4" s="804"/>
      <c r="F4" s="804"/>
      <c r="G4" s="804"/>
      <c r="H4" s="804"/>
      <c r="I4" s="804"/>
      <c r="J4" s="805"/>
      <c r="K4" s="806"/>
      <c r="L4" s="805"/>
      <c r="M4" s="805"/>
      <c r="N4" s="805"/>
      <c r="O4" s="804"/>
      <c r="P4" s="804"/>
    </row>
    <row r="5" spans="1:26" ht="19.5">
      <c r="A5" s="1504" t="s">
        <v>2</v>
      </c>
      <c r="B5" s="1516"/>
      <c r="C5" s="1516"/>
      <c r="D5" s="1516"/>
      <c r="E5" s="1516"/>
      <c r="F5" s="1516"/>
      <c r="G5" s="1505"/>
      <c r="H5" s="1500" t="s">
        <v>3</v>
      </c>
      <c r="I5" s="1501" t="s">
        <v>4</v>
      </c>
      <c r="J5" s="1494"/>
      <c r="K5" s="1495"/>
      <c r="L5" s="1502" t="s">
        <v>5</v>
      </c>
      <c r="M5" s="1495"/>
      <c r="N5" s="1503" t="s">
        <v>6</v>
      </c>
      <c r="O5" s="1494"/>
      <c r="P5" s="1495"/>
    </row>
    <row r="6" spans="1:26" ht="19.5">
      <c r="A6" s="1506"/>
      <c r="B6" s="1494"/>
      <c r="C6" s="1494"/>
      <c r="D6" s="1494"/>
      <c r="E6" s="1494"/>
      <c r="F6" s="1494"/>
      <c r="G6" s="1495"/>
      <c r="H6" s="14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12" t="s">
        <v>15</v>
      </c>
      <c r="B7" s="1494"/>
      <c r="C7" s="1494"/>
      <c r="D7" s="1494"/>
      <c r="E7" s="1494"/>
      <c r="F7" s="1494"/>
      <c r="G7" s="1495"/>
      <c r="H7" s="807"/>
      <c r="I7" s="808"/>
      <c r="J7" s="808"/>
      <c r="K7" s="809"/>
      <c r="L7" s="809"/>
      <c r="M7" s="809"/>
      <c r="N7" s="809"/>
      <c r="O7" s="809"/>
      <c r="P7" s="809"/>
    </row>
    <row r="8" spans="1:26" ht="19.5">
      <c r="A8" s="810"/>
      <c r="B8" s="811"/>
      <c r="C8" s="812" t="s">
        <v>16</v>
      </c>
      <c r="D8" s="813" t="s">
        <v>17</v>
      </c>
      <c r="E8" s="811"/>
      <c r="F8" s="811"/>
      <c r="G8" s="814"/>
      <c r="H8" s="19" t="s">
        <v>12</v>
      </c>
      <c r="I8" s="815"/>
      <c r="J8" s="815"/>
      <c r="K8" s="816"/>
      <c r="L8" s="817">
        <f t="shared" ref="L8:N8" ca="1" si="0">L9+L10</f>
        <v>17832737</v>
      </c>
      <c r="M8" s="817">
        <f t="shared" ca="1" si="0"/>
        <v>14820273</v>
      </c>
      <c r="N8" s="817">
        <f t="shared" ca="1" si="0"/>
        <v>12966266.619999999</v>
      </c>
      <c r="O8" s="817">
        <f t="shared" ref="O8:O16" ca="1" si="1">IF(L8&gt;0,N8*100/L8,0)</f>
        <v>72.710468505199174</v>
      </c>
      <c r="P8" s="817">
        <f t="shared" ref="P8:P16" ca="1" si="2">IF(M8&gt;0,N8*100/M8,0)</f>
        <v>87.490065938731362</v>
      </c>
      <c r="Q8" s="818"/>
      <c r="R8" s="818"/>
      <c r="S8" s="818"/>
      <c r="T8" s="818"/>
      <c r="U8" s="818"/>
      <c r="V8" s="818"/>
      <c r="W8" s="818"/>
      <c r="X8" s="818"/>
      <c r="Y8" s="818"/>
      <c r="Z8" s="818"/>
    </row>
    <row r="9" spans="1:26" ht="18.75" hidden="1">
      <c r="A9" s="819"/>
      <c r="B9" s="820"/>
      <c r="C9" s="820"/>
      <c r="D9" s="820"/>
      <c r="E9" s="821" t="s">
        <v>18</v>
      </c>
      <c r="F9" s="820"/>
      <c r="G9" s="822"/>
      <c r="H9" s="28" t="s">
        <v>12</v>
      </c>
      <c r="I9" s="823"/>
      <c r="J9" s="823"/>
      <c r="K9" s="824"/>
      <c r="L9" s="824">
        <f t="shared" ref="L9:N10" si="3">L12+L15</f>
        <v>0</v>
      </c>
      <c r="M9" s="824">
        <f t="shared" si="3"/>
        <v>0</v>
      </c>
      <c r="N9" s="824">
        <f t="shared" si="3"/>
        <v>0</v>
      </c>
      <c r="O9" s="824">
        <f t="shared" si="1"/>
        <v>0</v>
      </c>
      <c r="P9" s="824">
        <f t="shared" si="2"/>
        <v>0</v>
      </c>
      <c r="Q9" s="825"/>
      <c r="R9" s="825"/>
      <c r="S9" s="825"/>
      <c r="T9" s="825"/>
      <c r="U9" s="825"/>
      <c r="V9" s="825"/>
      <c r="W9" s="825"/>
      <c r="X9" s="825"/>
      <c r="Y9" s="825"/>
      <c r="Z9" s="825"/>
    </row>
    <row r="10" spans="1:26" ht="18.75" hidden="1">
      <c r="A10" s="819"/>
      <c r="B10" s="820"/>
      <c r="C10" s="820"/>
      <c r="D10" s="820"/>
      <c r="E10" s="821" t="s">
        <v>19</v>
      </c>
      <c r="F10" s="820"/>
      <c r="G10" s="822"/>
      <c r="H10" s="28" t="s">
        <v>12</v>
      </c>
      <c r="I10" s="823"/>
      <c r="J10" s="823"/>
      <c r="K10" s="824"/>
      <c r="L10" s="824">
        <f t="shared" ca="1" si="3"/>
        <v>17832737</v>
      </c>
      <c r="M10" s="824">
        <f t="shared" ca="1" si="3"/>
        <v>14820273</v>
      </c>
      <c r="N10" s="824">
        <f t="shared" ca="1" si="3"/>
        <v>12966266.619999999</v>
      </c>
      <c r="O10" s="824">
        <f t="shared" ca="1" si="1"/>
        <v>72.710468505199174</v>
      </c>
      <c r="P10" s="824">
        <f t="shared" ca="1" si="2"/>
        <v>87.490065938731362</v>
      </c>
      <c r="Q10" s="825"/>
      <c r="R10" s="825"/>
      <c r="S10" s="825"/>
      <c r="T10" s="825"/>
      <c r="U10" s="825"/>
      <c r="V10" s="825"/>
      <c r="W10" s="825"/>
      <c r="X10" s="825"/>
      <c r="Y10" s="825"/>
      <c r="Z10" s="825"/>
    </row>
    <row r="11" spans="1:26" ht="18.75">
      <c r="A11" s="826"/>
      <c r="B11" s="827"/>
      <c r="C11" s="827"/>
      <c r="D11" s="828" t="s">
        <v>20</v>
      </c>
      <c r="E11" s="827"/>
      <c r="F11" s="827"/>
      <c r="G11" s="829"/>
      <c r="H11" s="590" t="s">
        <v>12</v>
      </c>
      <c r="I11" s="830"/>
      <c r="J11" s="830"/>
      <c r="K11" s="831"/>
      <c r="L11" s="831">
        <f t="shared" ref="L11:N11" ca="1" si="4">L12+L13</f>
        <v>6123937</v>
      </c>
      <c r="M11" s="831">
        <f t="shared" ca="1" si="4"/>
        <v>3111473</v>
      </c>
      <c r="N11" s="831">
        <f t="shared" ca="1" si="4"/>
        <v>2567466.6199999996</v>
      </c>
      <c r="O11" s="831">
        <f t="shared" ca="1" si="1"/>
        <v>41.925098510974223</v>
      </c>
      <c r="P11" s="831">
        <f t="shared" ca="1" si="2"/>
        <v>82.516114393407875</v>
      </c>
      <c r="Q11" s="818"/>
      <c r="R11" s="818"/>
      <c r="S11" s="818"/>
      <c r="T11" s="818"/>
      <c r="U11" s="818"/>
      <c r="V11" s="818"/>
      <c r="W11" s="818"/>
      <c r="X11" s="818"/>
      <c r="Y11" s="818"/>
      <c r="Z11" s="818"/>
    </row>
    <row r="12" spans="1:26" ht="18.75" hidden="1">
      <c r="A12" s="832"/>
      <c r="B12" s="833"/>
      <c r="C12" s="833"/>
      <c r="D12" s="833"/>
      <c r="E12" s="834" t="s">
        <v>18</v>
      </c>
      <c r="F12" s="833"/>
      <c r="G12" s="835"/>
      <c r="H12" s="43" t="s">
        <v>12</v>
      </c>
      <c r="I12" s="836"/>
      <c r="J12" s="836"/>
      <c r="K12" s="837"/>
      <c r="L12" s="837">
        <f t="shared" ref="L12:N13" si="5">L22+L32</f>
        <v>0</v>
      </c>
      <c r="M12" s="837">
        <f t="shared" si="5"/>
        <v>0</v>
      </c>
      <c r="N12" s="837">
        <f t="shared" si="5"/>
        <v>0</v>
      </c>
      <c r="O12" s="837">
        <f t="shared" si="1"/>
        <v>0</v>
      </c>
      <c r="P12" s="837">
        <f t="shared" si="2"/>
        <v>0</v>
      </c>
      <c r="Q12" s="825"/>
      <c r="R12" s="825"/>
      <c r="S12" s="825"/>
      <c r="T12" s="825"/>
      <c r="U12" s="825"/>
      <c r="V12" s="825"/>
      <c r="W12" s="825"/>
      <c r="X12" s="825"/>
      <c r="Y12" s="825"/>
      <c r="Z12" s="825"/>
    </row>
    <row r="13" spans="1:26" ht="18.75" hidden="1">
      <c r="A13" s="832"/>
      <c r="B13" s="833"/>
      <c r="C13" s="833"/>
      <c r="D13" s="833"/>
      <c r="E13" s="834" t="s">
        <v>19</v>
      </c>
      <c r="F13" s="833"/>
      <c r="G13" s="835"/>
      <c r="H13" s="43" t="s">
        <v>12</v>
      </c>
      <c r="I13" s="836"/>
      <c r="J13" s="836"/>
      <c r="K13" s="837"/>
      <c r="L13" s="837">
        <f t="shared" ca="1" si="5"/>
        <v>6123937</v>
      </c>
      <c r="M13" s="837">
        <f t="shared" ca="1" si="5"/>
        <v>3111473</v>
      </c>
      <c r="N13" s="837">
        <f t="shared" ca="1" si="5"/>
        <v>2567466.6199999996</v>
      </c>
      <c r="O13" s="837">
        <f t="shared" ca="1" si="1"/>
        <v>41.925098510974223</v>
      </c>
      <c r="P13" s="837">
        <f t="shared" ca="1" si="2"/>
        <v>82.516114393407875</v>
      </c>
      <c r="Q13" s="825"/>
      <c r="R13" s="825"/>
      <c r="S13" s="825"/>
      <c r="T13" s="825"/>
      <c r="U13" s="825"/>
      <c r="V13" s="825"/>
      <c r="W13" s="825"/>
      <c r="X13" s="825"/>
      <c r="Y13" s="825"/>
      <c r="Z13" s="825"/>
    </row>
    <row r="14" spans="1:26" ht="18.75">
      <c r="A14" s="826"/>
      <c r="B14" s="827"/>
      <c r="C14" s="827"/>
      <c r="D14" s="828" t="s">
        <v>21</v>
      </c>
      <c r="E14" s="827"/>
      <c r="F14" s="827"/>
      <c r="G14" s="829"/>
      <c r="H14" s="590" t="s">
        <v>12</v>
      </c>
      <c r="I14" s="830"/>
      <c r="J14" s="830"/>
      <c r="K14" s="831"/>
      <c r="L14" s="831">
        <f t="shared" ref="L14:N14" ca="1" si="6">L15+L16</f>
        <v>11708800</v>
      </c>
      <c r="M14" s="831">
        <f t="shared" ca="1" si="6"/>
        <v>11708800</v>
      </c>
      <c r="N14" s="831">
        <f t="shared" ca="1" si="6"/>
        <v>10398800</v>
      </c>
      <c r="O14" s="831">
        <f t="shared" ca="1" si="1"/>
        <v>88.811833834380977</v>
      </c>
      <c r="P14" s="831">
        <f t="shared" ca="1" si="2"/>
        <v>88.811833834380977</v>
      </c>
      <c r="Q14" s="818"/>
      <c r="R14" s="818"/>
      <c r="S14" s="818"/>
      <c r="T14" s="818"/>
      <c r="U14" s="818"/>
      <c r="V14" s="818"/>
      <c r="W14" s="818"/>
      <c r="X14" s="818"/>
      <c r="Y14" s="818"/>
      <c r="Z14" s="818"/>
    </row>
    <row r="15" spans="1:26" ht="18.75" hidden="1">
      <c r="A15" s="832"/>
      <c r="B15" s="833"/>
      <c r="C15" s="833"/>
      <c r="D15" s="833"/>
      <c r="E15" s="834" t="s">
        <v>18</v>
      </c>
      <c r="F15" s="833"/>
      <c r="G15" s="835"/>
      <c r="H15" s="43" t="s">
        <v>12</v>
      </c>
      <c r="I15" s="836"/>
      <c r="J15" s="836"/>
      <c r="K15" s="837"/>
      <c r="L15" s="837">
        <f t="shared" ref="L15:N16" si="7">L25+L35</f>
        <v>0</v>
      </c>
      <c r="M15" s="837">
        <f t="shared" si="7"/>
        <v>0</v>
      </c>
      <c r="N15" s="837">
        <f t="shared" si="7"/>
        <v>0</v>
      </c>
      <c r="O15" s="837">
        <f t="shared" si="1"/>
        <v>0</v>
      </c>
      <c r="P15" s="837">
        <f t="shared" si="2"/>
        <v>0</v>
      </c>
      <c r="Q15" s="825"/>
      <c r="R15" s="825"/>
      <c r="S15" s="825"/>
      <c r="T15" s="825"/>
      <c r="U15" s="825"/>
      <c r="V15" s="825"/>
      <c r="W15" s="825"/>
      <c r="X15" s="825"/>
      <c r="Y15" s="825"/>
      <c r="Z15" s="825"/>
    </row>
    <row r="16" spans="1:26" ht="18.75" hidden="1">
      <c r="A16" s="838"/>
      <c r="B16" s="839"/>
      <c r="C16" s="839"/>
      <c r="D16" s="839"/>
      <c r="E16" s="840" t="s">
        <v>19</v>
      </c>
      <c r="F16" s="839"/>
      <c r="G16" s="841"/>
      <c r="H16" s="50" t="s">
        <v>12</v>
      </c>
      <c r="I16" s="842"/>
      <c r="J16" s="842"/>
      <c r="K16" s="843"/>
      <c r="L16" s="843">
        <f t="shared" ca="1" si="7"/>
        <v>11708800</v>
      </c>
      <c r="M16" s="843">
        <f t="shared" ca="1" si="7"/>
        <v>11708800</v>
      </c>
      <c r="N16" s="843">
        <f t="shared" ca="1" si="7"/>
        <v>10398800</v>
      </c>
      <c r="O16" s="843">
        <f t="shared" ca="1" si="1"/>
        <v>88.811833834380977</v>
      </c>
      <c r="P16" s="843">
        <f t="shared" ca="1" si="2"/>
        <v>88.811833834380977</v>
      </c>
      <c r="Q16" s="825"/>
      <c r="R16" s="825"/>
      <c r="S16" s="825"/>
      <c r="T16" s="825"/>
      <c r="U16" s="825"/>
      <c r="V16" s="825"/>
      <c r="W16" s="825"/>
      <c r="X16" s="825"/>
      <c r="Y16" s="825"/>
      <c r="Z16" s="825"/>
    </row>
    <row r="17" spans="1:26" ht="19.5">
      <c r="A17" s="1512" t="s">
        <v>22</v>
      </c>
      <c r="B17" s="1494"/>
      <c r="C17" s="1494"/>
      <c r="D17" s="1494"/>
      <c r="E17" s="1494"/>
      <c r="F17" s="1494"/>
      <c r="G17" s="1495"/>
      <c r="H17" s="807"/>
      <c r="I17" s="808"/>
      <c r="J17" s="808"/>
      <c r="K17" s="809"/>
      <c r="L17" s="809"/>
      <c r="M17" s="809"/>
      <c r="N17" s="809"/>
      <c r="O17" s="809"/>
      <c r="P17" s="809"/>
    </row>
    <row r="18" spans="1:26" ht="19.5">
      <c r="A18" s="810"/>
      <c r="B18" s="811"/>
      <c r="C18" s="812" t="s">
        <v>16</v>
      </c>
      <c r="D18" s="813" t="s">
        <v>17</v>
      </c>
      <c r="E18" s="811"/>
      <c r="F18" s="811"/>
      <c r="G18" s="814"/>
      <c r="H18" s="19" t="s">
        <v>12</v>
      </c>
      <c r="I18" s="815"/>
      <c r="J18" s="815"/>
      <c r="K18" s="816"/>
      <c r="L18" s="817">
        <f t="shared" ref="L18:N18" ca="1" si="8">L19+L20</f>
        <v>15589855</v>
      </c>
      <c r="M18" s="817">
        <f t="shared" ca="1" si="8"/>
        <v>14820273</v>
      </c>
      <c r="N18" s="817">
        <f t="shared" ca="1" si="8"/>
        <v>12378959.99</v>
      </c>
      <c r="O18" s="817">
        <f t="shared" ref="O18:O26" ca="1" si="9">IF(L18&gt;0,N18*100/L18,0)</f>
        <v>79.403945642855561</v>
      </c>
      <c r="P18" s="817">
        <f t="shared" ref="P18:P26" ca="1" si="10">IF(M18&gt;0,N18*100/M18,0)</f>
        <v>83.527206212733063</v>
      </c>
      <c r="Q18" s="818"/>
      <c r="R18" s="818"/>
      <c r="S18" s="818"/>
      <c r="T18" s="818"/>
      <c r="U18" s="818"/>
      <c r="V18" s="818"/>
      <c r="W18" s="818"/>
      <c r="X18" s="818"/>
      <c r="Y18" s="818"/>
      <c r="Z18" s="818"/>
    </row>
    <row r="19" spans="1:26" ht="18.75" hidden="1">
      <c r="A19" s="819"/>
      <c r="B19" s="820"/>
      <c r="C19" s="820"/>
      <c r="D19" s="820"/>
      <c r="E19" s="821" t="s">
        <v>18</v>
      </c>
      <c r="F19" s="820"/>
      <c r="G19" s="822"/>
      <c r="H19" s="28" t="s">
        <v>12</v>
      </c>
      <c r="I19" s="823"/>
      <c r="J19" s="823"/>
      <c r="K19" s="824"/>
      <c r="L19" s="824">
        <f t="shared" ref="L19:N20" si="11">L22+L25</f>
        <v>0</v>
      </c>
      <c r="M19" s="824">
        <f t="shared" si="11"/>
        <v>0</v>
      </c>
      <c r="N19" s="824">
        <f t="shared" si="11"/>
        <v>0</v>
      </c>
      <c r="O19" s="824">
        <f t="shared" si="9"/>
        <v>0</v>
      </c>
      <c r="P19" s="824">
        <f t="shared" si="10"/>
        <v>0</v>
      </c>
      <c r="Q19" s="825"/>
      <c r="R19" s="825"/>
      <c r="S19" s="825"/>
      <c r="T19" s="825"/>
      <c r="U19" s="825"/>
      <c r="V19" s="825"/>
      <c r="W19" s="825"/>
      <c r="X19" s="825"/>
      <c r="Y19" s="825"/>
      <c r="Z19" s="825"/>
    </row>
    <row r="20" spans="1:26" ht="18.75" hidden="1">
      <c r="A20" s="819"/>
      <c r="B20" s="820"/>
      <c r="C20" s="820"/>
      <c r="D20" s="820"/>
      <c r="E20" s="821" t="s">
        <v>19</v>
      </c>
      <c r="F20" s="820"/>
      <c r="G20" s="822"/>
      <c r="H20" s="28" t="s">
        <v>12</v>
      </c>
      <c r="I20" s="823"/>
      <c r="J20" s="823"/>
      <c r="K20" s="824"/>
      <c r="L20" s="824">
        <f t="shared" ca="1" si="11"/>
        <v>15589855</v>
      </c>
      <c r="M20" s="824">
        <f t="shared" ca="1" si="11"/>
        <v>14820273</v>
      </c>
      <c r="N20" s="824">
        <f t="shared" ca="1" si="11"/>
        <v>12378959.99</v>
      </c>
      <c r="O20" s="824">
        <f t="shared" ca="1" si="9"/>
        <v>79.403945642855561</v>
      </c>
      <c r="P20" s="824">
        <f t="shared" ca="1" si="10"/>
        <v>83.527206212733063</v>
      </c>
      <c r="Q20" s="825"/>
      <c r="R20" s="825"/>
      <c r="S20" s="825"/>
      <c r="T20" s="825"/>
      <c r="U20" s="825"/>
      <c r="V20" s="825"/>
      <c r="W20" s="825"/>
      <c r="X20" s="825"/>
      <c r="Y20" s="825"/>
      <c r="Z20" s="825"/>
    </row>
    <row r="21" spans="1:26" ht="18.75">
      <c r="A21" s="826"/>
      <c r="B21" s="827"/>
      <c r="C21" s="827"/>
      <c r="D21" s="828" t="s">
        <v>20</v>
      </c>
      <c r="E21" s="827"/>
      <c r="F21" s="827"/>
      <c r="G21" s="829"/>
      <c r="H21" s="590" t="s">
        <v>12</v>
      </c>
      <c r="I21" s="830"/>
      <c r="J21" s="830"/>
      <c r="K21" s="831"/>
      <c r="L21" s="831">
        <f t="shared" ref="L21:N21" ca="1" si="12">L22+L23</f>
        <v>3881055</v>
      </c>
      <c r="M21" s="831">
        <f t="shared" ca="1" si="12"/>
        <v>3111473</v>
      </c>
      <c r="N21" s="831">
        <f t="shared" ca="1" si="12"/>
        <v>1980159.9899999998</v>
      </c>
      <c r="O21" s="831">
        <f t="shared" ca="1" si="9"/>
        <v>51.02117826209625</v>
      </c>
      <c r="P21" s="831">
        <f t="shared" ca="1" si="10"/>
        <v>63.640596913423309</v>
      </c>
      <c r="Q21" s="818"/>
      <c r="R21" s="818"/>
      <c r="S21" s="818"/>
      <c r="T21" s="818"/>
      <c r="U21" s="818"/>
      <c r="V21" s="818"/>
      <c r="W21" s="818"/>
      <c r="X21" s="818"/>
      <c r="Y21" s="818"/>
      <c r="Z21" s="818"/>
    </row>
    <row r="22" spans="1:26" ht="18.75" hidden="1">
      <c r="A22" s="832"/>
      <c r="B22" s="833"/>
      <c r="C22" s="833"/>
      <c r="D22" s="833"/>
      <c r="E22" s="834" t="s">
        <v>18</v>
      </c>
      <c r="F22" s="833"/>
      <c r="G22" s="835"/>
      <c r="H22" s="43" t="s">
        <v>12</v>
      </c>
      <c r="I22" s="836"/>
      <c r="J22" s="836"/>
      <c r="K22" s="837"/>
      <c r="L22" s="837">
        <f t="shared" ref="L22:N23" si="13">L45+L57+L70+L92+L123+L136+L153+L185+L169+L265+L281+L302+L319+L332+L349+L393+L406</f>
        <v>0</v>
      </c>
      <c r="M22" s="837">
        <f t="shared" si="13"/>
        <v>0</v>
      </c>
      <c r="N22" s="837">
        <f t="shared" si="13"/>
        <v>0</v>
      </c>
      <c r="O22" s="837">
        <f t="shared" si="9"/>
        <v>0</v>
      </c>
      <c r="P22" s="837">
        <f t="shared" si="10"/>
        <v>0</v>
      </c>
      <c r="Q22" s="825"/>
      <c r="R22" s="825"/>
      <c r="S22" s="825"/>
      <c r="T22" s="825"/>
      <c r="U22" s="825"/>
      <c r="V22" s="825"/>
      <c r="W22" s="825"/>
      <c r="X22" s="825"/>
      <c r="Y22" s="825"/>
      <c r="Z22" s="825"/>
    </row>
    <row r="23" spans="1:26" ht="18.75" hidden="1">
      <c r="A23" s="832"/>
      <c r="B23" s="833"/>
      <c r="C23" s="833"/>
      <c r="D23" s="833"/>
      <c r="E23" s="834" t="s">
        <v>19</v>
      </c>
      <c r="F23" s="833"/>
      <c r="G23" s="835"/>
      <c r="H23" s="43" t="s">
        <v>12</v>
      </c>
      <c r="I23" s="836"/>
      <c r="J23" s="836"/>
      <c r="K23" s="837"/>
      <c r="L23" s="837">
        <f t="shared" ca="1" si="13"/>
        <v>3881055</v>
      </c>
      <c r="M23" s="837">
        <f t="shared" ca="1" si="13"/>
        <v>3111473</v>
      </c>
      <c r="N23" s="837">
        <f t="shared" ca="1" si="13"/>
        <v>1980159.9899999998</v>
      </c>
      <c r="O23" s="837">
        <f t="shared" ca="1" si="9"/>
        <v>51.02117826209625</v>
      </c>
      <c r="P23" s="837">
        <f t="shared" ca="1" si="10"/>
        <v>63.640596913423309</v>
      </c>
      <c r="Q23" s="825"/>
      <c r="R23" s="825"/>
      <c r="S23" s="825"/>
      <c r="T23" s="825"/>
      <c r="U23" s="825"/>
      <c r="V23" s="825"/>
      <c r="W23" s="825"/>
      <c r="X23" s="825"/>
      <c r="Y23" s="825"/>
      <c r="Z23" s="825"/>
    </row>
    <row r="24" spans="1:26" ht="18.75">
      <c r="A24" s="826"/>
      <c r="B24" s="827"/>
      <c r="C24" s="827"/>
      <c r="D24" s="828" t="s">
        <v>21</v>
      </c>
      <c r="E24" s="827"/>
      <c r="F24" s="827"/>
      <c r="G24" s="829"/>
      <c r="H24" s="590" t="s">
        <v>12</v>
      </c>
      <c r="I24" s="830"/>
      <c r="J24" s="830"/>
      <c r="K24" s="831"/>
      <c r="L24" s="831">
        <f t="shared" ref="L24:N24" ca="1" si="14">L25+L26</f>
        <v>11708800</v>
      </c>
      <c r="M24" s="831">
        <f t="shared" ca="1" si="14"/>
        <v>11708800</v>
      </c>
      <c r="N24" s="831">
        <f t="shared" ca="1" si="14"/>
        <v>10398800</v>
      </c>
      <c r="O24" s="831">
        <f t="shared" ca="1" si="9"/>
        <v>88.811833834380977</v>
      </c>
      <c r="P24" s="831">
        <f t="shared" ca="1" si="10"/>
        <v>88.811833834380977</v>
      </c>
      <c r="Q24" s="818"/>
      <c r="R24" s="818"/>
      <c r="S24" s="818"/>
      <c r="T24" s="818"/>
      <c r="U24" s="818"/>
      <c r="V24" s="818"/>
      <c r="W24" s="818"/>
      <c r="X24" s="818"/>
      <c r="Y24" s="818"/>
      <c r="Z24" s="818"/>
    </row>
    <row r="25" spans="1:26" ht="18.75" hidden="1">
      <c r="A25" s="832"/>
      <c r="B25" s="833"/>
      <c r="C25" s="833"/>
      <c r="D25" s="833"/>
      <c r="E25" s="834" t="s">
        <v>18</v>
      </c>
      <c r="F25" s="833"/>
      <c r="G25" s="835"/>
      <c r="H25" s="43" t="s">
        <v>12</v>
      </c>
      <c r="I25" s="836"/>
      <c r="J25" s="836"/>
      <c r="K25" s="837"/>
      <c r="L25" s="837">
        <f t="shared" ref="L25:N26" si="15">L48+L60+L73+L95+L126+L139+L156+L188+L172+L268+L284+L305+L322+L335+L352+L396+L409</f>
        <v>0</v>
      </c>
      <c r="M25" s="837">
        <f t="shared" si="15"/>
        <v>0</v>
      </c>
      <c r="N25" s="837">
        <f t="shared" si="15"/>
        <v>0</v>
      </c>
      <c r="O25" s="837">
        <f t="shared" si="9"/>
        <v>0</v>
      </c>
      <c r="P25" s="837">
        <f t="shared" si="10"/>
        <v>0</v>
      </c>
      <c r="Q25" s="825"/>
      <c r="R25" s="825"/>
      <c r="S25" s="825"/>
      <c r="T25" s="825"/>
      <c r="U25" s="825"/>
      <c r="V25" s="825"/>
      <c r="W25" s="825"/>
      <c r="X25" s="825"/>
      <c r="Y25" s="825"/>
      <c r="Z25" s="825"/>
    </row>
    <row r="26" spans="1:26" ht="18.75" hidden="1">
      <c r="A26" s="838"/>
      <c r="B26" s="839"/>
      <c r="C26" s="839"/>
      <c r="D26" s="839"/>
      <c r="E26" s="840" t="s">
        <v>19</v>
      </c>
      <c r="F26" s="839"/>
      <c r="G26" s="841"/>
      <c r="H26" s="50" t="s">
        <v>12</v>
      </c>
      <c r="I26" s="842"/>
      <c r="J26" s="842"/>
      <c r="K26" s="843"/>
      <c r="L26" s="843">
        <f t="shared" ca="1" si="15"/>
        <v>11708800</v>
      </c>
      <c r="M26" s="843">
        <f t="shared" ca="1" si="15"/>
        <v>11708800</v>
      </c>
      <c r="N26" s="843">
        <f t="shared" ca="1" si="15"/>
        <v>10398800</v>
      </c>
      <c r="O26" s="843">
        <f t="shared" ca="1" si="9"/>
        <v>88.811833834380977</v>
      </c>
      <c r="P26" s="843">
        <f t="shared" ca="1" si="10"/>
        <v>88.811833834380977</v>
      </c>
      <c r="Q26" s="825"/>
      <c r="R26" s="825"/>
      <c r="S26" s="825"/>
      <c r="T26" s="825"/>
      <c r="U26" s="825"/>
      <c r="V26" s="825"/>
      <c r="W26" s="825"/>
      <c r="X26" s="825"/>
      <c r="Y26" s="825"/>
      <c r="Z26" s="825"/>
    </row>
    <row r="27" spans="1:26" ht="19.5">
      <c r="A27" s="1512" t="s">
        <v>23</v>
      </c>
      <c r="B27" s="1494"/>
      <c r="C27" s="1494"/>
      <c r="D27" s="1494"/>
      <c r="E27" s="1494"/>
      <c r="F27" s="1494"/>
      <c r="G27" s="1495"/>
      <c r="H27" s="807"/>
      <c r="I27" s="808"/>
      <c r="J27" s="808"/>
      <c r="K27" s="809"/>
      <c r="L27" s="809"/>
      <c r="M27" s="809"/>
      <c r="N27" s="809"/>
      <c r="O27" s="809"/>
      <c r="P27" s="809"/>
    </row>
    <row r="28" spans="1:26" ht="19.5">
      <c r="A28" s="810"/>
      <c r="B28" s="811"/>
      <c r="C28" s="812" t="s">
        <v>16</v>
      </c>
      <c r="D28" s="813" t="s">
        <v>17</v>
      </c>
      <c r="E28" s="811"/>
      <c r="F28" s="811"/>
      <c r="G28" s="814"/>
      <c r="H28" s="19" t="s">
        <v>12</v>
      </c>
      <c r="I28" s="815"/>
      <c r="J28" s="815"/>
      <c r="K28" s="816"/>
      <c r="L28" s="817">
        <f t="shared" ref="L28:N28" ca="1" si="16">L29+L30</f>
        <v>2242882</v>
      </c>
      <c r="M28" s="817">
        <f t="shared" si="16"/>
        <v>0</v>
      </c>
      <c r="N28" s="817">
        <f t="shared" si="16"/>
        <v>587306.63</v>
      </c>
      <c r="O28" s="817">
        <f t="shared" ref="O28:O37" ca="1" si="17">IF(L28&gt;0,N28*100/L28,0)</f>
        <v>26.18535571643983</v>
      </c>
      <c r="P28" s="817">
        <f t="shared" ref="P28:P37" si="18">IF(M28&gt;0,N28*100/M28,0)</f>
        <v>0</v>
      </c>
      <c r="Q28" s="818"/>
      <c r="R28" s="818"/>
      <c r="S28" s="818"/>
      <c r="T28" s="818"/>
      <c r="U28" s="818"/>
      <c r="V28" s="818"/>
      <c r="W28" s="818"/>
      <c r="X28" s="818"/>
      <c r="Y28" s="818"/>
      <c r="Z28" s="818"/>
    </row>
    <row r="29" spans="1:26" ht="18.75" hidden="1">
      <c r="A29" s="819"/>
      <c r="B29" s="820"/>
      <c r="C29" s="820"/>
      <c r="D29" s="820"/>
      <c r="E29" s="821" t="s">
        <v>18</v>
      </c>
      <c r="F29" s="820"/>
      <c r="G29" s="822"/>
      <c r="H29" s="28" t="s">
        <v>12</v>
      </c>
      <c r="I29" s="823"/>
      <c r="J29" s="823"/>
      <c r="K29" s="824"/>
      <c r="L29" s="824">
        <f t="shared" ref="L29:N30" si="19">L32+L35</f>
        <v>0</v>
      </c>
      <c r="M29" s="824">
        <f t="shared" si="19"/>
        <v>0</v>
      </c>
      <c r="N29" s="824">
        <f t="shared" si="19"/>
        <v>0</v>
      </c>
      <c r="O29" s="824">
        <f t="shared" si="17"/>
        <v>0</v>
      </c>
      <c r="P29" s="824">
        <f t="shared" si="18"/>
        <v>0</v>
      </c>
      <c r="Q29" s="825"/>
      <c r="R29" s="825"/>
      <c r="S29" s="825"/>
      <c r="T29" s="825"/>
      <c r="U29" s="825"/>
      <c r="V29" s="825"/>
      <c r="W29" s="825"/>
      <c r="X29" s="825"/>
      <c r="Y29" s="825"/>
      <c r="Z29" s="825"/>
    </row>
    <row r="30" spans="1:26" ht="18.75" hidden="1">
      <c r="A30" s="819"/>
      <c r="B30" s="820"/>
      <c r="C30" s="820"/>
      <c r="D30" s="820"/>
      <c r="E30" s="821" t="s">
        <v>19</v>
      </c>
      <c r="F30" s="820"/>
      <c r="G30" s="822"/>
      <c r="H30" s="28" t="s">
        <v>12</v>
      </c>
      <c r="I30" s="823"/>
      <c r="J30" s="823"/>
      <c r="K30" s="824"/>
      <c r="L30" s="824">
        <f t="shared" ca="1" si="19"/>
        <v>2242882</v>
      </c>
      <c r="M30" s="824">
        <f t="shared" si="19"/>
        <v>0</v>
      </c>
      <c r="N30" s="824">
        <f t="shared" si="19"/>
        <v>587306.63</v>
      </c>
      <c r="O30" s="824">
        <f t="shared" ca="1" si="17"/>
        <v>26.18535571643983</v>
      </c>
      <c r="P30" s="824">
        <f t="shared" si="18"/>
        <v>0</v>
      </c>
      <c r="Q30" s="825"/>
      <c r="R30" s="825"/>
      <c r="S30" s="825"/>
      <c r="T30" s="825"/>
      <c r="U30" s="825"/>
      <c r="V30" s="825"/>
      <c r="W30" s="825"/>
      <c r="X30" s="825"/>
      <c r="Y30" s="825"/>
      <c r="Z30" s="825"/>
    </row>
    <row r="31" spans="1:26" ht="18.75">
      <c r="A31" s="826"/>
      <c r="B31" s="827"/>
      <c r="C31" s="827"/>
      <c r="D31" s="828" t="s">
        <v>20</v>
      </c>
      <c r="E31" s="827"/>
      <c r="F31" s="827"/>
      <c r="G31" s="829"/>
      <c r="H31" s="590" t="s">
        <v>12</v>
      </c>
      <c r="I31" s="830"/>
      <c r="J31" s="830"/>
      <c r="K31" s="831"/>
      <c r="L31" s="831">
        <f t="shared" ref="L31:N31" ca="1" si="20">L32+L33</f>
        <v>2242882</v>
      </c>
      <c r="M31" s="831">
        <f t="shared" si="20"/>
        <v>0</v>
      </c>
      <c r="N31" s="831">
        <f t="shared" si="20"/>
        <v>587306.63</v>
      </c>
      <c r="O31" s="831">
        <f t="shared" ca="1" si="17"/>
        <v>26.18535571643983</v>
      </c>
      <c r="P31" s="831">
        <f t="shared" si="18"/>
        <v>0</v>
      </c>
      <c r="Q31" s="818"/>
      <c r="R31" s="818"/>
      <c r="S31" s="818"/>
      <c r="T31" s="818"/>
      <c r="U31" s="818"/>
      <c r="V31" s="818"/>
      <c r="W31" s="818"/>
      <c r="X31" s="818"/>
      <c r="Y31" s="818"/>
      <c r="Z31" s="818"/>
    </row>
    <row r="32" spans="1:26" ht="18.75" hidden="1">
      <c r="A32" s="832"/>
      <c r="B32" s="833"/>
      <c r="C32" s="833"/>
      <c r="D32" s="833"/>
      <c r="E32" s="834" t="s">
        <v>18</v>
      </c>
      <c r="F32" s="833"/>
      <c r="G32" s="835"/>
      <c r="H32" s="43" t="s">
        <v>12</v>
      </c>
      <c r="I32" s="836"/>
      <c r="J32" s="836"/>
      <c r="K32" s="837"/>
      <c r="L32" s="837">
        <f t="shared" ref="L32:N33" si="21">L423+L448+L471+L506+L527+L548+L633+L659+L689+L741+L758+L774+L790+L809</f>
        <v>0</v>
      </c>
      <c r="M32" s="837">
        <f t="shared" si="21"/>
        <v>0</v>
      </c>
      <c r="N32" s="837">
        <f t="shared" si="21"/>
        <v>0</v>
      </c>
      <c r="O32" s="837">
        <f t="shared" si="17"/>
        <v>0</v>
      </c>
      <c r="P32" s="837">
        <f t="shared" si="18"/>
        <v>0</v>
      </c>
      <c r="Q32" s="825"/>
      <c r="R32" s="825"/>
      <c r="S32" s="825"/>
      <c r="T32" s="825"/>
      <c r="U32" s="825"/>
      <c r="V32" s="825"/>
      <c r="W32" s="825"/>
      <c r="X32" s="825"/>
      <c r="Y32" s="825"/>
      <c r="Z32" s="825"/>
    </row>
    <row r="33" spans="1:26" ht="18.75" hidden="1">
      <c r="A33" s="832"/>
      <c r="B33" s="833"/>
      <c r="C33" s="833"/>
      <c r="D33" s="833"/>
      <c r="E33" s="834" t="s">
        <v>19</v>
      </c>
      <c r="F33" s="833"/>
      <c r="G33" s="835"/>
      <c r="H33" s="43" t="s">
        <v>12</v>
      </c>
      <c r="I33" s="836"/>
      <c r="J33" s="836"/>
      <c r="K33" s="837"/>
      <c r="L33" s="837">
        <f t="shared" ca="1" si="21"/>
        <v>2242882</v>
      </c>
      <c r="M33" s="837">
        <f t="shared" si="21"/>
        <v>0</v>
      </c>
      <c r="N33" s="837">
        <f t="shared" si="21"/>
        <v>587306.63</v>
      </c>
      <c r="O33" s="837">
        <f t="shared" ca="1" si="17"/>
        <v>26.18535571643983</v>
      </c>
      <c r="P33" s="837">
        <f t="shared" si="18"/>
        <v>0</v>
      </c>
      <c r="Q33" s="825"/>
      <c r="R33" s="825"/>
      <c r="S33" s="825"/>
      <c r="T33" s="825"/>
      <c r="U33" s="825"/>
      <c r="V33" s="825"/>
      <c r="W33" s="825"/>
      <c r="X33" s="825"/>
      <c r="Y33" s="825"/>
      <c r="Z33" s="825"/>
    </row>
    <row r="34" spans="1:26" ht="18.75">
      <c r="A34" s="826"/>
      <c r="B34" s="827"/>
      <c r="C34" s="827"/>
      <c r="D34" s="828" t="s">
        <v>21</v>
      </c>
      <c r="E34" s="827"/>
      <c r="F34" s="827"/>
      <c r="G34" s="829"/>
      <c r="H34" s="590" t="s">
        <v>12</v>
      </c>
      <c r="I34" s="830"/>
      <c r="J34" s="830"/>
      <c r="K34" s="831"/>
      <c r="L34" s="831">
        <f t="shared" ref="L34:N34" ca="1" si="22">L35+L36</f>
        <v>0</v>
      </c>
      <c r="M34" s="831">
        <f t="shared" si="22"/>
        <v>0</v>
      </c>
      <c r="N34" s="831">
        <f t="shared" si="22"/>
        <v>0</v>
      </c>
      <c r="O34" s="831">
        <f t="shared" ca="1" si="17"/>
        <v>0</v>
      </c>
      <c r="P34" s="831">
        <f t="shared" si="18"/>
        <v>0</v>
      </c>
      <c r="Q34" s="818"/>
      <c r="R34" s="818"/>
      <c r="S34" s="818"/>
      <c r="T34" s="818"/>
      <c r="U34" s="818"/>
      <c r="V34" s="818"/>
      <c r="W34" s="818"/>
      <c r="X34" s="818"/>
      <c r="Y34" s="818"/>
      <c r="Z34" s="818"/>
    </row>
    <row r="35" spans="1:26" ht="18.75" hidden="1">
      <c r="A35" s="832"/>
      <c r="B35" s="833"/>
      <c r="C35" s="833"/>
      <c r="D35" s="833"/>
      <c r="E35" s="834" t="s">
        <v>18</v>
      </c>
      <c r="F35" s="833"/>
      <c r="G35" s="835"/>
      <c r="H35" s="43" t="s">
        <v>12</v>
      </c>
      <c r="I35" s="836"/>
      <c r="J35" s="836"/>
      <c r="K35" s="837"/>
      <c r="L35" s="837">
        <f t="shared" ref="L35:N36" si="23">L430+L455+L478+L513+L534+L556+L640+L666+L696+L748+L765+L781+L797+L816</f>
        <v>0</v>
      </c>
      <c r="M35" s="837">
        <f t="shared" si="23"/>
        <v>0</v>
      </c>
      <c r="N35" s="837">
        <f t="shared" si="23"/>
        <v>0</v>
      </c>
      <c r="O35" s="837">
        <f t="shared" si="17"/>
        <v>0</v>
      </c>
      <c r="P35" s="837">
        <f t="shared" si="18"/>
        <v>0</v>
      </c>
      <c r="Q35" s="825"/>
      <c r="R35" s="825"/>
      <c r="S35" s="825"/>
      <c r="T35" s="825"/>
      <c r="U35" s="825"/>
      <c r="V35" s="825"/>
      <c r="W35" s="825"/>
      <c r="X35" s="825"/>
      <c r="Y35" s="825"/>
      <c r="Z35" s="825"/>
    </row>
    <row r="36" spans="1:26" ht="18.75" hidden="1">
      <c r="A36" s="838"/>
      <c r="B36" s="839"/>
      <c r="C36" s="839"/>
      <c r="D36" s="839"/>
      <c r="E36" s="840" t="s">
        <v>19</v>
      </c>
      <c r="F36" s="839"/>
      <c r="G36" s="841"/>
      <c r="H36" s="50" t="s">
        <v>12</v>
      </c>
      <c r="I36" s="842"/>
      <c r="J36" s="842"/>
      <c r="K36" s="843"/>
      <c r="L36" s="843">
        <f t="shared" ca="1" si="23"/>
        <v>0</v>
      </c>
      <c r="M36" s="843">
        <f t="shared" si="23"/>
        <v>0</v>
      </c>
      <c r="N36" s="843">
        <f t="shared" si="23"/>
        <v>0</v>
      </c>
      <c r="O36" s="843">
        <f t="shared" ca="1" si="17"/>
        <v>0</v>
      </c>
      <c r="P36" s="843">
        <f t="shared" si="18"/>
        <v>0</v>
      </c>
      <c r="Q36" s="825"/>
      <c r="R36" s="825"/>
      <c r="S36" s="825"/>
      <c r="T36" s="825"/>
      <c r="U36" s="825"/>
      <c r="V36" s="825"/>
      <c r="W36" s="825"/>
      <c r="X36" s="825"/>
      <c r="Y36" s="825"/>
      <c r="Z36" s="825"/>
    </row>
    <row r="37" spans="1:26" ht="19.5">
      <c r="A37" s="844" t="s">
        <v>24</v>
      </c>
      <c r="B37" s="845"/>
      <c r="C37" s="845"/>
      <c r="D37" s="845"/>
      <c r="E37" s="845"/>
      <c r="F37" s="845"/>
      <c r="G37" s="846"/>
      <c r="H37" s="847"/>
      <c r="I37" s="848"/>
      <c r="J37" s="848"/>
      <c r="K37" s="849"/>
      <c r="L37" s="850">
        <f t="shared" ref="L37:N37" ca="1" si="24">L41+L53+L66+L88+L119+L132+L149+L165+L181+L261+L277+L298+L315+L328+L345+L389+L402</f>
        <v>15589855</v>
      </c>
      <c r="M37" s="850">
        <f t="shared" ca="1" si="24"/>
        <v>14820273</v>
      </c>
      <c r="N37" s="850">
        <f t="shared" ca="1" si="24"/>
        <v>12378959.99</v>
      </c>
      <c r="O37" s="850">
        <f t="shared" ca="1" si="17"/>
        <v>79.403945642855561</v>
      </c>
      <c r="P37" s="850">
        <f t="shared" ca="1" si="18"/>
        <v>83.527206212733063</v>
      </c>
    </row>
    <row r="38" spans="1:26" ht="19.5">
      <c r="A38" s="851" t="s">
        <v>25</v>
      </c>
      <c r="B38" s="852"/>
      <c r="C38" s="852"/>
      <c r="D38" s="852"/>
      <c r="E38" s="852"/>
      <c r="F38" s="852"/>
      <c r="G38" s="853"/>
      <c r="H38" s="854"/>
      <c r="I38" s="855"/>
      <c r="J38" s="855"/>
      <c r="K38" s="856"/>
      <c r="L38" s="856"/>
      <c r="M38" s="856"/>
      <c r="N38" s="856"/>
      <c r="O38" s="856"/>
      <c r="P38" s="856"/>
    </row>
    <row r="39" spans="1:26" ht="19.5">
      <c r="A39" s="857"/>
      <c r="B39" s="858" t="s">
        <v>26</v>
      </c>
      <c r="C39" s="859"/>
      <c r="D39" s="859"/>
      <c r="E39" s="859"/>
      <c r="F39" s="859"/>
      <c r="G39" s="860"/>
      <c r="H39" s="861"/>
      <c r="I39" s="862"/>
      <c r="J39" s="862"/>
      <c r="K39" s="863"/>
      <c r="L39" s="863"/>
      <c r="M39" s="863"/>
      <c r="N39" s="863"/>
      <c r="O39" s="863"/>
      <c r="P39" s="863"/>
    </row>
    <row r="40" spans="1:26" ht="19.5">
      <c r="A40" s="864"/>
      <c r="B40" s="1513" t="s">
        <v>27</v>
      </c>
      <c r="C40" s="1485"/>
      <c r="D40" s="1485"/>
      <c r="E40" s="1485"/>
      <c r="F40" s="1485"/>
      <c r="G40" s="1491"/>
      <c r="H40" s="865"/>
      <c r="I40" s="866"/>
      <c r="J40" s="866"/>
      <c r="K40" s="867"/>
      <c r="L40" s="867"/>
      <c r="M40" s="867"/>
      <c r="N40" s="867"/>
      <c r="O40" s="867"/>
      <c r="P40" s="867"/>
    </row>
    <row r="41" spans="1:26" ht="19.5">
      <c r="A41" s="868"/>
      <c r="B41" s="869"/>
      <c r="C41" s="870" t="s">
        <v>16</v>
      </c>
      <c r="D41" s="871" t="s">
        <v>17</v>
      </c>
      <c r="E41" s="869"/>
      <c r="F41" s="869"/>
      <c r="G41" s="872"/>
      <c r="H41" s="82" t="s">
        <v>12</v>
      </c>
      <c r="I41" s="873"/>
      <c r="J41" s="873"/>
      <c r="K41" s="874"/>
      <c r="L41" s="875">
        <f t="shared" ref="L41:N41" ca="1" si="25">L42+L43</f>
        <v>443200</v>
      </c>
      <c r="M41" s="875">
        <f t="shared" ca="1" si="25"/>
        <v>454068</v>
      </c>
      <c r="N41" s="875">
        <f t="shared" ca="1" si="25"/>
        <v>255181.2</v>
      </c>
      <c r="O41" s="875">
        <f t="shared" ref="O41:O49" ca="1" si="26">IF(L41&gt;0,N41*100/L41,0)</f>
        <v>57.576985559566786</v>
      </c>
      <c r="P41" s="875">
        <f t="shared" ref="P41:P49" ca="1" si="27">IF(M41&gt;0,N41*100/M41,0)</f>
        <v>56.198895319643754</v>
      </c>
      <c r="Q41" s="818"/>
      <c r="R41" s="818"/>
      <c r="S41" s="818"/>
      <c r="T41" s="818"/>
      <c r="U41" s="818"/>
      <c r="V41" s="818"/>
      <c r="W41" s="818"/>
      <c r="X41" s="818"/>
      <c r="Y41" s="818"/>
      <c r="Z41" s="818"/>
    </row>
    <row r="42" spans="1:26" ht="18.75" hidden="1">
      <c r="A42" s="876"/>
      <c r="B42" s="877"/>
      <c r="C42" s="877"/>
      <c r="D42" s="877"/>
      <c r="E42" s="878" t="s">
        <v>18</v>
      </c>
      <c r="F42" s="877"/>
      <c r="G42" s="879"/>
      <c r="H42" s="90" t="s">
        <v>12</v>
      </c>
      <c r="I42" s="880"/>
      <c r="J42" s="880"/>
      <c r="K42" s="881"/>
      <c r="L42" s="881">
        <f t="shared" ref="L42:N43" si="28">L45+L48</f>
        <v>0</v>
      </c>
      <c r="M42" s="881">
        <f t="shared" si="28"/>
        <v>0</v>
      </c>
      <c r="N42" s="881">
        <f t="shared" si="28"/>
        <v>0</v>
      </c>
      <c r="O42" s="881">
        <f t="shared" si="26"/>
        <v>0</v>
      </c>
      <c r="P42" s="881">
        <f t="shared" si="27"/>
        <v>0</v>
      </c>
      <c r="Q42" s="825"/>
      <c r="R42" s="825"/>
      <c r="S42" s="825"/>
      <c r="T42" s="825"/>
      <c r="U42" s="825"/>
      <c r="V42" s="825"/>
      <c r="W42" s="825"/>
      <c r="X42" s="825"/>
      <c r="Y42" s="825"/>
      <c r="Z42" s="825"/>
    </row>
    <row r="43" spans="1:26" ht="18.75" hidden="1">
      <c r="A43" s="876"/>
      <c r="B43" s="877"/>
      <c r="C43" s="877"/>
      <c r="D43" s="877"/>
      <c r="E43" s="878" t="s">
        <v>19</v>
      </c>
      <c r="F43" s="877"/>
      <c r="G43" s="879"/>
      <c r="H43" s="90" t="s">
        <v>12</v>
      </c>
      <c r="I43" s="880"/>
      <c r="J43" s="880"/>
      <c r="K43" s="881"/>
      <c r="L43" s="881">
        <f t="shared" ca="1" si="28"/>
        <v>443200</v>
      </c>
      <c r="M43" s="881">
        <f t="shared" ca="1" si="28"/>
        <v>454068</v>
      </c>
      <c r="N43" s="881">
        <f t="shared" ca="1" si="28"/>
        <v>255181.2</v>
      </c>
      <c r="O43" s="881">
        <f t="shared" ca="1" si="26"/>
        <v>57.576985559566786</v>
      </c>
      <c r="P43" s="881">
        <f t="shared" ca="1" si="27"/>
        <v>56.198895319643754</v>
      </c>
      <c r="Q43" s="825"/>
      <c r="R43" s="825"/>
      <c r="S43" s="825"/>
      <c r="T43" s="825"/>
      <c r="U43" s="825"/>
      <c r="V43" s="825"/>
      <c r="W43" s="825"/>
      <c r="X43" s="825"/>
      <c r="Y43" s="825"/>
      <c r="Z43" s="825"/>
    </row>
    <row r="44" spans="1:26" ht="18.75">
      <c r="A44" s="826"/>
      <c r="B44" s="827"/>
      <c r="C44" s="827"/>
      <c r="D44" s="828" t="s">
        <v>20</v>
      </c>
      <c r="E44" s="827"/>
      <c r="F44" s="827"/>
      <c r="G44" s="829"/>
      <c r="H44" s="590" t="s">
        <v>12</v>
      </c>
      <c r="I44" s="830"/>
      <c r="J44" s="830"/>
      <c r="K44" s="831"/>
      <c r="L44" s="831">
        <f t="shared" ref="L44:N44" ca="1" si="29">L45+L46</f>
        <v>443200</v>
      </c>
      <c r="M44" s="831">
        <f t="shared" ca="1" si="29"/>
        <v>454068</v>
      </c>
      <c r="N44" s="831">
        <f t="shared" ca="1" si="29"/>
        <v>255181.2</v>
      </c>
      <c r="O44" s="831">
        <f t="shared" ca="1" si="26"/>
        <v>57.576985559566786</v>
      </c>
      <c r="P44" s="831">
        <f t="shared" ca="1" si="27"/>
        <v>56.198895319643754</v>
      </c>
      <c r="Q44" s="818"/>
      <c r="R44" s="818"/>
      <c r="S44" s="818"/>
      <c r="T44" s="818"/>
      <c r="U44" s="818"/>
      <c r="V44" s="818"/>
      <c r="W44" s="818"/>
      <c r="X44" s="818"/>
      <c r="Y44" s="818"/>
      <c r="Z44" s="818"/>
    </row>
    <row r="45" spans="1:26" ht="18.75" hidden="1">
      <c r="A45" s="832"/>
      <c r="B45" s="833"/>
      <c r="C45" s="833"/>
      <c r="D45" s="833"/>
      <c r="E45" s="834" t="s">
        <v>18</v>
      </c>
      <c r="F45" s="833"/>
      <c r="G45" s="835"/>
      <c r="H45" s="43" t="s">
        <v>12</v>
      </c>
      <c r="I45" s="836"/>
      <c r="J45" s="836"/>
      <c r="K45" s="837"/>
      <c r="L45" s="837">
        <v>0</v>
      </c>
      <c r="M45" s="837">
        <v>0</v>
      </c>
      <c r="N45" s="837">
        <v>0</v>
      </c>
      <c r="O45" s="837">
        <f t="shared" si="26"/>
        <v>0</v>
      </c>
      <c r="P45" s="837">
        <f t="shared" si="27"/>
        <v>0</v>
      </c>
      <c r="Q45" s="825"/>
      <c r="R45" s="825"/>
      <c r="S45" s="825"/>
      <c r="T45" s="825"/>
      <c r="U45" s="825"/>
      <c r="V45" s="825"/>
      <c r="W45" s="825"/>
      <c r="X45" s="825"/>
      <c r="Y45" s="825"/>
      <c r="Z45" s="825"/>
    </row>
    <row r="46" spans="1:26" ht="18.75" hidden="1">
      <c r="A46" s="832"/>
      <c r="B46" s="833"/>
      <c r="C46" s="833"/>
      <c r="D46" s="833"/>
      <c r="E46" s="834" t="s">
        <v>19</v>
      </c>
      <c r="F46" s="833"/>
      <c r="G46" s="835"/>
      <c r="H46" s="43" t="s">
        <v>12</v>
      </c>
      <c r="I46" s="836"/>
      <c r="J46" s="836"/>
      <c r="K46" s="837"/>
      <c r="L46" s="837">
        <f ca="1">IFERROR(__xludf.DUMMYFUNCTION("IMPORTRANGE(""https://docs.google.com/spreadsheets/d/1MeEWN-I1oV_STSDYn1IFDPWt_1FKiwhDph83XaGc0o0/edit?usp=sharing"",""งบพรบ!M22"")"),443200)</f>
        <v>443200</v>
      </c>
      <c r="M46" s="837">
        <f ca="1">IFERROR(__xludf.DUMMYFUNCTION("IMPORTRANGE(""https://docs.google.com/spreadsheets/d/1MeEWN-I1oV_STSDYn1IFDPWt_1FKiwhDph83XaGc0o0/edit?usp=sharing"",""งบพรบ!R22"")"),454068)</f>
        <v>454068</v>
      </c>
      <c r="N46" s="837">
        <f ca="1">IFERROR(__xludf.DUMMYFUNCTION("IMPORTRANGE(""https://docs.google.com/spreadsheets/d/1MeEWN-I1oV_STSDYn1IFDPWt_1FKiwhDph83XaGc0o0/edit?usp=sharing"",""งบพรบ!T22"")"),255181.2)</f>
        <v>255181.2</v>
      </c>
      <c r="O46" s="837">
        <f t="shared" ca="1" si="26"/>
        <v>57.576985559566786</v>
      </c>
      <c r="P46" s="837">
        <f t="shared" ca="1" si="27"/>
        <v>56.198895319643754</v>
      </c>
      <c r="Q46" s="825"/>
      <c r="R46" s="825"/>
      <c r="S46" s="825"/>
      <c r="T46" s="825"/>
      <c r="U46" s="825"/>
      <c r="V46" s="825"/>
      <c r="W46" s="825"/>
      <c r="X46" s="825"/>
      <c r="Y46" s="825"/>
      <c r="Z46" s="825"/>
    </row>
    <row r="47" spans="1:26" ht="18.75">
      <c r="A47" s="826"/>
      <c r="B47" s="827"/>
      <c r="C47" s="827"/>
      <c r="D47" s="828" t="s">
        <v>21</v>
      </c>
      <c r="E47" s="827"/>
      <c r="F47" s="827"/>
      <c r="G47" s="829"/>
      <c r="H47" s="590" t="s">
        <v>12</v>
      </c>
      <c r="I47" s="830"/>
      <c r="J47" s="830"/>
      <c r="K47" s="831"/>
      <c r="L47" s="831">
        <f t="shared" ref="L47:N47" ca="1" si="30">L48+L49</f>
        <v>0</v>
      </c>
      <c r="M47" s="831">
        <f t="shared" ca="1" si="30"/>
        <v>0</v>
      </c>
      <c r="N47" s="831">
        <f t="shared" ca="1" si="30"/>
        <v>0</v>
      </c>
      <c r="O47" s="831">
        <f t="shared" ca="1" si="26"/>
        <v>0</v>
      </c>
      <c r="P47" s="831">
        <f t="shared" ca="1" si="27"/>
        <v>0</v>
      </c>
      <c r="Q47" s="818"/>
      <c r="R47" s="818"/>
      <c r="S47" s="818"/>
      <c r="T47" s="818"/>
      <c r="U47" s="818"/>
      <c r="V47" s="818"/>
      <c r="W47" s="818"/>
      <c r="X47" s="818"/>
      <c r="Y47" s="818"/>
      <c r="Z47" s="818"/>
    </row>
    <row r="48" spans="1:26" ht="18.75" hidden="1">
      <c r="A48" s="832"/>
      <c r="B48" s="833"/>
      <c r="C48" s="833"/>
      <c r="D48" s="833"/>
      <c r="E48" s="834" t="s">
        <v>18</v>
      </c>
      <c r="F48" s="833"/>
      <c r="G48" s="835"/>
      <c r="H48" s="43" t="s">
        <v>12</v>
      </c>
      <c r="I48" s="836"/>
      <c r="J48" s="836"/>
      <c r="K48" s="837"/>
      <c r="L48" s="837">
        <v>0</v>
      </c>
      <c r="M48" s="837">
        <v>0</v>
      </c>
      <c r="N48" s="837">
        <v>0</v>
      </c>
      <c r="O48" s="837">
        <f t="shared" si="26"/>
        <v>0</v>
      </c>
      <c r="P48" s="837">
        <f t="shared" si="27"/>
        <v>0</v>
      </c>
      <c r="Q48" s="825"/>
      <c r="R48" s="825"/>
      <c r="S48" s="825"/>
      <c r="T48" s="825"/>
      <c r="U48" s="825"/>
      <c r="V48" s="825"/>
      <c r="W48" s="825"/>
      <c r="X48" s="825"/>
      <c r="Y48" s="825"/>
      <c r="Z48" s="825"/>
    </row>
    <row r="49" spans="1:26" ht="18.75" hidden="1">
      <c r="A49" s="838"/>
      <c r="B49" s="839"/>
      <c r="C49" s="839"/>
      <c r="D49" s="839"/>
      <c r="E49" s="840" t="s">
        <v>19</v>
      </c>
      <c r="F49" s="839"/>
      <c r="G49" s="841"/>
      <c r="H49" s="50" t="s">
        <v>12</v>
      </c>
      <c r="I49" s="842"/>
      <c r="J49" s="842"/>
      <c r="K49" s="843"/>
      <c r="L49" s="843">
        <f ca="1">IFERROR(__xludf.DUMMYFUNCTION("IMPORTRANGE(""https://docs.google.com/spreadsheets/d/1MeEWN-I1oV_STSDYn1IFDPWt_1FKiwhDph83XaGc0o0/edit?usp=sharing"",""งบพรบ!P22"")"),0)</f>
        <v>0</v>
      </c>
      <c r="M49" s="843">
        <f ca="1">IFERROR(__xludf.DUMMYFUNCTION("IMPORTRANGE(""https://docs.google.com/spreadsheets/d/1MeEWN-I1oV_STSDYn1IFDPWt_1FKiwhDph83XaGc0o0/edit?usp=sharing"",""งบพรบ!S22"")"),0)</f>
        <v>0</v>
      </c>
      <c r="N49" s="843">
        <f ca="1">IFERROR(__xludf.DUMMYFUNCTION("IMPORTRANGE(""https://docs.google.com/spreadsheets/d/1MeEWN-I1oV_STSDYn1IFDPWt_1FKiwhDph83XaGc0o0/edit?usp=sharing"",""งบพรบ!U22"")"),0)</f>
        <v>0</v>
      </c>
      <c r="O49" s="843">
        <f t="shared" ca="1" si="26"/>
        <v>0</v>
      </c>
      <c r="P49" s="843">
        <f t="shared" ca="1" si="27"/>
        <v>0</v>
      </c>
      <c r="Q49" s="825"/>
      <c r="R49" s="825"/>
      <c r="S49" s="825"/>
      <c r="T49" s="825"/>
      <c r="U49" s="825"/>
      <c r="V49" s="825"/>
      <c r="W49" s="825"/>
      <c r="X49" s="825"/>
      <c r="Y49" s="825"/>
      <c r="Z49" s="825"/>
    </row>
    <row r="50" spans="1:26" ht="19.5">
      <c r="A50" s="1514" t="s">
        <v>28</v>
      </c>
      <c r="B50" s="1494"/>
      <c r="C50" s="1494"/>
      <c r="D50" s="1494"/>
      <c r="E50" s="1494"/>
      <c r="F50" s="1494"/>
      <c r="G50" s="1495"/>
      <c r="H50" s="882"/>
      <c r="I50" s="883"/>
      <c r="J50" s="883"/>
      <c r="K50" s="884"/>
      <c r="L50" s="884"/>
      <c r="M50" s="884"/>
      <c r="N50" s="884"/>
      <c r="O50" s="884"/>
      <c r="P50" s="884"/>
    </row>
    <row r="51" spans="1:26" ht="19.5">
      <c r="A51" s="885"/>
      <c r="B51" s="1515" t="s">
        <v>29</v>
      </c>
      <c r="C51" s="1485"/>
      <c r="D51" s="1485"/>
      <c r="E51" s="1485"/>
      <c r="F51" s="1485"/>
      <c r="G51" s="1491"/>
      <c r="H51" s="886"/>
      <c r="I51" s="887"/>
      <c r="J51" s="887"/>
      <c r="K51" s="888"/>
      <c r="L51" s="888"/>
      <c r="M51" s="888"/>
      <c r="N51" s="888"/>
      <c r="O51" s="888"/>
      <c r="P51" s="888"/>
    </row>
    <row r="52" spans="1:26" ht="19.5">
      <c r="A52" s="889"/>
      <c r="B52" s="890" t="s">
        <v>30</v>
      </c>
      <c r="C52" s="891"/>
      <c r="D52" s="891"/>
      <c r="E52" s="891"/>
      <c r="F52" s="891"/>
      <c r="G52" s="892"/>
      <c r="H52" s="893"/>
      <c r="I52" s="894"/>
      <c r="J52" s="894"/>
      <c r="K52" s="895"/>
      <c r="L52" s="895"/>
      <c r="M52" s="895"/>
      <c r="N52" s="895"/>
      <c r="O52" s="895"/>
      <c r="P52" s="895"/>
    </row>
    <row r="53" spans="1:26" ht="19.5">
      <c r="A53" s="896"/>
      <c r="B53" s="897"/>
      <c r="C53" s="898" t="s">
        <v>16</v>
      </c>
      <c r="D53" s="899" t="s">
        <v>17</v>
      </c>
      <c r="E53" s="897"/>
      <c r="F53" s="897"/>
      <c r="G53" s="900"/>
      <c r="H53" s="113" t="s">
        <v>12</v>
      </c>
      <c r="I53" s="901"/>
      <c r="J53" s="901"/>
      <c r="K53" s="902"/>
      <c r="L53" s="903">
        <f t="shared" ref="L53:N53" ca="1" si="31">L54+L55</f>
        <v>12540900</v>
      </c>
      <c r="M53" s="903">
        <f t="shared" ca="1" si="31"/>
        <v>12337295</v>
      </c>
      <c r="N53" s="903">
        <f t="shared" ca="1" si="31"/>
        <v>10862995.800000001</v>
      </c>
      <c r="O53" s="903">
        <f t="shared" ref="O53:O61" ca="1" si="32">IF(L53&gt;0,N53*100/L53,0)</f>
        <v>86.620543980097125</v>
      </c>
      <c r="P53" s="903">
        <f t="shared" ref="P53:P61" ca="1" si="33">IF(M53&gt;0,N53*100/M53,0)</f>
        <v>88.050061216822655</v>
      </c>
      <c r="Q53" s="818"/>
      <c r="R53" s="818"/>
      <c r="S53" s="818"/>
      <c r="T53" s="818"/>
      <c r="U53" s="818"/>
      <c r="V53" s="818"/>
      <c r="W53" s="818"/>
      <c r="X53" s="818"/>
      <c r="Y53" s="818"/>
      <c r="Z53" s="818"/>
    </row>
    <row r="54" spans="1:26" ht="18.75" hidden="1">
      <c r="A54" s="904"/>
      <c r="B54" s="905"/>
      <c r="C54" s="905"/>
      <c r="D54" s="905"/>
      <c r="E54" s="906" t="s">
        <v>18</v>
      </c>
      <c r="F54" s="905"/>
      <c r="G54" s="907"/>
      <c r="H54" s="121" t="s">
        <v>12</v>
      </c>
      <c r="I54" s="908"/>
      <c r="J54" s="908"/>
      <c r="K54" s="909"/>
      <c r="L54" s="909">
        <f t="shared" ref="L54:N55" si="34">L57+L60</f>
        <v>0</v>
      </c>
      <c r="M54" s="909">
        <f t="shared" si="34"/>
        <v>0</v>
      </c>
      <c r="N54" s="909">
        <f t="shared" si="34"/>
        <v>0</v>
      </c>
      <c r="O54" s="909">
        <f t="shared" si="32"/>
        <v>0</v>
      </c>
      <c r="P54" s="909">
        <f t="shared" si="33"/>
        <v>0</v>
      </c>
      <c r="Q54" s="825"/>
      <c r="R54" s="825"/>
      <c r="S54" s="825"/>
      <c r="T54" s="825"/>
      <c r="U54" s="825"/>
      <c r="V54" s="825"/>
      <c r="W54" s="825"/>
      <c r="X54" s="825"/>
      <c r="Y54" s="825"/>
      <c r="Z54" s="825"/>
    </row>
    <row r="55" spans="1:26" ht="18.75" hidden="1">
      <c r="A55" s="904"/>
      <c r="B55" s="905"/>
      <c r="C55" s="905"/>
      <c r="D55" s="905"/>
      <c r="E55" s="906" t="s">
        <v>19</v>
      </c>
      <c r="F55" s="905"/>
      <c r="G55" s="907"/>
      <c r="H55" s="121" t="s">
        <v>12</v>
      </c>
      <c r="I55" s="908"/>
      <c r="J55" s="908"/>
      <c r="K55" s="909"/>
      <c r="L55" s="909">
        <f t="shared" ca="1" si="34"/>
        <v>12540900</v>
      </c>
      <c r="M55" s="909">
        <f t="shared" ca="1" si="34"/>
        <v>12337295</v>
      </c>
      <c r="N55" s="909">
        <f t="shared" ca="1" si="34"/>
        <v>10862995.800000001</v>
      </c>
      <c r="O55" s="909">
        <f t="shared" ca="1" si="32"/>
        <v>86.620543980097125</v>
      </c>
      <c r="P55" s="909">
        <f t="shared" ca="1" si="33"/>
        <v>88.050061216822655</v>
      </c>
      <c r="Q55" s="825"/>
      <c r="R55" s="825"/>
      <c r="S55" s="825"/>
      <c r="T55" s="825"/>
      <c r="U55" s="825"/>
      <c r="V55" s="825"/>
      <c r="W55" s="825"/>
      <c r="X55" s="825"/>
      <c r="Y55" s="825"/>
      <c r="Z55" s="825"/>
    </row>
    <row r="56" spans="1:26" ht="18.75">
      <c r="A56" s="826"/>
      <c r="B56" s="827"/>
      <c r="C56" s="827"/>
      <c r="D56" s="828" t="s">
        <v>20</v>
      </c>
      <c r="E56" s="827"/>
      <c r="F56" s="827"/>
      <c r="G56" s="829"/>
      <c r="H56" s="590" t="s">
        <v>12</v>
      </c>
      <c r="I56" s="830"/>
      <c r="J56" s="830"/>
      <c r="K56" s="831"/>
      <c r="L56" s="831">
        <f t="shared" ref="L56:N56" ca="1" si="35">L57+L58</f>
        <v>1040900</v>
      </c>
      <c r="M56" s="831">
        <f t="shared" ca="1" si="35"/>
        <v>837295</v>
      </c>
      <c r="N56" s="831">
        <f t="shared" ca="1" si="35"/>
        <v>672995.8</v>
      </c>
      <c r="O56" s="831">
        <f t="shared" ca="1" si="32"/>
        <v>64.655183014698821</v>
      </c>
      <c r="P56" s="831">
        <f t="shared" ca="1" si="33"/>
        <v>80.377381926322258</v>
      </c>
      <c r="Q56" s="818"/>
      <c r="R56" s="818"/>
      <c r="S56" s="818"/>
      <c r="T56" s="818"/>
      <c r="U56" s="818"/>
      <c r="V56" s="818"/>
      <c r="W56" s="818"/>
      <c r="X56" s="818"/>
      <c r="Y56" s="818"/>
      <c r="Z56" s="818"/>
    </row>
    <row r="57" spans="1:26" ht="18.75" hidden="1">
      <c r="A57" s="832"/>
      <c r="B57" s="833"/>
      <c r="C57" s="833"/>
      <c r="D57" s="833"/>
      <c r="E57" s="834" t="s">
        <v>18</v>
      </c>
      <c r="F57" s="833"/>
      <c r="G57" s="835"/>
      <c r="H57" s="43" t="s">
        <v>12</v>
      </c>
      <c r="I57" s="836"/>
      <c r="J57" s="836"/>
      <c r="K57" s="837"/>
      <c r="L57" s="837">
        <v>0</v>
      </c>
      <c r="M57" s="837">
        <v>0</v>
      </c>
      <c r="N57" s="837">
        <v>0</v>
      </c>
      <c r="O57" s="837">
        <f t="shared" si="32"/>
        <v>0</v>
      </c>
      <c r="P57" s="837">
        <f t="shared" si="33"/>
        <v>0</v>
      </c>
      <c r="Q57" s="825"/>
      <c r="R57" s="825"/>
      <c r="S57" s="825"/>
      <c r="T57" s="825"/>
      <c r="U57" s="825"/>
      <c r="V57" s="825"/>
      <c r="W57" s="825"/>
      <c r="X57" s="825"/>
      <c r="Y57" s="825"/>
      <c r="Z57" s="825"/>
    </row>
    <row r="58" spans="1:26" ht="18.75" hidden="1">
      <c r="A58" s="832"/>
      <c r="B58" s="833"/>
      <c r="C58" s="833"/>
      <c r="D58" s="833"/>
      <c r="E58" s="834" t="s">
        <v>19</v>
      </c>
      <c r="F58" s="833"/>
      <c r="G58" s="835"/>
      <c r="H58" s="43" t="s">
        <v>12</v>
      </c>
      <c r="I58" s="836"/>
      <c r="J58" s="836"/>
      <c r="K58" s="837"/>
      <c r="L58" s="837">
        <f ca="1">IFERROR(__xludf.DUMMYFUNCTION("IMPORTRANGE(""https://docs.google.com/spreadsheets/d/1MeEWN-I1oV_STSDYn1IFDPWt_1FKiwhDph83XaGc0o0/edit?usp=sharing"",""งบพรบ!W22"")"),1040900)</f>
        <v>1040900</v>
      </c>
      <c r="M58" s="837">
        <f ca="1">IFERROR(__xludf.DUMMYFUNCTION("IMPORTRANGE(""https://docs.google.com/spreadsheets/d/1MeEWN-I1oV_STSDYn1IFDPWt_1FKiwhDph83XaGc0o0/edit?usp=sharing"",""งบพรบ!AB22"")"),837295)</f>
        <v>837295</v>
      </c>
      <c r="N58" s="837">
        <f ca="1">IFERROR(__xludf.DUMMYFUNCTION("IMPORTRANGE(""https://docs.google.com/spreadsheets/d/1MeEWN-I1oV_STSDYn1IFDPWt_1FKiwhDph83XaGc0o0/edit?usp=sharing"",""งบพรบ!AD22"")"),672995.8)</f>
        <v>672995.8</v>
      </c>
      <c r="O58" s="837">
        <f t="shared" ca="1" si="32"/>
        <v>64.655183014698821</v>
      </c>
      <c r="P58" s="837">
        <f t="shared" ca="1" si="33"/>
        <v>80.377381926322258</v>
      </c>
      <c r="Q58" s="825"/>
      <c r="R58" s="825"/>
      <c r="S58" s="825"/>
      <c r="T58" s="825"/>
      <c r="U58" s="825"/>
      <c r="V58" s="825"/>
      <c r="W58" s="825"/>
      <c r="X58" s="825"/>
      <c r="Y58" s="825"/>
      <c r="Z58" s="825"/>
    </row>
    <row r="59" spans="1:26" ht="18.75">
      <c r="A59" s="826"/>
      <c r="B59" s="827"/>
      <c r="C59" s="827"/>
      <c r="D59" s="828" t="s">
        <v>21</v>
      </c>
      <c r="E59" s="827"/>
      <c r="F59" s="827"/>
      <c r="G59" s="829"/>
      <c r="H59" s="590" t="s">
        <v>12</v>
      </c>
      <c r="I59" s="830"/>
      <c r="J59" s="830"/>
      <c r="K59" s="831"/>
      <c r="L59" s="831">
        <f t="shared" ref="L59:N59" ca="1" si="36">L60+L61</f>
        <v>11500000</v>
      </c>
      <c r="M59" s="831">
        <f t="shared" ca="1" si="36"/>
        <v>11500000</v>
      </c>
      <c r="N59" s="831">
        <f t="shared" ca="1" si="36"/>
        <v>10190000</v>
      </c>
      <c r="O59" s="831">
        <f t="shared" ca="1" si="32"/>
        <v>88.608695652173907</v>
      </c>
      <c r="P59" s="831">
        <f t="shared" ca="1" si="33"/>
        <v>88.608695652173907</v>
      </c>
      <c r="Q59" s="818"/>
      <c r="R59" s="818"/>
      <c r="S59" s="818"/>
      <c r="T59" s="818"/>
      <c r="U59" s="818"/>
      <c r="V59" s="818"/>
      <c r="W59" s="818"/>
      <c r="X59" s="818"/>
      <c r="Y59" s="818"/>
      <c r="Z59" s="818"/>
    </row>
    <row r="60" spans="1:26" ht="18.75" hidden="1">
      <c r="A60" s="832"/>
      <c r="B60" s="833"/>
      <c r="C60" s="833"/>
      <c r="D60" s="833"/>
      <c r="E60" s="834" t="s">
        <v>18</v>
      </c>
      <c r="F60" s="833"/>
      <c r="G60" s="835"/>
      <c r="H60" s="43" t="s">
        <v>12</v>
      </c>
      <c r="I60" s="836"/>
      <c r="J60" s="836"/>
      <c r="K60" s="837"/>
      <c r="L60" s="837">
        <v>0</v>
      </c>
      <c r="M60" s="837">
        <v>0</v>
      </c>
      <c r="N60" s="837">
        <v>0</v>
      </c>
      <c r="O60" s="837">
        <f t="shared" si="32"/>
        <v>0</v>
      </c>
      <c r="P60" s="837">
        <f t="shared" si="33"/>
        <v>0</v>
      </c>
      <c r="Q60" s="825"/>
      <c r="R60" s="825"/>
      <c r="S60" s="825"/>
      <c r="T60" s="825"/>
      <c r="U60" s="825"/>
      <c r="V60" s="825"/>
      <c r="W60" s="825"/>
      <c r="X60" s="825"/>
      <c r="Y60" s="825"/>
      <c r="Z60" s="825"/>
    </row>
    <row r="61" spans="1:26" ht="18.75" hidden="1">
      <c r="A61" s="838"/>
      <c r="B61" s="839"/>
      <c r="C61" s="839"/>
      <c r="D61" s="839"/>
      <c r="E61" s="840" t="s">
        <v>19</v>
      </c>
      <c r="F61" s="839"/>
      <c r="G61" s="841"/>
      <c r="H61" s="50" t="s">
        <v>12</v>
      </c>
      <c r="I61" s="842"/>
      <c r="J61" s="842"/>
      <c r="K61" s="843"/>
      <c r="L61" s="843">
        <f ca="1">IFERROR(__xludf.DUMMYFUNCTION("IMPORTRANGE(""https://docs.google.com/spreadsheets/d/1MeEWN-I1oV_STSDYn1IFDPWt_1FKiwhDph83XaGc0o0/edit?usp=sharing"",""งบพรบ!Z22"")"),11500000)</f>
        <v>11500000</v>
      </c>
      <c r="M61" s="843">
        <f ca="1">IFERROR(__xludf.DUMMYFUNCTION("IMPORTRANGE(""https://docs.google.com/spreadsheets/d/1MeEWN-I1oV_STSDYn1IFDPWt_1FKiwhDph83XaGc0o0/edit?usp=sharing"",""งบพรบ!AC22"")"),11500000)</f>
        <v>11500000</v>
      </c>
      <c r="N61" s="843">
        <f ca="1">IFERROR(__xludf.DUMMYFUNCTION("IMPORTRANGE(""https://docs.google.com/spreadsheets/d/1MeEWN-I1oV_STSDYn1IFDPWt_1FKiwhDph83XaGc0o0/edit?usp=sharing"",""งบพรบ!AE22"")"),10190000)</f>
        <v>10190000</v>
      </c>
      <c r="O61" s="843">
        <f t="shared" ca="1" si="32"/>
        <v>88.608695652173907</v>
      </c>
      <c r="P61" s="843">
        <f t="shared" ca="1" si="33"/>
        <v>88.608695652173907</v>
      </c>
      <c r="Q61" s="825"/>
      <c r="R61" s="825"/>
      <c r="S61" s="825"/>
      <c r="T61" s="825"/>
      <c r="U61" s="825"/>
      <c r="V61" s="825"/>
      <c r="W61" s="825"/>
      <c r="X61" s="825"/>
      <c r="Y61" s="825"/>
      <c r="Z61" s="825"/>
    </row>
    <row r="62" spans="1:26" ht="19.5">
      <c r="A62" s="910" t="s">
        <v>31</v>
      </c>
      <c r="B62" s="911"/>
      <c r="C62" s="911"/>
      <c r="D62" s="911"/>
      <c r="E62" s="912"/>
      <c r="F62" s="912"/>
      <c r="G62" s="913"/>
      <c r="H62" s="914"/>
      <c r="I62" s="915"/>
      <c r="J62" s="915"/>
      <c r="K62" s="916"/>
      <c r="L62" s="916"/>
      <c r="M62" s="916"/>
      <c r="N62" s="916"/>
      <c r="O62" s="916"/>
      <c r="P62" s="916"/>
    </row>
    <row r="63" spans="1:26" ht="19.5">
      <c r="A63" s="917" t="s">
        <v>32</v>
      </c>
      <c r="B63" s="918"/>
      <c r="C63" s="919"/>
      <c r="D63" s="918"/>
      <c r="E63" s="918"/>
      <c r="F63" s="918"/>
      <c r="G63" s="920"/>
      <c r="H63" s="921"/>
      <c r="I63" s="922"/>
      <c r="J63" s="922"/>
      <c r="K63" s="923"/>
      <c r="L63" s="923"/>
      <c r="M63" s="923"/>
      <c r="N63" s="923"/>
      <c r="O63" s="923"/>
      <c r="P63" s="923"/>
    </row>
    <row r="64" spans="1:26" ht="19.5">
      <c r="A64" s="924"/>
      <c r="B64" s="925" t="s">
        <v>33</v>
      </c>
      <c r="C64" s="926"/>
      <c r="D64" s="927"/>
      <c r="E64" s="926"/>
      <c r="F64" s="926"/>
      <c r="G64" s="928"/>
      <c r="H64" s="205" t="s">
        <v>34</v>
      </c>
      <c r="I64" s="929">
        <f t="shared" ref="I64:J65" ca="1" si="37">I76</f>
        <v>2</v>
      </c>
      <c r="J64" s="929">
        <f t="shared" si="37"/>
        <v>2</v>
      </c>
      <c r="K64" s="930">
        <f t="shared" ref="K64:K65" ca="1" si="38">IF(I64&gt;0,J64*100/I64,0)</f>
        <v>100</v>
      </c>
      <c r="L64" s="931"/>
      <c r="M64" s="931"/>
      <c r="N64" s="931"/>
      <c r="O64" s="931"/>
      <c r="P64" s="931"/>
    </row>
    <row r="65" spans="1:26" ht="19.5">
      <c r="A65" s="924"/>
      <c r="B65" s="926"/>
      <c r="C65" s="926"/>
      <c r="D65" s="927"/>
      <c r="E65" s="926"/>
      <c r="F65" s="926"/>
      <c r="G65" s="928"/>
      <c r="H65" s="205" t="s">
        <v>35</v>
      </c>
      <c r="I65" s="929">
        <f t="shared" ca="1" si="37"/>
        <v>80</v>
      </c>
      <c r="J65" s="929">
        <f t="shared" si="37"/>
        <v>80</v>
      </c>
      <c r="K65" s="930">
        <f t="shared" ca="1" si="38"/>
        <v>100</v>
      </c>
      <c r="L65" s="931"/>
      <c r="M65" s="931"/>
      <c r="N65" s="931"/>
      <c r="O65" s="931"/>
      <c r="P65" s="931"/>
    </row>
    <row r="66" spans="1:26" ht="19.5">
      <c r="A66" s="932"/>
      <c r="B66" s="933"/>
      <c r="C66" s="934" t="s">
        <v>16</v>
      </c>
      <c r="D66" s="935" t="s">
        <v>17</v>
      </c>
      <c r="E66" s="933"/>
      <c r="F66" s="933"/>
      <c r="G66" s="936"/>
      <c r="H66" s="152" t="s">
        <v>12</v>
      </c>
      <c r="I66" s="937"/>
      <c r="J66" s="937"/>
      <c r="K66" s="938"/>
      <c r="L66" s="939">
        <f t="shared" ref="L66:N66" ca="1" si="39">L67+L68</f>
        <v>1116400</v>
      </c>
      <c r="M66" s="939">
        <f t="shared" ca="1" si="39"/>
        <v>842300</v>
      </c>
      <c r="N66" s="939">
        <f t="shared" ca="1" si="39"/>
        <v>499172.65</v>
      </c>
      <c r="O66" s="939">
        <f t="shared" ref="O66:O74" ca="1" si="40">IF(L66&gt;0,N66*100/L66,0)</f>
        <v>44.712706019347905</v>
      </c>
      <c r="P66" s="939">
        <f t="shared" ref="P66:P74" ca="1" si="41">IF(M66&gt;0,N66*100/M66,0)</f>
        <v>59.26304760774071</v>
      </c>
      <c r="Q66" s="818"/>
      <c r="R66" s="818"/>
      <c r="S66" s="818"/>
      <c r="T66" s="818"/>
      <c r="U66" s="818"/>
      <c r="V66" s="818"/>
      <c r="W66" s="818"/>
      <c r="X66" s="818"/>
      <c r="Y66" s="818"/>
      <c r="Z66" s="818"/>
    </row>
    <row r="67" spans="1:26" ht="18.75" hidden="1">
      <c r="A67" s="940"/>
      <c r="B67" s="833"/>
      <c r="C67" s="833"/>
      <c r="D67" s="833"/>
      <c r="E67" s="834" t="s">
        <v>18</v>
      </c>
      <c r="F67" s="833"/>
      <c r="G67" s="941"/>
      <c r="H67" s="158" t="s">
        <v>12</v>
      </c>
      <c r="I67" s="836"/>
      <c r="J67" s="836"/>
      <c r="K67" s="837"/>
      <c r="L67" s="837">
        <f t="shared" ref="L67:N68" si="42">L70+L73</f>
        <v>0</v>
      </c>
      <c r="M67" s="837">
        <f t="shared" si="42"/>
        <v>0</v>
      </c>
      <c r="N67" s="837">
        <f t="shared" si="42"/>
        <v>0</v>
      </c>
      <c r="O67" s="837">
        <f t="shared" si="40"/>
        <v>0</v>
      </c>
      <c r="P67" s="837">
        <f t="shared" si="41"/>
        <v>0</v>
      </c>
      <c r="Q67" s="825"/>
      <c r="R67" s="825"/>
      <c r="S67" s="825"/>
      <c r="T67" s="825"/>
      <c r="U67" s="825"/>
      <c r="V67" s="825"/>
      <c r="W67" s="825"/>
      <c r="X67" s="825"/>
      <c r="Y67" s="825"/>
      <c r="Z67" s="825"/>
    </row>
    <row r="68" spans="1:26" ht="18.75" hidden="1">
      <c r="A68" s="940"/>
      <c r="B68" s="833"/>
      <c r="C68" s="833"/>
      <c r="D68" s="833"/>
      <c r="E68" s="834" t="s">
        <v>19</v>
      </c>
      <c r="F68" s="833"/>
      <c r="G68" s="941"/>
      <c r="H68" s="158" t="s">
        <v>12</v>
      </c>
      <c r="I68" s="836"/>
      <c r="J68" s="836"/>
      <c r="K68" s="837"/>
      <c r="L68" s="837">
        <f t="shared" ca="1" si="42"/>
        <v>1116400</v>
      </c>
      <c r="M68" s="837">
        <f t="shared" ca="1" si="42"/>
        <v>842300</v>
      </c>
      <c r="N68" s="837">
        <f t="shared" ca="1" si="42"/>
        <v>499172.65</v>
      </c>
      <c r="O68" s="837">
        <f t="shared" ca="1" si="40"/>
        <v>44.712706019347905</v>
      </c>
      <c r="P68" s="837">
        <f t="shared" ca="1" si="41"/>
        <v>59.26304760774071</v>
      </c>
      <c r="Q68" s="825"/>
      <c r="R68" s="825"/>
      <c r="S68" s="825"/>
      <c r="T68" s="825"/>
      <c r="U68" s="825"/>
      <c r="V68" s="825"/>
      <c r="W68" s="825"/>
      <c r="X68" s="825"/>
      <c r="Y68" s="825"/>
      <c r="Z68" s="825"/>
    </row>
    <row r="69" spans="1:26" ht="18.75">
      <c r="A69" s="942"/>
      <c r="B69" s="827"/>
      <c r="C69" s="943"/>
      <c r="D69" s="828" t="s">
        <v>20</v>
      </c>
      <c r="E69" s="827"/>
      <c r="F69" s="827"/>
      <c r="G69" s="829"/>
      <c r="H69" s="778" t="s">
        <v>12</v>
      </c>
      <c r="I69" s="944"/>
      <c r="J69" s="944"/>
      <c r="K69" s="945"/>
      <c r="L69" s="831">
        <f t="shared" ref="L69:N69" ca="1" si="43">L70+L71</f>
        <v>1116400</v>
      </c>
      <c r="M69" s="831">
        <f t="shared" ca="1" si="43"/>
        <v>842300</v>
      </c>
      <c r="N69" s="831">
        <f t="shared" ca="1" si="43"/>
        <v>499172.65</v>
      </c>
      <c r="O69" s="831">
        <f t="shared" ca="1" si="40"/>
        <v>44.712706019347905</v>
      </c>
      <c r="P69" s="831">
        <f t="shared" ca="1" si="41"/>
        <v>59.26304760774071</v>
      </c>
      <c r="Q69" s="818"/>
      <c r="R69" s="818"/>
      <c r="S69" s="818"/>
      <c r="T69" s="818"/>
      <c r="U69" s="818"/>
      <c r="V69" s="818"/>
      <c r="W69" s="818"/>
      <c r="X69" s="818"/>
      <c r="Y69" s="818"/>
      <c r="Z69" s="818"/>
    </row>
    <row r="70" spans="1:26" ht="19.5" hidden="1">
      <c r="A70" s="940"/>
      <c r="B70" s="833"/>
      <c r="C70" s="946"/>
      <c r="D70" s="833"/>
      <c r="E70" s="834" t="s">
        <v>36</v>
      </c>
      <c r="F70" s="833"/>
      <c r="G70" s="941"/>
      <c r="H70" s="165" t="s">
        <v>12</v>
      </c>
      <c r="I70" s="947"/>
      <c r="J70" s="947"/>
      <c r="K70" s="948"/>
      <c r="L70" s="837">
        <v>0</v>
      </c>
      <c r="M70" s="837">
        <v>0</v>
      </c>
      <c r="N70" s="837">
        <v>0</v>
      </c>
      <c r="O70" s="837">
        <f t="shared" si="40"/>
        <v>0</v>
      </c>
      <c r="P70" s="837">
        <f t="shared" si="41"/>
        <v>0</v>
      </c>
      <c r="Q70" s="825"/>
      <c r="R70" s="825"/>
      <c r="S70" s="825"/>
      <c r="T70" s="825"/>
      <c r="U70" s="825"/>
      <c r="V70" s="825"/>
      <c r="W70" s="825"/>
      <c r="X70" s="825"/>
      <c r="Y70" s="825"/>
      <c r="Z70" s="825"/>
    </row>
    <row r="71" spans="1:26" ht="19.5" hidden="1">
      <c r="A71" s="940"/>
      <c r="B71" s="833"/>
      <c r="C71" s="946"/>
      <c r="D71" s="833"/>
      <c r="E71" s="834" t="s">
        <v>37</v>
      </c>
      <c r="F71" s="833"/>
      <c r="G71" s="941"/>
      <c r="H71" s="165" t="s">
        <v>12</v>
      </c>
      <c r="I71" s="947"/>
      <c r="J71" s="947"/>
      <c r="K71" s="948"/>
      <c r="L71" s="837">
        <f ca="1">IFERROR(__xludf.DUMMYFUNCTION("IMPORTRANGE(""https://docs.google.com/spreadsheets/d/1MeEWN-I1oV_STSDYn1IFDPWt_1FKiwhDph83XaGc0o0/edit?usp=sharing"",""งบพรบ!AG22"")"),1116400)</f>
        <v>1116400</v>
      </c>
      <c r="M71" s="837">
        <f ca="1">IFERROR(__xludf.DUMMYFUNCTION("IMPORTRANGE(""https://docs.google.com/spreadsheets/d/1MeEWN-I1oV_STSDYn1IFDPWt_1FKiwhDph83XaGc0o0/edit?usp=sharing"",""งบพรบ!AL22"")"),842300)</f>
        <v>842300</v>
      </c>
      <c r="N71" s="837">
        <f ca="1">IFERROR(__xludf.DUMMYFUNCTION("IMPORTRANGE(""https://docs.google.com/spreadsheets/d/1MeEWN-I1oV_STSDYn1IFDPWt_1FKiwhDph83XaGc0o0/edit?usp=sharing"",""งบพรบ!AN22"")"),499172.65)</f>
        <v>499172.65</v>
      </c>
      <c r="O71" s="837">
        <f t="shared" ca="1" si="40"/>
        <v>44.712706019347905</v>
      </c>
      <c r="P71" s="837">
        <f t="shared" ca="1" si="41"/>
        <v>59.26304760774071</v>
      </c>
      <c r="Q71" s="825"/>
      <c r="R71" s="825"/>
      <c r="S71" s="825"/>
      <c r="T71" s="825"/>
      <c r="U71" s="825"/>
      <c r="V71" s="825"/>
      <c r="W71" s="825"/>
      <c r="X71" s="825"/>
      <c r="Y71" s="825"/>
      <c r="Z71" s="825"/>
    </row>
    <row r="72" spans="1:26" ht="18.75">
      <c r="A72" s="942"/>
      <c r="B72" s="827"/>
      <c r="C72" s="943"/>
      <c r="D72" s="828" t="s">
        <v>21</v>
      </c>
      <c r="E72" s="827"/>
      <c r="F72" s="827"/>
      <c r="G72" s="829"/>
      <c r="H72" s="168" t="s">
        <v>12</v>
      </c>
      <c r="I72" s="944"/>
      <c r="J72" s="944"/>
      <c r="K72" s="945"/>
      <c r="L72" s="831">
        <f t="shared" ref="L72:N72" ca="1" si="44">L73+L74</f>
        <v>0</v>
      </c>
      <c r="M72" s="831">
        <f t="shared" ca="1" si="44"/>
        <v>0</v>
      </c>
      <c r="N72" s="831">
        <f t="shared" ca="1" si="44"/>
        <v>0</v>
      </c>
      <c r="O72" s="831">
        <f t="shared" ca="1" si="40"/>
        <v>0</v>
      </c>
      <c r="P72" s="831">
        <f t="shared" ca="1" si="41"/>
        <v>0</v>
      </c>
      <c r="Q72" s="818"/>
      <c r="R72" s="818"/>
      <c r="S72" s="818"/>
      <c r="T72" s="818"/>
      <c r="U72" s="818"/>
      <c r="V72" s="818"/>
      <c r="W72" s="818"/>
      <c r="X72" s="818"/>
      <c r="Y72" s="818"/>
      <c r="Z72" s="818"/>
    </row>
    <row r="73" spans="1:26" ht="19.5" hidden="1">
      <c r="A73" s="940"/>
      <c r="B73" s="833"/>
      <c r="C73" s="946"/>
      <c r="D73" s="833"/>
      <c r="E73" s="834" t="s">
        <v>18</v>
      </c>
      <c r="F73" s="833"/>
      <c r="G73" s="941"/>
      <c r="H73" s="165" t="s">
        <v>12</v>
      </c>
      <c r="I73" s="947"/>
      <c r="J73" s="947"/>
      <c r="K73" s="948"/>
      <c r="L73" s="837">
        <v>0</v>
      </c>
      <c r="M73" s="837"/>
      <c r="N73" s="837"/>
      <c r="O73" s="837">
        <f t="shared" si="40"/>
        <v>0</v>
      </c>
      <c r="P73" s="837">
        <f t="shared" si="41"/>
        <v>0</v>
      </c>
      <c r="Q73" s="825"/>
      <c r="R73" s="825"/>
      <c r="S73" s="825"/>
      <c r="T73" s="825"/>
      <c r="U73" s="825"/>
      <c r="V73" s="825"/>
      <c r="W73" s="825"/>
      <c r="X73" s="825"/>
      <c r="Y73" s="825"/>
      <c r="Z73" s="825"/>
    </row>
    <row r="74" spans="1:26" ht="19.5" hidden="1">
      <c r="A74" s="940"/>
      <c r="B74" s="833"/>
      <c r="C74" s="946"/>
      <c r="D74" s="833"/>
      <c r="E74" s="834" t="s">
        <v>19</v>
      </c>
      <c r="F74" s="833"/>
      <c r="G74" s="941"/>
      <c r="H74" s="169" t="s">
        <v>12</v>
      </c>
      <c r="I74" s="947"/>
      <c r="J74" s="947"/>
      <c r="K74" s="948"/>
      <c r="L74" s="837">
        <f ca="1">IFERROR(__xludf.DUMMYFUNCTION("IMPORTRANGE(""https://docs.google.com/spreadsheets/d/1MeEWN-I1oV_STSDYn1IFDPWt_1FKiwhDph83XaGc0o0/edit?usp=sharing"",""งบพรบ!AJ22"")"),0)</f>
        <v>0</v>
      </c>
      <c r="M74" s="837">
        <f ca="1">IFERROR(__xludf.DUMMYFUNCTION("IMPORTRANGE(""https://docs.google.com/spreadsheets/d/1MeEWN-I1oV_STSDYn1IFDPWt_1FKiwhDph83XaGc0o0/edit?usp=sharing"",""งบพรบ!AM22"")"),0)</f>
        <v>0</v>
      </c>
      <c r="N74" s="837">
        <f ca="1">IFERROR(__xludf.DUMMYFUNCTION("IMPORTRANGE(""https://docs.google.com/spreadsheets/d/1MeEWN-I1oV_STSDYn1IFDPWt_1FKiwhDph83XaGc0o0/edit?usp=sharing"",""งบพรบ!AO22"")"),0)</f>
        <v>0</v>
      </c>
      <c r="O74" s="837">
        <f t="shared" ca="1" si="40"/>
        <v>0</v>
      </c>
      <c r="P74" s="837">
        <f t="shared" ca="1" si="41"/>
        <v>0</v>
      </c>
      <c r="Q74" s="825"/>
      <c r="R74" s="825"/>
      <c r="S74" s="825"/>
      <c r="T74" s="825"/>
      <c r="U74" s="825"/>
      <c r="V74" s="825"/>
      <c r="W74" s="825"/>
      <c r="X74" s="825"/>
      <c r="Y74" s="825"/>
      <c r="Z74" s="825"/>
    </row>
    <row r="75" spans="1:26" ht="19.5">
      <c r="A75" s="949"/>
      <c r="B75" s="950"/>
      <c r="C75" s="946" t="s">
        <v>16</v>
      </c>
      <c r="D75" s="951" t="s">
        <v>38</v>
      </c>
      <c r="E75" s="952"/>
      <c r="F75" s="952"/>
      <c r="G75" s="953"/>
      <c r="H75" s="954"/>
      <c r="I75" s="944"/>
      <c r="J75" s="944"/>
      <c r="K75" s="945"/>
      <c r="L75" s="945"/>
      <c r="M75" s="945"/>
      <c r="N75" s="945"/>
      <c r="O75" s="945"/>
      <c r="P75" s="945"/>
    </row>
    <row r="76" spans="1:26" ht="19.5">
      <c r="A76" s="949"/>
      <c r="B76" s="950"/>
      <c r="C76" s="950"/>
      <c r="D76" s="955" t="s">
        <v>39</v>
      </c>
      <c r="E76" s="956"/>
      <c r="F76" s="957"/>
      <c r="G76" s="958"/>
      <c r="H76" s="180" t="s">
        <v>34</v>
      </c>
      <c r="I76" s="830">
        <f t="shared" ref="I76:J77" ca="1" si="45">I78+I80+I82</f>
        <v>2</v>
      </c>
      <c r="J76" s="830">
        <f t="shared" si="45"/>
        <v>2</v>
      </c>
      <c r="K76" s="945">
        <f t="shared" ref="K76:K84" ca="1" si="46">IF(I76&gt;0,J76*100/I76,0)</f>
        <v>100</v>
      </c>
      <c r="L76" s="945"/>
      <c r="M76" s="945"/>
      <c r="N76" s="945"/>
      <c r="O76" s="945"/>
      <c r="P76" s="945"/>
    </row>
    <row r="77" spans="1:26" ht="19.5">
      <c r="A77" s="949"/>
      <c r="B77" s="950"/>
      <c r="C77" s="950"/>
      <c r="D77" s="950"/>
      <c r="E77" s="957"/>
      <c r="F77" s="957"/>
      <c r="G77" s="958"/>
      <c r="H77" s="180" t="s">
        <v>35</v>
      </c>
      <c r="I77" s="830">
        <f t="shared" ca="1" si="45"/>
        <v>80</v>
      </c>
      <c r="J77" s="830">
        <f t="shared" si="45"/>
        <v>80</v>
      </c>
      <c r="K77" s="945">
        <f t="shared" ca="1" si="46"/>
        <v>100</v>
      </c>
      <c r="L77" s="945"/>
      <c r="M77" s="945"/>
      <c r="N77" s="945"/>
      <c r="O77" s="945"/>
      <c r="P77" s="945"/>
    </row>
    <row r="78" spans="1:26" ht="18.75">
      <c r="A78" s="949"/>
      <c r="B78" s="950"/>
      <c r="C78" s="950"/>
      <c r="D78" s="950"/>
      <c r="E78" s="956" t="s">
        <v>40</v>
      </c>
      <c r="F78" s="956"/>
      <c r="G78" s="958"/>
      <c r="H78" s="730" t="s">
        <v>34</v>
      </c>
      <c r="I78" s="944">
        <f ca="1">IFERROR(__xludf.DUMMYFUNCTION("IMPORTRANGE(""https://docs.google.com/spreadsheets/d/1QqKyyYR6Q21VydFLVH3TRQUabQu_ym0Zz7PgGX0-kHA/edit?usp=sharing"",""แผน!H22"")"),2)</f>
        <v>2</v>
      </c>
      <c r="J78" s="959">
        <v>2</v>
      </c>
      <c r="K78" s="945">
        <f t="shared" ca="1" si="46"/>
        <v>100</v>
      </c>
      <c r="L78" s="945"/>
      <c r="M78" s="945"/>
      <c r="N78" s="945"/>
      <c r="O78" s="945"/>
      <c r="P78" s="945"/>
    </row>
    <row r="79" spans="1:26" ht="18.75">
      <c r="A79" s="949"/>
      <c r="B79" s="950"/>
      <c r="C79" s="950"/>
      <c r="D79" s="950"/>
      <c r="E79" s="957"/>
      <c r="F79" s="957"/>
      <c r="G79" s="958"/>
      <c r="H79" s="730" t="s">
        <v>35</v>
      </c>
      <c r="I79" s="944">
        <f ca="1">IFERROR(__xludf.DUMMYFUNCTION("IMPORTRANGE(""https://docs.google.com/spreadsheets/d/1QqKyyYR6Q21VydFLVH3TRQUabQu_ym0Zz7PgGX0-kHA/edit?usp=sharing"",""แผน!I22"")"),80)</f>
        <v>80</v>
      </c>
      <c r="J79" s="959">
        <v>80</v>
      </c>
      <c r="K79" s="945">
        <f t="shared" ca="1" si="46"/>
        <v>100</v>
      </c>
      <c r="L79" s="945"/>
      <c r="M79" s="945"/>
      <c r="N79" s="945"/>
      <c r="O79" s="945"/>
      <c r="P79" s="945"/>
    </row>
    <row r="80" spans="1:26" ht="18.75">
      <c r="A80" s="949"/>
      <c r="B80" s="950"/>
      <c r="C80" s="950"/>
      <c r="D80" s="950"/>
      <c r="E80" s="956" t="s">
        <v>41</v>
      </c>
      <c r="F80" s="956"/>
      <c r="G80" s="958"/>
      <c r="H80" s="730" t="s">
        <v>34</v>
      </c>
      <c r="I80" s="944">
        <f ca="1">IFERROR(__xludf.DUMMYFUNCTION("IMPORTRANGE(""https://docs.google.com/spreadsheets/d/1QqKyyYR6Q21VydFLVH3TRQUabQu_ym0Zz7PgGX0-kHA/edit?usp=sharing"",""แผน!F22"")"),0)</f>
        <v>0</v>
      </c>
      <c r="J80" s="959">
        <v>0</v>
      </c>
      <c r="K80" s="945">
        <f t="shared" ca="1" si="46"/>
        <v>0</v>
      </c>
      <c r="L80" s="945"/>
      <c r="M80" s="945"/>
      <c r="N80" s="945"/>
      <c r="O80" s="945"/>
      <c r="P80" s="945"/>
    </row>
    <row r="81" spans="1:26" ht="18.75">
      <c r="A81" s="949"/>
      <c r="B81" s="950"/>
      <c r="C81" s="950"/>
      <c r="D81" s="950"/>
      <c r="E81" s="957"/>
      <c r="F81" s="957"/>
      <c r="G81" s="958"/>
      <c r="H81" s="730" t="s">
        <v>35</v>
      </c>
      <c r="I81" s="944">
        <f ca="1">IFERROR(__xludf.DUMMYFUNCTION("IMPORTRANGE(""https://docs.google.com/spreadsheets/d/1QqKyyYR6Q21VydFLVH3TRQUabQu_ym0Zz7PgGX0-kHA/edit?usp=sharing"",""แผน!G22"")"),0)</f>
        <v>0</v>
      </c>
      <c r="J81" s="959">
        <v>0</v>
      </c>
      <c r="K81" s="945">
        <f t="shared" ca="1" si="46"/>
        <v>0</v>
      </c>
      <c r="L81" s="945"/>
      <c r="M81" s="945"/>
      <c r="N81" s="945"/>
      <c r="O81" s="945"/>
      <c r="P81" s="945"/>
    </row>
    <row r="82" spans="1:26" ht="18.75">
      <c r="A82" s="949"/>
      <c r="B82" s="950"/>
      <c r="C82" s="950"/>
      <c r="D82" s="950"/>
      <c r="E82" s="956" t="s">
        <v>42</v>
      </c>
      <c r="F82" s="956"/>
      <c r="G82" s="958"/>
      <c r="H82" s="730" t="s">
        <v>34</v>
      </c>
      <c r="I82" s="944">
        <f ca="1">IFERROR(__xludf.DUMMYFUNCTION("IMPORTRANGE(""https://docs.google.com/spreadsheets/d/1QqKyyYR6Q21VydFLVH3TRQUabQu_ym0Zz7PgGX0-kHA/edit?usp=sharing"",""แผน!D22"")"),0)</f>
        <v>0</v>
      </c>
      <c r="J82" s="959">
        <v>0</v>
      </c>
      <c r="K82" s="945">
        <f t="shared" ca="1" si="46"/>
        <v>0</v>
      </c>
      <c r="L82" s="945"/>
      <c r="M82" s="945"/>
      <c r="N82" s="945"/>
      <c r="O82" s="945"/>
      <c r="P82" s="945"/>
    </row>
    <row r="83" spans="1:26" ht="18.75">
      <c r="A83" s="949"/>
      <c r="B83" s="950"/>
      <c r="C83" s="950"/>
      <c r="D83" s="950"/>
      <c r="E83" s="957"/>
      <c r="F83" s="957"/>
      <c r="G83" s="958"/>
      <c r="H83" s="730" t="s">
        <v>35</v>
      </c>
      <c r="I83" s="944">
        <f ca="1">IFERROR(__xludf.DUMMYFUNCTION("IMPORTRANGE(""https://docs.google.com/spreadsheets/d/1QqKyyYR6Q21VydFLVH3TRQUabQu_ym0Zz7PgGX0-kHA/edit?usp=sharing"",""แผน!E22"")"),0)</f>
        <v>0</v>
      </c>
      <c r="J83" s="959">
        <v>0</v>
      </c>
      <c r="K83" s="945">
        <f t="shared" ca="1" si="46"/>
        <v>0</v>
      </c>
      <c r="L83" s="945"/>
      <c r="M83" s="945"/>
      <c r="N83" s="945"/>
      <c r="O83" s="945"/>
      <c r="P83" s="945"/>
    </row>
    <row r="84" spans="1:26" ht="18.75">
      <c r="A84" s="949"/>
      <c r="B84" s="950"/>
      <c r="C84" s="950"/>
      <c r="D84" s="955" t="s">
        <v>43</v>
      </c>
      <c r="E84" s="956"/>
      <c r="F84" s="957"/>
      <c r="G84" s="958"/>
      <c r="H84" s="777" t="s">
        <v>34</v>
      </c>
      <c r="I84" s="944">
        <f ca="1">IFERROR(__xludf.DUMMYFUNCTION("IMPORTRANGE(""https://docs.google.com/spreadsheets/d/1QqKyyYR6Q21VydFLVH3TRQUabQu_ym0Zz7PgGX0-kHA/edit?usp=sharing"",""แผน!J22"")"),2)</f>
        <v>2</v>
      </c>
      <c r="J84" s="959">
        <v>0</v>
      </c>
      <c r="K84" s="945">
        <f t="shared" ca="1" si="46"/>
        <v>0</v>
      </c>
      <c r="L84" s="945"/>
      <c r="M84" s="945"/>
      <c r="N84" s="945"/>
      <c r="O84" s="945"/>
      <c r="P84" s="945"/>
    </row>
    <row r="85" spans="1:26" ht="19.5">
      <c r="A85" s="917" t="s">
        <v>44</v>
      </c>
      <c r="B85" s="918"/>
      <c r="C85" s="919"/>
      <c r="D85" s="918"/>
      <c r="E85" s="918"/>
      <c r="F85" s="918"/>
      <c r="G85" s="920"/>
      <c r="H85" s="921"/>
      <c r="I85" s="922"/>
      <c r="J85" s="922"/>
      <c r="K85" s="923"/>
      <c r="L85" s="923"/>
      <c r="M85" s="923"/>
      <c r="N85" s="923"/>
      <c r="O85" s="923"/>
      <c r="P85" s="923"/>
    </row>
    <row r="86" spans="1:26" ht="19.5">
      <c r="A86" s="924"/>
      <c r="B86" s="925" t="s">
        <v>45</v>
      </c>
      <c r="C86" s="926"/>
      <c r="D86" s="927"/>
      <c r="E86" s="926"/>
      <c r="F86" s="926"/>
      <c r="G86" s="928"/>
      <c r="H86" s="205" t="s">
        <v>46</v>
      </c>
      <c r="I86" s="929">
        <f t="shared" ref="I86:J87" ca="1" si="47">I98</f>
        <v>120</v>
      </c>
      <c r="J86" s="929">
        <f t="shared" si="47"/>
        <v>120</v>
      </c>
      <c r="K86" s="930">
        <f t="shared" ref="K86:K87" ca="1" si="48">IF(I86&gt;0,J86*100/I86,0)</f>
        <v>100</v>
      </c>
      <c r="L86" s="931"/>
      <c r="M86" s="931"/>
      <c r="N86" s="931"/>
      <c r="O86" s="931"/>
      <c r="P86" s="931"/>
    </row>
    <row r="87" spans="1:26" ht="19.5">
      <c r="A87" s="924"/>
      <c r="B87" s="926"/>
      <c r="C87" s="926"/>
      <c r="D87" s="927"/>
      <c r="E87" s="926"/>
      <c r="F87" s="926"/>
      <c r="G87" s="928"/>
      <c r="H87" s="205" t="s">
        <v>35</v>
      </c>
      <c r="I87" s="929">
        <f t="shared" ca="1" si="47"/>
        <v>40</v>
      </c>
      <c r="J87" s="929">
        <f t="shared" si="47"/>
        <v>40</v>
      </c>
      <c r="K87" s="930">
        <f t="shared" ca="1" si="48"/>
        <v>100</v>
      </c>
      <c r="L87" s="931"/>
      <c r="M87" s="931"/>
      <c r="N87" s="931"/>
      <c r="O87" s="931"/>
      <c r="P87" s="931"/>
    </row>
    <row r="88" spans="1:26" ht="19.5">
      <c r="A88" s="932"/>
      <c r="B88" s="933"/>
      <c r="C88" s="934" t="s">
        <v>16</v>
      </c>
      <c r="D88" s="935" t="s">
        <v>17</v>
      </c>
      <c r="E88" s="933"/>
      <c r="F88" s="933"/>
      <c r="G88" s="936"/>
      <c r="H88" s="152" t="s">
        <v>12</v>
      </c>
      <c r="I88" s="937"/>
      <c r="J88" s="937"/>
      <c r="K88" s="938"/>
      <c r="L88" s="939">
        <f t="shared" ref="L88:N88" ca="1" si="49">L89+L90</f>
        <v>447560</v>
      </c>
      <c r="M88" s="939">
        <f t="shared" ca="1" si="49"/>
        <v>326110</v>
      </c>
      <c r="N88" s="939">
        <f t="shared" ca="1" si="49"/>
        <v>173486.68</v>
      </c>
      <c r="O88" s="939">
        <f t="shared" ref="O88:O96" ca="1" si="50">IF(L88&gt;0,N88*100/L88,0)</f>
        <v>38.762775940655999</v>
      </c>
      <c r="P88" s="939">
        <f t="shared" ref="P88:P96" ca="1" si="51">IF(M88&gt;0,N88*100/M88,0)</f>
        <v>53.198822483211188</v>
      </c>
      <c r="Q88" s="818"/>
      <c r="R88" s="818"/>
      <c r="S88" s="818"/>
      <c r="T88" s="818"/>
      <c r="U88" s="818"/>
      <c r="V88" s="818"/>
      <c r="W88" s="818"/>
      <c r="X88" s="818"/>
      <c r="Y88" s="818"/>
      <c r="Z88" s="818"/>
    </row>
    <row r="89" spans="1:26" ht="18.75" hidden="1">
      <c r="A89" s="940"/>
      <c r="B89" s="833"/>
      <c r="C89" s="833"/>
      <c r="D89" s="833"/>
      <c r="E89" s="834" t="s">
        <v>18</v>
      </c>
      <c r="F89" s="833"/>
      <c r="G89" s="941"/>
      <c r="H89" s="158" t="s">
        <v>12</v>
      </c>
      <c r="I89" s="836"/>
      <c r="J89" s="836"/>
      <c r="K89" s="837"/>
      <c r="L89" s="837">
        <f t="shared" ref="L89:N90" si="52">L92+L95</f>
        <v>0</v>
      </c>
      <c r="M89" s="837">
        <f t="shared" si="52"/>
        <v>0</v>
      </c>
      <c r="N89" s="837">
        <f t="shared" si="52"/>
        <v>0</v>
      </c>
      <c r="O89" s="837">
        <f t="shared" si="50"/>
        <v>0</v>
      </c>
      <c r="P89" s="837">
        <f t="shared" si="51"/>
        <v>0</v>
      </c>
      <c r="Q89" s="825"/>
      <c r="R89" s="825"/>
      <c r="S89" s="825"/>
      <c r="T89" s="825"/>
      <c r="U89" s="825"/>
      <c r="V89" s="825"/>
      <c r="W89" s="825"/>
      <c r="X89" s="825"/>
      <c r="Y89" s="825"/>
      <c r="Z89" s="825"/>
    </row>
    <row r="90" spans="1:26" ht="18.75" hidden="1">
      <c r="A90" s="940"/>
      <c r="B90" s="833"/>
      <c r="C90" s="833"/>
      <c r="D90" s="833"/>
      <c r="E90" s="834" t="s">
        <v>19</v>
      </c>
      <c r="F90" s="833"/>
      <c r="G90" s="941"/>
      <c r="H90" s="158" t="s">
        <v>12</v>
      </c>
      <c r="I90" s="836"/>
      <c r="J90" s="836"/>
      <c r="K90" s="837"/>
      <c r="L90" s="837">
        <f t="shared" ca="1" si="52"/>
        <v>447560</v>
      </c>
      <c r="M90" s="837">
        <f t="shared" ca="1" si="52"/>
        <v>326110</v>
      </c>
      <c r="N90" s="837">
        <f t="shared" ca="1" si="52"/>
        <v>173486.68</v>
      </c>
      <c r="O90" s="837">
        <f t="shared" ca="1" si="50"/>
        <v>38.762775940655999</v>
      </c>
      <c r="P90" s="837">
        <f t="shared" ca="1" si="51"/>
        <v>53.198822483211188</v>
      </c>
      <c r="Q90" s="825"/>
      <c r="R90" s="825"/>
      <c r="S90" s="825"/>
      <c r="T90" s="825"/>
      <c r="U90" s="825"/>
      <c r="V90" s="825"/>
      <c r="W90" s="825"/>
      <c r="X90" s="825"/>
      <c r="Y90" s="825"/>
      <c r="Z90" s="825"/>
    </row>
    <row r="91" spans="1:26" ht="18.75">
      <c r="A91" s="942"/>
      <c r="B91" s="827"/>
      <c r="C91" s="943"/>
      <c r="D91" s="828" t="s">
        <v>20</v>
      </c>
      <c r="E91" s="827"/>
      <c r="F91" s="827"/>
      <c r="G91" s="829"/>
      <c r="H91" s="778" t="s">
        <v>12</v>
      </c>
      <c r="I91" s="944"/>
      <c r="J91" s="944"/>
      <c r="K91" s="945"/>
      <c r="L91" s="831">
        <f t="shared" ref="L91:N91" ca="1" si="53">L92+L93</f>
        <v>447560</v>
      </c>
      <c r="M91" s="831">
        <f t="shared" ca="1" si="53"/>
        <v>326110</v>
      </c>
      <c r="N91" s="831">
        <f t="shared" ca="1" si="53"/>
        <v>173486.68</v>
      </c>
      <c r="O91" s="831">
        <f t="shared" ca="1" si="50"/>
        <v>38.762775940655999</v>
      </c>
      <c r="P91" s="831">
        <f t="shared" ca="1" si="51"/>
        <v>53.198822483211188</v>
      </c>
      <c r="Q91" s="818"/>
      <c r="R91" s="818"/>
      <c r="S91" s="818"/>
      <c r="T91" s="818"/>
      <c r="U91" s="818"/>
      <c r="V91" s="818"/>
      <c r="W91" s="818"/>
      <c r="X91" s="818"/>
      <c r="Y91" s="818"/>
      <c r="Z91" s="818"/>
    </row>
    <row r="92" spans="1:26" ht="19.5" hidden="1">
      <c r="A92" s="940"/>
      <c r="B92" s="833"/>
      <c r="C92" s="946"/>
      <c r="D92" s="833"/>
      <c r="E92" s="834" t="s">
        <v>36</v>
      </c>
      <c r="F92" s="833"/>
      <c r="G92" s="941"/>
      <c r="H92" s="165" t="s">
        <v>12</v>
      </c>
      <c r="I92" s="947"/>
      <c r="J92" s="947"/>
      <c r="K92" s="948"/>
      <c r="L92" s="837">
        <v>0</v>
      </c>
      <c r="M92" s="837">
        <v>0</v>
      </c>
      <c r="N92" s="837">
        <v>0</v>
      </c>
      <c r="O92" s="837">
        <f t="shared" si="50"/>
        <v>0</v>
      </c>
      <c r="P92" s="837">
        <f t="shared" si="51"/>
        <v>0</v>
      </c>
      <c r="Q92" s="825"/>
      <c r="R92" s="825"/>
      <c r="S92" s="825"/>
      <c r="T92" s="825"/>
      <c r="U92" s="825"/>
      <c r="V92" s="825"/>
      <c r="W92" s="825"/>
      <c r="X92" s="825"/>
      <c r="Y92" s="825"/>
      <c r="Z92" s="825"/>
    </row>
    <row r="93" spans="1:26" ht="19.5" hidden="1">
      <c r="A93" s="940"/>
      <c r="B93" s="833"/>
      <c r="C93" s="946"/>
      <c r="D93" s="833"/>
      <c r="E93" s="834" t="s">
        <v>37</v>
      </c>
      <c r="F93" s="833"/>
      <c r="G93" s="941"/>
      <c r="H93" s="165" t="s">
        <v>12</v>
      </c>
      <c r="I93" s="947"/>
      <c r="J93" s="947"/>
      <c r="K93" s="948"/>
      <c r="L93" s="837">
        <f ca="1">IFERROR(__xludf.DUMMYFUNCTION("IMPORTRANGE(""https://docs.google.com/spreadsheets/d/1MeEWN-I1oV_STSDYn1IFDPWt_1FKiwhDph83XaGc0o0/edit?usp=sharing"",""งบพรบ!AQ22"")"),447560)</f>
        <v>447560</v>
      </c>
      <c r="M93" s="837">
        <f ca="1">IFERROR(__xludf.DUMMYFUNCTION("IMPORTRANGE(""https://docs.google.com/spreadsheets/d/1MeEWN-I1oV_STSDYn1IFDPWt_1FKiwhDph83XaGc0o0/edit?usp=sharing"",""งบพรบ!AV22"")"),326110)</f>
        <v>326110</v>
      </c>
      <c r="N93" s="837">
        <f ca="1">IFERROR(__xludf.DUMMYFUNCTION("IMPORTRANGE(""https://docs.google.com/spreadsheets/d/1MeEWN-I1oV_STSDYn1IFDPWt_1FKiwhDph83XaGc0o0/edit?usp=sharing"",""งบพรบ!AX22"")"),173486.68)</f>
        <v>173486.68</v>
      </c>
      <c r="O93" s="837">
        <f t="shared" ca="1" si="50"/>
        <v>38.762775940655999</v>
      </c>
      <c r="P93" s="837">
        <f t="shared" ca="1" si="51"/>
        <v>53.198822483211188</v>
      </c>
      <c r="Q93" s="825"/>
      <c r="R93" s="825"/>
      <c r="S93" s="825"/>
      <c r="T93" s="825"/>
      <c r="U93" s="825"/>
      <c r="V93" s="825"/>
      <c r="W93" s="825"/>
      <c r="X93" s="825"/>
      <c r="Y93" s="825"/>
      <c r="Z93" s="825"/>
    </row>
    <row r="94" spans="1:26" ht="18.75">
      <c r="A94" s="942"/>
      <c r="B94" s="827"/>
      <c r="C94" s="943"/>
      <c r="D94" s="828" t="s">
        <v>21</v>
      </c>
      <c r="E94" s="827"/>
      <c r="F94" s="827"/>
      <c r="G94" s="829"/>
      <c r="H94" s="168" t="s">
        <v>12</v>
      </c>
      <c r="I94" s="944"/>
      <c r="J94" s="944"/>
      <c r="K94" s="945"/>
      <c r="L94" s="831">
        <f t="shared" ref="L94:N94" ca="1" si="54">L95+L96</f>
        <v>0</v>
      </c>
      <c r="M94" s="831">
        <f t="shared" ca="1" si="54"/>
        <v>0</v>
      </c>
      <c r="N94" s="831">
        <f t="shared" ca="1" si="54"/>
        <v>0</v>
      </c>
      <c r="O94" s="831">
        <f t="shared" ca="1" si="50"/>
        <v>0</v>
      </c>
      <c r="P94" s="831">
        <f t="shared" ca="1" si="51"/>
        <v>0</v>
      </c>
      <c r="Q94" s="818"/>
      <c r="R94" s="818"/>
      <c r="S94" s="818"/>
      <c r="T94" s="818"/>
      <c r="U94" s="818"/>
      <c r="V94" s="818"/>
      <c r="W94" s="818"/>
      <c r="X94" s="818"/>
      <c r="Y94" s="818"/>
      <c r="Z94" s="818"/>
    </row>
    <row r="95" spans="1:26" ht="19.5" hidden="1">
      <c r="A95" s="940"/>
      <c r="B95" s="833"/>
      <c r="C95" s="946"/>
      <c r="D95" s="833"/>
      <c r="E95" s="834" t="s">
        <v>18</v>
      </c>
      <c r="F95" s="833"/>
      <c r="G95" s="941"/>
      <c r="H95" s="165" t="s">
        <v>12</v>
      </c>
      <c r="I95" s="947"/>
      <c r="J95" s="947"/>
      <c r="K95" s="948"/>
      <c r="L95" s="837">
        <v>0</v>
      </c>
      <c r="M95" s="837">
        <v>0</v>
      </c>
      <c r="N95" s="837">
        <v>0</v>
      </c>
      <c r="O95" s="837">
        <f t="shared" si="50"/>
        <v>0</v>
      </c>
      <c r="P95" s="837">
        <f t="shared" si="51"/>
        <v>0</v>
      </c>
      <c r="Q95" s="825"/>
      <c r="R95" s="825"/>
      <c r="S95" s="825"/>
      <c r="T95" s="825"/>
      <c r="U95" s="825"/>
      <c r="V95" s="825"/>
      <c r="W95" s="825"/>
      <c r="X95" s="825"/>
      <c r="Y95" s="825"/>
      <c r="Z95" s="825"/>
    </row>
    <row r="96" spans="1:26" ht="19.5" hidden="1">
      <c r="A96" s="940"/>
      <c r="B96" s="833"/>
      <c r="C96" s="946"/>
      <c r="D96" s="833"/>
      <c r="E96" s="834" t="s">
        <v>19</v>
      </c>
      <c r="F96" s="833"/>
      <c r="G96" s="941"/>
      <c r="H96" s="169" t="s">
        <v>12</v>
      </c>
      <c r="I96" s="947"/>
      <c r="J96" s="947"/>
      <c r="K96" s="948"/>
      <c r="L96" s="837">
        <f ca="1">IFERROR(__xludf.DUMMYFUNCTION("IMPORTRANGE(""https://docs.google.com/spreadsheets/d/1MeEWN-I1oV_STSDYn1IFDPWt_1FKiwhDph83XaGc0o0/edit?usp=sharing"",""งบพรบ!AT22"")"),0)</f>
        <v>0</v>
      </c>
      <c r="M96" s="837">
        <f ca="1">IFERROR(__xludf.DUMMYFUNCTION("IMPORTRANGE(""https://docs.google.com/spreadsheets/d/1MeEWN-I1oV_STSDYn1IFDPWt_1FKiwhDph83XaGc0o0/edit?usp=sharing"",""งบพรบ!AW22"")"),0)</f>
        <v>0</v>
      </c>
      <c r="N96" s="837">
        <f ca="1">IFERROR(__xludf.DUMMYFUNCTION("IMPORTRANGE(""https://docs.google.com/spreadsheets/d/1MeEWN-I1oV_STSDYn1IFDPWt_1FKiwhDph83XaGc0o0/edit?usp=sharing"",""งบพรบ!AY22"")"),0)</f>
        <v>0</v>
      </c>
      <c r="O96" s="837">
        <f t="shared" ca="1" si="50"/>
        <v>0</v>
      </c>
      <c r="P96" s="837">
        <f t="shared" ca="1" si="51"/>
        <v>0</v>
      </c>
      <c r="Q96" s="825"/>
      <c r="R96" s="825"/>
      <c r="S96" s="825"/>
      <c r="T96" s="825"/>
      <c r="U96" s="825"/>
      <c r="V96" s="825"/>
      <c r="W96" s="825"/>
      <c r="X96" s="825"/>
      <c r="Y96" s="825"/>
      <c r="Z96" s="825"/>
    </row>
    <row r="97" spans="1:16" ht="19.5">
      <c r="A97" s="949"/>
      <c r="B97" s="950"/>
      <c r="C97" s="946" t="s">
        <v>16</v>
      </c>
      <c r="D97" s="951" t="s">
        <v>38</v>
      </c>
      <c r="E97" s="952"/>
      <c r="F97" s="952"/>
      <c r="G97" s="953"/>
      <c r="H97" s="954"/>
      <c r="I97" s="944"/>
      <c r="J97" s="830"/>
      <c r="K97" s="831"/>
      <c r="L97" s="831"/>
      <c r="M97" s="831"/>
      <c r="N97" s="831"/>
      <c r="O97" s="945"/>
      <c r="P97" s="945"/>
    </row>
    <row r="98" spans="1:16" ht="18.75">
      <c r="A98" s="949"/>
      <c r="B98" s="950"/>
      <c r="C98" s="950"/>
      <c r="D98" s="956" t="s">
        <v>47</v>
      </c>
      <c r="E98" s="956"/>
      <c r="F98" s="957"/>
      <c r="G98" s="958"/>
      <c r="H98" s="590" t="s">
        <v>46</v>
      </c>
      <c r="I98" s="830">
        <f ca="1">IFERROR(__xludf.DUMMYFUNCTION("IMPORTRANGE(""https://docs.google.com/spreadsheets/d/1QqKyyYR6Q21VydFLVH3TRQUabQu_ym0Zz7PgGX0-kHA/edit?usp=sharing"",""แผน!K22"")"),120)</f>
        <v>120</v>
      </c>
      <c r="J98" s="830">
        <f>J102</f>
        <v>120</v>
      </c>
      <c r="K98" s="831">
        <f t="shared" ref="K98:K100" ca="1" si="55">IF(I98&gt;0,J98*100/I98,0)</f>
        <v>100</v>
      </c>
      <c r="L98" s="831"/>
      <c r="M98" s="831"/>
      <c r="N98" s="831"/>
      <c r="O98" s="945"/>
      <c r="P98" s="945"/>
    </row>
    <row r="99" spans="1:16" ht="18.75">
      <c r="A99" s="949"/>
      <c r="B99" s="950"/>
      <c r="C99" s="950"/>
      <c r="D99" s="956" t="s">
        <v>48</v>
      </c>
      <c r="E99" s="956"/>
      <c r="F99" s="957"/>
      <c r="G99" s="958"/>
      <c r="H99" s="590" t="s">
        <v>35</v>
      </c>
      <c r="I99" s="830">
        <f ca="1">IFERROR(__xludf.DUMMYFUNCTION("IMPORTRANGE(""https://docs.google.com/spreadsheets/d/1QqKyyYR6Q21VydFLVH3TRQUabQu_ym0Zz7PgGX0-kHA/edit?usp=sharing"",""แผน!L22"")"),40)</f>
        <v>40</v>
      </c>
      <c r="J99" s="830">
        <f>J104</f>
        <v>40</v>
      </c>
      <c r="K99" s="831">
        <f t="shared" ca="1" si="55"/>
        <v>100</v>
      </c>
      <c r="L99" s="831"/>
      <c r="M99" s="831"/>
      <c r="N99" s="831"/>
      <c r="O99" s="945"/>
      <c r="P99" s="945"/>
    </row>
    <row r="100" spans="1:16" ht="18.75">
      <c r="A100" s="949"/>
      <c r="B100" s="950"/>
      <c r="C100" s="950"/>
      <c r="D100" s="950"/>
      <c r="E100" s="957"/>
      <c r="F100" s="957"/>
      <c r="G100" s="958"/>
      <c r="H100" s="590" t="s">
        <v>49</v>
      </c>
      <c r="I100" s="830">
        <f ca="1">IFERROR(__xludf.DUMMYFUNCTION("IMPORTRANGE(""https://docs.google.com/spreadsheets/d/1QqKyyYR6Q21VydFLVH3TRQUabQu_ym0Zz7PgGX0-kHA/edit?usp=sharing"",""แผน!M22"")"),2)</f>
        <v>2</v>
      </c>
      <c r="J100" s="830">
        <f>J107+J110</f>
        <v>0</v>
      </c>
      <c r="K100" s="831">
        <f t="shared" ca="1" si="55"/>
        <v>0</v>
      </c>
      <c r="L100" s="831"/>
      <c r="M100" s="831"/>
      <c r="N100" s="831"/>
      <c r="O100" s="945"/>
      <c r="P100" s="945"/>
    </row>
    <row r="101" spans="1:16" ht="19.5">
      <c r="A101" s="949"/>
      <c r="B101" s="950"/>
      <c r="C101" s="950"/>
      <c r="D101" s="957"/>
      <c r="E101" s="960" t="s">
        <v>50</v>
      </c>
      <c r="F101" s="957"/>
      <c r="G101" s="958"/>
      <c r="H101" s="590"/>
      <c r="I101" s="830"/>
      <c r="J101" s="830"/>
      <c r="K101" s="831"/>
      <c r="L101" s="831"/>
      <c r="M101" s="831"/>
      <c r="N101" s="831"/>
      <c r="O101" s="945"/>
      <c r="P101" s="945"/>
    </row>
    <row r="102" spans="1:16" ht="18.75">
      <c r="A102" s="949"/>
      <c r="B102" s="950"/>
      <c r="C102" s="950"/>
      <c r="D102" s="957"/>
      <c r="E102" s="961" t="s">
        <v>47</v>
      </c>
      <c r="F102" s="957"/>
      <c r="G102" s="958"/>
      <c r="H102" s="590" t="s">
        <v>46</v>
      </c>
      <c r="I102" s="830">
        <f ca="1">IFERROR(__xludf.DUMMYFUNCTION("IMPORTRANGE(""https://docs.google.com/spreadsheets/d/1QqKyyYR6Q21VydFLVH3TRQUabQu_ym0Zz7PgGX0-kHA/edit?usp=sharing"",""แผน!N22"")"),120)</f>
        <v>120</v>
      </c>
      <c r="J102" s="959">
        <v>120</v>
      </c>
      <c r="K102" s="831">
        <f t="shared" ref="K102:K104" ca="1" si="56">IF(I102&gt;0,J102*100/I102,0)</f>
        <v>100</v>
      </c>
      <c r="L102" s="831"/>
      <c r="M102" s="831"/>
      <c r="N102" s="831"/>
      <c r="O102" s="945"/>
      <c r="P102" s="945"/>
    </row>
    <row r="103" spans="1:16" ht="19.5">
      <c r="A103" s="949"/>
      <c r="B103" s="950"/>
      <c r="C103" s="950"/>
      <c r="D103" s="957"/>
      <c r="E103" s="956" t="s">
        <v>51</v>
      </c>
      <c r="F103" s="957"/>
      <c r="G103" s="958"/>
      <c r="H103" s="590" t="s">
        <v>35</v>
      </c>
      <c r="I103" s="830">
        <f ca="1">IFERROR(__xludf.DUMMYFUNCTION("IMPORTRANGE(""https://docs.google.com/spreadsheets/d/1QqKyyYR6Q21VydFLVH3TRQUabQu_ym0Zz7PgGX0-kHA/edit?usp=sharing"",""แผน!O22"")"),40)</f>
        <v>40</v>
      </c>
      <c r="J103" s="959">
        <v>40</v>
      </c>
      <c r="K103" s="831">
        <f t="shared" ca="1" si="56"/>
        <v>100</v>
      </c>
      <c r="L103" s="831"/>
      <c r="M103" s="831"/>
      <c r="N103" s="831"/>
      <c r="O103" s="945"/>
      <c r="P103" s="945"/>
    </row>
    <row r="104" spans="1:16" ht="18.75">
      <c r="A104" s="949"/>
      <c r="B104" s="950"/>
      <c r="C104" s="950"/>
      <c r="D104" s="957"/>
      <c r="E104" s="962" t="s">
        <v>52</v>
      </c>
      <c r="F104" s="957"/>
      <c r="G104" s="958"/>
      <c r="H104" s="590" t="s">
        <v>35</v>
      </c>
      <c r="I104" s="830">
        <f ca="1">IFERROR(__xludf.DUMMYFUNCTION("IMPORTRANGE(""https://docs.google.com/spreadsheets/d/1QqKyyYR6Q21VydFLVH3TRQUabQu_ym0Zz7PgGX0-kHA/edit?usp=sharing"",""แผน!O22"")"),40)</f>
        <v>40</v>
      </c>
      <c r="J104" s="959">
        <v>40</v>
      </c>
      <c r="K104" s="831">
        <f t="shared" ca="1" si="56"/>
        <v>100</v>
      </c>
      <c r="L104" s="831"/>
      <c r="M104" s="831"/>
      <c r="N104" s="831"/>
      <c r="O104" s="945"/>
      <c r="P104" s="945"/>
    </row>
    <row r="105" spans="1:16" ht="19.5">
      <c r="A105" s="949"/>
      <c r="B105" s="950"/>
      <c r="C105" s="950"/>
      <c r="D105" s="957"/>
      <c r="E105" s="960" t="s">
        <v>53</v>
      </c>
      <c r="F105" s="957"/>
      <c r="G105" s="958"/>
      <c r="H105" s="963"/>
      <c r="I105" s="830"/>
      <c r="J105" s="830"/>
      <c r="K105" s="831"/>
      <c r="L105" s="831"/>
      <c r="M105" s="831"/>
      <c r="N105" s="831"/>
      <c r="O105" s="945"/>
      <c r="P105" s="945"/>
    </row>
    <row r="106" spans="1:16" ht="19.5">
      <c r="A106" s="949"/>
      <c r="B106" s="950"/>
      <c r="C106" s="950"/>
      <c r="D106" s="957"/>
      <c r="E106" s="956" t="s">
        <v>54</v>
      </c>
      <c r="F106" s="957"/>
      <c r="G106" s="958"/>
      <c r="H106" s="590" t="s">
        <v>49</v>
      </c>
      <c r="I106" s="830">
        <f ca="1">IFERROR(__xludf.DUMMYFUNCTION("IMPORTRANGE(""https://docs.google.com/spreadsheets/d/1QqKyyYR6Q21VydFLVH3TRQUabQu_ym0Zz7PgGX0-kHA/edit?usp=sharing"",""แผน!P22"")"),1)</f>
        <v>1</v>
      </c>
      <c r="J106" s="959">
        <v>0</v>
      </c>
      <c r="K106" s="831">
        <f t="shared" ref="K106:K107" ca="1" si="57">IF(I106&gt;0,J106*100/I106,0)</f>
        <v>0</v>
      </c>
      <c r="L106" s="831"/>
      <c r="M106" s="831"/>
      <c r="N106" s="831"/>
      <c r="O106" s="945"/>
      <c r="P106" s="945"/>
    </row>
    <row r="107" spans="1:16" ht="18.75">
      <c r="A107" s="949"/>
      <c r="B107" s="950"/>
      <c r="C107" s="950"/>
      <c r="D107" s="957"/>
      <c r="E107" s="962" t="s">
        <v>55</v>
      </c>
      <c r="F107" s="957"/>
      <c r="G107" s="958"/>
      <c r="H107" s="590" t="s">
        <v>49</v>
      </c>
      <c r="I107" s="830">
        <f ca="1">IFERROR(__xludf.DUMMYFUNCTION("IMPORTRANGE(""https://docs.google.com/spreadsheets/d/1QqKyyYR6Q21VydFLVH3TRQUabQu_ym0Zz7PgGX0-kHA/edit?usp=sharing"",""แผน!P22"")"),1)</f>
        <v>1</v>
      </c>
      <c r="J107" s="959">
        <v>0</v>
      </c>
      <c r="K107" s="831">
        <f t="shared" ca="1" si="57"/>
        <v>0</v>
      </c>
      <c r="L107" s="831"/>
      <c r="M107" s="831"/>
      <c r="N107" s="831"/>
      <c r="O107" s="945"/>
      <c r="P107" s="945"/>
    </row>
    <row r="108" spans="1:16" ht="19.5">
      <c r="A108" s="949"/>
      <c r="B108" s="950"/>
      <c r="C108" s="950"/>
      <c r="D108" s="957"/>
      <c r="E108" s="960" t="s">
        <v>56</v>
      </c>
      <c r="F108" s="957"/>
      <c r="G108" s="958"/>
      <c r="H108" s="963"/>
      <c r="I108" s="830"/>
      <c r="J108" s="830"/>
      <c r="K108" s="831"/>
      <c r="L108" s="831"/>
      <c r="M108" s="831"/>
      <c r="N108" s="831"/>
      <c r="O108" s="945"/>
      <c r="P108" s="945"/>
    </row>
    <row r="109" spans="1:16" ht="19.5">
      <c r="A109" s="949"/>
      <c r="B109" s="950"/>
      <c r="C109" s="950"/>
      <c r="D109" s="957"/>
      <c r="E109" s="956" t="s">
        <v>57</v>
      </c>
      <c r="F109" s="957"/>
      <c r="G109" s="958"/>
      <c r="H109" s="590" t="s">
        <v>49</v>
      </c>
      <c r="I109" s="830">
        <f ca="1">IFERROR(__xludf.DUMMYFUNCTION("IMPORTRANGE(""https://docs.google.com/spreadsheets/d/1QqKyyYR6Q21VydFLVH3TRQUabQu_ym0Zz7PgGX0-kHA/edit?usp=sharing"",""แผน!Q22"")"),1)</f>
        <v>1</v>
      </c>
      <c r="J109" s="959">
        <v>0</v>
      </c>
      <c r="K109" s="831">
        <f t="shared" ref="K109:K116" ca="1" si="58">IF(I109&gt;0,J109*100/I109,0)</f>
        <v>0</v>
      </c>
      <c r="L109" s="831"/>
      <c r="M109" s="831"/>
      <c r="N109" s="831"/>
      <c r="O109" s="945"/>
      <c r="P109" s="945"/>
    </row>
    <row r="110" spans="1:16" ht="18.75">
      <c r="A110" s="949"/>
      <c r="B110" s="950"/>
      <c r="C110" s="950"/>
      <c r="D110" s="957"/>
      <c r="E110" s="964" t="s">
        <v>58</v>
      </c>
      <c r="F110" s="957"/>
      <c r="G110" s="958"/>
      <c r="H110" s="590" t="s">
        <v>49</v>
      </c>
      <c r="I110" s="830">
        <f ca="1">IFERROR(__xludf.DUMMYFUNCTION("IMPORTRANGE(""https://docs.google.com/spreadsheets/d/1QqKyyYR6Q21VydFLVH3TRQUabQu_ym0Zz7PgGX0-kHA/edit?usp=sharing"",""แผน!Q22"")"),1)</f>
        <v>1</v>
      </c>
      <c r="J110" s="959">
        <v>0</v>
      </c>
      <c r="K110" s="831">
        <f t="shared" ca="1" si="58"/>
        <v>0</v>
      </c>
      <c r="L110" s="831"/>
      <c r="M110" s="831"/>
      <c r="N110" s="831"/>
      <c r="O110" s="945"/>
      <c r="P110" s="945"/>
    </row>
    <row r="111" spans="1:16" ht="19.5">
      <c r="A111" s="949"/>
      <c r="B111" s="950"/>
      <c r="C111" s="950"/>
      <c r="D111" s="960" t="s">
        <v>59</v>
      </c>
      <c r="E111" s="960"/>
      <c r="F111" s="957"/>
      <c r="G111" s="958"/>
      <c r="H111" s="733" t="s">
        <v>35</v>
      </c>
      <c r="I111" s="965">
        <f ca="1">IFERROR(__xludf.DUMMYFUNCTION("IMPORTRANGE(""https://docs.google.com/spreadsheets/d/1QqKyyYR6Q21VydFLVH3TRQUabQu_ym0Zz7PgGX0-kHA/edit?usp=sharing"",""แผน!R22"")"),40)</f>
        <v>40</v>
      </c>
      <c r="J111" s="966">
        <f>J114</f>
        <v>0</v>
      </c>
      <c r="K111" s="967">
        <f t="shared" ca="1" si="58"/>
        <v>0</v>
      </c>
      <c r="L111" s="831"/>
      <c r="M111" s="831"/>
      <c r="N111" s="831"/>
      <c r="O111" s="945"/>
      <c r="P111" s="945"/>
    </row>
    <row r="112" spans="1:16" ht="19.5">
      <c r="A112" s="949"/>
      <c r="B112" s="950"/>
      <c r="C112" s="950"/>
      <c r="D112" s="950"/>
      <c r="E112" s="957"/>
      <c r="F112" s="957"/>
      <c r="G112" s="958"/>
      <c r="H112" s="196" t="s">
        <v>49</v>
      </c>
      <c r="I112" s="965">
        <f t="shared" ref="I112:J112" ca="1" si="59">I115+I116</f>
        <v>2</v>
      </c>
      <c r="J112" s="966">
        <f t="shared" si="59"/>
        <v>0</v>
      </c>
      <c r="K112" s="967">
        <f t="shared" ca="1" si="58"/>
        <v>0</v>
      </c>
      <c r="L112" s="831"/>
      <c r="M112" s="831"/>
      <c r="N112" s="831"/>
      <c r="O112" s="945"/>
      <c r="P112" s="945"/>
    </row>
    <row r="113" spans="1:26" ht="19.5">
      <c r="A113" s="949"/>
      <c r="B113" s="950"/>
      <c r="C113" s="950"/>
      <c r="D113" s="950"/>
      <c r="E113" s="968" t="s">
        <v>60</v>
      </c>
      <c r="F113" s="957"/>
      <c r="G113" s="958"/>
      <c r="H113" s="198" t="s">
        <v>35</v>
      </c>
      <c r="I113" s="944">
        <f ca="1">IFERROR(__xludf.DUMMYFUNCTION("IMPORTRANGE(""https://docs.google.com/spreadsheets/d/1QqKyyYR6Q21VydFLVH3TRQUabQu_ym0Zz7PgGX0-kHA/edit?usp=sharing"",""แผน!R22"")"),40)</f>
        <v>40</v>
      </c>
      <c r="J113" s="959">
        <v>0</v>
      </c>
      <c r="K113" s="831">
        <f t="shared" ca="1" si="58"/>
        <v>0</v>
      </c>
      <c r="L113" s="831"/>
      <c r="M113" s="831"/>
      <c r="N113" s="831"/>
      <c r="O113" s="945"/>
      <c r="P113" s="945"/>
    </row>
    <row r="114" spans="1:26" ht="19.5">
      <c r="A114" s="949"/>
      <c r="B114" s="950"/>
      <c r="C114" s="950"/>
      <c r="D114" s="950"/>
      <c r="E114" s="956" t="s">
        <v>61</v>
      </c>
      <c r="F114" s="957"/>
      <c r="G114" s="958"/>
      <c r="H114" s="199" t="s">
        <v>35</v>
      </c>
      <c r="I114" s="944">
        <f ca="1">IFERROR(__xludf.DUMMYFUNCTION("IMPORTRANGE(""https://docs.google.com/spreadsheets/d/1QqKyyYR6Q21VydFLVH3TRQUabQu_ym0Zz7PgGX0-kHA/edit?usp=sharing"",""แผน!R22"")"),40)</f>
        <v>40</v>
      </c>
      <c r="J114" s="959">
        <v>0</v>
      </c>
      <c r="K114" s="831">
        <f t="shared" ca="1" si="58"/>
        <v>0</v>
      </c>
      <c r="L114" s="831"/>
      <c r="M114" s="831"/>
      <c r="N114" s="831"/>
      <c r="O114" s="945"/>
      <c r="P114" s="945"/>
    </row>
    <row r="115" spans="1:26" ht="18.75">
      <c r="A115" s="949"/>
      <c r="B115" s="950"/>
      <c r="C115" s="950"/>
      <c r="D115" s="950"/>
      <c r="E115" s="956" t="s">
        <v>62</v>
      </c>
      <c r="F115" s="957"/>
      <c r="G115" s="958"/>
      <c r="H115" s="199" t="s">
        <v>49</v>
      </c>
      <c r="I115" s="944">
        <f ca="1">IFERROR(__xludf.DUMMYFUNCTION("IMPORTRANGE(""https://docs.google.com/spreadsheets/d/1QqKyyYR6Q21VydFLVH3TRQUabQu_ym0Zz7PgGX0-kHA/edit?usp=sharing"",""แผน!S22"")"),1)</f>
        <v>1</v>
      </c>
      <c r="J115" s="959">
        <v>0</v>
      </c>
      <c r="K115" s="831">
        <f t="shared" ca="1" si="58"/>
        <v>0</v>
      </c>
      <c r="L115" s="831"/>
      <c r="M115" s="831"/>
      <c r="N115" s="831"/>
      <c r="O115" s="945"/>
      <c r="P115" s="945"/>
    </row>
    <row r="116" spans="1:26" ht="18.75">
      <c r="A116" s="949"/>
      <c r="B116" s="950"/>
      <c r="C116" s="950"/>
      <c r="D116" s="950"/>
      <c r="E116" s="956" t="s">
        <v>63</v>
      </c>
      <c r="F116" s="957"/>
      <c r="G116" s="958"/>
      <c r="H116" s="199" t="s">
        <v>49</v>
      </c>
      <c r="I116" s="944">
        <f ca="1">IFERROR(__xludf.DUMMYFUNCTION("IMPORTRANGE(""https://docs.google.com/spreadsheets/d/1QqKyyYR6Q21VydFLVH3TRQUabQu_ym0Zz7PgGX0-kHA/edit?usp=sharing"",""แผน!T22"")"),1)</f>
        <v>1</v>
      </c>
      <c r="J116" s="959">
        <v>0</v>
      </c>
      <c r="K116" s="831">
        <f t="shared" ca="1" si="58"/>
        <v>0</v>
      </c>
      <c r="L116" s="831"/>
      <c r="M116" s="831"/>
      <c r="N116" s="831"/>
      <c r="O116" s="945"/>
      <c r="P116" s="945"/>
    </row>
    <row r="117" spans="1:26" ht="19.5" hidden="1">
      <c r="A117" s="917" t="s">
        <v>64</v>
      </c>
      <c r="B117" s="918"/>
      <c r="C117" s="969"/>
      <c r="D117" s="918"/>
      <c r="E117" s="918"/>
      <c r="F117" s="918"/>
      <c r="G117" s="918"/>
      <c r="H117" s="970"/>
      <c r="I117" s="971"/>
      <c r="J117" s="971"/>
      <c r="K117" s="972"/>
      <c r="L117" s="923"/>
      <c r="M117" s="923"/>
      <c r="N117" s="923"/>
      <c r="O117" s="923"/>
      <c r="P117" s="923"/>
    </row>
    <row r="118" spans="1:26" ht="19.5" hidden="1">
      <c r="A118" s="924"/>
      <c r="B118" s="925" t="s">
        <v>65</v>
      </c>
      <c r="C118" s="973"/>
      <c r="D118" s="927"/>
      <c r="E118" s="926"/>
      <c r="F118" s="926"/>
      <c r="G118" s="928"/>
      <c r="H118" s="205"/>
      <c r="I118" s="974"/>
      <c r="J118" s="974"/>
      <c r="K118" s="931"/>
      <c r="L118" s="931"/>
      <c r="M118" s="931"/>
      <c r="N118" s="931"/>
      <c r="O118" s="931"/>
      <c r="P118" s="931"/>
    </row>
    <row r="119" spans="1:26" ht="19.5" hidden="1">
      <c r="A119" s="932"/>
      <c r="B119" s="933"/>
      <c r="C119" s="934" t="s">
        <v>16</v>
      </c>
      <c r="D119" s="935" t="s">
        <v>17</v>
      </c>
      <c r="E119" s="933"/>
      <c r="F119" s="933"/>
      <c r="G119" s="936"/>
      <c r="H119" s="152" t="s">
        <v>12</v>
      </c>
      <c r="I119" s="937"/>
      <c r="J119" s="937"/>
      <c r="K119" s="938"/>
      <c r="L119" s="939">
        <f t="shared" ref="L119:N119" ca="1" si="60">L120+L121</f>
        <v>0</v>
      </c>
      <c r="M119" s="939">
        <f t="shared" ca="1" si="60"/>
        <v>0</v>
      </c>
      <c r="N119" s="939">
        <f t="shared" ca="1" si="60"/>
        <v>0</v>
      </c>
      <c r="O119" s="939">
        <f t="shared" ref="O119:O127" ca="1" si="61">IF(L119&gt;0,N119*100/L119,0)</f>
        <v>0</v>
      </c>
      <c r="P119" s="939">
        <f t="shared" ref="P119:P127" ca="1" si="62">IF(M119&gt;0,N119*100/M119,0)</f>
        <v>0</v>
      </c>
      <c r="Q119" s="818"/>
      <c r="R119" s="818"/>
      <c r="S119" s="818"/>
      <c r="T119" s="818"/>
      <c r="U119" s="818"/>
      <c r="V119" s="818"/>
      <c r="W119" s="818"/>
      <c r="X119" s="818"/>
      <c r="Y119" s="818"/>
      <c r="Z119" s="818"/>
    </row>
    <row r="120" spans="1:26" ht="18.75" hidden="1">
      <c r="A120" s="940"/>
      <c r="B120" s="833"/>
      <c r="C120" s="833"/>
      <c r="D120" s="833"/>
      <c r="E120" s="834" t="s">
        <v>18</v>
      </c>
      <c r="F120" s="833"/>
      <c r="G120" s="941"/>
      <c r="H120" s="158" t="s">
        <v>12</v>
      </c>
      <c r="I120" s="836"/>
      <c r="J120" s="836"/>
      <c r="K120" s="837"/>
      <c r="L120" s="837">
        <f t="shared" ref="L120:N121" si="63">L123+L126</f>
        <v>0</v>
      </c>
      <c r="M120" s="837">
        <f t="shared" si="63"/>
        <v>0</v>
      </c>
      <c r="N120" s="837">
        <f t="shared" si="63"/>
        <v>0</v>
      </c>
      <c r="O120" s="837">
        <f t="shared" si="61"/>
        <v>0</v>
      </c>
      <c r="P120" s="837">
        <f t="shared" si="62"/>
        <v>0</v>
      </c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</row>
    <row r="121" spans="1:26" ht="18.75" hidden="1">
      <c r="A121" s="940"/>
      <c r="B121" s="833"/>
      <c r="C121" s="833"/>
      <c r="D121" s="833"/>
      <c r="E121" s="834" t="s">
        <v>19</v>
      </c>
      <c r="F121" s="833"/>
      <c r="G121" s="941"/>
      <c r="H121" s="158" t="s">
        <v>12</v>
      </c>
      <c r="I121" s="836"/>
      <c r="J121" s="836"/>
      <c r="K121" s="837"/>
      <c r="L121" s="837">
        <f t="shared" ca="1" si="63"/>
        <v>0</v>
      </c>
      <c r="M121" s="837">
        <f t="shared" ca="1" si="63"/>
        <v>0</v>
      </c>
      <c r="N121" s="837">
        <f t="shared" ca="1" si="63"/>
        <v>0</v>
      </c>
      <c r="O121" s="837">
        <f t="shared" ca="1" si="61"/>
        <v>0</v>
      </c>
      <c r="P121" s="837">
        <f t="shared" ca="1" si="62"/>
        <v>0</v>
      </c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</row>
    <row r="122" spans="1:26" ht="18.75" hidden="1">
      <c r="A122" s="942"/>
      <c r="B122" s="827"/>
      <c r="C122" s="943"/>
      <c r="D122" s="828" t="s">
        <v>20</v>
      </c>
      <c r="E122" s="827"/>
      <c r="F122" s="827"/>
      <c r="G122" s="829"/>
      <c r="H122" s="778" t="s">
        <v>12</v>
      </c>
      <c r="I122" s="944"/>
      <c r="J122" s="944"/>
      <c r="K122" s="945"/>
      <c r="L122" s="831">
        <f t="shared" ref="L122:N122" ca="1" si="64">L123+L124</f>
        <v>0</v>
      </c>
      <c r="M122" s="831">
        <f t="shared" ca="1" si="64"/>
        <v>0</v>
      </c>
      <c r="N122" s="831">
        <f t="shared" ca="1" si="64"/>
        <v>0</v>
      </c>
      <c r="O122" s="831">
        <f t="shared" ca="1" si="61"/>
        <v>0</v>
      </c>
      <c r="P122" s="831">
        <f t="shared" ca="1" si="62"/>
        <v>0</v>
      </c>
      <c r="Q122" s="818"/>
      <c r="R122" s="818"/>
      <c r="S122" s="818"/>
      <c r="T122" s="818"/>
      <c r="U122" s="818"/>
      <c r="V122" s="818"/>
      <c r="W122" s="818"/>
      <c r="X122" s="818"/>
      <c r="Y122" s="818"/>
      <c r="Z122" s="818"/>
    </row>
    <row r="123" spans="1:26" ht="18.75" hidden="1">
      <c r="A123" s="940"/>
      <c r="B123" s="833"/>
      <c r="C123" s="834"/>
      <c r="D123" s="833"/>
      <c r="E123" s="834" t="s">
        <v>36</v>
      </c>
      <c r="F123" s="833"/>
      <c r="G123" s="941"/>
      <c r="H123" s="165" t="s">
        <v>12</v>
      </c>
      <c r="I123" s="947"/>
      <c r="J123" s="947"/>
      <c r="K123" s="948"/>
      <c r="L123" s="837">
        <v>0</v>
      </c>
      <c r="M123" s="837">
        <v>0</v>
      </c>
      <c r="N123" s="837">
        <v>0</v>
      </c>
      <c r="O123" s="837">
        <f t="shared" si="61"/>
        <v>0</v>
      </c>
      <c r="P123" s="837">
        <f t="shared" si="62"/>
        <v>0</v>
      </c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</row>
    <row r="124" spans="1:26" ht="18.75" hidden="1">
      <c r="A124" s="940"/>
      <c r="B124" s="833"/>
      <c r="C124" s="834"/>
      <c r="D124" s="833"/>
      <c r="E124" s="834" t="s">
        <v>37</v>
      </c>
      <c r="F124" s="833"/>
      <c r="G124" s="941"/>
      <c r="H124" s="165" t="s">
        <v>12</v>
      </c>
      <c r="I124" s="947"/>
      <c r="J124" s="947"/>
      <c r="K124" s="948"/>
      <c r="L124" s="837">
        <f ca="1">IFERROR(__xludf.DUMMYFUNCTION("IMPORTRANGE(""https://docs.google.com/spreadsheets/d/1MeEWN-I1oV_STSDYn1IFDPWt_1FKiwhDph83XaGc0o0/edit?usp=sharing"",""งบพรบ!BA22"")"),0)</f>
        <v>0</v>
      </c>
      <c r="M124" s="837">
        <f ca="1">IFERROR(__xludf.DUMMYFUNCTION("IMPORTRANGE(""https://docs.google.com/spreadsheets/d/1MeEWN-I1oV_STSDYn1IFDPWt_1FKiwhDph83XaGc0o0/edit?usp=sharing"",""งบพรบ!BF22"")"),0)</f>
        <v>0</v>
      </c>
      <c r="N124" s="837">
        <f ca="1">IFERROR(__xludf.DUMMYFUNCTION("IMPORTRANGE(""https://docs.google.com/spreadsheets/d/1MeEWN-I1oV_STSDYn1IFDPWt_1FKiwhDph83XaGc0o0/edit?usp=sharing"",""งบพรบ!BH22"")"),0)</f>
        <v>0</v>
      </c>
      <c r="O124" s="837">
        <f t="shared" ca="1" si="61"/>
        <v>0</v>
      </c>
      <c r="P124" s="837">
        <f t="shared" ca="1" si="62"/>
        <v>0</v>
      </c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</row>
    <row r="125" spans="1:26" ht="18.75" hidden="1">
      <c r="A125" s="942"/>
      <c r="B125" s="827"/>
      <c r="C125" s="943"/>
      <c r="D125" s="828" t="s">
        <v>21</v>
      </c>
      <c r="E125" s="827"/>
      <c r="F125" s="827"/>
      <c r="G125" s="829"/>
      <c r="H125" s="168" t="s">
        <v>12</v>
      </c>
      <c r="I125" s="944"/>
      <c r="J125" s="944"/>
      <c r="K125" s="945"/>
      <c r="L125" s="831">
        <f t="shared" ref="L125:N125" ca="1" si="65">L126+L127</f>
        <v>0</v>
      </c>
      <c r="M125" s="831">
        <f t="shared" ca="1" si="65"/>
        <v>0</v>
      </c>
      <c r="N125" s="831">
        <f t="shared" ca="1" si="65"/>
        <v>0</v>
      </c>
      <c r="O125" s="831">
        <f t="shared" ca="1" si="61"/>
        <v>0</v>
      </c>
      <c r="P125" s="831">
        <f t="shared" ca="1" si="62"/>
        <v>0</v>
      </c>
      <c r="Q125" s="818"/>
      <c r="R125" s="818"/>
      <c r="S125" s="818"/>
      <c r="T125" s="818"/>
      <c r="U125" s="818"/>
      <c r="V125" s="818"/>
      <c r="W125" s="818"/>
      <c r="X125" s="818"/>
      <c r="Y125" s="818"/>
      <c r="Z125" s="818"/>
    </row>
    <row r="126" spans="1:26" ht="19.5" hidden="1">
      <c r="A126" s="940"/>
      <c r="B126" s="833"/>
      <c r="C126" s="946"/>
      <c r="D126" s="833"/>
      <c r="E126" s="834" t="s">
        <v>18</v>
      </c>
      <c r="F126" s="833"/>
      <c r="G126" s="941"/>
      <c r="H126" s="165" t="s">
        <v>12</v>
      </c>
      <c r="I126" s="947"/>
      <c r="J126" s="947"/>
      <c r="K126" s="948"/>
      <c r="L126" s="837">
        <v>0</v>
      </c>
      <c r="M126" s="837">
        <v>0</v>
      </c>
      <c r="N126" s="837">
        <v>0</v>
      </c>
      <c r="O126" s="837">
        <f t="shared" si="61"/>
        <v>0</v>
      </c>
      <c r="P126" s="837">
        <f t="shared" si="62"/>
        <v>0</v>
      </c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</row>
    <row r="127" spans="1:26" ht="19.5" hidden="1">
      <c r="A127" s="940"/>
      <c r="B127" s="833"/>
      <c r="C127" s="946"/>
      <c r="D127" s="833"/>
      <c r="E127" s="834" t="s">
        <v>19</v>
      </c>
      <c r="F127" s="833"/>
      <c r="G127" s="941"/>
      <c r="H127" s="169" t="s">
        <v>12</v>
      </c>
      <c r="I127" s="947"/>
      <c r="J127" s="947"/>
      <c r="K127" s="948"/>
      <c r="L127" s="837">
        <f ca="1">IFERROR(__xludf.DUMMYFUNCTION("IMPORTRANGE(""https://docs.google.com/spreadsheets/d/1MeEWN-I1oV_STSDYn1IFDPWt_1FKiwhDph83XaGc0o0/edit?usp=sharing"",""งบพรบ!BD22"")"),0)</f>
        <v>0</v>
      </c>
      <c r="M127" s="837">
        <f ca="1">IFERROR(__xludf.DUMMYFUNCTION("IMPORTRANGE(""https://docs.google.com/spreadsheets/d/1MeEWN-I1oV_STSDYn1IFDPWt_1FKiwhDph83XaGc0o0/edit?usp=sharing"",""งบพรบ!BG22"")"),0)</f>
        <v>0</v>
      </c>
      <c r="N127" s="837">
        <f ca="1">IFERROR(__xludf.DUMMYFUNCTION("IMPORTRANGE(""https://docs.google.com/spreadsheets/d/1MeEWN-I1oV_STSDYn1IFDPWt_1FKiwhDph83XaGc0o0/edit?usp=sharing"",""งบพรบ!BI22"")"),0)</f>
        <v>0</v>
      </c>
      <c r="O127" s="837">
        <f t="shared" ca="1" si="61"/>
        <v>0</v>
      </c>
      <c r="P127" s="837">
        <f t="shared" ca="1" si="62"/>
        <v>0</v>
      </c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</row>
    <row r="128" spans="1:26" ht="19.5" hidden="1">
      <c r="A128" s="917" t="s">
        <v>67</v>
      </c>
      <c r="B128" s="918"/>
      <c r="C128" s="969"/>
      <c r="D128" s="918"/>
      <c r="E128" s="918"/>
      <c r="F128" s="918"/>
      <c r="G128" s="918"/>
      <c r="H128" s="970"/>
      <c r="I128" s="971"/>
      <c r="J128" s="971"/>
      <c r="K128" s="972"/>
      <c r="L128" s="923"/>
      <c r="M128" s="923"/>
      <c r="N128" s="923"/>
      <c r="O128" s="923"/>
      <c r="P128" s="923"/>
    </row>
    <row r="129" spans="1:26" ht="19.5" hidden="1">
      <c r="A129" s="924"/>
      <c r="B129" s="925" t="s">
        <v>68</v>
      </c>
      <c r="C129" s="973"/>
      <c r="D129" s="927"/>
      <c r="E129" s="926"/>
      <c r="F129" s="926"/>
      <c r="G129" s="926"/>
      <c r="H129" s="207"/>
      <c r="I129" s="974"/>
      <c r="J129" s="974"/>
      <c r="K129" s="931"/>
      <c r="L129" s="931"/>
      <c r="M129" s="931"/>
      <c r="N129" s="931"/>
      <c r="O129" s="931"/>
      <c r="P129" s="931"/>
    </row>
    <row r="130" spans="1:26" ht="19.5" hidden="1">
      <c r="A130" s="924"/>
      <c r="B130" s="925"/>
      <c r="C130" s="975" t="s">
        <v>69</v>
      </c>
      <c r="D130" s="927"/>
      <c r="E130" s="926"/>
      <c r="F130" s="926"/>
      <c r="G130" s="928"/>
      <c r="H130" s="205" t="s">
        <v>66</v>
      </c>
      <c r="I130" s="929">
        <f t="shared" ref="I130:J130" ca="1" si="66">I146</f>
        <v>0</v>
      </c>
      <c r="J130" s="929">
        <f t="shared" si="66"/>
        <v>0</v>
      </c>
      <c r="K130" s="930">
        <f t="shared" ref="K130:K131" ca="1" si="67">IF(I130&gt;0,J130*100/I130,0)</f>
        <v>0</v>
      </c>
      <c r="L130" s="931"/>
      <c r="M130" s="931"/>
      <c r="N130" s="931"/>
      <c r="O130" s="931"/>
      <c r="P130" s="931"/>
    </row>
    <row r="131" spans="1:26" ht="19.5" hidden="1">
      <c r="A131" s="924"/>
      <c r="B131" s="925"/>
      <c r="C131" s="975" t="s">
        <v>70</v>
      </c>
      <c r="D131" s="927"/>
      <c r="E131" s="926"/>
      <c r="F131" s="926"/>
      <c r="G131" s="928"/>
      <c r="H131" s="205" t="s">
        <v>35</v>
      </c>
      <c r="I131" s="929">
        <f t="shared" ref="I131:J131" ca="1" si="68">I143</f>
        <v>0</v>
      </c>
      <c r="J131" s="929">
        <f t="shared" ca="1" si="68"/>
        <v>0</v>
      </c>
      <c r="K131" s="930">
        <f t="shared" ca="1" si="67"/>
        <v>0</v>
      </c>
      <c r="L131" s="931"/>
      <c r="M131" s="931"/>
      <c r="N131" s="931"/>
      <c r="O131" s="931"/>
      <c r="P131" s="931"/>
    </row>
    <row r="132" spans="1:26" ht="19.5" hidden="1">
      <c r="A132" s="932"/>
      <c r="B132" s="933"/>
      <c r="C132" s="934" t="s">
        <v>16</v>
      </c>
      <c r="D132" s="935" t="s">
        <v>17</v>
      </c>
      <c r="E132" s="933"/>
      <c r="F132" s="933"/>
      <c r="G132" s="936"/>
      <c r="H132" s="152" t="s">
        <v>12</v>
      </c>
      <c r="I132" s="937"/>
      <c r="J132" s="937"/>
      <c r="K132" s="938"/>
      <c r="L132" s="939">
        <f t="shared" ref="L132:N132" ca="1" si="69">L133+L134</f>
        <v>0</v>
      </c>
      <c r="M132" s="939">
        <f t="shared" ca="1" si="69"/>
        <v>0</v>
      </c>
      <c r="N132" s="939">
        <f t="shared" ca="1" si="69"/>
        <v>0</v>
      </c>
      <c r="O132" s="939">
        <f t="shared" ref="O132:O140" ca="1" si="70">IF(L132&gt;0,N132*100/L132,0)</f>
        <v>0</v>
      </c>
      <c r="P132" s="939">
        <f t="shared" ref="P132:P140" ca="1" si="71">IF(M132&gt;0,N132*100/M132,0)</f>
        <v>0</v>
      </c>
      <c r="Q132" s="818"/>
      <c r="R132" s="818"/>
      <c r="S132" s="818"/>
      <c r="T132" s="818"/>
      <c r="U132" s="818"/>
      <c r="V132" s="818"/>
      <c r="W132" s="818"/>
      <c r="X132" s="818"/>
      <c r="Y132" s="818"/>
      <c r="Z132" s="818"/>
    </row>
    <row r="133" spans="1:26" ht="18.75" hidden="1">
      <c r="A133" s="940"/>
      <c r="B133" s="833"/>
      <c r="C133" s="833"/>
      <c r="D133" s="833"/>
      <c r="E133" s="834" t="s">
        <v>18</v>
      </c>
      <c r="F133" s="833"/>
      <c r="G133" s="941"/>
      <c r="H133" s="158" t="s">
        <v>12</v>
      </c>
      <c r="I133" s="836"/>
      <c r="J133" s="836"/>
      <c r="K133" s="837"/>
      <c r="L133" s="837">
        <f t="shared" ref="L133:N134" si="72">L136+L139</f>
        <v>0</v>
      </c>
      <c r="M133" s="837">
        <f t="shared" si="72"/>
        <v>0</v>
      </c>
      <c r="N133" s="837">
        <f t="shared" si="72"/>
        <v>0</v>
      </c>
      <c r="O133" s="837">
        <f t="shared" si="70"/>
        <v>0</v>
      </c>
      <c r="P133" s="837">
        <f t="shared" si="71"/>
        <v>0</v>
      </c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</row>
    <row r="134" spans="1:26" ht="18.75" hidden="1">
      <c r="A134" s="940"/>
      <c r="B134" s="833"/>
      <c r="C134" s="833"/>
      <c r="D134" s="833"/>
      <c r="E134" s="834" t="s">
        <v>19</v>
      </c>
      <c r="F134" s="833"/>
      <c r="G134" s="941"/>
      <c r="H134" s="158" t="s">
        <v>12</v>
      </c>
      <c r="I134" s="836"/>
      <c r="J134" s="836"/>
      <c r="K134" s="837"/>
      <c r="L134" s="837">
        <f t="shared" ca="1" si="72"/>
        <v>0</v>
      </c>
      <c r="M134" s="837">
        <f t="shared" ca="1" si="72"/>
        <v>0</v>
      </c>
      <c r="N134" s="837">
        <f t="shared" ca="1" si="72"/>
        <v>0</v>
      </c>
      <c r="O134" s="837">
        <f t="shared" ca="1" si="70"/>
        <v>0</v>
      </c>
      <c r="P134" s="837">
        <f t="shared" ca="1" si="71"/>
        <v>0</v>
      </c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</row>
    <row r="135" spans="1:26" ht="18.75" hidden="1">
      <c r="A135" s="942"/>
      <c r="B135" s="827"/>
      <c r="C135" s="943"/>
      <c r="D135" s="828" t="s">
        <v>20</v>
      </c>
      <c r="E135" s="827"/>
      <c r="F135" s="827"/>
      <c r="G135" s="829"/>
      <c r="H135" s="778" t="s">
        <v>12</v>
      </c>
      <c r="I135" s="944"/>
      <c r="J135" s="944"/>
      <c r="K135" s="945"/>
      <c r="L135" s="831">
        <f t="shared" ref="L135:N135" ca="1" si="73">L136+L137</f>
        <v>0</v>
      </c>
      <c r="M135" s="831">
        <f t="shared" ca="1" si="73"/>
        <v>0</v>
      </c>
      <c r="N135" s="831">
        <f t="shared" ca="1" si="73"/>
        <v>0</v>
      </c>
      <c r="O135" s="831">
        <f t="shared" ca="1" si="70"/>
        <v>0</v>
      </c>
      <c r="P135" s="831">
        <f t="shared" ca="1" si="71"/>
        <v>0</v>
      </c>
      <c r="Q135" s="818"/>
      <c r="R135" s="818"/>
      <c r="S135" s="818"/>
      <c r="T135" s="818"/>
      <c r="U135" s="818"/>
      <c r="V135" s="818"/>
      <c r="W135" s="818"/>
      <c r="X135" s="818"/>
      <c r="Y135" s="818"/>
      <c r="Z135" s="818"/>
    </row>
    <row r="136" spans="1:26" ht="19.5" hidden="1">
      <c r="A136" s="940"/>
      <c r="B136" s="833"/>
      <c r="C136" s="946"/>
      <c r="D136" s="833"/>
      <c r="E136" s="834" t="s">
        <v>36</v>
      </c>
      <c r="F136" s="833"/>
      <c r="G136" s="941"/>
      <c r="H136" s="165" t="s">
        <v>12</v>
      </c>
      <c r="I136" s="947"/>
      <c r="J136" s="947"/>
      <c r="K136" s="948"/>
      <c r="L136" s="837">
        <v>0</v>
      </c>
      <c r="M136" s="837">
        <v>0</v>
      </c>
      <c r="N136" s="837">
        <v>0</v>
      </c>
      <c r="O136" s="837">
        <f t="shared" si="70"/>
        <v>0</v>
      </c>
      <c r="P136" s="837">
        <f t="shared" si="71"/>
        <v>0</v>
      </c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</row>
    <row r="137" spans="1:26" ht="19.5" hidden="1">
      <c r="A137" s="940"/>
      <c r="B137" s="833"/>
      <c r="C137" s="946"/>
      <c r="D137" s="833"/>
      <c r="E137" s="834" t="s">
        <v>37</v>
      </c>
      <c r="F137" s="833"/>
      <c r="G137" s="941"/>
      <c r="H137" s="165" t="s">
        <v>12</v>
      </c>
      <c r="I137" s="947"/>
      <c r="J137" s="947"/>
      <c r="K137" s="948"/>
      <c r="L137" s="837">
        <f ca="1">IFERROR(__xludf.DUMMYFUNCTION("IMPORTRANGE(""https://docs.google.com/spreadsheets/d/1MeEWN-I1oV_STSDYn1IFDPWt_1FKiwhDph83XaGc0o0/edit?usp=sharing"",""งบพรบ!BK22"")"),0)</f>
        <v>0</v>
      </c>
      <c r="M137" s="837">
        <f ca="1">IFERROR(__xludf.DUMMYFUNCTION("IMPORTRANGE(""https://docs.google.com/spreadsheets/d/1MeEWN-I1oV_STSDYn1IFDPWt_1FKiwhDph83XaGc0o0/edit?usp=sharing"",""งบพรบ!BP22"")"),0)</f>
        <v>0</v>
      </c>
      <c r="N137" s="837">
        <f ca="1">IFERROR(__xludf.DUMMYFUNCTION("IMPORTRANGE(""https://docs.google.com/spreadsheets/d/1MeEWN-I1oV_STSDYn1IFDPWt_1FKiwhDph83XaGc0o0/edit?usp=sharing"",""งบพรบ!BR22"")"),0)</f>
        <v>0</v>
      </c>
      <c r="O137" s="837">
        <f t="shared" ca="1" si="70"/>
        <v>0</v>
      </c>
      <c r="P137" s="837">
        <f t="shared" ca="1" si="71"/>
        <v>0</v>
      </c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</row>
    <row r="138" spans="1:26" ht="18.75" hidden="1">
      <c r="A138" s="942"/>
      <c r="B138" s="827"/>
      <c r="C138" s="943"/>
      <c r="D138" s="828" t="s">
        <v>21</v>
      </c>
      <c r="E138" s="827"/>
      <c r="F138" s="827"/>
      <c r="G138" s="829"/>
      <c r="H138" s="168" t="s">
        <v>12</v>
      </c>
      <c r="I138" s="944"/>
      <c r="J138" s="944"/>
      <c r="K138" s="945"/>
      <c r="L138" s="831">
        <f t="shared" ref="L138:N138" ca="1" si="74">L139+L140</f>
        <v>0</v>
      </c>
      <c r="M138" s="831">
        <f t="shared" ca="1" si="74"/>
        <v>0</v>
      </c>
      <c r="N138" s="831">
        <f t="shared" ca="1" si="74"/>
        <v>0</v>
      </c>
      <c r="O138" s="831">
        <f t="shared" ca="1" si="70"/>
        <v>0</v>
      </c>
      <c r="P138" s="831">
        <f t="shared" ca="1" si="71"/>
        <v>0</v>
      </c>
      <c r="Q138" s="818"/>
      <c r="R138" s="818"/>
      <c r="S138" s="818"/>
      <c r="T138" s="818"/>
      <c r="U138" s="818"/>
      <c r="V138" s="818"/>
      <c r="W138" s="818"/>
      <c r="X138" s="818"/>
      <c r="Y138" s="818"/>
      <c r="Z138" s="818"/>
    </row>
    <row r="139" spans="1:26" ht="19.5" hidden="1">
      <c r="A139" s="940"/>
      <c r="B139" s="833"/>
      <c r="C139" s="946"/>
      <c r="D139" s="833"/>
      <c r="E139" s="834" t="s">
        <v>18</v>
      </c>
      <c r="F139" s="833"/>
      <c r="G139" s="941"/>
      <c r="H139" s="165" t="s">
        <v>12</v>
      </c>
      <c r="I139" s="947"/>
      <c r="J139" s="947"/>
      <c r="K139" s="948"/>
      <c r="L139" s="837">
        <v>0</v>
      </c>
      <c r="M139" s="837">
        <v>0</v>
      </c>
      <c r="N139" s="837">
        <v>0</v>
      </c>
      <c r="O139" s="837">
        <f t="shared" si="70"/>
        <v>0</v>
      </c>
      <c r="P139" s="837">
        <f t="shared" si="71"/>
        <v>0</v>
      </c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</row>
    <row r="140" spans="1:26" ht="19.5" hidden="1">
      <c r="A140" s="940"/>
      <c r="B140" s="833"/>
      <c r="C140" s="946"/>
      <c r="D140" s="833"/>
      <c r="E140" s="834" t="s">
        <v>19</v>
      </c>
      <c r="F140" s="833"/>
      <c r="G140" s="941"/>
      <c r="H140" s="169" t="s">
        <v>12</v>
      </c>
      <c r="I140" s="947"/>
      <c r="J140" s="947"/>
      <c r="K140" s="948"/>
      <c r="L140" s="837">
        <f ca="1">IFERROR(__xludf.DUMMYFUNCTION("IMPORTRANGE(""https://docs.google.com/spreadsheets/d/1MeEWN-I1oV_STSDYn1IFDPWt_1FKiwhDph83XaGc0o0/edit?usp=sharing"",""งบพรบ!BN22"")"),0)</f>
        <v>0</v>
      </c>
      <c r="M140" s="837">
        <f ca="1">IFERROR(__xludf.DUMMYFUNCTION("IMPORTRANGE(""https://docs.google.com/spreadsheets/d/1MeEWN-I1oV_STSDYn1IFDPWt_1FKiwhDph83XaGc0o0/edit?usp=sharing"",""งบพรบ!BQ22"")"),0)</f>
        <v>0</v>
      </c>
      <c r="N140" s="837">
        <f ca="1">IFERROR(__xludf.DUMMYFUNCTION("IMPORTRANGE(""https://docs.google.com/spreadsheets/d/1MeEWN-I1oV_STSDYn1IFDPWt_1FKiwhDph83XaGc0o0/edit?usp=sharing"",""งบพรบ!BS22"")"),0)</f>
        <v>0</v>
      </c>
      <c r="O140" s="837">
        <f t="shared" ca="1" si="70"/>
        <v>0</v>
      </c>
      <c r="P140" s="837">
        <f t="shared" ca="1" si="71"/>
        <v>0</v>
      </c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</row>
    <row r="141" spans="1:26" ht="19.5" hidden="1">
      <c r="A141" s="949"/>
      <c r="B141" s="950"/>
      <c r="C141" s="934" t="s">
        <v>16</v>
      </c>
      <c r="D141" s="951" t="s">
        <v>38</v>
      </c>
      <c r="E141" s="952"/>
      <c r="F141" s="952"/>
      <c r="G141" s="953"/>
      <c r="H141" s="168"/>
      <c r="I141" s="830"/>
      <c r="J141" s="830"/>
      <c r="K141" s="831"/>
      <c r="L141" s="831"/>
      <c r="M141" s="831"/>
      <c r="N141" s="831"/>
      <c r="O141" s="831"/>
      <c r="P141" s="831"/>
    </row>
    <row r="142" spans="1:26" ht="19.5" hidden="1">
      <c r="A142" s="942"/>
      <c r="B142" s="827"/>
      <c r="C142" s="976"/>
      <c r="D142" s="943" t="s">
        <v>71</v>
      </c>
      <c r="E142" s="828"/>
      <c r="F142" s="827"/>
      <c r="G142" s="977"/>
      <c r="H142" s="168"/>
      <c r="I142" s="830"/>
      <c r="J142" s="959">
        <v>0</v>
      </c>
      <c r="K142" s="831"/>
      <c r="L142" s="831"/>
      <c r="M142" s="831"/>
      <c r="N142" s="831"/>
      <c r="O142" s="831"/>
      <c r="P142" s="831"/>
    </row>
    <row r="143" spans="1:26" ht="19.5" hidden="1">
      <c r="A143" s="942"/>
      <c r="B143" s="827"/>
      <c r="C143" s="976"/>
      <c r="D143" s="943" t="s">
        <v>72</v>
      </c>
      <c r="E143" s="828"/>
      <c r="F143" s="827"/>
      <c r="G143" s="977"/>
      <c r="H143" s="168" t="s">
        <v>35</v>
      </c>
      <c r="I143" s="830">
        <f ca="1">I145</f>
        <v>0</v>
      </c>
      <c r="J143" s="830">
        <f ca="1">IF(AND(J144&gt;=I144,J145&gt;=I145),J145,0)</f>
        <v>0</v>
      </c>
      <c r="K143" s="831">
        <f t="shared" ref="K143:K146" ca="1" si="75">IF(I143&gt;0,J143*100/I143,0)</f>
        <v>0</v>
      </c>
      <c r="L143" s="831"/>
      <c r="M143" s="831"/>
      <c r="N143" s="831"/>
      <c r="O143" s="831"/>
      <c r="P143" s="831"/>
    </row>
    <row r="144" spans="1:26" ht="19.5" hidden="1">
      <c r="A144" s="942"/>
      <c r="B144" s="827"/>
      <c r="C144" s="976"/>
      <c r="D144" s="957"/>
      <c r="E144" s="943" t="s">
        <v>73</v>
      </c>
      <c r="F144" s="827"/>
      <c r="G144" s="977"/>
      <c r="H144" s="168" t="s">
        <v>35</v>
      </c>
      <c r="I144" s="830">
        <f ca="1">IFERROR(__xludf.DUMMYFUNCTION("IMPORTRANGE(""https://docs.google.com/spreadsheets/d/1QqKyyYR6Q21VydFLVH3TRQUabQu_ym0Zz7PgGX0-kHA/edit?usp=sharing"",""แผน!U22"")"),0)</f>
        <v>0</v>
      </c>
      <c r="J144" s="959">
        <v>0</v>
      </c>
      <c r="K144" s="831">
        <f t="shared" ca="1" si="75"/>
        <v>0</v>
      </c>
      <c r="L144" s="831"/>
      <c r="M144" s="831"/>
      <c r="N144" s="831"/>
      <c r="O144" s="831"/>
      <c r="P144" s="831"/>
    </row>
    <row r="145" spans="1:26" ht="19.5" hidden="1">
      <c r="A145" s="942"/>
      <c r="B145" s="827"/>
      <c r="C145" s="976"/>
      <c r="D145" s="957"/>
      <c r="E145" s="943" t="s">
        <v>74</v>
      </c>
      <c r="F145" s="827"/>
      <c r="G145" s="977"/>
      <c r="H145" s="168" t="s">
        <v>35</v>
      </c>
      <c r="I145" s="830">
        <f ca="1">IFERROR(__xludf.DUMMYFUNCTION("IMPORTRANGE(""https://docs.google.com/spreadsheets/d/1QqKyyYR6Q21VydFLVH3TRQUabQu_ym0Zz7PgGX0-kHA/edit?usp=sharing"",""แผน!V22"")"),0)</f>
        <v>0</v>
      </c>
      <c r="J145" s="959">
        <v>0</v>
      </c>
      <c r="K145" s="831">
        <f t="shared" ca="1" si="75"/>
        <v>0</v>
      </c>
      <c r="L145" s="831"/>
      <c r="M145" s="831"/>
      <c r="N145" s="831"/>
      <c r="O145" s="831"/>
      <c r="P145" s="831"/>
    </row>
    <row r="146" spans="1:26" ht="19.5" hidden="1">
      <c r="A146" s="942"/>
      <c r="B146" s="827"/>
      <c r="C146" s="976"/>
      <c r="D146" s="943" t="s">
        <v>75</v>
      </c>
      <c r="E146" s="828"/>
      <c r="F146" s="827"/>
      <c r="G146" s="977"/>
      <c r="H146" s="168" t="s">
        <v>66</v>
      </c>
      <c r="I146" s="830">
        <f ca="1">IFERROR(__xludf.DUMMYFUNCTION("IMPORTRANGE(""https://docs.google.com/spreadsheets/d/1QqKyyYR6Q21VydFLVH3TRQUabQu_ym0Zz7PgGX0-kHA/edit?usp=sharing"",""แผน!W22"")"),0)</f>
        <v>0</v>
      </c>
      <c r="J146" s="959">
        <v>0</v>
      </c>
      <c r="K146" s="831">
        <f t="shared" ca="1" si="75"/>
        <v>0</v>
      </c>
      <c r="L146" s="831"/>
      <c r="M146" s="831"/>
      <c r="N146" s="831"/>
      <c r="O146" s="831"/>
      <c r="P146" s="831"/>
    </row>
    <row r="147" spans="1:26" ht="19.5" hidden="1">
      <c r="A147" s="917" t="s">
        <v>76</v>
      </c>
      <c r="B147" s="918"/>
      <c r="C147" s="969"/>
      <c r="D147" s="918"/>
      <c r="E147" s="918"/>
      <c r="F147" s="918"/>
      <c r="G147" s="918"/>
      <c r="H147" s="970"/>
      <c r="I147" s="971"/>
      <c r="J147" s="971"/>
      <c r="K147" s="972"/>
      <c r="L147" s="923"/>
      <c r="M147" s="923"/>
      <c r="N147" s="923"/>
      <c r="O147" s="923"/>
      <c r="P147" s="923"/>
    </row>
    <row r="148" spans="1:26" ht="19.5" hidden="1">
      <c r="A148" s="978"/>
      <c r="B148" s="925" t="s">
        <v>77</v>
      </c>
      <c r="C148" s="925"/>
      <c r="D148" s="925"/>
      <c r="E148" s="979"/>
      <c r="F148" s="980"/>
      <c r="G148" s="981"/>
      <c r="H148" s="221" t="s">
        <v>35</v>
      </c>
      <c r="I148" s="929">
        <f t="shared" ref="I148:J148" ca="1" si="76">I159</f>
        <v>0</v>
      </c>
      <c r="J148" s="929">
        <f t="shared" si="76"/>
        <v>0</v>
      </c>
      <c r="K148" s="930">
        <f ca="1">IF(I148&gt;0,J148*100/I148,0)</f>
        <v>0</v>
      </c>
      <c r="L148" s="930"/>
      <c r="M148" s="930"/>
      <c r="N148" s="930"/>
      <c r="O148" s="930"/>
      <c r="P148" s="930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32"/>
      <c r="B149" s="933"/>
      <c r="C149" s="934" t="s">
        <v>16</v>
      </c>
      <c r="D149" s="935" t="s">
        <v>17</v>
      </c>
      <c r="E149" s="933"/>
      <c r="F149" s="933"/>
      <c r="G149" s="936"/>
      <c r="H149" s="152" t="s">
        <v>12</v>
      </c>
      <c r="I149" s="937"/>
      <c r="J149" s="937"/>
      <c r="K149" s="938"/>
      <c r="L149" s="939">
        <f t="shared" ref="L149:N149" ca="1" si="77">L150+L151</f>
        <v>0</v>
      </c>
      <c r="M149" s="939">
        <f t="shared" ca="1" si="77"/>
        <v>1360</v>
      </c>
      <c r="N149" s="939">
        <f t="shared" ca="1" si="77"/>
        <v>1360</v>
      </c>
      <c r="O149" s="939">
        <f t="shared" ref="O149:O157" ca="1" si="78">IF(L149&gt;0,N149*100/L149,0)</f>
        <v>0</v>
      </c>
      <c r="P149" s="939">
        <f t="shared" ref="P149:P157" ca="1" si="79">IF(M149&gt;0,N149*100/M149,0)</f>
        <v>100</v>
      </c>
      <c r="Q149" s="818"/>
      <c r="R149" s="818"/>
      <c r="S149" s="818"/>
      <c r="T149" s="818"/>
      <c r="U149" s="818"/>
      <c r="V149" s="818"/>
      <c r="W149" s="818"/>
      <c r="X149" s="818"/>
      <c r="Y149" s="818"/>
      <c r="Z149" s="818"/>
    </row>
    <row r="150" spans="1:26" ht="18.75" hidden="1">
      <c r="A150" s="940"/>
      <c r="B150" s="833"/>
      <c r="C150" s="833"/>
      <c r="D150" s="833"/>
      <c r="E150" s="834" t="s">
        <v>18</v>
      </c>
      <c r="F150" s="833"/>
      <c r="G150" s="941"/>
      <c r="H150" s="158" t="s">
        <v>12</v>
      </c>
      <c r="I150" s="836"/>
      <c r="J150" s="836"/>
      <c r="K150" s="837"/>
      <c r="L150" s="837">
        <f t="shared" ref="L150:N151" si="80">L153+L156</f>
        <v>0</v>
      </c>
      <c r="M150" s="837">
        <f t="shared" si="80"/>
        <v>0</v>
      </c>
      <c r="N150" s="837">
        <f t="shared" si="80"/>
        <v>0</v>
      </c>
      <c r="O150" s="837">
        <f t="shared" si="78"/>
        <v>0</v>
      </c>
      <c r="P150" s="837">
        <f t="shared" si="79"/>
        <v>0</v>
      </c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</row>
    <row r="151" spans="1:26" ht="18.75" hidden="1">
      <c r="A151" s="940"/>
      <c r="B151" s="833"/>
      <c r="C151" s="833"/>
      <c r="D151" s="833"/>
      <c r="E151" s="834" t="s">
        <v>19</v>
      </c>
      <c r="F151" s="833"/>
      <c r="G151" s="941"/>
      <c r="H151" s="158" t="s">
        <v>12</v>
      </c>
      <c r="I151" s="836"/>
      <c r="J151" s="836"/>
      <c r="K151" s="837"/>
      <c r="L151" s="837">
        <f t="shared" ca="1" si="80"/>
        <v>0</v>
      </c>
      <c r="M151" s="837">
        <f t="shared" ca="1" si="80"/>
        <v>1360</v>
      </c>
      <c r="N151" s="837">
        <f t="shared" ca="1" si="80"/>
        <v>1360</v>
      </c>
      <c r="O151" s="837">
        <f t="shared" ca="1" si="78"/>
        <v>0</v>
      </c>
      <c r="P151" s="837">
        <f t="shared" ca="1" si="79"/>
        <v>100</v>
      </c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</row>
    <row r="152" spans="1:26" ht="18.75" hidden="1">
      <c r="A152" s="942"/>
      <c r="B152" s="827"/>
      <c r="C152" s="943"/>
      <c r="D152" s="828" t="s">
        <v>20</v>
      </c>
      <c r="E152" s="827"/>
      <c r="F152" s="827"/>
      <c r="G152" s="829"/>
      <c r="H152" s="778" t="s">
        <v>12</v>
      </c>
      <c r="I152" s="944"/>
      <c r="J152" s="944"/>
      <c r="K152" s="945"/>
      <c r="L152" s="831">
        <f t="shared" ref="L152:N152" ca="1" si="81">L153+L154</f>
        <v>0</v>
      </c>
      <c r="M152" s="831">
        <f t="shared" ca="1" si="81"/>
        <v>1360</v>
      </c>
      <c r="N152" s="831">
        <f t="shared" ca="1" si="81"/>
        <v>1360</v>
      </c>
      <c r="O152" s="831">
        <f t="shared" ca="1" si="78"/>
        <v>0</v>
      </c>
      <c r="P152" s="831">
        <f t="shared" ca="1" si="79"/>
        <v>100</v>
      </c>
      <c r="Q152" s="818"/>
      <c r="R152" s="818"/>
      <c r="S152" s="818"/>
      <c r="T152" s="818"/>
      <c r="U152" s="818"/>
      <c r="V152" s="818"/>
      <c r="W152" s="818"/>
      <c r="X152" s="818"/>
      <c r="Y152" s="818"/>
      <c r="Z152" s="818"/>
    </row>
    <row r="153" spans="1:26" ht="19.5" hidden="1">
      <c r="A153" s="940"/>
      <c r="B153" s="833"/>
      <c r="C153" s="946"/>
      <c r="D153" s="833"/>
      <c r="E153" s="834" t="s">
        <v>36</v>
      </c>
      <c r="F153" s="833"/>
      <c r="G153" s="941"/>
      <c r="H153" s="165" t="s">
        <v>12</v>
      </c>
      <c r="I153" s="947"/>
      <c r="J153" s="947"/>
      <c r="K153" s="948"/>
      <c r="L153" s="837">
        <v>0</v>
      </c>
      <c r="M153" s="837">
        <v>0</v>
      </c>
      <c r="N153" s="837">
        <v>0</v>
      </c>
      <c r="O153" s="837">
        <f t="shared" si="78"/>
        <v>0</v>
      </c>
      <c r="P153" s="837">
        <f t="shared" si="79"/>
        <v>0</v>
      </c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</row>
    <row r="154" spans="1:26" ht="19.5" hidden="1">
      <c r="A154" s="940"/>
      <c r="B154" s="833"/>
      <c r="C154" s="946"/>
      <c r="D154" s="833"/>
      <c r="E154" s="834" t="s">
        <v>37</v>
      </c>
      <c r="F154" s="833"/>
      <c r="G154" s="941"/>
      <c r="H154" s="165" t="s">
        <v>12</v>
      </c>
      <c r="I154" s="947"/>
      <c r="J154" s="947"/>
      <c r="K154" s="948"/>
      <c r="L154" s="837">
        <f ca="1">IFERROR(__xludf.DUMMYFUNCTION("IMPORTRANGE(""https://docs.google.com/spreadsheets/d/1MeEWN-I1oV_STSDYn1IFDPWt_1FKiwhDph83XaGc0o0/edit?usp=sharing"",""งบพรบ!BU22"")"),0)</f>
        <v>0</v>
      </c>
      <c r="M154" s="837">
        <f ca="1">IFERROR(__xludf.DUMMYFUNCTION("IMPORTRANGE(""https://docs.google.com/spreadsheets/d/1MeEWN-I1oV_STSDYn1IFDPWt_1FKiwhDph83XaGc0o0/edit?usp=sharing"",""งบพรบ!BZ22"")"),1360)</f>
        <v>1360</v>
      </c>
      <c r="N154" s="837">
        <f ca="1">IFERROR(__xludf.DUMMYFUNCTION("IMPORTRANGE(""https://docs.google.com/spreadsheets/d/1MeEWN-I1oV_STSDYn1IFDPWt_1FKiwhDph83XaGc0o0/edit?usp=sharing"",""งบพรบ!CB22"")"),1360)</f>
        <v>1360</v>
      </c>
      <c r="O154" s="837">
        <f t="shared" ca="1" si="78"/>
        <v>0</v>
      </c>
      <c r="P154" s="837">
        <f t="shared" ca="1" si="79"/>
        <v>100</v>
      </c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</row>
    <row r="155" spans="1:26" ht="18.75" hidden="1">
      <c r="A155" s="942"/>
      <c r="B155" s="827"/>
      <c r="C155" s="943"/>
      <c r="D155" s="828" t="s">
        <v>21</v>
      </c>
      <c r="E155" s="827"/>
      <c r="F155" s="827"/>
      <c r="G155" s="829"/>
      <c r="H155" s="168" t="s">
        <v>12</v>
      </c>
      <c r="I155" s="944"/>
      <c r="J155" s="944"/>
      <c r="K155" s="945"/>
      <c r="L155" s="831">
        <f t="shared" ref="L155:N155" ca="1" si="82">L156+L157</f>
        <v>0</v>
      </c>
      <c r="M155" s="831">
        <f t="shared" ca="1" si="82"/>
        <v>0</v>
      </c>
      <c r="N155" s="831">
        <f t="shared" ca="1" si="82"/>
        <v>0</v>
      </c>
      <c r="O155" s="831">
        <f t="shared" ca="1" si="78"/>
        <v>0</v>
      </c>
      <c r="P155" s="831">
        <f t="shared" ca="1" si="79"/>
        <v>0</v>
      </c>
      <c r="Q155" s="818"/>
      <c r="R155" s="818"/>
      <c r="S155" s="818"/>
      <c r="T155" s="818"/>
      <c r="U155" s="818"/>
      <c r="V155" s="818"/>
      <c r="W155" s="818"/>
      <c r="X155" s="818"/>
      <c r="Y155" s="818"/>
      <c r="Z155" s="818"/>
    </row>
    <row r="156" spans="1:26" ht="19.5" hidden="1">
      <c r="A156" s="940"/>
      <c r="B156" s="833"/>
      <c r="C156" s="946"/>
      <c r="D156" s="833"/>
      <c r="E156" s="834" t="s">
        <v>18</v>
      </c>
      <c r="F156" s="833"/>
      <c r="G156" s="941"/>
      <c r="H156" s="165" t="s">
        <v>12</v>
      </c>
      <c r="I156" s="947"/>
      <c r="J156" s="947"/>
      <c r="K156" s="948"/>
      <c r="L156" s="837">
        <v>0</v>
      </c>
      <c r="M156" s="837">
        <v>0</v>
      </c>
      <c r="N156" s="837">
        <v>0</v>
      </c>
      <c r="O156" s="837">
        <f t="shared" si="78"/>
        <v>0</v>
      </c>
      <c r="P156" s="837">
        <f t="shared" si="79"/>
        <v>0</v>
      </c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</row>
    <row r="157" spans="1:26" ht="19.5" hidden="1">
      <c r="A157" s="940"/>
      <c r="B157" s="833"/>
      <c r="C157" s="946"/>
      <c r="D157" s="833"/>
      <c r="E157" s="834" t="s">
        <v>19</v>
      </c>
      <c r="F157" s="833"/>
      <c r="G157" s="941"/>
      <c r="H157" s="169" t="s">
        <v>12</v>
      </c>
      <c r="I157" s="947"/>
      <c r="J157" s="947"/>
      <c r="K157" s="948"/>
      <c r="L157" s="837">
        <f ca="1">IFERROR(__xludf.DUMMYFUNCTION("IMPORTRANGE(""https://docs.google.com/spreadsheets/d/1MeEWN-I1oV_STSDYn1IFDPWt_1FKiwhDph83XaGc0o0/edit?usp=sharing"",""งบพรบ!BX22"")"),0)</f>
        <v>0</v>
      </c>
      <c r="M157" s="837">
        <f ca="1">IFERROR(__xludf.DUMMYFUNCTION("IMPORTRANGE(""https://docs.google.com/spreadsheets/d/1MeEWN-I1oV_STSDYn1IFDPWt_1FKiwhDph83XaGc0o0/edit?usp=sharing"",""งบพรบ!CA22"")"),0)</f>
        <v>0</v>
      </c>
      <c r="N157" s="837">
        <f ca="1">IFERROR(__xludf.DUMMYFUNCTION("IMPORTRANGE(""https://docs.google.com/spreadsheets/d/1MeEWN-I1oV_STSDYn1IFDPWt_1FKiwhDph83XaGc0o0/edit?usp=sharing"",""งบพรบ!CC22"")"),0)</f>
        <v>0</v>
      </c>
      <c r="O157" s="837">
        <f t="shared" ca="1" si="78"/>
        <v>0</v>
      </c>
      <c r="P157" s="837">
        <f t="shared" ca="1" si="79"/>
        <v>0</v>
      </c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</row>
    <row r="158" spans="1:26" ht="19.5" hidden="1">
      <c r="A158" s="949"/>
      <c r="B158" s="950"/>
      <c r="C158" s="946" t="s">
        <v>16</v>
      </c>
      <c r="D158" s="951" t="s">
        <v>38</v>
      </c>
      <c r="E158" s="952"/>
      <c r="F158" s="952"/>
      <c r="G158" s="953"/>
      <c r="H158" s="168"/>
      <c r="I158" s="830"/>
      <c r="J158" s="830"/>
      <c r="K158" s="831"/>
      <c r="L158" s="831"/>
      <c r="M158" s="831"/>
      <c r="N158" s="831"/>
      <c r="O158" s="831"/>
      <c r="P158" s="831"/>
    </row>
    <row r="159" spans="1:26" ht="19.5" hidden="1">
      <c r="A159" s="942"/>
      <c r="B159" s="827"/>
      <c r="C159" s="976"/>
      <c r="D159" s="943" t="s">
        <v>78</v>
      </c>
      <c r="E159" s="828"/>
      <c r="F159" s="827"/>
      <c r="G159" s="977"/>
      <c r="H159" s="168" t="s">
        <v>35</v>
      </c>
      <c r="I159" s="830">
        <f ca="1">IFERROR(__xludf.DUMMYFUNCTION("IMPORTRANGE(""https://docs.google.com/spreadsheets/d/1QqKyyYR6Q21VydFLVH3TRQUabQu_ym0Zz7PgGX0-kHA/edit?usp=sharing"",""แผน!X22"")"),0)</f>
        <v>0</v>
      </c>
      <c r="J159" s="959">
        <v>0</v>
      </c>
      <c r="K159" s="831">
        <f ca="1">IF(I159&gt;0,J159*100/I159,0)</f>
        <v>0</v>
      </c>
      <c r="L159" s="831"/>
      <c r="M159" s="831"/>
      <c r="N159" s="831"/>
      <c r="O159" s="831"/>
      <c r="P159" s="831"/>
    </row>
    <row r="160" spans="1:26" ht="19.5" hidden="1">
      <c r="A160" s="940"/>
      <c r="B160" s="833"/>
      <c r="C160" s="946"/>
      <c r="D160" s="834" t="s">
        <v>79</v>
      </c>
      <c r="E160" s="982"/>
      <c r="F160" s="833"/>
      <c r="G160" s="941"/>
      <c r="H160" s="169" t="s">
        <v>35</v>
      </c>
      <c r="I160" s="836"/>
      <c r="J160" s="836"/>
      <c r="K160" s="837"/>
      <c r="L160" s="837"/>
      <c r="M160" s="837"/>
      <c r="N160" s="837"/>
      <c r="O160" s="837"/>
      <c r="P160" s="83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983"/>
      <c r="B161" s="984"/>
      <c r="C161" s="985"/>
      <c r="D161" s="986" t="s">
        <v>80</v>
      </c>
      <c r="E161" s="987"/>
      <c r="F161" s="984"/>
      <c r="G161" s="988"/>
      <c r="H161" s="232" t="s">
        <v>35</v>
      </c>
      <c r="I161" s="989"/>
      <c r="J161" s="989"/>
      <c r="K161" s="990"/>
      <c r="L161" s="990"/>
      <c r="M161" s="990"/>
      <c r="N161" s="990"/>
      <c r="O161" s="990"/>
      <c r="P161" s="990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991" t="s">
        <v>81</v>
      </c>
      <c r="B162" s="992"/>
      <c r="C162" s="992"/>
      <c r="D162" s="992"/>
      <c r="E162" s="993"/>
      <c r="F162" s="993"/>
      <c r="G162" s="994"/>
      <c r="H162" s="995"/>
      <c r="I162" s="996"/>
      <c r="J162" s="996"/>
      <c r="K162" s="997"/>
      <c r="L162" s="997"/>
      <c r="M162" s="997"/>
      <c r="N162" s="997"/>
      <c r="O162" s="997"/>
      <c r="P162" s="997"/>
    </row>
    <row r="163" spans="1:26" ht="19.5">
      <c r="A163" s="998" t="s">
        <v>82</v>
      </c>
      <c r="B163" s="999"/>
      <c r="C163" s="999"/>
      <c r="D163" s="1000"/>
      <c r="E163" s="1000"/>
      <c r="F163" s="1000"/>
      <c r="G163" s="1001"/>
      <c r="H163" s="1002"/>
      <c r="I163" s="1003"/>
      <c r="J163" s="1003"/>
      <c r="K163" s="1004"/>
      <c r="L163" s="1004"/>
      <c r="M163" s="1004"/>
      <c r="N163" s="1004"/>
      <c r="O163" s="1004"/>
      <c r="P163" s="1004"/>
    </row>
    <row r="164" spans="1:26" ht="19.5">
      <c r="A164" s="1005"/>
      <c r="B164" s="1006" t="s">
        <v>83</v>
      </c>
      <c r="C164" s="1007"/>
      <c r="D164" s="952"/>
      <c r="E164" s="952"/>
      <c r="F164" s="952"/>
      <c r="G164" s="953"/>
      <c r="H164" s="252" t="s">
        <v>35</v>
      </c>
      <c r="I164" s="1008">
        <f t="shared" ref="I164:J164" ca="1" si="83">I174+I177</f>
        <v>11</v>
      </c>
      <c r="J164" s="1008">
        <f t="shared" si="83"/>
        <v>0</v>
      </c>
      <c r="K164" s="1009">
        <f ca="1">IF(I164&gt;0,J164*100/I164,0)</f>
        <v>0</v>
      </c>
      <c r="L164" s="1010"/>
      <c r="M164" s="1010"/>
      <c r="N164" s="1010"/>
      <c r="O164" s="1010"/>
      <c r="P164" s="1010"/>
    </row>
    <row r="165" spans="1:26" ht="19.5">
      <c r="A165" s="932"/>
      <c r="B165" s="933"/>
      <c r="C165" s="934" t="s">
        <v>16</v>
      </c>
      <c r="D165" s="935" t="s">
        <v>17</v>
      </c>
      <c r="E165" s="933"/>
      <c r="F165" s="933"/>
      <c r="G165" s="936"/>
      <c r="H165" s="152" t="s">
        <v>12</v>
      </c>
      <c r="I165" s="937"/>
      <c r="J165" s="937"/>
      <c r="K165" s="938"/>
      <c r="L165" s="939">
        <f t="shared" ref="L165:N165" ca="1" si="84">L166+L167</f>
        <v>22055</v>
      </c>
      <c r="M165" s="939">
        <f t="shared" ca="1" si="84"/>
        <v>33855</v>
      </c>
      <c r="N165" s="939">
        <f t="shared" ca="1" si="84"/>
        <v>0</v>
      </c>
      <c r="O165" s="939">
        <f t="shared" ref="O165:O173" ca="1" si="85">IF(L165&gt;0,N165*100/L165,0)</f>
        <v>0</v>
      </c>
      <c r="P165" s="939">
        <f t="shared" ref="P165:P173" ca="1" si="86">IF(M165&gt;0,N165*100/M165,0)</f>
        <v>0</v>
      </c>
      <c r="Q165" s="818"/>
      <c r="R165" s="818"/>
      <c r="S165" s="818"/>
      <c r="T165" s="818"/>
      <c r="U165" s="818"/>
      <c r="V165" s="818"/>
      <c r="W165" s="818"/>
      <c r="X165" s="818"/>
      <c r="Y165" s="818"/>
      <c r="Z165" s="818"/>
    </row>
    <row r="166" spans="1:26" ht="18.75" hidden="1">
      <c r="A166" s="940"/>
      <c r="B166" s="833"/>
      <c r="C166" s="833"/>
      <c r="D166" s="833"/>
      <c r="E166" s="834" t="s">
        <v>18</v>
      </c>
      <c r="F166" s="833"/>
      <c r="G166" s="941"/>
      <c r="H166" s="158" t="s">
        <v>12</v>
      </c>
      <c r="I166" s="836"/>
      <c r="J166" s="836"/>
      <c r="K166" s="837"/>
      <c r="L166" s="837">
        <f t="shared" ref="L166:N167" si="87">L169+L172</f>
        <v>0</v>
      </c>
      <c r="M166" s="837">
        <f t="shared" si="87"/>
        <v>0</v>
      </c>
      <c r="N166" s="837">
        <f t="shared" si="87"/>
        <v>0</v>
      </c>
      <c r="O166" s="837">
        <f t="shared" si="85"/>
        <v>0</v>
      </c>
      <c r="P166" s="837">
        <f t="shared" si="86"/>
        <v>0</v>
      </c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</row>
    <row r="167" spans="1:26" ht="18.75" hidden="1">
      <c r="A167" s="940"/>
      <c r="B167" s="833"/>
      <c r="C167" s="833"/>
      <c r="D167" s="833"/>
      <c r="E167" s="834" t="s">
        <v>19</v>
      </c>
      <c r="F167" s="833"/>
      <c r="G167" s="941"/>
      <c r="H167" s="158" t="s">
        <v>12</v>
      </c>
      <c r="I167" s="836"/>
      <c r="J167" s="836"/>
      <c r="K167" s="837"/>
      <c r="L167" s="837">
        <f t="shared" ca="1" si="87"/>
        <v>22055</v>
      </c>
      <c r="M167" s="837">
        <f t="shared" ca="1" si="87"/>
        <v>33855</v>
      </c>
      <c r="N167" s="837">
        <f t="shared" ca="1" si="87"/>
        <v>0</v>
      </c>
      <c r="O167" s="837">
        <f t="shared" ca="1" si="85"/>
        <v>0</v>
      </c>
      <c r="P167" s="837">
        <f t="shared" ca="1" si="86"/>
        <v>0</v>
      </c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</row>
    <row r="168" spans="1:26" ht="18.75">
      <c r="A168" s="942"/>
      <c r="B168" s="827"/>
      <c r="C168" s="943"/>
      <c r="D168" s="828" t="s">
        <v>20</v>
      </c>
      <c r="E168" s="827"/>
      <c r="F168" s="827"/>
      <c r="G168" s="829"/>
      <c r="H168" s="778" t="s">
        <v>12</v>
      </c>
      <c r="I168" s="944"/>
      <c r="J168" s="944"/>
      <c r="K168" s="945"/>
      <c r="L168" s="831">
        <f t="shared" ref="L168:N168" ca="1" si="88">L169+L170</f>
        <v>22055</v>
      </c>
      <c r="M168" s="831">
        <f t="shared" ca="1" si="88"/>
        <v>33855</v>
      </c>
      <c r="N168" s="831">
        <f t="shared" ca="1" si="88"/>
        <v>0</v>
      </c>
      <c r="O168" s="831">
        <f t="shared" ca="1" si="85"/>
        <v>0</v>
      </c>
      <c r="P168" s="831">
        <f t="shared" ca="1" si="86"/>
        <v>0</v>
      </c>
      <c r="Q168" s="818"/>
      <c r="R168" s="818"/>
      <c r="S168" s="818"/>
      <c r="T168" s="818"/>
      <c r="U168" s="818"/>
      <c r="V168" s="818"/>
      <c r="W168" s="818"/>
      <c r="X168" s="818"/>
      <c r="Y168" s="818"/>
      <c r="Z168" s="818"/>
    </row>
    <row r="169" spans="1:26" ht="19.5" hidden="1">
      <c r="A169" s="940"/>
      <c r="B169" s="833"/>
      <c r="C169" s="946"/>
      <c r="D169" s="833"/>
      <c r="E169" s="834" t="s">
        <v>36</v>
      </c>
      <c r="F169" s="833"/>
      <c r="G169" s="941"/>
      <c r="H169" s="165" t="s">
        <v>12</v>
      </c>
      <c r="I169" s="947"/>
      <c r="J169" s="947"/>
      <c r="K169" s="948"/>
      <c r="L169" s="837">
        <v>0</v>
      </c>
      <c r="M169" s="837">
        <v>0</v>
      </c>
      <c r="N169" s="837">
        <v>0</v>
      </c>
      <c r="O169" s="837">
        <f t="shared" si="85"/>
        <v>0</v>
      </c>
      <c r="P169" s="837">
        <f t="shared" si="86"/>
        <v>0</v>
      </c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</row>
    <row r="170" spans="1:26" ht="19.5" hidden="1">
      <c r="A170" s="940"/>
      <c r="B170" s="833"/>
      <c r="C170" s="946"/>
      <c r="D170" s="833"/>
      <c r="E170" s="834" t="s">
        <v>37</v>
      </c>
      <c r="F170" s="833"/>
      <c r="G170" s="941"/>
      <c r="H170" s="165" t="s">
        <v>12</v>
      </c>
      <c r="I170" s="947"/>
      <c r="J170" s="947"/>
      <c r="K170" s="948"/>
      <c r="L170" s="837">
        <f ca="1">IFERROR(__xludf.DUMMYFUNCTION("IMPORTRANGE(""https://docs.google.com/spreadsheets/d/1MeEWN-I1oV_STSDYn1IFDPWt_1FKiwhDph83XaGc0o0/edit?usp=sharing"",""งบพรบ!CE22"")"),22055)</f>
        <v>22055</v>
      </c>
      <c r="M170" s="837">
        <f ca="1">IFERROR(__xludf.DUMMYFUNCTION("IMPORTRANGE(""https://docs.google.com/spreadsheets/d/1MeEWN-I1oV_STSDYn1IFDPWt_1FKiwhDph83XaGc0o0/edit?usp=sharing"",""งบพรบ!CJ22"")"),33855)</f>
        <v>33855</v>
      </c>
      <c r="N170" s="837">
        <f ca="1">IFERROR(__xludf.DUMMYFUNCTION("IMPORTRANGE(""https://docs.google.com/spreadsheets/d/1MeEWN-I1oV_STSDYn1IFDPWt_1FKiwhDph83XaGc0o0/edit?usp=sharing"",""งบพรบ!CL22"")"),0)</f>
        <v>0</v>
      </c>
      <c r="O170" s="837">
        <f t="shared" ca="1" si="85"/>
        <v>0</v>
      </c>
      <c r="P170" s="837">
        <f t="shared" ca="1" si="86"/>
        <v>0</v>
      </c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</row>
    <row r="171" spans="1:26" ht="18.75">
      <c r="A171" s="942"/>
      <c r="B171" s="827"/>
      <c r="C171" s="943"/>
      <c r="D171" s="828" t="s">
        <v>21</v>
      </c>
      <c r="E171" s="827"/>
      <c r="F171" s="827"/>
      <c r="G171" s="829"/>
      <c r="H171" s="168" t="s">
        <v>12</v>
      </c>
      <c r="I171" s="944"/>
      <c r="J171" s="944"/>
      <c r="K171" s="945"/>
      <c r="L171" s="831">
        <f t="shared" ref="L171:N171" ca="1" si="89">L172+L173</f>
        <v>0</v>
      </c>
      <c r="M171" s="831">
        <f t="shared" ca="1" si="89"/>
        <v>0</v>
      </c>
      <c r="N171" s="831">
        <f t="shared" ca="1" si="89"/>
        <v>0</v>
      </c>
      <c r="O171" s="831">
        <f t="shared" ca="1" si="85"/>
        <v>0</v>
      </c>
      <c r="P171" s="831">
        <f t="shared" ca="1" si="86"/>
        <v>0</v>
      </c>
      <c r="Q171" s="818"/>
      <c r="R171" s="818"/>
      <c r="S171" s="818"/>
      <c r="T171" s="818"/>
      <c r="U171" s="818"/>
      <c r="V171" s="818"/>
      <c r="W171" s="818"/>
      <c r="X171" s="818"/>
      <c r="Y171" s="818"/>
      <c r="Z171" s="818"/>
    </row>
    <row r="172" spans="1:26" ht="19.5" hidden="1">
      <c r="A172" s="940"/>
      <c r="B172" s="833"/>
      <c r="C172" s="946"/>
      <c r="D172" s="833"/>
      <c r="E172" s="834" t="s">
        <v>18</v>
      </c>
      <c r="F172" s="833"/>
      <c r="G172" s="941"/>
      <c r="H172" s="165" t="s">
        <v>12</v>
      </c>
      <c r="I172" s="947"/>
      <c r="J172" s="947"/>
      <c r="K172" s="948"/>
      <c r="L172" s="837">
        <v>0</v>
      </c>
      <c r="M172" s="837">
        <v>0</v>
      </c>
      <c r="N172" s="837">
        <v>0</v>
      </c>
      <c r="O172" s="837">
        <f t="shared" si="85"/>
        <v>0</v>
      </c>
      <c r="P172" s="837">
        <f t="shared" si="86"/>
        <v>0</v>
      </c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</row>
    <row r="173" spans="1:26" ht="19.5" hidden="1">
      <c r="A173" s="940"/>
      <c r="B173" s="833"/>
      <c r="C173" s="946"/>
      <c r="D173" s="833"/>
      <c r="E173" s="834" t="s">
        <v>19</v>
      </c>
      <c r="F173" s="833"/>
      <c r="G173" s="941"/>
      <c r="H173" s="169" t="s">
        <v>12</v>
      </c>
      <c r="I173" s="947"/>
      <c r="J173" s="947"/>
      <c r="K173" s="948"/>
      <c r="L173" s="837">
        <f ca="1">IFERROR(__xludf.DUMMYFUNCTION("IMPORTRANGE(""https://docs.google.com/spreadsheets/d/1MeEWN-I1oV_STSDYn1IFDPWt_1FKiwhDph83XaGc0o0/edit?usp=sharing"",""งบพรบ!CH22"")"),0)</f>
        <v>0</v>
      </c>
      <c r="M173" s="837">
        <f ca="1">IFERROR(__xludf.DUMMYFUNCTION("IMPORTRANGE(""https://docs.google.com/spreadsheets/d/1MeEWN-I1oV_STSDYn1IFDPWt_1FKiwhDph83XaGc0o0/edit?usp=sharing"",""งบพรบ!CK22"")"),0)</f>
        <v>0</v>
      </c>
      <c r="N173" s="837">
        <f ca="1">IFERROR(__xludf.DUMMYFUNCTION("IMPORTRANGE(""https://docs.google.com/spreadsheets/d/1MeEWN-I1oV_STSDYn1IFDPWt_1FKiwhDph83XaGc0o0/edit?usp=sharing"",""งบพรบ!CM22"")"),0)</f>
        <v>0</v>
      </c>
      <c r="O173" s="837">
        <f t="shared" ca="1" si="85"/>
        <v>0</v>
      </c>
      <c r="P173" s="837">
        <f t="shared" ca="1" si="86"/>
        <v>0</v>
      </c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</row>
    <row r="174" spans="1:26" ht="19.5">
      <c r="A174" s="1011"/>
      <c r="B174" s="1012"/>
      <c r="C174" s="1013" t="s">
        <v>84</v>
      </c>
      <c r="D174" s="1012"/>
      <c r="E174" s="1012"/>
      <c r="F174" s="1012"/>
      <c r="G174" s="1014"/>
      <c r="H174" s="260" t="s">
        <v>35</v>
      </c>
      <c r="I174" s="1015">
        <f t="shared" ref="I174:J174" ca="1" si="90">I176</f>
        <v>11</v>
      </c>
      <c r="J174" s="1015">
        <f t="shared" si="90"/>
        <v>0</v>
      </c>
      <c r="K174" s="1016">
        <f ca="1">IF(I174&gt;0,J174*100/I174,0)</f>
        <v>0</v>
      </c>
      <c r="L174" s="1016"/>
      <c r="M174" s="1016"/>
      <c r="N174" s="1016"/>
      <c r="O174" s="1016"/>
      <c r="P174" s="1016"/>
    </row>
    <row r="175" spans="1:26" ht="19.5">
      <c r="A175" s="949"/>
      <c r="B175" s="950"/>
      <c r="C175" s="946" t="s">
        <v>16</v>
      </c>
      <c r="D175" s="951" t="s">
        <v>38</v>
      </c>
      <c r="E175" s="952"/>
      <c r="F175" s="952"/>
      <c r="G175" s="953"/>
      <c r="H175" s="954"/>
      <c r="I175" s="944"/>
      <c r="J175" s="944"/>
      <c r="K175" s="945"/>
      <c r="L175" s="945"/>
      <c r="M175" s="945"/>
      <c r="N175" s="945"/>
      <c r="O175" s="945"/>
      <c r="P175" s="945"/>
    </row>
    <row r="176" spans="1:26" ht="18.75">
      <c r="A176" s="949"/>
      <c r="B176" s="950"/>
      <c r="C176" s="950"/>
      <c r="D176" s="1017" t="s">
        <v>85</v>
      </c>
      <c r="E176" s="957"/>
      <c r="F176" s="957"/>
      <c r="G176" s="958"/>
      <c r="H176" s="590" t="s">
        <v>35</v>
      </c>
      <c r="I176" s="830">
        <f ca="1">IFERROR(__xludf.DUMMYFUNCTION("IMPORTRANGE(""https://docs.google.com/spreadsheets/d/1QqKyyYR6Q21VydFLVH3TRQUabQu_ym0Zz7PgGX0-kHA/edit?usp=sharing"",""แผน!Y22"")"),11)</f>
        <v>11</v>
      </c>
      <c r="J176" s="959">
        <v>0</v>
      </c>
      <c r="K176" s="945">
        <f ca="1">IF(I176&gt;0,J176*100/I176,0)</f>
        <v>0</v>
      </c>
      <c r="L176" s="945"/>
      <c r="M176" s="945"/>
      <c r="N176" s="945"/>
      <c r="O176" s="945"/>
      <c r="P176" s="945"/>
    </row>
    <row r="177" spans="1:26" ht="19.5" hidden="1">
      <c r="A177" s="1011"/>
      <c r="B177" s="1018"/>
      <c r="C177" s="1019" t="s">
        <v>86</v>
      </c>
      <c r="D177" s="1018"/>
      <c r="E177" s="1012"/>
      <c r="F177" s="1012"/>
      <c r="G177" s="1014"/>
      <c r="H177" s="266" t="s">
        <v>35</v>
      </c>
      <c r="I177" s="1015"/>
      <c r="J177" s="1015">
        <f>J179</f>
        <v>0</v>
      </c>
      <c r="K177" s="1016"/>
      <c r="L177" s="1016"/>
      <c r="M177" s="1016"/>
      <c r="N177" s="1016"/>
      <c r="O177" s="1016"/>
      <c r="P177" s="1016"/>
    </row>
    <row r="178" spans="1:26" ht="19.5" hidden="1">
      <c r="A178" s="949"/>
      <c r="B178" s="950"/>
      <c r="C178" s="946" t="s">
        <v>16</v>
      </c>
      <c r="D178" s="1020" t="s">
        <v>38</v>
      </c>
      <c r="E178" s="952"/>
      <c r="F178" s="952"/>
      <c r="G178" s="953"/>
      <c r="H178" s="954"/>
      <c r="I178" s="944"/>
      <c r="J178" s="944"/>
      <c r="K178" s="945"/>
      <c r="L178" s="945"/>
      <c r="M178" s="945"/>
      <c r="N178" s="945"/>
      <c r="O178" s="945"/>
      <c r="P178" s="945"/>
    </row>
    <row r="179" spans="1:26" ht="18.75" hidden="1">
      <c r="A179" s="949"/>
      <c r="B179" s="950"/>
      <c r="C179" s="950"/>
      <c r="D179" s="1021" t="s">
        <v>87</v>
      </c>
      <c r="E179" s="957"/>
      <c r="F179" s="1022"/>
      <c r="G179" s="958"/>
      <c r="H179" s="43" t="s">
        <v>35</v>
      </c>
      <c r="I179" s="830"/>
      <c r="J179" s="830"/>
      <c r="K179" s="945"/>
      <c r="L179" s="945"/>
      <c r="M179" s="945"/>
      <c r="N179" s="945"/>
      <c r="O179" s="945"/>
      <c r="P179" s="945"/>
    </row>
    <row r="180" spans="1:26" ht="19.5">
      <c r="A180" s="1005"/>
      <c r="B180" s="1006" t="s">
        <v>88</v>
      </c>
      <c r="C180" s="1007"/>
      <c r="D180" s="952"/>
      <c r="E180" s="952"/>
      <c r="F180" s="952"/>
      <c r="G180" s="953"/>
      <c r="H180" s="252" t="s">
        <v>35</v>
      </c>
      <c r="I180" s="1008">
        <f t="shared" ref="I180:J180" ca="1" si="91">I225+I226</f>
        <v>10</v>
      </c>
      <c r="J180" s="1008">
        <f t="shared" si="91"/>
        <v>0</v>
      </c>
      <c r="K180" s="1009">
        <f ca="1">IF(I180&gt;0,J180*100/I180,0)</f>
        <v>0</v>
      </c>
      <c r="L180" s="1010"/>
      <c r="M180" s="1010"/>
      <c r="N180" s="1010"/>
      <c r="O180" s="1010"/>
      <c r="P180" s="1010"/>
    </row>
    <row r="181" spans="1:26" ht="19.5">
      <c r="A181" s="932"/>
      <c r="B181" s="933"/>
      <c r="C181" s="934" t="s">
        <v>16</v>
      </c>
      <c r="D181" s="935" t="s">
        <v>17</v>
      </c>
      <c r="E181" s="933"/>
      <c r="F181" s="933"/>
      <c r="G181" s="936"/>
      <c r="H181" s="152" t="s">
        <v>12</v>
      </c>
      <c r="I181" s="937"/>
      <c r="J181" s="937"/>
      <c r="K181" s="938"/>
      <c r="L181" s="939">
        <f t="shared" ref="L181:N181" ca="1" si="92">L182+L183</f>
        <v>73500</v>
      </c>
      <c r="M181" s="939">
        <f t="shared" ca="1" si="92"/>
        <v>58500</v>
      </c>
      <c r="N181" s="939">
        <f t="shared" ca="1" si="92"/>
        <v>34760</v>
      </c>
      <c r="O181" s="939">
        <f t="shared" ref="O181:O189" ca="1" si="93">IF(L181&gt;0,N181*100/L181,0)</f>
        <v>47.292517006802719</v>
      </c>
      <c r="P181" s="939">
        <f t="shared" ref="P181:P189" ca="1" si="94">IF(M181&gt;0,N181*100/M181,0)</f>
        <v>59.418803418803421</v>
      </c>
      <c r="Q181" s="818"/>
      <c r="R181" s="818"/>
      <c r="S181" s="818"/>
      <c r="T181" s="818"/>
      <c r="U181" s="818"/>
      <c r="V181" s="818"/>
      <c r="W181" s="818"/>
      <c r="X181" s="818"/>
      <c r="Y181" s="818"/>
      <c r="Z181" s="818"/>
    </row>
    <row r="182" spans="1:26" ht="18.75" hidden="1">
      <c r="A182" s="940"/>
      <c r="B182" s="833"/>
      <c r="C182" s="833"/>
      <c r="D182" s="833"/>
      <c r="E182" s="834" t="s">
        <v>18</v>
      </c>
      <c r="F182" s="833"/>
      <c r="G182" s="941"/>
      <c r="H182" s="158" t="s">
        <v>12</v>
      </c>
      <c r="I182" s="836"/>
      <c r="J182" s="836"/>
      <c r="K182" s="837"/>
      <c r="L182" s="837">
        <f t="shared" ref="L182:N183" si="95">L185+L188</f>
        <v>0</v>
      </c>
      <c r="M182" s="837">
        <f t="shared" si="95"/>
        <v>0</v>
      </c>
      <c r="N182" s="837">
        <f t="shared" si="95"/>
        <v>0</v>
      </c>
      <c r="O182" s="837">
        <f t="shared" si="93"/>
        <v>0</v>
      </c>
      <c r="P182" s="837">
        <f t="shared" si="94"/>
        <v>0</v>
      </c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</row>
    <row r="183" spans="1:26" ht="18.75" hidden="1">
      <c r="A183" s="940"/>
      <c r="B183" s="833"/>
      <c r="C183" s="833"/>
      <c r="D183" s="833"/>
      <c r="E183" s="834" t="s">
        <v>19</v>
      </c>
      <c r="F183" s="833"/>
      <c r="G183" s="941"/>
      <c r="H183" s="158" t="s">
        <v>12</v>
      </c>
      <c r="I183" s="836"/>
      <c r="J183" s="836"/>
      <c r="K183" s="837"/>
      <c r="L183" s="837">
        <f t="shared" ca="1" si="95"/>
        <v>73500</v>
      </c>
      <c r="M183" s="837">
        <f t="shared" ca="1" si="95"/>
        <v>58500</v>
      </c>
      <c r="N183" s="837">
        <f t="shared" ca="1" si="95"/>
        <v>34760</v>
      </c>
      <c r="O183" s="837">
        <f t="shared" ca="1" si="93"/>
        <v>47.292517006802719</v>
      </c>
      <c r="P183" s="837">
        <f t="shared" ca="1" si="94"/>
        <v>59.418803418803421</v>
      </c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</row>
    <row r="184" spans="1:26" ht="18.75">
      <c r="A184" s="942"/>
      <c r="B184" s="827"/>
      <c r="C184" s="943"/>
      <c r="D184" s="828" t="s">
        <v>20</v>
      </c>
      <c r="E184" s="827"/>
      <c r="F184" s="827"/>
      <c r="G184" s="829"/>
      <c r="H184" s="778" t="s">
        <v>12</v>
      </c>
      <c r="I184" s="944"/>
      <c r="J184" s="944"/>
      <c r="K184" s="945"/>
      <c r="L184" s="831">
        <f t="shared" ref="L184:N184" ca="1" si="96">L185+L186</f>
        <v>73500</v>
      </c>
      <c r="M184" s="831">
        <f t="shared" ca="1" si="96"/>
        <v>58500</v>
      </c>
      <c r="N184" s="831">
        <f t="shared" ca="1" si="96"/>
        <v>34760</v>
      </c>
      <c r="O184" s="831">
        <f t="shared" ca="1" si="93"/>
        <v>47.292517006802719</v>
      </c>
      <c r="P184" s="831">
        <f t="shared" ca="1" si="94"/>
        <v>59.418803418803421</v>
      </c>
      <c r="Q184" s="818"/>
      <c r="R184" s="818"/>
      <c r="S184" s="818"/>
      <c r="T184" s="818"/>
      <c r="U184" s="818"/>
      <c r="V184" s="818"/>
      <c r="W184" s="818"/>
      <c r="X184" s="818"/>
      <c r="Y184" s="818"/>
      <c r="Z184" s="818"/>
    </row>
    <row r="185" spans="1:26" ht="19.5" hidden="1">
      <c r="A185" s="940"/>
      <c r="B185" s="833"/>
      <c r="C185" s="946"/>
      <c r="D185" s="833"/>
      <c r="E185" s="834" t="s">
        <v>36</v>
      </c>
      <c r="F185" s="833"/>
      <c r="G185" s="941"/>
      <c r="H185" s="165" t="s">
        <v>12</v>
      </c>
      <c r="I185" s="947"/>
      <c r="J185" s="947"/>
      <c r="K185" s="948"/>
      <c r="L185" s="837">
        <v>0</v>
      </c>
      <c r="M185" s="837">
        <v>0</v>
      </c>
      <c r="N185" s="837">
        <v>0</v>
      </c>
      <c r="O185" s="837">
        <f t="shared" si="93"/>
        <v>0</v>
      </c>
      <c r="P185" s="837">
        <f t="shared" si="94"/>
        <v>0</v>
      </c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</row>
    <row r="186" spans="1:26" ht="19.5" hidden="1">
      <c r="A186" s="940"/>
      <c r="B186" s="833"/>
      <c r="C186" s="946"/>
      <c r="D186" s="833"/>
      <c r="E186" s="834" t="s">
        <v>37</v>
      </c>
      <c r="F186" s="833"/>
      <c r="G186" s="941"/>
      <c r="H186" s="165" t="s">
        <v>12</v>
      </c>
      <c r="I186" s="947"/>
      <c r="J186" s="947"/>
      <c r="K186" s="948"/>
      <c r="L186" s="837">
        <f ca="1">IFERROR(__xludf.DUMMYFUNCTION("IMPORTRANGE(""https://docs.google.com/spreadsheets/d/1MeEWN-I1oV_STSDYn1IFDPWt_1FKiwhDph83XaGc0o0/edit?usp=sharing"",""งบพรบ!CO22"")"),73500)</f>
        <v>73500</v>
      </c>
      <c r="M186" s="837">
        <f ca="1">IFERROR(__xludf.DUMMYFUNCTION("IMPORTRANGE(""https://docs.google.com/spreadsheets/d/1MeEWN-I1oV_STSDYn1IFDPWt_1FKiwhDph83XaGc0o0/edit?usp=sharing"",""งบพรบ!CT22"")"),58500)</f>
        <v>58500</v>
      </c>
      <c r="N186" s="837">
        <f ca="1">IFERROR(__xludf.DUMMYFUNCTION("IMPORTRANGE(""https://docs.google.com/spreadsheets/d/1MeEWN-I1oV_STSDYn1IFDPWt_1FKiwhDph83XaGc0o0/edit?usp=sharing"",""งบพรบ!CV22"")"),34760)</f>
        <v>34760</v>
      </c>
      <c r="O186" s="837">
        <f t="shared" ca="1" si="93"/>
        <v>47.292517006802719</v>
      </c>
      <c r="P186" s="837">
        <f t="shared" ca="1" si="94"/>
        <v>59.418803418803421</v>
      </c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</row>
    <row r="187" spans="1:26" ht="18.75">
      <c r="A187" s="942"/>
      <c r="B187" s="827"/>
      <c r="C187" s="943"/>
      <c r="D187" s="828" t="s">
        <v>21</v>
      </c>
      <c r="E187" s="827"/>
      <c r="F187" s="827"/>
      <c r="G187" s="829"/>
      <c r="H187" s="168" t="s">
        <v>12</v>
      </c>
      <c r="I187" s="944"/>
      <c r="J187" s="944"/>
      <c r="K187" s="945"/>
      <c r="L187" s="831">
        <f t="shared" ref="L187:N187" ca="1" si="97">L188+L189</f>
        <v>0</v>
      </c>
      <c r="M187" s="831">
        <f t="shared" ca="1" si="97"/>
        <v>0</v>
      </c>
      <c r="N187" s="831">
        <f t="shared" ca="1" si="97"/>
        <v>0</v>
      </c>
      <c r="O187" s="831">
        <f t="shared" ca="1" si="93"/>
        <v>0</v>
      </c>
      <c r="P187" s="831">
        <f t="shared" ca="1" si="94"/>
        <v>0</v>
      </c>
      <c r="Q187" s="818"/>
      <c r="R187" s="818"/>
      <c r="S187" s="818"/>
      <c r="T187" s="818"/>
      <c r="U187" s="818"/>
      <c r="V187" s="818"/>
      <c r="W187" s="818"/>
      <c r="X187" s="818"/>
      <c r="Y187" s="818"/>
      <c r="Z187" s="818"/>
    </row>
    <row r="188" spans="1:26" ht="19.5" hidden="1">
      <c r="A188" s="940"/>
      <c r="B188" s="833"/>
      <c r="C188" s="946"/>
      <c r="D188" s="833"/>
      <c r="E188" s="834" t="s">
        <v>18</v>
      </c>
      <c r="F188" s="833"/>
      <c r="G188" s="941"/>
      <c r="H188" s="165" t="s">
        <v>12</v>
      </c>
      <c r="I188" s="947"/>
      <c r="J188" s="947"/>
      <c r="K188" s="948"/>
      <c r="L188" s="837">
        <v>0</v>
      </c>
      <c r="M188" s="837">
        <v>0</v>
      </c>
      <c r="N188" s="837">
        <v>0</v>
      </c>
      <c r="O188" s="837">
        <f t="shared" si="93"/>
        <v>0</v>
      </c>
      <c r="P188" s="837">
        <f t="shared" si="94"/>
        <v>0</v>
      </c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</row>
    <row r="189" spans="1:26" ht="19.5" hidden="1">
      <c r="A189" s="940"/>
      <c r="B189" s="833"/>
      <c r="C189" s="946"/>
      <c r="D189" s="833"/>
      <c r="E189" s="834" t="s">
        <v>19</v>
      </c>
      <c r="F189" s="833"/>
      <c r="G189" s="941"/>
      <c r="H189" s="169" t="s">
        <v>12</v>
      </c>
      <c r="I189" s="947"/>
      <c r="J189" s="947"/>
      <c r="K189" s="948"/>
      <c r="L189" s="837">
        <f ca="1">IFERROR(__xludf.DUMMYFUNCTION("IMPORTRANGE(""https://docs.google.com/spreadsheets/d/1MeEWN-I1oV_STSDYn1IFDPWt_1FKiwhDph83XaGc0o0/edit?usp=sharing"",""งบพรบ!CR22"")"),0)</f>
        <v>0</v>
      </c>
      <c r="M189" s="837">
        <f ca="1">IFERROR(__xludf.DUMMYFUNCTION("IMPORTRANGE(""https://docs.google.com/spreadsheets/d/1MeEWN-I1oV_STSDYn1IFDPWt_1FKiwhDph83XaGc0o0/edit?usp=sharing"",""งบพรบ!CU22"")"),0)</f>
        <v>0</v>
      </c>
      <c r="N189" s="837">
        <f ca="1">IFERROR(__xludf.DUMMYFUNCTION("IMPORTRANGE(""https://docs.google.com/spreadsheets/d/1MeEWN-I1oV_STSDYn1IFDPWt_1FKiwhDph83XaGc0o0/edit?usp=sharing"",""งบพรบ!CW22"")"),0)</f>
        <v>0</v>
      </c>
      <c r="O189" s="837">
        <f t="shared" ca="1" si="93"/>
        <v>0</v>
      </c>
      <c r="P189" s="837">
        <f t="shared" ca="1" si="94"/>
        <v>0</v>
      </c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</row>
    <row r="190" spans="1:26" ht="19.5">
      <c r="A190" s="1011"/>
      <c r="B190" s="1018"/>
      <c r="C190" s="1023" t="s">
        <v>89</v>
      </c>
      <c r="D190" s="1012"/>
      <c r="E190" s="1012"/>
      <c r="F190" s="1012"/>
      <c r="G190" s="1014"/>
      <c r="H190" s="260" t="s">
        <v>90</v>
      </c>
      <c r="I190" s="1024">
        <f t="shared" ref="I190:J190" ca="1" si="98">I193</f>
        <v>4</v>
      </c>
      <c r="J190" s="1024">
        <f t="shared" si="98"/>
        <v>2</v>
      </c>
      <c r="K190" s="1025">
        <f ca="1">IF(I190&gt;0,J190*100/I190,0)</f>
        <v>50</v>
      </c>
      <c r="L190" s="1016"/>
      <c r="M190" s="1016"/>
      <c r="N190" s="1016"/>
      <c r="O190" s="1016"/>
      <c r="P190" s="1016"/>
    </row>
    <row r="191" spans="1:26" ht="19.5">
      <c r="A191" s="932"/>
      <c r="B191" s="933"/>
      <c r="C191" s="934" t="s">
        <v>16</v>
      </c>
      <c r="D191" s="1026" t="s">
        <v>17</v>
      </c>
      <c r="E191" s="933"/>
      <c r="F191" s="933"/>
      <c r="G191" s="936"/>
      <c r="H191" s="275" t="s">
        <v>12</v>
      </c>
      <c r="I191" s="937"/>
      <c r="J191" s="937"/>
      <c r="K191" s="938"/>
      <c r="L191" s="939">
        <f ca="1">IFERROR(__xludf.DUMMYFUNCTION("IMPORTRANGE(""https://docs.google.com/spreadsheets/d/1QqKyyYR6Q21VydFLVH3TRQUabQu_ym0Zz7PgGX0-kHA/edit?usp=sharing"",""แผน!Z22"")"),6000)</f>
        <v>6000</v>
      </c>
      <c r="M191" s="939"/>
      <c r="N191" s="1027">
        <v>3000</v>
      </c>
      <c r="O191" s="939">
        <f ca="1">IF(L191&gt;0,N191*100/L191,0)</f>
        <v>50</v>
      </c>
      <c r="P191" s="939">
        <f>IF(M191&gt;0,N191*100/M191,0)</f>
        <v>0</v>
      </c>
      <c r="Q191" s="818"/>
      <c r="R191" s="818"/>
      <c r="S191" s="818"/>
      <c r="T191" s="818"/>
      <c r="U191" s="818"/>
      <c r="V191" s="818"/>
      <c r="W191" s="818"/>
      <c r="X191" s="818"/>
      <c r="Y191" s="818"/>
      <c r="Z191" s="818"/>
    </row>
    <row r="192" spans="1:26" ht="19.5">
      <c r="A192" s="949"/>
      <c r="B192" s="950"/>
      <c r="C192" s="976" t="s">
        <v>16</v>
      </c>
      <c r="D192" s="951" t="s">
        <v>38</v>
      </c>
      <c r="E192" s="952"/>
      <c r="F192" s="952"/>
      <c r="G192" s="953"/>
      <c r="H192" s="954"/>
      <c r="I192" s="830"/>
      <c r="J192" s="830"/>
      <c r="K192" s="831"/>
      <c r="L192" s="831"/>
      <c r="M192" s="831"/>
      <c r="N192" s="831"/>
      <c r="O192" s="831"/>
      <c r="P192" s="831"/>
      <c r="Q192" s="818"/>
      <c r="R192" s="818"/>
      <c r="S192" s="818"/>
      <c r="T192" s="818"/>
      <c r="U192" s="818"/>
      <c r="V192" s="818"/>
      <c r="W192" s="818"/>
      <c r="X192" s="818"/>
      <c r="Y192" s="818"/>
      <c r="Z192" s="818"/>
    </row>
    <row r="193" spans="1:26" ht="18.75">
      <c r="A193" s="949"/>
      <c r="B193" s="950"/>
      <c r="C193" s="950"/>
      <c r="D193" s="956" t="s">
        <v>91</v>
      </c>
      <c r="E193" s="957"/>
      <c r="F193" s="957"/>
      <c r="G193" s="958"/>
      <c r="H193" s="730" t="s">
        <v>90</v>
      </c>
      <c r="I193" s="830">
        <f ca="1">IFERROR(__xludf.DUMMYFUNCTION("IMPORTRANGE(""https://docs.google.com/spreadsheets/d/1QqKyyYR6Q21VydFLVH3TRQUabQu_ym0Zz7PgGX0-kHA/edit?usp=sharing"",""แผน!AC22"")"),4)</f>
        <v>4</v>
      </c>
      <c r="J193" s="959">
        <v>2</v>
      </c>
      <c r="K193" s="831">
        <f ca="1">IF(I193&gt;0,J193*100/I193,0)</f>
        <v>50</v>
      </c>
      <c r="L193" s="831"/>
      <c r="M193" s="831"/>
      <c r="N193" s="831"/>
      <c r="O193" s="831"/>
      <c r="P193" s="831"/>
      <c r="Q193" s="818"/>
      <c r="R193" s="818"/>
      <c r="S193" s="818"/>
      <c r="T193" s="818"/>
      <c r="U193" s="818"/>
      <c r="V193" s="818"/>
      <c r="W193" s="818"/>
      <c r="X193" s="818"/>
      <c r="Y193" s="818"/>
      <c r="Z193" s="818"/>
    </row>
    <row r="194" spans="1:26" ht="18.75">
      <c r="A194" s="949"/>
      <c r="B194" s="950"/>
      <c r="C194" s="950"/>
      <c r="D194" s="956" t="s">
        <v>92</v>
      </c>
      <c r="E194" s="957"/>
      <c r="F194" s="957"/>
      <c r="G194" s="958"/>
      <c r="H194" s="277" t="s">
        <v>35</v>
      </c>
      <c r="I194" s="830"/>
      <c r="J194" s="830">
        <f>J195+J196</f>
        <v>221</v>
      </c>
      <c r="K194" s="831"/>
      <c r="L194" s="831"/>
      <c r="M194" s="831"/>
      <c r="N194" s="831"/>
      <c r="O194" s="831"/>
      <c r="P194" s="831"/>
      <c r="Q194" s="818"/>
      <c r="R194" s="818"/>
      <c r="S194" s="818"/>
      <c r="T194" s="818"/>
      <c r="U194" s="818"/>
      <c r="V194" s="818"/>
      <c r="W194" s="818"/>
      <c r="X194" s="818"/>
      <c r="Y194" s="818"/>
      <c r="Z194" s="818"/>
    </row>
    <row r="195" spans="1:26" ht="18.75">
      <c r="A195" s="949"/>
      <c r="B195" s="950"/>
      <c r="C195" s="950"/>
      <c r="D195" s="950"/>
      <c r="E195" s="956" t="s">
        <v>93</v>
      </c>
      <c r="F195" s="957"/>
      <c r="G195" s="958"/>
      <c r="H195" s="277" t="s">
        <v>35</v>
      </c>
      <c r="I195" s="830"/>
      <c r="J195" s="959">
        <v>221</v>
      </c>
      <c r="K195" s="831"/>
      <c r="L195" s="831"/>
      <c r="M195" s="831"/>
      <c r="N195" s="831"/>
      <c r="O195" s="831"/>
      <c r="P195" s="831"/>
      <c r="Q195" s="818"/>
      <c r="R195" s="818"/>
      <c r="S195" s="818"/>
      <c r="T195" s="818"/>
      <c r="U195" s="818"/>
      <c r="V195" s="818"/>
      <c r="W195" s="818"/>
      <c r="X195" s="818"/>
      <c r="Y195" s="818"/>
      <c r="Z195" s="818"/>
    </row>
    <row r="196" spans="1:26" ht="18.75">
      <c r="A196" s="949"/>
      <c r="B196" s="950"/>
      <c r="C196" s="950"/>
      <c r="D196" s="950"/>
      <c r="E196" s="956" t="s">
        <v>94</v>
      </c>
      <c r="F196" s="957"/>
      <c r="G196" s="958"/>
      <c r="H196" s="277" t="s">
        <v>35</v>
      </c>
      <c r="I196" s="830"/>
      <c r="J196" s="959">
        <v>0</v>
      </c>
      <c r="K196" s="831"/>
      <c r="L196" s="831"/>
      <c r="M196" s="831"/>
      <c r="N196" s="831"/>
      <c r="O196" s="831"/>
      <c r="P196" s="831"/>
      <c r="Q196" s="818"/>
      <c r="R196" s="818"/>
      <c r="S196" s="818"/>
      <c r="T196" s="818"/>
      <c r="U196" s="818"/>
      <c r="V196" s="818"/>
      <c r="W196" s="818"/>
      <c r="X196" s="818"/>
      <c r="Y196" s="818"/>
      <c r="Z196" s="818"/>
    </row>
    <row r="197" spans="1:26" ht="19.5">
      <c r="A197" s="1011"/>
      <c r="B197" s="1018"/>
      <c r="C197" s="1023" t="s">
        <v>95</v>
      </c>
      <c r="D197" s="1012"/>
      <c r="E197" s="1012"/>
      <c r="F197" s="1012"/>
      <c r="G197" s="1014"/>
      <c r="H197" s="278" t="s">
        <v>96</v>
      </c>
      <c r="I197" s="1024">
        <f t="shared" ref="I197:J197" ca="1" si="99">I204</f>
        <v>3</v>
      </c>
      <c r="J197" s="1024">
        <f t="shared" si="99"/>
        <v>3</v>
      </c>
      <c r="K197" s="1025">
        <f ca="1">IF(I197&gt;0,J197*100/I197,0)</f>
        <v>100</v>
      </c>
      <c r="L197" s="1016"/>
      <c r="M197" s="1016"/>
      <c r="N197" s="1016"/>
      <c r="O197" s="1016"/>
      <c r="P197" s="1016"/>
    </row>
    <row r="198" spans="1:26" ht="19.5">
      <c r="A198" s="932"/>
      <c r="B198" s="933"/>
      <c r="C198" s="934" t="s">
        <v>16</v>
      </c>
      <c r="D198" s="1026" t="s">
        <v>17</v>
      </c>
      <c r="E198" s="933"/>
      <c r="F198" s="933"/>
      <c r="G198" s="936"/>
      <c r="H198" s="275" t="s">
        <v>12</v>
      </c>
      <c r="I198" s="1028"/>
      <c r="J198" s="1028"/>
      <c r="K198" s="1029"/>
      <c r="L198" s="939">
        <f ca="1">L199+L200+L201+L202</f>
        <v>39000</v>
      </c>
      <c r="M198" s="939"/>
      <c r="N198" s="939">
        <f>N199+N200+N201+N202</f>
        <v>23640</v>
      </c>
      <c r="O198" s="939">
        <f ca="1">IF(L198&gt;0,N198*100/L198,0)</f>
        <v>60.615384615384613</v>
      </c>
      <c r="P198" s="939">
        <f>IF(M198&gt;0,N198*100/M198,0)</f>
        <v>0</v>
      </c>
      <c r="Q198" s="818"/>
      <c r="R198" s="818"/>
      <c r="S198" s="818"/>
      <c r="T198" s="818"/>
      <c r="U198" s="818"/>
      <c r="V198" s="818"/>
      <c r="W198" s="818"/>
      <c r="X198" s="818"/>
      <c r="Y198" s="818"/>
      <c r="Z198" s="818"/>
    </row>
    <row r="199" spans="1:26" ht="18.75">
      <c r="A199" s="942"/>
      <c r="B199" s="1030"/>
      <c r="C199" s="827"/>
      <c r="D199" s="943" t="s">
        <v>97</v>
      </c>
      <c r="E199" s="827"/>
      <c r="F199" s="827"/>
      <c r="G199" s="829"/>
      <c r="H199" s="778" t="s">
        <v>12</v>
      </c>
      <c r="I199" s="944"/>
      <c r="J199" s="944"/>
      <c r="K199" s="945"/>
      <c r="L199" s="831">
        <f ca="1">IFERROR(__xludf.DUMMYFUNCTION("IMPORTRANGE(""https://docs.google.com/spreadsheets/d/1QqKyyYR6Q21VydFLVH3TRQUabQu_ym0Zz7PgGX0-kHA/edit?usp=sharing"",""แผน!AE22"")"),3000)</f>
        <v>3000</v>
      </c>
      <c r="M199" s="831"/>
      <c r="N199" s="1031">
        <v>0</v>
      </c>
      <c r="O199" s="831"/>
      <c r="P199" s="831"/>
      <c r="Q199" s="818"/>
      <c r="R199" s="818"/>
      <c r="S199" s="818"/>
      <c r="T199" s="818"/>
      <c r="U199" s="818"/>
      <c r="V199" s="818"/>
      <c r="W199" s="818"/>
      <c r="X199" s="818"/>
      <c r="Y199" s="818"/>
      <c r="Z199" s="818"/>
    </row>
    <row r="200" spans="1:26" ht="19.5">
      <c r="A200" s="1032"/>
      <c r="B200" s="1030"/>
      <c r="C200" s="976"/>
      <c r="D200" s="943" t="s">
        <v>98</v>
      </c>
      <c r="E200" s="827"/>
      <c r="F200" s="827"/>
      <c r="G200" s="829"/>
      <c r="H200" s="590" t="s">
        <v>12</v>
      </c>
      <c r="I200" s="830"/>
      <c r="J200" s="830"/>
      <c r="K200" s="831"/>
      <c r="L200" s="831">
        <f ca="1">IFERROR(__xludf.DUMMYFUNCTION("IMPORTRANGE(""https://docs.google.com/spreadsheets/d/1QqKyyYR6Q21VydFLVH3TRQUabQu_ym0Zz7PgGX0-kHA/edit?usp=sharing"",""แผน!AF22"")"),24000)</f>
        <v>24000</v>
      </c>
      <c r="M200" s="831"/>
      <c r="N200" s="1031">
        <v>23640</v>
      </c>
      <c r="O200" s="831"/>
      <c r="P200" s="831"/>
      <c r="Q200" s="1033"/>
      <c r="R200" s="1033"/>
      <c r="S200" s="1033"/>
      <c r="T200" s="1033"/>
      <c r="U200" s="1033"/>
      <c r="V200" s="1033"/>
      <c r="W200" s="1033"/>
      <c r="X200" s="1033"/>
      <c r="Y200" s="1033"/>
      <c r="Z200" s="1033"/>
    </row>
    <row r="201" spans="1:26" ht="19.5">
      <c r="A201" s="1032"/>
      <c r="B201" s="1030"/>
      <c r="C201" s="976"/>
      <c r="D201" s="943" t="s">
        <v>99</v>
      </c>
      <c r="E201" s="827"/>
      <c r="F201" s="827"/>
      <c r="G201" s="829"/>
      <c r="H201" s="590" t="s">
        <v>12</v>
      </c>
      <c r="I201" s="830"/>
      <c r="J201" s="830"/>
      <c r="K201" s="831"/>
      <c r="L201" s="831">
        <f ca="1">IFERROR(__xludf.DUMMYFUNCTION("IMPORTRANGE(""https://docs.google.com/spreadsheets/d/1QqKyyYR6Q21VydFLVH3TRQUabQu_ym0Zz7PgGX0-kHA/edit?usp=sharing"",""แผน!AG22"")"),12000)</f>
        <v>12000</v>
      </c>
      <c r="M201" s="831"/>
      <c r="N201" s="1031">
        <v>0</v>
      </c>
      <c r="O201" s="831"/>
      <c r="P201" s="831"/>
      <c r="Q201" s="1033"/>
      <c r="R201" s="1033"/>
      <c r="S201" s="1033"/>
      <c r="T201" s="1033"/>
      <c r="U201" s="1033"/>
      <c r="V201" s="1033"/>
      <c r="W201" s="1033"/>
      <c r="X201" s="1033"/>
      <c r="Y201" s="1033"/>
      <c r="Z201" s="1033"/>
    </row>
    <row r="202" spans="1:26" ht="19.5">
      <c r="A202" s="1032"/>
      <c r="B202" s="1030"/>
      <c r="C202" s="976"/>
      <c r="D202" s="943" t="s">
        <v>100</v>
      </c>
      <c r="E202" s="827"/>
      <c r="F202" s="827"/>
      <c r="G202" s="829"/>
      <c r="H202" s="590" t="s">
        <v>12</v>
      </c>
      <c r="I202" s="830"/>
      <c r="J202" s="830"/>
      <c r="K202" s="831"/>
      <c r="L202" s="831">
        <f ca="1">IFERROR(__xludf.DUMMYFUNCTION("IMPORTRANGE(""https://docs.google.com/spreadsheets/d/1QqKyyYR6Q21VydFLVH3TRQUabQu_ym0Zz7PgGX0-kHA/edit?usp=sharing"",""แผน!AH22"")"),0)</f>
        <v>0</v>
      </c>
      <c r="M202" s="831"/>
      <c r="N202" s="1031">
        <v>0</v>
      </c>
      <c r="O202" s="831"/>
      <c r="P202" s="831"/>
      <c r="Q202" s="1033"/>
      <c r="R202" s="1033"/>
      <c r="S202" s="1033"/>
      <c r="T202" s="1033"/>
      <c r="U202" s="1033"/>
      <c r="V202" s="1033"/>
      <c r="W202" s="1033"/>
      <c r="X202" s="1033"/>
      <c r="Y202" s="1033"/>
      <c r="Z202" s="1033"/>
    </row>
    <row r="203" spans="1:26" ht="19.5">
      <c r="A203" s="949"/>
      <c r="B203" s="950"/>
      <c r="C203" s="976" t="s">
        <v>16</v>
      </c>
      <c r="D203" s="951" t="s">
        <v>38</v>
      </c>
      <c r="E203" s="952"/>
      <c r="F203" s="952"/>
      <c r="G203" s="953"/>
      <c r="H203" s="954"/>
      <c r="I203" s="944"/>
      <c r="J203" s="944"/>
      <c r="K203" s="945"/>
      <c r="L203" s="945"/>
      <c r="M203" s="945"/>
      <c r="N203" s="945"/>
      <c r="O203" s="945"/>
      <c r="P203" s="945"/>
      <c r="Q203" s="818"/>
      <c r="R203" s="818"/>
      <c r="S203" s="818"/>
      <c r="T203" s="818"/>
      <c r="U203" s="818"/>
      <c r="V203" s="818"/>
      <c r="W203" s="818"/>
      <c r="X203" s="818"/>
      <c r="Y203" s="818"/>
      <c r="Z203" s="818"/>
    </row>
    <row r="204" spans="1:26" ht="18.75">
      <c r="A204" s="949"/>
      <c r="B204" s="950"/>
      <c r="C204" s="950"/>
      <c r="D204" s="955" t="s">
        <v>101</v>
      </c>
      <c r="E204" s="957"/>
      <c r="F204" s="957"/>
      <c r="G204" s="958"/>
      <c r="H204" s="954" t="s">
        <v>96</v>
      </c>
      <c r="I204" s="830">
        <f ca="1">IFERROR(__xludf.DUMMYFUNCTION("IMPORTRANGE(""https://docs.google.com/spreadsheets/d/1QqKyyYR6Q21VydFLVH3TRQUabQu_ym0Zz7PgGX0-kHA/edit?usp=sharing"",""แผน!AI22"")"),3)</f>
        <v>3</v>
      </c>
      <c r="J204" s="959">
        <v>3</v>
      </c>
      <c r="K204" s="945">
        <f ca="1">IF(I204&gt;0,J204*100/I204,0)</f>
        <v>100</v>
      </c>
      <c r="L204" s="831"/>
      <c r="M204" s="831"/>
      <c r="N204" s="831"/>
      <c r="O204" s="831"/>
      <c r="P204" s="831"/>
      <c r="Q204" s="818"/>
      <c r="R204" s="818"/>
      <c r="S204" s="818"/>
      <c r="T204" s="818"/>
      <c r="U204" s="818"/>
      <c r="V204" s="818"/>
      <c r="W204" s="818"/>
      <c r="X204" s="818"/>
      <c r="Y204" s="818"/>
      <c r="Z204" s="818"/>
    </row>
    <row r="205" spans="1:26" ht="18.75">
      <c r="A205" s="949"/>
      <c r="B205" s="950"/>
      <c r="C205" s="950"/>
      <c r="D205" s="956" t="s">
        <v>59</v>
      </c>
      <c r="E205" s="957"/>
      <c r="F205" s="957"/>
      <c r="G205" s="958"/>
      <c r="H205" s="954"/>
      <c r="I205" s="830"/>
      <c r="J205" s="830"/>
      <c r="K205" s="945"/>
      <c r="L205" s="831"/>
      <c r="M205" s="831"/>
      <c r="N205" s="831"/>
      <c r="O205" s="831"/>
      <c r="P205" s="831"/>
      <c r="Q205" s="818"/>
      <c r="R205" s="818"/>
      <c r="S205" s="818"/>
      <c r="T205" s="818"/>
      <c r="U205" s="818"/>
      <c r="V205" s="818"/>
      <c r="W205" s="818"/>
      <c r="X205" s="818"/>
      <c r="Y205" s="818"/>
      <c r="Z205" s="818"/>
    </row>
    <row r="206" spans="1:26" ht="18.75">
      <c r="A206" s="949"/>
      <c r="B206" s="950"/>
      <c r="C206" s="950"/>
      <c r="D206" s="957"/>
      <c r="E206" s="968" t="s">
        <v>102</v>
      </c>
      <c r="F206" s="1034"/>
      <c r="G206" s="1035"/>
      <c r="H206" s="1036" t="s">
        <v>96</v>
      </c>
      <c r="I206" s="830">
        <v>3</v>
      </c>
      <c r="J206" s="959">
        <v>3</v>
      </c>
      <c r="K206" s="945">
        <f t="shared" ref="K206:K208" si="100">IF(I206&gt;0,J206*100/I206,0)</f>
        <v>100</v>
      </c>
      <c r="L206" s="831"/>
      <c r="M206" s="831"/>
      <c r="N206" s="831"/>
      <c r="O206" s="831"/>
      <c r="P206" s="831"/>
      <c r="Q206" s="818"/>
      <c r="R206" s="818"/>
      <c r="S206" s="818"/>
      <c r="T206" s="818"/>
      <c r="U206" s="818"/>
      <c r="V206" s="818"/>
      <c r="W206" s="818"/>
      <c r="X206" s="818"/>
      <c r="Y206" s="818"/>
      <c r="Z206" s="818"/>
    </row>
    <row r="207" spans="1:26" ht="18.75">
      <c r="A207" s="949"/>
      <c r="B207" s="950"/>
      <c r="C207" s="950"/>
      <c r="D207" s="956"/>
      <c r="E207" s="956" t="s">
        <v>103</v>
      </c>
      <c r="F207" s="957"/>
      <c r="G207" s="957"/>
      <c r="H207" s="290" t="s">
        <v>104</v>
      </c>
      <c r="I207" s="830">
        <v>0</v>
      </c>
      <c r="J207" s="959">
        <v>0</v>
      </c>
      <c r="K207" s="945">
        <f t="shared" si="100"/>
        <v>0</v>
      </c>
      <c r="L207" s="831"/>
      <c r="M207" s="831"/>
      <c r="N207" s="831"/>
      <c r="O207" s="831"/>
      <c r="P207" s="831"/>
      <c r="Q207" s="818"/>
      <c r="R207" s="818"/>
      <c r="S207" s="818"/>
      <c r="T207" s="818"/>
      <c r="U207" s="818"/>
      <c r="V207" s="818"/>
      <c r="W207" s="818"/>
      <c r="X207" s="818"/>
      <c r="Y207" s="818"/>
      <c r="Z207" s="818"/>
    </row>
    <row r="208" spans="1:26" ht="19.5" hidden="1">
      <c r="A208" s="1011"/>
      <c r="B208" s="1018"/>
      <c r="C208" s="1023" t="s">
        <v>105</v>
      </c>
      <c r="D208" s="1012"/>
      <c r="E208" s="1012"/>
      <c r="F208" s="1037"/>
      <c r="G208" s="1014"/>
      <c r="H208" s="278" t="s">
        <v>96</v>
      </c>
      <c r="I208" s="1024">
        <f t="shared" ref="I208:J208" ca="1" si="101">I215</f>
        <v>0</v>
      </c>
      <c r="J208" s="1024">
        <f t="shared" si="101"/>
        <v>0</v>
      </c>
      <c r="K208" s="1025">
        <f t="shared" ca="1" si="100"/>
        <v>0</v>
      </c>
      <c r="L208" s="1016"/>
      <c r="M208" s="1016"/>
      <c r="N208" s="1016"/>
      <c r="O208" s="1016"/>
      <c r="P208" s="1016"/>
    </row>
    <row r="209" spans="1:26" ht="19.5" hidden="1">
      <c r="A209" s="932"/>
      <c r="B209" s="933"/>
      <c r="C209" s="934" t="s">
        <v>16</v>
      </c>
      <c r="D209" s="1026" t="s">
        <v>17</v>
      </c>
      <c r="E209" s="933"/>
      <c r="F209" s="933"/>
      <c r="G209" s="936"/>
      <c r="H209" s="275" t="s">
        <v>12</v>
      </c>
      <c r="I209" s="1028"/>
      <c r="J209" s="1028"/>
      <c r="K209" s="1029"/>
      <c r="L209" s="939">
        <f ca="1">L210+L211+L212</f>
        <v>0</v>
      </c>
      <c r="M209" s="939"/>
      <c r="N209" s="939">
        <f>N210+N211+N212</f>
        <v>0</v>
      </c>
      <c r="O209" s="939">
        <f ca="1">IF(L209&gt;0,N209*100/L209,0)</f>
        <v>0</v>
      </c>
      <c r="P209" s="939">
        <f>IF(M209&gt;0,N209*100/M209,0)</f>
        <v>0</v>
      </c>
      <c r="Q209" s="818"/>
      <c r="R209" s="818"/>
      <c r="S209" s="818"/>
      <c r="T209" s="818"/>
      <c r="U209" s="818"/>
      <c r="V209" s="818"/>
      <c r="W209" s="818"/>
      <c r="X209" s="818"/>
      <c r="Y209" s="818"/>
      <c r="Z209" s="818"/>
    </row>
    <row r="210" spans="1:26" ht="18.75" hidden="1">
      <c r="A210" s="942"/>
      <c r="B210" s="1030"/>
      <c r="C210" s="827"/>
      <c r="D210" s="943" t="s">
        <v>97</v>
      </c>
      <c r="E210" s="827"/>
      <c r="F210" s="827"/>
      <c r="G210" s="829"/>
      <c r="H210" s="778" t="s">
        <v>12</v>
      </c>
      <c r="I210" s="944"/>
      <c r="J210" s="944"/>
      <c r="K210" s="945"/>
      <c r="L210" s="831">
        <f ca="1">IFERROR(__xludf.DUMMYFUNCTION("IMPORTRANGE(""https://docs.google.com/spreadsheets/d/1QqKyyYR6Q21VydFLVH3TRQUabQu_ym0Zz7PgGX0-kHA/edit?usp=sharing"",""แผน!AK22"")"),0)</f>
        <v>0</v>
      </c>
      <c r="M210" s="831"/>
      <c r="N210" s="1031">
        <v>0</v>
      </c>
      <c r="O210" s="831"/>
      <c r="P210" s="831"/>
      <c r="Q210" s="818"/>
      <c r="R210" s="818"/>
      <c r="S210" s="818"/>
      <c r="T210" s="818"/>
      <c r="U210" s="818"/>
      <c r="V210" s="818"/>
      <c r="W210" s="818"/>
      <c r="X210" s="818"/>
      <c r="Y210" s="818"/>
      <c r="Z210" s="818"/>
    </row>
    <row r="211" spans="1:26" ht="19.5" hidden="1">
      <c r="A211" s="1032"/>
      <c r="B211" s="1030"/>
      <c r="C211" s="1038"/>
      <c r="D211" s="943" t="s">
        <v>99</v>
      </c>
      <c r="E211" s="827"/>
      <c r="F211" s="827"/>
      <c r="G211" s="829"/>
      <c r="H211" s="778" t="s">
        <v>12</v>
      </c>
      <c r="I211" s="830"/>
      <c r="J211" s="830"/>
      <c r="K211" s="831"/>
      <c r="L211" s="831">
        <f ca="1">IFERROR(__xludf.DUMMYFUNCTION("IMPORTRANGE(""https://docs.google.com/spreadsheets/d/1QqKyyYR6Q21VydFLVH3TRQUabQu_ym0Zz7PgGX0-kHA/edit?usp=sharing"",""แผน!AL22"")"),0)</f>
        <v>0</v>
      </c>
      <c r="M211" s="831"/>
      <c r="N211" s="1031">
        <v>0</v>
      </c>
      <c r="O211" s="831"/>
      <c r="P211" s="831"/>
      <c r="Q211" s="1033"/>
      <c r="R211" s="1033"/>
      <c r="S211" s="1033"/>
      <c r="T211" s="1033"/>
      <c r="U211" s="1033"/>
      <c r="V211" s="1033"/>
      <c r="W211" s="1033"/>
      <c r="X211" s="1033"/>
      <c r="Y211" s="1033"/>
      <c r="Z211" s="1033"/>
    </row>
    <row r="212" spans="1:26" ht="19.5" hidden="1">
      <c r="A212" s="1032"/>
      <c r="B212" s="1030"/>
      <c r="C212" s="1038"/>
      <c r="D212" s="943" t="s">
        <v>98</v>
      </c>
      <c r="E212" s="827"/>
      <c r="F212" s="827"/>
      <c r="G212" s="829"/>
      <c r="H212" s="778" t="s">
        <v>12</v>
      </c>
      <c r="I212" s="830"/>
      <c r="J212" s="830"/>
      <c r="K212" s="831"/>
      <c r="L212" s="831">
        <f ca="1">IFERROR(__xludf.DUMMYFUNCTION("IMPORTRANGE(""https://docs.google.com/spreadsheets/d/1QqKyyYR6Q21VydFLVH3TRQUabQu_ym0Zz7PgGX0-kHA/edit?usp=sharing"",""แผน!AM22"")"),0)</f>
        <v>0</v>
      </c>
      <c r="M212" s="831"/>
      <c r="N212" s="1031">
        <v>0</v>
      </c>
      <c r="O212" s="831"/>
      <c r="P212" s="831"/>
      <c r="Q212" s="1033"/>
      <c r="R212" s="1033"/>
      <c r="S212" s="1033"/>
      <c r="T212" s="1033"/>
      <c r="U212" s="1033"/>
      <c r="V212" s="1033"/>
      <c r="W212" s="1033"/>
      <c r="X212" s="1033"/>
      <c r="Y212" s="1033"/>
      <c r="Z212" s="1033"/>
    </row>
    <row r="213" spans="1:26" ht="19.5" hidden="1">
      <c r="A213" s="949"/>
      <c r="B213" s="950"/>
      <c r="C213" s="1038" t="s">
        <v>16</v>
      </c>
      <c r="D213" s="951" t="s">
        <v>38</v>
      </c>
      <c r="E213" s="952"/>
      <c r="F213" s="952"/>
      <c r="G213" s="953"/>
      <c r="H213" s="954"/>
      <c r="I213" s="944"/>
      <c r="J213" s="830"/>
      <c r="K213" s="831"/>
      <c r="L213" s="831"/>
      <c r="M213" s="831"/>
      <c r="N213" s="831"/>
      <c r="O213" s="945"/>
      <c r="P213" s="945"/>
      <c r="Q213" s="818"/>
      <c r="R213" s="818"/>
      <c r="S213" s="818"/>
      <c r="T213" s="818"/>
      <c r="U213" s="818"/>
      <c r="V213" s="818"/>
      <c r="W213" s="818"/>
      <c r="X213" s="818"/>
      <c r="Y213" s="818"/>
      <c r="Z213" s="818"/>
    </row>
    <row r="214" spans="1:26" ht="18.75" hidden="1">
      <c r="A214" s="949"/>
      <c r="B214" s="950"/>
      <c r="C214" s="950"/>
      <c r="D214" s="955" t="s">
        <v>106</v>
      </c>
      <c r="E214" s="957"/>
      <c r="F214" s="957"/>
      <c r="G214" s="958"/>
      <c r="H214" s="954" t="s">
        <v>96</v>
      </c>
      <c r="I214" s="830">
        <f ca="1">IFERROR(__xludf.DUMMYFUNCTION("IMPORTRANGE(""https://docs.google.com/spreadsheets/d/1QqKyyYR6Q21VydFLVH3TRQUabQu_ym0Zz7PgGX0-kHA/edit?usp=sharing"",""แผน!AN22"")"),0)</f>
        <v>0</v>
      </c>
      <c r="J214" s="959">
        <v>0</v>
      </c>
      <c r="K214" s="831">
        <f t="shared" ref="K214:K216" ca="1" si="102">IF(I214&gt;0,J214*100/I214,0)</f>
        <v>0</v>
      </c>
      <c r="L214" s="831"/>
      <c r="M214" s="831"/>
      <c r="N214" s="831"/>
      <c r="O214" s="831"/>
      <c r="P214" s="831"/>
      <c r="Q214" s="818"/>
      <c r="R214" s="818"/>
      <c r="S214" s="818"/>
      <c r="T214" s="818"/>
      <c r="U214" s="818"/>
      <c r="V214" s="818"/>
      <c r="W214" s="818"/>
      <c r="X214" s="818"/>
      <c r="Y214" s="818"/>
      <c r="Z214" s="818"/>
    </row>
    <row r="215" spans="1:26" ht="18.75" hidden="1">
      <c r="A215" s="949"/>
      <c r="B215" s="950"/>
      <c r="C215" s="950"/>
      <c r="D215" s="955" t="s">
        <v>107</v>
      </c>
      <c r="E215" s="957"/>
      <c r="F215" s="957"/>
      <c r="G215" s="958"/>
      <c r="H215" s="954" t="s">
        <v>96</v>
      </c>
      <c r="I215" s="830">
        <f ca="1">IFERROR(__xludf.DUMMYFUNCTION("IMPORTRANGE(""https://docs.google.com/spreadsheets/d/1QqKyyYR6Q21VydFLVH3TRQUabQu_ym0Zz7PgGX0-kHA/edit?usp=sharing"",""แผน!AN22"")"),0)</f>
        <v>0</v>
      </c>
      <c r="J215" s="959">
        <v>0</v>
      </c>
      <c r="K215" s="831">
        <f t="shared" ca="1" si="102"/>
        <v>0</v>
      </c>
      <c r="L215" s="831"/>
      <c r="M215" s="831"/>
      <c r="N215" s="831"/>
      <c r="O215" s="831"/>
      <c r="P215" s="831"/>
      <c r="Q215" s="818"/>
      <c r="R215" s="818"/>
      <c r="S215" s="818"/>
      <c r="T215" s="818"/>
      <c r="U215" s="818"/>
      <c r="V215" s="818"/>
      <c r="W215" s="818"/>
      <c r="X215" s="818"/>
      <c r="Y215" s="818"/>
      <c r="Z215" s="818"/>
    </row>
    <row r="216" spans="1:26" ht="19.5">
      <c r="A216" s="1011"/>
      <c r="B216" s="1018"/>
      <c r="C216" s="1023" t="s">
        <v>108</v>
      </c>
      <c r="D216" s="1012"/>
      <c r="E216" s="1012"/>
      <c r="F216" s="1037"/>
      <c r="G216" s="1014"/>
      <c r="H216" s="260" t="s">
        <v>109</v>
      </c>
      <c r="I216" s="1024">
        <f t="shared" ref="I216:J216" ca="1" si="103">I224</f>
        <v>50000</v>
      </c>
      <c r="J216" s="1024">
        <f t="shared" si="103"/>
        <v>0</v>
      </c>
      <c r="K216" s="1025">
        <f t="shared" ca="1" si="102"/>
        <v>0</v>
      </c>
      <c r="L216" s="1016"/>
      <c r="M216" s="1016"/>
      <c r="N216" s="1016"/>
      <c r="O216" s="1016"/>
      <c r="P216" s="1016"/>
    </row>
    <row r="217" spans="1:26" ht="19.5">
      <c r="A217" s="932"/>
      <c r="B217" s="933"/>
      <c r="C217" s="934" t="s">
        <v>16</v>
      </c>
      <c r="D217" s="1026" t="s">
        <v>17</v>
      </c>
      <c r="E217" s="933"/>
      <c r="F217" s="933"/>
      <c r="G217" s="936"/>
      <c r="H217" s="275" t="s">
        <v>12</v>
      </c>
      <c r="I217" s="1028"/>
      <c r="J217" s="1028"/>
      <c r="K217" s="1029"/>
      <c r="L217" s="939">
        <f ca="1">L218+L219+L220</f>
        <v>28500</v>
      </c>
      <c r="M217" s="939"/>
      <c r="N217" s="939">
        <f>N218+N219+N220</f>
        <v>8120</v>
      </c>
      <c r="O217" s="939">
        <f ca="1">IF(L217&gt;0,N217*100/L217,0)</f>
        <v>28.491228070175438</v>
      </c>
      <c r="P217" s="939">
        <f>IF(M217&gt;0,N217*100/M217,0)</f>
        <v>0</v>
      </c>
      <c r="Q217" s="818"/>
      <c r="R217" s="818"/>
      <c r="S217" s="818"/>
      <c r="T217" s="818"/>
      <c r="U217" s="818"/>
      <c r="V217" s="818"/>
      <c r="W217" s="818"/>
      <c r="X217" s="818"/>
      <c r="Y217" s="818"/>
      <c r="Z217" s="818"/>
    </row>
    <row r="218" spans="1:26" ht="18.75">
      <c r="A218" s="942"/>
      <c r="B218" s="1030"/>
      <c r="C218" s="827"/>
      <c r="D218" s="943" t="s">
        <v>97</v>
      </c>
      <c r="E218" s="827"/>
      <c r="F218" s="827"/>
      <c r="G218" s="829"/>
      <c r="H218" s="778" t="s">
        <v>12</v>
      </c>
      <c r="I218" s="944"/>
      <c r="J218" s="944"/>
      <c r="K218" s="945"/>
      <c r="L218" s="831">
        <f ca="1">IFERROR(__xludf.DUMMYFUNCTION("IMPORTRANGE(""https://docs.google.com/spreadsheets/d/1QqKyyYR6Q21VydFLVH3TRQUabQu_ym0Zz7PgGX0-kHA/edit?usp=sharing"",""แผน!AP22"")"),5000)</f>
        <v>5000</v>
      </c>
      <c r="M218" s="831"/>
      <c r="N218" s="1031">
        <v>0</v>
      </c>
      <c r="O218" s="831"/>
      <c r="P218" s="831"/>
      <c r="Q218" s="818"/>
      <c r="R218" s="818"/>
      <c r="S218" s="818"/>
      <c r="T218" s="818"/>
      <c r="U218" s="818"/>
      <c r="V218" s="818"/>
      <c r="W218" s="818"/>
      <c r="X218" s="818"/>
      <c r="Y218" s="818"/>
      <c r="Z218" s="818"/>
    </row>
    <row r="219" spans="1:26" ht="19.5">
      <c r="A219" s="1032"/>
      <c r="B219" s="1030"/>
      <c r="C219" s="1038"/>
      <c r="D219" s="943" t="s">
        <v>110</v>
      </c>
      <c r="E219" s="827"/>
      <c r="F219" s="827"/>
      <c r="G219" s="829"/>
      <c r="H219" s="778" t="s">
        <v>12</v>
      </c>
      <c r="I219" s="830"/>
      <c r="J219" s="830"/>
      <c r="K219" s="831"/>
      <c r="L219" s="831">
        <f ca="1">IFERROR(__xludf.DUMMYFUNCTION("IMPORTRANGE(""https://docs.google.com/spreadsheets/d/1QqKyyYR6Q21VydFLVH3TRQUabQu_ym0Zz7PgGX0-kHA/edit?usp=sharing"",""แผน!AQ22"")"),13500)</f>
        <v>13500</v>
      </c>
      <c r="M219" s="831"/>
      <c r="N219" s="1031">
        <v>0</v>
      </c>
      <c r="O219" s="831"/>
      <c r="P219" s="831"/>
      <c r="Q219" s="1033"/>
      <c r="R219" s="1033"/>
      <c r="S219" s="1033"/>
      <c r="T219" s="1033"/>
      <c r="U219" s="1033"/>
      <c r="V219" s="1033"/>
      <c r="W219" s="1033"/>
      <c r="X219" s="1033"/>
      <c r="Y219" s="1033"/>
      <c r="Z219" s="1033"/>
    </row>
    <row r="220" spans="1:26" ht="19.5">
      <c r="A220" s="1032"/>
      <c r="B220" s="1030"/>
      <c r="C220" s="1038"/>
      <c r="D220" s="943" t="s">
        <v>98</v>
      </c>
      <c r="E220" s="827"/>
      <c r="F220" s="827"/>
      <c r="G220" s="829"/>
      <c r="H220" s="778" t="s">
        <v>12</v>
      </c>
      <c r="I220" s="830"/>
      <c r="J220" s="830"/>
      <c r="K220" s="831"/>
      <c r="L220" s="831">
        <f ca="1">IFERROR(__xludf.DUMMYFUNCTION("IMPORTRANGE(""https://docs.google.com/spreadsheets/d/1QqKyyYR6Q21VydFLVH3TRQUabQu_ym0Zz7PgGX0-kHA/edit?usp=sharing"",""แผน!AR22"")"),10000)</f>
        <v>10000</v>
      </c>
      <c r="M220" s="831"/>
      <c r="N220" s="1031">
        <v>8120</v>
      </c>
      <c r="O220" s="831"/>
      <c r="P220" s="831"/>
      <c r="Q220" s="1033"/>
      <c r="R220" s="1033"/>
      <c r="S220" s="1033"/>
      <c r="T220" s="1033"/>
      <c r="U220" s="1033"/>
      <c r="V220" s="1033"/>
      <c r="W220" s="1033"/>
      <c r="X220" s="1033"/>
      <c r="Y220" s="1033"/>
      <c r="Z220" s="1033"/>
    </row>
    <row r="221" spans="1:26" ht="19.5">
      <c r="A221" s="949"/>
      <c r="B221" s="950"/>
      <c r="C221" s="1038" t="s">
        <v>16</v>
      </c>
      <c r="D221" s="951" t="s">
        <v>38</v>
      </c>
      <c r="E221" s="952"/>
      <c r="F221" s="952"/>
      <c r="G221" s="953"/>
      <c r="H221" s="954"/>
      <c r="I221" s="944"/>
      <c r="J221" s="944"/>
      <c r="K221" s="945"/>
      <c r="L221" s="945"/>
      <c r="M221" s="945"/>
      <c r="N221" s="945"/>
      <c r="O221" s="945"/>
      <c r="P221" s="945"/>
      <c r="Q221" s="818"/>
      <c r="R221" s="818"/>
      <c r="S221" s="818"/>
      <c r="T221" s="818"/>
      <c r="U221" s="818"/>
      <c r="V221" s="818"/>
      <c r="W221" s="818"/>
      <c r="X221" s="818"/>
      <c r="Y221" s="818"/>
      <c r="Z221" s="818"/>
    </row>
    <row r="222" spans="1:26" ht="18.75">
      <c r="A222" s="949"/>
      <c r="B222" s="950"/>
      <c r="C222" s="950"/>
      <c r="D222" s="943" t="s">
        <v>111</v>
      </c>
      <c r="E222" s="957"/>
      <c r="F222" s="957"/>
      <c r="G222" s="958"/>
      <c r="H222" s="954"/>
      <c r="I222" s="830"/>
      <c r="J222" s="830"/>
      <c r="K222" s="945"/>
      <c r="L222" s="945"/>
      <c r="M222" s="945"/>
      <c r="N222" s="945"/>
      <c r="O222" s="945"/>
      <c r="P222" s="945"/>
      <c r="Q222" s="818"/>
      <c r="R222" s="818"/>
      <c r="S222" s="818"/>
      <c r="T222" s="818"/>
      <c r="U222" s="818"/>
      <c r="V222" s="818"/>
      <c r="W222" s="818"/>
      <c r="X222" s="818"/>
      <c r="Y222" s="818"/>
      <c r="Z222" s="818"/>
    </row>
    <row r="223" spans="1:26" ht="18.75">
      <c r="A223" s="949"/>
      <c r="B223" s="950"/>
      <c r="C223" s="950"/>
      <c r="D223" s="950"/>
      <c r="E223" s="955" t="s">
        <v>112</v>
      </c>
      <c r="F223" s="957"/>
      <c r="G223" s="958"/>
      <c r="H223" s="730" t="s">
        <v>109</v>
      </c>
      <c r="I223" s="830">
        <f ca="1">IFERROR(__xludf.DUMMYFUNCTION("IMPORTRANGE(""https://docs.google.com/spreadsheets/d/1QqKyyYR6Q21VydFLVH3TRQUabQu_ym0Zz7PgGX0-kHA/edit?usp=sharing"",""แผน!AT22"")"),50000)</f>
        <v>50000</v>
      </c>
      <c r="J223" s="959">
        <v>0</v>
      </c>
      <c r="K223" s="945">
        <f t="shared" ref="K223:K226" ca="1" si="104">IF(I223&gt;0,J223*100/I223,0)</f>
        <v>0</v>
      </c>
      <c r="L223" s="945"/>
      <c r="M223" s="945"/>
      <c r="N223" s="945"/>
      <c r="O223" s="945"/>
      <c r="P223" s="945"/>
      <c r="Q223" s="818"/>
      <c r="R223" s="818"/>
      <c r="S223" s="818"/>
      <c r="T223" s="818"/>
      <c r="U223" s="818"/>
      <c r="V223" s="818"/>
      <c r="W223" s="818"/>
      <c r="X223" s="818"/>
      <c r="Y223" s="818"/>
      <c r="Z223" s="818"/>
    </row>
    <row r="224" spans="1:26" ht="18.75">
      <c r="A224" s="949"/>
      <c r="B224" s="950"/>
      <c r="C224" s="950"/>
      <c r="D224" s="950"/>
      <c r="E224" s="955" t="s">
        <v>113</v>
      </c>
      <c r="F224" s="957"/>
      <c r="G224" s="958"/>
      <c r="H224" s="730" t="s">
        <v>109</v>
      </c>
      <c r="I224" s="830">
        <f ca="1">IFERROR(__xludf.DUMMYFUNCTION("IMPORTRANGE(""https://docs.google.com/spreadsheets/d/1QqKyyYR6Q21VydFLVH3TRQUabQu_ym0Zz7PgGX0-kHA/edit?usp=sharing"",""แผน!AT22"")"),50000)</f>
        <v>50000</v>
      </c>
      <c r="J224" s="959">
        <v>0</v>
      </c>
      <c r="K224" s="945">
        <f t="shared" ca="1" si="104"/>
        <v>0</v>
      </c>
      <c r="L224" s="831"/>
      <c r="M224" s="831"/>
      <c r="N224" s="831"/>
      <c r="O224" s="831"/>
      <c r="P224" s="831"/>
      <c r="Q224" s="818"/>
      <c r="R224" s="818"/>
      <c r="S224" s="818"/>
      <c r="T224" s="818"/>
      <c r="U224" s="818"/>
      <c r="V224" s="818"/>
      <c r="W224" s="818"/>
      <c r="X224" s="818"/>
      <c r="Y224" s="818"/>
      <c r="Z224" s="818"/>
    </row>
    <row r="225" spans="1:26" ht="18.75">
      <c r="A225" s="949"/>
      <c r="B225" s="950"/>
      <c r="C225" s="950"/>
      <c r="D225" s="943" t="s">
        <v>114</v>
      </c>
      <c r="E225" s="957"/>
      <c r="F225" s="957"/>
      <c r="G225" s="958"/>
      <c r="H225" s="730" t="s">
        <v>35</v>
      </c>
      <c r="I225" s="830">
        <f ca="1">IFERROR(__xludf.DUMMYFUNCTION("IMPORTRANGE(""https://docs.google.com/spreadsheets/d/1QqKyyYR6Q21VydFLVH3TRQUabQu_ym0Zz7PgGX0-kHA/edit?usp=sharing"",""แผน!AS22"")"),10)</f>
        <v>10</v>
      </c>
      <c r="J225" s="959">
        <v>0</v>
      </c>
      <c r="K225" s="945">
        <f t="shared" ca="1" si="104"/>
        <v>0</v>
      </c>
      <c r="L225" s="831"/>
      <c r="M225" s="831"/>
      <c r="N225" s="831"/>
      <c r="O225" s="831"/>
      <c r="P225" s="831"/>
      <c r="Q225" s="818"/>
      <c r="R225" s="818"/>
      <c r="S225" s="818"/>
      <c r="T225" s="818"/>
      <c r="U225" s="818"/>
      <c r="V225" s="818"/>
      <c r="W225" s="818"/>
      <c r="X225" s="818"/>
      <c r="Y225" s="818"/>
      <c r="Z225" s="818"/>
    </row>
    <row r="226" spans="1:26" ht="19.5" hidden="1">
      <c r="A226" s="1011"/>
      <c r="B226" s="1018"/>
      <c r="C226" s="1039" t="s">
        <v>115</v>
      </c>
      <c r="D226" s="1012"/>
      <c r="E226" s="1012"/>
      <c r="F226" s="1012"/>
      <c r="G226" s="1014"/>
      <c r="H226" s="266" t="s">
        <v>35</v>
      </c>
      <c r="I226" s="1040">
        <f t="shared" ref="I226:J226" ca="1" si="105">I237+I248</f>
        <v>0</v>
      </c>
      <c r="J226" s="1040">
        <f t="shared" si="105"/>
        <v>0</v>
      </c>
      <c r="K226" s="1041">
        <f t="shared" ca="1" si="104"/>
        <v>0</v>
      </c>
      <c r="L226" s="1016"/>
      <c r="M226" s="1016"/>
      <c r="N226" s="1016"/>
      <c r="O226" s="1016"/>
      <c r="P226" s="1016"/>
    </row>
    <row r="227" spans="1:26" ht="19.5" hidden="1">
      <c r="A227" s="1042"/>
      <c r="B227" s="1043"/>
      <c r="C227" s="1044" t="s">
        <v>16</v>
      </c>
      <c r="D227" s="1045" t="s">
        <v>17</v>
      </c>
      <c r="E227" s="1043"/>
      <c r="F227" s="1043"/>
      <c r="G227" s="1046"/>
      <c r="H227" s="1047" t="s">
        <v>12</v>
      </c>
      <c r="I227" s="1048"/>
      <c r="J227" s="1048"/>
      <c r="K227" s="1049"/>
      <c r="L227" s="1050">
        <f t="shared" ref="L227:L231" ca="1" si="106">L238+L249</f>
        <v>0</v>
      </c>
      <c r="M227" s="1050"/>
      <c r="N227" s="1050">
        <f t="shared" ref="N227:N231" si="107">N238+N249</f>
        <v>0</v>
      </c>
      <c r="O227" s="1051"/>
      <c r="P227" s="1051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</row>
    <row r="228" spans="1:26" ht="18.75" hidden="1">
      <c r="A228" s="940"/>
      <c r="B228" s="1052"/>
      <c r="C228" s="833"/>
      <c r="D228" s="834" t="s">
        <v>97</v>
      </c>
      <c r="E228" s="833"/>
      <c r="F228" s="833"/>
      <c r="G228" s="835"/>
      <c r="H228" s="165" t="s">
        <v>12</v>
      </c>
      <c r="I228" s="947"/>
      <c r="J228" s="947"/>
      <c r="K228" s="948"/>
      <c r="L228" s="837">
        <f t="shared" ca="1" si="106"/>
        <v>0</v>
      </c>
      <c r="M228" s="837"/>
      <c r="N228" s="837">
        <f t="shared" si="107"/>
        <v>0</v>
      </c>
      <c r="O228" s="837"/>
      <c r="P228" s="837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</row>
    <row r="229" spans="1:26" ht="19.5" hidden="1">
      <c r="A229" s="1053"/>
      <c r="B229" s="1052"/>
      <c r="C229" s="1054"/>
      <c r="D229" s="834" t="s">
        <v>98</v>
      </c>
      <c r="E229" s="833"/>
      <c r="F229" s="833"/>
      <c r="G229" s="835"/>
      <c r="H229" s="165" t="s">
        <v>12</v>
      </c>
      <c r="I229" s="836"/>
      <c r="J229" s="836"/>
      <c r="K229" s="837"/>
      <c r="L229" s="837">
        <f t="shared" ca="1" si="106"/>
        <v>0</v>
      </c>
      <c r="M229" s="837"/>
      <c r="N229" s="837">
        <f t="shared" si="107"/>
        <v>0</v>
      </c>
      <c r="O229" s="837"/>
      <c r="P229" s="837"/>
      <c r="Q229" s="1055"/>
      <c r="R229" s="1055"/>
      <c r="S229" s="1055"/>
      <c r="T229" s="1055"/>
      <c r="U229" s="1055"/>
      <c r="V229" s="1055"/>
      <c r="W229" s="1055"/>
      <c r="X229" s="1055"/>
      <c r="Y229" s="1055"/>
      <c r="Z229" s="1055"/>
    </row>
    <row r="230" spans="1:26" ht="19.5" hidden="1">
      <c r="A230" s="1053"/>
      <c r="B230" s="1052"/>
      <c r="C230" s="1054"/>
      <c r="D230" s="834" t="s">
        <v>116</v>
      </c>
      <c r="E230" s="833"/>
      <c r="F230" s="833"/>
      <c r="G230" s="835"/>
      <c r="H230" s="165" t="s">
        <v>12</v>
      </c>
      <c r="I230" s="836"/>
      <c r="J230" s="836"/>
      <c r="K230" s="837"/>
      <c r="L230" s="837">
        <f t="shared" ca="1" si="106"/>
        <v>0</v>
      </c>
      <c r="M230" s="837"/>
      <c r="N230" s="837">
        <f t="shared" si="107"/>
        <v>0</v>
      </c>
      <c r="O230" s="837"/>
      <c r="P230" s="837"/>
      <c r="Q230" s="1055"/>
      <c r="R230" s="1055"/>
      <c r="S230" s="1055"/>
      <c r="T230" s="1055"/>
      <c r="U230" s="1055"/>
      <c r="V230" s="1055"/>
      <c r="W230" s="1055"/>
      <c r="X230" s="1055"/>
      <c r="Y230" s="1055"/>
      <c r="Z230" s="1055"/>
    </row>
    <row r="231" spans="1:26" ht="19.5" hidden="1">
      <c r="A231" s="1053"/>
      <c r="B231" s="1052"/>
      <c r="C231" s="1054"/>
      <c r="D231" s="834" t="s">
        <v>100</v>
      </c>
      <c r="E231" s="833"/>
      <c r="F231" s="833"/>
      <c r="G231" s="835"/>
      <c r="H231" s="165" t="s">
        <v>12</v>
      </c>
      <c r="I231" s="836"/>
      <c r="J231" s="836"/>
      <c r="K231" s="837"/>
      <c r="L231" s="837">
        <f t="shared" ca="1" si="106"/>
        <v>0</v>
      </c>
      <c r="M231" s="837"/>
      <c r="N231" s="837">
        <f t="shared" si="107"/>
        <v>0</v>
      </c>
      <c r="O231" s="837"/>
      <c r="P231" s="837"/>
      <c r="Q231" s="1055"/>
      <c r="R231" s="1055"/>
      <c r="S231" s="1055"/>
      <c r="T231" s="1055"/>
      <c r="U231" s="1055"/>
      <c r="V231" s="1055"/>
      <c r="W231" s="1055"/>
      <c r="X231" s="1055"/>
      <c r="Y231" s="1055"/>
      <c r="Z231" s="1055"/>
    </row>
    <row r="232" spans="1:26" ht="19.5" hidden="1">
      <c r="A232" s="1056"/>
      <c r="B232" s="1057"/>
      <c r="C232" s="1054" t="s">
        <v>16</v>
      </c>
      <c r="D232" s="1020" t="s">
        <v>38</v>
      </c>
      <c r="E232" s="1058"/>
      <c r="F232" s="1058"/>
      <c r="G232" s="1059"/>
      <c r="H232" s="1060"/>
      <c r="I232" s="947"/>
      <c r="J232" s="836"/>
      <c r="K232" s="837"/>
      <c r="L232" s="837"/>
      <c r="M232" s="837"/>
      <c r="N232" s="837"/>
      <c r="O232" s="948"/>
      <c r="P232" s="948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</row>
    <row r="233" spans="1:26" ht="18.75" hidden="1">
      <c r="A233" s="1056"/>
      <c r="B233" s="1057"/>
      <c r="C233" s="1057"/>
      <c r="D233" s="1022" t="s">
        <v>117</v>
      </c>
      <c r="E233" s="1061"/>
      <c r="F233" s="1061"/>
      <c r="G233" s="1062"/>
      <c r="H233" s="583" t="s">
        <v>35</v>
      </c>
      <c r="I233" s="836">
        <f t="shared" ref="I233:J233" ca="1" si="108">I244+I255</f>
        <v>0</v>
      </c>
      <c r="J233" s="836">
        <f t="shared" si="108"/>
        <v>0</v>
      </c>
      <c r="K233" s="837">
        <f ca="1">IF(I233&gt;0,J233*100/I233,0)</f>
        <v>0</v>
      </c>
      <c r="L233" s="837"/>
      <c r="M233" s="837"/>
      <c r="N233" s="837"/>
      <c r="O233" s="837"/>
      <c r="P233" s="837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</row>
    <row r="234" spans="1:26" ht="18.75" hidden="1">
      <c r="A234" s="1056"/>
      <c r="B234" s="1057"/>
      <c r="C234" s="1057"/>
      <c r="D234" s="1063" t="s">
        <v>43</v>
      </c>
      <c r="E234" s="1061"/>
      <c r="F234" s="1061"/>
      <c r="G234" s="1062"/>
      <c r="H234" s="583"/>
      <c r="I234" s="836"/>
      <c r="J234" s="836"/>
      <c r="K234" s="837"/>
      <c r="L234" s="837"/>
      <c r="M234" s="837"/>
      <c r="N234" s="837"/>
      <c r="O234" s="948"/>
      <c r="P234" s="948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</row>
    <row r="235" spans="1:26" ht="18.75" hidden="1">
      <c r="A235" s="1056"/>
      <c r="B235" s="1057"/>
      <c r="C235" s="1057"/>
      <c r="D235" s="1057"/>
      <c r="E235" s="1021" t="s">
        <v>118</v>
      </c>
      <c r="F235" s="1061"/>
      <c r="G235" s="1062"/>
      <c r="H235" s="583" t="s">
        <v>35</v>
      </c>
      <c r="I235" s="836">
        <f t="shared" ref="I235:J236" si="109">I246+I257</f>
        <v>0</v>
      </c>
      <c r="J235" s="836">
        <f t="shared" si="109"/>
        <v>0</v>
      </c>
      <c r="K235" s="837">
        <f t="shared" ref="K235:K237" si="110">IF(I235&gt;0,J235*100/I235,0)</f>
        <v>0</v>
      </c>
      <c r="L235" s="837"/>
      <c r="M235" s="837"/>
      <c r="N235" s="837"/>
      <c r="O235" s="837"/>
      <c r="P235" s="837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</row>
    <row r="236" spans="1:26" ht="18.75" hidden="1">
      <c r="A236" s="1056"/>
      <c r="B236" s="1057"/>
      <c r="C236" s="1057"/>
      <c r="D236" s="1057"/>
      <c r="E236" s="1021" t="s">
        <v>119</v>
      </c>
      <c r="F236" s="1061"/>
      <c r="G236" s="1062"/>
      <c r="H236" s="583" t="s">
        <v>66</v>
      </c>
      <c r="I236" s="836">
        <f t="shared" si="109"/>
        <v>0</v>
      </c>
      <c r="J236" s="836">
        <f t="shared" si="109"/>
        <v>0</v>
      </c>
      <c r="K236" s="837">
        <f t="shared" si="110"/>
        <v>0</v>
      </c>
      <c r="L236" s="837"/>
      <c r="M236" s="837"/>
      <c r="N236" s="837"/>
      <c r="O236" s="837"/>
      <c r="P236" s="837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</row>
    <row r="237" spans="1:26" ht="19.5" hidden="1">
      <c r="A237" s="1011"/>
      <c r="B237" s="1018"/>
      <c r="C237" s="1023" t="s">
        <v>331</v>
      </c>
      <c r="D237" s="1012"/>
      <c r="E237" s="1012"/>
      <c r="F237" s="1012"/>
      <c r="G237" s="1014"/>
      <c r="H237" s="260" t="s">
        <v>35</v>
      </c>
      <c r="I237" s="1024">
        <f t="shared" ref="I237:J237" ca="1" si="111">I244</f>
        <v>0</v>
      </c>
      <c r="J237" s="1024">
        <f t="shared" si="111"/>
        <v>0</v>
      </c>
      <c r="K237" s="1025">
        <f t="shared" ca="1" si="110"/>
        <v>0</v>
      </c>
      <c r="L237" s="1016"/>
      <c r="M237" s="1016"/>
      <c r="N237" s="1016"/>
      <c r="O237" s="1016"/>
      <c r="P237" s="1016"/>
    </row>
    <row r="238" spans="1:26" ht="19.5" hidden="1">
      <c r="A238" s="932"/>
      <c r="B238" s="933"/>
      <c r="C238" s="934" t="s">
        <v>16</v>
      </c>
      <c r="D238" s="935" t="s">
        <v>17</v>
      </c>
      <c r="E238" s="933"/>
      <c r="F238" s="933"/>
      <c r="G238" s="936"/>
      <c r="H238" s="275" t="s">
        <v>12</v>
      </c>
      <c r="I238" s="1028"/>
      <c r="J238" s="1028"/>
      <c r="K238" s="1029"/>
      <c r="L238" s="939">
        <f ca="1">L239+L240+L241+L242</f>
        <v>0</v>
      </c>
      <c r="M238" s="939"/>
      <c r="N238" s="939">
        <f>N239+N240+N241+N242</f>
        <v>0</v>
      </c>
      <c r="O238" s="939">
        <f ca="1">IF(L238&gt;0,N238*100/L238,0)</f>
        <v>0</v>
      </c>
      <c r="P238" s="939">
        <f>IF(M238&gt;0,N238*100/M238,0)</f>
        <v>0</v>
      </c>
      <c r="Q238" s="818"/>
      <c r="R238" s="818"/>
      <c r="S238" s="818"/>
      <c r="T238" s="818"/>
      <c r="U238" s="818"/>
      <c r="V238" s="818"/>
      <c r="W238" s="818"/>
      <c r="X238" s="818"/>
      <c r="Y238" s="818"/>
      <c r="Z238" s="818"/>
    </row>
    <row r="239" spans="1:26" ht="18.75" hidden="1">
      <c r="A239" s="1064"/>
      <c r="B239" s="1065"/>
      <c r="C239" s="1066"/>
      <c r="D239" s="1067" t="s">
        <v>97</v>
      </c>
      <c r="E239" s="1066"/>
      <c r="F239" s="1066"/>
      <c r="G239" s="1068"/>
      <c r="H239" s="319" t="s">
        <v>12</v>
      </c>
      <c r="I239" s="1069"/>
      <c r="J239" s="1069"/>
      <c r="K239" s="1070"/>
      <c r="L239" s="1071">
        <f ca="1">IFERROR(__xludf.DUMMYFUNCTION("IMPORTRANGE(""https://docs.google.com/spreadsheets/d/1QqKyyYR6Q21VydFLVH3TRQUabQu_ym0Zz7PgGX0-kHA/edit?usp=sharing"",""แผน!AV22"")"),0)</f>
        <v>0</v>
      </c>
      <c r="M239" s="1071"/>
      <c r="N239" s="1072">
        <v>0</v>
      </c>
      <c r="O239" s="1071"/>
      <c r="P239" s="1071"/>
      <c r="Q239" s="1073"/>
      <c r="R239" s="1073"/>
      <c r="S239" s="1073"/>
      <c r="T239" s="1073"/>
      <c r="U239" s="1073"/>
      <c r="V239" s="1073"/>
      <c r="W239" s="1073"/>
      <c r="X239" s="1073"/>
      <c r="Y239" s="1073"/>
      <c r="Z239" s="1073"/>
    </row>
    <row r="240" spans="1:26" ht="19.5" hidden="1">
      <c r="A240" s="1074"/>
      <c r="B240" s="1065"/>
      <c r="C240" s="1075"/>
      <c r="D240" s="1067" t="s">
        <v>98</v>
      </c>
      <c r="E240" s="1066"/>
      <c r="F240" s="1066"/>
      <c r="G240" s="1068"/>
      <c r="H240" s="319" t="s">
        <v>12</v>
      </c>
      <c r="I240" s="1076"/>
      <c r="J240" s="1076"/>
      <c r="K240" s="1071"/>
      <c r="L240" s="1071">
        <f ca="1">IFERROR(__xludf.DUMMYFUNCTION("IMPORTRANGE(""https://docs.google.com/spreadsheets/d/1QqKyyYR6Q21VydFLVH3TRQUabQu_ym0Zz7PgGX0-kHA/edit?usp=sharing"",""แผน!AW22"")"),0)</f>
        <v>0</v>
      </c>
      <c r="M240" s="1071"/>
      <c r="N240" s="1072">
        <v>0</v>
      </c>
      <c r="O240" s="1071"/>
      <c r="P240" s="1071"/>
      <c r="Q240" s="1077"/>
      <c r="R240" s="1077"/>
      <c r="S240" s="1077"/>
      <c r="T240" s="1077"/>
      <c r="U240" s="1077"/>
      <c r="V240" s="1077"/>
      <c r="W240" s="1077"/>
      <c r="X240" s="1077"/>
      <c r="Y240" s="1077"/>
      <c r="Z240" s="1077"/>
    </row>
    <row r="241" spans="1:26" ht="19.5" hidden="1">
      <c r="A241" s="1074"/>
      <c r="B241" s="1065"/>
      <c r="C241" s="1075"/>
      <c r="D241" s="1067" t="s">
        <v>116</v>
      </c>
      <c r="E241" s="1066"/>
      <c r="F241" s="1066"/>
      <c r="G241" s="1068"/>
      <c r="H241" s="319" t="s">
        <v>12</v>
      </c>
      <c r="I241" s="1076"/>
      <c r="J241" s="1076"/>
      <c r="K241" s="1071"/>
      <c r="L241" s="1071">
        <f ca="1">IFERROR(__xludf.DUMMYFUNCTION("IMPORTRANGE(""https://docs.google.com/spreadsheets/d/1QqKyyYR6Q21VydFLVH3TRQUabQu_ym0Zz7PgGX0-kHA/edit?usp=sharing"",""แผน!AX22"")"),0)</f>
        <v>0</v>
      </c>
      <c r="M241" s="1071"/>
      <c r="N241" s="1072">
        <v>0</v>
      </c>
      <c r="O241" s="1071"/>
      <c r="P241" s="1071"/>
      <c r="Q241" s="1077"/>
      <c r="R241" s="1077"/>
      <c r="S241" s="1077"/>
      <c r="T241" s="1077"/>
      <c r="U241" s="1077"/>
      <c r="V241" s="1077"/>
      <c r="W241" s="1077"/>
      <c r="X241" s="1077"/>
      <c r="Y241" s="1077"/>
      <c r="Z241" s="1077"/>
    </row>
    <row r="242" spans="1:26" ht="19.5" hidden="1">
      <c r="A242" s="1074"/>
      <c r="B242" s="1065"/>
      <c r="C242" s="1075"/>
      <c r="D242" s="1067" t="s">
        <v>100</v>
      </c>
      <c r="E242" s="1066"/>
      <c r="F242" s="1066"/>
      <c r="G242" s="1068"/>
      <c r="H242" s="319" t="s">
        <v>12</v>
      </c>
      <c r="I242" s="1076"/>
      <c r="J242" s="1076"/>
      <c r="K242" s="1071"/>
      <c r="L242" s="1071">
        <f ca="1">IFERROR(__xludf.DUMMYFUNCTION("IMPORTRANGE(""https://docs.google.com/spreadsheets/d/1QqKyyYR6Q21VydFLVH3TRQUabQu_ym0Zz7PgGX0-kHA/edit?usp=sharing"",""แผน!AY22"")"),0)</f>
        <v>0</v>
      </c>
      <c r="M242" s="1071"/>
      <c r="N242" s="1072">
        <v>0</v>
      </c>
      <c r="O242" s="1071"/>
      <c r="P242" s="1071"/>
      <c r="Q242" s="1077"/>
      <c r="R242" s="1077"/>
      <c r="S242" s="1077"/>
      <c r="T242" s="1077"/>
      <c r="U242" s="1077"/>
      <c r="V242" s="1077"/>
      <c r="W242" s="1077"/>
      <c r="X242" s="1077"/>
      <c r="Y242" s="1077"/>
      <c r="Z242" s="1077"/>
    </row>
    <row r="243" spans="1:26" ht="19.5" hidden="1">
      <c r="A243" s="949"/>
      <c r="B243" s="950"/>
      <c r="C243" s="1038" t="s">
        <v>16</v>
      </c>
      <c r="D243" s="951" t="s">
        <v>38</v>
      </c>
      <c r="E243" s="952"/>
      <c r="F243" s="952"/>
      <c r="G243" s="953"/>
      <c r="H243" s="954"/>
      <c r="I243" s="944"/>
      <c r="J243" s="830"/>
      <c r="K243" s="831"/>
      <c r="L243" s="831"/>
      <c r="M243" s="831"/>
      <c r="N243" s="831"/>
      <c r="O243" s="945"/>
      <c r="P243" s="945"/>
      <c r="Q243" s="818"/>
      <c r="R243" s="818"/>
      <c r="S243" s="818"/>
      <c r="T243" s="818"/>
      <c r="U243" s="818"/>
      <c r="V243" s="818"/>
      <c r="W243" s="818"/>
      <c r="X243" s="818"/>
      <c r="Y243" s="818"/>
      <c r="Z243" s="818"/>
    </row>
    <row r="244" spans="1:26" ht="18.75" hidden="1">
      <c r="A244" s="949"/>
      <c r="B244" s="950"/>
      <c r="C244" s="950"/>
      <c r="D244" s="956" t="s">
        <v>117</v>
      </c>
      <c r="E244" s="957"/>
      <c r="F244" s="957"/>
      <c r="G244" s="958"/>
      <c r="H244" s="730" t="s">
        <v>35</v>
      </c>
      <c r="I244" s="830">
        <f ca="1">IFERROR(__xludf.DUMMYFUNCTION("IMPORTRANGE(""https://docs.google.com/spreadsheets/d/1QqKyyYR6Q21VydFLVH3TRQUabQu_ym0Zz7PgGX0-kHA/edit?usp=sharing"",""แผน!BE22"")"),0)</f>
        <v>0</v>
      </c>
      <c r="J244" s="959">
        <v>0</v>
      </c>
      <c r="K244" s="831">
        <f ca="1">IF(I244&gt;0,J244*100/I244,0)</f>
        <v>0</v>
      </c>
      <c r="L244" s="831"/>
      <c r="M244" s="831"/>
      <c r="N244" s="831"/>
      <c r="O244" s="831"/>
      <c r="P244" s="831"/>
      <c r="Q244" s="818"/>
      <c r="R244" s="818"/>
      <c r="S244" s="818"/>
      <c r="T244" s="818"/>
      <c r="U244" s="818"/>
      <c r="V244" s="818"/>
      <c r="W244" s="818"/>
      <c r="X244" s="818"/>
      <c r="Y244" s="818"/>
      <c r="Z244" s="818"/>
    </row>
    <row r="245" spans="1:26" ht="18.75" hidden="1">
      <c r="A245" s="949"/>
      <c r="B245" s="950"/>
      <c r="C245" s="950"/>
      <c r="D245" s="1078" t="s">
        <v>43</v>
      </c>
      <c r="E245" s="957"/>
      <c r="F245" s="957"/>
      <c r="G245" s="958"/>
      <c r="H245" s="730"/>
      <c r="I245" s="830"/>
      <c r="J245" s="830"/>
      <c r="K245" s="831"/>
      <c r="L245" s="831"/>
      <c r="M245" s="831"/>
      <c r="N245" s="831"/>
      <c r="O245" s="945"/>
      <c r="P245" s="945"/>
      <c r="Q245" s="818"/>
      <c r="R245" s="818"/>
      <c r="S245" s="818"/>
      <c r="T245" s="818"/>
      <c r="U245" s="818"/>
      <c r="V245" s="818"/>
      <c r="W245" s="818"/>
      <c r="X245" s="818"/>
      <c r="Y245" s="818"/>
      <c r="Z245" s="818"/>
    </row>
    <row r="246" spans="1:26" ht="18.75" hidden="1">
      <c r="A246" s="949"/>
      <c r="B246" s="950"/>
      <c r="C246" s="950"/>
      <c r="D246" s="950"/>
      <c r="E246" s="955" t="s">
        <v>118</v>
      </c>
      <c r="F246" s="957"/>
      <c r="G246" s="958"/>
      <c r="H246" s="730" t="s">
        <v>35</v>
      </c>
      <c r="I246" s="830"/>
      <c r="J246" s="959">
        <v>0</v>
      </c>
      <c r="K246" s="831">
        <f t="shared" ref="K246:K248" si="112">IF(I246&gt;0,J246*100/I246,0)</f>
        <v>0</v>
      </c>
      <c r="L246" s="831"/>
      <c r="M246" s="831"/>
      <c r="N246" s="831"/>
      <c r="O246" s="831"/>
      <c r="P246" s="831"/>
      <c r="Q246" s="818"/>
      <c r="R246" s="818"/>
      <c r="S246" s="818"/>
      <c r="T246" s="818"/>
      <c r="U246" s="818"/>
      <c r="V246" s="818"/>
      <c r="W246" s="818"/>
      <c r="X246" s="818"/>
      <c r="Y246" s="818"/>
      <c r="Z246" s="818"/>
    </row>
    <row r="247" spans="1:26" ht="18.75" hidden="1">
      <c r="A247" s="949"/>
      <c r="B247" s="950"/>
      <c r="C247" s="950"/>
      <c r="D247" s="950"/>
      <c r="E247" s="955" t="s">
        <v>119</v>
      </c>
      <c r="F247" s="957"/>
      <c r="G247" s="958"/>
      <c r="H247" s="730" t="s">
        <v>66</v>
      </c>
      <c r="I247" s="830"/>
      <c r="J247" s="959">
        <v>0</v>
      </c>
      <c r="K247" s="831">
        <f t="shared" si="112"/>
        <v>0</v>
      </c>
      <c r="L247" s="831"/>
      <c r="M247" s="831"/>
      <c r="N247" s="831"/>
      <c r="O247" s="831"/>
      <c r="P247" s="831"/>
      <c r="Q247" s="818"/>
      <c r="R247" s="818"/>
      <c r="S247" s="818"/>
      <c r="T247" s="818"/>
      <c r="U247" s="818"/>
      <c r="V247" s="818"/>
      <c r="W247" s="818"/>
      <c r="X247" s="818"/>
      <c r="Y247" s="818"/>
      <c r="Z247" s="818"/>
    </row>
    <row r="248" spans="1:26" ht="19.5" hidden="1">
      <c r="A248" s="1011"/>
      <c r="B248" s="1018"/>
      <c r="C248" s="1023" t="s">
        <v>332</v>
      </c>
      <c r="D248" s="1012"/>
      <c r="E248" s="1012"/>
      <c r="F248" s="1012"/>
      <c r="G248" s="1014"/>
      <c r="H248" s="260" t="s">
        <v>35</v>
      </c>
      <c r="I248" s="1024">
        <f t="shared" ref="I248:J248" ca="1" si="113">I255</f>
        <v>0</v>
      </c>
      <c r="J248" s="1024">
        <f t="shared" si="113"/>
        <v>0</v>
      </c>
      <c r="K248" s="1025">
        <f t="shared" ca="1" si="112"/>
        <v>0</v>
      </c>
      <c r="L248" s="1016"/>
      <c r="M248" s="1016"/>
      <c r="N248" s="1016"/>
      <c r="O248" s="1016"/>
      <c r="P248" s="1016"/>
    </row>
    <row r="249" spans="1:26" ht="19.5" hidden="1">
      <c r="A249" s="932"/>
      <c r="B249" s="933"/>
      <c r="C249" s="934" t="s">
        <v>16</v>
      </c>
      <c r="D249" s="1026" t="s">
        <v>17</v>
      </c>
      <c r="E249" s="933"/>
      <c r="F249" s="933"/>
      <c r="G249" s="936"/>
      <c r="H249" s="275" t="s">
        <v>12</v>
      </c>
      <c r="I249" s="1028"/>
      <c r="J249" s="1028"/>
      <c r="K249" s="1029"/>
      <c r="L249" s="939">
        <f ca="1">L250+L251+L252+L253</f>
        <v>0</v>
      </c>
      <c r="M249" s="939"/>
      <c r="N249" s="939">
        <f>N250+N251+N252+N253</f>
        <v>0</v>
      </c>
      <c r="O249" s="939">
        <f ca="1">IF(L249&gt;0,N249*100/L249,0)</f>
        <v>0</v>
      </c>
      <c r="P249" s="939">
        <f>IF(M249&gt;0,N249*100/M249,0)</f>
        <v>0</v>
      </c>
      <c r="Q249" s="818"/>
      <c r="R249" s="818"/>
      <c r="S249" s="818"/>
      <c r="T249" s="818"/>
      <c r="U249" s="818"/>
      <c r="V249" s="818"/>
      <c r="W249" s="818"/>
      <c r="X249" s="818"/>
      <c r="Y249" s="818"/>
      <c r="Z249" s="818"/>
    </row>
    <row r="250" spans="1:26" ht="18.75" hidden="1">
      <c r="A250" s="1064"/>
      <c r="B250" s="1065"/>
      <c r="C250" s="1066"/>
      <c r="D250" s="1067" t="s">
        <v>97</v>
      </c>
      <c r="E250" s="1066"/>
      <c r="F250" s="1066"/>
      <c r="G250" s="1068"/>
      <c r="H250" s="319" t="s">
        <v>12</v>
      </c>
      <c r="I250" s="1069"/>
      <c r="J250" s="1069"/>
      <c r="K250" s="1070"/>
      <c r="L250" s="1071">
        <f ca="1">IFERROR(__xludf.DUMMYFUNCTION("IMPORTRANGE(""https://docs.google.com/spreadsheets/d/1QqKyyYR6Q21VydFLVH3TRQUabQu_ym0Zz7PgGX0-kHA/edit?usp=sharing"",""แผน!AZ22"")"),0)</f>
        <v>0</v>
      </c>
      <c r="M250" s="1071"/>
      <c r="N250" s="1072">
        <v>0</v>
      </c>
      <c r="O250" s="1071"/>
      <c r="P250" s="1071"/>
      <c r="Q250" s="1073"/>
      <c r="R250" s="1073"/>
      <c r="S250" s="1073"/>
      <c r="T250" s="1073"/>
      <c r="U250" s="1073"/>
      <c r="V250" s="1073"/>
      <c r="W250" s="1073"/>
      <c r="X250" s="1073"/>
      <c r="Y250" s="1073"/>
      <c r="Z250" s="1073"/>
    </row>
    <row r="251" spans="1:26" ht="19.5" hidden="1">
      <c r="A251" s="1074"/>
      <c r="B251" s="1065"/>
      <c r="C251" s="1075"/>
      <c r="D251" s="1067" t="s">
        <v>98</v>
      </c>
      <c r="E251" s="1066"/>
      <c r="F251" s="1066"/>
      <c r="G251" s="1068"/>
      <c r="H251" s="319" t="s">
        <v>12</v>
      </c>
      <c r="I251" s="1076"/>
      <c r="J251" s="1076"/>
      <c r="K251" s="1071"/>
      <c r="L251" s="1071">
        <f ca="1">IFERROR(__xludf.DUMMYFUNCTION("IMPORTRANGE(""https://docs.google.com/spreadsheets/d/1QqKyyYR6Q21VydFLVH3TRQUabQu_ym0Zz7PgGX0-kHA/edit?usp=sharing"",""แผน!BA22"")"),0)</f>
        <v>0</v>
      </c>
      <c r="M251" s="1071"/>
      <c r="N251" s="1072">
        <v>0</v>
      </c>
      <c r="O251" s="1071"/>
      <c r="P251" s="1071"/>
      <c r="Q251" s="1077"/>
      <c r="R251" s="1077"/>
      <c r="S251" s="1077"/>
      <c r="T251" s="1077"/>
      <c r="U251" s="1077"/>
      <c r="V251" s="1077"/>
      <c r="W251" s="1077"/>
      <c r="X251" s="1077"/>
      <c r="Y251" s="1077"/>
      <c r="Z251" s="1077"/>
    </row>
    <row r="252" spans="1:26" ht="19.5" hidden="1">
      <c r="A252" s="1074"/>
      <c r="B252" s="1065"/>
      <c r="C252" s="1075"/>
      <c r="D252" s="1067" t="s">
        <v>116</v>
      </c>
      <c r="E252" s="1066"/>
      <c r="F252" s="1066"/>
      <c r="G252" s="1068"/>
      <c r="H252" s="319" t="s">
        <v>12</v>
      </c>
      <c r="I252" s="1076"/>
      <c r="J252" s="1076"/>
      <c r="K252" s="1071"/>
      <c r="L252" s="1071">
        <f ca="1">IFERROR(__xludf.DUMMYFUNCTION("IMPORTRANGE(""https://docs.google.com/spreadsheets/d/1QqKyyYR6Q21VydFLVH3TRQUabQu_ym0Zz7PgGX0-kHA/edit?usp=sharing"",""แผน!BB22"")"),0)</f>
        <v>0</v>
      </c>
      <c r="M252" s="1071"/>
      <c r="N252" s="1072">
        <v>0</v>
      </c>
      <c r="O252" s="1071"/>
      <c r="P252" s="1071"/>
      <c r="Q252" s="1077"/>
      <c r="R252" s="1077"/>
      <c r="S252" s="1077"/>
      <c r="T252" s="1077"/>
      <c r="U252" s="1077"/>
      <c r="V252" s="1077"/>
      <c r="W252" s="1077"/>
      <c r="X252" s="1077"/>
      <c r="Y252" s="1077"/>
      <c r="Z252" s="1077"/>
    </row>
    <row r="253" spans="1:26" ht="19.5" hidden="1">
      <c r="A253" s="1074"/>
      <c r="B253" s="1065"/>
      <c r="C253" s="1075"/>
      <c r="D253" s="1067" t="s">
        <v>100</v>
      </c>
      <c r="E253" s="1066"/>
      <c r="F253" s="1066"/>
      <c r="G253" s="1068"/>
      <c r="H253" s="319" t="s">
        <v>12</v>
      </c>
      <c r="I253" s="1076"/>
      <c r="J253" s="1076"/>
      <c r="K253" s="1071"/>
      <c r="L253" s="1071">
        <f ca="1">IFERROR(__xludf.DUMMYFUNCTION("IMPORTRANGE(""https://docs.google.com/spreadsheets/d/1QqKyyYR6Q21VydFLVH3TRQUabQu_ym0Zz7PgGX0-kHA/edit?usp=sharing"",""แผน!BC22"")"),0)</f>
        <v>0</v>
      </c>
      <c r="M253" s="1071"/>
      <c r="N253" s="1072">
        <v>0</v>
      </c>
      <c r="O253" s="1071"/>
      <c r="P253" s="1071"/>
      <c r="Q253" s="1077"/>
      <c r="R253" s="1077"/>
      <c r="S253" s="1077"/>
      <c r="T253" s="1077"/>
      <c r="U253" s="1077"/>
      <c r="V253" s="1077"/>
      <c r="W253" s="1077"/>
      <c r="X253" s="1077"/>
      <c r="Y253" s="1077"/>
      <c r="Z253" s="1077"/>
    </row>
    <row r="254" spans="1:26" ht="19.5" hidden="1">
      <c r="A254" s="949"/>
      <c r="B254" s="950"/>
      <c r="C254" s="1038" t="s">
        <v>16</v>
      </c>
      <c r="D254" s="951" t="s">
        <v>38</v>
      </c>
      <c r="E254" s="952"/>
      <c r="F254" s="952"/>
      <c r="G254" s="953"/>
      <c r="H254" s="954"/>
      <c r="I254" s="944"/>
      <c r="J254" s="830"/>
      <c r="K254" s="831"/>
      <c r="L254" s="831"/>
      <c r="M254" s="831"/>
      <c r="N254" s="831"/>
      <c r="O254" s="945"/>
      <c r="P254" s="945"/>
      <c r="Q254" s="818"/>
      <c r="R254" s="818"/>
      <c r="S254" s="818"/>
      <c r="T254" s="818"/>
      <c r="U254" s="818"/>
      <c r="V254" s="818"/>
      <c r="W254" s="818"/>
      <c r="X254" s="818"/>
      <c r="Y254" s="818"/>
      <c r="Z254" s="818"/>
    </row>
    <row r="255" spans="1:26" ht="18.75" hidden="1">
      <c r="A255" s="949"/>
      <c r="B255" s="950"/>
      <c r="C255" s="950"/>
      <c r="D255" s="956" t="s">
        <v>117</v>
      </c>
      <c r="E255" s="957"/>
      <c r="F255" s="957"/>
      <c r="G255" s="958"/>
      <c r="H255" s="730" t="s">
        <v>35</v>
      </c>
      <c r="I255" s="830">
        <f ca="1">IFERROR(__xludf.DUMMYFUNCTION("IMPORTRANGE(""https://docs.google.com/spreadsheets/d/1QqKyyYR6Q21VydFLVH3TRQUabQu_ym0Zz7PgGX0-kHA/edit?usp=sharing"",""แผน!BF22"")"),0)</f>
        <v>0</v>
      </c>
      <c r="J255" s="959">
        <v>0</v>
      </c>
      <c r="K255" s="831">
        <f ca="1">IF(I255&gt;0,J255*100/I255,0)</f>
        <v>0</v>
      </c>
      <c r="L255" s="831"/>
      <c r="M255" s="831"/>
      <c r="N255" s="831"/>
      <c r="O255" s="831"/>
      <c r="P255" s="831"/>
      <c r="Q255" s="818"/>
      <c r="R255" s="818"/>
      <c r="S255" s="818"/>
      <c r="T255" s="818"/>
      <c r="U255" s="818"/>
      <c r="V255" s="818"/>
      <c r="W255" s="818"/>
      <c r="X255" s="818"/>
      <c r="Y255" s="818"/>
      <c r="Z255" s="818"/>
    </row>
    <row r="256" spans="1:26" ht="18.75" hidden="1">
      <c r="A256" s="949"/>
      <c r="B256" s="950"/>
      <c r="C256" s="950"/>
      <c r="D256" s="1078" t="s">
        <v>43</v>
      </c>
      <c r="E256" s="957"/>
      <c r="F256" s="957"/>
      <c r="G256" s="958"/>
      <c r="H256" s="730"/>
      <c r="I256" s="830"/>
      <c r="J256" s="830"/>
      <c r="K256" s="831"/>
      <c r="L256" s="831"/>
      <c r="M256" s="831"/>
      <c r="N256" s="831"/>
      <c r="O256" s="945"/>
      <c r="P256" s="945"/>
      <c r="Q256" s="818"/>
      <c r="R256" s="818"/>
      <c r="S256" s="818"/>
      <c r="T256" s="818"/>
      <c r="U256" s="818"/>
      <c r="V256" s="818"/>
      <c r="W256" s="818"/>
      <c r="X256" s="818"/>
      <c r="Y256" s="818"/>
      <c r="Z256" s="818"/>
    </row>
    <row r="257" spans="1:26" ht="18.75" hidden="1">
      <c r="A257" s="949"/>
      <c r="B257" s="950"/>
      <c r="C257" s="950"/>
      <c r="D257" s="950"/>
      <c r="E257" s="955" t="s">
        <v>118</v>
      </c>
      <c r="F257" s="957"/>
      <c r="G257" s="958"/>
      <c r="H257" s="730" t="s">
        <v>35</v>
      </c>
      <c r="I257" s="830"/>
      <c r="J257" s="959">
        <v>0</v>
      </c>
      <c r="K257" s="831">
        <f t="shared" ref="K257:K258" si="114">IF(I257&gt;0,J257*100/I257,0)</f>
        <v>0</v>
      </c>
      <c r="L257" s="831"/>
      <c r="M257" s="831"/>
      <c r="N257" s="831"/>
      <c r="O257" s="831"/>
      <c r="P257" s="831"/>
      <c r="Q257" s="818"/>
      <c r="R257" s="818"/>
      <c r="S257" s="818"/>
      <c r="T257" s="818"/>
      <c r="U257" s="818"/>
      <c r="V257" s="818"/>
      <c r="W257" s="818"/>
      <c r="X257" s="818"/>
      <c r="Y257" s="818"/>
      <c r="Z257" s="818"/>
    </row>
    <row r="258" spans="1:26" ht="18.75" hidden="1">
      <c r="A258" s="949"/>
      <c r="B258" s="950"/>
      <c r="C258" s="950"/>
      <c r="D258" s="950"/>
      <c r="E258" s="955" t="s">
        <v>119</v>
      </c>
      <c r="F258" s="957"/>
      <c r="G258" s="958"/>
      <c r="H258" s="730" t="s">
        <v>66</v>
      </c>
      <c r="I258" s="830"/>
      <c r="J258" s="959">
        <v>0</v>
      </c>
      <c r="K258" s="831">
        <f t="shared" si="114"/>
        <v>0</v>
      </c>
      <c r="L258" s="831"/>
      <c r="M258" s="831"/>
      <c r="N258" s="831"/>
      <c r="O258" s="831"/>
      <c r="P258" s="831"/>
      <c r="Q258" s="818"/>
      <c r="R258" s="818"/>
      <c r="S258" s="818"/>
      <c r="T258" s="818"/>
      <c r="U258" s="818"/>
      <c r="V258" s="818"/>
      <c r="W258" s="818"/>
      <c r="X258" s="818"/>
      <c r="Y258" s="818"/>
      <c r="Z258" s="818"/>
    </row>
    <row r="259" spans="1:26" ht="19.5">
      <c r="A259" s="998" t="s">
        <v>122</v>
      </c>
      <c r="B259" s="999"/>
      <c r="C259" s="999"/>
      <c r="D259" s="1000"/>
      <c r="E259" s="1000"/>
      <c r="F259" s="1000"/>
      <c r="G259" s="1001"/>
      <c r="H259" s="1002"/>
      <c r="I259" s="1003"/>
      <c r="J259" s="1003"/>
      <c r="K259" s="1004"/>
      <c r="L259" s="1004"/>
      <c r="M259" s="1004"/>
      <c r="N259" s="1004"/>
      <c r="O259" s="1004"/>
      <c r="P259" s="1004"/>
    </row>
    <row r="260" spans="1:26" ht="19.5">
      <c r="A260" s="1005"/>
      <c r="B260" s="1006" t="s">
        <v>123</v>
      </c>
      <c r="C260" s="1007"/>
      <c r="D260" s="952"/>
      <c r="E260" s="952"/>
      <c r="F260" s="952"/>
      <c r="G260" s="953"/>
      <c r="H260" s="252" t="s">
        <v>35</v>
      </c>
      <c r="I260" s="1008">
        <f t="shared" ref="I260:J260" ca="1" si="115">I271</f>
        <v>24</v>
      </c>
      <c r="J260" s="1008">
        <f t="shared" si="115"/>
        <v>24</v>
      </c>
      <c r="K260" s="1009">
        <f ca="1">IF(I260&gt;0,J260*100/I260,0)</f>
        <v>100</v>
      </c>
      <c r="L260" s="1010"/>
      <c r="M260" s="1010"/>
      <c r="N260" s="1010"/>
      <c r="O260" s="1010"/>
      <c r="P260" s="1010"/>
    </row>
    <row r="261" spans="1:26" ht="19.5">
      <c r="A261" s="932"/>
      <c r="B261" s="933"/>
      <c r="C261" s="934" t="s">
        <v>16</v>
      </c>
      <c r="D261" s="935" t="s">
        <v>17</v>
      </c>
      <c r="E261" s="933"/>
      <c r="F261" s="933"/>
      <c r="G261" s="936"/>
      <c r="H261" s="152" t="s">
        <v>12</v>
      </c>
      <c r="I261" s="937"/>
      <c r="J261" s="937"/>
      <c r="K261" s="938"/>
      <c r="L261" s="939">
        <f t="shared" ref="L261:N261" ca="1" si="116">L262+L263</f>
        <v>28800</v>
      </c>
      <c r="M261" s="939">
        <f t="shared" ca="1" si="116"/>
        <v>25800</v>
      </c>
      <c r="N261" s="939">
        <f t="shared" ca="1" si="116"/>
        <v>22350</v>
      </c>
      <c r="O261" s="939">
        <f t="shared" ref="O261:O269" ca="1" si="117">IF(L261&gt;0,N261*100/L261,0)</f>
        <v>77.604166666666671</v>
      </c>
      <c r="P261" s="939">
        <f t="shared" ref="P261:P269" ca="1" si="118">IF(M261&gt;0,N261*100/M261,0)</f>
        <v>86.627906976744185</v>
      </c>
      <c r="Q261" s="818"/>
      <c r="R261" s="818"/>
      <c r="S261" s="818"/>
      <c r="T261" s="818"/>
      <c r="U261" s="818"/>
      <c r="V261" s="818"/>
      <c r="W261" s="818"/>
      <c r="X261" s="818"/>
      <c r="Y261" s="818"/>
      <c r="Z261" s="818"/>
    </row>
    <row r="262" spans="1:26" ht="18.75" hidden="1">
      <c r="A262" s="940"/>
      <c r="B262" s="833"/>
      <c r="C262" s="833"/>
      <c r="D262" s="833"/>
      <c r="E262" s="834" t="s">
        <v>18</v>
      </c>
      <c r="F262" s="833"/>
      <c r="G262" s="941"/>
      <c r="H262" s="158" t="s">
        <v>12</v>
      </c>
      <c r="I262" s="836"/>
      <c r="J262" s="836"/>
      <c r="K262" s="837"/>
      <c r="L262" s="837">
        <f t="shared" ref="L262:N263" si="119">L265+L268</f>
        <v>0</v>
      </c>
      <c r="M262" s="837">
        <f t="shared" si="119"/>
        <v>0</v>
      </c>
      <c r="N262" s="837">
        <f t="shared" si="119"/>
        <v>0</v>
      </c>
      <c r="O262" s="837">
        <f t="shared" si="117"/>
        <v>0</v>
      </c>
      <c r="P262" s="837">
        <f t="shared" si="118"/>
        <v>0</v>
      </c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</row>
    <row r="263" spans="1:26" ht="18.75" hidden="1">
      <c r="A263" s="940"/>
      <c r="B263" s="833"/>
      <c r="C263" s="833"/>
      <c r="D263" s="833"/>
      <c r="E263" s="834" t="s">
        <v>19</v>
      </c>
      <c r="F263" s="833"/>
      <c r="G263" s="941"/>
      <c r="H263" s="158" t="s">
        <v>12</v>
      </c>
      <c r="I263" s="836"/>
      <c r="J263" s="836"/>
      <c r="K263" s="837"/>
      <c r="L263" s="837">
        <f t="shared" ca="1" si="119"/>
        <v>28800</v>
      </c>
      <c r="M263" s="837">
        <f t="shared" ca="1" si="119"/>
        <v>25800</v>
      </c>
      <c r="N263" s="837">
        <f t="shared" ca="1" si="119"/>
        <v>22350</v>
      </c>
      <c r="O263" s="837">
        <f t="shared" ca="1" si="117"/>
        <v>77.604166666666671</v>
      </c>
      <c r="P263" s="837">
        <f t="shared" ca="1" si="118"/>
        <v>86.627906976744185</v>
      </c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</row>
    <row r="264" spans="1:26" ht="18.75">
      <c r="A264" s="942"/>
      <c r="B264" s="827"/>
      <c r="C264" s="943"/>
      <c r="D264" s="828" t="s">
        <v>20</v>
      </c>
      <c r="E264" s="827"/>
      <c r="F264" s="827"/>
      <c r="G264" s="829"/>
      <c r="H264" s="778" t="s">
        <v>12</v>
      </c>
      <c r="I264" s="944"/>
      <c r="J264" s="944"/>
      <c r="K264" s="945"/>
      <c r="L264" s="831">
        <f t="shared" ref="L264:N264" ca="1" si="120">L265+L266</f>
        <v>28800</v>
      </c>
      <c r="M264" s="831">
        <f t="shared" ca="1" si="120"/>
        <v>25800</v>
      </c>
      <c r="N264" s="831">
        <f t="shared" ca="1" si="120"/>
        <v>22350</v>
      </c>
      <c r="O264" s="831">
        <f t="shared" ca="1" si="117"/>
        <v>77.604166666666671</v>
      </c>
      <c r="P264" s="831">
        <f t="shared" ca="1" si="118"/>
        <v>86.627906976744185</v>
      </c>
      <c r="Q264" s="818"/>
      <c r="R264" s="818"/>
      <c r="S264" s="818"/>
      <c r="T264" s="818"/>
      <c r="U264" s="818"/>
      <c r="V264" s="818"/>
      <c r="W264" s="818"/>
      <c r="X264" s="818"/>
      <c r="Y264" s="818"/>
      <c r="Z264" s="818"/>
    </row>
    <row r="265" spans="1:26" ht="19.5" hidden="1">
      <c r="A265" s="940"/>
      <c r="B265" s="833"/>
      <c r="C265" s="946"/>
      <c r="D265" s="833"/>
      <c r="E265" s="834" t="s">
        <v>36</v>
      </c>
      <c r="F265" s="833"/>
      <c r="G265" s="941"/>
      <c r="H265" s="165" t="s">
        <v>12</v>
      </c>
      <c r="I265" s="947"/>
      <c r="J265" s="947"/>
      <c r="K265" s="948"/>
      <c r="L265" s="837">
        <v>0</v>
      </c>
      <c r="M265" s="837">
        <v>0</v>
      </c>
      <c r="N265" s="837">
        <v>0</v>
      </c>
      <c r="O265" s="837">
        <f t="shared" si="117"/>
        <v>0</v>
      </c>
      <c r="P265" s="837">
        <f t="shared" si="118"/>
        <v>0</v>
      </c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</row>
    <row r="266" spans="1:26" ht="19.5" hidden="1">
      <c r="A266" s="940"/>
      <c r="B266" s="833"/>
      <c r="C266" s="946"/>
      <c r="D266" s="833"/>
      <c r="E266" s="834" t="s">
        <v>37</v>
      </c>
      <c r="F266" s="833"/>
      <c r="G266" s="941"/>
      <c r="H266" s="165" t="s">
        <v>12</v>
      </c>
      <c r="I266" s="947"/>
      <c r="J266" s="947"/>
      <c r="K266" s="948"/>
      <c r="L266" s="837">
        <f ca="1">IFERROR(__xludf.DUMMYFUNCTION("IMPORTRANGE(""https://docs.google.com/spreadsheets/d/1MeEWN-I1oV_STSDYn1IFDPWt_1FKiwhDph83XaGc0o0/edit?usp=sharing"",""งบพรบ!CY22"")"),28800)</f>
        <v>28800</v>
      </c>
      <c r="M266" s="837">
        <f ca="1">IFERROR(__xludf.DUMMYFUNCTION("IMPORTRANGE(""https://docs.google.com/spreadsheets/d/1MeEWN-I1oV_STSDYn1IFDPWt_1FKiwhDph83XaGc0o0/edit?usp=sharing"",""งบพรบ!DD22"")"),25800)</f>
        <v>25800</v>
      </c>
      <c r="N266" s="837">
        <f ca="1">IFERROR(__xludf.DUMMYFUNCTION("IMPORTRANGE(""https://docs.google.com/spreadsheets/d/1MeEWN-I1oV_STSDYn1IFDPWt_1FKiwhDph83XaGc0o0/edit?usp=sharing"",""งบพรบ!DF22"")"),22350)</f>
        <v>22350</v>
      </c>
      <c r="O266" s="837">
        <f t="shared" ca="1" si="117"/>
        <v>77.604166666666671</v>
      </c>
      <c r="P266" s="837">
        <f t="shared" ca="1" si="118"/>
        <v>86.627906976744185</v>
      </c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</row>
    <row r="267" spans="1:26" ht="18.75">
      <c r="A267" s="942"/>
      <c r="B267" s="827"/>
      <c r="C267" s="943"/>
      <c r="D267" s="828" t="s">
        <v>21</v>
      </c>
      <c r="E267" s="827"/>
      <c r="F267" s="827"/>
      <c r="G267" s="829"/>
      <c r="H267" s="168" t="s">
        <v>12</v>
      </c>
      <c r="I267" s="944"/>
      <c r="J267" s="944"/>
      <c r="K267" s="945"/>
      <c r="L267" s="831">
        <f t="shared" ref="L267:N267" ca="1" si="121">L268+L269</f>
        <v>0</v>
      </c>
      <c r="M267" s="831">
        <f t="shared" ca="1" si="121"/>
        <v>0</v>
      </c>
      <c r="N267" s="831">
        <f t="shared" ca="1" si="121"/>
        <v>0</v>
      </c>
      <c r="O267" s="831">
        <f t="shared" ca="1" si="117"/>
        <v>0</v>
      </c>
      <c r="P267" s="831">
        <f t="shared" ca="1" si="118"/>
        <v>0</v>
      </c>
      <c r="Q267" s="818"/>
      <c r="R267" s="818"/>
      <c r="S267" s="818"/>
      <c r="T267" s="818"/>
      <c r="U267" s="818"/>
      <c r="V267" s="818"/>
      <c r="W267" s="818"/>
      <c r="X267" s="818"/>
      <c r="Y267" s="818"/>
      <c r="Z267" s="818"/>
    </row>
    <row r="268" spans="1:26" ht="19.5" hidden="1">
      <c r="A268" s="940"/>
      <c r="B268" s="833"/>
      <c r="C268" s="946"/>
      <c r="D268" s="833"/>
      <c r="E268" s="834" t="s">
        <v>18</v>
      </c>
      <c r="F268" s="833"/>
      <c r="G268" s="941"/>
      <c r="H268" s="165" t="s">
        <v>12</v>
      </c>
      <c r="I268" s="947"/>
      <c r="J268" s="947"/>
      <c r="K268" s="948"/>
      <c r="L268" s="837">
        <v>0</v>
      </c>
      <c r="M268" s="837">
        <v>0</v>
      </c>
      <c r="N268" s="837">
        <v>0</v>
      </c>
      <c r="O268" s="837">
        <f t="shared" si="117"/>
        <v>0</v>
      </c>
      <c r="P268" s="837">
        <f t="shared" si="118"/>
        <v>0</v>
      </c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</row>
    <row r="269" spans="1:26" ht="19.5" hidden="1">
      <c r="A269" s="940"/>
      <c r="B269" s="833"/>
      <c r="C269" s="946"/>
      <c r="D269" s="833"/>
      <c r="E269" s="834" t="s">
        <v>19</v>
      </c>
      <c r="F269" s="833"/>
      <c r="G269" s="941"/>
      <c r="H269" s="169" t="s">
        <v>12</v>
      </c>
      <c r="I269" s="947"/>
      <c r="J269" s="947"/>
      <c r="K269" s="948"/>
      <c r="L269" s="837">
        <f ca="1">IFERROR(__xludf.DUMMYFUNCTION("IMPORTRANGE(""https://docs.google.com/spreadsheets/d/1MeEWN-I1oV_STSDYn1IFDPWt_1FKiwhDph83XaGc0o0/edit?usp=sharing"",""งบพรบ!DB22"")"),0)</f>
        <v>0</v>
      </c>
      <c r="M269" s="837">
        <f ca="1">IFERROR(__xludf.DUMMYFUNCTION("IMPORTRANGE(""https://docs.google.com/spreadsheets/d/1MeEWN-I1oV_STSDYn1IFDPWt_1FKiwhDph83XaGc0o0/edit?usp=sharing"",""งบพรบ!DE22"")"),0)</f>
        <v>0</v>
      </c>
      <c r="N269" s="837">
        <f ca="1">IFERROR(__xludf.DUMMYFUNCTION("IMPORTRANGE(""https://docs.google.com/spreadsheets/d/1MeEWN-I1oV_STSDYn1IFDPWt_1FKiwhDph83XaGc0o0/edit?usp=sharing"",""งบพรบ!DG22"")"),0)</f>
        <v>0</v>
      </c>
      <c r="O269" s="837">
        <f t="shared" ca="1" si="117"/>
        <v>0</v>
      </c>
      <c r="P269" s="837">
        <f t="shared" ca="1" si="118"/>
        <v>0</v>
      </c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</row>
    <row r="270" spans="1:26" ht="19.5">
      <c r="A270" s="949"/>
      <c r="B270" s="950"/>
      <c r="C270" s="943" t="s">
        <v>16</v>
      </c>
      <c r="D270" s="951" t="s">
        <v>38</v>
      </c>
      <c r="E270" s="952"/>
      <c r="F270" s="952"/>
      <c r="G270" s="953"/>
      <c r="H270" s="954"/>
      <c r="I270" s="944"/>
      <c r="J270" s="944"/>
      <c r="K270" s="945"/>
      <c r="L270" s="945"/>
      <c r="M270" s="945"/>
      <c r="N270" s="945"/>
      <c r="O270" s="945"/>
      <c r="P270" s="945"/>
    </row>
    <row r="271" spans="1:26" ht="18.75">
      <c r="A271" s="949"/>
      <c r="B271" s="950"/>
      <c r="C271" s="950"/>
      <c r="D271" s="1079" t="s">
        <v>124</v>
      </c>
      <c r="E271" s="957"/>
      <c r="F271" s="1022"/>
      <c r="G271" s="958"/>
      <c r="H271" s="346" t="s">
        <v>35</v>
      </c>
      <c r="I271" s="830">
        <f ca="1">IFERROR(__xludf.DUMMYFUNCTION("IMPORTRANGE(""https://docs.google.com/spreadsheets/d/1QqKyyYR6Q21VydFLVH3TRQUabQu_ym0Zz7PgGX0-kHA/edit?usp=sharing"",""แผน!EA22"")"),24)</f>
        <v>24</v>
      </c>
      <c r="J271" s="959">
        <v>24</v>
      </c>
      <c r="K271" s="945">
        <f ca="1">IF(I271&gt;0,J271*100/I271,0)</f>
        <v>100</v>
      </c>
      <c r="L271" s="945"/>
      <c r="M271" s="945"/>
      <c r="N271" s="945"/>
      <c r="O271" s="945"/>
      <c r="P271" s="945"/>
    </row>
    <row r="272" spans="1:26" ht="18.75" hidden="1">
      <c r="A272" s="1080"/>
      <c r="B272" s="1081"/>
      <c r="C272" s="1081"/>
      <c r="D272" s="1082" t="s">
        <v>125</v>
      </c>
      <c r="E272" s="1083"/>
      <c r="F272" s="1083"/>
      <c r="G272" s="1084"/>
      <c r="H272" s="50" t="s">
        <v>35</v>
      </c>
      <c r="I272" s="1085">
        <v>0</v>
      </c>
      <c r="J272" s="1085">
        <v>0</v>
      </c>
      <c r="K272" s="1086">
        <v>0</v>
      </c>
      <c r="L272" s="1086"/>
      <c r="M272" s="1086"/>
      <c r="N272" s="1086"/>
      <c r="O272" s="1086"/>
      <c r="P272" s="1086"/>
    </row>
    <row r="273" spans="1:26" ht="19.5">
      <c r="A273" s="1087" t="s">
        <v>126</v>
      </c>
      <c r="B273" s="1088"/>
      <c r="C273" s="1088"/>
      <c r="D273" s="1088"/>
      <c r="E273" s="1089"/>
      <c r="F273" s="1089"/>
      <c r="G273" s="1090"/>
      <c r="H273" s="1091"/>
      <c r="I273" s="1092"/>
      <c r="J273" s="1092"/>
      <c r="K273" s="1093"/>
      <c r="L273" s="1093"/>
      <c r="M273" s="1093"/>
      <c r="N273" s="1093"/>
      <c r="O273" s="1093"/>
      <c r="P273" s="1093"/>
    </row>
    <row r="274" spans="1:26" ht="19.5">
      <c r="A274" s="1094" t="s">
        <v>127</v>
      </c>
      <c r="B274" s="1095"/>
      <c r="C274" s="1096"/>
      <c r="D274" s="1095"/>
      <c r="E274" s="1095"/>
      <c r="F274" s="1095"/>
      <c r="G274" s="1095"/>
      <c r="H274" s="1097"/>
      <c r="I274" s="1098"/>
      <c r="J274" s="1099"/>
      <c r="K274" s="1100"/>
      <c r="L274" s="1100"/>
      <c r="M274" s="1100"/>
      <c r="N274" s="1100"/>
      <c r="O274" s="1100"/>
      <c r="P274" s="1100"/>
    </row>
    <row r="275" spans="1:26" ht="19.5">
      <c r="A275" s="1101"/>
      <c r="B275" s="1102" t="s">
        <v>128</v>
      </c>
      <c r="C275" s="1103"/>
      <c r="D275" s="1104"/>
      <c r="E275" s="1103"/>
      <c r="F275" s="1103"/>
      <c r="G275" s="1105"/>
      <c r="H275" s="374" t="s">
        <v>35</v>
      </c>
      <c r="I275" s="1106">
        <f t="shared" ref="I275:J275" ca="1" si="122">I288</f>
        <v>10</v>
      </c>
      <c r="J275" s="1106">
        <f t="shared" ca="1" si="122"/>
        <v>0</v>
      </c>
      <c r="K275" s="1107">
        <f t="shared" ref="K275:K276" ca="1" si="123">IF(I275&gt;0,J275*100/I275,0)</f>
        <v>0</v>
      </c>
      <c r="L275" s="1108"/>
      <c r="M275" s="1108"/>
      <c r="N275" s="1108"/>
      <c r="O275" s="1108"/>
      <c r="P275" s="1108"/>
    </row>
    <row r="276" spans="1:26" ht="19.5">
      <c r="A276" s="1101"/>
      <c r="B276" s="1102"/>
      <c r="C276" s="1103"/>
      <c r="D276" s="1104"/>
      <c r="E276" s="1103"/>
      <c r="F276" s="1103"/>
      <c r="G276" s="1105"/>
      <c r="H276" s="374" t="s">
        <v>46</v>
      </c>
      <c r="I276" s="1106">
        <f t="shared" ref="I276:J276" ca="1" si="124">I287</f>
        <v>100</v>
      </c>
      <c r="J276" s="1106">
        <f t="shared" si="124"/>
        <v>100</v>
      </c>
      <c r="K276" s="1107">
        <f t="shared" ca="1" si="123"/>
        <v>100</v>
      </c>
      <c r="L276" s="1108"/>
      <c r="M276" s="1108"/>
      <c r="N276" s="1108"/>
      <c r="O276" s="1108"/>
      <c r="P276" s="1108"/>
    </row>
    <row r="277" spans="1:26" ht="19.5">
      <c r="A277" s="932"/>
      <c r="B277" s="933"/>
      <c r="C277" s="934" t="s">
        <v>16</v>
      </c>
      <c r="D277" s="935" t="s">
        <v>17</v>
      </c>
      <c r="E277" s="933"/>
      <c r="F277" s="933"/>
      <c r="G277" s="936"/>
      <c r="H277" s="152" t="s">
        <v>12</v>
      </c>
      <c r="I277" s="937"/>
      <c r="J277" s="937"/>
      <c r="K277" s="938"/>
      <c r="L277" s="939">
        <f t="shared" ref="L277:N277" ca="1" si="125">L278+L279</f>
        <v>41010</v>
      </c>
      <c r="M277" s="939">
        <f t="shared" ca="1" si="125"/>
        <v>21950</v>
      </c>
      <c r="N277" s="939">
        <f t="shared" ca="1" si="125"/>
        <v>20060</v>
      </c>
      <c r="O277" s="939">
        <f t="shared" ref="O277:O285" ca="1" si="126">IF(L277&gt;0,N277*100/L277,0)</f>
        <v>48.914898805169472</v>
      </c>
      <c r="P277" s="939">
        <f t="shared" ref="P277:P285" ca="1" si="127">IF(M277&gt;0,N277*100/M277,0)</f>
        <v>91.389521640091118</v>
      </c>
      <c r="Q277" s="818"/>
      <c r="R277" s="818"/>
      <c r="S277" s="818"/>
      <c r="T277" s="818"/>
      <c r="U277" s="818"/>
      <c r="V277" s="818"/>
      <c r="W277" s="818"/>
      <c r="X277" s="818"/>
      <c r="Y277" s="818"/>
      <c r="Z277" s="818"/>
    </row>
    <row r="278" spans="1:26" ht="18.75" hidden="1">
      <c r="A278" s="940"/>
      <c r="B278" s="833"/>
      <c r="C278" s="833"/>
      <c r="D278" s="833"/>
      <c r="E278" s="834" t="s">
        <v>18</v>
      </c>
      <c r="F278" s="833"/>
      <c r="G278" s="941"/>
      <c r="H278" s="158" t="s">
        <v>12</v>
      </c>
      <c r="I278" s="836"/>
      <c r="J278" s="836"/>
      <c r="K278" s="837"/>
      <c r="L278" s="837">
        <f t="shared" ref="L278:N279" si="128">L281+L284</f>
        <v>0</v>
      </c>
      <c r="M278" s="837">
        <f t="shared" si="128"/>
        <v>0</v>
      </c>
      <c r="N278" s="837">
        <f t="shared" si="128"/>
        <v>0</v>
      </c>
      <c r="O278" s="837">
        <f t="shared" si="126"/>
        <v>0</v>
      </c>
      <c r="P278" s="837">
        <f t="shared" si="127"/>
        <v>0</v>
      </c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</row>
    <row r="279" spans="1:26" ht="18.75" hidden="1">
      <c r="A279" s="940"/>
      <c r="B279" s="833"/>
      <c r="C279" s="833"/>
      <c r="D279" s="833"/>
      <c r="E279" s="834" t="s">
        <v>19</v>
      </c>
      <c r="F279" s="833"/>
      <c r="G279" s="941"/>
      <c r="H279" s="158" t="s">
        <v>12</v>
      </c>
      <c r="I279" s="836"/>
      <c r="J279" s="836"/>
      <c r="K279" s="837"/>
      <c r="L279" s="837">
        <f t="shared" ca="1" si="128"/>
        <v>41010</v>
      </c>
      <c r="M279" s="837">
        <f t="shared" ca="1" si="128"/>
        <v>21950</v>
      </c>
      <c r="N279" s="837">
        <f t="shared" ca="1" si="128"/>
        <v>20060</v>
      </c>
      <c r="O279" s="837">
        <f t="shared" ca="1" si="126"/>
        <v>48.914898805169472</v>
      </c>
      <c r="P279" s="837">
        <f t="shared" ca="1" si="127"/>
        <v>91.389521640091118</v>
      </c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</row>
    <row r="280" spans="1:26" ht="18.75">
      <c r="A280" s="942"/>
      <c r="B280" s="827"/>
      <c r="C280" s="943"/>
      <c r="D280" s="828" t="s">
        <v>20</v>
      </c>
      <c r="E280" s="827"/>
      <c r="F280" s="827"/>
      <c r="G280" s="829"/>
      <c r="H280" s="778" t="s">
        <v>12</v>
      </c>
      <c r="I280" s="944"/>
      <c r="J280" s="944"/>
      <c r="K280" s="945"/>
      <c r="L280" s="831">
        <f t="shared" ref="L280:N280" ca="1" si="129">L281+L282</f>
        <v>41010</v>
      </c>
      <c r="M280" s="831">
        <f t="shared" ca="1" si="129"/>
        <v>21950</v>
      </c>
      <c r="N280" s="831">
        <f t="shared" ca="1" si="129"/>
        <v>20060</v>
      </c>
      <c r="O280" s="831">
        <f t="shared" ca="1" si="126"/>
        <v>48.914898805169472</v>
      </c>
      <c r="P280" s="831">
        <f t="shared" ca="1" si="127"/>
        <v>91.389521640091118</v>
      </c>
      <c r="Q280" s="818"/>
      <c r="R280" s="818"/>
      <c r="S280" s="818"/>
      <c r="T280" s="818"/>
      <c r="U280" s="818"/>
      <c r="V280" s="818"/>
      <c r="W280" s="818"/>
      <c r="X280" s="818"/>
      <c r="Y280" s="818"/>
      <c r="Z280" s="818"/>
    </row>
    <row r="281" spans="1:26" ht="19.5" hidden="1">
      <c r="A281" s="940"/>
      <c r="B281" s="833"/>
      <c r="C281" s="946"/>
      <c r="D281" s="833"/>
      <c r="E281" s="834" t="s">
        <v>36</v>
      </c>
      <c r="F281" s="833"/>
      <c r="G281" s="941"/>
      <c r="H281" s="165" t="s">
        <v>12</v>
      </c>
      <c r="I281" s="947"/>
      <c r="J281" s="947"/>
      <c r="K281" s="948"/>
      <c r="L281" s="837">
        <v>0</v>
      </c>
      <c r="M281" s="837">
        <v>0</v>
      </c>
      <c r="N281" s="837">
        <v>0</v>
      </c>
      <c r="O281" s="837">
        <f t="shared" si="126"/>
        <v>0</v>
      </c>
      <c r="P281" s="837">
        <f t="shared" si="127"/>
        <v>0</v>
      </c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</row>
    <row r="282" spans="1:26" ht="19.5" hidden="1">
      <c r="A282" s="940"/>
      <c r="B282" s="833"/>
      <c r="C282" s="946"/>
      <c r="D282" s="833"/>
      <c r="E282" s="834" t="s">
        <v>37</v>
      </c>
      <c r="F282" s="833"/>
      <c r="G282" s="941"/>
      <c r="H282" s="165" t="s">
        <v>12</v>
      </c>
      <c r="I282" s="947"/>
      <c r="J282" s="947"/>
      <c r="K282" s="948"/>
      <c r="L282" s="837">
        <f ca="1">IFERROR(__xludf.DUMMYFUNCTION("IMPORTRANGE(""https://docs.google.com/spreadsheets/d/1MeEWN-I1oV_STSDYn1IFDPWt_1FKiwhDph83XaGc0o0/edit?usp=sharing"",""งบพรบ!DI22"")"),41010)</f>
        <v>41010</v>
      </c>
      <c r="M282" s="837">
        <f ca="1">IFERROR(__xludf.DUMMYFUNCTION("IMPORTRANGE(""https://docs.google.com/spreadsheets/d/1MeEWN-I1oV_STSDYn1IFDPWt_1FKiwhDph83XaGc0o0/edit?usp=sharing"",""งบพรบ!DN22"")"),21950)</f>
        <v>21950</v>
      </c>
      <c r="N282" s="837">
        <f ca="1">IFERROR(__xludf.DUMMYFUNCTION("IMPORTRANGE(""https://docs.google.com/spreadsheets/d/1MeEWN-I1oV_STSDYn1IFDPWt_1FKiwhDph83XaGc0o0/edit?usp=sharing"",""งบพรบ!DP22"")"),20060)</f>
        <v>20060</v>
      </c>
      <c r="O282" s="837">
        <f t="shared" ca="1" si="126"/>
        <v>48.914898805169472</v>
      </c>
      <c r="P282" s="837">
        <f t="shared" ca="1" si="127"/>
        <v>91.389521640091118</v>
      </c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</row>
    <row r="283" spans="1:26" ht="18.75">
      <c r="A283" s="942"/>
      <c r="B283" s="827"/>
      <c r="C283" s="943"/>
      <c r="D283" s="828" t="s">
        <v>21</v>
      </c>
      <c r="E283" s="827"/>
      <c r="F283" s="827"/>
      <c r="G283" s="829"/>
      <c r="H283" s="168" t="s">
        <v>12</v>
      </c>
      <c r="I283" s="944"/>
      <c r="J283" s="944"/>
      <c r="K283" s="945"/>
      <c r="L283" s="831">
        <f t="shared" ref="L283:N283" ca="1" si="130">L284+L285</f>
        <v>0</v>
      </c>
      <c r="M283" s="831">
        <f t="shared" ca="1" si="130"/>
        <v>0</v>
      </c>
      <c r="N283" s="831">
        <f t="shared" ca="1" si="130"/>
        <v>0</v>
      </c>
      <c r="O283" s="831">
        <f t="shared" ca="1" si="126"/>
        <v>0</v>
      </c>
      <c r="P283" s="831">
        <f t="shared" ca="1" si="127"/>
        <v>0</v>
      </c>
      <c r="Q283" s="818"/>
      <c r="R283" s="818"/>
      <c r="S283" s="818"/>
      <c r="T283" s="818"/>
      <c r="U283" s="818"/>
      <c r="V283" s="818"/>
      <c r="W283" s="818"/>
      <c r="X283" s="818"/>
      <c r="Y283" s="818"/>
      <c r="Z283" s="818"/>
    </row>
    <row r="284" spans="1:26" ht="19.5" hidden="1">
      <c r="A284" s="940"/>
      <c r="B284" s="833"/>
      <c r="C284" s="946"/>
      <c r="D284" s="833"/>
      <c r="E284" s="834" t="s">
        <v>18</v>
      </c>
      <c r="F284" s="833"/>
      <c r="G284" s="941"/>
      <c r="H284" s="165" t="s">
        <v>12</v>
      </c>
      <c r="I284" s="947"/>
      <c r="J284" s="947"/>
      <c r="K284" s="948"/>
      <c r="L284" s="837">
        <v>0</v>
      </c>
      <c r="M284" s="837">
        <v>0</v>
      </c>
      <c r="N284" s="837">
        <v>0</v>
      </c>
      <c r="O284" s="837">
        <f t="shared" si="126"/>
        <v>0</v>
      </c>
      <c r="P284" s="837">
        <f t="shared" si="127"/>
        <v>0</v>
      </c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</row>
    <row r="285" spans="1:26" ht="19.5" hidden="1">
      <c r="A285" s="940"/>
      <c r="B285" s="833"/>
      <c r="C285" s="946"/>
      <c r="D285" s="833"/>
      <c r="E285" s="834" t="s">
        <v>19</v>
      </c>
      <c r="F285" s="833"/>
      <c r="G285" s="941"/>
      <c r="H285" s="169" t="s">
        <v>12</v>
      </c>
      <c r="I285" s="947"/>
      <c r="J285" s="947"/>
      <c r="K285" s="948"/>
      <c r="L285" s="837">
        <f ca="1">IFERROR(__xludf.DUMMYFUNCTION("IMPORTRANGE(""https://docs.google.com/spreadsheets/d/1MeEWN-I1oV_STSDYn1IFDPWt_1FKiwhDph83XaGc0o0/edit?usp=sharing"",""งบพรบ!DL22"")"),0)</f>
        <v>0</v>
      </c>
      <c r="M285" s="837">
        <f ca="1">IFERROR(__xludf.DUMMYFUNCTION("IMPORTRANGE(""https://docs.google.com/spreadsheets/d/1MeEWN-I1oV_STSDYn1IFDPWt_1FKiwhDph83XaGc0o0/edit?usp=sharing"",""งบพรบ!DO22"")"),0)</f>
        <v>0</v>
      </c>
      <c r="N285" s="837">
        <f ca="1">IFERROR(__xludf.DUMMYFUNCTION("IMPORTRANGE(""https://docs.google.com/spreadsheets/d/1MeEWN-I1oV_STSDYn1IFDPWt_1FKiwhDph83XaGc0o0/edit?usp=sharing"",""งบพรบ!DQ22"")"),0)</f>
        <v>0</v>
      </c>
      <c r="O285" s="837">
        <f t="shared" ca="1" si="126"/>
        <v>0</v>
      </c>
      <c r="P285" s="837">
        <f t="shared" ca="1" si="127"/>
        <v>0</v>
      </c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</row>
    <row r="286" spans="1:26" ht="19.5">
      <c r="A286" s="949"/>
      <c r="B286" s="950"/>
      <c r="C286" s="946" t="s">
        <v>16</v>
      </c>
      <c r="D286" s="951" t="s">
        <v>38</v>
      </c>
      <c r="E286" s="952"/>
      <c r="F286" s="952"/>
      <c r="G286" s="953"/>
      <c r="H286" s="954"/>
      <c r="I286" s="944"/>
      <c r="J286" s="944"/>
      <c r="K286" s="945"/>
      <c r="L286" s="945"/>
      <c r="M286" s="945"/>
      <c r="N286" s="945"/>
      <c r="O286" s="945"/>
      <c r="P286" s="945"/>
    </row>
    <row r="287" spans="1:26" ht="18.75">
      <c r="A287" s="949"/>
      <c r="B287" s="950"/>
      <c r="C287" s="950"/>
      <c r="D287" s="961" t="s">
        <v>129</v>
      </c>
      <c r="E287" s="950"/>
      <c r="F287" s="957"/>
      <c r="G287" s="958"/>
      <c r="H287" s="777" t="s">
        <v>46</v>
      </c>
      <c r="I287" s="830">
        <f ca="1">IFERROR(__xludf.DUMMYFUNCTION("IMPORTRANGE(""https://docs.google.com/spreadsheets/d/1QqKyyYR6Q21VydFLVH3TRQUabQu_ym0Zz7PgGX0-kHA/edit?usp=sharing"",""แผน!EC22"")"),100)</f>
        <v>100</v>
      </c>
      <c r="J287" s="959">
        <v>100</v>
      </c>
      <c r="K287" s="945">
        <f t="shared" ref="K287:K288" ca="1" si="131">IF(I287&gt;0,J287*100/I287,0)</f>
        <v>100</v>
      </c>
      <c r="L287" s="945"/>
      <c r="M287" s="945"/>
      <c r="N287" s="945"/>
      <c r="O287" s="945"/>
      <c r="P287" s="945"/>
    </row>
    <row r="288" spans="1:26" ht="19.5">
      <c r="A288" s="949"/>
      <c r="B288" s="950"/>
      <c r="C288" s="950"/>
      <c r="D288" s="961" t="s">
        <v>130</v>
      </c>
      <c r="E288" s="950"/>
      <c r="F288" s="957"/>
      <c r="G288" s="958"/>
      <c r="H288" s="180" t="s">
        <v>35</v>
      </c>
      <c r="I288" s="966">
        <f ca="1">IFERROR(__xludf.DUMMYFUNCTION("IMPORTRANGE(""https://docs.google.com/spreadsheets/d/1QqKyyYR6Q21VydFLVH3TRQUabQu_ym0Zz7PgGX0-kHA/edit?usp=sharing"",""แผน!EB22"")"),10)</f>
        <v>10</v>
      </c>
      <c r="J288" s="966">
        <f ca="1">IF(AND(J291&gt;=I288,J294&gt;=I288),J294,0)</f>
        <v>0</v>
      </c>
      <c r="K288" s="1109">
        <f t="shared" ca="1" si="131"/>
        <v>0</v>
      </c>
      <c r="L288" s="945"/>
      <c r="M288" s="945"/>
      <c r="N288" s="945"/>
      <c r="O288" s="945"/>
      <c r="P288" s="945"/>
    </row>
    <row r="289" spans="1:26" ht="19.5">
      <c r="A289" s="949"/>
      <c r="B289" s="950"/>
      <c r="C289" s="950"/>
      <c r="D289" s="1110"/>
      <c r="E289" s="1111" t="s">
        <v>131</v>
      </c>
      <c r="F289" s="957"/>
      <c r="G289" s="958"/>
      <c r="H289" s="730"/>
      <c r="I289" s="944"/>
      <c r="J289" s="830"/>
      <c r="K289" s="945"/>
      <c r="L289" s="945"/>
      <c r="M289" s="945"/>
      <c r="N289" s="945"/>
      <c r="O289" s="945"/>
      <c r="P289" s="945"/>
    </row>
    <row r="290" spans="1:26" ht="19.5">
      <c r="A290" s="949"/>
      <c r="B290" s="950"/>
      <c r="C290" s="950"/>
      <c r="D290" s="1110"/>
      <c r="E290" s="961" t="s">
        <v>132</v>
      </c>
      <c r="F290" s="957"/>
      <c r="G290" s="958"/>
      <c r="H290" s="730" t="s">
        <v>35</v>
      </c>
      <c r="I290" s="944">
        <f ca="1">IFERROR(__xludf.DUMMYFUNCTION("IMPORTRANGE(""https://docs.google.com/spreadsheets/d/1QqKyyYR6Q21VydFLVH3TRQUabQu_ym0Zz7PgGX0-kHA/edit?usp=sharing"",""แผน!EB22"")"),10)</f>
        <v>10</v>
      </c>
      <c r="J290" s="959">
        <v>0</v>
      </c>
      <c r="K290" s="945">
        <f t="shared" ref="K290:K291" ca="1" si="132">IF(I290&gt;0,J290*100/I290,0)</f>
        <v>0</v>
      </c>
      <c r="L290" s="945"/>
      <c r="M290" s="945"/>
      <c r="N290" s="945"/>
      <c r="O290" s="945"/>
      <c r="P290" s="945"/>
    </row>
    <row r="291" spans="1:26" ht="19.5">
      <c r="A291" s="949"/>
      <c r="B291" s="950"/>
      <c r="C291" s="950"/>
      <c r="D291" s="957"/>
      <c r="E291" s="961" t="s">
        <v>133</v>
      </c>
      <c r="F291" s="957"/>
      <c r="G291" s="958"/>
      <c r="H291" s="730" t="s">
        <v>35</v>
      </c>
      <c r="I291" s="944">
        <f ca="1">IFERROR(__xludf.DUMMYFUNCTION("IMPORTRANGE(""https://docs.google.com/spreadsheets/d/1QqKyyYR6Q21VydFLVH3TRQUabQu_ym0Zz7PgGX0-kHA/edit?usp=sharing"",""แผน!EB22"")"),10)</f>
        <v>10</v>
      </c>
      <c r="J291" s="959">
        <v>0</v>
      </c>
      <c r="K291" s="945">
        <f t="shared" ca="1" si="132"/>
        <v>0</v>
      </c>
      <c r="L291" s="945"/>
      <c r="M291" s="945"/>
      <c r="N291" s="945"/>
      <c r="O291" s="945"/>
      <c r="P291" s="945"/>
    </row>
    <row r="292" spans="1:26" ht="19.5">
      <c r="A292" s="1112"/>
      <c r="B292" s="1113"/>
      <c r="C292" s="1113"/>
      <c r="D292" s="1114"/>
      <c r="E292" s="1115" t="s">
        <v>134</v>
      </c>
      <c r="F292" s="1034"/>
      <c r="G292" s="1035"/>
      <c r="H292" s="387"/>
      <c r="I292" s="1028"/>
      <c r="J292" s="937"/>
      <c r="K292" s="1029"/>
      <c r="L292" s="1029"/>
      <c r="M292" s="1029"/>
      <c r="N292" s="1029"/>
      <c r="O292" s="1029"/>
      <c r="P292" s="1029"/>
    </row>
    <row r="293" spans="1:26" ht="19.5">
      <c r="A293" s="949"/>
      <c r="B293" s="950"/>
      <c r="C293" s="950"/>
      <c r="D293" s="1110"/>
      <c r="E293" s="961" t="s">
        <v>132</v>
      </c>
      <c r="F293" s="957"/>
      <c r="G293" s="958"/>
      <c r="H293" s="730" t="s">
        <v>35</v>
      </c>
      <c r="I293" s="944">
        <f ca="1">IFERROR(__xludf.DUMMYFUNCTION("IMPORTRANGE(""https://docs.google.com/spreadsheets/d/1QqKyyYR6Q21VydFLVH3TRQUabQu_ym0Zz7PgGX0-kHA/edit?usp=sharing"",""แผน!EB22"")"),10)</f>
        <v>10</v>
      </c>
      <c r="J293" s="959">
        <v>10</v>
      </c>
      <c r="K293" s="945">
        <f t="shared" ref="K293:K294" ca="1" si="133">IF(I293&gt;0,J293*100/I293,0)</f>
        <v>100</v>
      </c>
      <c r="L293" s="945"/>
      <c r="M293" s="945"/>
      <c r="N293" s="945"/>
      <c r="O293" s="945"/>
      <c r="P293" s="945"/>
    </row>
    <row r="294" spans="1:26" ht="19.5">
      <c r="A294" s="1080"/>
      <c r="B294" s="1081"/>
      <c r="C294" s="1081"/>
      <c r="D294" s="1083"/>
      <c r="E294" s="1116" t="s">
        <v>136</v>
      </c>
      <c r="F294" s="1083"/>
      <c r="G294" s="1084"/>
      <c r="H294" s="391" t="s">
        <v>35</v>
      </c>
      <c r="I294" s="1117">
        <f ca="1">IFERROR(__xludf.DUMMYFUNCTION("IMPORTRANGE(""https://docs.google.com/spreadsheets/d/1QqKyyYR6Q21VydFLVH3TRQUabQu_ym0Zz7PgGX0-kHA/edit?usp=sharing"",""แผน!EB22"")"),10)</f>
        <v>10</v>
      </c>
      <c r="J294" s="1118">
        <v>10</v>
      </c>
      <c r="K294" s="1086">
        <f t="shared" ca="1" si="133"/>
        <v>100</v>
      </c>
      <c r="L294" s="1086"/>
      <c r="M294" s="1086"/>
      <c r="N294" s="1086"/>
      <c r="O294" s="1086"/>
      <c r="P294" s="1086"/>
    </row>
    <row r="295" spans="1:26" ht="19.5">
      <c r="A295" s="1119" t="s">
        <v>137</v>
      </c>
      <c r="B295" s="1120"/>
      <c r="C295" s="1120"/>
      <c r="D295" s="1120"/>
      <c r="E295" s="1121"/>
      <c r="F295" s="1121"/>
      <c r="G295" s="1122"/>
      <c r="H295" s="1123"/>
      <c r="I295" s="1124"/>
      <c r="J295" s="1124"/>
      <c r="K295" s="1125"/>
      <c r="L295" s="1125"/>
      <c r="M295" s="1125"/>
      <c r="N295" s="1125"/>
      <c r="O295" s="1125"/>
      <c r="P295" s="1125"/>
    </row>
    <row r="296" spans="1:26" ht="19.5" hidden="1">
      <c r="A296" s="1126" t="s">
        <v>138</v>
      </c>
      <c r="B296" s="1127"/>
      <c r="C296" s="1127"/>
      <c r="D296" s="1128"/>
      <c r="E296" s="1128"/>
      <c r="F296" s="1128"/>
      <c r="G296" s="1129"/>
      <c r="H296" s="1130"/>
      <c r="I296" s="1131"/>
      <c r="J296" s="1131"/>
      <c r="K296" s="1132"/>
      <c r="L296" s="1132"/>
      <c r="M296" s="1132"/>
      <c r="N296" s="1132"/>
      <c r="O296" s="1132"/>
      <c r="P296" s="1132"/>
    </row>
    <row r="297" spans="1:26" ht="19.5" hidden="1">
      <c r="A297" s="1133"/>
      <c r="B297" s="1134" t="s">
        <v>139</v>
      </c>
      <c r="C297" s="1135"/>
      <c r="D297" s="1135"/>
      <c r="E297" s="1135"/>
      <c r="F297" s="1135"/>
      <c r="G297" s="1136"/>
      <c r="H297" s="412" t="s">
        <v>35</v>
      </c>
      <c r="I297" s="1137">
        <f t="shared" ref="I297:J297" ca="1" si="134">I309</f>
        <v>0</v>
      </c>
      <c r="J297" s="1137">
        <f t="shared" si="134"/>
        <v>0</v>
      </c>
      <c r="K297" s="1138">
        <f ca="1">IF(I297&gt;0,J297*100/I297,0)</f>
        <v>0</v>
      </c>
      <c r="L297" s="1139"/>
      <c r="M297" s="1139"/>
      <c r="N297" s="1139"/>
      <c r="O297" s="1139"/>
      <c r="P297" s="1139"/>
    </row>
    <row r="298" spans="1:26" ht="19.5" hidden="1">
      <c r="A298" s="932"/>
      <c r="B298" s="933"/>
      <c r="C298" s="934" t="s">
        <v>16</v>
      </c>
      <c r="D298" s="935" t="s">
        <v>17</v>
      </c>
      <c r="E298" s="933"/>
      <c r="F298" s="933"/>
      <c r="G298" s="936"/>
      <c r="H298" s="152" t="s">
        <v>12</v>
      </c>
      <c r="I298" s="937"/>
      <c r="J298" s="937"/>
      <c r="K298" s="938"/>
      <c r="L298" s="939">
        <f t="shared" ref="L298:N298" ca="1" si="135">L299+L300</f>
        <v>0</v>
      </c>
      <c r="M298" s="939">
        <f t="shared" ca="1" si="135"/>
        <v>0</v>
      </c>
      <c r="N298" s="939">
        <f t="shared" ca="1" si="135"/>
        <v>0</v>
      </c>
      <c r="O298" s="939">
        <f t="shared" ref="O298:O306" ca="1" si="136">IF(L298&gt;0,N298*100/L298,0)</f>
        <v>0</v>
      </c>
      <c r="P298" s="939">
        <f t="shared" ref="P298:P306" ca="1" si="137">IF(M298&gt;0,N298*100/M298,0)</f>
        <v>0</v>
      </c>
      <c r="Q298" s="818"/>
      <c r="R298" s="818"/>
      <c r="S298" s="818"/>
      <c r="T298" s="818"/>
      <c r="U298" s="818"/>
      <c r="V298" s="818"/>
      <c r="W298" s="818"/>
      <c r="X298" s="818"/>
      <c r="Y298" s="818"/>
      <c r="Z298" s="818"/>
    </row>
    <row r="299" spans="1:26" ht="18.75" hidden="1">
      <c r="A299" s="940"/>
      <c r="B299" s="833"/>
      <c r="C299" s="833"/>
      <c r="D299" s="833"/>
      <c r="E299" s="834" t="s">
        <v>18</v>
      </c>
      <c r="F299" s="833"/>
      <c r="G299" s="941"/>
      <c r="H299" s="158" t="s">
        <v>12</v>
      </c>
      <c r="I299" s="836"/>
      <c r="J299" s="836"/>
      <c r="K299" s="837"/>
      <c r="L299" s="837">
        <f t="shared" ref="L299:N300" si="138">L302+L305</f>
        <v>0</v>
      </c>
      <c r="M299" s="837">
        <f t="shared" si="138"/>
        <v>0</v>
      </c>
      <c r="N299" s="837">
        <f t="shared" si="138"/>
        <v>0</v>
      </c>
      <c r="O299" s="837">
        <f t="shared" si="136"/>
        <v>0</v>
      </c>
      <c r="P299" s="837">
        <f t="shared" si="137"/>
        <v>0</v>
      </c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</row>
    <row r="300" spans="1:26" ht="18.75" hidden="1">
      <c r="A300" s="940"/>
      <c r="B300" s="833"/>
      <c r="C300" s="833"/>
      <c r="D300" s="833"/>
      <c r="E300" s="834" t="s">
        <v>19</v>
      </c>
      <c r="F300" s="833"/>
      <c r="G300" s="941"/>
      <c r="H300" s="158" t="s">
        <v>12</v>
      </c>
      <c r="I300" s="836"/>
      <c r="J300" s="836"/>
      <c r="K300" s="837"/>
      <c r="L300" s="837">
        <f t="shared" ca="1" si="138"/>
        <v>0</v>
      </c>
      <c r="M300" s="837">
        <f t="shared" ca="1" si="138"/>
        <v>0</v>
      </c>
      <c r="N300" s="837">
        <f t="shared" ca="1" si="138"/>
        <v>0</v>
      </c>
      <c r="O300" s="837">
        <f t="shared" ca="1" si="136"/>
        <v>0</v>
      </c>
      <c r="P300" s="837">
        <f t="shared" ca="1" si="137"/>
        <v>0</v>
      </c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</row>
    <row r="301" spans="1:26" ht="18.75" hidden="1">
      <c r="A301" s="942"/>
      <c r="B301" s="827"/>
      <c r="C301" s="943"/>
      <c r="D301" s="828" t="s">
        <v>20</v>
      </c>
      <c r="E301" s="827"/>
      <c r="F301" s="827"/>
      <c r="G301" s="829"/>
      <c r="H301" s="778" t="s">
        <v>12</v>
      </c>
      <c r="I301" s="944"/>
      <c r="J301" s="944"/>
      <c r="K301" s="945"/>
      <c r="L301" s="831">
        <f t="shared" ref="L301:N301" ca="1" si="139">L302+L303</f>
        <v>0</v>
      </c>
      <c r="M301" s="831">
        <f t="shared" ca="1" si="139"/>
        <v>0</v>
      </c>
      <c r="N301" s="831">
        <f t="shared" ca="1" si="139"/>
        <v>0</v>
      </c>
      <c r="O301" s="831">
        <f t="shared" ca="1" si="136"/>
        <v>0</v>
      </c>
      <c r="P301" s="831">
        <f t="shared" ca="1" si="137"/>
        <v>0</v>
      </c>
      <c r="Q301" s="818"/>
      <c r="R301" s="818"/>
      <c r="S301" s="818"/>
      <c r="T301" s="818"/>
      <c r="U301" s="818"/>
      <c r="V301" s="818"/>
      <c r="W301" s="818"/>
      <c r="X301" s="818"/>
      <c r="Y301" s="818"/>
      <c r="Z301" s="818"/>
    </row>
    <row r="302" spans="1:26" ht="19.5" hidden="1">
      <c r="A302" s="940"/>
      <c r="B302" s="833"/>
      <c r="C302" s="946"/>
      <c r="D302" s="833"/>
      <c r="E302" s="834" t="s">
        <v>36</v>
      </c>
      <c r="F302" s="833"/>
      <c r="G302" s="941"/>
      <c r="H302" s="165" t="s">
        <v>12</v>
      </c>
      <c r="I302" s="947"/>
      <c r="J302" s="947"/>
      <c r="K302" s="948"/>
      <c r="L302" s="837">
        <v>0</v>
      </c>
      <c r="M302" s="837">
        <v>0</v>
      </c>
      <c r="N302" s="837">
        <v>0</v>
      </c>
      <c r="O302" s="837">
        <f t="shared" si="136"/>
        <v>0</v>
      </c>
      <c r="P302" s="837">
        <f t="shared" si="137"/>
        <v>0</v>
      </c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</row>
    <row r="303" spans="1:26" ht="19.5" hidden="1">
      <c r="A303" s="940"/>
      <c r="B303" s="833"/>
      <c r="C303" s="946"/>
      <c r="D303" s="833"/>
      <c r="E303" s="834" t="s">
        <v>37</v>
      </c>
      <c r="F303" s="833"/>
      <c r="G303" s="941"/>
      <c r="H303" s="165" t="s">
        <v>12</v>
      </c>
      <c r="I303" s="947"/>
      <c r="J303" s="947"/>
      <c r="K303" s="948"/>
      <c r="L303" s="837">
        <f ca="1">IFERROR(__xludf.DUMMYFUNCTION("IMPORTRANGE(""https://docs.google.com/spreadsheets/d/1MeEWN-I1oV_STSDYn1IFDPWt_1FKiwhDph83XaGc0o0/edit?usp=sharing"",""งบพรบ!DS22"")"),0)</f>
        <v>0</v>
      </c>
      <c r="M303" s="837">
        <f ca="1">IFERROR(__xludf.DUMMYFUNCTION("IMPORTRANGE(""https://docs.google.com/spreadsheets/d/1MeEWN-I1oV_STSDYn1IFDPWt_1FKiwhDph83XaGc0o0/edit?usp=sharing"",""งบพรบ!DX22"")"),0)</f>
        <v>0</v>
      </c>
      <c r="N303" s="837">
        <f ca="1">IFERROR(__xludf.DUMMYFUNCTION("IMPORTRANGE(""https://docs.google.com/spreadsheets/d/1MeEWN-I1oV_STSDYn1IFDPWt_1FKiwhDph83XaGc0o0/edit?usp=sharing"",""งบพรบ!DZ22"")"),0)</f>
        <v>0</v>
      </c>
      <c r="O303" s="837">
        <f t="shared" ca="1" si="136"/>
        <v>0</v>
      </c>
      <c r="P303" s="837">
        <f t="shared" ca="1" si="137"/>
        <v>0</v>
      </c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</row>
    <row r="304" spans="1:26" ht="18.75" hidden="1">
      <c r="A304" s="942"/>
      <c r="B304" s="827"/>
      <c r="C304" s="943"/>
      <c r="D304" s="828" t="s">
        <v>21</v>
      </c>
      <c r="E304" s="827"/>
      <c r="F304" s="827"/>
      <c r="G304" s="829"/>
      <c r="H304" s="168" t="s">
        <v>12</v>
      </c>
      <c r="I304" s="944"/>
      <c r="J304" s="944"/>
      <c r="K304" s="945"/>
      <c r="L304" s="831">
        <f t="shared" ref="L304:N304" ca="1" si="140">L305+L306</f>
        <v>0</v>
      </c>
      <c r="M304" s="831">
        <f t="shared" ca="1" si="140"/>
        <v>0</v>
      </c>
      <c r="N304" s="831">
        <f t="shared" ca="1" si="140"/>
        <v>0</v>
      </c>
      <c r="O304" s="831">
        <f t="shared" ca="1" si="136"/>
        <v>0</v>
      </c>
      <c r="P304" s="831">
        <f t="shared" ca="1" si="137"/>
        <v>0</v>
      </c>
      <c r="Q304" s="818"/>
      <c r="R304" s="818"/>
      <c r="S304" s="818"/>
      <c r="T304" s="818"/>
      <c r="U304" s="818"/>
      <c r="V304" s="818"/>
      <c r="W304" s="818"/>
      <c r="X304" s="818"/>
      <c r="Y304" s="818"/>
      <c r="Z304" s="818"/>
    </row>
    <row r="305" spans="1:26" ht="19.5" hidden="1">
      <c r="A305" s="940"/>
      <c r="B305" s="833"/>
      <c r="C305" s="946"/>
      <c r="D305" s="833"/>
      <c r="E305" s="834" t="s">
        <v>18</v>
      </c>
      <c r="F305" s="833"/>
      <c r="G305" s="941"/>
      <c r="H305" s="165" t="s">
        <v>12</v>
      </c>
      <c r="I305" s="947"/>
      <c r="J305" s="947"/>
      <c r="K305" s="948"/>
      <c r="L305" s="837">
        <v>0</v>
      </c>
      <c r="M305" s="837">
        <v>0</v>
      </c>
      <c r="N305" s="837">
        <v>0</v>
      </c>
      <c r="O305" s="837">
        <f t="shared" si="136"/>
        <v>0</v>
      </c>
      <c r="P305" s="837">
        <f t="shared" si="137"/>
        <v>0</v>
      </c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</row>
    <row r="306" spans="1:26" ht="19.5" hidden="1">
      <c r="A306" s="940"/>
      <c r="B306" s="833"/>
      <c r="C306" s="946"/>
      <c r="D306" s="833"/>
      <c r="E306" s="834" t="s">
        <v>19</v>
      </c>
      <c r="F306" s="833"/>
      <c r="G306" s="941"/>
      <c r="H306" s="169" t="s">
        <v>12</v>
      </c>
      <c r="I306" s="947"/>
      <c r="J306" s="947"/>
      <c r="K306" s="948"/>
      <c r="L306" s="837">
        <f ca="1">IFERROR(__xludf.DUMMYFUNCTION("IMPORTRANGE(""https://docs.google.com/spreadsheets/d/1MeEWN-I1oV_STSDYn1IFDPWt_1FKiwhDph83XaGc0o0/edit?usp=sharing"",""งบพรบ!DV22"")"),0)</f>
        <v>0</v>
      </c>
      <c r="M306" s="837">
        <f ca="1">IFERROR(__xludf.DUMMYFUNCTION("IMPORTRANGE(""https://docs.google.com/spreadsheets/d/1MeEWN-I1oV_STSDYn1IFDPWt_1FKiwhDph83XaGc0o0/edit?usp=sharing"",""งบพรบ!DY22"")"),0)</f>
        <v>0</v>
      </c>
      <c r="N306" s="837">
        <f ca="1">IFERROR(__xludf.DUMMYFUNCTION("IMPORTRANGE(""https://docs.google.com/spreadsheets/d/1MeEWN-I1oV_STSDYn1IFDPWt_1FKiwhDph83XaGc0o0/edit?usp=sharing"",""งบพรบ!EA22"")"),0)</f>
        <v>0</v>
      </c>
      <c r="O306" s="837">
        <f t="shared" ca="1" si="136"/>
        <v>0</v>
      </c>
      <c r="P306" s="837">
        <f t="shared" ca="1" si="137"/>
        <v>0</v>
      </c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</row>
    <row r="307" spans="1:26" ht="19.5" hidden="1">
      <c r="A307" s="949"/>
      <c r="B307" s="950"/>
      <c r="C307" s="946" t="s">
        <v>16</v>
      </c>
      <c r="D307" s="951" t="s">
        <v>38</v>
      </c>
      <c r="E307" s="952"/>
      <c r="F307" s="952"/>
      <c r="G307" s="953"/>
      <c r="H307" s="954"/>
      <c r="I307" s="830"/>
      <c r="J307" s="830"/>
      <c r="K307" s="831"/>
      <c r="L307" s="831"/>
      <c r="M307" s="831"/>
      <c r="N307" s="831"/>
      <c r="O307" s="831"/>
      <c r="P307" s="831"/>
    </row>
    <row r="308" spans="1:26" ht="18.75" hidden="1">
      <c r="A308" s="949"/>
      <c r="B308" s="950"/>
      <c r="C308" s="950"/>
      <c r="D308" s="956" t="s">
        <v>140</v>
      </c>
      <c r="E308" s="956"/>
      <c r="F308" s="956"/>
      <c r="G308" s="958"/>
      <c r="H308" s="730"/>
      <c r="I308" s="830"/>
      <c r="J308" s="959">
        <v>0</v>
      </c>
      <c r="K308" s="831"/>
      <c r="L308" s="831"/>
      <c r="M308" s="831"/>
      <c r="N308" s="831"/>
      <c r="O308" s="831"/>
      <c r="P308" s="831"/>
    </row>
    <row r="309" spans="1:26" ht="18.75" hidden="1">
      <c r="A309" s="949"/>
      <c r="B309" s="950"/>
      <c r="C309" s="950"/>
      <c r="D309" s="956" t="s">
        <v>141</v>
      </c>
      <c r="E309" s="956"/>
      <c r="F309" s="956"/>
      <c r="G309" s="958"/>
      <c r="H309" s="730" t="s">
        <v>35</v>
      </c>
      <c r="I309" s="830">
        <f ca="1">IFERROR(__xludf.DUMMYFUNCTION("IMPORTRANGE(""https://docs.google.com/spreadsheets/d/1QqKyyYR6Q21VydFLVH3TRQUabQu_ym0Zz7PgGX0-kHA/edit?usp=sharing"",""แผน!ED22"")"),0)</f>
        <v>0</v>
      </c>
      <c r="J309" s="959">
        <v>0</v>
      </c>
      <c r="K309" s="831">
        <f t="shared" ref="K309:K312" ca="1" si="141">IF(I309&gt;0,J309*100/I309,0)</f>
        <v>0</v>
      </c>
      <c r="L309" s="831"/>
      <c r="M309" s="831"/>
      <c r="N309" s="831"/>
      <c r="O309" s="831"/>
      <c r="P309" s="831"/>
    </row>
    <row r="310" spans="1:26" ht="18.75" hidden="1">
      <c r="A310" s="949"/>
      <c r="B310" s="950"/>
      <c r="C310" s="950"/>
      <c r="D310" s="956" t="s">
        <v>142</v>
      </c>
      <c r="E310" s="956"/>
      <c r="F310" s="956"/>
      <c r="G310" s="958"/>
      <c r="H310" s="730" t="s">
        <v>35</v>
      </c>
      <c r="I310" s="830">
        <f ca="1">IFERROR(__xludf.DUMMYFUNCTION("IMPORTRANGE(""https://docs.google.com/spreadsheets/d/1QqKyyYR6Q21VydFLVH3TRQUabQu_ym0Zz7PgGX0-kHA/edit?usp=sharing"",""แผน!ED22"")"),0)</f>
        <v>0</v>
      </c>
      <c r="J310" s="959">
        <v>0</v>
      </c>
      <c r="K310" s="831">
        <f t="shared" ca="1" si="141"/>
        <v>0</v>
      </c>
      <c r="L310" s="831"/>
      <c r="M310" s="831"/>
      <c r="N310" s="831"/>
      <c r="O310" s="831"/>
      <c r="P310" s="831"/>
    </row>
    <row r="311" spans="1:26" ht="18.75" hidden="1">
      <c r="A311" s="949"/>
      <c r="B311" s="950"/>
      <c r="C311" s="950"/>
      <c r="D311" s="956" t="s">
        <v>59</v>
      </c>
      <c r="E311" s="956"/>
      <c r="F311" s="956"/>
      <c r="G311" s="958"/>
      <c r="H311" s="730" t="s">
        <v>35</v>
      </c>
      <c r="I311" s="830">
        <f ca="1">IFERROR(__xludf.DUMMYFUNCTION("IMPORTRANGE(""https://docs.google.com/spreadsheets/d/1QqKyyYR6Q21VydFLVH3TRQUabQu_ym0Zz7PgGX0-kHA/edit?usp=sharing"",""แผน!ED22"")"),0)</f>
        <v>0</v>
      </c>
      <c r="J311" s="959">
        <v>0</v>
      </c>
      <c r="K311" s="831">
        <f t="shared" ca="1" si="141"/>
        <v>0</v>
      </c>
      <c r="L311" s="831"/>
      <c r="M311" s="831"/>
      <c r="N311" s="831"/>
      <c r="O311" s="831"/>
      <c r="P311" s="831"/>
    </row>
    <row r="312" spans="1:26" ht="18.75" hidden="1">
      <c r="A312" s="949"/>
      <c r="B312" s="950"/>
      <c r="C312" s="950"/>
      <c r="D312" s="956" t="s">
        <v>143</v>
      </c>
      <c r="E312" s="956"/>
      <c r="F312" s="956"/>
      <c r="G312" s="958"/>
      <c r="H312" s="730" t="s">
        <v>35</v>
      </c>
      <c r="I312" s="830">
        <f ca="1">IFERROR(__xludf.DUMMYFUNCTION("IMPORTRANGE(""https://docs.google.com/spreadsheets/d/1QqKyyYR6Q21VydFLVH3TRQUabQu_ym0Zz7PgGX0-kHA/edit?usp=sharing"",""แผน!EE22"")"),0)</f>
        <v>0</v>
      </c>
      <c r="J312" s="959">
        <v>0</v>
      </c>
      <c r="K312" s="831">
        <f t="shared" ca="1" si="141"/>
        <v>0</v>
      </c>
      <c r="L312" s="831"/>
      <c r="M312" s="831"/>
      <c r="N312" s="831"/>
      <c r="O312" s="831"/>
      <c r="P312" s="831"/>
    </row>
    <row r="313" spans="1:26" ht="19.5" hidden="1">
      <c r="A313" s="1126" t="s">
        <v>144</v>
      </c>
      <c r="B313" s="1127"/>
      <c r="C313" s="1127"/>
      <c r="D313" s="1128"/>
      <c r="E313" s="1127"/>
      <c r="F313" s="1127"/>
      <c r="G313" s="1127"/>
      <c r="H313" s="1140"/>
      <c r="I313" s="1131"/>
      <c r="J313" s="1131"/>
      <c r="K313" s="1132"/>
      <c r="L313" s="1132"/>
      <c r="M313" s="1132"/>
      <c r="N313" s="1132"/>
      <c r="O313" s="1132"/>
      <c r="P313" s="1132"/>
    </row>
    <row r="314" spans="1:26" ht="19.5" hidden="1">
      <c r="A314" s="1141"/>
      <c r="B314" s="1134" t="s">
        <v>145</v>
      </c>
      <c r="C314" s="1142"/>
      <c r="D314" s="1143"/>
      <c r="E314" s="1135"/>
      <c r="F314" s="1135"/>
      <c r="G314" s="1136"/>
      <c r="H314" s="412" t="s">
        <v>146</v>
      </c>
      <c r="I314" s="1137">
        <f t="shared" ref="I314:J314" ca="1" si="142">I325</f>
        <v>0</v>
      </c>
      <c r="J314" s="1137">
        <f t="shared" si="142"/>
        <v>0</v>
      </c>
      <c r="K314" s="1138">
        <f ca="1">IF(I314&gt;0,J314*100/I314,0)</f>
        <v>0</v>
      </c>
      <c r="L314" s="1139"/>
      <c r="M314" s="1139"/>
      <c r="N314" s="1139"/>
      <c r="O314" s="1139"/>
      <c r="P314" s="1139"/>
    </row>
    <row r="315" spans="1:26" ht="19.5" hidden="1">
      <c r="A315" s="932"/>
      <c r="B315" s="933"/>
      <c r="C315" s="934" t="s">
        <v>16</v>
      </c>
      <c r="D315" s="935" t="s">
        <v>17</v>
      </c>
      <c r="E315" s="933"/>
      <c r="F315" s="933"/>
      <c r="G315" s="936"/>
      <c r="H315" s="152" t="s">
        <v>12</v>
      </c>
      <c r="I315" s="937"/>
      <c r="J315" s="937"/>
      <c r="K315" s="938"/>
      <c r="L315" s="939">
        <f t="shared" ref="L315:N315" ca="1" si="143">L316+L317</f>
        <v>0</v>
      </c>
      <c r="M315" s="939">
        <f t="shared" ca="1" si="143"/>
        <v>0</v>
      </c>
      <c r="N315" s="939">
        <f t="shared" ca="1" si="143"/>
        <v>0</v>
      </c>
      <c r="O315" s="939">
        <f t="shared" ref="O315:O323" ca="1" si="144">IF(L315&gt;0,N315*100/L315,0)</f>
        <v>0</v>
      </c>
      <c r="P315" s="939">
        <f t="shared" ref="P315:P323" ca="1" si="145">IF(M315&gt;0,N315*100/M315,0)</f>
        <v>0</v>
      </c>
      <c r="Q315" s="818"/>
      <c r="R315" s="818"/>
      <c r="S315" s="818"/>
      <c r="T315" s="818"/>
      <c r="U315" s="818"/>
      <c r="V315" s="818"/>
      <c r="W315" s="818"/>
      <c r="X315" s="818"/>
      <c r="Y315" s="818"/>
      <c r="Z315" s="818"/>
    </row>
    <row r="316" spans="1:26" ht="18.75" hidden="1">
      <c r="A316" s="940"/>
      <c r="B316" s="833"/>
      <c r="C316" s="833"/>
      <c r="D316" s="833"/>
      <c r="E316" s="834" t="s">
        <v>18</v>
      </c>
      <c r="F316" s="833"/>
      <c r="G316" s="941"/>
      <c r="H316" s="158" t="s">
        <v>12</v>
      </c>
      <c r="I316" s="836"/>
      <c r="J316" s="836"/>
      <c r="K316" s="837"/>
      <c r="L316" s="837">
        <f t="shared" ref="L316:N317" si="146">L319+L322</f>
        <v>0</v>
      </c>
      <c r="M316" s="837">
        <f t="shared" si="146"/>
        <v>0</v>
      </c>
      <c r="N316" s="837">
        <f t="shared" si="146"/>
        <v>0</v>
      </c>
      <c r="O316" s="837">
        <f t="shared" si="144"/>
        <v>0</v>
      </c>
      <c r="P316" s="837">
        <f t="shared" si="145"/>
        <v>0</v>
      </c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</row>
    <row r="317" spans="1:26" ht="18.75" hidden="1">
      <c r="A317" s="940"/>
      <c r="B317" s="833"/>
      <c r="C317" s="833"/>
      <c r="D317" s="833"/>
      <c r="E317" s="834" t="s">
        <v>19</v>
      </c>
      <c r="F317" s="833"/>
      <c r="G317" s="941"/>
      <c r="H317" s="158" t="s">
        <v>12</v>
      </c>
      <c r="I317" s="836"/>
      <c r="J317" s="836"/>
      <c r="K317" s="837"/>
      <c r="L317" s="837">
        <f t="shared" ca="1" si="146"/>
        <v>0</v>
      </c>
      <c r="M317" s="837">
        <f t="shared" ca="1" si="146"/>
        <v>0</v>
      </c>
      <c r="N317" s="837">
        <f t="shared" ca="1" si="146"/>
        <v>0</v>
      </c>
      <c r="O317" s="837">
        <f t="shared" ca="1" si="144"/>
        <v>0</v>
      </c>
      <c r="P317" s="837">
        <f t="shared" ca="1" si="145"/>
        <v>0</v>
      </c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</row>
    <row r="318" spans="1:26" ht="18.75" hidden="1">
      <c r="A318" s="942"/>
      <c r="B318" s="827"/>
      <c r="C318" s="943"/>
      <c r="D318" s="828" t="s">
        <v>20</v>
      </c>
      <c r="E318" s="827"/>
      <c r="F318" s="827"/>
      <c r="G318" s="829"/>
      <c r="H318" s="778" t="s">
        <v>12</v>
      </c>
      <c r="I318" s="944"/>
      <c r="J318" s="944"/>
      <c r="K318" s="945"/>
      <c r="L318" s="831">
        <f t="shared" ref="L318:N318" ca="1" si="147">L319+L320</f>
        <v>0</v>
      </c>
      <c r="M318" s="831">
        <f t="shared" ca="1" si="147"/>
        <v>0</v>
      </c>
      <c r="N318" s="831">
        <f t="shared" ca="1" si="147"/>
        <v>0</v>
      </c>
      <c r="O318" s="831">
        <f t="shared" ca="1" si="144"/>
        <v>0</v>
      </c>
      <c r="P318" s="831">
        <f t="shared" ca="1" si="145"/>
        <v>0</v>
      </c>
      <c r="Q318" s="818"/>
      <c r="R318" s="818"/>
      <c r="S318" s="818"/>
      <c r="T318" s="818"/>
      <c r="U318" s="818"/>
      <c r="V318" s="818"/>
      <c r="W318" s="818"/>
      <c r="X318" s="818"/>
      <c r="Y318" s="818"/>
      <c r="Z318" s="818"/>
    </row>
    <row r="319" spans="1:26" ht="19.5" hidden="1">
      <c r="A319" s="940"/>
      <c r="B319" s="833"/>
      <c r="C319" s="946"/>
      <c r="D319" s="833"/>
      <c r="E319" s="834" t="s">
        <v>36</v>
      </c>
      <c r="F319" s="833"/>
      <c r="G319" s="941"/>
      <c r="H319" s="165" t="s">
        <v>12</v>
      </c>
      <c r="I319" s="947"/>
      <c r="J319" s="947"/>
      <c r="K319" s="948"/>
      <c r="L319" s="837">
        <v>0</v>
      </c>
      <c r="M319" s="837">
        <v>0</v>
      </c>
      <c r="N319" s="837">
        <v>0</v>
      </c>
      <c r="O319" s="837">
        <f t="shared" si="144"/>
        <v>0</v>
      </c>
      <c r="P319" s="837">
        <f t="shared" si="145"/>
        <v>0</v>
      </c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</row>
    <row r="320" spans="1:26" ht="19.5" hidden="1">
      <c r="A320" s="940"/>
      <c r="B320" s="833"/>
      <c r="C320" s="946"/>
      <c r="D320" s="833"/>
      <c r="E320" s="834" t="s">
        <v>37</v>
      </c>
      <c r="F320" s="833"/>
      <c r="G320" s="941"/>
      <c r="H320" s="165" t="s">
        <v>12</v>
      </c>
      <c r="I320" s="947"/>
      <c r="J320" s="947"/>
      <c r="K320" s="948"/>
      <c r="L320" s="837">
        <f ca="1">IFERROR(__xludf.DUMMYFUNCTION("IMPORTRANGE(""https://docs.google.com/spreadsheets/d/1MeEWN-I1oV_STSDYn1IFDPWt_1FKiwhDph83XaGc0o0/edit?usp=sharing"",""งบพรบ!EC22"")"),0)</f>
        <v>0</v>
      </c>
      <c r="M320" s="837">
        <f ca="1">IFERROR(__xludf.DUMMYFUNCTION("IMPORTRANGE(""https://docs.google.com/spreadsheets/d/1MeEWN-I1oV_STSDYn1IFDPWt_1FKiwhDph83XaGc0o0/edit?usp=sharing"",""งบพรบ!EH22"")"),0)</f>
        <v>0</v>
      </c>
      <c r="N320" s="837">
        <f ca="1">IFERROR(__xludf.DUMMYFUNCTION("IMPORTRANGE(""https://docs.google.com/spreadsheets/d/1MeEWN-I1oV_STSDYn1IFDPWt_1FKiwhDph83XaGc0o0/edit?usp=sharing"",""งบพรบ!EJ22"")"),0)</f>
        <v>0</v>
      </c>
      <c r="O320" s="837">
        <f t="shared" ca="1" si="144"/>
        <v>0</v>
      </c>
      <c r="P320" s="837">
        <f t="shared" ca="1" si="145"/>
        <v>0</v>
      </c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</row>
    <row r="321" spans="1:26" ht="18.75" hidden="1">
      <c r="A321" s="942"/>
      <c r="B321" s="827"/>
      <c r="C321" s="943"/>
      <c r="D321" s="828" t="s">
        <v>21</v>
      </c>
      <c r="E321" s="827"/>
      <c r="F321" s="827"/>
      <c r="G321" s="829"/>
      <c r="H321" s="168" t="s">
        <v>12</v>
      </c>
      <c r="I321" s="944"/>
      <c r="J321" s="944"/>
      <c r="K321" s="945"/>
      <c r="L321" s="831">
        <f t="shared" ref="L321:N321" ca="1" si="148">L322+L323</f>
        <v>0</v>
      </c>
      <c r="M321" s="831">
        <f t="shared" ca="1" si="148"/>
        <v>0</v>
      </c>
      <c r="N321" s="831">
        <f t="shared" ca="1" si="148"/>
        <v>0</v>
      </c>
      <c r="O321" s="831">
        <f t="shared" ca="1" si="144"/>
        <v>0</v>
      </c>
      <c r="P321" s="831">
        <f t="shared" ca="1" si="145"/>
        <v>0</v>
      </c>
      <c r="Q321" s="818"/>
      <c r="R321" s="818"/>
      <c r="S321" s="818"/>
      <c r="T321" s="818"/>
      <c r="U321" s="818"/>
      <c r="V321" s="818"/>
      <c r="W321" s="818"/>
      <c r="X321" s="818"/>
      <c r="Y321" s="818"/>
      <c r="Z321" s="818"/>
    </row>
    <row r="322" spans="1:26" ht="19.5" hidden="1">
      <c r="A322" s="940"/>
      <c r="B322" s="833"/>
      <c r="C322" s="946"/>
      <c r="D322" s="833"/>
      <c r="E322" s="834" t="s">
        <v>18</v>
      </c>
      <c r="F322" s="833"/>
      <c r="G322" s="941"/>
      <c r="H322" s="165" t="s">
        <v>12</v>
      </c>
      <c r="I322" s="947"/>
      <c r="J322" s="947"/>
      <c r="K322" s="948"/>
      <c r="L322" s="837">
        <v>0</v>
      </c>
      <c r="M322" s="837">
        <v>0</v>
      </c>
      <c r="N322" s="837">
        <v>0</v>
      </c>
      <c r="O322" s="837">
        <f t="shared" si="144"/>
        <v>0</v>
      </c>
      <c r="P322" s="837">
        <f t="shared" si="145"/>
        <v>0</v>
      </c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</row>
    <row r="323" spans="1:26" ht="19.5" hidden="1">
      <c r="A323" s="940"/>
      <c r="B323" s="833"/>
      <c r="C323" s="946"/>
      <c r="D323" s="833"/>
      <c r="E323" s="834" t="s">
        <v>19</v>
      </c>
      <c r="F323" s="833"/>
      <c r="G323" s="941"/>
      <c r="H323" s="169" t="s">
        <v>12</v>
      </c>
      <c r="I323" s="947"/>
      <c r="J323" s="947"/>
      <c r="K323" s="948"/>
      <c r="L323" s="837">
        <f ca="1">IFERROR(__xludf.DUMMYFUNCTION("IMPORTRANGE(""https://docs.google.com/spreadsheets/d/1MeEWN-I1oV_STSDYn1IFDPWt_1FKiwhDph83XaGc0o0/edit?usp=sharing"",""งบพรบ!EF22"")"),0)</f>
        <v>0</v>
      </c>
      <c r="M323" s="837">
        <f ca="1">IFERROR(__xludf.DUMMYFUNCTION("IMPORTRANGE(""https://docs.google.com/spreadsheets/d/1MeEWN-I1oV_STSDYn1IFDPWt_1FKiwhDph83XaGc0o0/edit?usp=sharing"",""งบพรบ!EI22"")"),0)</f>
        <v>0</v>
      </c>
      <c r="N323" s="837">
        <f ca="1">IFERROR(__xludf.DUMMYFUNCTION("IMPORTRANGE(""https://docs.google.com/spreadsheets/d/1MeEWN-I1oV_STSDYn1IFDPWt_1FKiwhDph83XaGc0o0/edit?usp=sharing"",""งบพรบ!EK22"")"),0)</f>
        <v>0</v>
      </c>
      <c r="O323" s="837">
        <f t="shared" ca="1" si="144"/>
        <v>0</v>
      </c>
      <c r="P323" s="837">
        <f t="shared" ca="1" si="145"/>
        <v>0</v>
      </c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</row>
    <row r="324" spans="1:26" ht="19.5" hidden="1">
      <c r="A324" s="949"/>
      <c r="B324" s="950"/>
      <c r="C324" s="946" t="s">
        <v>16</v>
      </c>
      <c r="D324" s="951" t="s">
        <v>38</v>
      </c>
      <c r="E324" s="952"/>
      <c r="F324" s="952"/>
      <c r="G324" s="953"/>
      <c r="H324" s="954"/>
      <c r="I324" s="944"/>
      <c r="J324" s="830"/>
      <c r="K324" s="831"/>
      <c r="L324" s="831"/>
      <c r="M324" s="831"/>
      <c r="N324" s="831"/>
      <c r="O324" s="945"/>
      <c r="P324" s="945"/>
    </row>
    <row r="325" spans="1:26" ht="18.75" hidden="1">
      <c r="A325" s="949"/>
      <c r="B325" s="950"/>
      <c r="C325" s="950"/>
      <c r="D325" s="955" t="s">
        <v>147</v>
      </c>
      <c r="E325" s="957"/>
      <c r="F325" s="956"/>
      <c r="G325" s="958"/>
      <c r="H325" s="590" t="s">
        <v>146</v>
      </c>
      <c r="I325" s="830">
        <f ca="1">IFERROR(__xludf.DUMMYFUNCTION("IMPORTRANGE(""https://docs.google.com/spreadsheets/d/1QqKyyYR6Q21VydFLVH3TRQUabQu_ym0Zz7PgGX0-kHA/edit?usp=sharing"",""แผน!EF22"")"),0)</f>
        <v>0</v>
      </c>
      <c r="J325" s="959">
        <v>0</v>
      </c>
      <c r="K325" s="831">
        <f ca="1">IF(I325&gt;0,J325*100/I325,0)</f>
        <v>0</v>
      </c>
      <c r="L325" s="831"/>
      <c r="M325" s="831"/>
      <c r="N325" s="831"/>
      <c r="O325" s="945"/>
      <c r="P325" s="945"/>
    </row>
    <row r="326" spans="1:26" ht="19.5">
      <c r="A326" s="1126" t="s">
        <v>148</v>
      </c>
      <c r="B326" s="1127"/>
      <c r="C326" s="1127"/>
      <c r="D326" s="1128"/>
      <c r="E326" s="1127"/>
      <c r="F326" s="1127"/>
      <c r="G326" s="1127"/>
      <c r="H326" s="1140"/>
      <c r="I326" s="1131"/>
      <c r="J326" s="1131"/>
      <c r="K326" s="1132"/>
      <c r="L326" s="1132"/>
      <c r="M326" s="1132"/>
      <c r="N326" s="1132"/>
      <c r="O326" s="1132"/>
      <c r="P326" s="1132"/>
    </row>
    <row r="327" spans="1:26" ht="19.5">
      <c r="A327" s="1133"/>
      <c r="B327" s="1134" t="s">
        <v>149</v>
      </c>
      <c r="C327" s="1143"/>
      <c r="D327" s="1135"/>
      <c r="E327" s="1135"/>
      <c r="F327" s="1135"/>
      <c r="G327" s="1136"/>
      <c r="H327" s="412" t="s">
        <v>35</v>
      </c>
      <c r="I327" s="1137">
        <f ca="1">IFERROR(__xludf.DUMMYFUNCTION("IMPORTRANGE(""https://docs.google.com/spreadsheets/d/1QqKyyYR6Q21VydFLVH3TRQUabQu_ym0Zz7PgGX0-kHA/edit?usp=sharing"",""แผน!EG22"")"),1600)</f>
        <v>1600</v>
      </c>
      <c r="J327" s="1137">
        <f ca="1">J338+J341+J342+J343</f>
        <v>1160</v>
      </c>
      <c r="K327" s="1138">
        <f ca="1">IF(I327&gt;0,J327*100/I327,0)</f>
        <v>72.5</v>
      </c>
      <c r="L327" s="1139"/>
      <c r="M327" s="1139"/>
      <c r="N327" s="1139"/>
      <c r="O327" s="1139"/>
      <c r="P327" s="1139"/>
    </row>
    <row r="328" spans="1:26" ht="19.5">
      <c r="A328" s="932"/>
      <c r="B328" s="933"/>
      <c r="C328" s="934" t="s">
        <v>16</v>
      </c>
      <c r="D328" s="935" t="s">
        <v>17</v>
      </c>
      <c r="E328" s="933"/>
      <c r="F328" s="933"/>
      <c r="G328" s="936"/>
      <c r="H328" s="152" t="s">
        <v>12</v>
      </c>
      <c r="I328" s="937"/>
      <c r="J328" s="937"/>
      <c r="K328" s="938"/>
      <c r="L328" s="939">
        <f t="shared" ref="L328:N328" ca="1" si="149">L329+L330</f>
        <v>174000</v>
      </c>
      <c r="M328" s="939">
        <f t="shared" ca="1" si="149"/>
        <v>133000</v>
      </c>
      <c r="N328" s="939">
        <f t="shared" ca="1" si="149"/>
        <v>66250</v>
      </c>
      <c r="O328" s="939">
        <f t="shared" ref="O328:O336" ca="1" si="150">IF(L328&gt;0,N328*100/L328,0)</f>
        <v>38.074712643678161</v>
      </c>
      <c r="P328" s="939">
        <f t="shared" ref="P328:P336" ca="1" si="151">IF(M328&gt;0,N328*100/M328,0)</f>
        <v>49.81203007518797</v>
      </c>
      <c r="Q328" s="818"/>
      <c r="R328" s="818"/>
      <c r="S328" s="818"/>
      <c r="T328" s="818"/>
      <c r="U328" s="818"/>
      <c r="V328" s="818"/>
      <c r="W328" s="818"/>
      <c r="X328" s="818"/>
      <c r="Y328" s="818"/>
      <c r="Z328" s="818"/>
    </row>
    <row r="329" spans="1:26" ht="18.75" hidden="1">
      <c r="A329" s="940"/>
      <c r="B329" s="833"/>
      <c r="C329" s="833"/>
      <c r="D329" s="833"/>
      <c r="E329" s="834" t="s">
        <v>18</v>
      </c>
      <c r="F329" s="833"/>
      <c r="G329" s="941"/>
      <c r="H329" s="158" t="s">
        <v>12</v>
      </c>
      <c r="I329" s="836"/>
      <c r="J329" s="836"/>
      <c r="K329" s="837"/>
      <c r="L329" s="837">
        <f t="shared" ref="L329:N330" si="152">L332+L335</f>
        <v>0</v>
      </c>
      <c r="M329" s="837">
        <f t="shared" si="152"/>
        <v>0</v>
      </c>
      <c r="N329" s="837">
        <f t="shared" si="152"/>
        <v>0</v>
      </c>
      <c r="O329" s="837">
        <f t="shared" si="150"/>
        <v>0</v>
      </c>
      <c r="P329" s="837">
        <f t="shared" si="151"/>
        <v>0</v>
      </c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</row>
    <row r="330" spans="1:26" ht="18.75" hidden="1">
      <c r="A330" s="940"/>
      <c r="B330" s="833"/>
      <c r="C330" s="833"/>
      <c r="D330" s="833"/>
      <c r="E330" s="834" t="s">
        <v>19</v>
      </c>
      <c r="F330" s="833"/>
      <c r="G330" s="941"/>
      <c r="H330" s="158" t="s">
        <v>12</v>
      </c>
      <c r="I330" s="836"/>
      <c r="J330" s="836"/>
      <c r="K330" s="837"/>
      <c r="L330" s="837">
        <f t="shared" ca="1" si="152"/>
        <v>174000</v>
      </c>
      <c r="M330" s="837">
        <f t="shared" ca="1" si="152"/>
        <v>133000</v>
      </c>
      <c r="N330" s="837">
        <f t="shared" ca="1" si="152"/>
        <v>66250</v>
      </c>
      <c r="O330" s="837">
        <f t="shared" ca="1" si="150"/>
        <v>38.074712643678161</v>
      </c>
      <c r="P330" s="837">
        <f t="shared" ca="1" si="151"/>
        <v>49.81203007518797</v>
      </c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</row>
    <row r="331" spans="1:26" ht="18.75">
      <c r="A331" s="942"/>
      <c r="B331" s="827"/>
      <c r="C331" s="943"/>
      <c r="D331" s="828" t="s">
        <v>20</v>
      </c>
      <c r="E331" s="827"/>
      <c r="F331" s="827"/>
      <c r="G331" s="829"/>
      <c r="H331" s="778" t="s">
        <v>12</v>
      </c>
      <c r="I331" s="944"/>
      <c r="J331" s="944"/>
      <c r="K331" s="945"/>
      <c r="L331" s="831">
        <f t="shared" ref="L331:N331" ca="1" si="153">L332+L333</f>
        <v>174000</v>
      </c>
      <c r="M331" s="831">
        <f t="shared" ca="1" si="153"/>
        <v>133000</v>
      </c>
      <c r="N331" s="831">
        <f t="shared" ca="1" si="153"/>
        <v>66250</v>
      </c>
      <c r="O331" s="831">
        <f t="shared" ca="1" si="150"/>
        <v>38.074712643678161</v>
      </c>
      <c r="P331" s="831">
        <f t="shared" ca="1" si="151"/>
        <v>49.81203007518797</v>
      </c>
      <c r="Q331" s="818"/>
      <c r="R331" s="818"/>
      <c r="S331" s="818"/>
      <c r="T331" s="818"/>
      <c r="U331" s="818"/>
      <c r="V331" s="818"/>
      <c r="W331" s="818"/>
      <c r="X331" s="818"/>
      <c r="Y331" s="818"/>
      <c r="Z331" s="818"/>
    </row>
    <row r="332" spans="1:26" ht="19.5" hidden="1">
      <c r="A332" s="940"/>
      <c r="B332" s="833"/>
      <c r="C332" s="946"/>
      <c r="D332" s="833"/>
      <c r="E332" s="834" t="s">
        <v>36</v>
      </c>
      <c r="F332" s="833"/>
      <c r="G332" s="941"/>
      <c r="H332" s="165" t="s">
        <v>12</v>
      </c>
      <c r="I332" s="947"/>
      <c r="J332" s="947"/>
      <c r="K332" s="948"/>
      <c r="L332" s="837">
        <v>0</v>
      </c>
      <c r="M332" s="837">
        <v>0</v>
      </c>
      <c r="N332" s="837">
        <v>0</v>
      </c>
      <c r="O332" s="837">
        <f t="shared" si="150"/>
        <v>0</v>
      </c>
      <c r="P332" s="837">
        <f t="shared" si="151"/>
        <v>0</v>
      </c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</row>
    <row r="333" spans="1:26" ht="19.5" hidden="1">
      <c r="A333" s="940"/>
      <c r="B333" s="833"/>
      <c r="C333" s="946"/>
      <c r="D333" s="833"/>
      <c r="E333" s="834" t="s">
        <v>37</v>
      </c>
      <c r="F333" s="833"/>
      <c r="G333" s="941"/>
      <c r="H333" s="165" t="s">
        <v>12</v>
      </c>
      <c r="I333" s="947"/>
      <c r="J333" s="947"/>
      <c r="K333" s="948"/>
      <c r="L333" s="837">
        <f ca="1">IFERROR(__xludf.DUMMYFUNCTION("IMPORTRANGE(""https://docs.google.com/spreadsheets/d/1MeEWN-I1oV_STSDYn1IFDPWt_1FKiwhDph83XaGc0o0/edit?usp=sharing"",""งบพรบ!EM22"")"),174000)</f>
        <v>174000</v>
      </c>
      <c r="M333" s="837">
        <f ca="1">IFERROR(__xludf.DUMMYFUNCTION("IMPORTRANGE(""https://docs.google.com/spreadsheets/d/1MeEWN-I1oV_STSDYn1IFDPWt_1FKiwhDph83XaGc0o0/edit?usp=sharing"",""งบพรบ!ER22"")"),133000)</f>
        <v>133000</v>
      </c>
      <c r="N333" s="837">
        <f ca="1">IFERROR(__xludf.DUMMYFUNCTION("IMPORTRANGE(""https://docs.google.com/spreadsheets/d/1MeEWN-I1oV_STSDYn1IFDPWt_1FKiwhDph83XaGc0o0/edit?usp=sharing"",""งบพรบ!ET22"")"),66250)</f>
        <v>66250</v>
      </c>
      <c r="O333" s="837">
        <f t="shared" ca="1" si="150"/>
        <v>38.074712643678161</v>
      </c>
      <c r="P333" s="837">
        <f t="shared" ca="1" si="151"/>
        <v>49.81203007518797</v>
      </c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</row>
    <row r="334" spans="1:26" ht="18.75">
      <c r="A334" s="942"/>
      <c r="B334" s="827"/>
      <c r="C334" s="943"/>
      <c r="D334" s="828" t="s">
        <v>21</v>
      </c>
      <c r="E334" s="827"/>
      <c r="F334" s="827"/>
      <c r="G334" s="829"/>
      <c r="H334" s="168" t="s">
        <v>12</v>
      </c>
      <c r="I334" s="944"/>
      <c r="J334" s="944"/>
      <c r="K334" s="945"/>
      <c r="L334" s="831">
        <f t="shared" ref="L334:N334" ca="1" si="154">L335+L336</f>
        <v>0</v>
      </c>
      <c r="M334" s="831">
        <f t="shared" ca="1" si="154"/>
        <v>0</v>
      </c>
      <c r="N334" s="831">
        <f t="shared" ca="1" si="154"/>
        <v>0</v>
      </c>
      <c r="O334" s="831">
        <f t="shared" ca="1" si="150"/>
        <v>0</v>
      </c>
      <c r="P334" s="831">
        <f t="shared" ca="1" si="151"/>
        <v>0</v>
      </c>
      <c r="Q334" s="818"/>
      <c r="R334" s="818"/>
      <c r="S334" s="818"/>
      <c r="T334" s="818"/>
      <c r="U334" s="818"/>
      <c r="V334" s="818"/>
      <c r="W334" s="818"/>
      <c r="X334" s="818"/>
      <c r="Y334" s="818"/>
      <c r="Z334" s="818"/>
    </row>
    <row r="335" spans="1:26" ht="19.5" hidden="1">
      <c r="A335" s="940"/>
      <c r="B335" s="833"/>
      <c r="C335" s="946"/>
      <c r="D335" s="833"/>
      <c r="E335" s="834" t="s">
        <v>18</v>
      </c>
      <c r="F335" s="833"/>
      <c r="G335" s="941"/>
      <c r="H335" s="165" t="s">
        <v>12</v>
      </c>
      <c r="I335" s="947"/>
      <c r="J335" s="947"/>
      <c r="K335" s="948"/>
      <c r="L335" s="837">
        <v>0</v>
      </c>
      <c r="M335" s="837">
        <v>0</v>
      </c>
      <c r="N335" s="837">
        <v>0</v>
      </c>
      <c r="O335" s="837">
        <f t="shared" si="150"/>
        <v>0</v>
      </c>
      <c r="P335" s="837">
        <f t="shared" si="151"/>
        <v>0</v>
      </c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</row>
    <row r="336" spans="1:26" ht="19.5" hidden="1">
      <c r="A336" s="940"/>
      <c r="B336" s="833"/>
      <c r="C336" s="946"/>
      <c r="D336" s="833"/>
      <c r="E336" s="834" t="s">
        <v>19</v>
      </c>
      <c r="F336" s="833"/>
      <c r="G336" s="941"/>
      <c r="H336" s="169" t="s">
        <v>12</v>
      </c>
      <c r="I336" s="947"/>
      <c r="J336" s="947"/>
      <c r="K336" s="948"/>
      <c r="L336" s="837">
        <f ca="1">IFERROR(__xludf.DUMMYFUNCTION("IMPORTRANGE(""https://docs.google.com/spreadsheets/d/1MeEWN-I1oV_STSDYn1IFDPWt_1FKiwhDph83XaGc0o0/edit?usp=sharing"",""งบพรบ!EP22"")"),0)</f>
        <v>0</v>
      </c>
      <c r="M336" s="837">
        <f ca="1">IFERROR(__xludf.DUMMYFUNCTION("IMPORTRANGE(""https://docs.google.com/spreadsheets/d/1MeEWN-I1oV_STSDYn1IFDPWt_1FKiwhDph83XaGc0o0/edit?usp=sharing"",""งบพรบ!ES22"")"),0)</f>
        <v>0</v>
      </c>
      <c r="N336" s="837">
        <f ca="1">IFERROR(__xludf.DUMMYFUNCTION("IMPORTRANGE(""https://docs.google.com/spreadsheets/d/1MeEWN-I1oV_STSDYn1IFDPWt_1FKiwhDph83XaGc0o0/edit?usp=sharing"",""งบพรบ!EU22"")"),0)</f>
        <v>0</v>
      </c>
      <c r="O336" s="837">
        <f t="shared" ca="1" si="150"/>
        <v>0</v>
      </c>
      <c r="P336" s="837">
        <f t="shared" ca="1" si="151"/>
        <v>0</v>
      </c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</row>
    <row r="337" spans="1:26" ht="19.5">
      <c r="A337" s="949"/>
      <c r="B337" s="950"/>
      <c r="C337" s="946" t="s">
        <v>16</v>
      </c>
      <c r="D337" s="951" t="s">
        <v>38</v>
      </c>
      <c r="E337" s="952"/>
      <c r="F337" s="952"/>
      <c r="G337" s="953"/>
      <c r="H337" s="954"/>
      <c r="I337" s="944"/>
      <c r="J337" s="830"/>
      <c r="K337" s="831"/>
      <c r="L337" s="831"/>
      <c r="M337" s="831"/>
      <c r="N337" s="831"/>
      <c r="O337" s="945"/>
      <c r="P337" s="945"/>
    </row>
    <row r="338" spans="1:26" ht="18.75">
      <c r="A338" s="1032"/>
      <c r="B338" s="827"/>
      <c r="C338" s="1030"/>
      <c r="D338" s="956" t="s">
        <v>150</v>
      </c>
      <c r="E338" s="950"/>
      <c r="F338" s="827"/>
      <c r="G338" s="829"/>
      <c r="H338" s="277" t="s">
        <v>35</v>
      </c>
      <c r="I338" s="830">
        <f ca="1">IFERROR(__xludf.DUMMYFUNCTION("IMPORTRANGE(""https://docs.google.com/spreadsheets/d/1QqKyyYR6Q21VydFLVH3TRQUabQu_ym0Zz7PgGX0-kHA/edit?usp=sharing"",""แผน!EG22"")"),1600)</f>
        <v>1600</v>
      </c>
      <c r="J338" s="830">
        <f ca="1">IFERROR(__xludf.DUMMYFUNCTION("IMPORTRANGE(""https://docs.google.com/spreadsheets/d/1kVcqe37tkHyjCSG3S0O1AXqVkqjo8mSIZil3BcpIysc/edit?usp=sharing"",""ศูนย์!D22"")"),1000)</f>
        <v>1000</v>
      </c>
      <c r="K338" s="831">
        <f ca="1">IF(I338&gt;0,J338*100/I338,0)</f>
        <v>62.5</v>
      </c>
      <c r="L338" s="831"/>
      <c r="M338" s="831"/>
      <c r="N338" s="831"/>
      <c r="O338" s="831"/>
      <c r="P338" s="831"/>
    </row>
    <row r="339" spans="1:26" ht="18.75">
      <c r="A339" s="1032"/>
      <c r="B339" s="827"/>
      <c r="C339" s="1030"/>
      <c r="D339" s="956" t="s">
        <v>151</v>
      </c>
      <c r="E339" s="950"/>
      <c r="F339" s="827"/>
      <c r="G339" s="829"/>
      <c r="H339" s="277"/>
      <c r="I339" s="830"/>
      <c r="J339" s="830"/>
      <c r="K339" s="831"/>
      <c r="L339" s="831"/>
      <c r="M339" s="831"/>
      <c r="N339" s="831"/>
      <c r="O339" s="831"/>
      <c r="P339" s="831"/>
    </row>
    <row r="340" spans="1:26" ht="18.75">
      <c r="A340" s="1032"/>
      <c r="B340" s="827"/>
      <c r="C340" s="1030"/>
      <c r="D340" s="957"/>
      <c r="E340" s="956" t="s">
        <v>152</v>
      </c>
      <c r="F340" s="827"/>
      <c r="G340" s="829"/>
      <c r="H340" s="277" t="s">
        <v>153</v>
      </c>
      <c r="I340" s="830">
        <f ca="1">IFERROR(__xludf.DUMMYFUNCTION("IMPORTRANGE(""https://docs.google.com/spreadsheets/d/1QqKyyYR6Q21VydFLVH3TRQUabQu_ym0Zz7PgGX0-kHA/edit?usp=sharing"",""แผน!EH22"")"),8)</f>
        <v>8</v>
      </c>
      <c r="J340" s="830">
        <f ca="1">IFERROR(__xludf.DUMMYFUNCTION("IMPORTRANGE(""https://docs.google.com/spreadsheets/d/1kVcqe37tkHyjCSG3S0O1AXqVkqjo8mSIZil3BcpIysc/edit?usp=sharing"",""ศูนย์!E22"")"),4)</f>
        <v>4</v>
      </c>
      <c r="K340" s="831">
        <f ca="1">IF(I340&gt;0,J340*100/I340,0)</f>
        <v>50</v>
      </c>
      <c r="L340" s="831"/>
      <c r="M340" s="831"/>
      <c r="N340" s="831"/>
      <c r="O340" s="831"/>
      <c r="P340" s="831"/>
    </row>
    <row r="341" spans="1:26" ht="18.75">
      <c r="A341" s="1032"/>
      <c r="B341" s="827"/>
      <c r="C341" s="1030"/>
      <c r="D341" s="957"/>
      <c r="E341" s="956" t="s">
        <v>154</v>
      </c>
      <c r="F341" s="827"/>
      <c r="G341" s="829"/>
      <c r="H341" s="277" t="s">
        <v>35</v>
      </c>
      <c r="I341" s="830"/>
      <c r="J341" s="830">
        <f ca="1">IFERROR(__xludf.DUMMYFUNCTION("IMPORTRANGE(""https://docs.google.com/spreadsheets/d/1kVcqe37tkHyjCSG3S0O1AXqVkqjo8mSIZil3BcpIysc/edit?usp=sharing"",""ศูนย์!F22"")"),159)</f>
        <v>159</v>
      </c>
      <c r="K341" s="831"/>
      <c r="L341" s="831"/>
      <c r="M341" s="831"/>
      <c r="N341" s="831"/>
      <c r="O341" s="831"/>
      <c r="P341" s="831"/>
    </row>
    <row r="342" spans="1:26" ht="18.75">
      <c r="A342" s="1032"/>
      <c r="B342" s="827"/>
      <c r="C342" s="1030"/>
      <c r="D342" s="956" t="s">
        <v>155</v>
      </c>
      <c r="E342" s="957"/>
      <c r="F342" s="957"/>
      <c r="G342" s="829"/>
      <c r="H342" s="277" t="s">
        <v>35</v>
      </c>
      <c r="I342" s="830"/>
      <c r="J342" s="830">
        <f ca="1">IFERROR(__xludf.DUMMYFUNCTION("IMPORTRANGE(""https://docs.google.com/spreadsheets/d/1kVcqe37tkHyjCSG3S0O1AXqVkqjo8mSIZil3BcpIysc/edit?usp=sharing"",""ศูนย์!G22"")"),1)</f>
        <v>1</v>
      </c>
      <c r="K342" s="831"/>
      <c r="L342" s="831"/>
      <c r="M342" s="831"/>
      <c r="N342" s="831"/>
      <c r="O342" s="831"/>
      <c r="P342" s="831"/>
    </row>
    <row r="343" spans="1:26" ht="18.75">
      <c r="A343" s="1032"/>
      <c r="B343" s="827"/>
      <c r="C343" s="1030"/>
      <c r="D343" s="956" t="s">
        <v>156</v>
      </c>
      <c r="E343" s="957"/>
      <c r="F343" s="957"/>
      <c r="G343" s="829"/>
      <c r="H343" s="277" t="s">
        <v>35</v>
      </c>
      <c r="I343" s="830"/>
      <c r="J343" s="830">
        <f ca="1">IFERROR(__xludf.DUMMYFUNCTION("IMPORTRANGE(""https://docs.google.com/spreadsheets/d/1kVcqe37tkHyjCSG3S0O1AXqVkqjo8mSIZil3BcpIysc/edit?usp=sharing"",""ศูนย์!H22"")"),0)</f>
        <v>0</v>
      </c>
      <c r="K343" s="831"/>
      <c r="L343" s="831"/>
      <c r="M343" s="831"/>
      <c r="N343" s="831"/>
      <c r="O343" s="831"/>
      <c r="P343" s="831"/>
    </row>
    <row r="344" spans="1:26" ht="19.5">
      <c r="A344" s="1133"/>
      <c r="B344" s="1134" t="s">
        <v>157</v>
      </c>
      <c r="C344" s="1143"/>
      <c r="D344" s="1135"/>
      <c r="E344" s="1135"/>
      <c r="F344" s="1135"/>
      <c r="G344" s="1136"/>
      <c r="H344" s="412"/>
      <c r="I344" s="1144"/>
      <c r="J344" s="1144"/>
      <c r="K344" s="1139"/>
      <c r="L344" s="1139"/>
      <c r="M344" s="1139"/>
      <c r="N344" s="1139"/>
      <c r="O344" s="1139"/>
      <c r="P344" s="1139"/>
    </row>
    <row r="345" spans="1:26" ht="19.5">
      <c r="A345" s="932"/>
      <c r="B345" s="933"/>
      <c r="C345" s="934" t="s">
        <v>16</v>
      </c>
      <c r="D345" s="935" t="s">
        <v>17</v>
      </c>
      <c r="E345" s="933"/>
      <c r="F345" s="933"/>
      <c r="G345" s="936"/>
      <c r="H345" s="152" t="s">
        <v>12</v>
      </c>
      <c r="I345" s="937"/>
      <c r="J345" s="937"/>
      <c r="K345" s="938"/>
      <c r="L345" s="939">
        <f t="shared" ref="L345:N345" ca="1" si="155">L346+L347</f>
        <v>702430</v>
      </c>
      <c r="M345" s="939">
        <f t="shared" ca="1" si="155"/>
        <v>586035</v>
      </c>
      <c r="N345" s="939">
        <f t="shared" ca="1" si="155"/>
        <v>443343.66000000003</v>
      </c>
      <c r="O345" s="939">
        <f t="shared" ref="O345:O353" ca="1" si="156">IF(L345&gt;0,N345*100/L345,0)</f>
        <v>63.115706903178967</v>
      </c>
      <c r="P345" s="939">
        <f t="shared" ref="P345:P353" ca="1" si="157">IF(M345&gt;0,N345*100/M345,0)</f>
        <v>75.651396247664394</v>
      </c>
      <c r="Q345" s="818"/>
      <c r="R345" s="818"/>
      <c r="S345" s="818"/>
      <c r="T345" s="818"/>
      <c r="U345" s="818"/>
      <c r="V345" s="818"/>
      <c r="W345" s="818"/>
      <c r="X345" s="818"/>
      <c r="Y345" s="818"/>
      <c r="Z345" s="818"/>
    </row>
    <row r="346" spans="1:26" ht="18.75" hidden="1">
      <c r="A346" s="940"/>
      <c r="B346" s="833"/>
      <c r="C346" s="833"/>
      <c r="D346" s="833"/>
      <c r="E346" s="834" t="s">
        <v>18</v>
      </c>
      <c r="F346" s="833"/>
      <c r="G346" s="941"/>
      <c r="H346" s="158" t="s">
        <v>12</v>
      </c>
      <c r="I346" s="836"/>
      <c r="J346" s="836"/>
      <c r="K346" s="837"/>
      <c r="L346" s="837">
        <f t="shared" ref="L346:N347" si="158">L349+L352</f>
        <v>0</v>
      </c>
      <c r="M346" s="837">
        <f t="shared" si="158"/>
        <v>0</v>
      </c>
      <c r="N346" s="837">
        <f t="shared" si="158"/>
        <v>0</v>
      </c>
      <c r="O346" s="837">
        <f t="shared" si="156"/>
        <v>0</v>
      </c>
      <c r="P346" s="837">
        <f t="shared" si="157"/>
        <v>0</v>
      </c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</row>
    <row r="347" spans="1:26" ht="18.75" hidden="1">
      <c r="A347" s="940"/>
      <c r="B347" s="833"/>
      <c r="C347" s="833"/>
      <c r="D347" s="833"/>
      <c r="E347" s="834" t="s">
        <v>19</v>
      </c>
      <c r="F347" s="833"/>
      <c r="G347" s="941"/>
      <c r="H347" s="158" t="s">
        <v>12</v>
      </c>
      <c r="I347" s="836"/>
      <c r="J347" s="836"/>
      <c r="K347" s="837"/>
      <c r="L347" s="837">
        <f t="shared" ca="1" si="158"/>
        <v>702430</v>
      </c>
      <c r="M347" s="837">
        <f t="shared" ca="1" si="158"/>
        <v>586035</v>
      </c>
      <c r="N347" s="837">
        <f t="shared" ca="1" si="158"/>
        <v>443343.66000000003</v>
      </c>
      <c r="O347" s="837">
        <f t="shared" ca="1" si="156"/>
        <v>63.115706903178967</v>
      </c>
      <c r="P347" s="837">
        <f t="shared" ca="1" si="157"/>
        <v>75.651396247664394</v>
      </c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</row>
    <row r="348" spans="1:26" ht="18.75">
      <c r="A348" s="942"/>
      <c r="B348" s="827"/>
      <c r="C348" s="943"/>
      <c r="D348" s="828" t="s">
        <v>20</v>
      </c>
      <c r="E348" s="827"/>
      <c r="F348" s="827"/>
      <c r="G348" s="829"/>
      <c r="H348" s="778" t="s">
        <v>12</v>
      </c>
      <c r="I348" s="944"/>
      <c r="J348" s="944"/>
      <c r="K348" s="945"/>
      <c r="L348" s="831">
        <f t="shared" ref="L348:N348" ca="1" si="159">L349+L350</f>
        <v>493630</v>
      </c>
      <c r="M348" s="831">
        <f t="shared" ca="1" si="159"/>
        <v>377235</v>
      </c>
      <c r="N348" s="831">
        <f t="shared" ca="1" si="159"/>
        <v>234543.66</v>
      </c>
      <c r="O348" s="831">
        <f t="shared" ca="1" si="156"/>
        <v>47.51406113890971</v>
      </c>
      <c r="P348" s="831">
        <f t="shared" ca="1" si="157"/>
        <v>62.174416477792356</v>
      </c>
      <c r="Q348" s="818"/>
      <c r="R348" s="818"/>
      <c r="S348" s="818"/>
      <c r="T348" s="818"/>
      <c r="U348" s="818"/>
      <c r="V348" s="818"/>
      <c r="W348" s="818"/>
      <c r="X348" s="818"/>
      <c r="Y348" s="818"/>
      <c r="Z348" s="818"/>
    </row>
    <row r="349" spans="1:26" ht="19.5" hidden="1">
      <c r="A349" s="940"/>
      <c r="B349" s="833"/>
      <c r="C349" s="946"/>
      <c r="D349" s="833"/>
      <c r="E349" s="834" t="s">
        <v>36</v>
      </c>
      <c r="F349" s="833"/>
      <c r="G349" s="941"/>
      <c r="H349" s="165" t="s">
        <v>12</v>
      </c>
      <c r="I349" s="947"/>
      <c r="J349" s="947"/>
      <c r="K349" s="948"/>
      <c r="L349" s="837">
        <v>0</v>
      </c>
      <c r="M349" s="837">
        <v>0</v>
      </c>
      <c r="N349" s="837">
        <v>0</v>
      </c>
      <c r="O349" s="837">
        <f t="shared" si="156"/>
        <v>0</v>
      </c>
      <c r="P349" s="837">
        <f t="shared" si="157"/>
        <v>0</v>
      </c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</row>
    <row r="350" spans="1:26" ht="19.5" hidden="1">
      <c r="A350" s="940"/>
      <c r="B350" s="833"/>
      <c r="C350" s="946"/>
      <c r="D350" s="833"/>
      <c r="E350" s="834" t="s">
        <v>37</v>
      </c>
      <c r="F350" s="833"/>
      <c r="G350" s="941"/>
      <c r="H350" s="165" t="s">
        <v>12</v>
      </c>
      <c r="I350" s="947"/>
      <c r="J350" s="947"/>
      <c r="K350" s="948"/>
      <c r="L350" s="837">
        <f ca="1">IFERROR(__xludf.DUMMYFUNCTION("IMPORTRANGE(""https://docs.google.com/spreadsheets/d/1MeEWN-I1oV_STSDYn1IFDPWt_1FKiwhDph83XaGc0o0/edit?usp=sharing"",""งบพรบ!EW22"")"),493630)</f>
        <v>493630</v>
      </c>
      <c r="M350" s="837">
        <f ca="1">IFERROR(__xludf.DUMMYFUNCTION("IMPORTRANGE(""https://docs.google.com/spreadsheets/d/1MeEWN-I1oV_STSDYn1IFDPWt_1FKiwhDph83XaGc0o0/edit?usp=sharing"",""งบพรบ!FB22"")"),377235)</f>
        <v>377235</v>
      </c>
      <c r="N350" s="837">
        <f ca="1">IFERROR(__xludf.DUMMYFUNCTION("IMPORTRANGE(""https://docs.google.com/spreadsheets/d/1MeEWN-I1oV_STSDYn1IFDPWt_1FKiwhDph83XaGc0o0/edit?usp=sharing"",""งบพรบ!FD22"")"),234543.66)</f>
        <v>234543.66</v>
      </c>
      <c r="O350" s="837">
        <f t="shared" ca="1" si="156"/>
        <v>47.51406113890971</v>
      </c>
      <c r="P350" s="837">
        <f t="shared" ca="1" si="157"/>
        <v>62.174416477792356</v>
      </c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</row>
    <row r="351" spans="1:26" ht="18.75">
      <c r="A351" s="942"/>
      <c r="B351" s="827"/>
      <c r="C351" s="943"/>
      <c r="D351" s="828" t="s">
        <v>21</v>
      </c>
      <c r="E351" s="827"/>
      <c r="F351" s="827"/>
      <c r="G351" s="829"/>
      <c r="H351" s="168" t="s">
        <v>12</v>
      </c>
      <c r="I351" s="944"/>
      <c r="J351" s="944"/>
      <c r="K351" s="945"/>
      <c r="L351" s="831">
        <f t="shared" ref="L351:N351" ca="1" si="160">L352+L353</f>
        <v>208800</v>
      </c>
      <c r="M351" s="831">
        <f t="shared" ca="1" si="160"/>
        <v>208800</v>
      </c>
      <c r="N351" s="831">
        <f t="shared" ca="1" si="160"/>
        <v>208800</v>
      </c>
      <c r="O351" s="831">
        <f t="shared" ca="1" si="156"/>
        <v>100</v>
      </c>
      <c r="P351" s="831">
        <f t="shared" ca="1" si="157"/>
        <v>100</v>
      </c>
      <c r="Q351" s="818"/>
      <c r="R351" s="818"/>
      <c r="S351" s="818"/>
      <c r="T351" s="818"/>
      <c r="U351" s="818"/>
      <c r="V351" s="818"/>
      <c r="W351" s="818"/>
      <c r="X351" s="818"/>
      <c r="Y351" s="818"/>
      <c r="Z351" s="818"/>
    </row>
    <row r="352" spans="1:26" ht="19.5" hidden="1">
      <c r="A352" s="940"/>
      <c r="B352" s="833"/>
      <c r="C352" s="946"/>
      <c r="D352" s="833"/>
      <c r="E352" s="834" t="s">
        <v>18</v>
      </c>
      <c r="F352" s="833"/>
      <c r="G352" s="941"/>
      <c r="H352" s="165" t="s">
        <v>12</v>
      </c>
      <c r="I352" s="947"/>
      <c r="J352" s="947"/>
      <c r="K352" s="948"/>
      <c r="L352" s="837">
        <v>0</v>
      </c>
      <c r="M352" s="837">
        <v>0</v>
      </c>
      <c r="N352" s="837">
        <v>0</v>
      </c>
      <c r="O352" s="837">
        <f t="shared" si="156"/>
        <v>0</v>
      </c>
      <c r="P352" s="837">
        <f t="shared" si="157"/>
        <v>0</v>
      </c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</row>
    <row r="353" spans="1:26" ht="19.5" hidden="1">
      <c r="A353" s="940"/>
      <c r="B353" s="833"/>
      <c r="C353" s="946"/>
      <c r="D353" s="833"/>
      <c r="E353" s="834" t="s">
        <v>19</v>
      </c>
      <c r="F353" s="833"/>
      <c r="G353" s="941"/>
      <c r="H353" s="169" t="s">
        <v>12</v>
      </c>
      <c r="I353" s="947"/>
      <c r="J353" s="947"/>
      <c r="K353" s="948"/>
      <c r="L353" s="837">
        <f ca="1">IFERROR(__xludf.DUMMYFUNCTION("IMPORTRANGE(""https://docs.google.com/spreadsheets/d/1MeEWN-I1oV_STSDYn1IFDPWt_1FKiwhDph83XaGc0o0/edit?usp=sharing"",""งบพรบ!EZ22"")"),208800)</f>
        <v>208800</v>
      </c>
      <c r="M353" s="837">
        <f ca="1">IFERROR(__xludf.DUMMYFUNCTION("IMPORTRANGE(""https://docs.google.com/spreadsheets/d/1MeEWN-I1oV_STSDYn1IFDPWt_1FKiwhDph83XaGc0o0/edit?usp=sharing"",""งบพรบ!FC22"")"),208800)</f>
        <v>208800</v>
      </c>
      <c r="N353" s="837">
        <f ca="1">IFERROR(__xludf.DUMMYFUNCTION("IMPORTRANGE(""https://docs.google.com/spreadsheets/d/1MeEWN-I1oV_STSDYn1IFDPWt_1FKiwhDph83XaGc0o0/edit?usp=sharing"",""งบพรบ!FE22"")"),208800)</f>
        <v>208800</v>
      </c>
      <c r="O353" s="837">
        <f t="shared" ca="1" si="156"/>
        <v>100</v>
      </c>
      <c r="P353" s="837">
        <f t="shared" ca="1" si="157"/>
        <v>100</v>
      </c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</row>
    <row r="354" spans="1:26" ht="19.5">
      <c r="A354" s="1011"/>
      <c r="B354" s="1018"/>
      <c r="C354" s="1012"/>
      <c r="D354" s="1145" t="s">
        <v>158</v>
      </c>
      <c r="E354" s="1012"/>
      <c r="F354" s="1012"/>
      <c r="G354" s="1014"/>
      <c r="H354" s="1146"/>
      <c r="I354" s="1015"/>
      <c r="J354" s="1015"/>
      <c r="K354" s="1016"/>
      <c r="L354" s="1016"/>
      <c r="M354" s="1016"/>
      <c r="N354" s="1016"/>
      <c r="O354" s="1016"/>
      <c r="P354" s="1016"/>
    </row>
    <row r="355" spans="1:26" ht="19.5">
      <c r="A355" s="1147"/>
      <c r="B355" s="1148"/>
      <c r="C355" s="1149"/>
      <c r="D355" s="1150" t="s">
        <v>159</v>
      </c>
      <c r="E355" s="1151"/>
      <c r="F355" s="1151"/>
      <c r="G355" s="1152"/>
      <c r="H355" s="431" t="s">
        <v>35</v>
      </c>
      <c r="I355" s="1153">
        <f ca="1">IFERROR(__xludf.DUMMYFUNCTION("IMPORTRANGE(""https://docs.google.com/spreadsheets/d/1QqKyyYR6Q21VydFLVH3TRQUabQu_ym0Zz7PgGX0-kHA/edit?usp=sharing"",""แผน!EP22"")"),190)</f>
        <v>190</v>
      </c>
      <c r="J355" s="1153">
        <f ca="1">J362</f>
        <v>20</v>
      </c>
      <c r="K355" s="1154">
        <f ca="1">IF(I355&gt;0,J355*100/I355,0)</f>
        <v>10.526315789473685</v>
      </c>
      <c r="L355" s="1155"/>
      <c r="M355" s="1155"/>
      <c r="N355" s="1155"/>
      <c r="O355" s="1155"/>
      <c r="P355" s="1155"/>
    </row>
    <row r="356" spans="1:26" ht="19.5">
      <c r="A356" s="1147"/>
      <c r="B356" s="1148"/>
      <c r="C356" s="1149"/>
      <c r="D356" s="1156" t="s">
        <v>160</v>
      </c>
      <c r="E356" s="1151"/>
      <c r="F356" s="1151"/>
      <c r="G356" s="1152"/>
      <c r="H356" s="1157"/>
      <c r="I356" s="1158"/>
      <c r="J356" s="1158"/>
      <c r="K356" s="1155"/>
      <c r="L356" s="1155"/>
      <c r="M356" s="1155"/>
      <c r="N356" s="1155"/>
      <c r="O356" s="1155"/>
      <c r="P356" s="1155"/>
    </row>
    <row r="357" spans="1:26" ht="19.5">
      <c r="A357" s="949"/>
      <c r="B357" s="950"/>
      <c r="C357" s="946" t="s">
        <v>16</v>
      </c>
      <c r="D357" s="951" t="s">
        <v>38</v>
      </c>
      <c r="E357" s="952"/>
      <c r="F357" s="952"/>
      <c r="G357" s="953"/>
      <c r="H357" s="954"/>
      <c r="I357" s="830"/>
      <c r="J357" s="830"/>
      <c r="K357" s="831"/>
      <c r="L357" s="945"/>
      <c r="M357" s="945"/>
      <c r="N357" s="945"/>
      <c r="O357" s="945"/>
      <c r="P357" s="945"/>
    </row>
    <row r="358" spans="1:26" ht="18.75">
      <c r="A358" s="949"/>
      <c r="B358" s="957"/>
      <c r="C358" s="950"/>
      <c r="D358" s="957"/>
      <c r="E358" s="955" t="s">
        <v>161</v>
      </c>
      <c r="F358" s="957"/>
      <c r="G358" s="958"/>
      <c r="H358" s="777" t="s">
        <v>35</v>
      </c>
      <c r="I358" s="830">
        <v>0</v>
      </c>
      <c r="J358" s="830">
        <f ca="1">IFERROR(__xludf.DUMMYFUNCTION("IMPORTRANGE(""https://docs.google.com/spreadsheets/d/1XWAQStnk-4SwqDmLtmXYiTMKHgktTP8We1SCoS47DrQ/edit?usp=sharing"",""จัดที่ดิน!W22"")"),52)</f>
        <v>52</v>
      </c>
      <c r="K358" s="831">
        <f t="shared" ref="K358:K365" si="161">IF(I358&gt;0,J358*100/I358,0)</f>
        <v>0</v>
      </c>
      <c r="L358" s="945"/>
      <c r="M358" s="945"/>
      <c r="N358" s="945"/>
      <c r="O358" s="945"/>
      <c r="P358" s="945"/>
    </row>
    <row r="359" spans="1:26" ht="18.75">
      <c r="A359" s="949"/>
      <c r="B359" s="957"/>
      <c r="C359" s="950"/>
      <c r="D359" s="957"/>
      <c r="E359" s="957"/>
      <c r="F359" s="957"/>
      <c r="G359" s="958"/>
      <c r="H359" s="777" t="s">
        <v>46</v>
      </c>
      <c r="I359" s="830">
        <f ca="1">IFERROR(__xludf.DUMMYFUNCTION("IMPORTRANGE(""https://docs.google.com/spreadsheets/d/1QqKyyYR6Q21VydFLVH3TRQUabQu_ym0Zz7PgGX0-kHA/edit?usp=sharing"",""แผน!EO22"")"),1850)</f>
        <v>1850</v>
      </c>
      <c r="J359" s="830">
        <f ca="1">IFERROR(__xludf.DUMMYFUNCTION("IMPORTRANGE(""https://docs.google.com/spreadsheets/d/1XWAQStnk-4SwqDmLtmXYiTMKHgktTP8We1SCoS47DrQ/edit?usp=sharing"",""จัดที่ดิน!X22"")"),527.94)</f>
        <v>527.94000000000005</v>
      </c>
      <c r="K359" s="831">
        <f t="shared" ca="1" si="161"/>
        <v>28.5372972972973</v>
      </c>
      <c r="L359" s="945"/>
      <c r="M359" s="945"/>
      <c r="N359" s="945"/>
      <c r="O359" s="945"/>
      <c r="P359" s="945"/>
    </row>
    <row r="360" spans="1:26" ht="18.75">
      <c r="A360" s="949"/>
      <c r="B360" s="957"/>
      <c r="C360" s="950"/>
      <c r="D360" s="957"/>
      <c r="E360" s="955" t="s">
        <v>162</v>
      </c>
      <c r="F360" s="957"/>
      <c r="G360" s="958"/>
      <c r="H360" s="730" t="s">
        <v>35</v>
      </c>
      <c r="I360" s="830">
        <f ca="1">IFERROR(__xludf.DUMMYFUNCTION("IMPORTRANGE(""https://docs.google.com/spreadsheets/d/1QqKyyYR6Q21VydFLVH3TRQUabQu_ym0Zz7PgGX0-kHA/edit?usp=sharing"",""แผน!EP22"")"),190)</f>
        <v>190</v>
      </c>
      <c r="J360" s="830">
        <f ca="1">IFERROR(__xludf.DUMMYFUNCTION("IMPORTRANGE(""https://docs.google.com/spreadsheets/d/1XWAQStnk-4SwqDmLtmXYiTMKHgktTP8We1SCoS47DrQ/edit?usp=sharing"",""จัดที่ดิน!Y22"")"),55)</f>
        <v>55</v>
      </c>
      <c r="K360" s="831">
        <f t="shared" ca="1" si="161"/>
        <v>28.94736842105263</v>
      </c>
      <c r="L360" s="945"/>
      <c r="M360" s="945"/>
      <c r="N360" s="945"/>
      <c r="O360" s="945"/>
      <c r="P360" s="945"/>
    </row>
    <row r="361" spans="1:26" ht="18.75">
      <c r="A361" s="949"/>
      <c r="B361" s="957"/>
      <c r="C361" s="950"/>
      <c r="D361" s="957"/>
      <c r="E361" s="957"/>
      <c r="F361" s="957"/>
      <c r="G361" s="958"/>
      <c r="H361" s="730" t="s">
        <v>46</v>
      </c>
      <c r="I361" s="830">
        <v>0</v>
      </c>
      <c r="J361" s="830">
        <f ca="1">IFERROR(__xludf.DUMMYFUNCTION("IMPORTRANGE(""https://docs.google.com/spreadsheets/d/1XWAQStnk-4SwqDmLtmXYiTMKHgktTP8We1SCoS47DrQ/edit?usp=sharing"",""จัดที่ดิน!Z22"")"),613.88)</f>
        <v>613.88</v>
      </c>
      <c r="K361" s="831">
        <f t="shared" si="161"/>
        <v>0</v>
      </c>
      <c r="L361" s="945"/>
      <c r="M361" s="945"/>
      <c r="N361" s="945"/>
      <c r="O361" s="945"/>
      <c r="P361" s="945"/>
    </row>
    <row r="362" spans="1:26" ht="18.75">
      <c r="A362" s="949"/>
      <c r="B362" s="957"/>
      <c r="C362" s="950"/>
      <c r="D362" s="957"/>
      <c r="E362" s="955" t="s">
        <v>163</v>
      </c>
      <c r="F362" s="957"/>
      <c r="G362" s="958"/>
      <c r="H362" s="730" t="s">
        <v>35</v>
      </c>
      <c r="I362" s="830">
        <f ca="1">IFERROR(__xludf.DUMMYFUNCTION("IMPORTRANGE(""https://docs.google.com/spreadsheets/d/1QqKyyYR6Q21VydFLVH3TRQUabQu_ym0Zz7PgGX0-kHA/edit?usp=sharing"",""แผน!EP22"")"),190)</f>
        <v>190</v>
      </c>
      <c r="J362" s="830">
        <f ca="1">IFERROR(__xludf.DUMMYFUNCTION("IMPORTRANGE(""https://docs.google.com/spreadsheets/d/1XWAQStnk-4SwqDmLtmXYiTMKHgktTP8We1SCoS47DrQ/edit?usp=sharing"",""จัดที่ดิน!AA22"")"),20)</f>
        <v>20</v>
      </c>
      <c r="K362" s="831">
        <f t="shared" ca="1" si="161"/>
        <v>10.526315789473685</v>
      </c>
      <c r="L362" s="945"/>
      <c r="M362" s="945"/>
      <c r="N362" s="945"/>
      <c r="O362" s="945"/>
      <c r="P362" s="945"/>
    </row>
    <row r="363" spans="1:26" ht="18.75">
      <c r="A363" s="1159" t="s">
        <v>164</v>
      </c>
      <c r="B363" s="957"/>
      <c r="C363" s="950"/>
      <c r="D363" s="957"/>
      <c r="E363" s="956"/>
      <c r="F363" s="957"/>
      <c r="G363" s="958"/>
      <c r="H363" s="730" t="s">
        <v>46</v>
      </c>
      <c r="I363" s="830">
        <v>0</v>
      </c>
      <c r="J363" s="830">
        <f ca="1">IFERROR(__xludf.DUMMYFUNCTION("IMPORTRANGE(""https://docs.google.com/spreadsheets/d/1XWAQStnk-4SwqDmLtmXYiTMKHgktTP8We1SCoS47DrQ/edit?usp=sharing"",""จัดที่ดิน!AB22"")"),144.29)</f>
        <v>144.29</v>
      </c>
      <c r="K363" s="831">
        <f t="shared" si="161"/>
        <v>0</v>
      </c>
      <c r="L363" s="945"/>
      <c r="M363" s="945"/>
      <c r="N363" s="945"/>
      <c r="O363" s="945"/>
      <c r="P363" s="945"/>
    </row>
    <row r="364" spans="1:26" ht="19.5">
      <c r="A364" s="1160"/>
      <c r="B364" s="1161"/>
      <c r="C364" s="1162"/>
      <c r="D364" s="1163" t="s">
        <v>165</v>
      </c>
      <c r="E364" s="1164"/>
      <c r="F364" s="1164"/>
      <c r="G364" s="1165"/>
      <c r="H364" s="446" t="s">
        <v>35</v>
      </c>
      <c r="I364" s="1166">
        <f t="shared" ref="I364:J364" ca="1" si="162">I365+I374</f>
        <v>530</v>
      </c>
      <c r="J364" s="1166">
        <f t="shared" ca="1" si="162"/>
        <v>68</v>
      </c>
      <c r="K364" s="1167">
        <f t="shared" ca="1" si="161"/>
        <v>12.830188679245284</v>
      </c>
      <c r="L364" s="1168"/>
      <c r="M364" s="1168"/>
      <c r="N364" s="1168"/>
      <c r="O364" s="1168"/>
      <c r="P364" s="1168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69"/>
      <c r="B365" s="1170"/>
      <c r="C365" s="1171"/>
      <c r="D365" s="1171" t="s">
        <v>166</v>
      </c>
      <c r="E365" s="1172"/>
      <c r="F365" s="1172"/>
      <c r="G365" s="1173"/>
      <c r="H365" s="457" t="s">
        <v>35</v>
      </c>
      <c r="I365" s="1174">
        <f ca="1">IFERROR(__xludf.DUMMYFUNCTION("IMPORTRANGE(""https://docs.google.com/spreadsheets/d/1QqKyyYR6Q21VydFLVH3TRQUabQu_ym0Zz7PgGX0-kHA/edit?usp=sharing"",""แผน!EJ22"")"),150)</f>
        <v>150</v>
      </c>
      <c r="J365" s="1174">
        <f ca="1">J372</f>
        <v>0</v>
      </c>
      <c r="K365" s="1175">
        <f t="shared" ca="1" si="161"/>
        <v>0</v>
      </c>
      <c r="L365" s="1176"/>
      <c r="M365" s="1176"/>
      <c r="N365" s="1176"/>
      <c r="O365" s="1176"/>
      <c r="P365" s="1176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69"/>
      <c r="B366" s="1170"/>
      <c r="C366" s="1171"/>
      <c r="D366" s="1177" t="s">
        <v>167</v>
      </c>
      <c r="E366" s="1172"/>
      <c r="F366" s="1172"/>
      <c r="G366" s="1173"/>
      <c r="H366" s="1178"/>
      <c r="I366" s="1179"/>
      <c r="J366" s="1179"/>
      <c r="K366" s="1176"/>
      <c r="L366" s="1176"/>
      <c r="M366" s="1176"/>
      <c r="N366" s="1176"/>
      <c r="O366" s="1176"/>
      <c r="P366" s="1176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49"/>
      <c r="B367" s="950"/>
      <c r="C367" s="946" t="s">
        <v>16</v>
      </c>
      <c r="D367" s="951" t="s">
        <v>38</v>
      </c>
      <c r="E367" s="952"/>
      <c r="F367" s="952"/>
      <c r="G367" s="953"/>
      <c r="H367" s="954"/>
      <c r="I367" s="830"/>
      <c r="J367" s="830"/>
      <c r="K367" s="831"/>
      <c r="L367" s="945"/>
      <c r="M367" s="945"/>
      <c r="N367" s="945"/>
      <c r="O367" s="945"/>
      <c r="P367" s="945"/>
    </row>
    <row r="368" spans="1:26" ht="18.75">
      <c r="A368" s="949"/>
      <c r="B368" s="957"/>
      <c r="C368" s="950"/>
      <c r="D368" s="957"/>
      <c r="E368" s="955" t="s">
        <v>161</v>
      </c>
      <c r="F368" s="957"/>
      <c r="G368" s="958"/>
      <c r="H368" s="777" t="s">
        <v>35</v>
      </c>
      <c r="I368" s="830">
        <v>0</v>
      </c>
      <c r="J368" s="830">
        <f ca="1">IFERROR(__xludf.DUMMYFUNCTION("IMPORTRANGE(""https://docs.google.com/spreadsheets/d/1XWAQStnk-4SwqDmLtmXYiTMKHgktTP8We1SCoS47DrQ/edit?usp=sharing"",""จัดที่ดิน!E22"")"),31)</f>
        <v>31</v>
      </c>
      <c r="K368" s="831">
        <f t="shared" ref="K368:K374" si="163">IF(I368&gt;0,J368*100/I368,0)</f>
        <v>0</v>
      </c>
      <c r="L368" s="945"/>
      <c r="M368" s="945"/>
      <c r="N368" s="945"/>
      <c r="O368" s="945"/>
      <c r="P368" s="945"/>
    </row>
    <row r="369" spans="1:26" ht="18.75">
      <c r="A369" s="949"/>
      <c r="B369" s="957"/>
      <c r="C369" s="950"/>
      <c r="D369" s="957"/>
      <c r="E369" s="957"/>
      <c r="F369" s="957"/>
      <c r="G369" s="958"/>
      <c r="H369" s="777" t="s">
        <v>46</v>
      </c>
      <c r="I369" s="830">
        <f ca="1">IFERROR(__xludf.DUMMYFUNCTION("IMPORTRANGE(""https://docs.google.com/spreadsheets/d/1QqKyyYR6Q21VydFLVH3TRQUabQu_ym0Zz7PgGX0-kHA/edit?usp=sharing"",""แผน!EI22"")"),1500)</f>
        <v>1500</v>
      </c>
      <c r="J369" s="830">
        <f ca="1">IFERROR(__xludf.DUMMYFUNCTION("IMPORTRANGE(""https://docs.google.com/spreadsheets/d/1XWAQStnk-4SwqDmLtmXYiTMKHgktTP8We1SCoS47DrQ/edit?usp=sharing"",""จัดที่ดิน!F22"")"),383.55)</f>
        <v>383.55</v>
      </c>
      <c r="K369" s="831">
        <f t="shared" ca="1" si="163"/>
        <v>25.57</v>
      </c>
      <c r="L369" s="945"/>
      <c r="M369" s="945"/>
      <c r="N369" s="945"/>
      <c r="O369" s="945"/>
      <c r="P369" s="945"/>
    </row>
    <row r="370" spans="1:26" ht="18.75">
      <c r="A370" s="949"/>
      <c r="B370" s="957"/>
      <c r="C370" s="950"/>
      <c r="D370" s="957"/>
      <c r="E370" s="955" t="s">
        <v>162</v>
      </c>
      <c r="F370" s="957"/>
      <c r="G370" s="958"/>
      <c r="H370" s="730" t="s">
        <v>35</v>
      </c>
      <c r="I370" s="830">
        <f ca="1">IFERROR(__xludf.DUMMYFUNCTION("IMPORTRANGE(""https://docs.google.com/spreadsheets/d/1QqKyyYR6Q21VydFLVH3TRQUabQu_ym0Zz7PgGX0-kHA/edit?usp=sharing"",""แผน!EJ22"")"),150)</f>
        <v>150</v>
      </c>
      <c r="J370" s="830">
        <f ca="1">IFERROR(__xludf.DUMMYFUNCTION("IMPORTRANGE(""https://docs.google.com/spreadsheets/d/1XWAQStnk-4SwqDmLtmXYiTMKHgktTP8We1SCoS47DrQ/edit?usp=sharing"",""จัดที่ดิน!G22"")"),34)</f>
        <v>34</v>
      </c>
      <c r="K370" s="831">
        <f t="shared" ca="1" si="163"/>
        <v>22.666666666666668</v>
      </c>
      <c r="L370" s="945"/>
      <c r="M370" s="945"/>
      <c r="N370" s="945"/>
      <c r="O370" s="945"/>
      <c r="P370" s="945"/>
    </row>
    <row r="371" spans="1:26" ht="18.75">
      <c r="A371" s="949"/>
      <c r="B371" s="957"/>
      <c r="C371" s="950"/>
      <c r="D371" s="957"/>
      <c r="E371" s="957"/>
      <c r="F371" s="957"/>
      <c r="G371" s="958"/>
      <c r="H371" s="730" t="s">
        <v>46</v>
      </c>
      <c r="I371" s="830">
        <v>0</v>
      </c>
      <c r="J371" s="830">
        <f ca="1">IFERROR(__xludf.DUMMYFUNCTION("IMPORTRANGE(""https://docs.google.com/spreadsheets/d/1XWAQStnk-4SwqDmLtmXYiTMKHgktTP8We1SCoS47DrQ/edit?usp=sharing"",""จัดที่ดิน!H22"")"),469.49)</f>
        <v>469.49</v>
      </c>
      <c r="K371" s="831">
        <f t="shared" si="163"/>
        <v>0</v>
      </c>
      <c r="L371" s="945"/>
      <c r="M371" s="945"/>
      <c r="N371" s="945"/>
      <c r="O371" s="945"/>
      <c r="P371" s="945"/>
    </row>
    <row r="372" spans="1:26" ht="18.75">
      <c r="A372" s="949"/>
      <c r="B372" s="957"/>
      <c r="C372" s="950"/>
      <c r="D372" s="957"/>
      <c r="E372" s="955" t="s">
        <v>163</v>
      </c>
      <c r="F372" s="957"/>
      <c r="G372" s="958"/>
      <c r="H372" s="730" t="s">
        <v>35</v>
      </c>
      <c r="I372" s="830">
        <f ca="1">IFERROR(__xludf.DUMMYFUNCTION("IMPORTRANGE(""https://docs.google.com/spreadsheets/d/1QqKyyYR6Q21VydFLVH3TRQUabQu_ym0Zz7PgGX0-kHA/edit?usp=sharing"",""แผน!EJ22"")"),150)</f>
        <v>150</v>
      </c>
      <c r="J372" s="830">
        <f ca="1">IFERROR(__xludf.DUMMYFUNCTION("IMPORTRANGE(""https://docs.google.com/spreadsheets/d/1XWAQStnk-4SwqDmLtmXYiTMKHgktTP8We1SCoS47DrQ/edit?usp=sharing"",""จัดที่ดิน!I22"")"),0)</f>
        <v>0</v>
      </c>
      <c r="K372" s="831">
        <f t="shared" ca="1" si="163"/>
        <v>0</v>
      </c>
      <c r="L372" s="945"/>
      <c r="M372" s="945"/>
      <c r="N372" s="945"/>
      <c r="O372" s="945"/>
      <c r="P372" s="945"/>
    </row>
    <row r="373" spans="1:26" ht="18.75">
      <c r="A373" s="1159" t="s">
        <v>164</v>
      </c>
      <c r="B373" s="957"/>
      <c r="C373" s="950"/>
      <c r="D373" s="957"/>
      <c r="E373" s="956"/>
      <c r="F373" s="957"/>
      <c r="G373" s="958"/>
      <c r="H373" s="730" t="s">
        <v>46</v>
      </c>
      <c r="I373" s="830">
        <v>0</v>
      </c>
      <c r="J373" s="830">
        <f ca="1">IFERROR(__xludf.DUMMYFUNCTION("IMPORTRANGE(""https://docs.google.com/spreadsheets/d/1XWAQStnk-4SwqDmLtmXYiTMKHgktTP8We1SCoS47DrQ/edit?usp=sharing"",""จัดที่ดิน!J22"")"),0)</f>
        <v>0</v>
      </c>
      <c r="K373" s="831">
        <f t="shared" si="163"/>
        <v>0</v>
      </c>
      <c r="L373" s="945"/>
      <c r="M373" s="945"/>
      <c r="N373" s="945"/>
      <c r="O373" s="945"/>
      <c r="P373" s="945"/>
    </row>
    <row r="374" spans="1:26" ht="19.5">
      <c r="A374" s="1169"/>
      <c r="B374" s="1170"/>
      <c r="C374" s="1171"/>
      <c r="D374" s="1171" t="s">
        <v>168</v>
      </c>
      <c r="E374" s="1172"/>
      <c r="F374" s="1172"/>
      <c r="G374" s="1173"/>
      <c r="H374" s="457" t="s">
        <v>35</v>
      </c>
      <c r="I374" s="1180">
        <f ca="1">IFERROR(__xludf.DUMMYFUNCTION("IMPORTRANGE(""https://docs.google.com/spreadsheets/d/1QqKyyYR6Q21VydFLVH3TRQUabQu_ym0Zz7PgGX0-kHA/edit?usp=sharing"",""แผน!EU22"")"),380)</f>
        <v>380</v>
      </c>
      <c r="J374" s="1174">
        <f ca="1">J381</f>
        <v>68</v>
      </c>
      <c r="K374" s="1175">
        <f t="shared" ca="1" si="163"/>
        <v>17.894736842105264</v>
      </c>
      <c r="L374" s="1176"/>
      <c r="M374" s="1176"/>
      <c r="N374" s="1176"/>
      <c r="O374" s="1176"/>
      <c r="P374" s="1176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69"/>
      <c r="B375" s="1170"/>
      <c r="C375" s="1171"/>
      <c r="D375" s="1177" t="s">
        <v>169</v>
      </c>
      <c r="E375" s="1172"/>
      <c r="F375" s="1172"/>
      <c r="G375" s="1173"/>
      <c r="H375" s="1178"/>
      <c r="I375" s="1179"/>
      <c r="J375" s="1179"/>
      <c r="K375" s="1176"/>
      <c r="L375" s="1176"/>
      <c r="M375" s="1176"/>
      <c r="N375" s="1176"/>
      <c r="O375" s="1176"/>
      <c r="P375" s="1176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49"/>
      <c r="B376" s="950"/>
      <c r="C376" s="946" t="s">
        <v>16</v>
      </c>
      <c r="D376" s="951" t="s">
        <v>38</v>
      </c>
      <c r="E376" s="952"/>
      <c r="F376" s="952"/>
      <c r="G376" s="953"/>
      <c r="H376" s="954"/>
      <c r="I376" s="830"/>
      <c r="J376" s="830"/>
      <c r="K376" s="831"/>
      <c r="L376" s="945"/>
      <c r="M376" s="945"/>
      <c r="N376" s="945"/>
      <c r="O376" s="945"/>
      <c r="P376" s="945"/>
    </row>
    <row r="377" spans="1:26" ht="18.75">
      <c r="A377" s="949"/>
      <c r="B377" s="957"/>
      <c r="C377" s="950"/>
      <c r="D377" s="957"/>
      <c r="E377" s="955" t="s">
        <v>161</v>
      </c>
      <c r="F377" s="957"/>
      <c r="G377" s="958"/>
      <c r="H377" s="777" t="s">
        <v>35</v>
      </c>
      <c r="I377" s="830">
        <v>0</v>
      </c>
      <c r="J377" s="830">
        <f ca="1">IFERROR(__xludf.DUMMYFUNCTION("IMPORTRANGE(""https://docs.google.com/spreadsheets/d/1XWAQStnk-4SwqDmLtmXYiTMKHgktTP8We1SCoS47DrQ/edit?usp=sharing"",""จัดที่ดิน!AH22"")"),21)</f>
        <v>21</v>
      </c>
      <c r="K377" s="831">
        <f t="shared" ref="K377:K382" si="164">IF(I377&gt;0,J377*100/I377,0)</f>
        <v>0</v>
      </c>
      <c r="L377" s="945"/>
      <c r="M377" s="945"/>
      <c r="N377" s="945"/>
      <c r="O377" s="945"/>
      <c r="P377" s="945"/>
    </row>
    <row r="378" spans="1:26" ht="18.75">
      <c r="A378" s="949"/>
      <c r="B378" s="957"/>
      <c r="C378" s="950"/>
      <c r="D378" s="957"/>
      <c r="E378" s="957"/>
      <c r="F378" s="957"/>
      <c r="G378" s="958"/>
      <c r="H378" s="777" t="s">
        <v>46</v>
      </c>
      <c r="I378" s="830">
        <f ca="1">IFERROR(__xludf.DUMMYFUNCTION("IMPORTRANGE(""https://docs.google.com/spreadsheets/d/1QqKyyYR6Q21VydFLVH3TRQUabQu_ym0Zz7PgGX0-kHA/edit?usp=sharing"",""แผน!ET22"")"),350)</f>
        <v>350</v>
      </c>
      <c r="J378" s="830">
        <f ca="1">IFERROR(__xludf.DUMMYFUNCTION("IMPORTRANGE(""https://docs.google.com/spreadsheets/d/1XWAQStnk-4SwqDmLtmXYiTMKHgktTP8We1SCoS47DrQ/edit?usp=sharing"",""จัดที่ดิน!AI22"")"),144.39)</f>
        <v>144.38999999999999</v>
      </c>
      <c r="K378" s="831">
        <f t="shared" ca="1" si="164"/>
        <v>41.254285714285707</v>
      </c>
      <c r="L378" s="945"/>
      <c r="M378" s="945"/>
      <c r="N378" s="945"/>
      <c r="O378" s="945"/>
      <c r="P378" s="945"/>
    </row>
    <row r="379" spans="1:26" ht="18.75">
      <c r="A379" s="949"/>
      <c r="B379" s="957"/>
      <c r="C379" s="950"/>
      <c r="D379" s="957"/>
      <c r="E379" s="955" t="s">
        <v>162</v>
      </c>
      <c r="F379" s="957"/>
      <c r="G379" s="958"/>
      <c r="H379" s="730" t="s">
        <v>35</v>
      </c>
      <c r="I379" s="830">
        <f ca="1">IFERROR(__xludf.DUMMYFUNCTION("IMPORTRANGE(""https://docs.google.com/spreadsheets/d/1QqKyyYR6Q21VydFLVH3TRQUabQu_ym0Zz7PgGX0-kHA/edit?usp=sharing"",""แผน!EU22"")"),380)</f>
        <v>380</v>
      </c>
      <c r="J379" s="830">
        <f ca="1">IFERROR(__xludf.DUMMYFUNCTION("IMPORTRANGE(""https://docs.google.com/spreadsheets/d/1XWAQStnk-4SwqDmLtmXYiTMKHgktTP8We1SCoS47DrQ/edit?usp=sharing"",""จัดที่ดิน!AJ22"")"),69)</f>
        <v>69</v>
      </c>
      <c r="K379" s="831">
        <f t="shared" ca="1" si="164"/>
        <v>18.157894736842106</v>
      </c>
      <c r="L379" s="945"/>
      <c r="M379" s="945"/>
      <c r="N379" s="945"/>
      <c r="O379" s="945"/>
      <c r="P379" s="945"/>
    </row>
    <row r="380" spans="1:26" ht="18.75">
      <c r="A380" s="949"/>
      <c r="B380" s="957"/>
      <c r="C380" s="950"/>
      <c r="D380" s="957"/>
      <c r="E380" s="957"/>
      <c r="F380" s="957"/>
      <c r="G380" s="958"/>
      <c r="H380" s="730" t="s">
        <v>46</v>
      </c>
      <c r="I380" s="830">
        <v>0</v>
      </c>
      <c r="J380" s="830">
        <f ca="1">IFERROR(__xludf.DUMMYFUNCTION("IMPORTRANGE(""https://docs.google.com/spreadsheets/d/1XWAQStnk-4SwqDmLtmXYiTMKHgktTP8We1SCoS47DrQ/edit?usp=sharing"",""จัดที่ดิน!AK22"")"),711.449999999999)</f>
        <v>711.44999999999902</v>
      </c>
      <c r="K380" s="831">
        <f t="shared" si="164"/>
        <v>0</v>
      </c>
      <c r="L380" s="945"/>
      <c r="M380" s="945"/>
      <c r="N380" s="945"/>
      <c r="O380" s="945"/>
      <c r="P380" s="945"/>
    </row>
    <row r="381" spans="1:26" ht="18.75">
      <c r="A381" s="949"/>
      <c r="B381" s="957"/>
      <c r="C381" s="950"/>
      <c r="D381" s="957"/>
      <c r="E381" s="955" t="s">
        <v>163</v>
      </c>
      <c r="F381" s="957"/>
      <c r="G381" s="958"/>
      <c r="H381" s="730" t="s">
        <v>35</v>
      </c>
      <c r="I381" s="830">
        <f ca="1">IFERROR(__xludf.DUMMYFUNCTION("IMPORTRANGE(""https://docs.google.com/spreadsheets/d/1QqKyyYR6Q21VydFLVH3TRQUabQu_ym0Zz7PgGX0-kHA/edit?usp=sharing"",""แผน!EU22"")"),380)</f>
        <v>380</v>
      </c>
      <c r="J381" s="830">
        <f ca="1">IFERROR(__xludf.DUMMYFUNCTION("IMPORTRANGE(""https://docs.google.com/spreadsheets/d/1XWAQStnk-4SwqDmLtmXYiTMKHgktTP8We1SCoS47DrQ/edit?usp=sharing"",""จัดที่ดิน!AL22"")"),68)</f>
        <v>68</v>
      </c>
      <c r="K381" s="831">
        <f t="shared" ca="1" si="164"/>
        <v>17.894736842105264</v>
      </c>
      <c r="L381" s="945"/>
      <c r="M381" s="945"/>
      <c r="N381" s="945"/>
      <c r="O381" s="945"/>
      <c r="P381" s="945"/>
    </row>
    <row r="382" spans="1:26" ht="18.75">
      <c r="A382" s="1159" t="s">
        <v>164</v>
      </c>
      <c r="B382" s="957"/>
      <c r="C382" s="950"/>
      <c r="D382" s="957"/>
      <c r="E382" s="956"/>
      <c r="F382" s="957"/>
      <c r="G382" s="958"/>
      <c r="H382" s="730" t="s">
        <v>46</v>
      </c>
      <c r="I382" s="830">
        <v>0</v>
      </c>
      <c r="J382" s="830">
        <f ca="1">IFERROR(__xludf.DUMMYFUNCTION("IMPORTRANGE(""https://docs.google.com/spreadsheets/d/1XWAQStnk-4SwqDmLtmXYiTMKHgktTP8We1SCoS47DrQ/edit?usp=sharing"",""จัดที่ดิน!AM22"")"),711.349999999999)</f>
        <v>711.349999999999</v>
      </c>
      <c r="K382" s="831">
        <f t="shared" si="164"/>
        <v>0</v>
      </c>
      <c r="L382" s="945"/>
      <c r="M382" s="945"/>
      <c r="N382" s="945"/>
      <c r="O382" s="945"/>
      <c r="P382" s="945"/>
    </row>
    <row r="383" spans="1:26" ht="19.5">
      <c r="A383" s="1011"/>
      <c r="B383" s="1018"/>
      <c r="C383" s="1012"/>
      <c r="D383" s="1145" t="s">
        <v>170</v>
      </c>
      <c r="E383" s="1012"/>
      <c r="F383" s="1012"/>
      <c r="G383" s="1014"/>
      <c r="H383" s="1146"/>
      <c r="I383" s="1015"/>
      <c r="J383" s="1015"/>
      <c r="K383" s="1016"/>
      <c r="L383" s="1016"/>
      <c r="M383" s="1016"/>
      <c r="N383" s="1016"/>
      <c r="O383" s="1016"/>
      <c r="P383" s="1016"/>
    </row>
    <row r="384" spans="1:26" ht="19.5">
      <c r="A384" s="949"/>
      <c r="B384" s="950"/>
      <c r="C384" s="827" t="s">
        <v>16</v>
      </c>
      <c r="D384" s="951" t="s">
        <v>38</v>
      </c>
      <c r="E384" s="952"/>
      <c r="F384" s="952"/>
      <c r="G384" s="953"/>
      <c r="H384" s="954"/>
      <c r="I384" s="830"/>
      <c r="J384" s="830"/>
      <c r="K384" s="831"/>
      <c r="L384" s="945"/>
      <c r="M384" s="945"/>
      <c r="N384" s="945"/>
      <c r="O384" s="945"/>
      <c r="P384" s="945"/>
    </row>
    <row r="385" spans="1:26" ht="18.75">
      <c r="A385" s="1080"/>
      <c r="B385" s="1083"/>
      <c r="C385" s="1081"/>
      <c r="D385" s="1083"/>
      <c r="E385" s="1181" t="s">
        <v>163</v>
      </c>
      <c r="F385" s="1083"/>
      <c r="G385" s="1084"/>
      <c r="H385" s="468" t="s">
        <v>35</v>
      </c>
      <c r="I385" s="1085">
        <f ca="1">IFERROR(__xludf.DUMMYFUNCTION("IMPORTRANGE(""https://docs.google.com/spreadsheets/d/1QqKyyYR6Q21VydFLVH3TRQUabQu_ym0Zz7PgGX0-kHA/edit?usp=sharing"",""แผน!EW22"")"),20)</f>
        <v>20</v>
      </c>
      <c r="J385" s="1085">
        <f ca="1">IFERROR(__xludf.DUMMYFUNCTION("IMPORTRANGE(""https://docs.google.com/spreadsheets/d/1XWAQStnk-4SwqDmLtmXYiTMKHgktTP8We1SCoS47DrQ/edit?usp=sharing"",""จัดที่ดิน!AP22"")"),0)</f>
        <v>0</v>
      </c>
      <c r="K385" s="1182">
        <f ca="1">IF(I385&gt;0,J385*100/I385,0)</f>
        <v>0</v>
      </c>
      <c r="L385" s="1086"/>
      <c r="M385" s="1086"/>
      <c r="N385" s="1086"/>
      <c r="O385" s="1086"/>
      <c r="P385" s="1086"/>
    </row>
    <row r="386" spans="1:26" ht="19.5" hidden="1">
      <c r="A386" s="1183" t="s">
        <v>171</v>
      </c>
      <c r="B386" s="1184"/>
      <c r="C386" s="1184"/>
      <c r="D386" s="1184"/>
      <c r="E386" s="1185"/>
      <c r="F386" s="1185"/>
      <c r="G386" s="1186"/>
      <c r="H386" s="1187"/>
      <c r="I386" s="1188"/>
      <c r="J386" s="1188"/>
      <c r="K386" s="1189"/>
      <c r="L386" s="1189"/>
      <c r="M386" s="1189"/>
      <c r="N386" s="1189"/>
      <c r="O386" s="1189"/>
      <c r="P386" s="1189"/>
    </row>
    <row r="387" spans="1:26" ht="19.5" hidden="1">
      <c r="A387" s="1190" t="s">
        <v>172</v>
      </c>
      <c r="B387" s="1191"/>
      <c r="C387" s="1191"/>
      <c r="D387" s="1192"/>
      <c r="E387" s="1191"/>
      <c r="F387" s="1191"/>
      <c r="G387" s="1191"/>
      <c r="H387" s="1193"/>
      <c r="I387" s="1194"/>
      <c r="J387" s="1194"/>
      <c r="K387" s="1195"/>
      <c r="L387" s="1195"/>
      <c r="M387" s="1195"/>
      <c r="N387" s="1195"/>
      <c r="O387" s="1195"/>
      <c r="P387" s="1195"/>
    </row>
    <row r="388" spans="1:26" ht="19.5" hidden="1">
      <c r="A388" s="1196"/>
      <c r="B388" s="1197" t="s">
        <v>173</v>
      </c>
      <c r="C388" s="1198"/>
      <c r="D388" s="1199"/>
      <c r="E388" s="1199"/>
      <c r="F388" s="1199"/>
      <c r="G388" s="1200"/>
      <c r="H388" s="489" t="s">
        <v>66</v>
      </c>
      <c r="I388" s="1201">
        <f t="shared" ref="I388:J388" si="165">I400</f>
        <v>0</v>
      </c>
      <c r="J388" s="1201">
        <f t="shared" si="165"/>
        <v>0</v>
      </c>
      <c r="K388" s="1202">
        <f>IF(I388&gt;0,J388*100/I388,0)</f>
        <v>0</v>
      </c>
      <c r="L388" s="1203"/>
      <c r="M388" s="1203"/>
      <c r="N388" s="1203"/>
      <c r="O388" s="1203"/>
      <c r="P388" s="1203"/>
    </row>
    <row r="389" spans="1:26" ht="19.5" hidden="1">
      <c r="A389" s="932"/>
      <c r="B389" s="933"/>
      <c r="C389" s="934" t="s">
        <v>16</v>
      </c>
      <c r="D389" s="935" t="s">
        <v>17</v>
      </c>
      <c r="E389" s="933"/>
      <c r="F389" s="933"/>
      <c r="G389" s="936"/>
      <c r="H389" s="152" t="s">
        <v>12</v>
      </c>
      <c r="I389" s="937"/>
      <c r="J389" s="937"/>
      <c r="K389" s="938"/>
      <c r="L389" s="939">
        <f t="shared" ref="L389:N389" ca="1" si="166">L390+L391</f>
        <v>0</v>
      </c>
      <c r="M389" s="939">
        <f t="shared" ca="1" si="166"/>
        <v>0</v>
      </c>
      <c r="N389" s="939">
        <f t="shared" ca="1" si="166"/>
        <v>0</v>
      </c>
      <c r="O389" s="939">
        <f t="shared" ref="O389:O397" ca="1" si="167">IF(L389&gt;0,N389*100/L389,0)</f>
        <v>0</v>
      </c>
      <c r="P389" s="939">
        <f t="shared" ref="P389:P397" ca="1" si="168">IF(M389&gt;0,N389*100/M389,0)</f>
        <v>0</v>
      </c>
      <c r="Q389" s="818"/>
      <c r="R389" s="818"/>
      <c r="S389" s="818"/>
      <c r="T389" s="818"/>
      <c r="U389" s="818"/>
      <c r="V389" s="818"/>
      <c r="W389" s="818"/>
      <c r="X389" s="818"/>
      <c r="Y389" s="818"/>
      <c r="Z389" s="818"/>
    </row>
    <row r="390" spans="1:26" ht="18.75" hidden="1">
      <c r="A390" s="940"/>
      <c r="B390" s="833"/>
      <c r="C390" s="833"/>
      <c r="D390" s="833"/>
      <c r="E390" s="834" t="s">
        <v>18</v>
      </c>
      <c r="F390" s="833"/>
      <c r="G390" s="941"/>
      <c r="H390" s="158" t="s">
        <v>12</v>
      </c>
      <c r="I390" s="836"/>
      <c r="J390" s="836"/>
      <c r="K390" s="837"/>
      <c r="L390" s="837">
        <f t="shared" ref="L390:N391" si="169">L393+L396</f>
        <v>0</v>
      </c>
      <c r="M390" s="837">
        <f t="shared" si="169"/>
        <v>0</v>
      </c>
      <c r="N390" s="837">
        <f t="shared" si="169"/>
        <v>0</v>
      </c>
      <c r="O390" s="837">
        <f t="shared" si="167"/>
        <v>0</v>
      </c>
      <c r="P390" s="837">
        <f t="shared" si="168"/>
        <v>0</v>
      </c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</row>
    <row r="391" spans="1:26" ht="18.75" hidden="1">
      <c r="A391" s="940"/>
      <c r="B391" s="833"/>
      <c r="C391" s="833"/>
      <c r="D391" s="833"/>
      <c r="E391" s="834" t="s">
        <v>19</v>
      </c>
      <c r="F391" s="833"/>
      <c r="G391" s="941"/>
      <c r="H391" s="158" t="s">
        <v>12</v>
      </c>
      <c r="I391" s="836"/>
      <c r="J391" s="836"/>
      <c r="K391" s="837"/>
      <c r="L391" s="837">
        <f t="shared" ca="1" si="169"/>
        <v>0</v>
      </c>
      <c r="M391" s="837">
        <f t="shared" ca="1" si="169"/>
        <v>0</v>
      </c>
      <c r="N391" s="837">
        <f t="shared" ca="1" si="169"/>
        <v>0</v>
      </c>
      <c r="O391" s="837">
        <f t="shared" ca="1" si="167"/>
        <v>0</v>
      </c>
      <c r="P391" s="837">
        <f t="shared" ca="1" si="168"/>
        <v>0</v>
      </c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</row>
    <row r="392" spans="1:26" ht="18.75" hidden="1">
      <c r="A392" s="942"/>
      <c r="B392" s="827"/>
      <c r="C392" s="943"/>
      <c r="D392" s="828" t="s">
        <v>20</v>
      </c>
      <c r="E392" s="827"/>
      <c r="F392" s="827"/>
      <c r="G392" s="829"/>
      <c r="H392" s="778" t="s">
        <v>12</v>
      </c>
      <c r="I392" s="944"/>
      <c r="J392" s="944"/>
      <c r="K392" s="945"/>
      <c r="L392" s="831">
        <f t="shared" ref="L392:N392" ca="1" si="170">L393+L394</f>
        <v>0</v>
      </c>
      <c r="M392" s="831">
        <f t="shared" ca="1" si="170"/>
        <v>0</v>
      </c>
      <c r="N392" s="831">
        <f t="shared" ca="1" si="170"/>
        <v>0</v>
      </c>
      <c r="O392" s="831">
        <f t="shared" ca="1" si="167"/>
        <v>0</v>
      </c>
      <c r="P392" s="831">
        <f t="shared" ca="1" si="168"/>
        <v>0</v>
      </c>
      <c r="Q392" s="818"/>
      <c r="R392" s="818"/>
      <c r="S392" s="818"/>
      <c r="T392" s="818"/>
      <c r="U392" s="818"/>
      <c r="V392" s="818"/>
      <c r="W392" s="818"/>
      <c r="X392" s="818"/>
      <c r="Y392" s="818"/>
      <c r="Z392" s="818"/>
    </row>
    <row r="393" spans="1:26" ht="19.5" hidden="1">
      <c r="A393" s="940"/>
      <c r="B393" s="833"/>
      <c r="C393" s="946"/>
      <c r="D393" s="833"/>
      <c r="E393" s="834" t="s">
        <v>36</v>
      </c>
      <c r="F393" s="833"/>
      <c r="G393" s="941"/>
      <c r="H393" s="165" t="s">
        <v>12</v>
      </c>
      <c r="I393" s="947"/>
      <c r="J393" s="947"/>
      <c r="K393" s="948"/>
      <c r="L393" s="837">
        <v>0</v>
      </c>
      <c r="M393" s="837">
        <v>0</v>
      </c>
      <c r="N393" s="837">
        <v>0</v>
      </c>
      <c r="O393" s="837">
        <f t="shared" si="167"/>
        <v>0</v>
      </c>
      <c r="P393" s="837">
        <f t="shared" si="168"/>
        <v>0</v>
      </c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</row>
    <row r="394" spans="1:26" ht="19.5" hidden="1">
      <c r="A394" s="940"/>
      <c r="B394" s="833"/>
      <c r="C394" s="946"/>
      <c r="D394" s="833"/>
      <c r="E394" s="834" t="s">
        <v>37</v>
      </c>
      <c r="F394" s="833"/>
      <c r="G394" s="941"/>
      <c r="H394" s="165" t="s">
        <v>12</v>
      </c>
      <c r="I394" s="947"/>
      <c r="J394" s="947"/>
      <c r="K394" s="948"/>
      <c r="L394" s="837">
        <f ca="1">IFERROR(__xludf.DUMMYFUNCTION("IMPORTRANGE(""https://docs.google.com/spreadsheets/d/1MeEWN-I1oV_STSDYn1IFDPWt_1FKiwhDph83XaGc0o0/edit?usp=sharing"",""งบพรบ!FG22"")"),0)</f>
        <v>0</v>
      </c>
      <c r="M394" s="837">
        <f ca="1">IFERROR(__xludf.DUMMYFUNCTION("IMPORTRANGE(""https://docs.google.com/spreadsheets/d/1MeEWN-I1oV_STSDYn1IFDPWt_1FKiwhDph83XaGc0o0/edit?usp=sharing"",""งบพรบ!FL22"")"),0)</f>
        <v>0</v>
      </c>
      <c r="N394" s="837">
        <f ca="1">IFERROR(__xludf.DUMMYFUNCTION("IMPORTRANGE(""https://docs.google.com/spreadsheets/d/1MeEWN-I1oV_STSDYn1IFDPWt_1FKiwhDph83XaGc0o0/edit?usp=sharing"",""งบพรบ!FN22"")"),0)</f>
        <v>0</v>
      </c>
      <c r="O394" s="837">
        <f t="shared" ca="1" si="167"/>
        <v>0</v>
      </c>
      <c r="P394" s="837">
        <f t="shared" ca="1" si="168"/>
        <v>0</v>
      </c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</row>
    <row r="395" spans="1:26" ht="18.75" hidden="1">
      <c r="A395" s="942"/>
      <c r="B395" s="827"/>
      <c r="C395" s="943"/>
      <c r="D395" s="828" t="s">
        <v>21</v>
      </c>
      <c r="E395" s="827"/>
      <c r="F395" s="827"/>
      <c r="G395" s="829"/>
      <c r="H395" s="168" t="s">
        <v>12</v>
      </c>
      <c r="I395" s="944"/>
      <c r="J395" s="944"/>
      <c r="K395" s="945"/>
      <c r="L395" s="831">
        <f t="shared" ref="L395:N395" ca="1" si="171">L396+L397</f>
        <v>0</v>
      </c>
      <c r="M395" s="831">
        <f t="shared" ca="1" si="171"/>
        <v>0</v>
      </c>
      <c r="N395" s="831">
        <f t="shared" ca="1" si="171"/>
        <v>0</v>
      </c>
      <c r="O395" s="831">
        <f t="shared" ca="1" si="167"/>
        <v>0</v>
      </c>
      <c r="P395" s="831">
        <f t="shared" ca="1" si="168"/>
        <v>0</v>
      </c>
      <c r="Q395" s="818"/>
      <c r="R395" s="818"/>
      <c r="S395" s="818"/>
      <c r="T395" s="818"/>
      <c r="U395" s="818"/>
      <c r="V395" s="818"/>
      <c r="W395" s="818"/>
      <c r="X395" s="818"/>
      <c r="Y395" s="818"/>
      <c r="Z395" s="818"/>
    </row>
    <row r="396" spans="1:26" ht="19.5" hidden="1">
      <c r="A396" s="940"/>
      <c r="B396" s="833"/>
      <c r="C396" s="946"/>
      <c r="D396" s="833"/>
      <c r="E396" s="834" t="s">
        <v>18</v>
      </c>
      <c r="F396" s="833"/>
      <c r="G396" s="941"/>
      <c r="H396" s="165" t="s">
        <v>12</v>
      </c>
      <c r="I396" s="947"/>
      <c r="J396" s="947"/>
      <c r="K396" s="948"/>
      <c r="L396" s="837">
        <v>0</v>
      </c>
      <c r="M396" s="837">
        <v>0</v>
      </c>
      <c r="N396" s="837">
        <v>0</v>
      </c>
      <c r="O396" s="837">
        <f t="shared" si="167"/>
        <v>0</v>
      </c>
      <c r="P396" s="837">
        <f t="shared" si="168"/>
        <v>0</v>
      </c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</row>
    <row r="397" spans="1:26" ht="19.5" hidden="1">
      <c r="A397" s="940"/>
      <c r="B397" s="833"/>
      <c r="C397" s="946"/>
      <c r="D397" s="833"/>
      <c r="E397" s="834" t="s">
        <v>19</v>
      </c>
      <c r="F397" s="833"/>
      <c r="G397" s="941"/>
      <c r="H397" s="169" t="s">
        <v>12</v>
      </c>
      <c r="I397" s="947"/>
      <c r="J397" s="947"/>
      <c r="K397" s="948"/>
      <c r="L397" s="837">
        <f ca="1">IFERROR(__xludf.DUMMYFUNCTION("IMPORTRANGE(""https://docs.google.com/spreadsheets/d/1MeEWN-I1oV_STSDYn1IFDPWt_1FKiwhDph83XaGc0o0/edit?usp=sharing"",""งบพรบ!FJ22"")"),0)</f>
        <v>0</v>
      </c>
      <c r="M397" s="837">
        <f ca="1">IFERROR(__xludf.DUMMYFUNCTION("IMPORTRANGE(""https://docs.google.com/spreadsheets/d/1MeEWN-I1oV_STSDYn1IFDPWt_1FKiwhDph83XaGc0o0/edit?usp=sharing"",""งบพรบ!FM22"")"),0)</f>
        <v>0</v>
      </c>
      <c r="N397" s="837">
        <f ca="1">IFERROR(__xludf.DUMMYFUNCTION("IMPORTRANGE(""https://docs.google.com/spreadsheets/d/1MeEWN-I1oV_STSDYn1IFDPWt_1FKiwhDph83XaGc0o0/edit?usp=sharing"",""งบพรบ!FO22"")"),0)</f>
        <v>0</v>
      </c>
      <c r="O397" s="837">
        <f t="shared" ca="1" si="167"/>
        <v>0</v>
      </c>
      <c r="P397" s="837">
        <f t="shared" ca="1" si="168"/>
        <v>0</v>
      </c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</row>
    <row r="398" spans="1:26" ht="19.5" hidden="1">
      <c r="A398" s="949"/>
      <c r="B398" s="950"/>
      <c r="C398" s="946" t="s">
        <v>16</v>
      </c>
      <c r="D398" s="951" t="s">
        <v>38</v>
      </c>
      <c r="E398" s="952"/>
      <c r="F398" s="952"/>
      <c r="G398" s="953"/>
      <c r="H398" s="954"/>
      <c r="I398" s="944"/>
      <c r="J398" s="830"/>
      <c r="K398" s="831"/>
      <c r="L398" s="831"/>
      <c r="M398" s="831"/>
      <c r="N398" s="831"/>
      <c r="O398" s="945"/>
      <c r="P398" s="945"/>
    </row>
    <row r="399" spans="1:26" ht="18.75" hidden="1">
      <c r="A399" s="1204"/>
      <c r="B399" s="933"/>
      <c r="C399" s="1205"/>
      <c r="D399" s="968" t="s">
        <v>174</v>
      </c>
      <c r="E399" s="1113"/>
      <c r="F399" s="933"/>
      <c r="G399" s="936"/>
      <c r="H399" s="496" t="s">
        <v>9</v>
      </c>
      <c r="I399" s="830">
        <v>0</v>
      </c>
      <c r="J399" s="959">
        <v>0</v>
      </c>
      <c r="K399" s="831">
        <f t="shared" ref="K399:K401" si="172">IF(I399&gt;0,J399*100/I399,0)</f>
        <v>0</v>
      </c>
      <c r="L399" s="1206"/>
      <c r="M399" s="1206"/>
      <c r="N399" s="1206"/>
      <c r="O399" s="1206"/>
      <c r="P399" s="1206"/>
      <c r="Q399" s="818"/>
      <c r="R399" s="818"/>
      <c r="S399" s="818"/>
      <c r="T399" s="818"/>
      <c r="U399" s="818"/>
      <c r="V399" s="818"/>
      <c r="W399" s="818"/>
      <c r="X399" s="818"/>
      <c r="Y399" s="818"/>
      <c r="Z399" s="818"/>
    </row>
    <row r="400" spans="1:26" ht="18.75" hidden="1">
      <c r="A400" s="1032"/>
      <c r="B400" s="827"/>
      <c r="C400" s="1030"/>
      <c r="D400" s="956" t="s">
        <v>175</v>
      </c>
      <c r="E400" s="950"/>
      <c r="F400" s="827"/>
      <c r="G400" s="829"/>
      <c r="H400" s="277" t="s">
        <v>66</v>
      </c>
      <c r="I400" s="830">
        <v>0</v>
      </c>
      <c r="J400" s="959">
        <v>0</v>
      </c>
      <c r="K400" s="831">
        <f t="shared" si="172"/>
        <v>0</v>
      </c>
      <c r="L400" s="831"/>
      <c r="M400" s="831"/>
      <c r="N400" s="831"/>
      <c r="O400" s="831"/>
      <c r="P400" s="831"/>
    </row>
    <row r="401" spans="1:26" ht="19.5" hidden="1">
      <c r="A401" s="1196"/>
      <c r="B401" s="1197" t="s">
        <v>176</v>
      </c>
      <c r="C401" s="1198"/>
      <c r="D401" s="1199"/>
      <c r="E401" s="1199"/>
      <c r="F401" s="1199"/>
      <c r="G401" s="1200"/>
      <c r="H401" s="489" t="s">
        <v>66</v>
      </c>
      <c r="I401" s="1201">
        <f t="shared" ref="I401:J401" si="173">I412</f>
        <v>0</v>
      </c>
      <c r="J401" s="1201">
        <f t="shared" si="173"/>
        <v>0</v>
      </c>
      <c r="K401" s="1202">
        <f t="shared" si="172"/>
        <v>0</v>
      </c>
      <c r="L401" s="1203"/>
      <c r="M401" s="1203"/>
      <c r="N401" s="1203"/>
      <c r="O401" s="1203"/>
      <c r="P401" s="1203"/>
    </row>
    <row r="402" spans="1:26" ht="19.5" hidden="1">
      <c r="A402" s="932"/>
      <c r="B402" s="933"/>
      <c r="C402" s="934" t="s">
        <v>16</v>
      </c>
      <c r="D402" s="935" t="s">
        <v>17</v>
      </c>
      <c r="E402" s="933"/>
      <c r="F402" s="933"/>
      <c r="G402" s="936"/>
      <c r="H402" s="152" t="s">
        <v>12</v>
      </c>
      <c r="I402" s="937"/>
      <c r="J402" s="937"/>
      <c r="K402" s="938"/>
      <c r="L402" s="939">
        <f t="shared" ref="L402:N402" ca="1" si="174">L403+L404</f>
        <v>0</v>
      </c>
      <c r="M402" s="939">
        <f t="shared" ca="1" si="174"/>
        <v>0</v>
      </c>
      <c r="N402" s="939">
        <f t="shared" ca="1" si="174"/>
        <v>0</v>
      </c>
      <c r="O402" s="939">
        <f t="shared" ref="O402:O410" ca="1" si="175">IF(L402&gt;0,N402*100/L402,0)</f>
        <v>0</v>
      </c>
      <c r="P402" s="939">
        <f t="shared" ref="P402:P410" ca="1" si="176">IF(M402&gt;0,N402*100/M402,0)</f>
        <v>0</v>
      </c>
      <c r="Q402" s="818"/>
      <c r="R402" s="818"/>
      <c r="S402" s="818"/>
      <c r="T402" s="818"/>
      <c r="U402" s="818"/>
      <c r="V402" s="818"/>
      <c r="W402" s="818"/>
      <c r="X402" s="818"/>
      <c r="Y402" s="818"/>
      <c r="Z402" s="818"/>
    </row>
    <row r="403" spans="1:26" ht="18.75" hidden="1">
      <c r="A403" s="940"/>
      <c r="B403" s="833"/>
      <c r="C403" s="833"/>
      <c r="D403" s="833"/>
      <c r="E403" s="834" t="s">
        <v>18</v>
      </c>
      <c r="F403" s="833"/>
      <c r="G403" s="941"/>
      <c r="H403" s="158" t="s">
        <v>12</v>
      </c>
      <c r="I403" s="836"/>
      <c r="J403" s="836"/>
      <c r="K403" s="837"/>
      <c r="L403" s="837">
        <f t="shared" ref="L403:N404" si="177">L406+L409</f>
        <v>0</v>
      </c>
      <c r="M403" s="837">
        <f t="shared" si="177"/>
        <v>0</v>
      </c>
      <c r="N403" s="837">
        <f t="shared" si="177"/>
        <v>0</v>
      </c>
      <c r="O403" s="837">
        <f t="shared" si="175"/>
        <v>0</v>
      </c>
      <c r="P403" s="837">
        <f t="shared" si="176"/>
        <v>0</v>
      </c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</row>
    <row r="404" spans="1:26" ht="18.75" hidden="1">
      <c r="A404" s="940"/>
      <c r="B404" s="833"/>
      <c r="C404" s="833"/>
      <c r="D404" s="833"/>
      <c r="E404" s="834" t="s">
        <v>19</v>
      </c>
      <c r="F404" s="833"/>
      <c r="G404" s="941"/>
      <c r="H404" s="158" t="s">
        <v>12</v>
      </c>
      <c r="I404" s="836"/>
      <c r="J404" s="836"/>
      <c r="K404" s="837"/>
      <c r="L404" s="837">
        <f t="shared" ca="1" si="177"/>
        <v>0</v>
      </c>
      <c r="M404" s="837">
        <f t="shared" ca="1" si="177"/>
        <v>0</v>
      </c>
      <c r="N404" s="837">
        <f t="shared" ca="1" si="177"/>
        <v>0</v>
      </c>
      <c r="O404" s="837">
        <f t="shared" ca="1" si="175"/>
        <v>0</v>
      </c>
      <c r="P404" s="837">
        <f t="shared" ca="1" si="176"/>
        <v>0</v>
      </c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</row>
    <row r="405" spans="1:26" ht="18.75" hidden="1">
      <c r="A405" s="942"/>
      <c r="B405" s="827"/>
      <c r="C405" s="943"/>
      <c r="D405" s="828" t="s">
        <v>20</v>
      </c>
      <c r="E405" s="827"/>
      <c r="F405" s="827"/>
      <c r="G405" s="829"/>
      <c r="H405" s="778" t="s">
        <v>12</v>
      </c>
      <c r="I405" s="944"/>
      <c r="J405" s="944"/>
      <c r="K405" s="945"/>
      <c r="L405" s="831">
        <f t="shared" ref="L405:N405" ca="1" si="178">L406+L407</f>
        <v>0</v>
      </c>
      <c r="M405" s="831">
        <f t="shared" ca="1" si="178"/>
        <v>0</v>
      </c>
      <c r="N405" s="831">
        <f t="shared" ca="1" si="178"/>
        <v>0</v>
      </c>
      <c r="O405" s="831">
        <f t="shared" ca="1" si="175"/>
        <v>0</v>
      </c>
      <c r="P405" s="831">
        <f t="shared" ca="1" si="176"/>
        <v>0</v>
      </c>
      <c r="Q405" s="818"/>
      <c r="R405" s="818"/>
      <c r="S405" s="818"/>
      <c r="T405" s="818"/>
      <c r="U405" s="818"/>
      <c r="V405" s="818"/>
      <c r="W405" s="818"/>
      <c r="X405" s="818"/>
      <c r="Y405" s="818"/>
      <c r="Z405" s="818"/>
    </row>
    <row r="406" spans="1:26" ht="19.5" hidden="1">
      <c r="A406" s="940"/>
      <c r="B406" s="833"/>
      <c r="C406" s="946"/>
      <c r="D406" s="833"/>
      <c r="E406" s="834" t="s">
        <v>36</v>
      </c>
      <c r="F406" s="833"/>
      <c r="G406" s="941"/>
      <c r="H406" s="165" t="s">
        <v>12</v>
      </c>
      <c r="I406" s="947"/>
      <c r="J406" s="947"/>
      <c r="K406" s="948"/>
      <c r="L406" s="837">
        <v>0</v>
      </c>
      <c r="M406" s="837">
        <v>0</v>
      </c>
      <c r="N406" s="837">
        <v>0</v>
      </c>
      <c r="O406" s="837">
        <f t="shared" si="175"/>
        <v>0</v>
      </c>
      <c r="P406" s="837">
        <f t="shared" si="176"/>
        <v>0</v>
      </c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</row>
    <row r="407" spans="1:26" ht="19.5" hidden="1">
      <c r="A407" s="940"/>
      <c r="B407" s="833"/>
      <c r="C407" s="946"/>
      <c r="D407" s="833"/>
      <c r="E407" s="834" t="s">
        <v>37</v>
      </c>
      <c r="F407" s="833"/>
      <c r="G407" s="941"/>
      <c r="H407" s="165" t="s">
        <v>12</v>
      </c>
      <c r="I407" s="947"/>
      <c r="J407" s="947"/>
      <c r="K407" s="948"/>
      <c r="L407" s="837">
        <f ca="1">IFERROR(__xludf.DUMMYFUNCTION("IMPORTRANGE(""https://docs.google.com/spreadsheets/d/1MeEWN-I1oV_STSDYn1IFDPWt_1FKiwhDph83XaGc0o0/edit?usp=sharing"",""งบพรบ!FQ22"")"),0)</f>
        <v>0</v>
      </c>
      <c r="M407" s="837">
        <f ca="1">IFERROR(__xludf.DUMMYFUNCTION("IMPORTRANGE(""https://docs.google.com/spreadsheets/d/1MeEWN-I1oV_STSDYn1IFDPWt_1FKiwhDph83XaGc0o0/edit?usp=sharing"",""งบพรบ!FV22"")"),0)</f>
        <v>0</v>
      </c>
      <c r="N407" s="837">
        <f ca="1">IFERROR(__xludf.DUMMYFUNCTION("IMPORTRANGE(""https://docs.google.com/spreadsheets/d/1MeEWN-I1oV_STSDYn1IFDPWt_1FKiwhDph83XaGc0o0/edit?usp=sharing"",""งบพรบ!FX22"")"),0)</f>
        <v>0</v>
      </c>
      <c r="O407" s="837">
        <f t="shared" ca="1" si="175"/>
        <v>0</v>
      </c>
      <c r="P407" s="837">
        <f t="shared" ca="1" si="176"/>
        <v>0</v>
      </c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</row>
    <row r="408" spans="1:26" ht="18.75" hidden="1">
      <c r="A408" s="942"/>
      <c r="B408" s="827"/>
      <c r="C408" s="943"/>
      <c r="D408" s="828" t="s">
        <v>21</v>
      </c>
      <c r="E408" s="827"/>
      <c r="F408" s="827"/>
      <c r="G408" s="829"/>
      <c r="H408" s="168" t="s">
        <v>12</v>
      </c>
      <c r="I408" s="944"/>
      <c r="J408" s="944"/>
      <c r="K408" s="945"/>
      <c r="L408" s="831">
        <f t="shared" ref="L408:N408" ca="1" si="179">L409+L410</f>
        <v>0</v>
      </c>
      <c r="M408" s="831">
        <f t="shared" ca="1" si="179"/>
        <v>0</v>
      </c>
      <c r="N408" s="831">
        <f t="shared" ca="1" si="179"/>
        <v>0</v>
      </c>
      <c r="O408" s="831">
        <f t="shared" ca="1" si="175"/>
        <v>0</v>
      </c>
      <c r="P408" s="831">
        <f t="shared" ca="1" si="176"/>
        <v>0</v>
      </c>
      <c r="Q408" s="818"/>
      <c r="R408" s="818"/>
      <c r="S408" s="818"/>
      <c r="T408" s="818"/>
      <c r="U408" s="818"/>
      <c r="V408" s="818"/>
      <c r="W408" s="818"/>
      <c r="X408" s="818"/>
      <c r="Y408" s="818"/>
      <c r="Z408" s="818"/>
    </row>
    <row r="409" spans="1:26" ht="19.5" hidden="1">
      <c r="A409" s="940"/>
      <c r="B409" s="833"/>
      <c r="C409" s="946"/>
      <c r="D409" s="833"/>
      <c r="E409" s="834" t="s">
        <v>18</v>
      </c>
      <c r="F409" s="833"/>
      <c r="G409" s="941"/>
      <c r="H409" s="165" t="s">
        <v>12</v>
      </c>
      <c r="I409" s="947"/>
      <c r="J409" s="947"/>
      <c r="K409" s="948"/>
      <c r="L409" s="837">
        <v>0</v>
      </c>
      <c r="M409" s="837">
        <v>0</v>
      </c>
      <c r="N409" s="837">
        <v>0</v>
      </c>
      <c r="O409" s="837">
        <f t="shared" si="175"/>
        <v>0</v>
      </c>
      <c r="P409" s="837">
        <f t="shared" si="176"/>
        <v>0</v>
      </c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</row>
    <row r="410" spans="1:26" ht="19.5" hidden="1">
      <c r="A410" s="940"/>
      <c r="B410" s="833"/>
      <c r="C410" s="946"/>
      <c r="D410" s="833"/>
      <c r="E410" s="834" t="s">
        <v>19</v>
      </c>
      <c r="F410" s="833"/>
      <c r="G410" s="941"/>
      <c r="H410" s="169" t="s">
        <v>12</v>
      </c>
      <c r="I410" s="947"/>
      <c r="J410" s="947"/>
      <c r="K410" s="948"/>
      <c r="L410" s="837">
        <f ca="1">IFERROR(__xludf.DUMMYFUNCTION("IMPORTRANGE(""https://docs.google.com/spreadsheets/d/1MeEWN-I1oV_STSDYn1IFDPWt_1FKiwhDph83XaGc0o0/edit?usp=sharing"",""งบพรบ!FT22"")"),0)</f>
        <v>0</v>
      </c>
      <c r="M410" s="837">
        <f ca="1">IFERROR(__xludf.DUMMYFUNCTION("IMPORTRANGE(""https://docs.google.com/spreadsheets/d/1MeEWN-I1oV_STSDYn1IFDPWt_1FKiwhDph83XaGc0o0/edit?usp=sharing"",""งบพรบ!FW22"")"),0)</f>
        <v>0</v>
      </c>
      <c r="N410" s="837">
        <f ca="1">IFERROR(__xludf.DUMMYFUNCTION("IMPORTRANGE(""https://docs.google.com/spreadsheets/d/1MeEWN-I1oV_STSDYn1IFDPWt_1FKiwhDph83XaGc0o0/edit?usp=sharing"",""งบพรบ!FY22"")"),0)</f>
        <v>0</v>
      </c>
      <c r="O410" s="837">
        <f t="shared" ca="1" si="175"/>
        <v>0</v>
      </c>
      <c r="P410" s="837">
        <f t="shared" ca="1" si="176"/>
        <v>0</v>
      </c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</row>
    <row r="411" spans="1:26" ht="19.5" hidden="1">
      <c r="A411" s="949"/>
      <c r="B411" s="950"/>
      <c r="C411" s="946" t="s">
        <v>16</v>
      </c>
      <c r="D411" s="1207" t="s">
        <v>38</v>
      </c>
      <c r="E411" s="1208"/>
      <c r="F411" s="1208"/>
      <c r="G411" s="1209"/>
      <c r="H411" s="954"/>
      <c r="I411" s="830"/>
      <c r="J411" s="830"/>
      <c r="K411" s="831"/>
      <c r="L411" s="945"/>
      <c r="M411" s="945"/>
      <c r="N411" s="945"/>
      <c r="O411" s="945"/>
      <c r="P411" s="945"/>
    </row>
    <row r="412" spans="1:26" ht="18.75" hidden="1">
      <c r="A412" s="949"/>
      <c r="B412" s="957"/>
      <c r="C412" s="957"/>
      <c r="D412" s="956" t="s">
        <v>177</v>
      </c>
      <c r="E412" s="957"/>
      <c r="F412" s="957"/>
      <c r="G412" s="958"/>
      <c r="H412" s="501" t="s">
        <v>66</v>
      </c>
      <c r="I412" s="830">
        <v>0</v>
      </c>
      <c r="J412" s="959">
        <v>0</v>
      </c>
      <c r="K412" s="831">
        <f t="shared" ref="K412:K413" si="180">IF(I412&gt;0,J412*100/I412,0)</f>
        <v>0</v>
      </c>
      <c r="L412" s="945"/>
      <c r="M412" s="945"/>
      <c r="N412" s="945"/>
      <c r="O412" s="945"/>
      <c r="P412" s="945"/>
    </row>
    <row r="413" spans="1:26" ht="19.5" hidden="1" thickBot="1">
      <c r="A413" s="1210"/>
      <c r="B413" s="1211"/>
      <c r="C413" s="1211"/>
      <c r="D413" s="1212" t="s">
        <v>178</v>
      </c>
      <c r="E413" s="1211"/>
      <c r="F413" s="1211"/>
      <c r="G413" s="1213"/>
      <c r="H413" s="506" t="s">
        <v>179</v>
      </c>
      <c r="I413" s="1214">
        <v>0</v>
      </c>
      <c r="J413" s="1215">
        <v>0</v>
      </c>
      <c r="K413" s="1216">
        <f t="shared" si="180"/>
        <v>0</v>
      </c>
      <c r="L413" s="1217"/>
      <c r="M413" s="1217"/>
      <c r="N413" s="1217"/>
      <c r="O413" s="1217"/>
      <c r="P413" s="1217"/>
    </row>
    <row r="414" spans="1:26" ht="19.5">
      <c r="A414" s="1218" t="s">
        <v>180</v>
      </c>
      <c r="B414" s="1219"/>
      <c r="C414" s="1219"/>
      <c r="D414" s="1219"/>
      <c r="E414" s="1219"/>
      <c r="F414" s="1219"/>
      <c r="G414" s="1220"/>
      <c r="H414" s="1221"/>
      <c r="I414" s="1222"/>
      <c r="J414" s="1222"/>
      <c r="K414" s="1223"/>
      <c r="L414" s="1224">
        <f t="shared" ref="L414:N414" ca="1" si="181">L419+L444+L467+L502+L523+L544+L629+L655+L685+L737+L754+L770+L786+L805</f>
        <v>2242882</v>
      </c>
      <c r="M414" s="1224">
        <f t="shared" si="181"/>
        <v>0</v>
      </c>
      <c r="N414" s="1224">
        <f t="shared" si="181"/>
        <v>587306.63</v>
      </c>
      <c r="O414" s="1224">
        <f ca="1">IF(L414&gt;0,N414*100/L414,0)</f>
        <v>26.18535571643983</v>
      </c>
      <c r="P414" s="1224">
        <f>IF(M414&gt;0,N414*100/M414,0)</f>
        <v>0</v>
      </c>
    </row>
    <row r="415" spans="1:26" ht="19.5">
      <c r="A415" s="1225" t="s">
        <v>181</v>
      </c>
      <c r="B415" s="1226"/>
      <c r="C415" s="1226"/>
      <c r="D415" s="1226"/>
      <c r="E415" s="1226"/>
      <c r="F415" s="1226"/>
      <c r="G415" s="1226"/>
      <c r="H415" s="1227"/>
      <c r="I415" s="1228"/>
      <c r="J415" s="1228"/>
      <c r="K415" s="1229"/>
      <c r="L415" s="1230"/>
      <c r="M415" s="1230"/>
      <c r="N415" s="1230"/>
      <c r="O415" s="1230"/>
      <c r="P415" s="1230"/>
    </row>
    <row r="416" spans="1:26" ht="19.5">
      <c r="A416" s="1225" t="s">
        <v>182</v>
      </c>
      <c r="B416" s="1226"/>
      <c r="C416" s="1226"/>
      <c r="D416" s="1226"/>
      <c r="E416" s="1226"/>
      <c r="F416" s="1226"/>
      <c r="G416" s="1231"/>
      <c r="H416" s="1232"/>
      <c r="I416" s="1233"/>
      <c r="J416" s="1233"/>
      <c r="K416" s="1230"/>
      <c r="L416" s="1230"/>
      <c r="M416" s="1230"/>
      <c r="N416" s="1230"/>
      <c r="O416" s="1230"/>
      <c r="P416" s="1230"/>
    </row>
    <row r="417" spans="1:26" ht="39">
      <c r="A417" s="527">
        <v>1</v>
      </c>
      <c r="B417" s="1234" t="s">
        <v>183</v>
      </c>
      <c r="C417" s="1234"/>
      <c r="D417" s="1235"/>
      <c r="E417" s="1235"/>
      <c r="F417" s="1235"/>
      <c r="G417" s="1236"/>
      <c r="H417" s="532" t="s">
        <v>35</v>
      </c>
      <c r="I417" s="1237">
        <f t="shared" ref="I417:J418" ca="1" si="182">I433</f>
        <v>20</v>
      </c>
      <c r="J417" s="1237">
        <f t="shared" ca="1" si="182"/>
        <v>0</v>
      </c>
      <c r="K417" s="1238">
        <f t="shared" ref="K417:K418" ca="1" si="183">IF(I417&gt;0,J417*100/I417,0)</f>
        <v>0</v>
      </c>
      <c r="L417" s="1239"/>
      <c r="M417" s="1239"/>
      <c r="N417" s="1239"/>
      <c r="O417" s="1239"/>
      <c r="P417" s="1239"/>
    </row>
    <row r="418" spans="1:26" ht="19.5">
      <c r="A418" s="1240"/>
      <c r="B418" s="527"/>
      <c r="C418" s="1234"/>
      <c r="D418" s="1235"/>
      <c r="E418" s="1235"/>
      <c r="F418" s="1235"/>
      <c r="G418" s="1236"/>
      <c r="H418" s="532" t="s">
        <v>49</v>
      </c>
      <c r="I418" s="1237">
        <f t="shared" ca="1" si="182"/>
        <v>1</v>
      </c>
      <c r="J418" s="1237">
        <f t="shared" si="182"/>
        <v>0</v>
      </c>
      <c r="K418" s="1238">
        <f t="shared" ca="1" si="183"/>
        <v>0</v>
      </c>
      <c r="L418" s="1239"/>
      <c r="M418" s="1239"/>
      <c r="N418" s="1239"/>
      <c r="O418" s="1239"/>
      <c r="P418" s="1239"/>
    </row>
    <row r="419" spans="1:26" ht="19.5">
      <c r="A419" s="932"/>
      <c r="B419" s="933"/>
      <c r="C419" s="933" t="s">
        <v>16</v>
      </c>
      <c r="D419" s="1510" t="s">
        <v>17</v>
      </c>
      <c r="E419" s="1487"/>
      <c r="F419" s="1487"/>
      <c r="G419" s="936"/>
      <c r="H419" s="275" t="s">
        <v>12</v>
      </c>
      <c r="I419" s="937"/>
      <c r="J419" s="937"/>
      <c r="K419" s="938"/>
      <c r="L419" s="939">
        <f t="shared" ref="L419:N419" ca="1" si="184">L420+L421</f>
        <v>78660</v>
      </c>
      <c r="M419" s="939">
        <f t="shared" si="184"/>
        <v>0</v>
      </c>
      <c r="N419" s="939">
        <f t="shared" si="184"/>
        <v>9825</v>
      </c>
      <c r="O419" s="939">
        <f t="shared" ref="O419:O424" ca="1" si="185">IF(L419&gt;0,N419*100/L419,0)</f>
        <v>12.490465293668954</v>
      </c>
      <c r="P419" s="939">
        <f t="shared" ref="P419:P424" si="186">IF(M419&gt;0,N419*100/M419,0)</f>
        <v>0</v>
      </c>
      <c r="Q419" s="818"/>
      <c r="R419" s="818"/>
      <c r="S419" s="818"/>
      <c r="T419" s="818"/>
      <c r="U419" s="818"/>
      <c r="V419" s="818"/>
      <c r="W419" s="818"/>
      <c r="X419" s="818"/>
      <c r="Y419" s="818"/>
      <c r="Z419" s="818"/>
    </row>
    <row r="420" spans="1:26" ht="18.75" hidden="1">
      <c r="A420" s="940"/>
      <c r="B420" s="833"/>
      <c r="C420" s="833"/>
      <c r="D420" s="1061"/>
      <c r="E420" s="834" t="s">
        <v>184</v>
      </c>
      <c r="F420" s="833"/>
      <c r="G420" s="941"/>
      <c r="H420" s="165" t="s">
        <v>12</v>
      </c>
      <c r="I420" s="836"/>
      <c r="J420" s="836"/>
      <c r="K420" s="837"/>
      <c r="L420" s="837">
        <f t="shared" ref="L420:N421" si="187">L423+L430</f>
        <v>0</v>
      </c>
      <c r="M420" s="837">
        <f t="shared" si="187"/>
        <v>0</v>
      </c>
      <c r="N420" s="837">
        <f t="shared" si="187"/>
        <v>0</v>
      </c>
      <c r="O420" s="837">
        <f t="shared" si="185"/>
        <v>0</v>
      </c>
      <c r="P420" s="837">
        <f t="shared" si="186"/>
        <v>0</v>
      </c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</row>
    <row r="421" spans="1:26" ht="18.75" hidden="1">
      <c r="A421" s="940"/>
      <c r="B421" s="833"/>
      <c r="C421" s="833"/>
      <c r="D421" s="1061"/>
      <c r="E421" s="834" t="s">
        <v>185</v>
      </c>
      <c r="F421" s="833"/>
      <c r="G421" s="941"/>
      <c r="H421" s="165" t="s">
        <v>12</v>
      </c>
      <c r="I421" s="836"/>
      <c r="J421" s="836"/>
      <c r="K421" s="837"/>
      <c r="L421" s="837">
        <f t="shared" ca="1" si="187"/>
        <v>78660</v>
      </c>
      <c r="M421" s="837">
        <f t="shared" si="187"/>
        <v>0</v>
      </c>
      <c r="N421" s="837">
        <f t="shared" si="187"/>
        <v>9825</v>
      </c>
      <c r="O421" s="837">
        <f t="shared" ca="1" si="185"/>
        <v>12.490465293668954</v>
      </c>
      <c r="P421" s="837">
        <f t="shared" si="186"/>
        <v>0</v>
      </c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</row>
    <row r="422" spans="1:26" ht="18.75">
      <c r="A422" s="942"/>
      <c r="B422" s="1030"/>
      <c r="C422" s="827"/>
      <c r="D422" s="828" t="s">
        <v>20</v>
      </c>
      <c r="E422" s="827"/>
      <c r="F422" s="827"/>
      <c r="G422" s="829"/>
      <c r="H422" s="778" t="s">
        <v>12</v>
      </c>
      <c r="I422" s="944"/>
      <c r="J422" s="944"/>
      <c r="K422" s="945"/>
      <c r="L422" s="831">
        <f t="shared" ref="L422:N422" ca="1" si="188">L423+L424</f>
        <v>78660</v>
      </c>
      <c r="M422" s="831">
        <f t="shared" si="188"/>
        <v>0</v>
      </c>
      <c r="N422" s="831">
        <f t="shared" si="188"/>
        <v>9825</v>
      </c>
      <c r="O422" s="831">
        <f t="shared" ca="1" si="185"/>
        <v>12.490465293668954</v>
      </c>
      <c r="P422" s="831">
        <f t="shared" si="186"/>
        <v>0</v>
      </c>
      <c r="Q422" s="818"/>
      <c r="R422" s="818"/>
      <c r="S422" s="818"/>
      <c r="T422" s="818"/>
      <c r="U422" s="818"/>
      <c r="V422" s="818"/>
      <c r="W422" s="818"/>
      <c r="X422" s="818"/>
      <c r="Y422" s="818"/>
      <c r="Z422" s="818"/>
    </row>
    <row r="423" spans="1:26" ht="18.75" hidden="1">
      <c r="A423" s="940"/>
      <c r="B423" s="833"/>
      <c r="C423" s="833"/>
      <c r="D423" s="1061"/>
      <c r="E423" s="834" t="s">
        <v>184</v>
      </c>
      <c r="F423" s="833"/>
      <c r="G423" s="941"/>
      <c r="H423" s="165" t="s">
        <v>12</v>
      </c>
      <c r="I423" s="836"/>
      <c r="J423" s="836"/>
      <c r="K423" s="837"/>
      <c r="L423" s="837">
        <v>0</v>
      </c>
      <c r="M423" s="837">
        <v>0</v>
      </c>
      <c r="N423" s="837">
        <v>0</v>
      </c>
      <c r="O423" s="837">
        <f t="shared" si="185"/>
        <v>0</v>
      </c>
      <c r="P423" s="837">
        <f t="shared" si="186"/>
        <v>0</v>
      </c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</row>
    <row r="424" spans="1:26" ht="18.75" hidden="1">
      <c r="A424" s="940"/>
      <c r="B424" s="833"/>
      <c r="C424" s="833"/>
      <c r="D424" s="1061"/>
      <c r="E424" s="834" t="s">
        <v>185</v>
      </c>
      <c r="F424" s="833"/>
      <c r="G424" s="941"/>
      <c r="H424" s="165" t="s">
        <v>12</v>
      </c>
      <c r="I424" s="836"/>
      <c r="J424" s="836"/>
      <c r="K424" s="837"/>
      <c r="L424" s="837">
        <f ca="1">IFERROR(__xludf.DUMMYFUNCTION("IMPORTRANGE(""https://docs.google.com/spreadsheets/d/1QqKyyYR6Q21VydFLVH3TRQUabQu_ym0Zz7PgGX0-kHA/edit?usp=sharing"",""แผน!EY22"")"),78660)</f>
        <v>78660</v>
      </c>
      <c r="M424" s="837">
        <v>0</v>
      </c>
      <c r="N424" s="837">
        <f>N425+N426+N427+N428</f>
        <v>9825</v>
      </c>
      <c r="O424" s="837">
        <f t="shared" ca="1" si="185"/>
        <v>12.490465293668954</v>
      </c>
      <c r="P424" s="837">
        <f t="shared" si="186"/>
        <v>0</v>
      </c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</row>
    <row r="425" spans="1:26" ht="18.75">
      <c r="A425" s="1241"/>
      <c r="B425" s="1242"/>
      <c r="C425" s="1243"/>
      <c r="D425" s="1243"/>
      <c r="E425" s="1243"/>
      <c r="F425" s="1243" t="s">
        <v>186</v>
      </c>
      <c r="G425" s="963"/>
      <c r="H425" s="778" t="s">
        <v>12</v>
      </c>
      <c r="I425" s="830"/>
      <c r="J425" s="830"/>
      <c r="K425" s="831"/>
      <c r="L425" s="831"/>
      <c r="M425" s="831"/>
      <c r="N425" s="1031">
        <v>0</v>
      </c>
      <c r="O425" s="831"/>
      <c r="P425" s="831"/>
      <c r="Q425" s="1244"/>
      <c r="R425" s="1244"/>
      <c r="S425" s="1244"/>
      <c r="T425" s="1244"/>
      <c r="U425" s="1244"/>
      <c r="V425" s="1244"/>
      <c r="W425" s="1244"/>
      <c r="X425" s="1244"/>
      <c r="Y425" s="1244"/>
      <c r="Z425" s="1244"/>
    </row>
    <row r="426" spans="1:26" ht="18.75">
      <c r="A426" s="1241"/>
      <c r="B426" s="1242"/>
      <c r="C426" s="1243"/>
      <c r="D426" s="1243"/>
      <c r="E426" s="1243"/>
      <c r="F426" s="1243" t="s">
        <v>187</v>
      </c>
      <c r="G426" s="963"/>
      <c r="H426" s="778" t="s">
        <v>12</v>
      </c>
      <c r="I426" s="830"/>
      <c r="J426" s="830"/>
      <c r="K426" s="831"/>
      <c r="L426" s="831"/>
      <c r="M426" s="831"/>
      <c r="N426" s="1031">
        <v>0</v>
      </c>
      <c r="O426" s="831"/>
      <c r="P426" s="831"/>
      <c r="Q426" s="1244"/>
      <c r="R426" s="1244"/>
      <c r="S426" s="1244"/>
      <c r="T426" s="1244"/>
      <c r="U426" s="1244"/>
      <c r="V426" s="1244"/>
      <c r="W426" s="1244"/>
      <c r="X426" s="1244"/>
      <c r="Y426" s="1244"/>
      <c r="Z426" s="1244"/>
    </row>
    <row r="427" spans="1:26" ht="18.75">
      <c r="A427" s="1241"/>
      <c r="B427" s="1242"/>
      <c r="C427" s="1243"/>
      <c r="D427" s="1243"/>
      <c r="E427" s="1243"/>
      <c r="F427" s="1243" t="s">
        <v>188</v>
      </c>
      <c r="G427" s="963"/>
      <c r="H427" s="778" t="s">
        <v>12</v>
      </c>
      <c r="I427" s="830"/>
      <c r="J427" s="830"/>
      <c r="K427" s="831"/>
      <c r="L427" s="831"/>
      <c r="M427" s="831"/>
      <c r="N427" s="1031">
        <v>0</v>
      </c>
      <c r="O427" s="831"/>
      <c r="P427" s="831"/>
      <c r="Q427" s="1244"/>
      <c r="R427" s="1244"/>
      <c r="S427" s="1244"/>
      <c r="T427" s="1244"/>
      <c r="U427" s="1244"/>
      <c r="V427" s="1244"/>
      <c r="W427" s="1244"/>
      <c r="X427" s="1244"/>
      <c r="Y427" s="1244"/>
      <c r="Z427" s="1244"/>
    </row>
    <row r="428" spans="1:26" ht="18.75">
      <c r="A428" s="1032"/>
      <c r="B428" s="1030"/>
      <c r="C428" s="827"/>
      <c r="D428" s="827"/>
      <c r="E428" s="827"/>
      <c r="F428" s="943" t="s">
        <v>189</v>
      </c>
      <c r="G428" s="977"/>
      <c r="H428" s="778" t="s">
        <v>12</v>
      </c>
      <c r="I428" s="830"/>
      <c r="J428" s="830"/>
      <c r="K428" s="831"/>
      <c r="L428" s="831"/>
      <c r="M428" s="831"/>
      <c r="N428" s="1031">
        <v>9825</v>
      </c>
      <c r="O428" s="831"/>
      <c r="P428" s="831"/>
      <c r="Q428" s="818"/>
      <c r="R428" s="818"/>
      <c r="S428" s="818"/>
      <c r="T428" s="818"/>
      <c r="U428" s="818"/>
      <c r="V428" s="818"/>
      <c r="W428" s="818"/>
      <c r="X428" s="818"/>
      <c r="Y428" s="818"/>
      <c r="Z428" s="818"/>
    </row>
    <row r="429" spans="1:26" ht="18.75">
      <c r="A429" s="942"/>
      <c r="B429" s="1030"/>
      <c r="C429" s="827"/>
      <c r="D429" s="828" t="s">
        <v>21</v>
      </c>
      <c r="E429" s="827"/>
      <c r="F429" s="827"/>
      <c r="G429" s="829"/>
      <c r="H429" s="168" t="s">
        <v>12</v>
      </c>
      <c r="I429" s="944"/>
      <c r="J429" s="944"/>
      <c r="K429" s="945"/>
      <c r="L429" s="831">
        <f t="shared" ref="L429:N429" ca="1" si="189">L430+L431</f>
        <v>0</v>
      </c>
      <c r="M429" s="831">
        <f t="shared" si="189"/>
        <v>0</v>
      </c>
      <c r="N429" s="831">
        <f t="shared" si="189"/>
        <v>0</v>
      </c>
      <c r="O429" s="831">
        <f t="shared" ref="O429:O431" ca="1" si="190">IF(L429&gt;0,N429*100/L429,0)</f>
        <v>0</v>
      </c>
      <c r="P429" s="831">
        <f t="shared" ref="P429:P431" si="191">IF(M429&gt;0,N429*100/M429,0)</f>
        <v>0</v>
      </c>
      <c r="Q429" s="818"/>
      <c r="R429" s="818"/>
      <c r="S429" s="818"/>
      <c r="T429" s="818"/>
      <c r="U429" s="818"/>
      <c r="V429" s="818"/>
      <c r="W429" s="818"/>
      <c r="X429" s="818"/>
      <c r="Y429" s="818"/>
      <c r="Z429" s="818"/>
    </row>
    <row r="430" spans="1:26" ht="18.75" hidden="1">
      <c r="A430" s="940"/>
      <c r="B430" s="1052"/>
      <c r="C430" s="833"/>
      <c r="D430" s="833"/>
      <c r="E430" s="834" t="s">
        <v>18</v>
      </c>
      <c r="F430" s="833"/>
      <c r="G430" s="835"/>
      <c r="H430" s="165" t="s">
        <v>12</v>
      </c>
      <c r="I430" s="947"/>
      <c r="J430" s="947"/>
      <c r="K430" s="948"/>
      <c r="L430" s="837">
        <v>0</v>
      </c>
      <c r="M430" s="837">
        <v>0</v>
      </c>
      <c r="N430" s="837">
        <v>0</v>
      </c>
      <c r="O430" s="837">
        <f t="shared" si="190"/>
        <v>0</v>
      </c>
      <c r="P430" s="837">
        <f t="shared" si="191"/>
        <v>0</v>
      </c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</row>
    <row r="431" spans="1:26" ht="18.75" hidden="1">
      <c r="A431" s="940"/>
      <c r="B431" s="1052"/>
      <c r="C431" s="833"/>
      <c r="D431" s="833"/>
      <c r="E431" s="834" t="s">
        <v>19</v>
      </c>
      <c r="F431" s="833"/>
      <c r="G431" s="835"/>
      <c r="H431" s="169" t="s">
        <v>12</v>
      </c>
      <c r="I431" s="947"/>
      <c r="J431" s="947"/>
      <c r="K431" s="948"/>
      <c r="L431" s="837">
        <f ca="1">IFERROR(__xludf.DUMMYFUNCTION("IMPORTRANGE(""https://docs.google.com/spreadsheets/d/1QqKyyYR6Q21VydFLVH3TRQUabQu_ym0Zz7PgGX0-kHA/edit?usp=sharing"",""แผน!FB22"")"),0)</f>
        <v>0</v>
      </c>
      <c r="M431" s="837">
        <v>0</v>
      </c>
      <c r="N431" s="837">
        <v>0</v>
      </c>
      <c r="O431" s="837">
        <f t="shared" ca="1" si="190"/>
        <v>0</v>
      </c>
      <c r="P431" s="837">
        <f t="shared" si="191"/>
        <v>0</v>
      </c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</row>
    <row r="432" spans="1:26" ht="19.5">
      <c r="A432" s="1112"/>
      <c r="B432" s="1113"/>
      <c r="C432" s="933" t="s">
        <v>16</v>
      </c>
      <c r="D432" s="1245" t="s">
        <v>38</v>
      </c>
      <c r="E432" s="1246"/>
      <c r="F432" s="1246"/>
      <c r="G432" s="1247"/>
      <c r="H432" s="1248"/>
      <c r="I432" s="937"/>
      <c r="J432" s="937"/>
      <c r="K432" s="938"/>
      <c r="L432" s="938"/>
      <c r="M432" s="938"/>
      <c r="N432" s="938"/>
      <c r="O432" s="938"/>
      <c r="P432" s="938"/>
      <c r="Q432" s="818"/>
      <c r="R432" s="818"/>
      <c r="S432" s="818"/>
      <c r="T432" s="818"/>
      <c r="U432" s="818"/>
      <c r="V432" s="818"/>
      <c r="W432" s="818"/>
      <c r="X432" s="818"/>
      <c r="Y432" s="818"/>
      <c r="Z432" s="818"/>
    </row>
    <row r="433" spans="1:26" ht="19.5">
      <c r="A433" s="949"/>
      <c r="B433" s="950"/>
      <c r="C433" s="950"/>
      <c r="D433" s="960" t="s">
        <v>190</v>
      </c>
      <c r="E433" s="957"/>
      <c r="F433" s="957"/>
      <c r="G433" s="958"/>
      <c r="H433" s="196" t="s">
        <v>35</v>
      </c>
      <c r="I433" s="966">
        <f ca="1">I435</f>
        <v>20</v>
      </c>
      <c r="J433" s="966">
        <f ca="1">IF(AND(J435=I435,J437=I437,J439=I439),I437+I439,IF(AND(J435=I437,J437=I437),I437,IF(AND(J435=I439,J439=I439),I439,0)))</f>
        <v>0</v>
      </c>
      <c r="K433" s="967">
        <f t="shared" ref="K433:K435" ca="1" si="192">IF(I433&gt;0,J433*100/I433,0)</f>
        <v>0</v>
      </c>
      <c r="L433" s="831"/>
      <c r="M433" s="831"/>
      <c r="N433" s="831"/>
      <c r="O433" s="831"/>
      <c r="P433" s="831"/>
      <c r="Q433" s="818"/>
      <c r="R433" s="818"/>
      <c r="S433" s="818"/>
      <c r="T433" s="818"/>
      <c r="U433" s="818"/>
      <c r="V433" s="818"/>
      <c r="W433" s="818"/>
      <c r="X433" s="818"/>
      <c r="Y433" s="818"/>
      <c r="Z433" s="818"/>
    </row>
    <row r="434" spans="1:26" ht="19.5">
      <c r="A434" s="949"/>
      <c r="B434" s="950"/>
      <c r="C434" s="950"/>
      <c r="D434" s="960" t="s">
        <v>191</v>
      </c>
      <c r="E434" s="957"/>
      <c r="F434" s="957"/>
      <c r="G434" s="958"/>
      <c r="H434" s="196" t="s">
        <v>49</v>
      </c>
      <c r="I434" s="966">
        <f t="shared" ref="I434:J434" ca="1" si="193">I438+I440</f>
        <v>1</v>
      </c>
      <c r="J434" s="966">
        <f t="shared" si="193"/>
        <v>0</v>
      </c>
      <c r="K434" s="967">
        <f t="shared" ca="1" si="192"/>
        <v>0</v>
      </c>
      <c r="L434" s="831"/>
      <c r="M434" s="831"/>
      <c r="N434" s="831"/>
      <c r="O434" s="831"/>
      <c r="P434" s="831"/>
      <c r="Q434" s="818"/>
      <c r="R434" s="818"/>
      <c r="S434" s="818"/>
      <c r="T434" s="818"/>
      <c r="U434" s="818"/>
      <c r="V434" s="818"/>
      <c r="W434" s="818"/>
      <c r="X434" s="818"/>
      <c r="Y434" s="818"/>
      <c r="Z434" s="818"/>
    </row>
    <row r="435" spans="1:26" ht="18.75">
      <c r="A435" s="949"/>
      <c r="B435" s="950"/>
      <c r="C435" s="950"/>
      <c r="D435" s="956" t="s">
        <v>192</v>
      </c>
      <c r="E435" s="957"/>
      <c r="F435" s="957"/>
      <c r="G435" s="958"/>
      <c r="H435" s="590" t="s">
        <v>35</v>
      </c>
      <c r="I435" s="548">
        <f ca="1">IFERROR(__xludf.DUMMYFUNCTION("IMPORTRANGE(""https://docs.google.com/spreadsheets/d/1QqKyyYR6Q21VydFLVH3TRQUabQu_ym0Zz7PgGX0-kHA/edit?usp=sharing"",""แผน!FC22"")"),20)</f>
        <v>20</v>
      </c>
      <c r="J435" s="549">
        <v>0</v>
      </c>
      <c r="K435" s="831">
        <f t="shared" ca="1" si="192"/>
        <v>0</v>
      </c>
      <c r="L435" s="831"/>
      <c r="M435" s="831"/>
      <c r="N435" s="831"/>
      <c r="O435" s="831"/>
      <c r="P435" s="831"/>
      <c r="Q435" s="818"/>
      <c r="R435" s="818"/>
      <c r="S435" s="818"/>
      <c r="T435" s="818"/>
      <c r="U435" s="818"/>
      <c r="V435" s="818"/>
      <c r="W435" s="818"/>
      <c r="X435" s="818"/>
      <c r="Y435" s="818"/>
      <c r="Z435" s="818"/>
    </row>
    <row r="436" spans="1:26" ht="18.75">
      <c r="A436" s="949"/>
      <c r="B436" s="950"/>
      <c r="C436" s="950"/>
      <c r="D436" s="956" t="s">
        <v>193</v>
      </c>
      <c r="E436" s="957"/>
      <c r="F436" s="957"/>
      <c r="G436" s="958"/>
      <c r="H436" s="590"/>
      <c r="I436" s="830"/>
      <c r="J436" s="830"/>
      <c r="K436" s="831"/>
      <c r="L436" s="831"/>
      <c r="M436" s="831"/>
      <c r="N436" s="831"/>
      <c r="O436" s="831"/>
      <c r="P436" s="831"/>
      <c r="Q436" s="818"/>
      <c r="R436" s="818"/>
      <c r="S436" s="818"/>
      <c r="T436" s="818"/>
      <c r="U436" s="818"/>
      <c r="V436" s="818"/>
      <c r="W436" s="818"/>
      <c r="X436" s="818"/>
      <c r="Y436" s="818"/>
      <c r="Z436" s="818"/>
    </row>
    <row r="437" spans="1:26" ht="18.75">
      <c r="A437" s="949"/>
      <c r="B437" s="950"/>
      <c r="C437" s="950"/>
      <c r="D437" s="956" t="s">
        <v>194</v>
      </c>
      <c r="E437" s="957"/>
      <c r="F437" s="957"/>
      <c r="G437" s="958"/>
      <c r="H437" s="590" t="s">
        <v>35</v>
      </c>
      <c r="I437" s="548">
        <f ca="1">IFERROR(__xludf.DUMMYFUNCTION("IMPORTRANGE(""https://docs.google.com/spreadsheets/d/1QqKyyYR6Q21VydFLVH3TRQUabQu_ym0Zz7PgGX0-kHA/edit?usp=sharing"",""แผน!FD22"")"),0)</f>
        <v>0</v>
      </c>
      <c r="J437" s="549">
        <v>0</v>
      </c>
      <c r="K437" s="831">
        <f t="shared" ref="K437:K443" ca="1" si="194">IF(I437&gt;0,J437*100/I437,0)</f>
        <v>0</v>
      </c>
      <c r="L437" s="831"/>
      <c r="M437" s="831"/>
      <c r="N437" s="831"/>
      <c r="O437" s="831"/>
      <c r="P437" s="831"/>
      <c r="Q437" s="818"/>
      <c r="R437" s="818"/>
      <c r="S437" s="818"/>
      <c r="T437" s="818"/>
      <c r="U437" s="818"/>
      <c r="V437" s="818"/>
      <c r="W437" s="818"/>
      <c r="X437" s="818"/>
      <c r="Y437" s="818"/>
      <c r="Z437" s="818"/>
    </row>
    <row r="438" spans="1:26" ht="18.75">
      <c r="A438" s="949"/>
      <c r="B438" s="950"/>
      <c r="C438" s="950"/>
      <c r="D438" s="956" t="s">
        <v>195</v>
      </c>
      <c r="E438" s="957"/>
      <c r="F438" s="957"/>
      <c r="G438" s="958"/>
      <c r="H438" s="590" t="s">
        <v>49</v>
      </c>
      <c r="I438" s="830">
        <f ca="1">IFERROR(__xludf.DUMMYFUNCTION("IMPORTRANGE(""https://docs.google.com/spreadsheets/d/1QqKyyYR6Q21VydFLVH3TRQUabQu_ym0Zz7PgGX0-kHA/edit?usp=sharing"",""แผน!FE22"")"),0)</f>
        <v>0</v>
      </c>
      <c r="J438" s="959">
        <v>0</v>
      </c>
      <c r="K438" s="831">
        <f t="shared" ca="1" si="194"/>
        <v>0</v>
      </c>
      <c r="L438" s="831"/>
      <c r="M438" s="831"/>
      <c r="N438" s="831"/>
      <c r="O438" s="831"/>
      <c r="P438" s="831"/>
      <c r="Q438" s="818"/>
      <c r="R438" s="818"/>
      <c r="S438" s="818"/>
      <c r="T438" s="818"/>
      <c r="U438" s="818"/>
      <c r="V438" s="818"/>
      <c r="W438" s="818"/>
      <c r="X438" s="818"/>
      <c r="Y438" s="818"/>
      <c r="Z438" s="818"/>
    </row>
    <row r="439" spans="1:26" ht="18.75">
      <c r="A439" s="949"/>
      <c r="B439" s="950"/>
      <c r="C439" s="950"/>
      <c r="D439" s="956" t="s">
        <v>196</v>
      </c>
      <c r="E439" s="957"/>
      <c r="F439" s="957"/>
      <c r="G439" s="958"/>
      <c r="H439" s="590" t="s">
        <v>35</v>
      </c>
      <c r="I439" s="548">
        <f ca="1">IFERROR(__xludf.DUMMYFUNCTION("IMPORTRANGE(""https://docs.google.com/spreadsheets/d/1QqKyyYR6Q21VydFLVH3TRQUabQu_ym0Zz7PgGX0-kHA/edit?usp=sharing"",""แผน!FF22"")"),20)</f>
        <v>20</v>
      </c>
      <c r="J439" s="549">
        <v>0</v>
      </c>
      <c r="K439" s="831">
        <f t="shared" ca="1" si="194"/>
        <v>0</v>
      </c>
      <c r="L439" s="831"/>
      <c r="M439" s="831"/>
      <c r="N439" s="831"/>
      <c r="O439" s="831"/>
      <c r="P439" s="831"/>
      <c r="Q439" s="818"/>
      <c r="R439" s="818"/>
      <c r="S439" s="818"/>
      <c r="T439" s="818"/>
      <c r="U439" s="818"/>
      <c r="V439" s="818"/>
      <c r="W439" s="818"/>
      <c r="X439" s="818"/>
      <c r="Y439" s="818"/>
      <c r="Z439" s="818"/>
    </row>
    <row r="440" spans="1:26" ht="18.75">
      <c r="A440" s="949"/>
      <c r="B440" s="950"/>
      <c r="C440" s="950"/>
      <c r="D440" s="956" t="s">
        <v>197</v>
      </c>
      <c r="E440" s="957"/>
      <c r="F440" s="957"/>
      <c r="G440" s="958"/>
      <c r="H440" s="590" t="s">
        <v>49</v>
      </c>
      <c r="I440" s="830">
        <f ca="1">IFERROR(__xludf.DUMMYFUNCTION("IMPORTRANGE(""https://docs.google.com/spreadsheets/d/1QqKyyYR6Q21VydFLVH3TRQUabQu_ym0Zz7PgGX0-kHA/edit?usp=sharing"",""แผน!FG22"")"),1)</f>
        <v>1</v>
      </c>
      <c r="J440" s="959">
        <v>0</v>
      </c>
      <c r="K440" s="831">
        <f t="shared" ca="1" si="194"/>
        <v>0</v>
      </c>
      <c r="L440" s="831"/>
      <c r="M440" s="831"/>
      <c r="N440" s="831"/>
      <c r="O440" s="831"/>
      <c r="P440" s="831"/>
      <c r="Q440" s="818"/>
      <c r="R440" s="818"/>
      <c r="S440" s="818"/>
      <c r="T440" s="818"/>
      <c r="U440" s="818"/>
      <c r="V440" s="818"/>
      <c r="W440" s="818"/>
      <c r="X440" s="818"/>
      <c r="Y440" s="818"/>
      <c r="Z440" s="818"/>
    </row>
    <row r="441" spans="1:26" ht="18.75">
      <c r="A441" s="949"/>
      <c r="B441" s="950"/>
      <c r="C441" s="950"/>
      <c r="D441" s="956" t="s">
        <v>198</v>
      </c>
      <c r="E441" s="957"/>
      <c r="F441" s="957"/>
      <c r="G441" s="958"/>
      <c r="H441" s="590" t="s">
        <v>35</v>
      </c>
      <c r="I441" s="830">
        <f ca="1">IFERROR(__xludf.DUMMYFUNCTION("IMPORTRANGE(""https://docs.google.com/spreadsheets/d/1QqKyyYR6Q21VydFLVH3TRQUabQu_ym0Zz7PgGX0-kHA/edit?usp=sharing"",""แผน!FH22"")"),0)</f>
        <v>0</v>
      </c>
      <c r="J441" s="830">
        <v>0</v>
      </c>
      <c r="K441" s="831">
        <f t="shared" ca="1" si="194"/>
        <v>0</v>
      </c>
      <c r="L441" s="831"/>
      <c r="M441" s="831"/>
      <c r="N441" s="831"/>
      <c r="O441" s="831"/>
      <c r="P441" s="831"/>
      <c r="Q441" s="818"/>
      <c r="R441" s="818"/>
      <c r="S441" s="818"/>
      <c r="T441" s="818"/>
      <c r="U441" s="818"/>
      <c r="V441" s="818"/>
      <c r="W441" s="818"/>
      <c r="X441" s="818"/>
      <c r="Y441" s="818"/>
      <c r="Z441" s="818"/>
    </row>
    <row r="442" spans="1:26" ht="19.5" hidden="1">
      <c r="A442" s="550">
        <v>2</v>
      </c>
      <c r="B442" s="1249" t="s">
        <v>199</v>
      </c>
      <c r="C442" s="1250"/>
      <c r="D442" s="1250"/>
      <c r="E442" s="1250"/>
      <c r="F442" s="1250"/>
      <c r="G442" s="1251"/>
      <c r="H442" s="554" t="s">
        <v>35</v>
      </c>
      <c r="I442" s="1252">
        <f t="shared" ref="I442:J442" ca="1" si="195">I460</f>
        <v>0</v>
      </c>
      <c r="J442" s="1252">
        <f t="shared" si="195"/>
        <v>0</v>
      </c>
      <c r="K442" s="1253">
        <f t="shared" ca="1" si="194"/>
        <v>0</v>
      </c>
      <c r="L442" s="1254"/>
      <c r="M442" s="1254"/>
      <c r="N442" s="1254"/>
      <c r="O442" s="1254"/>
      <c r="P442" s="1254"/>
      <c r="Q442" s="1244"/>
      <c r="R442" s="1244"/>
      <c r="S442" s="1244"/>
      <c r="T442" s="1244"/>
      <c r="U442" s="1244"/>
      <c r="V442" s="1244"/>
      <c r="W442" s="1244"/>
      <c r="X442" s="1244"/>
      <c r="Y442" s="1244"/>
      <c r="Z442" s="1244"/>
    </row>
    <row r="443" spans="1:26" ht="19.5" hidden="1">
      <c r="A443" s="1255"/>
      <c r="B443" s="1256"/>
      <c r="C443" s="1257"/>
      <c r="D443" s="1257"/>
      <c r="E443" s="1257"/>
      <c r="F443" s="1257"/>
      <c r="G443" s="1258"/>
      <c r="H443" s="532" t="s">
        <v>46</v>
      </c>
      <c r="I443" s="1237">
        <f t="shared" ref="I443:J443" ca="1" si="196">I462</f>
        <v>0</v>
      </c>
      <c r="J443" s="1237">
        <f t="shared" si="196"/>
        <v>0</v>
      </c>
      <c r="K443" s="1238">
        <f t="shared" ca="1" si="194"/>
        <v>0</v>
      </c>
      <c r="L443" s="1239"/>
      <c r="M443" s="1239"/>
      <c r="N443" s="1239"/>
      <c r="O443" s="1239"/>
      <c r="P443" s="1239"/>
      <c r="Q443" s="1244"/>
      <c r="R443" s="1244"/>
      <c r="S443" s="1244"/>
      <c r="T443" s="1244"/>
      <c r="U443" s="1244"/>
      <c r="V443" s="1244"/>
      <c r="W443" s="1244"/>
      <c r="X443" s="1244"/>
      <c r="Y443" s="1244"/>
      <c r="Z443" s="1244"/>
    </row>
    <row r="444" spans="1:26" ht="19.5" hidden="1">
      <c r="A444" s="1259"/>
      <c r="B444" s="1243"/>
      <c r="C444" s="1243" t="s">
        <v>16</v>
      </c>
      <c r="D444" s="1507" t="s">
        <v>17</v>
      </c>
      <c r="E444" s="1485"/>
      <c r="F444" s="1485"/>
      <c r="G444" s="963"/>
      <c r="H444" s="563" t="s">
        <v>12</v>
      </c>
      <c r="I444" s="830"/>
      <c r="J444" s="830"/>
      <c r="K444" s="831"/>
      <c r="L444" s="967">
        <f t="shared" ref="L444:N444" ca="1" si="197">L445+L446</f>
        <v>0</v>
      </c>
      <c r="M444" s="967">
        <f t="shared" si="197"/>
        <v>0</v>
      </c>
      <c r="N444" s="967">
        <f t="shared" si="197"/>
        <v>0</v>
      </c>
      <c r="O444" s="967">
        <f t="shared" ref="O444:O449" ca="1" si="198">IF(L444&gt;0,N444*100/L444,0)</f>
        <v>0</v>
      </c>
      <c r="P444" s="967">
        <f t="shared" ref="P444:P449" si="199">IF(M444&gt;0,N444*100/M444,0)</f>
        <v>0</v>
      </c>
      <c r="Q444" s="1244"/>
      <c r="R444" s="1244"/>
      <c r="S444" s="1244"/>
      <c r="T444" s="1244"/>
      <c r="U444" s="1244"/>
      <c r="V444" s="1244"/>
      <c r="W444" s="1244"/>
      <c r="X444" s="1244"/>
      <c r="Y444" s="1244"/>
      <c r="Z444" s="1244"/>
    </row>
    <row r="445" spans="1:26" ht="18.75" hidden="1">
      <c r="A445" s="1260"/>
      <c r="B445" s="1261"/>
      <c r="C445" s="1261"/>
      <c r="D445" s="1262"/>
      <c r="E445" s="1261" t="s">
        <v>184</v>
      </c>
      <c r="F445" s="1261"/>
      <c r="G445" s="1263"/>
      <c r="H445" s="165" t="s">
        <v>12</v>
      </c>
      <c r="I445" s="836"/>
      <c r="J445" s="836"/>
      <c r="K445" s="837"/>
      <c r="L445" s="837">
        <f t="shared" ref="L445:N446" si="200">L448+L455</f>
        <v>0</v>
      </c>
      <c r="M445" s="837">
        <f t="shared" si="200"/>
        <v>0</v>
      </c>
      <c r="N445" s="837">
        <f t="shared" si="200"/>
        <v>0</v>
      </c>
      <c r="O445" s="837">
        <f t="shared" si="198"/>
        <v>0</v>
      </c>
      <c r="P445" s="837">
        <f t="shared" si="199"/>
        <v>0</v>
      </c>
      <c r="Q445" s="1264"/>
      <c r="R445" s="1264"/>
      <c r="S445" s="1264"/>
      <c r="T445" s="1264"/>
      <c r="U445" s="1264"/>
      <c r="V445" s="1264"/>
      <c r="W445" s="1264"/>
      <c r="X445" s="1264"/>
      <c r="Y445" s="1264"/>
      <c r="Z445" s="1264"/>
    </row>
    <row r="446" spans="1:26" ht="18.75" hidden="1">
      <c r="A446" s="1260"/>
      <c r="B446" s="1265"/>
      <c r="C446" s="1261"/>
      <c r="D446" s="1262"/>
      <c r="E446" s="1261" t="s">
        <v>185</v>
      </c>
      <c r="F446" s="1261"/>
      <c r="G446" s="1263"/>
      <c r="H446" s="165" t="s">
        <v>12</v>
      </c>
      <c r="I446" s="836"/>
      <c r="J446" s="836"/>
      <c r="K446" s="837"/>
      <c r="L446" s="837">
        <f t="shared" ca="1" si="200"/>
        <v>0</v>
      </c>
      <c r="M446" s="837">
        <f t="shared" si="200"/>
        <v>0</v>
      </c>
      <c r="N446" s="837">
        <f t="shared" si="200"/>
        <v>0</v>
      </c>
      <c r="O446" s="837">
        <f t="shared" ca="1" si="198"/>
        <v>0</v>
      </c>
      <c r="P446" s="837">
        <f t="shared" si="199"/>
        <v>0</v>
      </c>
      <c r="Q446" s="1264"/>
      <c r="R446" s="1264"/>
      <c r="S446" s="1264"/>
      <c r="T446" s="1264"/>
      <c r="U446" s="1264"/>
      <c r="V446" s="1264"/>
      <c r="W446" s="1264"/>
      <c r="X446" s="1264"/>
      <c r="Y446" s="1264"/>
      <c r="Z446" s="1264"/>
    </row>
    <row r="447" spans="1:26" ht="18.75" hidden="1">
      <c r="A447" s="1259"/>
      <c r="B447" s="1242"/>
      <c r="C447" s="1243"/>
      <c r="D447" s="1266" t="s">
        <v>20</v>
      </c>
      <c r="E447" s="1243"/>
      <c r="F447" s="1243"/>
      <c r="G447" s="963"/>
      <c r="H447" s="778" t="s">
        <v>12</v>
      </c>
      <c r="I447" s="944"/>
      <c r="J447" s="944"/>
      <c r="K447" s="945"/>
      <c r="L447" s="831">
        <f t="shared" ref="L447:N447" ca="1" si="201">L448+L449</f>
        <v>0</v>
      </c>
      <c r="M447" s="831">
        <f t="shared" si="201"/>
        <v>0</v>
      </c>
      <c r="N447" s="831">
        <f t="shared" si="201"/>
        <v>0</v>
      </c>
      <c r="O447" s="831">
        <f t="shared" ca="1" si="198"/>
        <v>0</v>
      </c>
      <c r="P447" s="831">
        <f t="shared" si="199"/>
        <v>0</v>
      </c>
      <c r="Q447" s="1244"/>
      <c r="R447" s="1244"/>
      <c r="S447" s="1244"/>
      <c r="T447" s="1244"/>
      <c r="U447" s="1244"/>
      <c r="V447" s="1244"/>
      <c r="W447" s="1244"/>
      <c r="X447" s="1244"/>
      <c r="Y447" s="1244"/>
      <c r="Z447" s="1244"/>
    </row>
    <row r="448" spans="1:26" ht="18.75" hidden="1">
      <c r="A448" s="1260"/>
      <c r="B448" s="1265"/>
      <c r="C448" s="1261"/>
      <c r="D448" s="1262"/>
      <c r="E448" s="1261" t="s">
        <v>184</v>
      </c>
      <c r="F448" s="1261"/>
      <c r="G448" s="1263"/>
      <c r="H448" s="165" t="s">
        <v>12</v>
      </c>
      <c r="I448" s="836"/>
      <c r="J448" s="836"/>
      <c r="K448" s="837"/>
      <c r="L448" s="837">
        <v>0</v>
      </c>
      <c r="M448" s="837">
        <v>0</v>
      </c>
      <c r="N448" s="837">
        <v>0</v>
      </c>
      <c r="O448" s="837">
        <f t="shared" si="198"/>
        <v>0</v>
      </c>
      <c r="P448" s="837">
        <f t="shared" si="199"/>
        <v>0</v>
      </c>
      <c r="Q448" s="1264"/>
      <c r="R448" s="1264"/>
      <c r="S448" s="1264"/>
      <c r="T448" s="1264"/>
      <c r="U448" s="1264"/>
      <c r="V448" s="1264"/>
      <c r="W448" s="1264"/>
      <c r="X448" s="1264"/>
      <c r="Y448" s="1264"/>
      <c r="Z448" s="1264"/>
    </row>
    <row r="449" spans="1:26" ht="18.75" hidden="1">
      <c r="A449" s="1260"/>
      <c r="B449" s="1265"/>
      <c r="C449" s="1261"/>
      <c r="D449" s="1262"/>
      <c r="E449" s="1261" t="s">
        <v>185</v>
      </c>
      <c r="F449" s="1261"/>
      <c r="G449" s="1263"/>
      <c r="H449" s="165" t="s">
        <v>12</v>
      </c>
      <c r="I449" s="836"/>
      <c r="J449" s="836"/>
      <c r="K449" s="837"/>
      <c r="L449" s="837">
        <f ca="1">IFERROR(__xludf.DUMMYFUNCTION("IMPORTRANGE(""https://docs.google.com/spreadsheets/d/1QqKyyYR6Q21VydFLVH3TRQUabQu_ym0Zz7PgGX0-kHA/edit?usp=sharing"",""แผน!FJ22"")"),0)</f>
        <v>0</v>
      </c>
      <c r="M449" s="837">
        <v>0</v>
      </c>
      <c r="N449" s="837">
        <f>N450+N451+N452+N453</f>
        <v>0</v>
      </c>
      <c r="O449" s="837">
        <f t="shared" ca="1" si="198"/>
        <v>0</v>
      </c>
      <c r="P449" s="837">
        <f t="shared" si="199"/>
        <v>0</v>
      </c>
      <c r="Q449" s="1264"/>
      <c r="R449" s="1264"/>
      <c r="S449" s="1264"/>
      <c r="T449" s="1264"/>
      <c r="U449" s="1264"/>
      <c r="V449" s="1264"/>
      <c r="W449" s="1264"/>
      <c r="X449" s="1264"/>
      <c r="Y449" s="1264"/>
      <c r="Z449" s="1264"/>
    </row>
    <row r="450" spans="1:26" ht="18.75" hidden="1">
      <c r="A450" s="1241"/>
      <c r="B450" s="1242"/>
      <c r="C450" s="1243"/>
      <c r="D450" s="1243"/>
      <c r="E450" s="1243"/>
      <c r="F450" s="1243" t="s">
        <v>186</v>
      </c>
      <c r="G450" s="963"/>
      <c r="H450" s="778" t="s">
        <v>12</v>
      </c>
      <c r="I450" s="830"/>
      <c r="J450" s="830"/>
      <c r="K450" s="831"/>
      <c r="L450" s="831"/>
      <c r="M450" s="831"/>
      <c r="N450" s="1031">
        <v>0</v>
      </c>
      <c r="O450" s="831"/>
      <c r="P450" s="831"/>
      <c r="Q450" s="1244"/>
      <c r="R450" s="1244"/>
      <c r="S450" s="1244"/>
      <c r="T450" s="1244"/>
      <c r="U450" s="1244"/>
      <c r="V450" s="1244"/>
      <c r="W450" s="1244"/>
      <c r="X450" s="1244"/>
      <c r="Y450" s="1244"/>
      <c r="Z450" s="1244"/>
    </row>
    <row r="451" spans="1:26" ht="18.75" hidden="1">
      <c r="A451" s="1241"/>
      <c r="B451" s="1242"/>
      <c r="C451" s="1243"/>
      <c r="D451" s="1243"/>
      <c r="E451" s="1243"/>
      <c r="F451" s="1243" t="s">
        <v>187</v>
      </c>
      <c r="G451" s="963"/>
      <c r="H451" s="778" t="s">
        <v>12</v>
      </c>
      <c r="I451" s="830"/>
      <c r="J451" s="830"/>
      <c r="K451" s="831"/>
      <c r="L451" s="831"/>
      <c r="M451" s="831"/>
      <c r="N451" s="1031">
        <v>0</v>
      </c>
      <c r="O451" s="831"/>
      <c r="P451" s="831"/>
      <c r="Q451" s="1244"/>
      <c r="R451" s="1244"/>
      <c r="S451" s="1244"/>
      <c r="T451" s="1244"/>
      <c r="U451" s="1244"/>
      <c r="V451" s="1244"/>
      <c r="W451" s="1244"/>
      <c r="X451" s="1244"/>
      <c r="Y451" s="1244"/>
      <c r="Z451" s="1244"/>
    </row>
    <row r="452" spans="1:26" ht="18.75" hidden="1">
      <c r="A452" s="1241"/>
      <c r="B452" s="1242"/>
      <c r="C452" s="1242"/>
      <c r="D452" s="1242"/>
      <c r="E452" s="1242"/>
      <c r="F452" s="1243" t="s">
        <v>188</v>
      </c>
      <c r="G452" s="963"/>
      <c r="H452" s="778" t="s">
        <v>12</v>
      </c>
      <c r="I452" s="830"/>
      <c r="J452" s="830"/>
      <c r="K452" s="831"/>
      <c r="L452" s="831"/>
      <c r="M452" s="831"/>
      <c r="N452" s="1031">
        <v>0</v>
      </c>
      <c r="O452" s="831"/>
      <c r="P452" s="831"/>
      <c r="Q452" s="1244"/>
      <c r="R452" s="1244"/>
      <c r="S452" s="1244"/>
      <c r="T452" s="1244"/>
      <c r="U452" s="1244"/>
      <c r="V452" s="1244"/>
      <c r="W452" s="1244"/>
      <c r="X452" s="1244"/>
      <c r="Y452" s="1244"/>
      <c r="Z452" s="1244"/>
    </row>
    <row r="453" spans="1:26" ht="18.75" hidden="1">
      <c r="A453" s="1241"/>
      <c r="B453" s="1242"/>
      <c r="C453" s="1242"/>
      <c r="D453" s="1242"/>
      <c r="E453" s="1242"/>
      <c r="F453" s="1243" t="s">
        <v>189</v>
      </c>
      <c r="G453" s="963"/>
      <c r="H453" s="778" t="s">
        <v>12</v>
      </c>
      <c r="I453" s="830"/>
      <c r="J453" s="830"/>
      <c r="K453" s="831"/>
      <c r="L453" s="831"/>
      <c r="M453" s="831"/>
      <c r="N453" s="1031">
        <v>0</v>
      </c>
      <c r="O453" s="831"/>
      <c r="P453" s="831"/>
      <c r="Q453" s="1244"/>
      <c r="R453" s="1244"/>
      <c r="S453" s="1244"/>
      <c r="T453" s="1244"/>
      <c r="U453" s="1244"/>
      <c r="V453" s="1244"/>
      <c r="W453" s="1244"/>
      <c r="X453" s="1244"/>
      <c r="Y453" s="1244"/>
      <c r="Z453" s="1244"/>
    </row>
    <row r="454" spans="1:26" ht="18.75" hidden="1">
      <c r="A454" s="1259"/>
      <c r="B454" s="1242"/>
      <c r="C454" s="1242"/>
      <c r="D454" s="1266" t="s">
        <v>21</v>
      </c>
      <c r="E454" s="1242"/>
      <c r="F454" s="1243"/>
      <c r="G454" s="963"/>
      <c r="H454" s="168" t="s">
        <v>12</v>
      </c>
      <c r="I454" s="944"/>
      <c r="J454" s="944"/>
      <c r="K454" s="945"/>
      <c r="L454" s="831">
        <f t="shared" ref="L454:N454" ca="1" si="202">L455+L456</f>
        <v>0</v>
      </c>
      <c r="M454" s="831">
        <f t="shared" si="202"/>
        <v>0</v>
      </c>
      <c r="N454" s="831">
        <f t="shared" si="202"/>
        <v>0</v>
      </c>
      <c r="O454" s="831">
        <f t="shared" ref="O454:O456" ca="1" si="203">IF(L454&gt;0,N454*100/L454,0)</f>
        <v>0</v>
      </c>
      <c r="P454" s="831">
        <f t="shared" ref="P454:P456" si="204">IF(M454&gt;0,N454*100/M454,0)</f>
        <v>0</v>
      </c>
      <c r="Q454" s="1244"/>
      <c r="R454" s="1244"/>
      <c r="S454" s="1244"/>
      <c r="T454" s="1244"/>
      <c r="U454" s="1244"/>
      <c r="V454" s="1244"/>
      <c r="W454" s="1244"/>
      <c r="X454" s="1244"/>
      <c r="Y454" s="1244"/>
      <c r="Z454" s="1244"/>
    </row>
    <row r="455" spans="1:26" ht="18.75" hidden="1">
      <c r="A455" s="1260"/>
      <c r="B455" s="1265"/>
      <c r="C455" s="1265"/>
      <c r="D455" s="1265"/>
      <c r="E455" s="1265" t="s">
        <v>18</v>
      </c>
      <c r="F455" s="1261"/>
      <c r="G455" s="1263"/>
      <c r="H455" s="165" t="s">
        <v>12</v>
      </c>
      <c r="I455" s="947"/>
      <c r="J455" s="947"/>
      <c r="K455" s="948"/>
      <c r="L455" s="837">
        <v>0</v>
      </c>
      <c r="M455" s="837">
        <v>0</v>
      </c>
      <c r="N455" s="837">
        <v>0</v>
      </c>
      <c r="O455" s="837">
        <f t="shared" si="203"/>
        <v>0</v>
      </c>
      <c r="P455" s="837">
        <f t="shared" si="204"/>
        <v>0</v>
      </c>
      <c r="Q455" s="1264"/>
      <c r="R455" s="1264"/>
      <c r="S455" s="1264"/>
      <c r="T455" s="1264"/>
      <c r="U455" s="1264"/>
      <c r="V455" s="1264"/>
      <c r="W455" s="1264"/>
      <c r="X455" s="1264"/>
      <c r="Y455" s="1264"/>
      <c r="Z455" s="1264"/>
    </row>
    <row r="456" spans="1:26" ht="18.75" hidden="1">
      <c r="A456" s="1260"/>
      <c r="B456" s="1265"/>
      <c r="C456" s="1265"/>
      <c r="D456" s="1265"/>
      <c r="E456" s="1265" t="s">
        <v>19</v>
      </c>
      <c r="F456" s="1261"/>
      <c r="G456" s="1263"/>
      <c r="H456" s="169" t="s">
        <v>12</v>
      </c>
      <c r="I456" s="947"/>
      <c r="J456" s="947"/>
      <c r="K456" s="948"/>
      <c r="L456" s="837">
        <f ca="1">IFERROR(__xludf.DUMMYFUNCTION("IMPORTRANGE(""https://docs.google.com/spreadsheets/d/1QqKyyYR6Q21VydFLVH3TRQUabQu_ym0Zz7PgGX0-kHA/edit?usp=sharing"",""แผน!FM22"")"),0)</f>
        <v>0</v>
      </c>
      <c r="M456" s="837">
        <v>0</v>
      </c>
      <c r="N456" s="837">
        <v>0</v>
      </c>
      <c r="O456" s="837">
        <f t="shared" ca="1" si="203"/>
        <v>0</v>
      </c>
      <c r="P456" s="837">
        <f t="shared" si="204"/>
        <v>0</v>
      </c>
      <c r="Q456" s="1264"/>
      <c r="R456" s="1264"/>
      <c r="S456" s="1264"/>
      <c r="T456" s="1264"/>
      <c r="U456" s="1264"/>
      <c r="V456" s="1264"/>
      <c r="W456" s="1264"/>
      <c r="X456" s="1264"/>
      <c r="Y456" s="1264"/>
      <c r="Z456" s="1264"/>
    </row>
    <row r="457" spans="1:26" ht="19.5" hidden="1">
      <c r="A457" s="1267"/>
      <c r="B457" s="1268"/>
      <c r="C457" s="1242" t="s">
        <v>16</v>
      </c>
      <c r="D457" s="1269" t="s">
        <v>38</v>
      </c>
      <c r="E457" s="1270"/>
      <c r="F457" s="1271"/>
      <c r="G457" s="1272"/>
      <c r="H457" s="954"/>
      <c r="I457" s="830"/>
      <c r="J457" s="830"/>
      <c r="K457" s="831"/>
      <c r="L457" s="831"/>
      <c r="M457" s="831"/>
      <c r="N457" s="831"/>
      <c r="O457" s="831"/>
      <c r="P457" s="831"/>
      <c r="Q457" s="1244"/>
      <c r="R457" s="1244"/>
      <c r="S457" s="1244"/>
      <c r="T457" s="1244"/>
      <c r="U457" s="1244"/>
      <c r="V457" s="1244"/>
      <c r="W457" s="1244"/>
      <c r="X457" s="1244"/>
      <c r="Y457" s="1244"/>
      <c r="Z457" s="1244"/>
    </row>
    <row r="458" spans="1:26" ht="18.75" hidden="1">
      <c r="A458" s="1273"/>
      <c r="B458" s="1274"/>
      <c r="C458" s="1274"/>
      <c r="D458" s="1274" t="s">
        <v>200</v>
      </c>
      <c r="E458" s="1274"/>
      <c r="F458" s="1262"/>
      <c r="G458" s="1060"/>
      <c r="H458" s="583" t="s">
        <v>35</v>
      </c>
      <c r="I458" s="836">
        <v>0</v>
      </c>
      <c r="J458" s="836">
        <v>0</v>
      </c>
      <c r="K458" s="837">
        <f>IF(I458&gt;0,J458*100/I458,0)</f>
        <v>0</v>
      </c>
      <c r="L458" s="837"/>
      <c r="M458" s="837"/>
      <c r="N458" s="837"/>
      <c r="O458" s="837"/>
      <c r="P458" s="837"/>
      <c r="Q458" s="1264"/>
      <c r="R458" s="1264"/>
      <c r="S458" s="1264"/>
      <c r="T458" s="1264"/>
      <c r="U458" s="1264"/>
      <c r="V458" s="1264"/>
      <c r="W458" s="1264"/>
      <c r="X458" s="1264"/>
      <c r="Y458" s="1264"/>
      <c r="Z458" s="1264"/>
    </row>
    <row r="459" spans="1:26" ht="18.75" hidden="1">
      <c r="A459" s="1273"/>
      <c r="B459" s="1274"/>
      <c r="C459" s="1274"/>
      <c r="D459" s="1274" t="s">
        <v>201</v>
      </c>
      <c r="E459" s="1274"/>
      <c r="F459" s="1262"/>
      <c r="G459" s="1060"/>
      <c r="H459" s="583"/>
      <c r="I459" s="836"/>
      <c r="J459" s="836"/>
      <c r="K459" s="837"/>
      <c r="L459" s="837"/>
      <c r="M459" s="837"/>
      <c r="N459" s="837"/>
      <c r="O459" s="837"/>
      <c r="P459" s="837"/>
      <c r="Q459" s="1264"/>
      <c r="R459" s="1264"/>
      <c r="S459" s="1264"/>
      <c r="T459" s="1264"/>
      <c r="U459" s="1264"/>
      <c r="V459" s="1264"/>
      <c r="W459" s="1264"/>
      <c r="X459" s="1264"/>
      <c r="Y459" s="1264"/>
      <c r="Z459" s="1264"/>
    </row>
    <row r="460" spans="1:26" ht="18.75" hidden="1">
      <c r="A460" s="1267"/>
      <c r="B460" s="1268"/>
      <c r="C460" s="1268"/>
      <c r="D460" s="1268" t="s">
        <v>202</v>
      </c>
      <c r="E460" s="1268"/>
      <c r="F460" s="961"/>
      <c r="G460" s="954"/>
      <c r="H460" s="730" t="s">
        <v>35</v>
      </c>
      <c r="I460" s="830">
        <f ca="1">IFERROR(__xludf.DUMMYFUNCTION("IMPORTRANGE(""https://docs.google.com/spreadsheets/d/1QqKyyYR6Q21VydFLVH3TRQUabQu_ym0Zz7PgGX0-kHA/edit?usp=sharing"",""แผน!FN22"")"),0)</f>
        <v>0</v>
      </c>
      <c r="J460" s="959">
        <v>0</v>
      </c>
      <c r="K460" s="831">
        <f ca="1">IF(I460&gt;0,J460*100/I460,0)</f>
        <v>0</v>
      </c>
      <c r="L460" s="831"/>
      <c r="M460" s="831"/>
      <c r="N460" s="831"/>
      <c r="O460" s="831"/>
      <c r="P460" s="831"/>
      <c r="Q460" s="1244"/>
      <c r="R460" s="1244"/>
      <c r="S460" s="1244"/>
      <c r="T460" s="1244"/>
      <c r="U460" s="1244"/>
      <c r="V460" s="1244"/>
      <c r="W460" s="1244"/>
      <c r="X460" s="1244"/>
      <c r="Y460" s="1244"/>
      <c r="Z460" s="1244"/>
    </row>
    <row r="461" spans="1:26" ht="18.75" hidden="1">
      <c r="A461" s="1267"/>
      <c r="B461" s="1268"/>
      <c r="C461" s="1268"/>
      <c r="D461" s="1268" t="s">
        <v>203</v>
      </c>
      <c r="E461" s="961"/>
      <c r="F461" s="961"/>
      <c r="G461" s="954"/>
      <c r="H461" s="730"/>
      <c r="I461" s="830"/>
      <c r="J461" s="830"/>
      <c r="K461" s="831"/>
      <c r="L461" s="831"/>
      <c r="M461" s="831"/>
      <c r="N461" s="831"/>
      <c r="O461" s="831"/>
      <c r="P461" s="831"/>
      <c r="Q461" s="1244"/>
      <c r="R461" s="1244"/>
      <c r="S461" s="1244"/>
      <c r="T461" s="1244"/>
      <c r="U461" s="1244"/>
      <c r="V461" s="1244"/>
      <c r="W461" s="1244"/>
      <c r="X461" s="1244"/>
      <c r="Y461" s="1244"/>
      <c r="Z461" s="1244"/>
    </row>
    <row r="462" spans="1:26" ht="18.75" hidden="1">
      <c r="A462" s="1267"/>
      <c r="B462" s="1268"/>
      <c r="C462" s="1268"/>
      <c r="D462" s="1268" t="s">
        <v>204</v>
      </c>
      <c r="E462" s="961"/>
      <c r="F462" s="961"/>
      <c r="G462" s="954"/>
      <c r="H462" s="730" t="s">
        <v>46</v>
      </c>
      <c r="I462" s="830">
        <f ca="1">IFERROR(__xludf.DUMMYFUNCTION("IMPORTRANGE(""https://docs.google.com/spreadsheets/d/1QqKyyYR6Q21VydFLVH3TRQUabQu_ym0Zz7PgGX0-kHA/edit?usp=sharing"",""แผน!FO22"")"),0)</f>
        <v>0</v>
      </c>
      <c r="J462" s="959">
        <v>0</v>
      </c>
      <c r="K462" s="831">
        <f ca="1">IF(I462&gt;0,J462*100/I462,0)</f>
        <v>0</v>
      </c>
      <c r="L462" s="831"/>
      <c r="M462" s="831"/>
      <c r="N462" s="831"/>
      <c r="O462" s="831"/>
      <c r="P462" s="831"/>
      <c r="Q462" s="1244"/>
      <c r="R462" s="1244"/>
      <c r="S462" s="1244"/>
      <c r="T462" s="1244"/>
      <c r="U462" s="1244"/>
      <c r="V462" s="1244"/>
      <c r="W462" s="1244"/>
      <c r="X462" s="1244"/>
      <c r="Y462" s="1244"/>
      <c r="Z462" s="1244"/>
    </row>
    <row r="463" spans="1:26" ht="18.75" hidden="1">
      <c r="A463" s="1267"/>
      <c r="B463" s="1268"/>
      <c r="C463" s="1268"/>
      <c r="D463" s="1268" t="s">
        <v>59</v>
      </c>
      <c r="E463" s="961"/>
      <c r="F463" s="1243"/>
      <c r="G463" s="963"/>
      <c r="H463" s="730" t="s">
        <v>46</v>
      </c>
      <c r="I463" s="830">
        <f ca="1">IFERROR(__xludf.DUMMYFUNCTION("IMPORTRANGE(""https://docs.google.com/spreadsheets/d/1QqKyyYR6Q21VydFLVH3TRQUabQu_ym0Zz7PgGX0-kHA/edit?usp=sharing"",""แผน!FO22"")"),0)</f>
        <v>0</v>
      </c>
      <c r="J463" s="959">
        <v>0</v>
      </c>
      <c r="K463" s="831"/>
      <c r="L463" s="831"/>
      <c r="M463" s="831"/>
      <c r="N463" s="831"/>
      <c r="O463" s="831"/>
      <c r="P463" s="831"/>
      <c r="Q463" s="1244"/>
      <c r="R463" s="1244"/>
      <c r="S463" s="1244"/>
      <c r="T463" s="1244"/>
      <c r="U463" s="1244"/>
      <c r="V463" s="1244"/>
      <c r="W463" s="1244"/>
      <c r="X463" s="1244"/>
      <c r="Y463" s="1244"/>
      <c r="Z463" s="1244"/>
    </row>
    <row r="464" spans="1:26" ht="19.5" hidden="1">
      <c r="A464" s="1267"/>
      <c r="B464" s="1268"/>
      <c r="C464" s="1268"/>
      <c r="D464" s="1268"/>
      <c r="E464" s="961"/>
      <c r="F464" s="961"/>
      <c r="G464" s="1275"/>
      <c r="H464" s="730" t="s">
        <v>35</v>
      </c>
      <c r="I464" s="830">
        <f ca="1">IFERROR(__xludf.DUMMYFUNCTION("IMPORTRANGE(""https://docs.google.com/spreadsheets/d/1QqKyyYR6Q21VydFLVH3TRQUabQu_ym0Zz7PgGX0-kHA/edit?usp=sharing"",""แผน!FN22"")"),0)</f>
        <v>0</v>
      </c>
      <c r="J464" s="959">
        <v>0</v>
      </c>
      <c r="K464" s="831"/>
      <c r="L464" s="831"/>
      <c r="M464" s="831"/>
      <c r="N464" s="831"/>
      <c r="O464" s="831"/>
      <c r="P464" s="831"/>
      <c r="Q464" s="1244"/>
      <c r="R464" s="1244"/>
      <c r="S464" s="1244"/>
      <c r="T464" s="1244"/>
      <c r="U464" s="1244"/>
      <c r="V464" s="1244"/>
      <c r="W464" s="1244"/>
      <c r="X464" s="1244"/>
      <c r="Y464" s="1244"/>
      <c r="Z464" s="1244"/>
    </row>
    <row r="465" spans="1:26" ht="19.5">
      <c r="A465" s="550">
        <v>3</v>
      </c>
      <c r="B465" s="1249" t="s">
        <v>205</v>
      </c>
      <c r="C465" s="1250"/>
      <c r="D465" s="1250"/>
      <c r="E465" s="1250"/>
      <c r="F465" s="1250"/>
      <c r="G465" s="1251"/>
      <c r="H465" s="554" t="s">
        <v>35</v>
      </c>
      <c r="I465" s="1252">
        <f ca="1">IFERROR(__xludf.DUMMYFUNCTION("IMPORTRANGE(""https://docs.google.com/spreadsheets/d/1QqKyyYR6Q21VydFLVH3TRQUabQu_ym0Zz7PgGX0-kHA/edit?usp=sharing"",""แผน!FX22"")"),131)</f>
        <v>131</v>
      </c>
      <c r="J465" s="1252">
        <f>J485+J489+J492</f>
        <v>117</v>
      </c>
      <c r="K465" s="1253">
        <f t="shared" ref="K465:K466" ca="1" si="205">IF(I465&gt;0,J465*100/I465,0)</f>
        <v>89.312977099236647</v>
      </c>
      <c r="L465" s="1254"/>
      <c r="M465" s="1254"/>
      <c r="N465" s="1254"/>
      <c r="O465" s="1254"/>
      <c r="P465" s="1254"/>
      <c r="Q465" s="1244"/>
      <c r="R465" s="1244"/>
      <c r="S465" s="1244"/>
      <c r="T465" s="1244"/>
      <c r="U465" s="1244"/>
      <c r="V465" s="1244"/>
      <c r="W465" s="1244"/>
      <c r="X465" s="1244"/>
      <c r="Y465" s="1244"/>
      <c r="Z465" s="1244"/>
    </row>
    <row r="466" spans="1:26" ht="19.5">
      <c r="A466" s="1255"/>
      <c r="B466" s="1256"/>
      <c r="C466" s="1257"/>
      <c r="D466" s="1257"/>
      <c r="E466" s="1257"/>
      <c r="F466" s="1257"/>
      <c r="G466" s="1258"/>
      <c r="H466" s="532" t="s">
        <v>46</v>
      </c>
      <c r="I466" s="1237">
        <f ca="1">IFERROR(__xludf.DUMMYFUNCTION("IMPORTRANGE(""https://docs.google.com/spreadsheets/d/1QqKyyYR6Q21VydFLVH3TRQUabQu_ym0Zz7PgGX0-kHA/edit?usp=sharing"",""แผน!FW22"")"),1300)</f>
        <v>1300</v>
      </c>
      <c r="J466" s="1237">
        <f>J495+J498</f>
        <v>0</v>
      </c>
      <c r="K466" s="1238">
        <f t="shared" ca="1" si="205"/>
        <v>0</v>
      </c>
      <c r="L466" s="1239"/>
      <c r="M466" s="1239"/>
      <c r="N466" s="1239"/>
      <c r="O466" s="1239"/>
      <c r="P466" s="1239"/>
      <c r="Q466" s="1244"/>
      <c r="R466" s="1244"/>
      <c r="S466" s="1244"/>
      <c r="T466" s="1244"/>
      <c r="U466" s="1244"/>
      <c r="V466" s="1244"/>
      <c r="W466" s="1244"/>
      <c r="X466" s="1244"/>
      <c r="Y466" s="1244"/>
      <c r="Z466" s="1244"/>
    </row>
    <row r="467" spans="1:26" ht="19.5">
      <c r="A467" s="1259"/>
      <c r="B467" s="1243"/>
      <c r="C467" s="1243" t="s">
        <v>16</v>
      </c>
      <c r="D467" s="1507" t="s">
        <v>17</v>
      </c>
      <c r="E467" s="1485"/>
      <c r="F467" s="1485"/>
      <c r="G467" s="963"/>
      <c r="H467" s="563" t="s">
        <v>12</v>
      </c>
      <c r="I467" s="830"/>
      <c r="J467" s="830"/>
      <c r="K467" s="831"/>
      <c r="L467" s="967">
        <f t="shared" ref="L467:N467" ca="1" si="206">L468+L469</f>
        <v>1168098</v>
      </c>
      <c r="M467" s="967">
        <f t="shared" si="206"/>
        <v>0</v>
      </c>
      <c r="N467" s="967">
        <f t="shared" si="206"/>
        <v>208640.02</v>
      </c>
      <c r="O467" s="967">
        <f t="shared" ref="O467:O472" ca="1" si="207">IF(L467&gt;0,N467*100/L467,0)</f>
        <v>17.861516756299558</v>
      </c>
      <c r="P467" s="967">
        <f t="shared" ref="P467:P472" si="208">IF(M467&gt;0,N467*100/M467,0)</f>
        <v>0</v>
      </c>
      <c r="Q467" s="1244"/>
      <c r="R467" s="1244"/>
      <c r="S467" s="1244"/>
      <c r="T467" s="1244"/>
      <c r="U467" s="1244"/>
      <c r="V467" s="1244"/>
      <c r="W467" s="1244"/>
      <c r="X467" s="1244"/>
      <c r="Y467" s="1244"/>
      <c r="Z467" s="1244"/>
    </row>
    <row r="468" spans="1:26" ht="18.75" hidden="1">
      <c r="A468" s="1260"/>
      <c r="B468" s="1261"/>
      <c r="C468" s="1261"/>
      <c r="D468" s="1262"/>
      <c r="E468" s="1261" t="s">
        <v>184</v>
      </c>
      <c r="F468" s="1261"/>
      <c r="G468" s="1263"/>
      <c r="H468" s="165" t="s">
        <v>12</v>
      </c>
      <c r="I468" s="836"/>
      <c r="J468" s="836"/>
      <c r="K468" s="837"/>
      <c r="L468" s="837">
        <f t="shared" ref="L468:N469" si="209">L471+L478</f>
        <v>0</v>
      </c>
      <c r="M468" s="837">
        <f t="shared" si="209"/>
        <v>0</v>
      </c>
      <c r="N468" s="837">
        <f t="shared" si="209"/>
        <v>0</v>
      </c>
      <c r="O468" s="837">
        <f t="shared" si="207"/>
        <v>0</v>
      </c>
      <c r="P468" s="837">
        <f t="shared" si="208"/>
        <v>0</v>
      </c>
      <c r="Q468" s="1264"/>
      <c r="R468" s="1264"/>
      <c r="S468" s="1264"/>
      <c r="T468" s="1264"/>
      <c r="U468" s="1264"/>
      <c r="V468" s="1264"/>
      <c r="W468" s="1264"/>
      <c r="X468" s="1264"/>
      <c r="Y468" s="1264"/>
      <c r="Z468" s="1264"/>
    </row>
    <row r="469" spans="1:26" ht="18.75" hidden="1">
      <c r="A469" s="1260"/>
      <c r="B469" s="1265"/>
      <c r="C469" s="1261"/>
      <c r="D469" s="1262"/>
      <c r="E469" s="1261" t="s">
        <v>185</v>
      </c>
      <c r="F469" s="1261"/>
      <c r="G469" s="1263"/>
      <c r="H469" s="165" t="s">
        <v>12</v>
      </c>
      <c r="I469" s="836"/>
      <c r="J469" s="836"/>
      <c r="K469" s="837"/>
      <c r="L469" s="837">
        <f t="shared" ca="1" si="209"/>
        <v>1168098</v>
      </c>
      <c r="M469" s="837">
        <f t="shared" si="209"/>
        <v>0</v>
      </c>
      <c r="N469" s="837">
        <f t="shared" si="209"/>
        <v>208640.02</v>
      </c>
      <c r="O469" s="837">
        <f t="shared" ca="1" si="207"/>
        <v>17.861516756299558</v>
      </c>
      <c r="P469" s="837">
        <f t="shared" si="208"/>
        <v>0</v>
      </c>
      <c r="Q469" s="1264"/>
      <c r="R469" s="1264"/>
      <c r="S469" s="1264"/>
      <c r="T469" s="1264"/>
      <c r="U469" s="1264"/>
      <c r="V469" s="1264"/>
      <c r="W469" s="1264"/>
      <c r="X469" s="1264"/>
      <c r="Y469" s="1264"/>
      <c r="Z469" s="1264"/>
    </row>
    <row r="470" spans="1:26" ht="18.75">
      <c r="A470" s="1259"/>
      <c r="B470" s="1242"/>
      <c r="C470" s="1243"/>
      <c r="D470" s="1266" t="s">
        <v>20</v>
      </c>
      <c r="E470" s="1243"/>
      <c r="F470" s="1243"/>
      <c r="G470" s="963"/>
      <c r="H470" s="778" t="s">
        <v>12</v>
      </c>
      <c r="I470" s="944"/>
      <c r="J470" s="944"/>
      <c r="K470" s="945"/>
      <c r="L470" s="831">
        <f t="shared" ref="L470:N470" ca="1" si="210">L471+L472</f>
        <v>1168098</v>
      </c>
      <c r="M470" s="831">
        <f t="shared" si="210"/>
        <v>0</v>
      </c>
      <c r="N470" s="831">
        <f t="shared" si="210"/>
        <v>208640.02</v>
      </c>
      <c r="O470" s="831">
        <f t="shared" ca="1" si="207"/>
        <v>17.861516756299558</v>
      </c>
      <c r="P470" s="831">
        <f t="shared" si="208"/>
        <v>0</v>
      </c>
      <c r="Q470" s="1244"/>
      <c r="R470" s="1244"/>
      <c r="S470" s="1244"/>
      <c r="T470" s="1244"/>
      <c r="U470" s="1244"/>
      <c r="V470" s="1244"/>
      <c r="W470" s="1244"/>
      <c r="X470" s="1244"/>
      <c r="Y470" s="1244"/>
      <c r="Z470" s="1244"/>
    </row>
    <row r="471" spans="1:26" ht="18.75" hidden="1">
      <c r="A471" s="1260"/>
      <c r="B471" s="1265"/>
      <c r="C471" s="1261"/>
      <c r="D471" s="1262"/>
      <c r="E471" s="1261" t="s">
        <v>184</v>
      </c>
      <c r="F471" s="1261"/>
      <c r="G471" s="1263"/>
      <c r="H471" s="165" t="s">
        <v>12</v>
      </c>
      <c r="I471" s="836"/>
      <c r="J471" s="836"/>
      <c r="K471" s="837"/>
      <c r="L471" s="837">
        <v>0</v>
      </c>
      <c r="M471" s="837">
        <v>0</v>
      </c>
      <c r="N471" s="837">
        <v>0</v>
      </c>
      <c r="O471" s="837">
        <f t="shared" si="207"/>
        <v>0</v>
      </c>
      <c r="P471" s="837">
        <f t="shared" si="208"/>
        <v>0</v>
      </c>
      <c r="Q471" s="1264"/>
      <c r="R471" s="1264"/>
      <c r="S471" s="1264"/>
      <c r="T471" s="1264"/>
      <c r="U471" s="1264"/>
      <c r="V471" s="1264"/>
      <c r="W471" s="1264"/>
      <c r="X471" s="1264"/>
      <c r="Y471" s="1264"/>
      <c r="Z471" s="1264"/>
    </row>
    <row r="472" spans="1:26" ht="18.75" hidden="1">
      <c r="A472" s="1260"/>
      <c r="B472" s="1265"/>
      <c r="C472" s="1261"/>
      <c r="D472" s="1262"/>
      <c r="E472" s="1261" t="s">
        <v>185</v>
      </c>
      <c r="F472" s="1261"/>
      <c r="G472" s="1263"/>
      <c r="H472" s="165" t="s">
        <v>12</v>
      </c>
      <c r="I472" s="836"/>
      <c r="J472" s="836"/>
      <c r="K472" s="837"/>
      <c r="L472" s="837">
        <f ca="1">IFERROR(__xludf.DUMMYFUNCTION("IMPORTRANGE(""https://docs.google.com/spreadsheets/d/1QqKyyYR6Q21VydFLVH3TRQUabQu_ym0Zz7PgGX0-kHA/edit?usp=sharing"",""แผน!FS22"")"),1168098)</f>
        <v>1168098</v>
      </c>
      <c r="M472" s="837">
        <v>0</v>
      </c>
      <c r="N472" s="837">
        <f>N473+N474+N475+N476</f>
        <v>208640.02</v>
      </c>
      <c r="O472" s="837">
        <f t="shared" ca="1" si="207"/>
        <v>17.861516756299558</v>
      </c>
      <c r="P472" s="837">
        <f t="shared" si="208"/>
        <v>0</v>
      </c>
      <c r="Q472" s="1264"/>
      <c r="R472" s="1264"/>
      <c r="S472" s="1264"/>
      <c r="T472" s="1264"/>
      <c r="U472" s="1264"/>
      <c r="V472" s="1264"/>
      <c r="W472" s="1264"/>
      <c r="X472" s="1264"/>
      <c r="Y472" s="1264"/>
      <c r="Z472" s="1264"/>
    </row>
    <row r="473" spans="1:26" ht="18.75">
      <c r="A473" s="1241"/>
      <c r="B473" s="1242"/>
      <c r="C473" s="1243"/>
      <c r="D473" s="1243"/>
      <c r="E473" s="1243"/>
      <c r="F473" s="1243" t="s">
        <v>186</v>
      </c>
      <c r="G473" s="963"/>
      <c r="H473" s="778" t="s">
        <v>12</v>
      </c>
      <c r="I473" s="830"/>
      <c r="J473" s="830"/>
      <c r="K473" s="831"/>
      <c r="L473" s="831"/>
      <c r="M473" s="831"/>
      <c r="N473" s="1031">
        <v>131400</v>
      </c>
      <c r="O473" s="831"/>
      <c r="P473" s="831"/>
      <c r="Q473" s="1244"/>
      <c r="R473" s="1244"/>
      <c r="S473" s="1244"/>
      <c r="T473" s="1244"/>
      <c r="U473" s="1244"/>
      <c r="V473" s="1244"/>
      <c r="W473" s="1244"/>
      <c r="X473" s="1244"/>
      <c r="Y473" s="1244"/>
      <c r="Z473" s="1244"/>
    </row>
    <row r="474" spans="1:26" ht="18.75">
      <c r="A474" s="1241"/>
      <c r="B474" s="1242"/>
      <c r="C474" s="1243"/>
      <c r="D474" s="1243"/>
      <c r="E474" s="1243"/>
      <c r="F474" s="1243" t="s">
        <v>187</v>
      </c>
      <c r="G474" s="963"/>
      <c r="H474" s="778" t="s">
        <v>12</v>
      </c>
      <c r="I474" s="830"/>
      <c r="J474" s="830"/>
      <c r="K474" s="831"/>
      <c r="L474" s="831"/>
      <c r="M474" s="831"/>
      <c r="N474" s="1031">
        <v>4000</v>
      </c>
      <c r="O474" s="831"/>
      <c r="P474" s="831"/>
      <c r="Q474" s="1244"/>
      <c r="R474" s="1244"/>
      <c r="S474" s="1244"/>
      <c r="T474" s="1244"/>
      <c r="U474" s="1244"/>
      <c r="V474" s="1244"/>
      <c r="W474" s="1244"/>
      <c r="X474" s="1244"/>
      <c r="Y474" s="1244"/>
      <c r="Z474" s="1244"/>
    </row>
    <row r="475" spans="1:26" ht="18.75">
      <c r="A475" s="1241"/>
      <c r="B475" s="1242"/>
      <c r="C475" s="1242"/>
      <c r="D475" s="1242"/>
      <c r="E475" s="1242"/>
      <c r="F475" s="1243" t="s">
        <v>188</v>
      </c>
      <c r="G475" s="963"/>
      <c r="H475" s="778" t="s">
        <v>12</v>
      </c>
      <c r="I475" s="830"/>
      <c r="J475" s="830"/>
      <c r="K475" s="831"/>
      <c r="L475" s="831"/>
      <c r="M475" s="831"/>
      <c r="N475" s="1031">
        <v>49400.02</v>
      </c>
      <c r="O475" s="831"/>
      <c r="P475" s="831"/>
      <c r="Q475" s="1244"/>
      <c r="R475" s="1244"/>
      <c r="S475" s="1244"/>
      <c r="T475" s="1244"/>
      <c r="U475" s="1244"/>
      <c r="V475" s="1244"/>
      <c r="W475" s="1244"/>
      <c r="X475" s="1244"/>
      <c r="Y475" s="1244"/>
      <c r="Z475" s="1244"/>
    </row>
    <row r="476" spans="1:26" ht="18.75">
      <c r="A476" s="1241"/>
      <c r="B476" s="1242"/>
      <c r="C476" s="1242"/>
      <c r="D476" s="1242"/>
      <c r="E476" s="1242"/>
      <c r="F476" s="1243" t="s">
        <v>189</v>
      </c>
      <c r="G476" s="963"/>
      <c r="H476" s="778" t="s">
        <v>12</v>
      </c>
      <c r="I476" s="830"/>
      <c r="J476" s="830"/>
      <c r="K476" s="831"/>
      <c r="L476" s="831"/>
      <c r="M476" s="831"/>
      <c r="N476" s="1031">
        <v>23840</v>
      </c>
      <c r="O476" s="831"/>
      <c r="P476" s="831"/>
      <c r="Q476" s="1244"/>
      <c r="R476" s="1244"/>
      <c r="S476" s="1244"/>
      <c r="T476" s="1244"/>
      <c r="U476" s="1244"/>
      <c r="V476" s="1244"/>
      <c r="W476" s="1244"/>
      <c r="X476" s="1244"/>
      <c r="Y476" s="1244"/>
      <c r="Z476" s="1244"/>
    </row>
    <row r="477" spans="1:26" ht="18.75">
      <c r="A477" s="1259"/>
      <c r="B477" s="1242"/>
      <c r="C477" s="1242"/>
      <c r="D477" s="1266" t="s">
        <v>21</v>
      </c>
      <c r="E477" s="1242"/>
      <c r="F477" s="1242"/>
      <c r="G477" s="963"/>
      <c r="H477" s="168" t="s">
        <v>12</v>
      </c>
      <c r="I477" s="944"/>
      <c r="J477" s="944"/>
      <c r="K477" s="945"/>
      <c r="L477" s="831">
        <f t="shared" ref="L477:N477" ca="1" si="211">L478+L479</f>
        <v>0</v>
      </c>
      <c r="M477" s="831">
        <f t="shared" si="211"/>
        <v>0</v>
      </c>
      <c r="N477" s="831">
        <f t="shared" si="211"/>
        <v>0</v>
      </c>
      <c r="O477" s="831">
        <f t="shared" ref="O477:O479" ca="1" si="212">IF(L477&gt;0,N477*100/L477,0)</f>
        <v>0</v>
      </c>
      <c r="P477" s="831">
        <f t="shared" ref="P477:P479" si="213">IF(M477&gt;0,N477*100/M477,0)</f>
        <v>0</v>
      </c>
      <c r="Q477" s="1244"/>
      <c r="R477" s="1244"/>
      <c r="S477" s="1244"/>
      <c r="T477" s="1244"/>
      <c r="U477" s="1244"/>
      <c r="V477" s="1244"/>
      <c r="W477" s="1244"/>
      <c r="X477" s="1244"/>
      <c r="Y477" s="1244"/>
      <c r="Z477" s="1244"/>
    </row>
    <row r="478" spans="1:26" ht="18.75" hidden="1">
      <c r="A478" s="1260"/>
      <c r="B478" s="1265"/>
      <c r="C478" s="1265"/>
      <c r="D478" s="1265"/>
      <c r="E478" s="1265" t="s">
        <v>18</v>
      </c>
      <c r="F478" s="1265"/>
      <c r="G478" s="1263"/>
      <c r="H478" s="165" t="s">
        <v>12</v>
      </c>
      <c r="I478" s="947"/>
      <c r="J478" s="947"/>
      <c r="K478" s="948"/>
      <c r="L478" s="837">
        <v>0</v>
      </c>
      <c r="M478" s="837">
        <v>0</v>
      </c>
      <c r="N478" s="837">
        <v>0</v>
      </c>
      <c r="O478" s="837">
        <f t="shared" si="212"/>
        <v>0</v>
      </c>
      <c r="P478" s="837">
        <f t="shared" si="213"/>
        <v>0</v>
      </c>
      <c r="Q478" s="1264"/>
      <c r="R478" s="1264"/>
      <c r="S478" s="1264"/>
      <c r="T478" s="1264"/>
      <c r="U478" s="1264"/>
      <c r="V478" s="1264"/>
      <c r="W478" s="1264"/>
      <c r="X478" s="1264"/>
      <c r="Y478" s="1264"/>
      <c r="Z478" s="1264"/>
    </row>
    <row r="479" spans="1:26" ht="18.75" hidden="1">
      <c r="A479" s="1260"/>
      <c r="B479" s="1265"/>
      <c r="C479" s="1265"/>
      <c r="D479" s="1265"/>
      <c r="E479" s="1265" t="s">
        <v>19</v>
      </c>
      <c r="F479" s="1265"/>
      <c r="G479" s="1263"/>
      <c r="H479" s="169" t="s">
        <v>12</v>
      </c>
      <c r="I479" s="947"/>
      <c r="J479" s="947"/>
      <c r="K479" s="948"/>
      <c r="L479" s="837">
        <f ca="1">IFERROR(__xludf.DUMMYFUNCTION("IMPORTRANGE(""https://docs.google.com/spreadsheets/d/1QqKyyYR6Q21VydFLVH3TRQUabQu_ym0Zz7PgGX0-kHA/edit?usp=sharing"",""แผน!FV22"")"),0)</f>
        <v>0</v>
      </c>
      <c r="M479" s="837">
        <v>0</v>
      </c>
      <c r="N479" s="837">
        <v>0</v>
      </c>
      <c r="O479" s="837">
        <f t="shared" ca="1" si="212"/>
        <v>0</v>
      </c>
      <c r="P479" s="837">
        <f t="shared" si="213"/>
        <v>0</v>
      </c>
      <c r="Q479" s="1264"/>
      <c r="R479" s="1264"/>
      <c r="S479" s="1264"/>
      <c r="T479" s="1264"/>
      <c r="U479" s="1264"/>
      <c r="V479" s="1264"/>
      <c r="W479" s="1264"/>
      <c r="X479" s="1264"/>
      <c r="Y479" s="1264"/>
      <c r="Z479" s="1264"/>
    </row>
    <row r="480" spans="1:26" ht="19.5">
      <c r="A480" s="1267"/>
      <c r="B480" s="1268"/>
      <c r="C480" s="1242" t="s">
        <v>16</v>
      </c>
      <c r="D480" s="1276" t="s">
        <v>38</v>
      </c>
      <c r="E480" s="1270"/>
      <c r="F480" s="1271"/>
      <c r="G480" s="1272"/>
      <c r="H480" s="954"/>
      <c r="I480" s="830"/>
      <c r="J480" s="830"/>
      <c r="K480" s="831"/>
      <c r="L480" s="831"/>
      <c r="M480" s="831"/>
      <c r="N480" s="831"/>
      <c r="O480" s="831"/>
      <c r="P480" s="831"/>
      <c r="Q480" s="1244"/>
      <c r="R480" s="1244"/>
      <c r="S480" s="1244"/>
      <c r="T480" s="1244"/>
      <c r="U480" s="1244"/>
      <c r="V480" s="1244"/>
      <c r="W480" s="1244"/>
      <c r="X480" s="1244"/>
      <c r="Y480" s="1244"/>
      <c r="Z480" s="1244"/>
    </row>
    <row r="481" spans="1:26" ht="19.5">
      <c r="A481" s="1267"/>
      <c r="B481" s="1268"/>
      <c r="C481" s="1268"/>
      <c r="D481" s="1277" t="s">
        <v>206</v>
      </c>
      <c r="E481" s="1268"/>
      <c r="F481" s="1268"/>
      <c r="G481" s="954"/>
      <c r="H481" s="963"/>
      <c r="I481" s="830"/>
      <c r="J481" s="830"/>
      <c r="K481" s="831"/>
      <c r="L481" s="831"/>
      <c r="M481" s="831"/>
      <c r="N481" s="831"/>
      <c r="O481" s="831"/>
      <c r="P481" s="831"/>
      <c r="Q481" s="1244"/>
      <c r="R481" s="1244"/>
      <c r="S481" s="1244"/>
      <c r="T481" s="1244"/>
      <c r="U481" s="1244"/>
      <c r="V481" s="1244"/>
      <c r="W481" s="1244"/>
      <c r="X481" s="1244"/>
      <c r="Y481" s="1244"/>
      <c r="Z481" s="1244"/>
    </row>
    <row r="482" spans="1:26" ht="18.75">
      <c r="A482" s="1267"/>
      <c r="B482" s="1268"/>
      <c r="C482" s="1268"/>
      <c r="D482" s="1268"/>
      <c r="E482" s="1268" t="s">
        <v>207</v>
      </c>
      <c r="F482" s="1268"/>
      <c r="G482" s="954"/>
      <c r="H482" s="963"/>
      <c r="I482" s="830"/>
      <c r="J482" s="830"/>
      <c r="K482" s="831"/>
      <c r="L482" s="831"/>
      <c r="M482" s="831"/>
      <c r="N482" s="831"/>
      <c r="O482" s="831"/>
      <c r="P482" s="831"/>
      <c r="Q482" s="1244"/>
      <c r="R482" s="1244"/>
      <c r="S482" s="1244"/>
      <c r="T482" s="1244"/>
      <c r="U482" s="1244"/>
      <c r="V482" s="1244"/>
      <c r="W482" s="1244"/>
      <c r="X482" s="1244"/>
      <c r="Y482" s="1244"/>
      <c r="Z482" s="1244"/>
    </row>
    <row r="483" spans="1:26" ht="18.75">
      <c r="A483" s="1267"/>
      <c r="B483" s="1268"/>
      <c r="C483" s="1268"/>
      <c r="D483" s="1268"/>
      <c r="E483" s="1268"/>
      <c r="F483" s="1268" t="s">
        <v>208</v>
      </c>
      <c r="G483" s="954"/>
      <c r="H483" s="590" t="s">
        <v>46</v>
      </c>
      <c r="I483" s="830">
        <f ca="1">IFERROR(__xludf.DUMMYFUNCTION("IMPORTRANGE(""https://docs.google.com/spreadsheets/d/1QqKyyYR6Q21VydFLVH3TRQUabQu_ym0Zz7PgGX0-kHA/edit?usp=sharing"",""แผน!FY22"")"),1170)</f>
        <v>1170</v>
      </c>
      <c r="J483" s="959">
        <v>1170</v>
      </c>
      <c r="K483" s="831">
        <f ca="1">IF(I483&gt;0,J483*100/I483,0)</f>
        <v>100</v>
      </c>
      <c r="L483" s="831"/>
      <c r="M483" s="831"/>
      <c r="N483" s="831"/>
      <c r="O483" s="831"/>
      <c r="P483" s="831"/>
      <c r="Q483" s="1244"/>
      <c r="R483" s="1244"/>
      <c r="S483" s="1244"/>
      <c r="T483" s="1244"/>
      <c r="U483" s="1244"/>
      <c r="V483" s="1244"/>
      <c r="W483" s="1244"/>
      <c r="X483" s="1244"/>
      <c r="Y483" s="1244"/>
      <c r="Z483" s="1244"/>
    </row>
    <row r="484" spans="1:26" ht="18.75">
      <c r="A484" s="1267"/>
      <c r="B484" s="1268"/>
      <c r="C484" s="1268"/>
      <c r="D484" s="1268"/>
      <c r="E484" s="1268"/>
      <c r="F484" s="1268" t="s">
        <v>209</v>
      </c>
      <c r="G484" s="954"/>
      <c r="H484" s="590" t="s">
        <v>35</v>
      </c>
      <c r="I484" s="830"/>
      <c r="J484" s="959">
        <v>117</v>
      </c>
      <c r="K484" s="831"/>
      <c r="L484" s="831"/>
      <c r="M484" s="831"/>
      <c r="N484" s="831"/>
      <c r="O484" s="831"/>
      <c r="P484" s="831"/>
      <c r="Q484" s="1244"/>
      <c r="R484" s="1244"/>
      <c r="S484" s="1244"/>
      <c r="T484" s="1244"/>
      <c r="U484" s="1244"/>
      <c r="V484" s="1244"/>
      <c r="W484" s="1244"/>
      <c r="X484" s="1244"/>
      <c r="Y484" s="1244"/>
      <c r="Z484" s="1244"/>
    </row>
    <row r="485" spans="1:26" ht="18.75">
      <c r="A485" s="1267"/>
      <c r="B485" s="1268"/>
      <c r="C485" s="1268"/>
      <c r="D485" s="1268"/>
      <c r="E485" s="1268"/>
      <c r="F485" s="1268" t="s">
        <v>210</v>
      </c>
      <c r="G485" s="954"/>
      <c r="H485" s="590" t="s">
        <v>35</v>
      </c>
      <c r="I485" s="830">
        <f ca="1">IFERROR(__xludf.DUMMYFUNCTION("IMPORTRANGE(""https://docs.google.com/spreadsheets/d/1QqKyyYR6Q21VydFLVH3TRQUabQu_ym0Zz7PgGX0-kHA/edit?usp=sharing"",""แผน!FZ22"")"),117)</f>
        <v>117</v>
      </c>
      <c r="J485" s="959">
        <v>117</v>
      </c>
      <c r="K485" s="831">
        <f ca="1">IF(I485&gt;0,J485*100/I485,0)</f>
        <v>100</v>
      </c>
      <c r="L485" s="831"/>
      <c r="M485" s="831"/>
      <c r="N485" s="831"/>
      <c r="O485" s="831"/>
      <c r="P485" s="831"/>
      <c r="Q485" s="1244"/>
      <c r="R485" s="1244"/>
      <c r="S485" s="1244"/>
      <c r="T485" s="1244"/>
      <c r="U485" s="1244"/>
      <c r="V485" s="1244"/>
      <c r="W485" s="1244"/>
      <c r="X485" s="1244"/>
      <c r="Y485" s="1244"/>
      <c r="Z485" s="1244"/>
    </row>
    <row r="486" spans="1:26" ht="18.75">
      <c r="A486" s="1267"/>
      <c r="B486" s="1268"/>
      <c r="C486" s="1268"/>
      <c r="D486" s="1268"/>
      <c r="E486" s="1268" t="s">
        <v>62</v>
      </c>
      <c r="F486" s="1268"/>
      <c r="G486" s="954"/>
      <c r="H486" s="590"/>
      <c r="I486" s="830"/>
      <c r="J486" s="830"/>
      <c r="K486" s="831"/>
      <c r="L486" s="831"/>
      <c r="M486" s="831"/>
      <c r="N486" s="831"/>
      <c r="O486" s="831"/>
      <c r="P486" s="831"/>
      <c r="Q486" s="1244"/>
      <c r="R486" s="1244"/>
      <c r="S486" s="1244"/>
      <c r="T486" s="1244"/>
      <c r="U486" s="1244"/>
      <c r="V486" s="1244"/>
      <c r="W486" s="1244"/>
      <c r="X486" s="1244"/>
      <c r="Y486" s="1244"/>
      <c r="Z486" s="1244"/>
    </row>
    <row r="487" spans="1:26" ht="18.75">
      <c r="A487" s="1267"/>
      <c r="B487" s="1268"/>
      <c r="C487" s="1268"/>
      <c r="D487" s="1268"/>
      <c r="E487" s="1268"/>
      <c r="F487" s="1268" t="s">
        <v>208</v>
      </c>
      <c r="G487" s="954"/>
      <c r="H487" s="590" t="s">
        <v>46</v>
      </c>
      <c r="I487" s="830">
        <f ca="1">IFERROR(__xludf.DUMMYFUNCTION("IMPORTRANGE(""https://docs.google.com/spreadsheets/d/1QqKyyYR6Q21VydFLVH3TRQUabQu_ym0Zz7PgGX0-kHA/edit?usp=sharing"",""แผน!GA22"")"),130)</f>
        <v>130</v>
      </c>
      <c r="J487" s="959">
        <v>0</v>
      </c>
      <c r="K487" s="831">
        <f ca="1">IF(I487&gt;0,J487*100/I487,0)</f>
        <v>0</v>
      </c>
      <c r="L487" s="831"/>
      <c r="M487" s="831"/>
      <c r="N487" s="831"/>
      <c r="O487" s="831"/>
      <c r="P487" s="831"/>
      <c r="Q487" s="1244"/>
      <c r="R487" s="1244"/>
      <c r="S487" s="1244"/>
      <c r="T487" s="1244"/>
      <c r="U487" s="1244"/>
      <c r="V487" s="1244"/>
      <c r="W487" s="1244"/>
      <c r="X487" s="1244"/>
      <c r="Y487" s="1244"/>
      <c r="Z487" s="1244"/>
    </row>
    <row r="488" spans="1:26" ht="18.75">
      <c r="A488" s="1267"/>
      <c r="B488" s="1268"/>
      <c r="C488" s="1268"/>
      <c r="D488" s="1268"/>
      <c r="E488" s="1268"/>
      <c r="F488" s="1268" t="s">
        <v>211</v>
      </c>
      <c r="G488" s="954"/>
      <c r="H488" s="590" t="s">
        <v>35</v>
      </c>
      <c r="I488" s="830"/>
      <c r="J488" s="959">
        <v>0</v>
      </c>
      <c r="K488" s="831"/>
      <c r="L488" s="831"/>
      <c r="M488" s="831"/>
      <c r="N488" s="831"/>
      <c r="O488" s="831"/>
      <c r="P488" s="831"/>
      <c r="Q488" s="1244"/>
      <c r="R488" s="1244"/>
      <c r="S488" s="1244"/>
      <c r="T488" s="1244"/>
      <c r="U488" s="1244"/>
      <c r="V488" s="1244"/>
      <c r="W488" s="1244"/>
      <c r="X488" s="1244"/>
      <c r="Y488" s="1244"/>
      <c r="Z488" s="1244"/>
    </row>
    <row r="489" spans="1:26" ht="18.75">
      <c r="A489" s="1267"/>
      <c r="B489" s="1268"/>
      <c r="C489" s="1268"/>
      <c r="D489" s="1268"/>
      <c r="E489" s="1268"/>
      <c r="F489" s="1268" t="s">
        <v>212</v>
      </c>
      <c r="G489" s="954"/>
      <c r="H489" s="590" t="s">
        <v>35</v>
      </c>
      <c r="I489" s="830">
        <f ca="1">IFERROR(__xludf.DUMMYFUNCTION("IMPORTRANGE(""https://docs.google.com/spreadsheets/d/1QqKyyYR6Q21VydFLVH3TRQUabQu_ym0Zz7PgGX0-kHA/edit?usp=sharing"",""แผน!GB22"")"),13)</f>
        <v>13</v>
      </c>
      <c r="J489" s="959">
        <v>0</v>
      </c>
      <c r="K489" s="831">
        <f ca="1">IF(I489&gt;0,J489*100/I489,0)</f>
        <v>0</v>
      </c>
      <c r="L489" s="831"/>
      <c r="M489" s="831"/>
      <c r="N489" s="831"/>
      <c r="O489" s="831"/>
      <c r="P489" s="831"/>
      <c r="Q489" s="1244"/>
      <c r="R489" s="1244"/>
      <c r="S489" s="1244"/>
      <c r="T489" s="1244"/>
      <c r="U489" s="1244"/>
      <c r="V489" s="1244"/>
      <c r="W489" s="1244"/>
      <c r="X489" s="1244"/>
      <c r="Y489" s="1244"/>
      <c r="Z489" s="1244"/>
    </row>
    <row r="490" spans="1:26" ht="18.75">
      <c r="A490" s="1267"/>
      <c r="B490" s="1268"/>
      <c r="C490" s="1268"/>
      <c r="D490" s="1268"/>
      <c r="E490" s="1268" t="s">
        <v>63</v>
      </c>
      <c r="F490" s="961"/>
      <c r="G490" s="954"/>
      <c r="H490" s="590"/>
      <c r="I490" s="830"/>
      <c r="J490" s="830"/>
      <c r="K490" s="831"/>
      <c r="L490" s="831"/>
      <c r="M490" s="831"/>
      <c r="N490" s="831"/>
      <c r="O490" s="831"/>
      <c r="P490" s="831"/>
      <c r="Q490" s="1244"/>
      <c r="R490" s="1244"/>
      <c r="S490" s="1244"/>
      <c r="T490" s="1244"/>
      <c r="U490" s="1244"/>
      <c r="V490" s="1244"/>
      <c r="W490" s="1244"/>
      <c r="X490" s="1244"/>
      <c r="Y490" s="1244"/>
      <c r="Z490" s="1244"/>
    </row>
    <row r="491" spans="1:26" ht="18.75">
      <c r="A491" s="1267"/>
      <c r="B491" s="1268"/>
      <c r="C491" s="1268"/>
      <c r="D491" s="1268"/>
      <c r="E491" s="1268"/>
      <c r="F491" s="1268" t="s">
        <v>213</v>
      </c>
      <c r="G491" s="954"/>
      <c r="H491" s="590" t="s">
        <v>35</v>
      </c>
      <c r="I491" s="830"/>
      <c r="J491" s="959">
        <v>0</v>
      </c>
      <c r="K491" s="831"/>
      <c r="L491" s="831"/>
      <c r="M491" s="831"/>
      <c r="N491" s="831"/>
      <c r="O491" s="831"/>
      <c r="P491" s="831"/>
      <c r="Q491" s="1244"/>
      <c r="R491" s="1244"/>
      <c r="S491" s="1244"/>
      <c r="T491" s="1244"/>
      <c r="U491" s="1244"/>
      <c r="V491" s="1244"/>
      <c r="W491" s="1244"/>
      <c r="X491" s="1244"/>
      <c r="Y491" s="1244"/>
      <c r="Z491" s="1244"/>
    </row>
    <row r="492" spans="1:26" ht="18.75">
      <c r="A492" s="1267"/>
      <c r="B492" s="1268"/>
      <c r="C492" s="1268"/>
      <c r="D492" s="1268"/>
      <c r="E492" s="1268"/>
      <c r="F492" s="1268" t="s">
        <v>214</v>
      </c>
      <c r="G492" s="954"/>
      <c r="H492" s="590" t="s">
        <v>35</v>
      </c>
      <c r="I492" s="830">
        <f ca="1">IFERROR(__xludf.DUMMYFUNCTION("IMPORTRANGE(""https://docs.google.com/spreadsheets/d/1QqKyyYR6Q21VydFLVH3TRQUabQu_ym0Zz7PgGX0-kHA/edit?usp=sharing"",""แผน!GC22"")"),1)</f>
        <v>1</v>
      </c>
      <c r="J492" s="959"/>
      <c r="K492" s="831">
        <f ca="1">IF(I492&gt;0,J492*100/I492,0)</f>
        <v>0</v>
      </c>
      <c r="L492" s="831"/>
      <c r="M492" s="831"/>
      <c r="N492" s="831"/>
      <c r="O492" s="831"/>
      <c r="P492" s="831"/>
      <c r="Q492" s="1244"/>
      <c r="R492" s="1244"/>
      <c r="S492" s="1244"/>
      <c r="T492" s="1244"/>
      <c r="U492" s="1244"/>
      <c r="V492" s="1244"/>
      <c r="W492" s="1244"/>
      <c r="X492" s="1244"/>
      <c r="Y492" s="1244"/>
      <c r="Z492" s="1244"/>
    </row>
    <row r="493" spans="1:26" ht="19.5">
      <c r="A493" s="1267"/>
      <c r="B493" s="1268"/>
      <c r="C493" s="1268"/>
      <c r="D493" s="1277" t="s">
        <v>59</v>
      </c>
      <c r="E493" s="1268"/>
      <c r="F493" s="961"/>
      <c r="G493" s="954"/>
      <c r="H493" s="963"/>
      <c r="I493" s="830"/>
      <c r="J493" s="830"/>
      <c r="K493" s="831"/>
      <c r="L493" s="831"/>
      <c r="M493" s="831"/>
      <c r="N493" s="831"/>
      <c r="O493" s="831"/>
      <c r="P493" s="831"/>
      <c r="Q493" s="1244"/>
      <c r="R493" s="1244"/>
      <c r="S493" s="1244"/>
      <c r="T493" s="1244"/>
      <c r="U493" s="1244"/>
      <c r="V493" s="1244"/>
      <c r="W493" s="1244"/>
      <c r="X493" s="1244"/>
      <c r="Y493" s="1244"/>
      <c r="Z493" s="1244"/>
    </row>
    <row r="494" spans="1:26" ht="18.75">
      <c r="A494" s="1267"/>
      <c r="B494" s="1268"/>
      <c r="C494" s="1268"/>
      <c r="D494" s="1268"/>
      <c r="E494" s="1268" t="s">
        <v>207</v>
      </c>
      <c r="F494" s="961"/>
      <c r="G494" s="954"/>
      <c r="H494" s="963"/>
      <c r="I494" s="830"/>
      <c r="J494" s="830"/>
      <c r="K494" s="831"/>
      <c r="L494" s="831"/>
      <c r="M494" s="831"/>
      <c r="N494" s="831"/>
      <c r="O494" s="831"/>
      <c r="P494" s="831"/>
      <c r="Q494" s="1244"/>
      <c r="R494" s="1244"/>
      <c r="S494" s="1244"/>
      <c r="T494" s="1244"/>
      <c r="U494" s="1244"/>
      <c r="V494" s="1244"/>
      <c r="W494" s="1244"/>
      <c r="X494" s="1244"/>
      <c r="Y494" s="1244"/>
      <c r="Z494" s="1244"/>
    </row>
    <row r="495" spans="1:26" ht="18.75">
      <c r="A495" s="1267"/>
      <c r="B495" s="1268"/>
      <c r="C495" s="1268"/>
      <c r="D495" s="1268"/>
      <c r="E495" s="1268"/>
      <c r="F495" s="961" t="s">
        <v>215</v>
      </c>
      <c r="G495" s="954"/>
      <c r="H495" s="590" t="s">
        <v>46</v>
      </c>
      <c r="I495" s="830">
        <f ca="1">IFERROR(__xludf.DUMMYFUNCTION("IMPORTRANGE(""https://docs.google.com/spreadsheets/d/1QqKyyYR6Q21VydFLVH3TRQUabQu_ym0Zz7PgGX0-kHA/edit?usp=sharing"",""แผน!FY22"")"),1170)</f>
        <v>1170</v>
      </c>
      <c r="J495" s="959">
        <v>0</v>
      </c>
      <c r="K495" s="831">
        <f ca="1">IF(I495&gt;0,J495*100/I495,0)</f>
        <v>0</v>
      </c>
      <c r="L495" s="831"/>
      <c r="M495" s="831"/>
      <c r="N495" s="831"/>
      <c r="O495" s="831"/>
      <c r="P495" s="831"/>
      <c r="Q495" s="1244"/>
      <c r="R495" s="1244"/>
      <c r="S495" s="1244"/>
      <c r="T495" s="1244"/>
      <c r="U495" s="1244"/>
      <c r="V495" s="1244"/>
      <c r="W495" s="1244"/>
      <c r="X495" s="1244"/>
      <c r="Y495" s="1244"/>
      <c r="Z495" s="1244"/>
    </row>
    <row r="496" spans="1:26" ht="18.75">
      <c r="A496" s="1267"/>
      <c r="B496" s="1268"/>
      <c r="C496" s="1268"/>
      <c r="D496" s="1268"/>
      <c r="E496" s="1268"/>
      <c r="F496" s="961" t="s">
        <v>216</v>
      </c>
      <c r="G496" s="954"/>
      <c r="H496" s="590" t="s">
        <v>46</v>
      </c>
      <c r="I496" s="830"/>
      <c r="J496" s="959">
        <v>0</v>
      </c>
      <c r="K496" s="831"/>
      <c r="L496" s="831"/>
      <c r="M496" s="831"/>
      <c r="N496" s="831"/>
      <c r="O496" s="831"/>
      <c r="P496" s="831"/>
      <c r="Q496" s="1244"/>
      <c r="R496" s="1244"/>
      <c r="S496" s="1244"/>
      <c r="T496" s="1244"/>
      <c r="U496" s="1244"/>
      <c r="V496" s="1244"/>
      <c r="W496" s="1244"/>
      <c r="X496" s="1244"/>
      <c r="Y496" s="1244"/>
      <c r="Z496" s="1244"/>
    </row>
    <row r="497" spans="1:26" ht="18.75">
      <c r="A497" s="1267"/>
      <c r="B497" s="1268"/>
      <c r="C497" s="1268"/>
      <c r="D497" s="1268"/>
      <c r="E497" s="1268" t="s">
        <v>62</v>
      </c>
      <c r="F497" s="961"/>
      <c r="G497" s="954"/>
      <c r="H497" s="963"/>
      <c r="I497" s="830"/>
      <c r="J497" s="830"/>
      <c r="K497" s="831"/>
      <c r="L497" s="831"/>
      <c r="M497" s="831"/>
      <c r="N497" s="831"/>
      <c r="O497" s="831"/>
      <c r="P497" s="831"/>
      <c r="Q497" s="1244"/>
      <c r="R497" s="1244"/>
      <c r="S497" s="1244"/>
      <c r="T497" s="1244"/>
      <c r="U497" s="1244"/>
      <c r="V497" s="1244"/>
      <c r="W497" s="1244"/>
      <c r="X497" s="1244"/>
      <c r="Y497" s="1244"/>
      <c r="Z497" s="1244"/>
    </row>
    <row r="498" spans="1:26" ht="18.75">
      <c r="A498" s="1267"/>
      <c r="B498" s="1268"/>
      <c r="C498" s="1268"/>
      <c r="D498" s="1268"/>
      <c r="E498" s="961"/>
      <c r="F498" s="961" t="s">
        <v>217</v>
      </c>
      <c r="G498" s="954"/>
      <c r="H498" s="590" t="s">
        <v>46</v>
      </c>
      <c r="I498" s="830">
        <f ca="1">IFERROR(__xludf.DUMMYFUNCTION("IMPORTRANGE(""https://docs.google.com/spreadsheets/d/1QqKyyYR6Q21VydFLVH3TRQUabQu_ym0Zz7PgGX0-kHA/edit?usp=sharing"",""แผน!GA22"")"),130)</f>
        <v>130</v>
      </c>
      <c r="J498" s="959">
        <v>0</v>
      </c>
      <c r="K498" s="831">
        <f ca="1">IF(I498&gt;0,J498*100/I498,0)</f>
        <v>0</v>
      </c>
      <c r="L498" s="831"/>
      <c r="M498" s="831"/>
      <c r="N498" s="831"/>
      <c r="O498" s="831"/>
      <c r="P498" s="831"/>
      <c r="Q498" s="1244"/>
      <c r="R498" s="1244"/>
      <c r="S498" s="1244"/>
      <c r="T498" s="1244"/>
      <c r="U498" s="1244"/>
      <c r="V498" s="1244"/>
      <c r="W498" s="1244"/>
      <c r="X498" s="1244"/>
      <c r="Y498" s="1244"/>
      <c r="Z498" s="1244"/>
    </row>
    <row r="499" spans="1:26" ht="18.75">
      <c r="A499" s="1267"/>
      <c r="B499" s="1268"/>
      <c r="C499" s="1268"/>
      <c r="D499" s="1268"/>
      <c r="E499" s="961"/>
      <c r="F499" s="961" t="s">
        <v>218</v>
      </c>
      <c r="G499" s="954"/>
      <c r="H499" s="590" t="s">
        <v>46</v>
      </c>
      <c r="I499" s="830"/>
      <c r="J499" s="959">
        <v>0</v>
      </c>
      <c r="K499" s="831"/>
      <c r="L499" s="831"/>
      <c r="M499" s="831"/>
      <c r="N499" s="831"/>
      <c r="O499" s="831"/>
      <c r="P499" s="831"/>
      <c r="Q499" s="1244"/>
      <c r="R499" s="1244"/>
      <c r="S499" s="1244"/>
      <c r="T499" s="1244"/>
      <c r="U499" s="1244"/>
      <c r="V499" s="1244"/>
      <c r="W499" s="1244"/>
      <c r="X499" s="1244"/>
      <c r="Y499" s="1244"/>
      <c r="Z499" s="1244"/>
    </row>
    <row r="500" spans="1:26" ht="19.5" hidden="1">
      <c r="A500" s="594">
        <v>4</v>
      </c>
      <c r="B500" s="1278" t="s">
        <v>219</v>
      </c>
      <c r="C500" s="1279"/>
      <c r="D500" s="1280"/>
      <c r="E500" s="1280"/>
      <c r="F500" s="1280"/>
      <c r="G500" s="1281"/>
      <c r="H500" s="599" t="s">
        <v>109</v>
      </c>
      <c r="I500" s="1282"/>
      <c r="J500" s="1282">
        <f t="shared" ref="J500:J501" si="214">J516</f>
        <v>0</v>
      </c>
      <c r="K500" s="1283">
        <f t="shared" ref="K500:K501" si="215">IF(I500&gt;0,J500*100/I500,0)</f>
        <v>0</v>
      </c>
      <c r="L500" s="1284"/>
      <c r="M500" s="1284"/>
      <c r="N500" s="1284"/>
      <c r="O500" s="1284"/>
      <c r="P500" s="1284"/>
      <c r="Q500" s="1264"/>
      <c r="R500" s="1264"/>
      <c r="S500" s="1264"/>
      <c r="T500" s="1264"/>
      <c r="U500" s="1264"/>
      <c r="V500" s="1264"/>
      <c r="W500" s="1264"/>
      <c r="X500" s="1264"/>
      <c r="Y500" s="1264"/>
      <c r="Z500" s="1264"/>
    </row>
    <row r="501" spans="1:26" ht="19.5" hidden="1">
      <c r="A501" s="1285"/>
      <c r="B501" s="1286" t="s">
        <v>220</v>
      </c>
      <c r="C501" s="1286"/>
      <c r="D501" s="1287"/>
      <c r="E501" s="1287"/>
      <c r="F501" s="1287"/>
      <c r="G501" s="1288"/>
      <c r="H501" s="608" t="s">
        <v>35</v>
      </c>
      <c r="I501" s="1289"/>
      <c r="J501" s="1289">
        <f t="shared" si="214"/>
        <v>0</v>
      </c>
      <c r="K501" s="1290">
        <f t="shared" si="215"/>
        <v>0</v>
      </c>
      <c r="L501" s="1291"/>
      <c r="M501" s="1291"/>
      <c r="N501" s="1291"/>
      <c r="O501" s="1291"/>
      <c r="P501" s="1291"/>
      <c r="Q501" s="1264"/>
      <c r="R501" s="1264"/>
      <c r="S501" s="1264"/>
      <c r="T501" s="1264"/>
      <c r="U501" s="1264"/>
      <c r="V501" s="1264"/>
      <c r="W501" s="1264"/>
      <c r="X501" s="1264"/>
      <c r="Y501" s="1264"/>
      <c r="Z501" s="1264"/>
    </row>
    <row r="502" spans="1:26" ht="19.5" hidden="1">
      <c r="A502" s="1260"/>
      <c r="B502" s="1261"/>
      <c r="C502" s="1261" t="s">
        <v>16</v>
      </c>
      <c r="D502" s="1508" t="s">
        <v>17</v>
      </c>
      <c r="E502" s="1485"/>
      <c r="F502" s="1485"/>
      <c r="G502" s="1263"/>
      <c r="H502" s="612" t="s">
        <v>12</v>
      </c>
      <c r="I502" s="836"/>
      <c r="J502" s="836"/>
      <c r="K502" s="837"/>
      <c r="L502" s="1292">
        <f t="shared" ref="L502:N502" si="216">L503+L504</f>
        <v>0</v>
      </c>
      <c r="M502" s="1292">
        <f t="shared" si="216"/>
        <v>0</v>
      </c>
      <c r="N502" s="1292">
        <f t="shared" si="216"/>
        <v>0</v>
      </c>
      <c r="O502" s="1292">
        <f t="shared" ref="O502:O507" si="217">IF(L502&gt;0,N502*100/L502,0)</f>
        <v>0</v>
      </c>
      <c r="P502" s="1292">
        <f t="shared" ref="P502:P507" si="218">IF(M502&gt;0,N502*100/M502,0)</f>
        <v>0</v>
      </c>
      <c r="Q502" s="1264"/>
      <c r="R502" s="1264"/>
      <c r="S502" s="1264"/>
      <c r="T502" s="1264"/>
      <c r="U502" s="1264"/>
      <c r="V502" s="1264"/>
      <c r="W502" s="1264"/>
      <c r="X502" s="1264"/>
      <c r="Y502" s="1264"/>
      <c r="Z502" s="1264"/>
    </row>
    <row r="503" spans="1:26" ht="18.75" hidden="1">
      <c r="A503" s="1260"/>
      <c r="B503" s="1261"/>
      <c r="C503" s="1261"/>
      <c r="D503" s="1262"/>
      <c r="E503" s="1261" t="s">
        <v>184</v>
      </c>
      <c r="F503" s="1261"/>
      <c r="G503" s="1263"/>
      <c r="H503" s="165" t="s">
        <v>12</v>
      </c>
      <c r="I503" s="836"/>
      <c r="J503" s="836"/>
      <c r="K503" s="837"/>
      <c r="L503" s="837">
        <f t="shared" ref="L503:N504" si="219">L506+L513</f>
        <v>0</v>
      </c>
      <c r="M503" s="837">
        <f t="shared" si="219"/>
        <v>0</v>
      </c>
      <c r="N503" s="837">
        <f t="shared" si="219"/>
        <v>0</v>
      </c>
      <c r="O503" s="837">
        <f t="shared" si="217"/>
        <v>0</v>
      </c>
      <c r="P503" s="837">
        <f t="shared" si="218"/>
        <v>0</v>
      </c>
      <c r="Q503" s="1264"/>
      <c r="R503" s="1264"/>
      <c r="S503" s="1264"/>
      <c r="T503" s="1264"/>
      <c r="U503" s="1264"/>
      <c r="V503" s="1264"/>
      <c r="W503" s="1264"/>
      <c r="X503" s="1264"/>
      <c r="Y503" s="1264"/>
      <c r="Z503" s="1264"/>
    </row>
    <row r="504" spans="1:26" ht="18.75" hidden="1">
      <c r="A504" s="1260"/>
      <c r="B504" s="1265"/>
      <c r="C504" s="1261"/>
      <c r="D504" s="1262"/>
      <c r="E504" s="1261" t="s">
        <v>185</v>
      </c>
      <c r="F504" s="1261"/>
      <c r="G504" s="1263"/>
      <c r="H504" s="165" t="s">
        <v>12</v>
      </c>
      <c r="I504" s="836"/>
      <c r="J504" s="836"/>
      <c r="K504" s="837"/>
      <c r="L504" s="837">
        <f t="shared" si="219"/>
        <v>0</v>
      </c>
      <c r="M504" s="837">
        <f t="shared" si="219"/>
        <v>0</v>
      </c>
      <c r="N504" s="837">
        <f t="shared" si="219"/>
        <v>0</v>
      </c>
      <c r="O504" s="837">
        <f t="shared" si="217"/>
        <v>0</v>
      </c>
      <c r="P504" s="837">
        <f t="shared" si="218"/>
        <v>0</v>
      </c>
      <c r="Q504" s="1264"/>
      <c r="R504" s="1264"/>
      <c r="S504" s="1264"/>
      <c r="T504" s="1264"/>
      <c r="U504" s="1264"/>
      <c r="V504" s="1264"/>
      <c r="W504" s="1264"/>
      <c r="X504" s="1264"/>
      <c r="Y504" s="1264"/>
      <c r="Z504" s="1264"/>
    </row>
    <row r="505" spans="1:26" ht="18.75" hidden="1">
      <c r="A505" s="1260"/>
      <c r="B505" s="1265"/>
      <c r="C505" s="1261"/>
      <c r="D505" s="1293" t="s">
        <v>20</v>
      </c>
      <c r="E505" s="1261"/>
      <c r="F505" s="1261"/>
      <c r="G505" s="1263"/>
      <c r="H505" s="165" t="s">
        <v>12</v>
      </c>
      <c r="I505" s="947"/>
      <c r="J505" s="947"/>
      <c r="K505" s="948"/>
      <c r="L505" s="837">
        <f t="shared" ref="L505:N505" si="220">L506+L507</f>
        <v>0</v>
      </c>
      <c r="M505" s="837">
        <f t="shared" si="220"/>
        <v>0</v>
      </c>
      <c r="N505" s="837">
        <f t="shared" si="220"/>
        <v>0</v>
      </c>
      <c r="O505" s="837">
        <f t="shared" si="217"/>
        <v>0</v>
      </c>
      <c r="P505" s="837">
        <f t="shared" si="218"/>
        <v>0</v>
      </c>
      <c r="Q505" s="1264"/>
      <c r="R505" s="1264"/>
      <c r="S505" s="1264"/>
      <c r="T505" s="1264"/>
      <c r="U505" s="1264"/>
      <c r="V505" s="1264"/>
      <c r="W505" s="1264"/>
      <c r="X505" s="1264"/>
      <c r="Y505" s="1264"/>
      <c r="Z505" s="1264"/>
    </row>
    <row r="506" spans="1:26" ht="18.75" hidden="1">
      <c r="A506" s="1260"/>
      <c r="B506" s="1265"/>
      <c r="C506" s="1261"/>
      <c r="D506" s="1262"/>
      <c r="E506" s="1261" t="s">
        <v>184</v>
      </c>
      <c r="F506" s="1261"/>
      <c r="G506" s="1263"/>
      <c r="H506" s="165" t="s">
        <v>12</v>
      </c>
      <c r="I506" s="836"/>
      <c r="J506" s="836"/>
      <c r="K506" s="837"/>
      <c r="L506" s="837">
        <v>0</v>
      </c>
      <c r="M506" s="837">
        <v>0</v>
      </c>
      <c r="N506" s="837">
        <v>0</v>
      </c>
      <c r="O506" s="837">
        <f t="shared" si="217"/>
        <v>0</v>
      </c>
      <c r="P506" s="837">
        <f t="shared" si="218"/>
        <v>0</v>
      </c>
      <c r="Q506" s="1264"/>
      <c r="R506" s="1264"/>
      <c r="S506" s="1264"/>
      <c r="T506" s="1264"/>
      <c r="U506" s="1264"/>
      <c r="V506" s="1264"/>
      <c r="W506" s="1264"/>
      <c r="X506" s="1264"/>
      <c r="Y506" s="1264"/>
      <c r="Z506" s="1264"/>
    </row>
    <row r="507" spans="1:26" ht="18.75" hidden="1">
      <c r="A507" s="1260"/>
      <c r="B507" s="1265"/>
      <c r="C507" s="1261"/>
      <c r="D507" s="1262"/>
      <c r="E507" s="1261" t="s">
        <v>185</v>
      </c>
      <c r="F507" s="1261"/>
      <c r="G507" s="1263"/>
      <c r="H507" s="165" t="s">
        <v>12</v>
      </c>
      <c r="I507" s="836"/>
      <c r="J507" s="836"/>
      <c r="K507" s="837"/>
      <c r="L507" s="837">
        <v>0</v>
      </c>
      <c r="M507" s="837">
        <v>0</v>
      </c>
      <c r="N507" s="837">
        <f>N508+N509+N510+N511</f>
        <v>0</v>
      </c>
      <c r="O507" s="837">
        <f t="shared" si="217"/>
        <v>0</v>
      </c>
      <c r="P507" s="837">
        <f t="shared" si="218"/>
        <v>0</v>
      </c>
      <c r="Q507" s="1264"/>
      <c r="R507" s="1264"/>
      <c r="S507" s="1264"/>
      <c r="T507" s="1264"/>
      <c r="U507" s="1264"/>
      <c r="V507" s="1264"/>
      <c r="W507" s="1264"/>
      <c r="X507" s="1264"/>
      <c r="Y507" s="1264"/>
      <c r="Z507" s="1264"/>
    </row>
    <row r="508" spans="1:26" ht="18.75" hidden="1">
      <c r="A508" s="1294"/>
      <c r="B508" s="1265"/>
      <c r="C508" s="1261"/>
      <c r="D508" s="1261"/>
      <c r="E508" s="1261"/>
      <c r="F508" s="1261" t="s">
        <v>186</v>
      </c>
      <c r="G508" s="1263"/>
      <c r="H508" s="165" t="s">
        <v>12</v>
      </c>
      <c r="I508" s="836"/>
      <c r="J508" s="836"/>
      <c r="K508" s="837"/>
      <c r="L508" s="837"/>
      <c r="M508" s="837"/>
      <c r="N508" s="837">
        <v>0</v>
      </c>
      <c r="O508" s="837"/>
      <c r="P508" s="837"/>
      <c r="Q508" s="1264"/>
      <c r="R508" s="1264"/>
      <c r="S508" s="1264"/>
      <c r="T508" s="1264"/>
      <c r="U508" s="1264"/>
      <c r="V508" s="1264"/>
      <c r="W508" s="1264"/>
      <c r="X508" s="1264"/>
      <c r="Y508" s="1264"/>
      <c r="Z508" s="1264"/>
    </row>
    <row r="509" spans="1:26" ht="18.75" hidden="1">
      <c r="A509" s="1294"/>
      <c r="B509" s="1265"/>
      <c r="C509" s="1261"/>
      <c r="D509" s="1261"/>
      <c r="E509" s="1261"/>
      <c r="F509" s="1261" t="s">
        <v>187</v>
      </c>
      <c r="G509" s="1263"/>
      <c r="H509" s="165" t="s">
        <v>12</v>
      </c>
      <c r="I509" s="836"/>
      <c r="J509" s="836"/>
      <c r="K509" s="837"/>
      <c r="L509" s="837"/>
      <c r="M509" s="837"/>
      <c r="N509" s="837">
        <v>0</v>
      </c>
      <c r="O509" s="837"/>
      <c r="P509" s="837"/>
      <c r="Q509" s="1264"/>
      <c r="R509" s="1264"/>
      <c r="S509" s="1264"/>
      <c r="T509" s="1264"/>
      <c r="U509" s="1264"/>
      <c r="V509" s="1264"/>
      <c r="W509" s="1264"/>
      <c r="X509" s="1264"/>
      <c r="Y509" s="1264"/>
      <c r="Z509" s="1264"/>
    </row>
    <row r="510" spans="1:26" ht="18.75" hidden="1">
      <c r="A510" s="1294"/>
      <c r="B510" s="1265"/>
      <c r="C510" s="1265"/>
      <c r="D510" s="1265"/>
      <c r="E510" s="1261"/>
      <c r="F510" s="1261" t="s">
        <v>188</v>
      </c>
      <c r="G510" s="1263"/>
      <c r="H510" s="165" t="s">
        <v>12</v>
      </c>
      <c r="I510" s="836"/>
      <c r="J510" s="836"/>
      <c r="K510" s="837"/>
      <c r="L510" s="837"/>
      <c r="M510" s="837"/>
      <c r="N510" s="837">
        <v>0</v>
      </c>
      <c r="O510" s="837"/>
      <c r="P510" s="837"/>
      <c r="Q510" s="1264"/>
      <c r="R510" s="1264"/>
      <c r="S510" s="1264"/>
      <c r="T510" s="1264"/>
      <c r="U510" s="1264"/>
      <c r="V510" s="1264"/>
      <c r="W510" s="1264"/>
      <c r="X510" s="1264"/>
      <c r="Y510" s="1264"/>
      <c r="Z510" s="1264"/>
    </row>
    <row r="511" spans="1:26" ht="18.75" hidden="1">
      <c r="A511" s="1294"/>
      <c r="B511" s="1265"/>
      <c r="C511" s="1265"/>
      <c r="D511" s="1265"/>
      <c r="E511" s="1261"/>
      <c r="F511" s="1261" t="s">
        <v>189</v>
      </c>
      <c r="G511" s="1263"/>
      <c r="H511" s="165" t="s">
        <v>12</v>
      </c>
      <c r="I511" s="836"/>
      <c r="J511" s="836"/>
      <c r="K511" s="837"/>
      <c r="L511" s="837"/>
      <c r="M511" s="837"/>
      <c r="N511" s="837">
        <v>0</v>
      </c>
      <c r="O511" s="837"/>
      <c r="P511" s="837"/>
      <c r="Q511" s="1264"/>
      <c r="R511" s="1264"/>
      <c r="S511" s="1264"/>
      <c r="T511" s="1264"/>
      <c r="U511" s="1264"/>
      <c r="V511" s="1264"/>
      <c r="W511" s="1264"/>
      <c r="X511" s="1264"/>
      <c r="Y511" s="1264"/>
      <c r="Z511" s="1264"/>
    </row>
    <row r="512" spans="1:26" ht="18.75" hidden="1">
      <c r="A512" s="1260"/>
      <c r="B512" s="1265"/>
      <c r="C512" s="1265"/>
      <c r="D512" s="1293" t="s">
        <v>21</v>
      </c>
      <c r="E512" s="1265"/>
      <c r="F512" s="1261"/>
      <c r="G512" s="1263"/>
      <c r="H512" s="169" t="s">
        <v>12</v>
      </c>
      <c r="I512" s="947"/>
      <c r="J512" s="947"/>
      <c r="K512" s="948"/>
      <c r="L512" s="837">
        <f t="shared" ref="L512:N512" si="221">L513+L514</f>
        <v>0</v>
      </c>
      <c r="M512" s="837">
        <f t="shared" si="221"/>
        <v>0</v>
      </c>
      <c r="N512" s="837">
        <f t="shared" si="221"/>
        <v>0</v>
      </c>
      <c r="O512" s="837">
        <f t="shared" ref="O512:O514" si="222">IF(L512&gt;0,N512*100/L512,0)</f>
        <v>0</v>
      </c>
      <c r="P512" s="837">
        <f t="shared" ref="P512:P514" si="223">IF(M512&gt;0,N512*100/M512,0)</f>
        <v>0</v>
      </c>
      <c r="Q512" s="1264"/>
      <c r="R512" s="1264"/>
      <c r="S512" s="1264"/>
      <c r="T512" s="1264"/>
      <c r="U512" s="1264"/>
      <c r="V512" s="1264"/>
      <c r="W512" s="1264"/>
      <c r="X512" s="1264"/>
      <c r="Y512" s="1264"/>
      <c r="Z512" s="1264"/>
    </row>
    <row r="513" spans="1:26" ht="18.75" hidden="1">
      <c r="A513" s="1260"/>
      <c r="B513" s="1265"/>
      <c r="C513" s="1265"/>
      <c r="D513" s="1265"/>
      <c r="E513" s="1265" t="s">
        <v>18</v>
      </c>
      <c r="F513" s="1261"/>
      <c r="G513" s="1263"/>
      <c r="H513" s="165" t="s">
        <v>12</v>
      </c>
      <c r="I513" s="947"/>
      <c r="J513" s="947"/>
      <c r="K513" s="948"/>
      <c r="L513" s="837">
        <v>0</v>
      </c>
      <c r="M513" s="837">
        <v>0</v>
      </c>
      <c r="N513" s="837">
        <v>0</v>
      </c>
      <c r="O513" s="837">
        <f t="shared" si="222"/>
        <v>0</v>
      </c>
      <c r="P513" s="837">
        <f t="shared" si="223"/>
        <v>0</v>
      </c>
      <c r="Q513" s="1264"/>
      <c r="R513" s="1264"/>
      <c r="S513" s="1264"/>
      <c r="T513" s="1264"/>
      <c r="U513" s="1264"/>
      <c r="V513" s="1264"/>
      <c r="W513" s="1264"/>
      <c r="X513" s="1264"/>
      <c r="Y513" s="1264"/>
      <c r="Z513" s="1264"/>
    </row>
    <row r="514" spans="1:26" ht="18.75" hidden="1">
      <c r="A514" s="1260"/>
      <c r="B514" s="1265"/>
      <c r="C514" s="1265"/>
      <c r="D514" s="1261"/>
      <c r="E514" s="1265" t="s">
        <v>19</v>
      </c>
      <c r="F514" s="1261"/>
      <c r="G514" s="1263"/>
      <c r="H514" s="169" t="s">
        <v>12</v>
      </c>
      <c r="I514" s="947"/>
      <c r="J514" s="947"/>
      <c r="K514" s="948"/>
      <c r="L514" s="837">
        <v>0</v>
      </c>
      <c r="M514" s="837">
        <v>0</v>
      </c>
      <c r="N514" s="837">
        <v>0</v>
      </c>
      <c r="O514" s="837">
        <f t="shared" si="222"/>
        <v>0</v>
      </c>
      <c r="P514" s="837">
        <f t="shared" si="223"/>
        <v>0</v>
      </c>
      <c r="Q514" s="1264"/>
      <c r="R514" s="1264"/>
      <c r="S514" s="1264"/>
      <c r="T514" s="1264"/>
      <c r="U514" s="1264"/>
      <c r="V514" s="1264"/>
      <c r="W514" s="1264"/>
      <c r="X514" s="1264"/>
      <c r="Y514" s="1264"/>
      <c r="Z514" s="1264"/>
    </row>
    <row r="515" spans="1:26" ht="19.5" hidden="1">
      <c r="A515" s="1273"/>
      <c r="B515" s="1274"/>
      <c r="C515" s="1265" t="s">
        <v>16</v>
      </c>
      <c r="D515" s="1295" t="s">
        <v>38</v>
      </c>
      <c r="E515" s="1296"/>
      <c r="F515" s="1296"/>
      <c r="G515" s="1297"/>
      <c r="H515" s="1060"/>
      <c r="I515" s="947"/>
      <c r="J515" s="947"/>
      <c r="K515" s="948"/>
      <c r="L515" s="948"/>
      <c r="M515" s="948"/>
      <c r="N515" s="948"/>
      <c r="O515" s="948"/>
      <c r="P515" s="948"/>
      <c r="Q515" s="1264"/>
      <c r="R515" s="1264"/>
      <c r="S515" s="1264"/>
      <c r="T515" s="1264"/>
      <c r="U515" s="1264"/>
      <c r="V515" s="1264"/>
      <c r="W515" s="1264"/>
      <c r="X515" s="1264"/>
      <c r="Y515" s="1264"/>
      <c r="Z515" s="1264"/>
    </row>
    <row r="516" spans="1:26" ht="18.75" hidden="1">
      <c r="A516" s="1273"/>
      <c r="B516" s="1274"/>
      <c r="C516" s="1274"/>
      <c r="D516" s="1274" t="s">
        <v>221</v>
      </c>
      <c r="E516" s="1262"/>
      <c r="F516" s="1262"/>
      <c r="G516" s="1060"/>
      <c r="H516" s="619" t="s">
        <v>109</v>
      </c>
      <c r="I516" s="836"/>
      <c r="J516" s="836">
        <v>0</v>
      </c>
      <c r="K516" s="948">
        <f t="shared" ref="K516:K517" si="224">IF(I516&gt;0,J516*100/I516,0)</f>
        <v>0</v>
      </c>
      <c r="L516" s="948"/>
      <c r="M516" s="948"/>
      <c r="N516" s="948"/>
      <c r="O516" s="948"/>
      <c r="P516" s="948"/>
      <c r="Q516" s="1264"/>
      <c r="R516" s="1264"/>
      <c r="S516" s="1264"/>
      <c r="T516" s="1264"/>
      <c r="U516" s="1264"/>
      <c r="V516" s="1264"/>
      <c r="W516" s="1264"/>
      <c r="X516" s="1264"/>
      <c r="Y516" s="1264"/>
      <c r="Z516" s="1264"/>
    </row>
    <row r="517" spans="1:26" ht="19.5" hidden="1">
      <c r="A517" s="1273"/>
      <c r="B517" s="1274"/>
      <c r="C517" s="1274"/>
      <c r="D517" s="1274" t="s">
        <v>222</v>
      </c>
      <c r="E517" s="1262"/>
      <c r="F517" s="1262"/>
      <c r="G517" s="1060"/>
      <c r="H517" s="620" t="s">
        <v>35</v>
      </c>
      <c r="I517" s="1298"/>
      <c r="J517" s="1298">
        <f>J518+J519</f>
        <v>0</v>
      </c>
      <c r="K517" s="1299">
        <f t="shared" si="224"/>
        <v>0</v>
      </c>
      <c r="L517" s="948"/>
      <c r="M517" s="948"/>
      <c r="N517" s="948"/>
      <c r="O517" s="948"/>
      <c r="P517" s="948"/>
      <c r="Q517" s="1264"/>
      <c r="R517" s="1264"/>
      <c r="S517" s="1264"/>
      <c r="T517" s="1264"/>
      <c r="U517" s="1264"/>
      <c r="V517" s="1264"/>
      <c r="W517" s="1264"/>
      <c r="X517" s="1264"/>
      <c r="Y517" s="1264"/>
      <c r="Z517" s="1264"/>
    </row>
    <row r="518" spans="1:26" ht="18.75" hidden="1">
      <c r="A518" s="1273"/>
      <c r="B518" s="1274"/>
      <c r="C518" s="1274"/>
      <c r="D518" s="1274"/>
      <c r="E518" s="1274" t="s">
        <v>223</v>
      </c>
      <c r="F518" s="1262"/>
      <c r="G518" s="1060"/>
      <c r="H518" s="583" t="s">
        <v>35</v>
      </c>
      <c r="I518" s="836"/>
      <c r="J518" s="836"/>
      <c r="K518" s="948"/>
      <c r="L518" s="948"/>
      <c r="M518" s="948"/>
      <c r="N518" s="948"/>
      <c r="O518" s="948"/>
      <c r="P518" s="948"/>
      <c r="Q518" s="1264"/>
      <c r="R518" s="1264"/>
      <c r="S518" s="1264"/>
      <c r="T518" s="1264"/>
      <c r="U518" s="1264"/>
      <c r="V518" s="1264"/>
      <c r="W518" s="1264"/>
      <c r="X518" s="1264"/>
      <c r="Y518" s="1264"/>
      <c r="Z518" s="1264"/>
    </row>
    <row r="519" spans="1:26" ht="18.75" hidden="1">
      <c r="A519" s="1273"/>
      <c r="B519" s="1274"/>
      <c r="C519" s="1274"/>
      <c r="D519" s="1274"/>
      <c r="E519" s="1274" t="s">
        <v>224</v>
      </c>
      <c r="F519" s="1262"/>
      <c r="G519" s="1060"/>
      <c r="H519" s="619" t="s">
        <v>35</v>
      </c>
      <c r="I519" s="836"/>
      <c r="J519" s="836"/>
      <c r="K519" s="948"/>
      <c r="L519" s="948"/>
      <c r="M519" s="948"/>
      <c r="N519" s="948"/>
      <c r="O519" s="948"/>
      <c r="P519" s="948"/>
      <c r="Q519" s="1264"/>
      <c r="R519" s="1264"/>
      <c r="S519" s="1264"/>
      <c r="T519" s="1264"/>
      <c r="U519" s="1264"/>
      <c r="V519" s="1264"/>
      <c r="W519" s="1264"/>
      <c r="X519" s="1264"/>
      <c r="Y519" s="1264"/>
      <c r="Z519" s="1264"/>
    </row>
    <row r="520" spans="1:26" ht="19.5">
      <c r="A520" s="1300" t="s">
        <v>137</v>
      </c>
      <c r="B520" s="1301"/>
      <c r="C520" s="1301"/>
      <c r="D520" s="1302"/>
      <c r="E520" s="1302"/>
      <c r="F520" s="1302"/>
      <c r="G520" s="1303"/>
      <c r="H520" s="1304"/>
      <c r="I520" s="1305"/>
      <c r="J520" s="1305"/>
      <c r="K520" s="1306"/>
      <c r="L520" s="1306"/>
      <c r="M520" s="1306"/>
      <c r="N520" s="1306"/>
      <c r="O520" s="1306"/>
      <c r="P520" s="1306"/>
    </row>
    <row r="521" spans="1:26" ht="19.5" hidden="1">
      <c r="A521" s="630">
        <v>5</v>
      </c>
      <c r="B521" s="1307" t="s">
        <v>225</v>
      </c>
      <c r="C521" s="1308"/>
      <c r="D521" s="1309"/>
      <c r="E521" s="1309"/>
      <c r="F521" s="1309"/>
      <c r="G521" s="1309"/>
      <c r="H521" s="1310"/>
      <c r="I521" s="1311"/>
      <c r="J521" s="1311"/>
      <c r="K521" s="1312"/>
      <c r="L521" s="1312"/>
      <c r="M521" s="1312"/>
      <c r="N521" s="1312"/>
      <c r="O521" s="1312"/>
      <c r="P521" s="1312"/>
      <c r="Q521" s="1244"/>
      <c r="R521" s="1244"/>
      <c r="S521" s="1244"/>
      <c r="T521" s="1244"/>
      <c r="U521" s="1244"/>
      <c r="V521" s="1244"/>
      <c r="W521" s="1244"/>
      <c r="X521" s="1244"/>
      <c r="Y521" s="1244"/>
      <c r="Z521" s="1244"/>
    </row>
    <row r="522" spans="1:26" ht="19.5" hidden="1">
      <c r="A522" s="1313"/>
      <c r="B522" s="1314" t="s">
        <v>226</v>
      </c>
      <c r="C522" s="1315"/>
      <c r="D522" s="1315"/>
      <c r="E522" s="1315"/>
      <c r="F522" s="1315"/>
      <c r="G522" s="1316"/>
      <c r="H522" s="641" t="s">
        <v>35</v>
      </c>
      <c r="I522" s="1317">
        <f t="shared" ref="I522:J522" ca="1" si="225">I537</f>
        <v>0</v>
      </c>
      <c r="J522" s="1317">
        <f t="shared" ca="1" si="225"/>
        <v>0</v>
      </c>
      <c r="K522" s="1318">
        <f ca="1">IF(I522&gt;0,J522*100/I522,0)</f>
        <v>0</v>
      </c>
      <c r="L522" s="1319"/>
      <c r="M522" s="1319"/>
      <c r="N522" s="1319"/>
      <c r="O522" s="1319"/>
      <c r="P522" s="1319"/>
      <c r="Q522" s="1244"/>
      <c r="R522" s="1244"/>
      <c r="S522" s="1244"/>
      <c r="T522" s="1244"/>
      <c r="U522" s="1244"/>
      <c r="V522" s="1244"/>
      <c r="W522" s="1244"/>
      <c r="X522" s="1244"/>
      <c r="Y522" s="1244"/>
      <c r="Z522" s="1244"/>
    </row>
    <row r="523" spans="1:26" ht="19.5" hidden="1">
      <c r="A523" s="1259"/>
      <c r="B523" s="1243"/>
      <c r="C523" s="1243" t="s">
        <v>16</v>
      </c>
      <c r="D523" s="1507" t="s">
        <v>17</v>
      </c>
      <c r="E523" s="1485"/>
      <c r="F523" s="1485"/>
      <c r="G523" s="963"/>
      <c r="H523" s="563" t="s">
        <v>12</v>
      </c>
      <c r="I523" s="830"/>
      <c r="J523" s="830"/>
      <c r="K523" s="831"/>
      <c r="L523" s="967">
        <f t="shared" ref="L523:N523" ca="1" si="226">L524+L525</f>
        <v>0</v>
      </c>
      <c r="M523" s="967">
        <f t="shared" si="226"/>
        <v>0</v>
      </c>
      <c r="N523" s="967">
        <f t="shared" si="226"/>
        <v>0</v>
      </c>
      <c r="O523" s="967">
        <f t="shared" ref="O523:O528" ca="1" si="227">IF(L523&gt;0,N523*100/L523,0)</f>
        <v>0</v>
      </c>
      <c r="P523" s="967">
        <f t="shared" ref="P523:P528" si="228">IF(M523&gt;0,N523*100/M523,0)</f>
        <v>0</v>
      </c>
      <c r="Q523" s="1244"/>
      <c r="R523" s="1244"/>
      <c r="S523" s="1244"/>
      <c r="T523" s="1244"/>
      <c r="U523" s="1244"/>
      <c r="V523" s="1244"/>
      <c r="W523" s="1244"/>
      <c r="X523" s="1244"/>
      <c r="Y523" s="1244"/>
      <c r="Z523" s="1244"/>
    </row>
    <row r="524" spans="1:26" ht="18.75" hidden="1">
      <c r="A524" s="1260"/>
      <c r="B524" s="1261"/>
      <c r="C524" s="1261"/>
      <c r="D524" s="1262"/>
      <c r="E524" s="1261" t="s">
        <v>184</v>
      </c>
      <c r="F524" s="1261"/>
      <c r="G524" s="1263"/>
      <c r="H524" s="165" t="s">
        <v>12</v>
      </c>
      <c r="I524" s="836"/>
      <c r="J524" s="836"/>
      <c r="K524" s="837"/>
      <c r="L524" s="837">
        <f t="shared" ref="L524:N525" si="229">L527+L534</f>
        <v>0</v>
      </c>
      <c r="M524" s="837">
        <f t="shared" si="229"/>
        <v>0</v>
      </c>
      <c r="N524" s="837">
        <f t="shared" si="229"/>
        <v>0</v>
      </c>
      <c r="O524" s="837">
        <f t="shared" si="227"/>
        <v>0</v>
      </c>
      <c r="P524" s="837">
        <f t="shared" si="228"/>
        <v>0</v>
      </c>
      <c r="Q524" s="1264"/>
      <c r="R524" s="1264"/>
      <c r="S524" s="1264"/>
      <c r="T524" s="1264"/>
      <c r="U524" s="1264"/>
      <c r="V524" s="1264"/>
      <c r="W524" s="1264"/>
      <c r="X524" s="1264"/>
      <c r="Y524" s="1264"/>
      <c r="Z524" s="1264"/>
    </row>
    <row r="525" spans="1:26" ht="18.75" hidden="1">
      <c r="A525" s="1260"/>
      <c r="B525" s="1265"/>
      <c r="C525" s="1261"/>
      <c r="D525" s="1262"/>
      <c r="E525" s="1261" t="s">
        <v>185</v>
      </c>
      <c r="F525" s="1261"/>
      <c r="G525" s="1263"/>
      <c r="H525" s="165" t="s">
        <v>12</v>
      </c>
      <c r="I525" s="836"/>
      <c r="J525" s="836"/>
      <c r="K525" s="837"/>
      <c r="L525" s="837">
        <f t="shared" ca="1" si="229"/>
        <v>0</v>
      </c>
      <c r="M525" s="837">
        <f t="shared" si="229"/>
        <v>0</v>
      </c>
      <c r="N525" s="837">
        <f t="shared" si="229"/>
        <v>0</v>
      </c>
      <c r="O525" s="837">
        <f t="shared" ca="1" si="227"/>
        <v>0</v>
      </c>
      <c r="P525" s="837">
        <f t="shared" si="228"/>
        <v>0</v>
      </c>
      <c r="Q525" s="1264"/>
      <c r="R525" s="1264"/>
      <c r="S525" s="1264"/>
      <c r="T525" s="1264"/>
      <c r="U525" s="1264"/>
      <c r="V525" s="1264"/>
      <c r="W525" s="1264"/>
      <c r="X525" s="1264"/>
      <c r="Y525" s="1264"/>
      <c r="Z525" s="1264"/>
    </row>
    <row r="526" spans="1:26" ht="18.75" hidden="1">
      <c r="A526" s="1259"/>
      <c r="B526" s="1242"/>
      <c r="C526" s="1243"/>
      <c r="D526" s="1266" t="s">
        <v>20</v>
      </c>
      <c r="E526" s="1243"/>
      <c r="F526" s="1243"/>
      <c r="G526" s="963"/>
      <c r="H526" s="778" t="s">
        <v>12</v>
      </c>
      <c r="I526" s="944"/>
      <c r="J526" s="944"/>
      <c r="K526" s="945"/>
      <c r="L526" s="831">
        <f t="shared" ref="L526:N526" ca="1" si="230">L527+L528</f>
        <v>0</v>
      </c>
      <c r="M526" s="831">
        <f t="shared" si="230"/>
        <v>0</v>
      </c>
      <c r="N526" s="831">
        <f t="shared" si="230"/>
        <v>0</v>
      </c>
      <c r="O526" s="831">
        <f t="shared" ca="1" si="227"/>
        <v>0</v>
      </c>
      <c r="P526" s="831">
        <f t="shared" si="228"/>
        <v>0</v>
      </c>
      <c r="Q526" s="1244"/>
      <c r="R526" s="1244"/>
      <c r="S526" s="1244"/>
      <c r="T526" s="1244"/>
      <c r="U526" s="1244"/>
      <c r="V526" s="1244"/>
      <c r="W526" s="1244"/>
      <c r="X526" s="1244"/>
      <c r="Y526" s="1244"/>
      <c r="Z526" s="1244"/>
    </row>
    <row r="527" spans="1:26" ht="18.75" hidden="1">
      <c r="A527" s="1260"/>
      <c r="B527" s="1265"/>
      <c r="C527" s="1261"/>
      <c r="D527" s="1262"/>
      <c r="E527" s="1261" t="s">
        <v>184</v>
      </c>
      <c r="F527" s="1261"/>
      <c r="G527" s="1263"/>
      <c r="H527" s="165" t="s">
        <v>12</v>
      </c>
      <c r="I527" s="836"/>
      <c r="J527" s="836"/>
      <c r="K527" s="837"/>
      <c r="L527" s="837">
        <v>0</v>
      </c>
      <c r="M527" s="837">
        <v>0</v>
      </c>
      <c r="N527" s="837">
        <v>0</v>
      </c>
      <c r="O527" s="837">
        <f t="shared" si="227"/>
        <v>0</v>
      </c>
      <c r="P527" s="837">
        <f t="shared" si="228"/>
        <v>0</v>
      </c>
      <c r="Q527" s="1264"/>
      <c r="R527" s="1264"/>
      <c r="S527" s="1264"/>
      <c r="T527" s="1264"/>
      <c r="U527" s="1264"/>
      <c r="V527" s="1264"/>
      <c r="W527" s="1264"/>
      <c r="X527" s="1264"/>
      <c r="Y527" s="1264"/>
      <c r="Z527" s="1264"/>
    </row>
    <row r="528" spans="1:26" ht="18.75" hidden="1">
      <c r="A528" s="1260"/>
      <c r="B528" s="1265"/>
      <c r="C528" s="1261"/>
      <c r="D528" s="1262"/>
      <c r="E528" s="1261" t="s">
        <v>185</v>
      </c>
      <c r="F528" s="1261"/>
      <c r="G528" s="1263"/>
      <c r="H528" s="165" t="s">
        <v>12</v>
      </c>
      <c r="I528" s="836"/>
      <c r="J528" s="836"/>
      <c r="K528" s="837"/>
      <c r="L528" s="837">
        <f ca="1">IFERROR(__xludf.DUMMYFUNCTION("IMPORTRANGE(""https://docs.google.com/spreadsheets/d/1QqKyyYR6Q21VydFLVH3TRQUabQu_ym0Zz7PgGX0-kHA/edit?usp=sharing"",""แผน!GQ22"")"),0)</f>
        <v>0</v>
      </c>
      <c r="M528" s="837">
        <v>0</v>
      </c>
      <c r="N528" s="837">
        <f>N529+N530+N531+N532</f>
        <v>0</v>
      </c>
      <c r="O528" s="837">
        <f t="shared" ca="1" si="227"/>
        <v>0</v>
      </c>
      <c r="P528" s="837">
        <f t="shared" si="228"/>
        <v>0</v>
      </c>
      <c r="Q528" s="1264"/>
      <c r="R528" s="1264"/>
      <c r="S528" s="1264"/>
      <c r="T528" s="1264"/>
      <c r="U528" s="1264"/>
      <c r="V528" s="1264"/>
      <c r="W528" s="1264"/>
      <c r="X528" s="1264"/>
      <c r="Y528" s="1264"/>
      <c r="Z528" s="1264"/>
    </row>
    <row r="529" spans="1:26" ht="18.75" hidden="1">
      <c r="A529" s="1241"/>
      <c r="B529" s="1242"/>
      <c r="C529" s="1243"/>
      <c r="D529" s="1243"/>
      <c r="E529" s="1243"/>
      <c r="F529" s="1243" t="s">
        <v>186</v>
      </c>
      <c r="G529" s="963"/>
      <c r="H529" s="778" t="s">
        <v>12</v>
      </c>
      <c r="I529" s="830"/>
      <c r="J529" s="830"/>
      <c r="K529" s="831"/>
      <c r="L529" s="831"/>
      <c r="M529" s="831"/>
      <c r="N529" s="1031">
        <v>0</v>
      </c>
      <c r="O529" s="831"/>
      <c r="P529" s="831"/>
      <c r="Q529" s="1244"/>
      <c r="R529" s="1244"/>
      <c r="S529" s="1244"/>
      <c r="T529" s="1244"/>
      <c r="U529" s="1244"/>
      <c r="V529" s="1244"/>
      <c r="W529" s="1244"/>
      <c r="X529" s="1244"/>
      <c r="Y529" s="1244"/>
      <c r="Z529" s="1244"/>
    </row>
    <row r="530" spans="1:26" ht="18.75" hidden="1">
      <c r="A530" s="1241"/>
      <c r="B530" s="1242"/>
      <c r="C530" s="1243"/>
      <c r="D530" s="1243"/>
      <c r="E530" s="1243"/>
      <c r="F530" s="1243" t="s">
        <v>187</v>
      </c>
      <c r="G530" s="963"/>
      <c r="H530" s="778" t="s">
        <v>12</v>
      </c>
      <c r="I530" s="830"/>
      <c r="J530" s="830"/>
      <c r="K530" s="831"/>
      <c r="L530" s="831"/>
      <c r="M530" s="831"/>
      <c r="N530" s="1031">
        <v>0</v>
      </c>
      <c r="O530" s="831"/>
      <c r="P530" s="831"/>
      <c r="Q530" s="1244"/>
      <c r="R530" s="1244"/>
      <c r="S530" s="1244"/>
      <c r="T530" s="1244"/>
      <c r="U530" s="1244"/>
      <c r="V530" s="1244"/>
      <c r="W530" s="1244"/>
      <c r="X530" s="1244"/>
      <c r="Y530" s="1244"/>
      <c r="Z530" s="1244"/>
    </row>
    <row r="531" spans="1:26" ht="18.75" hidden="1">
      <c r="A531" s="1241"/>
      <c r="B531" s="1242"/>
      <c r="C531" s="1243"/>
      <c r="D531" s="1243"/>
      <c r="E531" s="1243"/>
      <c r="F531" s="1243" t="s">
        <v>188</v>
      </c>
      <c r="G531" s="963"/>
      <c r="H531" s="778" t="s">
        <v>12</v>
      </c>
      <c r="I531" s="830"/>
      <c r="J531" s="830"/>
      <c r="K531" s="831"/>
      <c r="L531" s="831"/>
      <c r="M531" s="831"/>
      <c r="N531" s="1031">
        <v>0</v>
      </c>
      <c r="O531" s="831"/>
      <c r="P531" s="831"/>
      <c r="Q531" s="1244"/>
      <c r="R531" s="1244"/>
      <c r="S531" s="1244"/>
      <c r="T531" s="1244"/>
      <c r="U531" s="1244"/>
      <c r="V531" s="1244"/>
      <c r="W531" s="1244"/>
      <c r="X531" s="1244"/>
      <c r="Y531" s="1244"/>
      <c r="Z531" s="1244"/>
    </row>
    <row r="532" spans="1:26" ht="18.75" hidden="1">
      <c r="A532" s="1241"/>
      <c r="B532" s="1242"/>
      <c r="C532" s="1243"/>
      <c r="D532" s="1243"/>
      <c r="E532" s="1243"/>
      <c r="F532" s="1243" t="s">
        <v>189</v>
      </c>
      <c r="G532" s="963"/>
      <c r="H532" s="778" t="s">
        <v>12</v>
      </c>
      <c r="I532" s="830"/>
      <c r="J532" s="830"/>
      <c r="K532" s="831"/>
      <c r="L532" s="831"/>
      <c r="M532" s="831"/>
      <c r="N532" s="1031">
        <v>0</v>
      </c>
      <c r="O532" s="831"/>
      <c r="P532" s="831"/>
      <c r="Q532" s="1244"/>
      <c r="R532" s="1244"/>
      <c r="S532" s="1244"/>
      <c r="T532" s="1244"/>
      <c r="U532" s="1244"/>
      <c r="V532" s="1244"/>
      <c r="W532" s="1244"/>
      <c r="X532" s="1244"/>
      <c r="Y532" s="1244"/>
      <c r="Z532" s="1244"/>
    </row>
    <row r="533" spans="1:26" ht="18.75" hidden="1">
      <c r="A533" s="1259"/>
      <c r="B533" s="1242"/>
      <c r="C533" s="1243"/>
      <c r="D533" s="1266" t="s">
        <v>21</v>
      </c>
      <c r="E533" s="1243"/>
      <c r="F533" s="1243"/>
      <c r="G533" s="963"/>
      <c r="H533" s="168" t="s">
        <v>12</v>
      </c>
      <c r="I533" s="944"/>
      <c r="J533" s="944"/>
      <c r="K533" s="945"/>
      <c r="L533" s="831">
        <f t="shared" ref="L533:N533" ca="1" si="231">L534+L535</f>
        <v>0</v>
      </c>
      <c r="M533" s="831">
        <f t="shared" si="231"/>
        <v>0</v>
      </c>
      <c r="N533" s="831">
        <f t="shared" si="231"/>
        <v>0</v>
      </c>
      <c r="O533" s="831">
        <f t="shared" ref="O533:O535" ca="1" si="232">IF(L533&gt;0,N533*100/L533,0)</f>
        <v>0</v>
      </c>
      <c r="P533" s="831">
        <f t="shared" ref="P533:P535" si="233">IF(M533&gt;0,N533*100/M533,0)</f>
        <v>0</v>
      </c>
      <c r="Q533" s="1244"/>
      <c r="R533" s="1244"/>
      <c r="S533" s="1244"/>
      <c r="T533" s="1244"/>
      <c r="U533" s="1244"/>
      <c r="V533" s="1244"/>
      <c r="W533" s="1244"/>
      <c r="X533" s="1244"/>
      <c r="Y533" s="1244"/>
      <c r="Z533" s="1244"/>
    </row>
    <row r="534" spans="1:26" ht="18.75" hidden="1">
      <c r="A534" s="1260"/>
      <c r="B534" s="1265"/>
      <c r="C534" s="1261"/>
      <c r="D534" s="1261"/>
      <c r="E534" s="1261" t="s">
        <v>18</v>
      </c>
      <c r="F534" s="1261"/>
      <c r="G534" s="1263"/>
      <c r="H534" s="165" t="s">
        <v>12</v>
      </c>
      <c r="I534" s="947"/>
      <c r="J534" s="947"/>
      <c r="K534" s="948"/>
      <c r="L534" s="837">
        <v>0</v>
      </c>
      <c r="M534" s="837">
        <v>0</v>
      </c>
      <c r="N534" s="837">
        <v>0</v>
      </c>
      <c r="O534" s="837">
        <f t="shared" si="232"/>
        <v>0</v>
      </c>
      <c r="P534" s="837">
        <f t="shared" si="233"/>
        <v>0</v>
      </c>
      <c r="Q534" s="1264"/>
      <c r="R534" s="1264"/>
      <c r="S534" s="1264"/>
      <c r="T534" s="1264"/>
      <c r="U534" s="1264"/>
      <c r="V534" s="1264"/>
      <c r="W534" s="1264"/>
      <c r="X534" s="1264"/>
      <c r="Y534" s="1264"/>
      <c r="Z534" s="1264"/>
    </row>
    <row r="535" spans="1:26" ht="18.75" hidden="1">
      <c r="A535" s="1260"/>
      <c r="B535" s="1265"/>
      <c r="C535" s="1261"/>
      <c r="D535" s="1261"/>
      <c r="E535" s="1261" t="s">
        <v>19</v>
      </c>
      <c r="F535" s="1261"/>
      <c r="G535" s="1263"/>
      <c r="H535" s="169" t="s">
        <v>12</v>
      </c>
      <c r="I535" s="947"/>
      <c r="J535" s="947"/>
      <c r="K535" s="948"/>
      <c r="L535" s="837">
        <f ca="1">IFERROR(__xludf.DUMMYFUNCTION("IMPORTRANGE(""https://docs.google.com/spreadsheets/d/1QqKyyYR6Q21VydFLVH3TRQUabQu_ym0Zz7PgGX0-kHA/edit?usp=sharing"",""แผน!GT22"")"),0)</f>
        <v>0</v>
      </c>
      <c r="M535" s="837">
        <v>0</v>
      </c>
      <c r="N535" s="837">
        <v>0</v>
      </c>
      <c r="O535" s="837">
        <f t="shared" ca="1" si="232"/>
        <v>0</v>
      </c>
      <c r="P535" s="837">
        <f t="shared" si="233"/>
        <v>0</v>
      </c>
      <c r="Q535" s="1264"/>
      <c r="R535" s="1264"/>
      <c r="S535" s="1264"/>
      <c r="T535" s="1264"/>
      <c r="U535" s="1264"/>
      <c r="V535" s="1264"/>
      <c r="W535" s="1264"/>
      <c r="X535" s="1264"/>
      <c r="Y535" s="1264"/>
      <c r="Z535" s="1264"/>
    </row>
    <row r="536" spans="1:26" ht="19.5" hidden="1">
      <c r="A536" s="1267"/>
      <c r="B536" s="1268"/>
      <c r="C536" s="1243" t="s">
        <v>16</v>
      </c>
      <c r="D536" s="1320" t="s">
        <v>38</v>
      </c>
      <c r="E536" s="1271"/>
      <c r="F536" s="1271"/>
      <c r="G536" s="1272"/>
      <c r="H536" s="954"/>
      <c r="I536" s="944"/>
      <c r="J536" s="944"/>
      <c r="K536" s="945"/>
      <c r="L536" s="945"/>
      <c r="M536" s="945"/>
      <c r="N536" s="945"/>
      <c r="O536" s="945"/>
      <c r="P536" s="945"/>
      <c r="Q536" s="1244"/>
      <c r="R536" s="1244"/>
      <c r="S536" s="1244"/>
      <c r="T536" s="1244"/>
      <c r="U536" s="1244"/>
      <c r="V536" s="1244"/>
      <c r="W536" s="1244"/>
      <c r="X536" s="1244"/>
      <c r="Y536" s="1244"/>
      <c r="Z536" s="1244"/>
    </row>
    <row r="537" spans="1:26" ht="19.5" hidden="1">
      <c r="A537" s="1241"/>
      <c r="B537" s="1242"/>
      <c r="C537" s="1243"/>
      <c r="D537" s="1243" t="s">
        <v>227</v>
      </c>
      <c r="E537" s="1243"/>
      <c r="F537" s="1243"/>
      <c r="G537" s="963"/>
      <c r="H537" s="590" t="s">
        <v>35</v>
      </c>
      <c r="I537" s="966">
        <f ca="1">IFERROR(__xludf.DUMMYFUNCTION("IMPORTRANGE(""https://docs.google.com/spreadsheets/d/1QqKyyYR6Q21VydFLVH3TRQUabQu_ym0Zz7PgGX0-kHA/edit?usp=sharing"",""แผน!GU22"")"),0)</f>
        <v>0</v>
      </c>
      <c r="J537" s="966">
        <f ca="1">IF(AND(J538=I538,J539=I539,J540=I540,J541=I541),I537,0)</f>
        <v>0</v>
      </c>
      <c r="K537" s="831">
        <f t="shared" ref="K537:K543" ca="1" si="234">IF(I537&gt;0,J537*100/I537,0)</f>
        <v>0</v>
      </c>
      <c r="L537" s="831"/>
      <c r="M537" s="831"/>
      <c r="N537" s="831"/>
      <c r="O537" s="831"/>
      <c r="P537" s="831"/>
      <c r="Q537" s="1321"/>
      <c r="R537" s="1321"/>
      <c r="S537" s="1321"/>
      <c r="T537" s="1321"/>
      <c r="U537" s="1321"/>
      <c r="V537" s="1321"/>
      <c r="W537" s="1321"/>
      <c r="X537" s="1321"/>
      <c r="Y537" s="1321"/>
      <c r="Z537" s="1321"/>
    </row>
    <row r="538" spans="1:26" ht="18.75" hidden="1">
      <c r="A538" s="1241"/>
      <c r="B538" s="1242"/>
      <c r="C538" s="1243"/>
      <c r="D538" s="1243"/>
      <c r="E538" s="1243" t="s">
        <v>228</v>
      </c>
      <c r="F538" s="1243"/>
      <c r="G538" s="963"/>
      <c r="H538" s="590" t="s">
        <v>35</v>
      </c>
      <c r="I538" s="830">
        <f ca="1">IFERROR(__xludf.DUMMYFUNCTION("IMPORTRANGE(""https://docs.google.com/spreadsheets/d/1QqKyyYR6Q21VydFLVH3TRQUabQu_ym0Zz7PgGX0-kHA/edit?usp=sharing"",""แผน!GV22"")"),0)</f>
        <v>0</v>
      </c>
      <c r="J538" s="959">
        <v>0</v>
      </c>
      <c r="K538" s="831">
        <f t="shared" ca="1" si="234"/>
        <v>0</v>
      </c>
      <c r="L538" s="831"/>
      <c r="M538" s="831"/>
      <c r="N538" s="831"/>
      <c r="O538" s="831"/>
      <c r="P538" s="831"/>
      <c r="Q538" s="1321"/>
      <c r="R538" s="1321"/>
      <c r="S538" s="1321"/>
      <c r="T538" s="1321"/>
      <c r="U538" s="1321"/>
      <c r="V538" s="1321"/>
      <c r="W538" s="1321"/>
      <c r="X538" s="1321"/>
      <c r="Y538" s="1321"/>
      <c r="Z538" s="1321"/>
    </row>
    <row r="539" spans="1:26" ht="18.75" hidden="1">
      <c r="A539" s="1241"/>
      <c r="B539" s="1242"/>
      <c r="C539" s="1243"/>
      <c r="D539" s="1243"/>
      <c r="E539" s="1243" t="s">
        <v>229</v>
      </c>
      <c r="F539" s="1243"/>
      <c r="G539" s="963"/>
      <c r="H539" s="590" t="s">
        <v>35</v>
      </c>
      <c r="I539" s="830">
        <f ca="1">IFERROR(__xludf.DUMMYFUNCTION("IMPORTRANGE(""https://docs.google.com/spreadsheets/d/1QqKyyYR6Q21VydFLVH3TRQUabQu_ym0Zz7PgGX0-kHA/edit?usp=sharing"",""แผน!GW22"")"),0)</f>
        <v>0</v>
      </c>
      <c r="J539" s="959">
        <v>0</v>
      </c>
      <c r="K539" s="831">
        <f t="shared" ca="1" si="234"/>
        <v>0</v>
      </c>
      <c r="L539" s="831"/>
      <c r="M539" s="831"/>
      <c r="N539" s="831"/>
      <c r="O539" s="831"/>
      <c r="P539" s="831"/>
      <c r="Q539" s="1321"/>
      <c r="R539" s="1321"/>
      <c r="S539" s="1321"/>
      <c r="T539" s="1321"/>
      <c r="U539" s="1321"/>
      <c r="V539" s="1321"/>
      <c r="W539" s="1321"/>
      <c r="X539" s="1321"/>
      <c r="Y539" s="1321"/>
      <c r="Z539" s="1321"/>
    </row>
    <row r="540" spans="1:26" ht="18.75" hidden="1">
      <c r="A540" s="1241"/>
      <c r="B540" s="1242"/>
      <c r="C540" s="1243"/>
      <c r="D540" s="1243"/>
      <c r="E540" s="1243" t="s">
        <v>230</v>
      </c>
      <c r="F540" s="1243"/>
      <c r="G540" s="963"/>
      <c r="H540" s="590" t="s">
        <v>35</v>
      </c>
      <c r="I540" s="830">
        <f ca="1">IFERROR(__xludf.DUMMYFUNCTION("IMPORTRANGE(""https://docs.google.com/spreadsheets/d/1QqKyyYR6Q21VydFLVH3TRQUabQu_ym0Zz7PgGX0-kHA/edit?usp=sharing"",""แผน!GX22"")"),0)</f>
        <v>0</v>
      </c>
      <c r="J540" s="959">
        <v>0</v>
      </c>
      <c r="K540" s="831">
        <f t="shared" ca="1" si="234"/>
        <v>0</v>
      </c>
      <c r="L540" s="831"/>
      <c r="M540" s="831"/>
      <c r="N540" s="831"/>
      <c r="O540" s="831"/>
      <c r="P540" s="831"/>
      <c r="Q540" s="1321"/>
      <c r="R540" s="1321"/>
      <c r="S540" s="1321"/>
      <c r="T540" s="1321"/>
      <c r="U540" s="1321"/>
      <c r="V540" s="1321"/>
      <c r="W540" s="1321"/>
      <c r="X540" s="1321"/>
      <c r="Y540" s="1321"/>
      <c r="Z540" s="1321"/>
    </row>
    <row r="541" spans="1:26" ht="18.75" hidden="1">
      <c r="A541" s="1241"/>
      <c r="B541" s="1242"/>
      <c r="C541" s="1243"/>
      <c r="D541" s="1243"/>
      <c r="E541" s="1322" t="s">
        <v>231</v>
      </c>
      <c r="F541" s="1243"/>
      <c r="G541" s="963"/>
      <c r="H541" s="590" t="s">
        <v>35</v>
      </c>
      <c r="I541" s="830">
        <f ca="1">IFERROR(__xludf.DUMMYFUNCTION("IMPORTRANGE(""https://docs.google.com/spreadsheets/d/1QqKyyYR6Q21VydFLVH3TRQUabQu_ym0Zz7PgGX0-kHA/edit?usp=sharing"",""แผน!GY22"")"),0)</f>
        <v>0</v>
      </c>
      <c r="J541" s="959">
        <v>0</v>
      </c>
      <c r="K541" s="831">
        <f t="shared" ca="1" si="234"/>
        <v>0</v>
      </c>
      <c r="L541" s="831"/>
      <c r="M541" s="831"/>
      <c r="N541" s="831"/>
      <c r="O541" s="831"/>
      <c r="P541" s="831"/>
      <c r="Q541" s="1321"/>
      <c r="R541" s="1321"/>
      <c r="S541" s="1321"/>
      <c r="T541" s="1321"/>
      <c r="U541" s="1321"/>
      <c r="V541" s="1321"/>
      <c r="W541" s="1321"/>
      <c r="X541" s="1321"/>
      <c r="Y541" s="1321"/>
      <c r="Z541" s="1321"/>
    </row>
    <row r="542" spans="1:26" ht="18.75" hidden="1">
      <c r="A542" s="1241"/>
      <c r="B542" s="1242"/>
      <c r="C542" s="1243"/>
      <c r="D542" s="1243" t="s">
        <v>59</v>
      </c>
      <c r="E542" s="1243"/>
      <c r="F542" s="1243"/>
      <c r="G542" s="963"/>
      <c r="H542" s="590" t="s">
        <v>35</v>
      </c>
      <c r="I542" s="830">
        <f ca="1">IFERROR(__xludf.DUMMYFUNCTION("IMPORTRANGE(""https://docs.google.com/spreadsheets/d/1QqKyyYR6Q21VydFLVH3TRQUabQu_ym0Zz7PgGX0-kHA/edit?usp=sharing"",""แผน!GZ22"")"),0)</f>
        <v>0</v>
      </c>
      <c r="J542" s="959">
        <v>0</v>
      </c>
      <c r="K542" s="831">
        <f t="shared" ca="1" si="234"/>
        <v>0</v>
      </c>
      <c r="L542" s="831"/>
      <c r="M542" s="831"/>
      <c r="N542" s="831"/>
      <c r="O542" s="831"/>
      <c r="P542" s="831"/>
      <c r="Q542" s="1321"/>
      <c r="R542" s="1321"/>
      <c r="S542" s="1321"/>
      <c r="T542" s="1321"/>
      <c r="U542" s="1321"/>
      <c r="V542" s="1321"/>
      <c r="W542" s="1321"/>
      <c r="X542" s="1321"/>
      <c r="Y542" s="1321"/>
      <c r="Z542" s="1321"/>
    </row>
    <row r="543" spans="1:26" ht="19.5">
      <c r="A543" s="630">
        <v>6</v>
      </c>
      <c r="B543" s="1323" t="s">
        <v>232</v>
      </c>
      <c r="C543" s="1309"/>
      <c r="D543" s="1309"/>
      <c r="E543" s="1309"/>
      <c r="F543" s="1309"/>
      <c r="G543" s="1310"/>
      <c r="H543" s="652" t="s">
        <v>46</v>
      </c>
      <c r="I543" s="1324">
        <f t="shared" ref="I543:J543" ca="1" si="235">I559</f>
        <v>37505</v>
      </c>
      <c r="J543" s="1324">
        <f t="shared" si="235"/>
        <v>0</v>
      </c>
      <c r="K543" s="1325">
        <f t="shared" ca="1" si="234"/>
        <v>0</v>
      </c>
      <c r="L543" s="1312"/>
      <c r="M543" s="1312"/>
      <c r="N543" s="1312"/>
      <c r="O543" s="1312"/>
      <c r="P543" s="1312"/>
      <c r="Q543" s="1244"/>
      <c r="R543" s="1244"/>
      <c r="S543" s="1244"/>
      <c r="T543" s="1244"/>
      <c r="U543" s="1244"/>
      <c r="V543" s="1244"/>
      <c r="W543" s="1244"/>
      <c r="X543" s="1244"/>
      <c r="Y543" s="1244"/>
      <c r="Z543" s="1244"/>
    </row>
    <row r="544" spans="1:26" ht="19.5">
      <c r="A544" s="1326"/>
      <c r="B544" s="1327"/>
      <c r="C544" s="1327" t="s">
        <v>16</v>
      </c>
      <c r="D544" s="1511" t="s">
        <v>17</v>
      </c>
      <c r="E544" s="1487"/>
      <c r="F544" s="1487"/>
      <c r="G544" s="1328"/>
      <c r="H544" s="275" t="s">
        <v>12</v>
      </c>
      <c r="I544" s="937"/>
      <c r="J544" s="937"/>
      <c r="K544" s="938"/>
      <c r="L544" s="939">
        <f t="shared" ref="L544:N544" ca="1" si="236">L545+L546</f>
        <v>365169</v>
      </c>
      <c r="M544" s="939">
        <f t="shared" si="236"/>
        <v>0</v>
      </c>
      <c r="N544" s="939">
        <f t="shared" si="236"/>
        <v>169536.01</v>
      </c>
      <c r="O544" s="939">
        <f t="shared" ref="O544:O549" ca="1" si="237">IF(L544&gt;0,N544*100/L544,0)</f>
        <v>46.426725707822953</v>
      </c>
      <c r="P544" s="939">
        <f t="shared" ref="P544:P549" si="238">IF(M544&gt;0,N544*100/M544,0)</f>
        <v>0</v>
      </c>
      <c r="Q544" s="1244"/>
      <c r="R544" s="1244"/>
      <c r="S544" s="1244"/>
      <c r="T544" s="1244"/>
      <c r="U544" s="1244"/>
      <c r="V544" s="1244"/>
      <c r="W544" s="1244"/>
      <c r="X544" s="1244"/>
      <c r="Y544" s="1244"/>
      <c r="Z544" s="1244"/>
    </row>
    <row r="545" spans="1:26" ht="18.75" hidden="1">
      <c r="A545" s="1260"/>
      <c r="B545" s="1261"/>
      <c r="C545" s="1261"/>
      <c r="D545" s="1261"/>
      <c r="E545" s="1261" t="s">
        <v>184</v>
      </c>
      <c r="F545" s="1261"/>
      <c r="G545" s="1263"/>
      <c r="H545" s="165" t="s">
        <v>12</v>
      </c>
      <c r="I545" s="836"/>
      <c r="J545" s="836"/>
      <c r="K545" s="837"/>
      <c r="L545" s="837">
        <f t="shared" ref="L545:L546" si="239">L548+L556</f>
        <v>0</v>
      </c>
      <c r="M545" s="837">
        <f t="shared" ref="M545:N546" si="240">M548+M555</f>
        <v>0</v>
      </c>
      <c r="N545" s="837">
        <f t="shared" si="240"/>
        <v>0</v>
      </c>
      <c r="O545" s="837">
        <f t="shared" si="237"/>
        <v>0</v>
      </c>
      <c r="P545" s="837">
        <f t="shared" si="238"/>
        <v>0</v>
      </c>
      <c r="Q545" s="1264"/>
      <c r="R545" s="1264"/>
      <c r="S545" s="1264"/>
      <c r="T545" s="1264"/>
      <c r="U545" s="1264"/>
      <c r="V545" s="1264"/>
      <c r="W545" s="1264"/>
      <c r="X545" s="1264"/>
      <c r="Y545" s="1264"/>
      <c r="Z545" s="1264"/>
    </row>
    <row r="546" spans="1:26" ht="18.75" hidden="1">
      <c r="A546" s="1260"/>
      <c r="B546" s="1265"/>
      <c r="C546" s="1261"/>
      <c r="D546" s="1261"/>
      <c r="E546" s="1261" t="s">
        <v>185</v>
      </c>
      <c r="F546" s="1261"/>
      <c r="G546" s="1263"/>
      <c r="H546" s="165" t="s">
        <v>12</v>
      </c>
      <c r="I546" s="836"/>
      <c r="J546" s="836"/>
      <c r="K546" s="837"/>
      <c r="L546" s="837">
        <f t="shared" ca="1" si="239"/>
        <v>365169</v>
      </c>
      <c r="M546" s="837">
        <f t="shared" si="240"/>
        <v>0</v>
      </c>
      <c r="N546" s="837">
        <f t="shared" si="240"/>
        <v>169536.01</v>
      </c>
      <c r="O546" s="837">
        <f t="shared" ca="1" si="237"/>
        <v>46.426725707822953</v>
      </c>
      <c r="P546" s="837">
        <f t="shared" si="238"/>
        <v>0</v>
      </c>
      <c r="Q546" s="1264"/>
      <c r="R546" s="1264"/>
      <c r="S546" s="1264"/>
      <c r="T546" s="1264"/>
      <c r="U546" s="1264"/>
      <c r="V546" s="1264"/>
      <c r="W546" s="1264"/>
      <c r="X546" s="1264"/>
      <c r="Y546" s="1264"/>
      <c r="Z546" s="1264"/>
    </row>
    <row r="547" spans="1:26" ht="18.75">
      <c r="A547" s="1259"/>
      <c r="B547" s="1242"/>
      <c r="C547" s="1243"/>
      <c r="D547" s="1266" t="s">
        <v>20</v>
      </c>
      <c r="E547" s="1243"/>
      <c r="F547" s="1243"/>
      <c r="G547" s="963"/>
      <c r="H547" s="778" t="s">
        <v>12</v>
      </c>
      <c r="I547" s="944"/>
      <c r="J547" s="944"/>
      <c r="K547" s="945"/>
      <c r="L547" s="831">
        <f t="shared" ref="L547:N547" ca="1" si="241">L548+L549</f>
        <v>365169</v>
      </c>
      <c r="M547" s="831">
        <f t="shared" si="241"/>
        <v>0</v>
      </c>
      <c r="N547" s="831">
        <f t="shared" si="241"/>
        <v>169536.01</v>
      </c>
      <c r="O547" s="831">
        <f t="shared" ca="1" si="237"/>
        <v>46.426725707822953</v>
      </c>
      <c r="P547" s="831">
        <f t="shared" si="238"/>
        <v>0</v>
      </c>
      <c r="Q547" s="1244"/>
      <c r="R547" s="1244"/>
      <c r="S547" s="1244"/>
      <c r="T547" s="1244"/>
      <c r="U547" s="1244"/>
      <c r="V547" s="1244"/>
      <c r="W547" s="1244"/>
      <c r="X547" s="1244"/>
      <c r="Y547" s="1244"/>
      <c r="Z547" s="1244"/>
    </row>
    <row r="548" spans="1:26" ht="18.75" hidden="1">
      <c r="A548" s="1260"/>
      <c r="B548" s="1265"/>
      <c r="C548" s="1261"/>
      <c r="D548" s="1262"/>
      <c r="E548" s="1261" t="s">
        <v>184</v>
      </c>
      <c r="F548" s="1261"/>
      <c r="G548" s="1263"/>
      <c r="H548" s="165" t="s">
        <v>12</v>
      </c>
      <c r="I548" s="836"/>
      <c r="J548" s="836"/>
      <c r="K548" s="837"/>
      <c r="L548" s="837">
        <v>0</v>
      </c>
      <c r="M548" s="837">
        <v>0</v>
      </c>
      <c r="N548" s="837">
        <v>0</v>
      </c>
      <c r="O548" s="837">
        <f t="shared" si="237"/>
        <v>0</v>
      </c>
      <c r="P548" s="837">
        <f t="shared" si="238"/>
        <v>0</v>
      </c>
      <c r="Q548" s="1264"/>
      <c r="R548" s="1264"/>
      <c r="S548" s="1264"/>
      <c r="T548" s="1264"/>
      <c r="U548" s="1264"/>
      <c r="V548" s="1264"/>
      <c r="W548" s="1264"/>
      <c r="X548" s="1264"/>
      <c r="Y548" s="1264"/>
      <c r="Z548" s="1264"/>
    </row>
    <row r="549" spans="1:26" ht="18.75" hidden="1">
      <c r="A549" s="1260"/>
      <c r="B549" s="1265"/>
      <c r="C549" s="1261"/>
      <c r="D549" s="1262"/>
      <c r="E549" s="1261" t="s">
        <v>185</v>
      </c>
      <c r="F549" s="1261"/>
      <c r="G549" s="1263"/>
      <c r="H549" s="165" t="s">
        <v>12</v>
      </c>
      <c r="I549" s="836"/>
      <c r="J549" s="836"/>
      <c r="K549" s="837"/>
      <c r="L549" s="837">
        <f ca="1">IFERROR(__xludf.DUMMYFUNCTION("IMPORTRANGE(""https://docs.google.com/spreadsheets/d/1QqKyyYR6Q21VydFLVH3TRQUabQu_ym0Zz7PgGX0-kHA/edit?usp=sharing"",""แผน!HB22"")"),365169)</f>
        <v>365169</v>
      </c>
      <c r="M549" s="837">
        <v>0</v>
      </c>
      <c r="N549" s="837">
        <f>N550+N551+N552+N553+N554</f>
        <v>169536.01</v>
      </c>
      <c r="O549" s="837">
        <f t="shared" ca="1" si="237"/>
        <v>46.426725707822953</v>
      </c>
      <c r="P549" s="837">
        <f t="shared" si="238"/>
        <v>0</v>
      </c>
      <c r="Q549" s="1264"/>
      <c r="R549" s="1264"/>
      <c r="S549" s="1264"/>
      <c r="T549" s="1264"/>
      <c r="U549" s="1264"/>
      <c r="V549" s="1264"/>
      <c r="W549" s="1264"/>
      <c r="X549" s="1264"/>
      <c r="Y549" s="1264"/>
      <c r="Z549" s="1264"/>
    </row>
    <row r="550" spans="1:26" ht="18.75">
      <c r="A550" s="1241"/>
      <c r="B550" s="1242"/>
      <c r="C550" s="1243"/>
      <c r="D550" s="1243"/>
      <c r="E550" s="1243"/>
      <c r="F550" s="1243" t="s">
        <v>186</v>
      </c>
      <c r="G550" s="963"/>
      <c r="H550" s="778" t="s">
        <v>12</v>
      </c>
      <c r="I550" s="830"/>
      <c r="J550" s="830"/>
      <c r="K550" s="831"/>
      <c r="L550" s="831"/>
      <c r="M550" s="831"/>
      <c r="N550" s="1031">
        <v>0</v>
      </c>
      <c r="O550" s="831"/>
      <c r="P550" s="831"/>
      <c r="Q550" s="1244"/>
      <c r="R550" s="1244"/>
      <c r="S550" s="1244"/>
      <c r="T550" s="1244"/>
      <c r="U550" s="1244"/>
      <c r="V550" s="1244"/>
      <c r="W550" s="1244"/>
      <c r="X550" s="1244"/>
      <c r="Y550" s="1244"/>
      <c r="Z550" s="1244"/>
    </row>
    <row r="551" spans="1:26" ht="18.75">
      <c r="A551" s="1241"/>
      <c r="B551" s="1242"/>
      <c r="C551" s="1242"/>
      <c r="D551" s="1242"/>
      <c r="E551" s="1243"/>
      <c r="F551" s="1243" t="s">
        <v>187</v>
      </c>
      <c r="G551" s="963"/>
      <c r="H551" s="778" t="s">
        <v>12</v>
      </c>
      <c r="I551" s="830"/>
      <c r="J551" s="830"/>
      <c r="K551" s="831"/>
      <c r="L551" s="831"/>
      <c r="M551" s="831"/>
      <c r="N551" s="1031">
        <v>0</v>
      </c>
      <c r="O551" s="831"/>
      <c r="P551" s="831"/>
      <c r="Q551" s="1244"/>
      <c r="R551" s="1244"/>
      <c r="S551" s="1244"/>
      <c r="T551" s="1244"/>
      <c r="U551" s="1244"/>
      <c r="V551" s="1244"/>
      <c r="W551" s="1244"/>
      <c r="X551" s="1244"/>
      <c r="Y551" s="1244"/>
      <c r="Z551" s="1244"/>
    </row>
    <row r="552" spans="1:26" ht="18.75">
      <c r="A552" s="1241"/>
      <c r="B552" s="1242"/>
      <c r="C552" s="1243"/>
      <c r="D552" s="1243"/>
      <c r="E552" s="1243"/>
      <c r="F552" s="1243" t="s">
        <v>188</v>
      </c>
      <c r="G552" s="963"/>
      <c r="H552" s="778" t="s">
        <v>12</v>
      </c>
      <c r="I552" s="830"/>
      <c r="J552" s="830"/>
      <c r="K552" s="831"/>
      <c r="L552" s="831"/>
      <c r="M552" s="831"/>
      <c r="N552" s="1031">
        <v>51566.67</v>
      </c>
      <c r="O552" s="831"/>
      <c r="P552" s="831"/>
      <c r="Q552" s="1244"/>
      <c r="R552" s="1244"/>
      <c r="S552" s="1244"/>
      <c r="T552" s="1244"/>
      <c r="U552" s="1244"/>
      <c r="V552" s="1244"/>
      <c r="W552" s="1244"/>
      <c r="X552" s="1244"/>
      <c r="Y552" s="1244"/>
      <c r="Z552" s="1244"/>
    </row>
    <row r="553" spans="1:26" ht="18.75">
      <c r="A553" s="1241"/>
      <c r="B553" s="1242"/>
      <c r="C553" s="1242"/>
      <c r="D553" s="1242"/>
      <c r="E553" s="1243"/>
      <c r="F553" s="1243" t="s">
        <v>189</v>
      </c>
      <c r="G553" s="963"/>
      <c r="H553" s="778" t="s">
        <v>12</v>
      </c>
      <c r="I553" s="830"/>
      <c r="J553" s="830"/>
      <c r="K553" s="831"/>
      <c r="L553" s="831"/>
      <c r="M553" s="831"/>
      <c r="N553" s="1031">
        <v>117969.34</v>
      </c>
      <c r="O553" s="831"/>
      <c r="P553" s="831"/>
      <c r="Q553" s="1244"/>
      <c r="R553" s="1244"/>
      <c r="S553" s="1244"/>
      <c r="T553" s="1244"/>
      <c r="U553" s="1244"/>
      <c r="V553" s="1244"/>
      <c r="W553" s="1244"/>
      <c r="X553" s="1244"/>
      <c r="Y553" s="1244"/>
      <c r="Z553" s="1244"/>
    </row>
    <row r="554" spans="1:26" ht="18.75">
      <c r="A554" s="1241"/>
      <c r="B554" s="1242"/>
      <c r="C554" s="1242"/>
      <c r="D554" s="1242"/>
      <c r="E554" s="1243"/>
      <c r="F554" s="1243" t="s">
        <v>233</v>
      </c>
      <c r="G554" s="963"/>
      <c r="H554" s="778" t="s">
        <v>12</v>
      </c>
      <c r="I554" s="830"/>
      <c r="J554" s="830"/>
      <c r="K554" s="831"/>
      <c r="L554" s="831"/>
      <c r="M554" s="831"/>
      <c r="N554" s="1031">
        <v>0</v>
      </c>
      <c r="O554" s="831"/>
      <c r="P554" s="831"/>
      <c r="Q554" s="1244"/>
      <c r="R554" s="1244"/>
      <c r="S554" s="1244"/>
      <c r="T554" s="1244"/>
      <c r="U554" s="1244"/>
      <c r="V554" s="1244"/>
      <c r="W554" s="1244"/>
      <c r="X554" s="1244"/>
      <c r="Y554" s="1244"/>
      <c r="Z554" s="1244"/>
    </row>
    <row r="555" spans="1:26" ht="18.75">
      <c r="A555" s="1259"/>
      <c r="B555" s="1242"/>
      <c r="C555" s="1242"/>
      <c r="D555" s="1266" t="s">
        <v>21</v>
      </c>
      <c r="E555" s="1243"/>
      <c r="F555" s="1243"/>
      <c r="G555" s="963"/>
      <c r="H555" s="168" t="s">
        <v>12</v>
      </c>
      <c r="I555" s="944"/>
      <c r="J555" s="944"/>
      <c r="K555" s="945"/>
      <c r="L555" s="831">
        <f t="shared" ref="L555:N555" ca="1" si="242">L556+L557</f>
        <v>0</v>
      </c>
      <c r="M555" s="831">
        <f t="shared" si="242"/>
        <v>0</v>
      </c>
      <c r="N555" s="831">
        <f t="shared" si="242"/>
        <v>0</v>
      </c>
      <c r="O555" s="831">
        <f t="shared" ref="O555:O557" ca="1" si="243">IF(L555&gt;0,N555*100/L555,0)</f>
        <v>0</v>
      </c>
      <c r="P555" s="831">
        <f t="shared" ref="P555:P557" si="244">IF(M555&gt;0,N555*100/M555,0)</f>
        <v>0</v>
      </c>
      <c r="Q555" s="1244"/>
      <c r="R555" s="1244"/>
      <c r="S555" s="1244"/>
      <c r="T555" s="1244"/>
      <c r="U555" s="1244"/>
      <c r="V555" s="1244"/>
      <c r="W555" s="1244"/>
      <c r="X555" s="1244"/>
      <c r="Y555" s="1244"/>
      <c r="Z555" s="1244"/>
    </row>
    <row r="556" spans="1:26" ht="18.75" hidden="1">
      <c r="A556" s="1260"/>
      <c r="B556" s="1265"/>
      <c r="C556" s="1265"/>
      <c r="D556" s="1261"/>
      <c r="E556" s="1261" t="s">
        <v>18</v>
      </c>
      <c r="F556" s="1261"/>
      <c r="G556" s="1263"/>
      <c r="H556" s="165" t="s">
        <v>12</v>
      </c>
      <c r="I556" s="947"/>
      <c r="J556" s="947"/>
      <c r="K556" s="948"/>
      <c r="L556" s="837">
        <v>0</v>
      </c>
      <c r="M556" s="837">
        <v>0</v>
      </c>
      <c r="N556" s="837">
        <v>0</v>
      </c>
      <c r="O556" s="837">
        <f t="shared" si="243"/>
        <v>0</v>
      </c>
      <c r="P556" s="837">
        <f t="shared" si="244"/>
        <v>0</v>
      </c>
      <c r="Q556" s="1264"/>
      <c r="R556" s="1264"/>
      <c r="S556" s="1264"/>
      <c r="T556" s="1264"/>
      <c r="U556" s="1264"/>
      <c r="V556" s="1264"/>
      <c r="W556" s="1264"/>
      <c r="X556" s="1264"/>
      <c r="Y556" s="1264"/>
      <c r="Z556" s="1264"/>
    </row>
    <row r="557" spans="1:26" ht="18.75" hidden="1">
      <c r="A557" s="1260"/>
      <c r="B557" s="1265"/>
      <c r="C557" s="1265"/>
      <c r="D557" s="1261"/>
      <c r="E557" s="1261" t="s">
        <v>19</v>
      </c>
      <c r="F557" s="1261"/>
      <c r="G557" s="1263"/>
      <c r="H557" s="169" t="s">
        <v>12</v>
      </c>
      <c r="I557" s="947"/>
      <c r="J557" s="947"/>
      <c r="K557" s="948"/>
      <c r="L557" s="837">
        <f ca="1">IFERROR(__xludf.DUMMYFUNCTION("IMPORTRANGE(""https://docs.google.com/spreadsheets/d/1QqKyyYR6Q21VydFLVH3TRQUabQu_ym0Zz7PgGX0-kHA/edit?usp=sharing"",""แผน!HF22"")"),0)</f>
        <v>0</v>
      </c>
      <c r="M557" s="837">
        <v>0</v>
      </c>
      <c r="N557" s="837">
        <v>0</v>
      </c>
      <c r="O557" s="837">
        <f t="shared" ca="1" si="243"/>
        <v>0</v>
      </c>
      <c r="P557" s="837">
        <f t="shared" si="244"/>
        <v>0</v>
      </c>
      <c r="Q557" s="1264"/>
      <c r="R557" s="1264"/>
      <c r="S557" s="1264"/>
      <c r="T557" s="1264"/>
      <c r="U557" s="1264"/>
      <c r="V557" s="1264"/>
      <c r="W557" s="1264"/>
      <c r="X557" s="1264"/>
      <c r="Y557" s="1264"/>
      <c r="Z557" s="1264"/>
    </row>
    <row r="558" spans="1:26" ht="19.5">
      <c r="A558" s="1267"/>
      <c r="B558" s="1268"/>
      <c r="C558" s="1242" t="s">
        <v>16</v>
      </c>
      <c r="D558" s="1320" t="s">
        <v>38</v>
      </c>
      <c r="E558" s="1271"/>
      <c r="F558" s="1271"/>
      <c r="G558" s="1272"/>
      <c r="H558" s="954"/>
      <c r="I558" s="944"/>
      <c r="J558" s="944"/>
      <c r="K558" s="945"/>
      <c r="L558" s="945"/>
      <c r="M558" s="945"/>
      <c r="N558" s="945"/>
      <c r="O558" s="945"/>
      <c r="P558" s="945"/>
      <c r="Q558" s="1244"/>
      <c r="R558" s="1244"/>
      <c r="S558" s="1244"/>
      <c r="T558" s="1244"/>
      <c r="U558" s="1244"/>
      <c r="V558" s="1244"/>
      <c r="W558" s="1244"/>
      <c r="X558" s="1244"/>
      <c r="Y558" s="1244"/>
      <c r="Z558" s="1244"/>
    </row>
    <row r="559" spans="1:26" ht="19.5">
      <c r="A559" s="1329"/>
      <c r="B559" s="1330" t="s">
        <v>234</v>
      </c>
      <c r="C559" s="1331"/>
      <c r="D559" s="1331"/>
      <c r="E559" s="1315"/>
      <c r="F559" s="1315"/>
      <c r="G559" s="1316"/>
      <c r="H559" s="661" t="s">
        <v>46</v>
      </c>
      <c r="I559" s="1317">
        <f t="shared" ref="I559:J559" ca="1" si="245">I576</f>
        <v>37505</v>
      </c>
      <c r="J559" s="1317">
        <f t="shared" si="245"/>
        <v>0</v>
      </c>
      <c r="K559" s="1318">
        <f t="shared" ref="K559:K561" ca="1" si="246">IF(I559&gt;0,J559*100/I559,0)</f>
        <v>0</v>
      </c>
      <c r="L559" s="1319"/>
      <c r="M559" s="1319"/>
      <c r="N559" s="1319"/>
      <c r="O559" s="1319"/>
      <c r="P559" s="1319"/>
      <c r="Q559" s="1244"/>
      <c r="R559" s="1244"/>
      <c r="S559" s="1244"/>
      <c r="T559" s="1244"/>
      <c r="U559" s="1244"/>
      <c r="V559" s="1244"/>
      <c r="W559" s="1244"/>
      <c r="X559" s="1244"/>
      <c r="Y559" s="1244"/>
      <c r="Z559" s="1244"/>
    </row>
    <row r="560" spans="1:26" ht="19.5">
      <c r="A560" s="1267"/>
      <c r="B560" s="1268"/>
      <c r="C560" s="1277" t="s">
        <v>235</v>
      </c>
      <c r="D560" s="1268"/>
      <c r="E560" s="961"/>
      <c r="F560" s="961"/>
      <c r="G560" s="954"/>
      <c r="H560" s="733" t="s">
        <v>46</v>
      </c>
      <c r="I560" s="965">
        <f ca="1">IFERROR(__xludf.DUMMYFUNCTION("IMPORTRANGE(""https://docs.google.com/spreadsheets/d/1QqKyyYR6Q21VydFLVH3TRQUabQu_ym0Zz7PgGX0-kHA/edit?usp=sharing"",""แผน!HH22"")"),37505)</f>
        <v>37505</v>
      </c>
      <c r="J560" s="965">
        <f t="shared" ref="J560:J561" si="247">J562+J564+J566</f>
        <v>36267.15</v>
      </c>
      <c r="K560" s="1109">
        <f t="shared" ca="1" si="246"/>
        <v>96.69950673243568</v>
      </c>
      <c r="L560" s="945"/>
      <c r="M560" s="945"/>
      <c r="N560" s="945"/>
      <c r="O560" s="945"/>
      <c r="P560" s="945"/>
      <c r="Q560" s="1244"/>
      <c r="R560" s="1244"/>
      <c r="S560" s="1244"/>
      <c r="T560" s="1244"/>
      <c r="U560" s="1244"/>
      <c r="V560" s="1244"/>
      <c r="W560" s="1244"/>
      <c r="X560" s="1244"/>
      <c r="Y560" s="1244"/>
      <c r="Z560" s="1244"/>
    </row>
    <row r="561" spans="1:26" ht="19.5">
      <c r="A561" s="1267"/>
      <c r="B561" s="1268"/>
      <c r="C561" s="1268"/>
      <c r="D561" s="961"/>
      <c r="E561" s="961"/>
      <c r="F561" s="961"/>
      <c r="G561" s="954"/>
      <c r="H561" s="733" t="s">
        <v>34</v>
      </c>
      <c r="I561" s="965">
        <f ca="1">IFERROR(__xludf.DUMMYFUNCTION("IMPORTRANGE(""https://docs.google.com/spreadsheets/d/1QqKyyYR6Q21VydFLVH3TRQUabQu_ym0Zz7PgGX0-kHA/edit?usp=sharing"",""แผน!HG22"")"),4678)</f>
        <v>4678</v>
      </c>
      <c r="J561" s="965">
        <f t="shared" si="247"/>
        <v>4514</v>
      </c>
      <c r="K561" s="1109">
        <f t="shared" ca="1" si="246"/>
        <v>96.494228302693458</v>
      </c>
      <c r="L561" s="945"/>
      <c r="M561" s="945"/>
      <c r="N561" s="945"/>
      <c r="O561" s="945"/>
      <c r="P561" s="945"/>
      <c r="Q561" s="1244"/>
      <c r="R561" s="1244"/>
      <c r="S561" s="1244"/>
      <c r="T561" s="1244"/>
      <c r="U561" s="1244"/>
      <c r="V561" s="1244"/>
      <c r="W561" s="1244"/>
      <c r="X561" s="1244"/>
      <c r="Y561" s="1244"/>
      <c r="Z561" s="1244"/>
    </row>
    <row r="562" spans="1:26" ht="18.75">
      <c r="A562" s="1267"/>
      <c r="B562" s="1268"/>
      <c r="C562" s="1268"/>
      <c r="D562" s="961" t="s">
        <v>236</v>
      </c>
      <c r="E562" s="961"/>
      <c r="F562" s="961"/>
      <c r="G562" s="954"/>
      <c r="H562" s="730" t="s">
        <v>46</v>
      </c>
      <c r="I562" s="944"/>
      <c r="J562" s="959">
        <v>33040.660000000003</v>
      </c>
      <c r="K562" s="945"/>
      <c r="L562" s="945"/>
      <c r="M562" s="945"/>
      <c r="N562" s="945"/>
      <c r="O562" s="945"/>
      <c r="P562" s="945"/>
      <c r="Q562" s="1244"/>
      <c r="R562" s="1244"/>
      <c r="S562" s="1244"/>
      <c r="T562" s="1244"/>
      <c r="U562" s="1244"/>
      <c r="V562" s="1244"/>
      <c r="W562" s="1244"/>
      <c r="X562" s="1244"/>
      <c r="Y562" s="1244"/>
      <c r="Z562" s="1244"/>
    </row>
    <row r="563" spans="1:26" ht="18.75">
      <c r="A563" s="1267"/>
      <c r="B563" s="1268"/>
      <c r="C563" s="1268"/>
      <c r="D563" s="1268"/>
      <c r="E563" s="961"/>
      <c r="F563" s="961"/>
      <c r="G563" s="954"/>
      <c r="H563" s="730" t="s">
        <v>34</v>
      </c>
      <c r="I563" s="944"/>
      <c r="J563" s="959">
        <v>4253</v>
      </c>
      <c r="K563" s="945"/>
      <c r="L563" s="945"/>
      <c r="M563" s="945"/>
      <c r="N563" s="945"/>
      <c r="O563" s="945"/>
      <c r="P563" s="945"/>
      <c r="Q563" s="1244"/>
      <c r="R563" s="1244"/>
      <c r="S563" s="1244"/>
      <c r="T563" s="1244"/>
      <c r="U563" s="1244"/>
      <c r="V563" s="1244"/>
      <c r="W563" s="1244"/>
      <c r="X563" s="1244"/>
      <c r="Y563" s="1244"/>
      <c r="Z563" s="1244"/>
    </row>
    <row r="564" spans="1:26" ht="18.75">
      <c r="A564" s="1267"/>
      <c r="B564" s="1268"/>
      <c r="C564" s="1268"/>
      <c r="D564" s="961" t="s">
        <v>237</v>
      </c>
      <c r="E564" s="961"/>
      <c r="F564" s="961"/>
      <c r="G564" s="954"/>
      <c r="H564" s="730" t="s">
        <v>46</v>
      </c>
      <c r="I564" s="944"/>
      <c r="J564" s="959">
        <v>2405.06</v>
      </c>
      <c r="K564" s="945"/>
      <c r="L564" s="945"/>
      <c r="M564" s="945"/>
      <c r="N564" s="945"/>
      <c r="O564" s="945"/>
      <c r="P564" s="945"/>
      <c r="Q564" s="1244"/>
      <c r="R564" s="1244"/>
      <c r="S564" s="1244"/>
      <c r="T564" s="1244"/>
      <c r="U564" s="1244"/>
      <c r="V564" s="1244"/>
      <c r="W564" s="1244"/>
      <c r="X564" s="1244"/>
      <c r="Y564" s="1244"/>
      <c r="Z564" s="1244"/>
    </row>
    <row r="565" spans="1:26" ht="18.75">
      <c r="A565" s="1267"/>
      <c r="B565" s="1268"/>
      <c r="C565" s="1268"/>
      <c r="D565" s="961"/>
      <c r="E565" s="961"/>
      <c r="F565" s="961"/>
      <c r="G565" s="954"/>
      <c r="H565" s="730" t="s">
        <v>34</v>
      </c>
      <c r="I565" s="944"/>
      <c r="J565" s="959">
        <v>175</v>
      </c>
      <c r="K565" s="945"/>
      <c r="L565" s="945"/>
      <c r="M565" s="945"/>
      <c r="N565" s="945"/>
      <c r="O565" s="945"/>
      <c r="P565" s="945"/>
      <c r="Q565" s="1244"/>
      <c r="R565" s="1244"/>
      <c r="S565" s="1244"/>
      <c r="T565" s="1244"/>
      <c r="U565" s="1244"/>
      <c r="V565" s="1244"/>
      <c r="W565" s="1244"/>
      <c r="X565" s="1244"/>
      <c r="Y565" s="1244"/>
      <c r="Z565" s="1244"/>
    </row>
    <row r="566" spans="1:26" ht="18.75">
      <c r="A566" s="1267"/>
      <c r="B566" s="1268"/>
      <c r="C566" s="1268"/>
      <c r="D566" s="961" t="s">
        <v>238</v>
      </c>
      <c r="E566" s="961"/>
      <c r="F566" s="961"/>
      <c r="G566" s="954"/>
      <c r="H566" s="730" t="s">
        <v>46</v>
      </c>
      <c r="I566" s="944"/>
      <c r="J566" s="959">
        <v>821.43</v>
      </c>
      <c r="K566" s="945"/>
      <c r="L566" s="945"/>
      <c r="M566" s="945"/>
      <c r="N566" s="945"/>
      <c r="O566" s="945"/>
      <c r="P566" s="945"/>
      <c r="Q566" s="1244"/>
      <c r="R566" s="1244"/>
      <c r="S566" s="1244"/>
      <c r="T566" s="1244"/>
      <c r="U566" s="1244"/>
      <c r="V566" s="1244"/>
      <c r="W566" s="1244"/>
      <c r="X566" s="1244"/>
      <c r="Y566" s="1244"/>
      <c r="Z566" s="1244"/>
    </row>
    <row r="567" spans="1:26" ht="18.75">
      <c r="A567" s="1267"/>
      <c r="B567" s="1268"/>
      <c r="C567" s="1268"/>
      <c r="D567" s="961"/>
      <c r="E567" s="961"/>
      <c r="F567" s="961"/>
      <c r="G567" s="954"/>
      <c r="H567" s="730" t="s">
        <v>34</v>
      </c>
      <c r="I567" s="944"/>
      <c r="J567" s="959">
        <v>86</v>
      </c>
      <c r="K567" s="945"/>
      <c r="L567" s="945"/>
      <c r="M567" s="945"/>
      <c r="N567" s="945"/>
      <c r="O567" s="945"/>
      <c r="P567" s="945"/>
      <c r="Q567" s="1244"/>
      <c r="R567" s="1244"/>
      <c r="S567" s="1244"/>
      <c r="T567" s="1244"/>
      <c r="U567" s="1244"/>
      <c r="V567" s="1244"/>
      <c r="W567" s="1244"/>
      <c r="X567" s="1244"/>
      <c r="Y567" s="1244"/>
      <c r="Z567" s="1244"/>
    </row>
    <row r="568" spans="1:26" ht="19.5">
      <c r="A568" s="1267"/>
      <c r="B568" s="1268"/>
      <c r="C568" s="1277" t="s">
        <v>239</v>
      </c>
      <c r="D568" s="961"/>
      <c r="E568" s="961"/>
      <c r="F568" s="961"/>
      <c r="G568" s="954"/>
      <c r="H568" s="733" t="s">
        <v>46</v>
      </c>
      <c r="I568" s="965">
        <f ca="1">IFERROR(__xludf.DUMMYFUNCTION("IMPORTRANGE(""https://docs.google.com/spreadsheets/d/1QqKyyYR6Q21VydFLVH3TRQUabQu_ym0Zz7PgGX0-kHA/edit?usp=sharing"",""แผน!HH22"")"),37505)</f>
        <v>37505</v>
      </c>
      <c r="J568" s="966">
        <f t="shared" ref="J568:J569" si="248">J570+J572+J574</f>
        <v>0</v>
      </c>
      <c r="K568" s="1109">
        <f t="shared" ref="K568:K569" ca="1" si="249">IF(I568&gt;0,J568*100/I568,0)</f>
        <v>0</v>
      </c>
      <c r="L568" s="945"/>
      <c r="M568" s="945"/>
      <c r="N568" s="945"/>
      <c r="O568" s="945"/>
      <c r="P568" s="945"/>
      <c r="Q568" s="1244"/>
      <c r="R568" s="1244"/>
      <c r="S568" s="1244"/>
      <c r="T568" s="1244"/>
      <c r="U568" s="1244"/>
      <c r="V568" s="1244"/>
      <c r="W568" s="1244"/>
      <c r="X568" s="1244"/>
      <c r="Y568" s="1244"/>
      <c r="Z568" s="1244"/>
    </row>
    <row r="569" spans="1:26" ht="19.5">
      <c r="A569" s="1267"/>
      <c r="B569" s="1268"/>
      <c r="C569" s="1268"/>
      <c r="D569" s="1268"/>
      <c r="E569" s="961"/>
      <c r="F569" s="961"/>
      <c r="G569" s="954"/>
      <c r="H569" s="733" t="s">
        <v>34</v>
      </c>
      <c r="I569" s="965">
        <f ca="1">IFERROR(__xludf.DUMMYFUNCTION("IMPORTRANGE(""https://docs.google.com/spreadsheets/d/1QqKyyYR6Q21VydFLVH3TRQUabQu_ym0Zz7PgGX0-kHA/edit?usp=sharing"",""แผน!HG22"")"),4678)</f>
        <v>4678</v>
      </c>
      <c r="J569" s="966">
        <f t="shared" si="248"/>
        <v>0</v>
      </c>
      <c r="K569" s="1109">
        <f t="shared" ca="1" si="249"/>
        <v>0</v>
      </c>
      <c r="L569" s="945"/>
      <c r="M569" s="945"/>
      <c r="N569" s="945"/>
      <c r="O569" s="945"/>
      <c r="P569" s="945"/>
      <c r="Q569" s="1244"/>
      <c r="R569" s="1244"/>
      <c r="S569" s="1244"/>
      <c r="T569" s="1244"/>
      <c r="U569" s="1244"/>
      <c r="V569" s="1244"/>
      <c r="W569" s="1244"/>
      <c r="X569" s="1244"/>
      <c r="Y569" s="1244"/>
      <c r="Z569" s="1244"/>
    </row>
    <row r="570" spans="1:26" ht="18.75">
      <c r="A570" s="1267"/>
      <c r="B570" s="1268"/>
      <c r="C570" s="1268"/>
      <c r="D570" s="961" t="s">
        <v>240</v>
      </c>
      <c r="E570" s="1268"/>
      <c r="F570" s="961"/>
      <c r="G570" s="954"/>
      <c r="H570" s="730" t="s">
        <v>46</v>
      </c>
      <c r="I570" s="944"/>
      <c r="J570" s="959">
        <v>0</v>
      </c>
      <c r="K570" s="945"/>
      <c r="L570" s="945"/>
      <c r="M570" s="945"/>
      <c r="N570" s="945"/>
      <c r="O570" s="945"/>
      <c r="P570" s="945"/>
      <c r="Q570" s="1244"/>
      <c r="R570" s="1244"/>
      <c r="S570" s="1244"/>
      <c r="T570" s="1244"/>
      <c r="U570" s="1244"/>
      <c r="V570" s="1244"/>
      <c r="W570" s="1244"/>
      <c r="X570" s="1244"/>
      <c r="Y570" s="1244"/>
      <c r="Z570" s="1244"/>
    </row>
    <row r="571" spans="1:26" ht="18.75">
      <c r="A571" s="1267"/>
      <c r="B571" s="1268"/>
      <c r="C571" s="1268"/>
      <c r="D571" s="1268"/>
      <c r="E571" s="961"/>
      <c r="F571" s="961"/>
      <c r="G571" s="954"/>
      <c r="H571" s="730" t="s">
        <v>34</v>
      </c>
      <c r="I571" s="944"/>
      <c r="J571" s="959">
        <v>0</v>
      </c>
      <c r="K571" s="945"/>
      <c r="L571" s="945"/>
      <c r="M571" s="945"/>
      <c r="N571" s="945"/>
      <c r="O571" s="945"/>
      <c r="P571" s="945"/>
      <c r="Q571" s="1244"/>
      <c r="R571" s="1244"/>
      <c r="S571" s="1244"/>
      <c r="T571" s="1244"/>
      <c r="U571" s="1244"/>
      <c r="V571" s="1244"/>
      <c r="W571" s="1244"/>
      <c r="X571" s="1244"/>
      <c r="Y571" s="1244"/>
      <c r="Z571" s="1244"/>
    </row>
    <row r="572" spans="1:26" ht="18.75">
      <c r="A572" s="1267"/>
      <c r="B572" s="1268"/>
      <c r="C572" s="1268"/>
      <c r="D572" s="961" t="s">
        <v>241</v>
      </c>
      <c r="E572" s="961"/>
      <c r="F572" s="961"/>
      <c r="G572" s="954"/>
      <c r="H572" s="730" t="s">
        <v>46</v>
      </c>
      <c r="I572" s="944"/>
      <c r="J572" s="959">
        <v>0</v>
      </c>
      <c r="K572" s="945"/>
      <c r="L572" s="945"/>
      <c r="M572" s="945"/>
      <c r="N572" s="945"/>
      <c r="O572" s="945"/>
      <c r="P572" s="945"/>
      <c r="Q572" s="1244"/>
      <c r="R572" s="1244"/>
      <c r="S572" s="1244"/>
      <c r="T572" s="1244"/>
      <c r="U572" s="1244"/>
      <c r="V572" s="1244"/>
      <c r="W572" s="1244"/>
      <c r="X572" s="1244"/>
      <c r="Y572" s="1244"/>
      <c r="Z572" s="1244"/>
    </row>
    <row r="573" spans="1:26" ht="18.75">
      <c r="A573" s="1267"/>
      <c r="B573" s="1268"/>
      <c r="C573" s="1268"/>
      <c r="D573" s="961"/>
      <c r="E573" s="961"/>
      <c r="F573" s="961"/>
      <c r="G573" s="954"/>
      <c r="H573" s="730" t="s">
        <v>34</v>
      </c>
      <c r="I573" s="944"/>
      <c r="J573" s="959">
        <v>0</v>
      </c>
      <c r="K573" s="945"/>
      <c r="L573" s="945"/>
      <c r="M573" s="945"/>
      <c r="N573" s="945"/>
      <c r="O573" s="945"/>
      <c r="P573" s="945"/>
      <c r="Q573" s="1244"/>
      <c r="R573" s="1244"/>
      <c r="S573" s="1244"/>
      <c r="T573" s="1244"/>
      <c r="U573" s="1244"/>
      <c r="V573" s="1244"/>
      <c r="W573" s="1244"/>
      <c r="X573" s="1244"/>
      <c r="Y573" s="1244"/>
      <c r="Z573" s="1244"/>
    </row>
    <row r="574" spans="1:26" ht="18.75">
      <c r="A574" s="1267"/>
      <c r="B574" s="1268"/>
      <c r="C574" s="1268"/>
      <c r="D574" s="961" t="s">
        <v>242</v>
      </c>
      <c r="E574" s="961"/>
      <c r="F574" s="961"/>
      <c r="G574" s="954"/>
      <c r="H574" s="730" t="s">
        <v>46</v>
      </c>
      <c r="I574" s="944"/>
      <c r="J574" s="959">
        <v>0</v>
      </c>
      <c r="K574" s="945"/>
      <c r="L574" s="945"/>
      <c r="M574" s="945"/>
      <c r="N574" s="945"/>
      <c r="O574" s="945"/>
      <c r="P574" s="945"/>
      <c r="Q574" s="1244"/>
      <c r="R574" s="1244"/>
      <c r="S574" s="1244"/>
      <c r="T574" s="1244"/>
      <c r="U574" s="1244"/>
      <c r="V574" s="1244"/>
      <c r="W574" s="1244"/>
      <c r="X574" s="1244"/>
      <c r="Y574" s="1244"/>
      <c r="Z574" s="1244"/>
    </row>
    <row r="575" spans="1:26" ht="18.75">
      <c r="A575" s="1267"/>
      <c r="B575" s="1268"/>
      <c r="C575" s="1268"/>
      <c r="D575" s="1268"/>
      <c r="E575" s="961"/>
      <c r="F575" s="961"/>
      <c r="G575" s="954"/>
      <c r="H575" s="730" t="s">
        <v>34</v>
      </c>
      <c r="I575" s="944"/>
      <c r="J575" s="959">
        <v>0</v>
      </c>
      <c r="K575" s="945"/>
      <c r="L575" s="945"/>
      <c r="M575" s="945"/>
      <c r="N575" s="945"/>
      <c r="O575" s="945"/>
      <c r="P575" s="945"/>
      <c r="Q575" s="1244"/>
      <c r="R575" s="1244"/>
      <c r="S575" s="1244"/>
      <c r="T575" s="1244"/>
      <c r="U575" s="1244"/>
      <c r="V575" s="1244"/>
      <c r="W575" s="1244"/>
      <c r="X575" s="1244"/>
      <c r="Y575" s="1244"/>
      <c r="Z575" s="1244"/>
    </row>
    <row r="576" spans="1:26" ht="19.5">
      <c r="A576" s="1267"/>
      <c r="B576" s="1268"/>
      <c r="C576" s="1277" t="s">
        <v>243</v>
      </c>
      <c r="D576" s="1268"/>
      <c r="E576" s="1268"/>
      <c r="F576" s="961"/>
      <c r="G576" s="954"/>
      <c r="H576" s="733" t="s">
        <v>46</v>
      </c>
      <c r="I576" s="965">
        <f ca="1">IFERROR(__xludf.DUMMYFUNCTION("IMPORTRANGE(""https://docs.google.com/spreadsheets/d/1QqKyyYR6Q21VydFLVH3TRQUabQu_ym0Zz7PgGX0-kHA/edit?usp=sharing"",""แผน!HH22"")"),37505)</f>
        <v>37505</v>
      </c>
      <c r="J576" s="966">
        <f t="shared" ref="J576:J577" si="250">J578+J580+J582+J588+J590</f>
        <v>0</v>
      </c>
      <c r="K576" s="1109">
        <f t="shared" ref="K576:K577" ca="1" si="251">IF(I576&gt;0,J576*100/I576,0)</f>
        <v>0</v>
      </c>
      <c r="L576" s="945"/>
      <c r="M576" s="945"/>
      <c r="N576" s="945"/>
      <c r="O576" s="945"/>
      <c r="P576" s="945"/>
      <c r="Q576" s="1244"/>
      <c r="R576" s="1244"/>
      <c r="S576" s="1244"/>
      <c r="T576" s="1244"/>
      <c r="U576" s="1244"/>
      <c r="V576" s="1244"/>
      <c r="W576" s="1244"/>
      <c r="X576" s="1244"/>
      <c r="Y576" s="1244"/>
      <c r="Z576" s="1244"/>
    </row>
    <row r="577" spans="1:26" ht="19.5">
      <c r="A577" s="1267"/>
      <c r="B577" s="1268"/>
      <c r="C577" s="1268"/>
      <c r="D577" s="1268"/>
      <c r="E577" s="961"/>
      <c r="F577" s="961"/>
      <c r="G577" s="954"/>
      <c r="H577" s="733" t="s">
        <v>34</v>
      </c>
      <c r="I577" s="965">
        <f ca="1">IFERROR(__xludf.DUMMYFUNCTION("IMPORTRANGE(""https://docs.google.com/spreadsheets/d/1QqKyyYR6Q21VydFLVH3TRQUabQu_ym0Zz7PgGX0-kHA/edit?usp=sharing"",""แผน!HG22"")"),4678)</f>
        <v>4678</v>
      </c>
      <c r="J577" s="966">
        <f t="shared" si="250"/>
        <v>0</v>
      </c>
      <c r="K577" s="1109">
        <f t="shared" ca="1" si="251"/>
        <v>0</v>
      </c>
      <c r="L577" s="945"/>
      <c r="M577" s="945"/>
      <c r="N577" s="945"/>
      <c r="O577" s="945"/>
      <c r="P577" s="945"/>
      <c r="Q577" s="1244"/>
      <c r="R577" s="1244"/>
      <c r="S577" s="1244"/>
      <c r="T577" s="1244"/>
      <c r="U577" s="1244"/>
      <c r="V577" s="1244"/>
      <c r="W577" s="1244"/>
      <c r="X577" s="1244"/>
      <c r="Y577" s="1244"/>
      <c r="Z577" s="1244"/>
    </row>
    <row r="578" spans="1:26" ht="18.75">
      <c r="A578" s="1267"/>
      <c r="B578" s="1268"/>
      <c r="C578" s="1268"/>
      <c r="D578" s="961" t="s">
        <v>244</v>
      </c>
      <c r="E578" s="961"/>
      <c r="F578" s="961"/>
      <c r="G578" s="954"/>
      <c r="H578" s="730" t="s">
        <v>46</v>
      </c>
      <c r="I578" s="944"/>
      <c r="J578" s="959">
        <v>0</v>
      </c>
      <c r="K578" s="945"/>
      <c r="L578" s="945"/>
      <c r="M578" s="945"/>
      <c r="N578" s="945"/>
      <c r="O578" s="945"/>
      <c r="P578" s="945"/>
      <c r="Q578" s="1244"/>
      <c r="R578" s="1244"/>
      <c r="S578" s="1244"/>
      <c r="T578" s="1244"/>
      <c r="U578" s="1244"/>
      <c r="V578" s="1244"/>
      <c r="W578" s="1244"/>
      <c r="X578" s="1244"/>
      <c r="Y578" s="1244"/>
      <c r="Z578" s="1244"/>
    </row>
    <row r="579" spans="1:26" ht="18.75">
      <c r="A579" s="1267"/>
      <c r="B579" s="1268"/>
      <c r="C579" s="1268"/>
      <c r="D579" s="1268"/>
      <c r="E579" s="961"/>
      <c r="F579" s="961"/>
      <c r="G579" s="954"/>
      <c r="H579" s="730" t="s">
        <v>34</v>
      </c>
      <c r="I579" s="944"/>
      <c r="J579" s="959">
        <v>0</v>
      </c>
      <c r="K579" s="945"/>
      <c r="L579" s="945"/>
      <c r="M579" s="945"/>
      <c r="N579" s="945"/>
      <c r="O579" s="945"/>
      <c r="P579" s="945"/>
      <c r="Q579" s="1244"/>
      <c r="R579" s="1244"/>
      <c r="S579" s="1244"/>
      <c r="T579" s="1244"/>
      <c r="U579" s="1244"/>
      <c r="V579" s="1244"/>
      <c r="W579" s="1244"/>
      <c r="X579" s="1244"/>
      <c r="Y579" s="1244"/>
      <c r="Z579" s="1244"/>
    </row>
    <row r="580" spans="1:26" ht="18.75">
      <c r="A580" s="1267"/>
      <c r="B580" s="1268"/>
      <c r="C580" s="1268"/>
      <c r="D580" s="961" t="s">
        <v>245</v>
      </c>
      <c r="E580" s="961"/>
      <c r="F580" s="961"/>
      <c r="G580" s="954"/>
      <c r="H580" s="730" t="s">
        <v>46</v>
      </c>
      <c r="I580" s="944"/>
      <c r="J580" s="959">
        <v>0</v>
      </c>
      <c r="K580" s="945"/>
      <c r="L580" s="945"/>
      <c r="M580" s="945"/>
      <c r="N580" s="945"/>
      <c r="O580" s="945"/>
      <c r="P580" s="945"/>
      <c r="Q580" s="1244"/>
      <c r="R580" s="1244"/>
      <c r="S580" s="1244"/>
      <c r="T580" s="1244"/>
      <c r="U580" s="1244"/>
      <c r="V580" s="1244"/>
      <c r="W580" s="1244"/>
      <c r="X580" s="1244"/>
      <c r="Y580" s="1244"/>
      <c r="Z580" s="1244"/>
    </row>
    <row r="581" spans="1:26" ht="18.75">
      <c r="A581" s="1267"/>
      <c r="B581" s="1268"/>
      <c r="C581" s="1268"/>
      <c r="D581" s="1268"/>
      <c r="E581" s="961"/>
      <c r="F581" s="961"/>
      <c r="G581" s="954"/>
      <c r="H581" s="730" t="s">
        <v>34</v>
      </c>
      <c r="I581" s="944"/>
      <c r="J581" s="959">
        <v>0</v>
      </c>
      <c r="K581" s="945"/>
      <c r="L581" s="945"/>
      <c r="M581" s="945"/>
      <c r="N581" s="945"/>
      <c r="O581" s="945"/>
      <c r="P581" s="945"/>
      <c r="Q581" s="1244"/>
      <c r="R581" s="1244"/>
      <c r="S581" s="1244"/>
      <c r="T581" s="1244"/>
      <c r="U581" s="1244"/>
      <c r="V581" s="1244"/>
      <c r="W581" s="1244"/>
      <c r="X581" s="1244"/>
      <c r="Y581" s="1244"/>
      <c r="Z581" s="1244"/>
    </row>
    <row r="582" spans="1:26" ht="19.5">
      <c r="A582" s="1267"/>
      <c r="B582" s="1268"/>
      <c r="C582" s="1268"/>
      <c r="D582" s="961" t="s">
        <v>246</v>
      </c>
      <c r="E582" s="961"/>
      <c r="F582" s="961"/>
      <c r="G582" s="954"/>
      <c r="H582" s="730" t="s">
        <v>46</v>
      </c>
      <c r="I582" s="944"/>
      <c r="J582" s="966">
        <f t="shared" ref="J582:J583" si="252">J584+J586</f>
        <v>0</v>
      </c>
      <c r="K582" s="1109"/>
      <c r="L582" s="945"/>
      <c r="M582" s="945"/>
      <c r="N582" s="945"/>
      <c r="O582" s="945"/>
      <c r="P582" s="945"/>
      <c r="Q582" s="1244"/>
      <c r="R582" s="1244"/>
      <c r="S582" s="1244"/>
      <c r="T582" s="1244"/>
      <c r="U582" s="1244"/>
      <c r="V582" s="1244"/>
      <c r="W582" s="1244"/>
      <c r="X582" s="1244"/>
      <c r="Y582" s="1244"/>
      <c r="Z582" s="1244"/>
    </row>
    <row r="583" spans="1:26" ht="19.5">
      <c r="A583" s="1267"/>
      <c r="B583" s="1268"/>
      <c r="C583" s="1268"/>
      <c r="D583" s="1268"/>
      <c r="E583" s="961"/>
      <c r="F583" s="961"/>
      <c r="G583" s="954"/>
      <c r="H583" s="730" t="s">
        <v>34</v>
      </c>
      <c r="I583" s="944"/>
      <c r="J583" s="966">
        <f t="shared" si="252"/>
        <v>0</v>
      </c>
      <c r="K583" s="1109"/>
      <c r="L583" s="945"/>
      <c r="M583" s="945"/>
      <c r="N583" s="945"/>
      <c r="O583" s="945"/>
      <c r="P583" s="945"/>
      <c r="Q583" s="1244"/>
      <c r="R583" s="1244"/>
      <c r="S583" s="1244"/>
      <c r="T583" s="1244"/>
      <c r="U583" s="1244"/>
      <c r="V583" s="1244"/>
      <c r="W583" s="1244"/>
      <c r="X583" s="1244"/>
      <c r="Y583" s="1244"/>
      <c r="Z583" s="1244"/>
    </row>
    <row r="584" spans="1:26" ht="18.75">
      <c r="A584" s="1267"/>
      <c r="B584" s="1268"/>
      <c r="C584" s="1268"/>
      <c r="D584" s="1268"/>
      <c r="E584" s="961" t="s">
        <v>247</v>
      </c>
      <c r="F584" s="961"/>
      <c r="G584" s="954"/>
      <c r="H584" s="730" t="s">
        <v>46</v>
      </c>
      <c r="I584" s="944"/>
      <c r="J584" s="959">
        <v>0</v>
      </c>
      <c r="K584" s="945"/>
      <c r="L584" s="945"/>
      <c r="M584" s="945"/>
      <c r="N584" s="945"/>
      <c r="O584" s="945"/>
      <c r="P584" s="945"/>
      <c r="Q584" s="1244"/>
      <c r="R584" s="1244"/>
      <c r="S584" s="1244"/>
      <c r="T584" s="1244"/>
      <c r="U584" s="1244"/>
      <c r="V584" s="1244"/>
      <c r="W584" s="1244"/>
      <c r="X584" s="1244"/>
      <c r="Y584" s="1244"/>
      <c r="Z584" s="1244"/>
    </row>
    <row r="585" spans="1:26" ht="18.75">
      <c r="A585" s="1267"/>
      <c r="B585" s="1268"/>
      <c r="C585" s="1268"/>
      <c r="D585" s="1268"/>
      <c r="E585" s="961"/>
      <c r="F585" s="961"/>
      <c r="G585" s="954"/>
      <c r="H585" s="730" t="s">
        <v>34</v>
      </c>
      <c r="I585" s="944"/>
      <c r="J585" s="959">
        <v>0</v>
      </c>
      <c r="K585" s="945"/>
      <c r="L585" s="945"/>
      <c r="M585" s="945"/>
      <c r="N585" s="945"/>
      <c r="O585" s="945"/>
      <c r="P585" s="945"/>
      <c r="Q585" s="1244"/>
      <c r="R585" s="1244"/>
      <c r="S585" s="1244"/>
      <c r="T585" s="1244"/>
      <c r="U585" s="1244"/>
      <c r="V585" s="1244"/>
      <c r="W585" s="1244"/>
      <c r="X585" s="1244"/>
      <c r="Y585" s="1244"/>
      <c r="Z585" s="1244"/>
    </row>
    <row r="586" spans="1:26" ht="18.75">
      <c r="A586" s="1267"/>
      <c r="B586" s="1268"/>
      <c r="C586" s="1268"/>
      <c r="D586" s="1268"/>
      <c r="E586" s="961" t="s">
        <v>248</v>
      </c>
      <c r="F586" s="961"/>
      <c r="G586" s="954"/>
      <c r="H586" s="730" t="s">
        <v>46</v>
      </c>
      <c r="I586" s="944"/>
      <c r="J586" s="959">
        <v>0</v>
      </c>
      <c r="K586" s="945"/>
      <c r="L586" s="945"/>
      <c r="M586" s="945"/>
      <c r="N586" s="945"/>
      <c r="O586" s="945"/>
      <c r="P586" s="945"/>
      <c r="Q586" s="1244"/>
      <c r="R586" s="1244"/>
      <c r="S586" s="1244"/>
      <c r="T586" s="1244"/>
      <c r="U586" s="1244"/>
      <c r="V586" s="1244"/>
      <c r="W586" s="1244"/>
      <c r="X586" s="1244"/>
      <c r="Y586" s="1244"/>
      <c r="Z586" s="1244"/>
    </row>
    <row r="587" spans="1:26" ht="18.75">
      <c r="A587" s="1267"/>
      <c r="B587" s="1268"/>
      <c r="C587" s="1268"/>
      <c r="D587" s="1268"/>
      <c r="E587" s="1268"/>
      <c r="F587" s="961"/>
      <c r="G587" s="954"/>
      <c r="H587" s="730" t="s">
        <v>34</v>
      </c>
      <c r="I587" s="944"/>
      <c r="J587" s="959">
        <v>0</v>
      </c>
      <c r="K587" s="945"/>
      <c r="L587" s="945"/>
      <c r="M587" s="945"/>
      <c r="N587" s="945"/>
      <c r="O587" s="945"/>
      <c r="P587" s="945"/>
      <c r="Q587" s="1244"/>
      <c r="R587" s="1244"/>
      <c r="S587" s="1244"/>
      <c r="T587" s="1244"/>
      <c r="U587" s="1244"/>
      <c r="V587" s="1244"/>
      <c r="W587" s="1244"/>
      <c r="X587" s="1244"/>
      <c r="Y587" s="1244"/>
      <c r="Z587" s="1244"/>
    </row>
    <row r="588" spans="1:26" ht="18.75">
      <c r="A588" s="1267"/>
      <c r="B588" s="1268"/>
      <c r="C588" s="1268"/>
      <c r="D588" s="961" t="s">
        <v>249</v>
      </c>
      <c r="E588" s="961"/>
      <c r="F588" s="961"/>
      <c r="G588" s="954"/>
      <c r="H588" s="730" t="s">
        <v>46</v>
      </c>
      <c r="I588" s="944"/>
      <c r="J588" s="959">
        <v>0</v>
      </c>
      <c r="K588" s="945"/>
      <c r="L588" s="945"/>
      <c r="M588" s="945"/>
      <c r="N588" s="945"/>
      <c r="O588" s="945"/>
      <c r="P588" s="945"/>
      <c r="Q588" s="1244"/>
      <c r="R588" s="1244"/>
      <c r="S588" s="1244"/>
      <c r="T588" s="1244"/>
      <c r="U588" s="1244"/>
      <c r="V588" s="1244"/>
      <c r="W588" s="1244"/>
      <c r="X588" s="1244"/>
      <c r="Y588" s="1244"/>
      <c r="Z588" s="1244"/>
    </row>
    <row r="589" spans="1:26" ht="18.75">
      <c r="A589" s="1267"/>
      <c r="B589" s="1268"/>
      <c r="C589" s="1268"/>
      <c r="D589" s="1268"/>
      <c r="E589" s="1268"/>
      <c r="F589" s="961"/>
      <c r="G589" s="954"/>
      <c r="H589" s="730" t="s">
        <v>34</v>
      </c>
      <c r="I589" s="944"/>
      <c r="J589" s="959">
        <v>0</v>
      </c>
      <c r="K589" s="945"/>
      <c r="L589" s="945"/>
      <c r="M589" s="945"/>
      <c r="N589" s="945"/>
      <c r="O589" s="945"/>
      <c r="P589" s="945"/>
      <c r="Q589" s="1244"/>
      <c r="R589" s="1244"/>
      <c r="S589" s="1244"/>
      <c r="T589" s="1244"/>
      <c r="U589" s="1244"/>
      <c r="V589" s="1244"/>
      <c r="W589" s="1244"/>
      <c r="X589" s="1244"/>
      <c r="Y589" s="1244"/>
      <c r="Z589" s="1244"/>
    </row>
    <row r="590" spans="1:26" ht="18.75">
      <c r="A590" s="1267"/>
      <c r="B590" s="1268"/>
      <c r="C590" s="1268"/>
      <c r="D590" s="961" t="s">
        <v>250</v>
      </c>
      <c r="E590" s="961"/>
      <c r="F590" s="961"/>
      <c r="G590" s="954"/>
      <c r="H590" s="730" t="s">
        <v>46</v>
      </c>
      <c r="I590" s="944"/>
      <c r="J590" s="959">
        <v>0</v>
      </c>
      <c r="K590" s="945"/>
      <c r="L590" s="945"/>
      <c r="M590" s="945"/>
      <c r="N590" s="945"/>
      <c r="O590" s="945"/>
      <c r="P590" s="945"/>
      <c r="Q590" s="1244"/>
      <c r="R590" s="1244"/>
      <c r="S590" s="1244"/>
      <c r="T590" s="1244"/>
      <c r="U590" s="1244"/>
      <c r="V590" s="1244"/>
      <c r="W590" s="1244"/>
      <c r="X590" s="1244"/>
      <c r="Y590" s="1244"/>
      <c r="Z590" s="1244"/>
    </row>
    <row r="591" spans="1:26" ht="18.75">
      <c r="A591" s="1332"/>
      <c r="B591" s="1333"/>
      <c r="C591" s="1333"/>
      <c r="D591" s="1333"/>
      <c r="E591" s="1244"/>
      <c r="F591" s="1244"/>
      <c r="G591" s="1334"/>
      <c r="H591" s="665" t="s">
        <v>34</v>
      </c>
      <c r="I591" s="1335"/>
      <c r="J591" s="1336">
        <v>0</v>
      </c>
      <c r="K591" s="1337"/>
      <c r="L591" s="1337"/>
      <c r="M591" s="1337"/>
      <c r="N591" s="1337"/>
      <c r="O591" s="1337"/>
      <c r="P591" s="1337"/>
      <c r="Q591" s="1244"/>
      <c r="R591" s="1244"/>
      <c r="S591" s="1244"/>
      <c r="T591" s="1244"/>
      <c r="U591" s="1244"/>
      <c r="V591" s="1244"/>
      <c r="W591" s="1244"/>
      <c r="X591" s="1244"/>
      <c r="Y591" s="1244"/>
      <c r="Z591" s="1244"/>
    </row>
    <row r="592" spans="1:26" ht="19.5">
      <c r="A592" s="1329"/>
      <c r="B592" s="1330" t="s">
        <v>251</v>
      </c>
      <c r="C592" s="1331"/>
      <c r="D592" s="1331"/>
      <c r="E592" s="1315"/>
      <c r="F592" s="1315"/>
      <c r="G592" s="1316"/>
      <c r="H592" s="661" t="s">
        <v>46</v>
      </c>
      <c r="I592" s="1338">
        <f t="shared" ref="I592:J592" ca="1" si="253">I593</f>
        <v>3059.22</v>
      </c>
      <c r="J592" s="1317">
        <f t="shared" si="253"/>
        <v>0</v>
      </c>
      <c r="K592" s="1318">
        <f t="shared" ref="K592:K594" ca="1" si="254">IF(I592&gt;0,J592*100/I592,0)</f>
        <v>0</v>
      </c>
      <c r="L592" s="1319"/>
      <c r="M592" s="1319"/>
      <c r="N592" s="1319"/>
      <c r="O592" s="1319"/>
      <c r="P592" s="1319"/>
      <c r="Q592" s="1244"/>
      <c r="R592" s="1244"/>
      <c r="S592" s="1244"/>
      <c r="T592" s="1244"/>
      <c r="U592" s="1244"/>
      <c r="V592" s="1244"/>
      <c r="W592" s="1244"/>
      <c r="X592" s="1244"/>
      <c r="Y592" s="1244"/>
      <c r="Z592" s="1244"/>
    </row>
    <row r="593" spans="1:26" ht="19.5">
      <c r="A593" s="1267"/>
      <c r="B593" s="1268"/>
      <c r="C593" s="1277" t="s">
        <v>252</v>
      </c>
      <c r="D593" s="1268"/>
      <c r="E593" s="1268"/>
      <c r="F593" s="961"/>
      <c r="G593" s="954"/>
      <c r="H593" s="733" t="s">
        <v>46</v>
      </c>
      <c r="I593" s="1339">
        <f ca="1">IFERROR(__xludf.DUMMYFUNCTION("IMPORTRANGE(""https://docs.google.com/spreadsheets/d/1QqKyyYR6Q21VydFLVH3TRQUabQu_ym0Zz7PgGX0-kHA/edit?usp=sharing"",""แผน!HJ22"")"),3059.22)</f>
        <v>3059.22</v>
      </c>
      <c r="J593" s="965">
        <f t="shared" ref="J593:J594" si="255">J595+J603+J609</f>
        <v>0</v>
      </c>
      <c r="K593" s="1109">
        <f t="shared" ca="1" si="254"/>
        <v>0</v>
      </c>
      <c r="L593" s="945"/>
      <c r="M593" s="945"/>
      <c r="N593" s="945"/>
      <c r="O593" s="945"/>
      <c r="P593" s="945"/>
      <c r="Q593" s="1244"/>
      <c r="R593" s="1244"/>
      <c r="S593" s="1244"/>
      <c r="T593" s="1244"/>
      <c r="U593" s="1244"/>
      <c r="V593" s="1244"/>
      <c r="W593" s="1244"/>
      <c r="X593" s="1244"/>
      <c r="Y593" s="1244"/>
      <c r="Z593" s="1244"/>
    </row>
    <row r="594" spans="1:26" ht="19.5">
      <c r="A594" s="1267"/>
      <c r="B594" s="1268"/>
      <c r="C594" s="1268"/>
      <c r="D594" s="1268"/>
      <c r="E594" s="961"/>
      <c r="F594" s="961"/>
      <c r="G594" s="954"/>
      <c r="H594" s="733" t="s">
        <v>34</v>
      </c>
      <c r="I594" s="965">
        <f ca="1">IFERROR(__xludf.DUMMYFUNCTION("IMPORTRANGE(""https://docs.google.com/spreadsheets/d/1QqKyyYR6Q21VydFLVH3TRQUabQu_ym0Zz7PgGX0-kHA/edit?usp=sharing"",""แผน!HI22"")"),202)</f>
        <v>202</v>
      </c>
      <c r="J594" s="965">
        <f t="shared" si="255"/>
        <v>0</v>
      </c>
      <c r="K594" s="1109">
        <f t="shared" ca="1" si="254"/>
        <v>0</v>
      </c>
      <c r="L594" s="945"/>
      <c r="M594" s="945"/>
      <c r="N594" s="945"/>
      <c r="O594" s="945"/>
      <c r="P594" s="945"/>
      <c r="Q594" s="1244"/>
      <c r="R594" s="1244"/>
      <c r="S594" s="1244"/>
      <c r="T594" s="1244"/>
      <c r="U594" s="1244"/>
      <c r="V594" s="1244"/>
      <c r="W594" s="1244"/>
      <c r="X594" s="1244"/>
      <c r="Y594" s="1244"/>
      <c r="Z594" s="1244"/>
    </row>
    <row r="595" spans="1:26" ht="18.75">
      <c r="A595" s="1267"/>
      <c r="B595" s="1268"/>
      <c r="C595" s="1268" t="s">
        <v>253</v>
      </c>
      <c r="D595" s="1268"/>
      <c r="E595" s="1268"/>
      <c r="F595" s="961"/>
      <c r="G595" s="954"/>
      <c r="H595" s="730" t="s">
        <v>46</v>
      </c>
      <c r="I595" s="944"/>
      <c r="J595" s="944">
        <f t="shared" ref="J595:J596" si="256">J597+J599</f>
        <v>0</v>
      </c>
      <c r="K595" s="945"/>
      <c r="L595" s="945"/>
      <c r="M595" s="945"/>
      <c r="N595" s="945"/>
      <c r="O595" s="945"/>
      <c r="P595" s="945"/>
      <c r="Q595" s="1244"/>
      <c r="R595" s="1244"/>
      <c r="S595" s="1244"/>
      <c r="T595" s="1244"/>
      <c r="U595" s="1244"/>
      <c r="V595" s="1244"/>
      <c r="W595" s="1244"/>
      <c r="X595" s="1244"/>
      <c r="Y595" s="1244"/>
      <c r="Z595" s="1244"/>
    </row>
    <row r="596" spans="1:26" ht="18.75">
      <c r="A596" s="1267"/>
      <c r="B596" s="1268"/>
      <c r="C596" s="1268"/>
      <c r="D596" s="1268"/>
      <c r="E596" s="961"/>
      <c r="F596" s="961"/>
      <c r="G596" s="954"/>
      <c r="H596" s="730" t="s">
        <v>34</v>
      </c>
      <c r="I596" s="944"/>
      <c r="J596" s="944">
        <f t="shared" si="256"/>
        <v>0</v>
      </c>
      <c r="K596" s="945"/>
      <c r="L596" s="945"/>
      <c r="M596" s="945"/>
      <c r="N596" s="945"/>
      <c r="O596" s="945"/>
      <c r="P596" s="945"/>
      <c r="Q596" s="1244"/>
      <c r="R596" s="1244"/>
      <c r="S596" s="1244"/>
      <c r="T596" s="1244"/>
      <c r="U596" s="1244"/>
      <c r="V596" s="1244"/>
      <c r="W596" s="1244"/>
      <c r="X596" s="1244"/>
      <c r="Y596" s="1244"/>
      <c r="Z596" s="1244"/>
    </row>
    <row r="597" spans="1:26" ht="18.75">
      <c r="A597" s="1267"/>
      <c r="B597" s="1268"/>
      <c r="C597" s="1268"/>
      <c r="D597" s="1017" t="s">
        <v>254</v>
      </c>
      <c r="E597" s="961"/>
      <c r="F597" s="961"/>
      <c r="G597" s="954"/>
      <c r="H597" s="730" t="s">
        <v>46</v>
      </c>
      <c r="I597" s="944"/>
      <c r="J597" s="959">
        <v>0</v>
      </c>
      <c r="K597" s="945"/>
      <c r="L597" s="945"/>
      <c r="M597" s="945"/>
      <c r="N597" s="945"/>
      <c r="O597" s="945"/>
      <c r="P597" s="945"/>
      <c r="Q597" s="1244"/>
      <c r="R597" s="1244"/>
      <c r="S597" s="1244"/>
      <c r="T597" s="1244"/>
      <c r="U597" s="1244"/>
      <c r="V597" s="1244"/>
      <c r="W597" s="1244"/>
      <c r="X597" s="1244"/>
      <c r="Y597" s="1244"/>
      <c r="Z597" s="1244"/>
    </row>
    <row r="598" spans="1:26" ht="18.75">
      <c r="A598" s="1267"/>
      <c r="B598" s="1268"/>
      <c r="C598" s="1268"/>
      <c r="D598" s="1268"/>
      <c r="E598" s="961"/>
      <c r="F598" s="961"/>
      <c r="G598" s="954"/>
      <c r="H598" s="730" t="s">
        <v>34</v>
      </c>
      <c r="I598" s="830"/>
      <c r="J598" s="959">
        <v>0</v>
      </c>
      <c r="K598" s="945"/>
      <c r="L598" s="945"/>
      <c r="M598" s="945"/>
      <c r="N598" s="945"/>
      <c r="O598" s="945"/>
      <c r="P598" s="945"/>
      <c r="Q598" s="1244"/>
      <c r="R598" s="1244"/>
      <c r="S598" s="1244"/>
      <c r="T598" s="1244"/>
      <c r="U598" s="1244"/>
      <c r="V598" s="1244"/>
      <c r="W598" s="1244"/>
      <c r="X598" s="1244"/>
      <c r="Y598" s="1244"/>
      <c r="Z598" s="1244"/>
    </row>
    <row r="599" spans="1:26" ht="18.75">
      <c r="A599" s="1267"/>
      <c r="B599" s="1268"/>
      <c r="C599" s="1268"/>
      <c r="D599" s="1017" t="s">
        <v>255</v>
      </c>
      <c r="E599" s="961"/>
      <c r="F599" s="961"/>
      <c r="G599" s="954"/>
      <c r="H599" s="730" t="s">
        <v>46</v>
      </c>
      <c r="I599" s="830"/>
      <c r="J599" s="959">
        <v>0</v>
      </c>
      <c r="K599" s="945"/>
      <c r="L599" s="945"/>
      <c r="M599" s="945"/>
      <c r="N599" s="945"/>
      <c r="O599" s="945"/>
      <c r="P599" s="945"/>
      <c r="Q599" s="1244"/>
      <c r="R599" s="1244"/>
      <c r="S599" s="1244"/>
      <c r="T599" s="1244"/>
      <c r="U599" s="1244"/>
      <c r="V599" s="1244"/>
      <c r="W599" s="1244"/>
      <c r="X599" s="1244"/>
      <c r="Y599" s="1244"/>
      <c r="Z599" s="1244"/>
    </row>
    <row r="600" spans="1:26" ht="18.75">
      <c r="A600" s="1267"/>
      <c r="B600" s="1268"/>
      <c r="C600" s="1268"/>
      <c r="D600" s="1268"/>
      <c r="E600" s="961"/>
      <c r="F600" s="961"/>
      <c r="G600" s="954"/>
      <c r="H600" s="730" t="s">
        <v>34</v>
      </c>
      <c r="I600" s="830"/>
      <c r="J600" s="959">
        <v>0</v>
      </c>
      <c r="K600" s="945"/>
      <c r="L600" s="945"/>
      <c r="M600" s="945"/>
      <c r="N600" s="945"/>
      <c r="O600" s="945"/>
      <c r="P600" s="945"/>
      <c r="Q600" s="1244"/>
      <c r="R600" s="1244"/>
      <c r="S600" s="1244"/>
      <c r="T600" s="1244"/>
      <c r="U600" s="1244"/>
      <c r="V600" s="1244"/>
      <c r="W600" s="1244"/>
      <c r="X600" s="1244"/>
      <c r="Y600" s="1244"/>
      <c r="Z600" s="1244"/>
    </row>
    <row r="601" spans="1:26" ht="18.75">
      <c r="A601" s="1267"/>
      <c r="B601" s="1268"/>
      <c r="C601" s="1268"/>
      <c r="D601" s="1017" t="s">
        <v>256</v>
      </c>
      <c r="E601" s="961"/>
      <c r="F601" s="961"/>
      <c r="G601" s="954"/>
      <c r="H601" s="730" t="s">
        <v>46</v>
      </c>
      <c r="I601" s="830"/>
      <c r="J601" s="959">
        <v>0</v>
      </c>
      <c r="K601" s="945"/>
      <c r="L601" s="945"/>
      <c r="M601" s="945"/>
      <c r="N601" s="945"/>
      <c r="O601" s="945"/>
      <c r="P601" s="945"/>
      <c r="Q601" s="1244"/>
      <c r="R601" s="1244"/>
      <c r="S601" s="1244"/>
      <c r="T601" s="1244"/>
      <c r="U601" s="1244"/>
      <c r="V601" s="1244"/>
      <c r="W601" s="1244"/>
      <c r="X601" s="1244"/>
      <c r="Y601" s="1244"/>
      <c r="Z601" s="1244"/>
    </row>
    <row r="602" spans="1:26" ht="18.75">
      <c r="A602" s="1267"/>
      <c r="B602" s="1268"/>
      <c r="C602" s="1268"/>
      <c r="D602" s="1268"/>
      <c r="E602" s="961"/>
      <c r="F602" s="961"/>
      <c r="G602" s="954"/>
      <c r="H602" s="730" t="s">
        <v>34</v>
      </c>
      <c r="I602" s="830"/>
      <c r="J602" s="959">
        <v>0</v>
      </c>
      <c r="K602" s="945"/>
      <c r="L602" s="945"/>
      <c r="M602" s="945"/>
      <c r="N602" s="945"/>
      <c r="O602" s="945"/>
      <c r="P602" s="945"/>
      <c r="Q602" s="1244"/>
      <c r="R602" s="1244"/>
      <c r="S602" s="1244"/>
      <c r="T602" s="1244"/>
      <c r="U602" s="1244"/>
      <c r="V602" s="1244"/>
      <c r="W602" s="1244"/>
      <c r="X602" s="1244"/>
      <c r="Y602" s="1244"/>
      <c r="Z602" s="1244"/>
    </row>
    <row r="603" spans="1:26" ht="18.75">
      <c r="A603" s="1267"/>
      <c r="B603" s="1268"/>
      <c r="C603" s="1340" t="s">
        <v>257</v>
      </c>
      <c r="D603" s="1268"/>
      <c r="E603" s="1268"/>
      <c r="F603" s="961"/>
      <c r="G603" s="954"/>
      <c r="H603" s="730" t="s">
        <v>46</v>
      </c>
      <c r="I603" s="830"/>
      <c r="J603" s="830">
        <f t="shared" ref="J603:J604" si="257">J605+J607</f>
        <v>0</v>
      </c>
      <c r="K603" s="945"/>
      <c r="L603" s="945"/>
      <c r="M603" s="945"/>
      <c r="N603" s="945"/>
      <c r="O603" s="945"/>
      <c r="P603" s="945"/>
      <c r="Q603" s="1244"/>
      <c r="R603" s="1244"/>
      <c r="S603" s="1244"/>
      <c r="T603" s="1244"/>
      <c r="U603" s="1244"/>
      <c r="V603" s="1244"/>
      <c r="W603" s="1244"/>
      <c r="X603" s="1244"/>
      <c r="Y603" s="1244"/>
      <c r="Z603" s="1244"/>
    </row>
    <row r="604" spans="1:26" ht="18.75">
      <c r="A604" s="1267"/>
      <c r="B604" s="1268"/>
      <c r="C604" s="1268"/>
      <c r="D604" s="1268"/>
      <c r="E604" s="961"/>
      <c r="F604" s="961"/>
      <c r="G604" s="954"/>
      <c r="H604" s="730" t="s">
        <v>34</v>
      </c>
      <c r="I604" s="830"/>
      <c r="J604" s="830">
        <f t="shared" si="257"/>
        <v>0</v>
      </c>
      <c r="K604" s="945"/>
      <c r="L604" s="945"/>
      <c r="M604" s="945"/>
      <c r="N604" s="945"/>
      <c r="O604" s="945"/>
      <c r="P604" s="945"/>
      <c r="Q604" s="1244"/>
      <c r="R604" s="1244"/>
      <c r="S604" s="1244"/>
      <c r="T604" s="1244"/>
      <c r="U604" s="1244"/>
      <c r="V604" s="1244"/>
      <c r="W604" s="1244"/>
      <c r="X604" s="1244"/>
      <c r="Y604" s="1244"/>
      <c r="Z604" s="1244"/>
    </row>
    <row r="605" spans="1:26" ht="18.75">
      <c r="A605" s="1267"/>
      <c r="B605" s="1268"/>
      <c r="C605" s="1268"/>
      <c r="D605" s="1340" t="s">
        <v>258</v>
      </c>
      <c r="E605" s="961"/>
      <c r="F605" s="961"/>
      <c r="G605" s="954"/>
      <c r="H605" s="730" t="s">
        <v>46</v>
      </c>
      <c r="I605" s="830"/>
      <c r="J605" s="959">
        <v>0</v>
      </c>
      <c r="K605" s="945"/>
      <c r="L605" s="945"/>
      <c r="M605" s="945"/>
      <c r="N605" s="945"/>
      <c r="O605" s="945"/>
      <c r="P605" s="945"/>
      <c r="Q605" s="1244"/>
      <c r="R605" s="1244"/>
      <c r="S605" s="1244"/>
      <c r="T605" s="1244"/>
      <c r="U605" s="1244"/>
      <c r="V605" s="1244"/>
      <c r="W605" s="1244"/>
      <c r="X605" s="1244"/>
      <c r="Y605" s="1244"/>
      <c r="Z605" s="1244"/>
    </row>
    <row r="606" spans="1:26" ht="18.75">
      <c r="A606" s="1267"/>
      <c r="B606" s="1268"/>
      <c r="C606" s="1268"/>
      <c r="D606" s="1268"/>
      <c r="E606" s="1268"/>
      <c r="F606" s="961"/>
      <c r="G606" s="954"/>
      <c r="H606" s="730" t="s">
        <v>34</v>
      </c>
      <c r="I606" s="830"/>
      <c r="J606" s="959">
        <v>0</v>
      </c>
      <c r="K606" s="945"/>
      <c r="L606" s="945"/>
      <c r="M606" s="945"/>
      <c r="N606" s="945"/>
      <c r="O606" s="945"/>
      <c r="P606" s="945"/>
      <c r="Q606" s="1244"/>
      <c r="R606" s="1244"/>
      <c r="S606" s="1244"/>
      <c r="T606" s="1244"/>
      <c r="U606" s="1244"/>
      <c r="V606" s="1244"/>
      <c r="W606" s="1244"/>
      <c r="X606" s="1244"/>
      <c r="Y606" s="1244"/>
      <c r="Z606" s="1244"/>
    </row>
    <row r="607" spans="1:26" ht="18.75">
      <c r="A607" s="1267"/>
      <c r="B607" s="1268"/>
      <c r="C607" s="1268"/>
      <c r="D607" s="1340" t="s">
        <v>259</v>
      </c>
      <c r="E607" s="1268"/>
      <c r="F607" s="961"/>
      <c r="G607" s="954"/>
      <c r="H607" s="730" t="s">
        <v>46</v>
      </c>
      <c r="I607" s="830"/>
      <c r="J607" s="959">
        <v>0</v>
      </c>
      <c r="K607" s="945"/>
      <c r="L607" s="945"/>
      <c r="M607" s="945"/>
      <c r="N607" s="945"/>
      <c r="O607" s="945"/>
      <c r="P607" s="945"/>
      <c r="Q607" s="1244"/>
      <c r="R607" s="1244"/>
      <c r="S607" s="1244"/>
      <c r="T607" s="1244"/>
      <c r="U607" s="1244"/>
      <c r="V607" s="1244"/>
      <c r="W607" s="1244"/>
      <c r="X607" s="1244"/>
      <c r="Y607" s="1244"/>
      <c r="Z607" s="1244"/>
    </row>
    <row r="608" spans="1:26" ht="18.75">
      <c r="A608" s="1267"/>
      <c r="B608" s="1268"/>
      <c r="C608" s="1268"/>
      <c r="D608" s="1268"/>
      <c r="E608" s="961"/>
      <c r="F608" s="961"/>
      <c r="G608" s="954"/>
      <c r="H608" s="730" t="s">
        <v>34</v>
      </c>
      <c r="I608" s="830"/>
      <c r="J608" s="959">
        <v>0</v>
      </c>
      <c r="K608" s="945"/>
      <c r="L608" s="945"/>
      <c r="M608" s="945"/>
      <c r="N608" s="945"/>
      <c r="O608" s="945"/>
      <c r="P608" s="945"/>
      <c r="Q608" s="1244"/>
      <c r="R608" s="1244"/>
      <c r="S608" s="1244"/>
      <c r="T608" s="1244"/>
      <c r="U608" s="1244"/>
      <c r="V608" s="1244"/>
      <c r="W608" s="1244"/>
      <c r="X608" s="1244"/>
      <c r="Y608" s="1244"/>
      <c r="Z608" s="1244"/>
    </row>
    <row r="609" spans="1:26" ht="18.75">
      <c r="A609" s="1267"/>
      <c r="B609" s="1268"/>
      <c r="C609" s="1268" t="s">
        <v>260</v>
      </c>
      <c r="D609" s="1268"/>
      <c r="E609" s="1268"/>
      <c r="F609" s="961"/>
      <c r="G609" s="954"/>
      <c r="H609" s="730" t="s">
        <v>46</v>
      </c>
      <c r="I609" s="830"/>
      <c r="J609" s="959">
        <v>0</v>
      </c>
      <c r="K609" s="945"/>
      <c r="L609" s="945"/>
      <c r="M609" s="945"/>
      <c r="N609" s="945"/>
      <c r="O609" s="945"/>
      <c r="P609" s="945"/>
      <c r="Q609" s="1244"/>
      <c r="R609" s="1244"/>
      <c r="S609" s="1244"/>
      <c r="T609" s="1244"/>
      <c r="U609" s="1244"/>
      <c r="V609" s="1244"/>
      <c r="W609" s="1244"/>
      <c r="X609" s="1244"/>
      <c r="Y609" s="1244"/>
      <c r="Z609" s="1244"/>
    </row>
    <row r="610" spans="1:26" ht="18.75">
      <c r="A610" s="1267"/>
      <c r="B610" s="1268"/>
      <c r="C610" s="1268"/>
      <c r="D610" s="1268"/>
      <c r="E610" s="961"/>
      <c r="F610" s="961"/>
      <c r="G610" s="954"/>
      <c r="H610" s="730" t="s">
        <v>34</v>
      </c>
      <c r="I610" s="830"/>
      <c r="J610" s="959">
        <v>0</v>
      </c>
      <c r="K610" s="945"/>
      <c r="L610" s="945"/>
      <c r="M610" s="945"/>
      <c r="N610" s="945"/>
      <c r="O610" s="945"/>
      <c r="P610" s="945"/>
      <c r="Q610" s="1244"/>
      <c r="R610" s="1244"/>
      <c r="S610" s="1244"/>
      <c r="T610" s="1244"/>
      <c r="U610" s="1244"/>
      <c r="V610" s="1244"/>
      <c r="W610" s="1244"/>
      <c r="X610" s="1244"/>
      <c r="Y610" s="1244"/>
      <c r="Z610" s="1244"/>
    </row>
    <row r="611" spans="1:26" ht="19.5">
      <c r="A611" s="1329"/>
      <c r="B611" s="1341" t="s">
        <v>261</v>
      </c>
      <c r="C611" s="1331"/>
      <c r="D611" s="1331"/>
      <c r="E611" s="1315"/>
      <c r="F611" s="1315"/>
      <c r="G611" s="1316"/>
      <c r="H611" s="673" t="s">
        <v>46</v>
      </c>
      <c r="I611" s="1317">
        <v>0</v>
      </c>
      <c r="J611" s="1317">
        <f>J614+J616</f>
        <v>0</v>
      </c>
      <c r="K611" s="1318">
        <f t="shared" ref="K611:K613" si="258">IF(I611&gt;0,J611*100/I611,0)</f>
        <v>0</v>
      </c>
      <c r="L611" s="1319"/>
      <c r="M611" s="1319"/>
      <c r="N611" s="1319"/>
      <c r="O611" s="1319"/>
      <c r="P611" s="1319"/>
      <c r="Q611" s="1244"/>
      <c r="R611" s="1244"/>
      <c r="S611" s="1244"/>
      <c r="T611" s="1244"/>
      <c r="U611" s="1244"/>
      <c r="V611" s="1244"/>
      <c r="W611" s="1244"/>
      <c r="X611" s="1244"/>
      <c r="Y611" s="1244"/>
      <c r="Z611" s="1244"/>
    </row>
    <row r="612" spans="1:26" ht="19.5" hidden="1">
      <c r="A612" s="1342"/>
      <c r="B612" s="1343"/>
      <c r="C612" s="1344" t="s">
        <v>262</v>
      </c>
      <c r="D612" s="1343"/>
      <c r="E612" s="1343"/>
      <c r="F612" s="1345"/>
      <c r="G612" s="1346"/>
      <c r="H612" s="680" t="s">
        <v>46</v>
      </c>
      <c r="I612" s="1347">
        <v>0</v>
      </c>
      <c r="J612" s="1347">
        <f t="shared" ref="J612:J613" si="259">J614+J616</f>
        <v>0</v>
      </c>
      <c r="K612" s="1348">
        <f t="shared" si="258"/>
        <v>0</v>
      </c>
      <c r="L612" s="1349"/>
      <c r="M612" s="1349"/>
      <c r="N612" s="1349"/>
      <c r="O612" s="1349"/>
      <c r="P612" s="1349"/>
      <c r="Q612" s="1264"/>
      <c r="R612" s="1264"/>
      <c r="S612" s="1264"/>
      <c r="T612" s="1264"/>
      <c r="U612" s="1264"/>
      <c r="V612" s="1264"/>
      <c r="W612" s="1264"/>
      <c r="X612" s="1264"/>
      <c r="Y612" s="1264"/>
      <c r="Z612" s="1264"/>
    </row>
    <row r="613" spans="1:26" ht="19.5" hidden="1">
      <c r="A613" s="1342"/>
      <c r="B613" s="1343"/>
      <c r="C613" s="1343" t="s">
        <v>263</v>
      </c>
      <c r="D613" s="1343"/>
      <c r="E613" s="1343"/>
      <c r="F613" s="1345"/>
      <c r="G613" s="1346"/>
      <c r="H613" s="680" t="s">
        <v>34</v>
      </c>
      <c r="I613" s="1347">
        <v>0</v>
      </c>
      <c r="J613" s="1347">
        <f t="shared" si="259"/>
        <v>0</v>
      </c>
      <c r="K613" s="1348">
        <f t="shared" si="258"/>
        <v>0</v>
      </c>
      <c r="L613" s="1349"/>
      <c r="M613" s="1349"/>
      <c r="N613" s="1349"/>
      <c r="O613" s="1349"/>
      <c r="P613" s="1349"/>
      <c r="Q613" s="1264"/>
      <c r="R613" s="1264"/>
      <c r="S613" s="1264"/>
      <c r="T613" s="1264"/>
      <c r="U613" s="1264"/>
      <c r="V613" s="1264"/>
      <c r="W613" s="1264"/>
      <c r="X613" s="1264"/>
      <c r="Y613" s="1264"/>
      <c r="Z613" s="1264"/>
    </row>
    <row r="614" spans="1:26" ht="18.75" hidden="1">
      <c r="A614" s="1273"/>
      <c r="B614" s="1274"/>
      <c r="C614" s="1274"/>
      <c r="D614" s="1262" t="s">
        <v>264</v>
      </c>
      <c r="E614" s="1274"/>
      <c r="F614" s="1262"/>
      <c r="G614" s="1060"/>
      <c r="H614" s="583" t="s">
        <v>46</v>
      </c>
      <c r="I614" s="836"/>
      <c r="J614" s="836">
        <v>0</v>
      </c>
      <c r="K614" s="948"/>
      <c r="L614" s="948"/>
      <c r="M614" s="948"/>
      <c r="N614" s="948"/>
      <c r="O614" s="948"/>
      <c r="P614" s="948"/>
      <c r="Q614" s="1264"/>
      <c r="R614" s="1264"/>
      <c r="S614" s="1264"/>
      <c r="T614" s="1264"/>
      <c r="U614" s="1264"/>
      <c r="V614" s="1264"/>
      <c r="W614" s="1264"/>
      <c r="X614" s="1264"/>
      <c r="Y614" s="1264"/>
      <c r="Z614" s="1264"/>
    </row>
    <row r="615" spans="1:26" ht="18.75" hidden="1">
      <c r="A615" s="1273"/>
      <c r="B615" s="1274"/>
      <c r="C615" s="1274"/>
      <c r="D615" s="1274"/>
      <c r="E615" s="1274"/>
      <c r="F615" s="1262"/>
      <c r="G615" s="1060"/>
      <c r="H615" s="583" t="s">
        <v>34</v>
      </c>
      <c r="I615" s="836"/>
      <c r="J615" s="836">
        <v>0</v>
      </c>
      <c r="K615" s="948"/>
      <c r="L615" s="948"/>
      <c r="M615" s="948"/>
      <c r="N615" s="948"/>
      <c r="O615" s="948"/>
      <c r="P615" s="948"/>
      <c r="Q615" s="1264"/>
      <c r="R615" s="1264"/>
      <c r="S615" s="1264"/>
      <c r="T615" s="1264"/>
      <c r="U615" s="1264"/>
      <c r="V615" s="1264"/>
      <c r="W615" s="1264"/>
      <c r="X615" s="1264"/>
      <c r="Y615" s="1264"/>
      <c r="Z615" s="1264"/>
    </row>
    <row r="616" spans="1:26" ht="18.75" hidden="1">
      <c r="A616" s="1273"/>
      <c r="B616" s="1274"/>
      <c r="C616" s="1274"/>
      <c r="D616" s="1350" t="s">
        <v>264</v>
      </c>
      <c r="E616" s="1262"/>
      <c r="F616" s="1262"/>
      <c r="G616" s="1060"/>
      <c r="H616" s="583" t="s">
        <v>46</v>
      </c>
      <c r="I616" s="836"/>
      <c r="J616" s="836">
        <v>0</v>
      </c>
      <c r="K616" s="948"/>
      <c r="L616" s="948"/>
      <c r="M616" s="948"/>
      <c r="N616" s="948"/>
      <c r="O616" s="948"/>
      <c r="P616" s="948"/>
      <c r="Q616" s="1264"/>
      <c r="R616" s="1264"/>
      <c r="S616" s="1264"/>
      <c r="T616" s="1264"/>
      <c r="U616" s="1264"/>
      <c r="V616" s="1264"/>
      <c r="W616" s="1264"/>
      <c r="X616" s="1264"/>
      <c r="Y616" s="1264"/>
      <c r="Z616" s="1264"/>
    </row>
    <row r="617" spans="1:26" ht="18.75" hidden="1">
      <c r="A617" s="1273"/>
      <c r="B617" s="1274"/>
      <c r="C617" s="1274"/>
      <c r="D617" s="1274"/>
      <c r="E617" s="1262"/>
      <c r="F617" s="1262"/>
      <c r="G617" s="1060"/>
      <c r="H617" s="583" t="s">
        <v>34</v>
      </c>
      <c r="I617" s="836"/>
      <c r="J617" s="836">
        <v>0</v>
      </c>
      <c r="K617" s="948"/>
      <c r="L617" s="948"/>
      <c r="M617" s="948"/>
      <c r="N617" s="948"/>
      <c r="O617" s="948"/>
      <c r="P617" s="948"/>
      <c r="Q617" s="1264"/>
      <c r="R617" s="1264"/>
      <c r="S617" s="1264"/>
      <c r="T617" s="1264"/>
      <c r="U617" s="1264"/>
      <c r="V617" s="1264"/>
      <c r="W617" s="1264"/>
      <c r="X617" s="1264"/>
      <c r="Y617" s="1264"/>
      <c r="Z617" s="1264"/>
    </row>
    <row r="618" spans="1:26" ht="18.75" hidden="1">
      <c r="A618" s="1273"/>
      <c r="B618" s="1274"/>
      <c r="C618" s="1274"/>
      <c r="D618" s="1350" t="s">
        <v>265</v>
      </c>
      <c r="E618" s="1262"/>
      <c r="F618" s="1262"/>
      <c r="G618" s="1060"/>
      <c r="H618" s="583" t="s">
        <v>46</v>
      </c>
      <c r="I618" s="836"/>
      <c r="J618" s="836">
        <v>0</v>
      </c>
      <c r="K618" s="948"/>
      <c r="L618" s="948"/>
      <c r="M618" s="948"/>
      <c r="N618" s="948"/>
      <c r="O618" s="948"/>
      <c r="P618" s="948"/>
      <c r="Q618" s="1264"/>
      <c r="R618" s="1264"/>
      <c r="S618" s="1264"/>
      <c r="T618" s="1264"/>
      <c r="U618" s="1264"/>
      <c r="V618" s="1264"/>
      <c r="W618" s="1264"/>
      <c r="X618" s="1264"/>
      <c r="Y618" s="1264"/>
      <c r="Z618" s="1264"/>
    </row>
    <row r="619" spans="1:26" ht="18.75" hidden="1">
      <c r="A619" s="1273"/>
      <c r="B619" s="1274"/>
      <c r="C619" s="1274"/>
      <c r="D619" s="1274"/>
      <c r="E619" s="1262"/>
      <c r="F619" s="1262"/>
      <c r="G619" s="1060"/>
      <c r="H619" s="583" t="s">
        <v>34</v>
      </c>
      <c r="I619" s="836"/>
      <c r="J619" s="836">
        <v>0</v>
      </c>
      <c r="K619" s="948"/>
      <c r="L619" s="948"/>
      <c r="M619" s="948"/>
      <c r="N619" s="948"/>
      <c r="O619" s="948"/>
      <c r="P619" s="948"/>
      <c r="Q619" s="1264"/>
      <c r="R619" s="1264"/>
      <c r="S619" s="1264"/>
      <c r="T619" s="1264"/>
      <c r="U619" s="1264"/>
      <c r="V619" s="1264"/>
      <c r="W619" s="1264"/>
      <c r="X619" s="1264"/>
      <c r="Y619" s="1264"/>
      <c r="Z619" s="1264"/>
    </row>
    <row r="620" spans="1:26" ht="19.5">
      <c r="A620" s="1351"/>
      <c r="B620" s="1352"/>
      <c r="C620" s="1353" t="s">
        <v>266</v>
      </c>
      <c r="D620" s="1352"/>
      <c r="E620" s="1352"/>
      <c r="F620" s="1354"/>
      <c r="G620" s="1355"/>
      <c r="H620" s="693" t="s">
        <v>46</v>
      </c>
      <c r="I620" s="1356">
        <f ca="1">IFERROR(__xludf.DUMMYFUNCTION("IMPORTRANGE(""https://docs.google.com/spreadsheets/d/1QqKyyYR6Q21VydFLVH3TRQUabQu_ym0Zz7PgGX0-kHA/edit?usp=sharing"",""แผน!HL22"")"),6)</f>
        <v>6</v>
      </c>
      <c r="J620" s="1356">
        <f t="shared" ref="J620:J621" si="260">J622+J624+J626</f>
        <v>0</v>
      </c>
      <c r="K620" s="1357">
        <f t="shared" ref="K620:K621" ca="1" si="261">IF(I620&gt;0,J620*100/I620,0)</f>
        <v>0</v>
      </c>
      <c r="L620" s="1358"/>
      <c r="M620" s="1358"/>
      <c r="N620" s="1358"/>
      <c r="O620" s="1358"/>
      <c r="P620" s="1358"/>
      <c r="Q620" s="1244"/>
      <c r="R620" s="1244"/>
      <c r="S620" s="1244"/>
      <c r="T620" s="1244"/>
      <c r="U620" s="1244"/>
      <c r="V620" s="1244"/>
      <c r="W620" s="1244"/>
      <c r="X620" s="1244"/>
      <c r="Y620" s="1244"/>
      <c r="Z620" s="1244"/>
    </row>
    <row r="621" spans="1:26" ht="19.5">
      <c r="A621" s="1351"/>
      <c r="B621" s="1352"/>
      <c r="C621" s="1352" t="s">
        <v>267</v>
      </c>
      <c r="D621" s="1352"/>
      <c r="E621" s="1352"/>
      <c r="F621" s="1354"/>
      <c r="G621" s="1355"/>
      <c r="H621" s="693" t="s">
        <v>34</v>
      </c>
      <c r="I621" s="1356">
        <f ca="1">IFERROR(__xludf.DUMMYFUNCTION("IMPORTRANGE(""https://docs.google.com/spreadsheets/d/1QqKyyYR6Q21VydFLVH3TRQUabQu_ym0Zz7PgGX0-kHA/edit?usp=sharing"",""แผน!HK22"")"),2)</f>
        <v>2</v>
      </c>
      <c r="J621" s="1356">
        <f t="shared" si="260"/>
        <v>0</v>
      </c>
      <c r="K621" s="1357">
        <f t="shared" ca="1" si="261"/>
        <v>0</v>
      </c>
      <c r="L621" s="1358"/>
      <c r="M621" s="1358"/>
      <c r="N621" s="1358"/>
      <c r="O621" s="1358"/>
      <c r="P621" s="1358"/>
      <c r="Q621" s="1244"/>
      <c r="R621" s="1244"/>
      <c r="S621" s="1244"/>
      <c r="T621" s="1244"/>
      <c r="U621" s="1244"/>
      <c r="V621" s="1244"/>
      <c r="W621" s="1244"/>
      <c r="X621" s="1244"/>
      <c r="Y621" s="1244"/>
      <c r="Z621" s="1244"/>
    </row>
    <row r="622" spans="1:26" ht="18.75">
      <c r="A622" s="1267"/>
      <c r="B622" s="1268"/>
      <c r="C622" s="1268"/>
      <c r="D622" s="1017" t="s">
        <v>268</v>
      </c>
      <c r="E622" s="961"/>
      <c r="F622" s="961"/>
      <c r="G622" s="954"/>
      <c r="H622" s="730" t="s">
        <v>46</v>
      </c>
      <c r="I622" s="830"/>
      <c r="J622" s="959">
        <v>0</v>
      </c>
      <c r="K622" s="945"/>
      <c r="L622" s="945"/>
      <c r="M622" s="945"/>
      <c r="N622" s="945"/>
      <c r="O622" s="945"/>
      <c r="P622" s="945"/>
      <c r="Q622" s="1244"/>
      <c r="R622" s="1244"/>
      <c r="S622" s="1244"/>
      <c r="T622" s="1244"/>
      <c r="U622" s="1244"/>
      <c r="V622" s="1244"/>
      <c r="W622" s="1244"/>
      <c r="X622" s="1244"/>
      <c r="Y622" s="1244"/>
      <c r="Z622" s="1244"/>
    </row>
    <row r="623" spans="1:26" ht="18.75">
      <c r="A623" s="1267"/>
      <c r="B623" s="1268"/>
      <c r="C623" s="1268"/>
      <c r="D623" s="1268"/>
      <c r="E623" s="961"/>
      <c r="F623" s="961"/>
      <c r="G623" s="954"/>
      <c r="H623" s="730" t="s">
        <v>34</v>
      </c>
      <c r="I623" s="830"/>
      <c r="J623" s="959">
        <v>0</v>
      </c>
      <c r="K623" s="945"/>
      <c r="L623" s="945"/>
      <c r="M623" s="945"/>
      <c r="N623" s="945"/>
      <c r="O623" s="945"/>
      <c r="P623" s="945"/>
      <c r="Q623" s="1244"/>
      <c r="R623" s="1244"/>
      <c r="S623" s="1244"/>
      <c r="T623" s="1244"/>
      <c r="U623" s="1244"/>
      <c r="V623" s="1244"/>
      <c r="W623" s="1244"/>
      <c r="X623" s="1244"/>
      <c r="Y623" s="1244"/>
      <c r="Z623" s="1244"/>
    </row>
    <row r="624" spans="1:26" ht="18.75">
      <c r="A624" s="1267"/>
      <c r="B624" s="1268"/>
      <c r="C624" s="1268"/>
      <c r="D624" s="1017" t="s">
        <v>264</v>
      </c>
      <c r="E624" s="961"/>
      <c r="F624" s="961"/>
      <c r="G624" s="954"/>
      <c r="H624" s="730" t="s">
        <v>46</v>
      </c>
      <c r="I624" s="830"/>
      <c r="J624" s="959">
        <v>0</v>
      </c>
      <c r="K624" s="945"/>
      <c r="L624" s="945"/>
      <c r="M624" s="945"/>
      <c r="N624" s="945"/>
      <c r="O624" s="945"/>
      <c r="P624" s="945"/>
      <c r="Q624" s="1244"/>
      <c r="R624" s="1244"/>
      <c r="S624" s="1244"/>
      <c r="T624" s="1244"/>
      <c r="U624" s="1244"/>
      <c r="V624" s="1244"/>
      <c r="W624" s="1244"/>
      <c r="X624" s="1244"/>
      <c r="Y624" s="1244"/>
      <c r="Z624" s="1244"/>
    </row>
    <row r="625" spans="1:26" ht="18.75">
      <c r="A625" s="1267"/>
      <c r="B625" s="1268"/>
      <c r="C625" s="1268"/>
      <c r="D625" s="1268"/>
      <c r="E625" s="961"/>
      <c r="F625" s="961"/>
      <c r="G625" s="954"/>
      <c r="H625" s="730" t="s">
        <v>34</v>
      </c>
      <c r="I625" s="830"/>
      <c r="J625" s="959">
        <v>0</v>
      </c>
      <c r="K625" s="945"/>
      <c r="L625" s="945"/>
      <c r="M625" s="945"/>
      <c r="N625" s="945"/>
      <c r="O625" s="945"/>
      <c r="P625" s="945"/>
      <c r="Q625" s="1244"/>
      <c r="R625" s="1244"/>
      <c r="S625" s="1244"/>
      <c r="T625" s="1244"/>
      <c r="U625" s="1244"/>
      <c r="V625" s="1244"/>
      <c r="W625" s="1244"/>
      <c r="X625" s="1244"/>
      <c r="Y625" s="1244"/>
      <c r="Z625" s="1244"/>
    </row>
    <row r="626" spans="1:26" ht="18.75">
      <c r="A626" s="1267"/>
      <c r="B626" s="1268"/>
      <c r="C626" s="1268"/>
      <c r="D626" s="1017" t="s">
        <v>269</v>
      </c>
      <c r="E626" s="961"/>
      <c r="F626" s="961"/>
      <c r="G626" s="954"/>
      <c r="H626" s="730" t="s">
        <v>46</v>
      </c>
      <c r="I626" s="830"/>
      <c r="J626" s="959">
        <v>0</v>
      </c>
      <c r="K626" s="945"/>
      <c r="L626" s="945"/>
      <c r="M626" s="945"/>
      <c r="N626" s="945"/>
      <c r="O626" s="945"/>
      <c r="P626" s="945"/>
      <c r="Q626" s="1244"/>
      <c r="R626" s="1244"/>
      <c r="S626" s="1244"/>
      <c r="T626" s="1244"/>
      <c r="U626" s="1244"/>
      <c r="V626" s="1244"/>
      <c r="W626" s="1244"/>
      <c r="X626" s="1244"/>
      <c r="Y626" s="1244"/>
      <c r="Z626" s="1244"/>
    </row>
    <row r="627" spans="1:26" ht="18.75">
      <c r="A627" s="1359"/>
      <c r="B627" s="1360"/>
      <c r="C627" s="1360"/>
      <c r="D627" s="1360"/>
      <c r="E627" s="1116"/>
      <c r="F627" s="1116"/>
      <c r="G627" s="1361"/>
      <c r="H627" s="391" t="s">
        <v>34</v>
      </c>
      <c r="I627" s="1085"/>
      <c r="J627" s="1118">
        <v>0</v>
      </c>
      <c r="K627" s="1086"/>
      <c r="L627" s="1086"/>
      <c r="M627" s="1086"/>
      <c r="N627" s="1086"/>
      <c r="O627" s="1086"/>
      <c r="P627" s="1086"/>
      <c r="Q627" s="1244"/>
      <c r="R627" s="1244"/>
      <c r="S627" s="1244"/>
      <c r="T627" s="1244"/>
      <c r="U627" s="1244"/>
      <c r="V627" s="1244"/>
      <c r="W627" s="1244"/>
      <c r="X627" s="1244"/>
      <c r="Y627" s="1244"/>
      <c r="Z627" s="1244"/>
    </row>
    <row r="628" spans="1:26" ht="19.5">
      <c r="A628" s="702">
        <v>7</v>
      </c>
      <c r="B628" s="1362" t="s">
        <v>270</v>
      </c>
      <c r="C628" s="1363"/>
      <c r="D628" s="1363"/>
      <c r="E628" s="1363"/>
      <c r="F628" s="1363"/>
      <c r="G628" s="1364"/>
      <c r="H628" s="706" t="s">
        <v>35</v>
      </c>
      <c r="I628" s="1365">
        <f t="shared" ref="I628:J628" ca="1" si="262">I651</f>
        <v>100</v>
      </c>
      <c r="J628" s="1365">
        <f t="shared" ca="1" si="262"/>
        <v>0</v>
      </c>
      <c r="K628" s="1366">
        <f ca="1">IF(I628&gt;0,J628*100/I628,0)</f>
        <v>0</v>
      </c>
      <c r="L628" s="1367"/>
      <c r="M628" s="1367"/>
      <c r="N628" s="1367"/>
      <c r="O628" s="1367"/>
      <c r="P628" s="1367"/>
      <c r="Q628" s="1244"/>
      <c r="R628" s="1244"/>
      <c r="S628" s="1244"/>
      <c r="T628" s="1244"/>
      <c r="U628" s="1244"/>
      <c r="V628" s="1244"/>
      <c r="W628" s="1244"/>
      <c r="X628" s="1244"/>
      <c r="Y628" s="1244"/>
      <c r="Z628" s="1244"/>
    </row>
    <row r="629" spans="1:26" ht="19.5">
      <c r="A629" s="1259"/>
      <c r="B629" s="1243"/>
      <c r="C629" s="1243" t="s">
        <v>16</v>
      </c>
      <c r="D629" s="1507" t="s">
        <v>17</v>
      </c>
      <c r="E629" s="1485"/>
      <c r="F629" s="1485"/>
      <c r="G629" s="963"/>
      <c r="H629" s="563" t="s">
        <v>12</v>
      </c>
      <c r="I629" s="830"/>
      <c r="J629" s="830"/>
      <c r="K629" s="831"/>
      <c r="L629" s="967">
        <f t="shared" ref="L629:N629" ca="1" si="263">L630+L631</f>
        <v>354995</v>
      </c>
      <c r="M629" s="967">
        <f t="shared" si="263"/>
        <v>0</v>
      </c>
      <c r="N629" s="967">
        <f t="shared" si="263"/>
        <v>100637.6</v>
      </c>
      <c r="O629" s="967">
        <f t="shared" ref="O629:O634" ca="1" si="264">IF(L629&gt;0,N629*100/L629,0)</f>
        <v>28.34901900026761</v>
      </c>
      <c r="P629" s="967">
        <f t="shared" ref="P629:P634" si="265">IF(M629&gt;0,N629*100/M629,0)</f>
        <v>0</v>
      </c>
      <c r="Q629" s="1244"/>
      <c r="R629" s="1244"/>
      <c r="S629" s="1244"/>
      <c r="T629" s="1244"/>
      <c r="U629" s="1244"/>
      <c r="V629" s="1244"/>
      <c r="W629" s="1244"/>
      <c r="X629" s="1244"/>
      <c r="Y629" s="1244"/>
      <c r="Z629" s="1244"/>
    </row>
    <row r="630" spans="1:26" ht="18.75" hidden="1">
      <c r="A630" s="1260"/>
      <c r="B630" s="1261"/>
      <c r="C630" s="1261"/>
      <c r="D630" s="1262"/>
      <c r="E630" s="1261" t="s">
        <v>184</v>
      </c>
      <c r="F630" s="1261"/>
      <c r="G630" s="1263"/>
      <c r="H630" s="165" t="s">
        <v>12</v>
      </c>
      <c r="I630" s="836"/>
      <c r="J630" s="836"/>
      <c r="K630" s="837"/>
      <c r="L630" s="837">
        <f t="shared" ref="L630:N631" si="266">L633+L640</f>
        <v>0</v>
      </c>
      <c r="M630" s="837">
        <f t="shared" si="266"/>
        <v>0</v>
      </c>
      <c r="N630" s="837">
        <f t="shared" si="266"/>
        <v>0</v>
      </c>
      <c r="O630" s="837">
        <f t="shared" si="264"/>
        <v>0</v>
      </c>
      <c r="P630" s="837">
        <f t="shared" si="265"/>
        <v>0</v>
      </c>
      <c r="Q630" s="1264"/>
      <c r="R630" s="1264"/>
      <c r="S630" s="1264"/>
      <c r="T630" s="1264"/>
      <c r="U630" s="1264"/>
      <c r="V630" s="1264"/>
      <c r="W630" s="1264"/>
      <c r="X630" s="1264"/>
      <c r="Y630" s="1264"/>
      <c r="Z630" s="1264"/>
    </row>
    <row r="631" spans="1:26" ht="18.75" hidden="1">
      <c r="A631" s="1260"/>
      <c r="B631" s="1265"/>
      <c r="C631" s="1261"/>
      <c r="D631" s="1262"/>
      <c r="E631" s="1261" t="s">
        <v>185</v>
      </c>
      <c r="F631" s="1261"/>
      <c r="G631" s="1263"/>
      <c r="H631" s="165" t="s">
        <v>12</v>
      </c>
      <c r="I631" s="836"/>
      <c r="J631" s="836"/>
      <c r="K631" s="837"/>
      <c r="L631" s="837">
        <f t="shared" ca="1" si="266"/>
        <v>354995</v>
      </c>
      <c r="M631" s="837">
        <f t="shared" si="266"/>
        <v>0</v>
      </c>
      <c r="N631" s="837">
        <f t="shared" si="266"/>
        <v>100637.6</v>
      </c>
      <c r="O631" s="837">
        <f t="shared" ca="1" si="264"/>
        <v>28.34901900026761</v>
      </c>
      <c r="P631" s="837">
        <f t="shared" si="265"/>
        <v>0</v>
      </c>
      <c r="Q631" s="1264"/>
      <c r="R631" s="1264"/>
      <c r="S631" s="1264"/>
      <c r="T631" s="1264"/>
      <c r="U631" s="1264"/>
      <c r="V631" s="1264"/>
      <c r="W631" s="1264"/>
      <c r="X631" s="1264"/>
      <c r="Y631" s="1264"/>
      <c r="Z631" s="1264"/>
    </row>
    <row r="632" spans="1:26" ht="18.75">
      <c r="A632" s="1259"/>
      <c r="B632" s="1242"/>
      <c r="C632" s="1243"/>
      <c r="D632" s="1266" t="s">
        <v>20</v>
      </c>
      <c r="E632" s="1243"/>
      <c r="F632" s="1243"/>
      <c r="G632" s="963"/>
      <c r="H632" s="778" t="s">
        <v>12</v>
      </c>
      <c r="I632" s="944"/>
      <c r="J632" s="944"/>
      <c r="K632" s="945"/>
      <c r="L632" s="831">
        <f t="shared" ref="L632:N632" ca="1" si="267">L633+L634</f>
        <v>354995</v>
      </c>
      <c r="M632" s="831">
        <f t="shared" si="267"/>
        <v>0</v>
      </c>
      <c r="N632" s="831">
        <f t="shared" si="267"/>
        <v>100637.6</v>
      </c>
      <c r="O632" s="831">
        <f t="shared" ca="1" si="264"/>
        <v>28.34901900026761</v>
      </c>
      <c r="P632" s="831">
        <f t="shared" si="265"/>
        <v>0</v>
      </c>
      <c r="Q632" s="1244"/>
      <c r="R632" s="1244"/>
      <c r="S632" s="1244"/>
      <c r="T632" s="1244"/>
      <c r="U632" s="1244"/>
      <c r="V632" s="1244"/>
      <c r="W632" s="1244"/>
      <c r="X632" s="1244"/>
      <c r="Y632" s="1244"/>
      <c r="Z632" s="1244"/>
    </row>
    <row r="633" spans="1:26" ht="18.75" hidden="1">
      <c r="A633" s="1260"/>
      <c r="B633" s="1265"/>
      <c r="C633" s="1261"/>
      <c r="D633" s="1262"/>
      <c r="E633" s="1261" t="s">
        <v>184</v>
      </c>
      <c r="F633" s="1261"/>
      <c r="G633" s="1263"/>
      <c r="H633" s="165" t="s">
        <v>12</v>
      </c>
      <c r="I633" s="836"/>
      <c r="J633" s="836"/>
      <c r="K633" s="837"/>
      <c r="L633" s="837">
        <v>0</v>
      </c>
      <c r="M633" s="837">
        <v>0</v>
      </c>
      <c r="N633" s="837">
        <v>0</v>
      </c>
      <c r="O633" s="837">
        <f t="shared" si="264"/>
        <v>0</v>
      </c>
      <c r="P633" s="837">
        <f t="shared" si="265"/>
        <v>0</v>
      </c>
      <c r="Q633" s="1264"/>
      <c r="R633" s="1264"/>
      <c r="S633" s="1264"/>
      <c r="T633" s="1264"/>
      <c r="U633" s="1264"/>
      <c r="V633" s="1264"/>
      <c r="W633" s="1264"/>
      <c r="X633" s="1264"/>
      <c r="Y633" s="1264"/>
      <c r="Z633" s="1264"/>
    </row>
    <row r="634" spans="1:26" ht="18.75" hidden="1">
      <c r="A634" s="1260"/>
      <c r="B634" s="1265"/>
      <c r="C634" s="1261"/>
      <c r="D634" s="1262"/>
      <c r="E634" s="1261" t="s">
        <v>185</v>
      </c>
      <c r="F634" s="1261"/>
      <c r="G634" s="1263"/>
      <c r="H634" s="165" t="s">
        <v>12</v>
      </c>
      <c r="I634" s="836"/>
      <c r="J634" s="836"/>
      <c r="K634" s="837"/>
      <c r="L634" s="837">
        <f ca="1">IFERROR(__xludf.DUMMYFUNCTION("IMPORTRANGE(""https://docs.google.com/spreadsheets/d/1QqKyyYR6Q21VydFLVH3TRQUabQu_ym0Zz7PgGX0-kHA/edit?usp=sharing"",""แผน!HN22"")"),354995)</f>
        <v>354995</v>
      </c>
      <c r="M634" s="837">
        <v>0</v>
      </c>
      <c r="N634" s="837">
        <f>N635+N636+N637+N638</f>
        <v>100637.6</v>
      </c>
      <c r="O634" s="837">
        <f t="shared" ca="1" si="264"/>
        <v>28.34901900026761</v>
      </c>
      <c r="P634" s="837">
        <f t="shared" si="265"/>
        <v>0</v>
      </c>
      <c r="Q634" s="1264"/>
      <c r="R634" s="1264"/>
      <c r="S634" s="1264"/>
      <c r="T634" s="1264"/>
      <c r="U634" s="1264"/>
      <c r="V634" s="1264"/>
      <c r="W634" s="1264"/>
      <c r="X634" s="1264"/>
      <c r="Y634" s="1264"/>
      <c r="Z634" s="1264"/>
    </row>
    <row r="635" spans="1:26" ht="18.75">
      <c r="A635" s="1241"/>
      <c r="B635" s="1242"/>
      <c r="C635" s="1243"/>
      <c r="D635" s="1243"/>
      <c r="E635" s="1243"/>
      <c r="F635" s="1243" t="s">
        <v>186</v>
      </c>
      <c r="G635" s="963"/>
      <c r="H635" s="778" t="s">
        <v>12</v>
      </c>
      <c r="I635" s="830"/>
      <c r="J635" s="830"/>
      <c r="K635" s="831"/>
      <c r="L635" s="831"/>
      <c r="M635" s="831"/>
      <c r="N635" s="1031">
        <v>0</v>
      </c>
      <c r="O635" s="831"/>
      <c r="P635" s="831"/>
      <c r="Q635" s="1244"/>
      <c r="R635" s="1244"/>
      <c r="S635" s="1244"/>
      <c r="T635" s="1244"/>
      <c r="U635" s="1244"/>
      <c r="V635" s="1244"/>
      <c r="W635" s="1244"/>
      <c r="X635" s="1244"/>
      <c r="Y635" s="1244"/>
      <c r="Z635" s="1244"/>
    </row>
    <row r="636" spans="1:26" ht="18.75">
      <c r="A636" s="1241"/>
      <c r="B636" s="1242"/>
      <c r="C636" s="1243"/>
      <c r="D636" s="1243"/>
      <c r="E636" s="1243"/>
      <c r="F636" s="1243" t="s">
        <v>187</v>
      </c>
      <c r="G636" s="963"/>
      <c r="H636" s="778" t="s">
        <v>12</v>
      </c>
      <c r="I636" s="830"/>
      <c r="J636" s="830"/>
      <c r="K636" s="831"/>
      <c r="L636" s="831"/>
      <c r="M636" s="831"/>
      <c r="N636" s="1031">
        <v>0</v>
      </c>
      <c r="O636" s="831"/>
      <c r="P636" s="831"/>
      <c r="Q636" s="1244"/>
      <c r="R636" s="1244"/>
      <c r="S636" s="1244"/>
      <c r="T636" s="1244"/>
      <c r="U636" s="1244"/>
      <c r="V636" s="1244"/>
      <c r="W636" s="1244"/>
      <c r="X636" s="1244"/>
      <c r="Y636" s="1244"/>
      <c r="Z636" s="1244"/>
    </row>
    <row r="637" spans="1:26" ht="18.75">
      <c r="A637" s="1241"/>
      <c r="B637" s="1242"/>
      <c r="C637" s="1243"/>
      <c r="D637" s="1243"/>
      <c r="E637" s="1243"/>
      <c r="F637" s="1243" t="s">
        <v>188</v>
      </c>
      <c r="G637" s="963"/>
      <c r="H637" s="778" t="s">
        <v>12</v>
      </c>
      <c r="I637" s="830"/>
      <c r="J637" s="830"/>
      <c r="K637" s="831"/>
      <c r="L637" s="831"/>
      <c r="M637" s="831"/>
      <c r="N637" s="1031">
        <v>51566.67</v>
      </c>
      <c r="O637" s="831"/>
      <c r="P637" s="831"/>
      <c r="Q637" s="1244"/>
      <c r="R637" s="1244"/>
      <c r="S637" s="1244"/>
      <c r="T637" s="1244"/>
      <c r="U637" s="1244"/>
      <c r="V637" s="1244"/>
      <c r="W637" s="1244"/>
      <c r="X637" s="1244"/>
      <c r="Y637" s="1244"/>
      <c r="Z637" s="1244"/>
    </row>
    <row r="638" spans="1:26" ht="18.75">
      <c r="A638" s="1241"/>
      <c r="B638" s="1242"/>
      <c r="C638" s="1243"/>
      <c r="D638" s="1243"/>
      <c r="E638" s="1243"/>
      <c r="F638" s="1243" t="s">
        <v>189</v>
      </c>
      <c r="G638" s="963"/>
      <c r="H638" s="778" t="s">
        <v>12</v>
      </c>
      <c r="I638" s="830"/>
      <c r="J638" s="830"/>
      <c r="K638" s="831"/>
      <c r="L638" s="831"/>
      <c r="M638" s="831"/>
      <c r="N638" s="1031">
        <v>49070.93</v>
      </c>
      <c r="O638" s="831"/>
      <c r="P638" s="831"/>
      <c r="Q638" s="1244"/>
      <c r="R638" s="1244"/>
      <c r="S638" s="1244"/>
      <c r="T638" s="1244"/>
      <c r="U638" s="1244"/>
      <c r="V638" s="1244"/>
      <c r="W638" s="1244"/>
      <c r="X638" s="1244"/>
      <c r="Y638" s="1244"/>
      <c r="Z638" s="1244"/>
    </row>
    <row r="639" spans="1:26" ht="18.75">
      <c r="A639" s="1259"/>
      <c r="B639" s="1242"/>
      <c r="C639" s="1243"/>
      <c r="D639" s="1266" t="s">
        <v>21</v>
      </c>
      <c r="E639" s="1243"/>
      <c r="F639" s="1243"/>
      <c r="G639" s="963"/>
      <c r="H639" s="168" t="s">
        <v>12</v>
      </c>
      <c r="I639" s="944"/>
      <c r="J639" s="944"/>
      <c r="K639" s="945"/>
      <c r="L639" s="831">
        <f t="shared" ref="L639:N639" ca="1" si="268">L640+L641</f>
        <v>0</v>
      </c>
      <c r="M639" s="831">
        <f t="shared" si="268"/>
        <v>0</v>
      </c>
      <c r="N639" s="831">
        <f t="shared" si="268"/>
        <v>0</v>
      </c>
      <c r="O639" s="831">
        <f t="shared" ref="O639:O641" ca="1" si="269">IF(L639&gt;0,N639*100/L639,0)</f>
        <v>0</v>
      </c>
      <c r="P639" s="831">
        <f t="shared" ref="P639:P641" si="270">IF(M639&gt;0,N639*100/M639,0)</f>
        <v>0</v>
      </c>
      <c r="Q639" s="1244"/>
      <c r="R639" s="1244"/>
      <c r="S639" s="1244"/>
      <c r="T639" s="1244"/>
      <c r="U639" s="1244"/>
      <c r="V639" s="1244"/>
      <c r="W639" s="1244"/>
      <c r="X639" s="1244"/>
      <c r="Y639" s="1244"/>
      <c r="Z639" s="1244"/>
    </row>
    <row r="640" spans="1:26" ht="18.75" hidden="1">
      <c r="A640" s="1260"/>
      <c r="B640" s="1265"/>
      <c r="C640" s="1261"/>
      <c r="D640" s="1261"/>
      <c r="E640" s="1261" t="s">
        <v>18</v>
      </c>
      <c r="F640" s="1261"/>
      <c r="G640" s="1263"/>
      <c r="H640" s="165" t="s">
        <v>12</v>
      </c>
      <c r="I640" s="947"/>
      <c r="J640" s="947"/>
      <c r="K640" s="948"/>
      <c r="L640" s="837">
        <v>0</v>
      </c>
      <c r="M640" s="837">
        <v>0</v>
      </c>
      <c r="N640" s="837">
        <v>0</v>
      </c>
      <c r="O640" s="837">
        <f t="shared" si="269"/>
        <v>0</v>
      </c>
      <c r="P640" s="837">
        <f t="shared" si="270"/>
        <v>0</v>
      </c>
      <c r="Q640" s="1264"/>
      <c r="R640" s="1264"/>
      <c r="S640" s="1264"/>
      <c r="T640" s="1264"/>
      <c r="U640" s="1264"/>
      <c r="V640" s="1264"/>
      <c r="W640" s="1264"/>
      <c r="X640" s="1264"/>
      <c r="Y640" s="1264"/>
      <c r="Z640" s="1264"/>
    </row>
    <row r="641" spans="1:26" ht="18.75" hidden="1">
      <c r="A641" s="1260"/>
      <c r="B641" s="1265"/>
      <c r="C641" s="1261"/>
      <c r="D641" s="1261"/>
      <c r="E641" s="1261" t="s">
        <v>19</v>
      </c>
      <c r="F641" s="1261"/>
      <c r="G641" s="1263"/>
      <c r="H641" s="169" t="s">
        <v>12</v>
      </c>
      <c r="I641" s="947"/>
      <c r="J641" s="947"/>
      <c r="K641" s="948"/>
      <c r="L641" s="837">
        <f ca="1">IFERROR(__xludf.DUMMYFUNCTION("IMPORTRANGE(""https://docs.google.com/spreadsheets/d/1QqKyyYR6Q21VydFLVH3TRQUabQu_ym0Zz7PgGX0-kHA/edit?usp=sharing"",""แผน!HQ22"")"),0)</f>
        <v>0</v>
      </c>
      <c r="M641" s="837">
        <v>0</v>
      </c>
      <c r="N641" s="837">
        <v>0</v>
      </c>
      <c r="O641" s="837">
        <f t="shared" ca="1" si="269"/>
        <v>0</v>
      </c>
      <c r="P641" s="837">
        <f t="shared" si="270"/>
        <v>0</v>
      </c>
      <c r="Q641" s="1264"/>
      <c r="R641" s="1264"/>
      <c r="S641" s="1264"/>
      <c r="T641" s="1264"/>
      <c r="U641" s="1264"/>
      <c r="V641" s="1264"/>
      <c r="W641" s="1264"/>
      <c r="X641" s="1264"/>
      <c r="Y641" s="1264"/>
      <c r="Z641" s="1264"/>
    </row>
    <row r="642" spans="1:26" ht="19.5">
      <c r="A642" s="1267"/>
      <c r="B642" s="1268"/>
      <c r="C642" s="1243" t="s">
        <v>16</v>
      </c>
      <c r="D642" s="1320" t="s">
        <v>38</v>
      </c>
      <c r="E642" s="1271"/>
      <c r="F642" s="1271"/>
      <c r="G642" s="1272"/>
      <c r="H642" s="954"/>
      <c r="I642" s="944"/>
      <c r="J642" s="944"/>
      <c r="K642" s="945"/>
      <c r="L642" s="945"/>
      <c r="M642" s="945"/>
      <c r="N642" s="945"/>
      <c r="O642" s="945"/>
      <c r="P642" s="945"/>
      <c r="Q642" s="1244"/>
      <c r="R642" s="1244"/>
      <c r="S642" s="1244"/>
      <c r="T642" s="1244"/>
      <c r="U642" s="1244"/>
      <c r="V642" s="1244"/>
      <c r="W642" s="1244"/>
      <c r="X642" s="1244"/>
      <c r="Y642" s="1244"/>
      <c r="Z642" s="1244"/>
    </row>
    <row r="643" spans="1:26" ht="18.75">
      <c r="A643" s="1368"/>
      <c r="B643" s="1242"/>
      <c r="C643" s="1243"/>
      <c r="D643" s="961"/>
      <c r="E643" s="1017" t="s">
        <v>271</v>
      </c>
      <c r="F643" s="961"/>
      <c r="G643" s="954"/>
      <c r="H643" s="730" t="s">
        <v>272</v>
      </c>
      <c r="I643" s="830">
        <f ca="1">IFERROR(__xludf.DUMMYFUNCTION("IMPORTRANGE(""https://docs.google.com/spreadsheets/d/1QqKyyYR6Q21VydFLVH3TRQUabQu_ym0Zz7PgGX0-kHA/edit?usp=sharing"",""แผน!HR22"")"),0)</f>
        <v>0</v>
      </c>
      <c r="J643" s="959">
        <v>0</v>
      </c>
      <c r="K643" s="945">
        <f t="shared" ref="K643:K652" ca="1" si="271">IF(I643&gt;0,J643*100/I643,0)</f>
        <v>0</v>
      </c>
      <c r="L643" s="945"/>
      <c r="M643" s="945"/>
      <c r="N643" s="831"/>
      <c r="O643" s="945"/>
      <c r="P643" s="945"/>
      <c r="Q643" s="1244"/>
      <c r="R643" s="1244"/>
      <c r="S643" s="1244"/>
      <c r="T643" s="1244"/>
      <c r="U643" s="1244"/>
      <c r="V643" s="1244"/>
      <c r="W643" s="1244"/>
      <c r="X643" s="1244"/>
      <c r="Y643" s="1244"/>
      <c r="Z643" s="1244"/>
    </row>
    <row r="644" spans="1:26" ht="18.75">
      <c r="A644" s="1368"/>
      <c r="B644" s="1242"/>
      <c r="C644" s="1243"/>
      <c r="D644" s="961"/>
      <c r="E644" s="1017" t="s">
        <v>273</v>
      </c>
      <c r="F644" s="961"/>
      <c r="G644" s="954"/>
      <c r="H644" s="730" t="s">
        <v>274</v>
      </c>
      <c r="I644" s="830">
        <f ca="1">IFERROR(__xludf.DUMMYFUNCTION("IMPORTRANGE(""https://docs.google.com/spreadsheets/d/1QqKyyYR6Q21VydFLVH3TRQUabQu_ym0Zz7PgGX0-kHA/edit?usp=sharing"",""แผน!HR22"")"),0)</f>
        <v>0</v>
      </c>
      <c r="J644" s="959">
        <v>0</v>
      </c>
      <c r="K644" s="945">
        <f t="shared" ca="1" si="271"/>
        <v>0</v>
      </c>
      <c r="L644" s="945"/>
      <c r="M644" s="945"/>
      <c r="N644" s="831"/>
      <c r="O644" s="945"/>
      <c r="P644" s="945"/>
      <c r="Q644" s="1244"/>
      <c r="R644" s="1244"/>
      <c r="S644" s="1244"/>
      <c r="T644" s="1244"/>
      <c r="U644" s="1244"/>
      <c r="V644" s="1244"/>
      <c r="W644" s="1244"/>
      <c r="X644" s="1244"/>
      <c r="Y644" s="1244"/>
      <c r="Z644" s="1244"/>
    </row>
    <row r="645" spans="1:26" ht="18.75">
      <c r="A645" s="1368"/>
      <c r="B645" s="1242"/>
      <c r="C645" s="1243"/>
      <c r="D645" s="961"/>
      <c r="E645" s="1017" t="s">
        <v>275</v>
      </c>
      <c r="F645" s="961"/>
      <c r="G645" s="954"/>
      <c r="H645" s="730" t="s">
        <v>34</v>
      </c>
      <c r="I645" s="830">
        <v>0</v>
      </c>
      <c r="J645" s="830">
        <f ca="1">IFERROR(__xludf.DUMMYFUNCTION("IMPORTRANGE(""https://docs.google.com/spreadsheets/d/1XWAQStnk-4SwqDmLtmXYiTMKHgktTP8We1SCoS47DrQ/edit?usp=sharing"",""จัดที่ดิน!AS22"")"),0)</f>
        <v>0</v>
      </c>
      <c r="K645" s="945">
        <f t="shared" si="271"/>
        <v>0</v>
      </c>
      <c r="L645" s="945"/>
      <c r="M645" s="945"/>
      <c r="N645" s="831"/>
      <c r="O645" s="945"/>
      <c r="P645" s="945"/>
      <c r="Q645" s="1244"/>
      <c r="R645" s="1244"/>
      <c r="S645" s="1244"/>
      <c r="T645" s="1244"/>
      <c r="U645" s="1244"/>
      <c r="V645" s="1244"/>
      <c r="W645" s="1244"/>
      <c r="X645" s="1244"/>
      <c r="Y645" s="1244"/>
      <c r="Z645" s="1244"/>
    </row>
    <row r="646" spans="1:26" ht="18.75">
      <c r="A646" s="1368"/>
      <c r="B646" s="1242"/>
      <c r="C646" s="1243"/>
      <c r="D646" s="961"/>
      <c r="E646" s="961"/>
      <c r="F646" s="961"/>
      <c r="G646" s="954"/>
      <c r="H646" s="730" t="s">
        <v>46</v>
      </c>
      <c r="I646" s="830">
        <v>0</v>
      </c>
      <c r="J646" s="830">
        <f ca="1">IFERROR(__xludf.DUMMYFUNCTION("IMPORTRANGE(""https://docs.google.com/spreadsheets/d/1XWAQStnk-4SwqDmLtmXYiTMKHgktTP8We1SCoS47DrQ/edit?usp=sharing"",""จัดที่ดิน!AT22"")"),0)</f>
        <v>0</v>
      </c>
      <c r="K646" s="831">
        <f t="shared" si="271"/>
        <v>0</v>
      </c>
      <c r="L646" s="945"/>
      <c r="M646" s="945"/>
      <c r="N646" s="831"/>
      <c r="O646" s="945"/>
      <c r="P646" s="945"/>
      <c r="Q646" s="1244"/>
      <c r="R646" s="1244"/>
      <c r="S646" s="1244"/>
      <c r="T646" s="1244"/>
      <c r="U646" s="1244"/>
      <c r="V646" s="1244"/>
      <c r="W646" s="1244"/>
      <c r="X646" s="1244"/>
      <c r="Y646" s="1244"/>
      <c r="Z646" s="1244"/>
    </row>
    <row r="647" spans="1:26" ht="18.75">
      <c r="A647" s="1368"/>
      <c r="B647" s="1242"/>
      <c r="C647" s="1243"/>
      <c r="D647" s="961"/>
      <c r="E647" s="1017" t="s">
        <v>162</v>
      </c>
      <c r="F647" s="961"/>
      <c r="G647" s="954"/>
      <c r="H647" s="730" t="s">
        <v>35</v>
      </c>
      <c r="I647" s="830">
        <f ca="1">IFERROR(__xludf.DUMMYFUNCTION("IMPORTRANGE(""https://docs.google.com/spreadsheets/d/1QqKyyYR6Q21VydFLVH3TRQUabQu_ym0Zz7PgGX0-kHA/edit?usp=sharing"",""แผน!HS22"")"),100)</f>
        <v>100</v>
      </c>
      <c r="J647" s="830">
        <f ca="1">IFERROR(__xludf.DUMMYFUNCTION("IMPORTRANGE(""https://docs.google.com/spreadsheets/d/1XWAQStnk-4SwqDmLtmXYiTMKHgktTP8We1SCoS47DrQ/edit?usp=sharing"",""จัดที่ดิน!AU22"")"),32)</f>
        <v>32</v>
      </c>
      <c r="K647" s="945">
        <f t="shared" ca="1" si="271"/>
        <v>32</v>
      </c>
      <c r="L647" s="945"/>
      <c r="M647" s="945"/>
      <c r="N647" s="945"/>
      <c r="O647" s="945"/>
      <c r="P647" s="945"/>
      <c r="Q647" s="1244"/>
      <c r="R647" s="1244"/>
      <c r="S647" s="1244"/>
      <c r="T647" s="1244"/>
      <c r="U647" s="1244"/>
      <c r="V647" s="1244"/>
      <c r="W647" s="1244"/>
      <c r="X647" s="1244"/>
      <c r="Y647" s="1244"/>
      <c r="Z647" s="1244"/>
    </row>
    <row r="648" spans="1:26" ht="18.75">
      <c r="A648" s="1368"/>
      <c r="B648" s="1242"/>
      <c r="C648" s="1243"/>
      <c r="D648" s="961"/>
      <c r="E648" s="961"/>
      <c r="F648" s="961"/>
      <c r="G648" s="954"/>
      <c r="H648" s="730" t="s">
        <v>46</v>
      </c>
      <c r="I648" s="830">
        <v>0</v>
      </c>
      <c r="J648" s="830">
        <f ca="1">IFERROR(__xludf.DUMMYFUNCTION("IMPORTRANGE(""https://docs.google.com/spreadsheets/d/1XWAQStnk-4SwqDmLtmXYiTMKHgktTP8We1SCoS47DrQ/edit?usp=sharing"",""จัดที่ดิน!AV22"")"),41.46)</f>
        <v>41.46</v>
      </c>
      <c r="K648" s="831">
        <f t="shared" si="271"/>
        <v>0</v>
      </c>
      <c r="L648" s="945"/>
      <c r="M648" s="945"/>
      <c r="N648" s="945"/>
      <c r="O648" s="945"/>
      <c r="P648" s="945"/>
      <c r="Q648" s="1244"/>
      <c r="R648" s="1244"/>
      <c r="S648" s="1244"/>
      <c r="T648" s="1244"/>
      <c r="U648" s="1244"/>
      <c r="V648" s="1244"/>
      <c r="W648" s="1244"/>
      <c r="X648" s="1244"/>
      <c r="Y648" s="1244"/>
      <c r="Z648" s="1244"/>
    </row>
    <row r="649" spans="1:26" ht="18.75">
      <c r="A649" s="1368"/>
      <c r="B649" s="1242"/>
      <c r="C649" s="1243"/>
      <c r="D649" s="961"/>
      <c r="E649" s="1017" t="s">
        <v>276</v>
      </c>
      <c r="F649" s="961"/>
      <c r="G649" s="954"/>
      <c r="H649" s="730" t="s">
        <v>35</v>
      </c>
      <c r="I649" s="830">
        <f ca="1">IFERROR(__xludf.DUMMYFUNCTION("IMPORTRANGE(""https://docs.google.com/spreadsheets/d/1QqKyyYR6Q21VydFLVH3TRQUabQu_ym0Zz7PgGX0-kHA/edit?usp=sharing"",""แผน!HS22"")"),100)</f>
        <v>100</v>
      </c>
      <c r="J649" s="830">
        <f ca="1">IFERROR(__xludf.DUMMYFUNCTION("IMPORTRANGE(""https://docs.google.com/spreadsheets/d/1XWAQStnk-4SwqDmLtmXYiTMKHgktTP8We1SCoS47DrQ/edit?usp=sharing"",""จัดที่ดิน!AW22"")"),32)</f>
        <v>32</v>
      </c>
      <c r="K649" s="945">
        <f t="shared" ca="1" si="271"/>
        <v>32</v>
      </c>
      <c r="L649" s="945"/>
      <c r="M649" s="945"/>
      <c r="N649" s="945"/>
      <c r="O649" s="945"/>
      <c r="P649" s="945"/>
      <c r="Q649" s="1244"/>
      <c r="R649" s="1244"/>
      <c r="S649" s="1244"/>
      <c r="T649" s="1244"/>
      <c r="U649" s="1244"/>
      <c r="V649" s="1244"/>
      <c r="W649" s="1244"/>
      <c r="X649" s="1244"/>
      <c r="Y649" s="1244"/>
      <c r="Z649" s="1244"/>
    </row>
    <row r="650" spans="1:26" ht="18.75">
      <c r="A650" s="1368"/>
      <c r="B650" s="1242"/>
      <c r="C650" s="1243"/>
      <c r="D650" s="961"/>
      <c r="E650" s="961"/>
      <c r="F650" s="961"/>
      <c r="G650" s="954"/>
      <c r="H650" s="730" t="s">
        <v>46</v>
      </c>
      <c r="I650" s="830">
        <v>0</v>
      </c>
      <c r="J650" s="830">
        <f ca="1">IFERROR(__xludf.DUMMYFUNCTION("IMPORTRANGE(""https://docs.google.com/spreadsheets/d/1XWAQStnk-4SwqDmLtmXYiTMKHgktTP8We1SCoS47DrQ/edit?usp=sharing"",""จัดที่ดิน!AX22"")"),41.46)</f>
        <v>41.46</v>
      </c>
      <c r="K650" s="831">
        <f t="shared" si="271"/>
        <v>0</v>
      </c>
      <c r="L650" s="945"/>
      <c r="M650" s="945"/>
      <c r="N650" s="945"/>
      <c r="O650" s="945"/>
      <c r="P650" s="945"/>
      <c r="Q650" s="1244"/>
      <c r="R650" s="1244"/>
      <c r="S650" s="1244"/>
      <c r="T650" s="1244"/>
      <c r="U650" s="1244"/>
      <c r="V650" s="1244"/>
      <c r="W650" s="1244"/>
      <c r="X650" s="1244"/>
      <c r="Y650" s="1244"/>
      <c r="Z650" s="1244"/>
    </row>
    <row r="651" spans="1:26" ht="18.75">
      <c r="A651" s="1368"/>
      <c r="B651" s="1242"/>
      <c r="C651" s="1243"/>
      <c r="D651" s="961"/>
      <c r="E651" s="1017" t="s">
        <v>277</v>
      </c>
      <c r="F651" s="961"/>
      <c r="G651" s="954"/>
      <c r="H651" s="730" t="s">
        <v>35</v>
      </c>
      <c r="I651" s="830">
        <f ca="1">IFERROR(__xludf.DUMMYFUNCTION("IMPORTRANGE(""https://docs.google.com/spreadsheets/d/1QqKyyYR6Q21VydFLVH3TRQUabQu_ym0Zz7PgGX0-kHA/edit?usp=sharing"",""แผน!HS22"")"),100)</f>
        <v>100</v>
      </c>
      <c r="J651" s="830">
        <f ca="1">IFERROR(__xludf.DUMMYFUNCTION("IMPORTRANGE(""https://docs.google.com/spreadsheets/d/1XWAQStnk-4SwqDmLtmXYiTMKHgktTP8We1SCoS47DrQ/edit?usp=sharing"",""จัดที่ดิน!AY22"")"),0)</f>
        <v>0</v>
      </c>
      <c r="K651" s="945">
        <f t="shared" ca="1" si="271"/>
        <v>0</v>
      </c>
      <c r="L651" s="945"/>
      <c r="M651" s="945"/>
      <c r="N651" s="945"/>
      <c r="O651" s="945"/>
      <c r="P651" s="945"/>
      <c r="Q651" s="1244"/>
      <c r="R651" s="1244"/>
      <c r="S651" s="1244"/>
      <c r="T651" s="1244"/>
      <c r="U651" s="1244"/>
      <c r="V651" s="1244"/>
      <c r="W651" s="1244"/>
      <c r="X651" s="1244"/>
      <c r="Y651" s="1244"/>
      <c r="Z651" s="1244"/>
    </row>
    <row r="652" spans="1:26" ht="18.75">
      <c r="A652" s="1369"/>
      <c r="B652" s="1370"/>
      <c r="C652" s="1371"/>
      <c r="D652" s="1116"/>
      <c r="E652" s="1116"/>
      <c r="F652" s="1116"/>
      <c r="G652" s="1361"/>
      <c r="H652" s="468" t="s">
        <v>46</v>
      </c>
      <c r="I652" s="1085">
        <v>0</v>
      </c>
      <c r="J652" s="1085">
        <f ca="1">IFERROR(__xludf.DUMMYFUNCTION("IMPORTRANGE(""https://docs.google.com/spreadsheets/d/1XWAQStnk-4SwqDmLtmXYiTMKHgktTP8We1SCoS47DrQ/edit?usp=sharing"",""จัดที่ดิน!AZ22"")"),0)</f>
        <v>0</v>
      </c>
      <c r="K652" s="1182">
        <f t="shared" si="271"/>
        <v>0</v>
      </c>
      <c r="L652" s="1086"/>
      <c r="M652" s="1086"/>
      <c r="N652" s="1086"/>
      <c r="O652" s="1086"/>
      <c r="P652" s="1086"/>
      <c r="Q652" s="1244"/>
      <c r="R652" s="1244"/>
      <c r="S652" s="1244"/>
      <c r="T652" s="1244"/>
      <c r="U652" s="1244"/>
      <c r="V652" s="1244"/>
      <c r="W652" s="1244"/>
      <c r="X652" s="1244"/>
      <c r="Y652" s="1244"/>
      <c r="Z652" s="1244"/>
    </row>
    <row r="653" spans="1:26" ht="19.5">
      <c r="A653" s="716">
        <v>8</v>
      </c>
      <c r="B653" s="1362" t="s">
        <v>278</v>
      </c>
      <c r="C653" s="1363"/>
      <c r="D653" s="1363"/>
      <c r="E653" s="1363"/>
      <c r="F653" s="1363"/>
      <c r="G653" s="1364"/>
      <c r="H653" s="1364"/>
      <c r="I653" s="1372"/>
      <c r="J653" s="1372"/>
      <c r="K653" s="1367"/>
      <c r="L653" s="1367"/>
      <c r="M653" s="1367"/>
      <c r="N653" s="1367"/>
      <c r="O653" s="1367"/>
      <c r="P653" s="1367"/>
      <c r="Q653" s="1244"/>
      <c r="R653" s="1244"/>
      <c r="S653" s="1244"/>
      <c r="T653" s="1244"/>
      <c r="U653" s="1244"/>
      <c r="V653" s="1244"/>
      <c r="W653" s="1244"/>
      <c r="X653" s="1244"/>
      <c r="Y653" s="1244"/>
      <c r="Z653" s="1244"/>
    </row>
    <row r="654" spans="1:26" ht="19.5">
      <c r="A654" s="1315"/>
      <c r="B654" s="1314" t="s">
        <v>279</v>
      </c>
      <c r="C654" s="1315"/>
      <c r="D654" s="1315"/>
      <c r="E654" s="1315"/>
      <c r="F654" s="1315"/>
      <c r="G654" s="1316"/>
      <c r="H654" s="673" t="s">
        <v>46</v>
      </c>
      <c r="I654" s="1317">
        <f t="shared" ref="I654:J654" ca="1" si="272">I669</f>
        <v>50</v>
      </c>
      <c r="J654" s="1317">
        <f t="shared" si="272"/>
        <v>0</v>
      </c>
      <c r="K654" s="1318">
        <f ca="1">IF(I654&gt;0,J654*100/I654,0)</f>
        <v>0</v>
      </c>
      <c r="L654" s="1319"/>
      <c r="M654" s="1319"/>
      <c r="N654" s="1319"/>
      <c r="O654" s="1319"/>
      <c r="P654" s="1319"/>
      <c r="Q654" s="1244"/>
      <c r="R654" s="1244"/>
      <c r="S654" s="1244"/>
      <c r="T654" s="1244"/>
      <c r="U654" s="1244"/>
      <c r="V654" s="1244"/>
      <c r="W654" s="1244"/>
      <c r="X654" s="1244"/>
      <c r="Y654" s="1244"/>
      <c r="Z654" s="1244"/>
    </row>
    <row r="655" spans="1:26" ht="19.5">
      <c r="A655" s="1259"/>
      <c r="B655" s="1243"/>
      <c r="C655" s="1243" t="s">
        <v>16</v>
      </c>
      <c r="D655" s="1507" t="s">
        <v>17</v>
      </c>
      <c r="E655" s="1485"/>
      <c r="F655" s="1485"/>
      <c r="G655" s="963"/>
      <c r="H655" s="563" t="s">
        <v>12</v>
      </c>
      <c r="I655" s="830"/>
      <c r="J655" s="830"/>
      <c r="K655" s="831"/>
      <c r="L655" s="967">
        <f t="shared" ref="L655:N655" ca="1" si="273">L656+L657</f>
        <v>9400</v>
      </c>
      <c r="M655" s="967">
        <f t="shared" si="273"/>
        <v>0</v>
      </c>
      <c r="N655" s="967">
        <f t="shared" si="273"/>
        <v>0</v>
      </c>
      <c r="O655" s="967">
        <f t="shared" ref="O655:O660" ca="1" si="274">IF(L655&gt;0,N655*100/L655,0)</f>
        <v>0</v>
      </c>
      <c r="P655" s="967">
        <f t="shared" ref="P655:P660" si="275">IF(M655&gt;0,N655*100/M655,0)</f>
        <v>0</v>
      </c>
      <c r="Q655" s="1244"/>
      <c r="R655" s="1244"/>
      <c r="S655" s="1244"/>
      <c r="T655" s="1244"/>
      <c r="U655" s="1244"/>
      <c r="V655" s="1244"/>
      <c r="W655" s="1244"/>
      <c r="X655" s="1244"/>
      <c r="Y655" s="1244"/>
      <c r="Z655" s="1244"/>
    </row>
    <row r="656" spans="1:26" ht="18.75" hidden="1">
      <c r="A656" s="1260"/>
      <c r="B656" s="1261"/>
      <c r="C656" s="1261"/>
      <c r="D656" s="1262"/>
      <c r="E656" s="1261" t="s">
        <v>184</v>
      </c>
      <c r="F656" s="1261"/>
      <c r="G656" s="1263"/>
      <c r="H656" s="165" t="s">
        <v>12</v>
      </c>
      <c r="I656" s="836"/>
      <c r="J656" s="836"/>
      <c r="K656" s="837"/>
      <c r="L656" s="837">
        <f t="shared" ref="L656:N657" si="276">L659+L666</f>
        <v>0</v>
      </c>
      <c r="M656" s="837">
        <f t="shared" si="276"/>
        <v>0</v>
      </c>
      <c r="N656" s="837">
        <f t="shared" si="276"/>
        <v>0</v>
      </c>
      <c r="O656" s="837">
        <f t="shared" si="274"/>
        <v>0</v>
      </c>
      <c r="P656" s="837">
        <f t="shared" si="275"/>
        <v>0</v>
      </c>
      <c r="Q656" s="1264"/>
      <c r="R656" s="1264"/>
      <c r="S656" s="1264"/>
      <c r="T656" s="1264"/>
      <c r="U656" s="1264"/>
      <c r="V656" s="1264"/>
      <c r="W656" s="1264"/>
      <c r="X656" s="1264"/>
      <c r="Y656" s="1264"/>
      <c r="Z656" s="1264"/>
    </row>
    <row r="657" spans="1:26" ht="18.75" hidden="1">
      <c r="A657" s="1260"/>
      <c r="B657" s="1265"/>
      <c r="C657" s="1261"/>
      <c r="D657" s="1262"/>
      <c r="E657" s="1261" t="s">
        <v>185</v>
      </c>
      <c r="F657" s="1261"/>
      <c r="G657" s="1263"/>
      <c r="H657" s="165" t="s">
        <v>12</v>
      </c>
      <c r="I657" s="836"/>
      <c r="J657" s="836"/>
      <c r="K657" s="837"/>
      <c r="L657" s="837">
        <f t="shared" ca="1" si="276"/>
        <v>9400</v>
      </c>
      <c r="M657" s="837">
        <f t="shared" si="276"/>
        <v>0</v>
      </c>
      <c r="N657" s="837">
        <f t="shared" si="276"/>
        <v>0</v>
      </c>
      <c r="O657" s="837">
        <f t="shared" ca="1" si="274"/>
        <v>0</v>
      </c>
      <c r="P657" s="837">
        <f t="shared" si="275"/>
        <v>0</v>
      </c>
      <c r="Q657" s="1264"/>
      <c r="R657" s="1264"/>
      <c r="S657" s="1264"/>
      <c r="T657" s="1264"/>
      <c r="U657" s="1264"/>
      <c r="V657" s="1264"/>
      <c r="W657" s="1264"/>
      <c r="X657" s="1264"/>
      <c r="Y657" s="1264"/>
      <c r="Z657" s="1264"/>
    </row>
    <row r="658" spans="1:26" ht="18.75">
      <c r="A658" s="1259"/>
      <c r="B658" s="1242"/>
      <c r="C658" s="1243"/>
      <c r="D658" s="1266" t="s">
        <v>20</v>
      </c>
      <c r="E658" s="1243"/>
      <c r="F658" s="1243"/>
      <c r="G658" s="963"/>
      <c r="H658" s="778" t="s">
        <v>12</v>
      </c>
      <c r="I658" s="944"/>
      <c r="J658" s="944"/>
      <c r="K658" s="945"/>
      <c r="L658" s="831">
        <f t="shared" ref="L658:N658" ca="1" si="277">L659+L660</f>
        <v>9400</v>
      </c>
      <c r="M658" s="831">
        <f t="shared" si="277"/>
        <v>0</v>
      </c>
      <c r="N658" s="831">
        <f t="shared" si="277"/>
        <v>0</v>
      </c>
      <c r="O658" s="831">
        <f t="shared" ca="1" si="274"/>
        <v>0</v>
      </c>
      <c r="P658" s="831">
        <f t="shared" si="275"/>
        <v>0</v>
      </c>
      <c r="Q658" s="1244"/>
      <c r="R658" s="1244"/>
      <c r="S658" s="1244"/>
      <c r="T658" s="1244"/>
      <c r="U658" s="1244"/>
      <c r="V658" s="1244"/>
      <c r="W658" s="1244"/>
      <c r="X658" s="1244"/>
      <c r="Y658" s="1244"/>
      <c r="Z658" s="1244"/>
    </row>
    <row r="659" spans="1:26" ht="18.75" hidden="1">
      <c r="A659" s="1260"/>
      <c r="B659" s="1265"/>
      <c r="C659" s="1261"/>
      <c r="D659" s="1262"/>
      <c r="E659" s="1261" t="s">
        <v>184</v>
      </c>
      <c r="F659" s="1261"/>
      <c r="G659" s="1263"/>
      <c r="H659" s="165" t="s">
        <v>12</v>
      </c>
      <c r="I659" s="836"/>
      <c r="J659" s="836"/>
      <c r="K659" s="837"/>
      <c r="L659" s="837">
        <v>0</v>
      </c>
      <c r="M659" s="837">
        <v>0</v>
      </c>
      <c r="N659" s="837">
        <v>0</v>
      </c>
      <c r="O659" s="837">
        <f t="shared" si="274"/>
        <v>0</v>
      </c>
      <c r="P659" s="837">
        <f t="shared" si="275"/>
        <v>0</v>
      </c>
      <c r="Q659" s="1264"/>
      <c r="R659" s="1264"/>
      <c r="S659" s="1264"/>
      <c r="T659" s="1264"/>
      <c r="U659" s="1264"/>
      <c r="V659" s="1264"/>
      <c r="W659" s="1264"/>
      <c r="X659" s="1264"/>
      <c r="Y659" s="1264"/>
      <c r="Z659" s="1264"/>
    </row>
    <row r="660" spans="1:26" ht="18.75" hidden="1">
      <c r="A660" s="1260"/>
      <c r="B660" s="1265"/>
      <c r="C660" s="1261"/>
      <c r="D660" s="1262"/>
      <c r="E660" s="1261" t="s">
        <v>185</v>
      </c>
      <c r="F660" s="1261"/>
      <c r="G660" s="1263"/>
      <c r="H660" s="165" t="s">
        <v>12</v>
      </c>
      <c r="I660" s="836"/>
      <c r="J660" s="836"/>
      <c r="K660" s="837"/>
      <c r="L660" s="837">
        <f ca="1">IFERROR(__xludf.DUMMYFUNCTION("IMPORTRANGE(""https://docs.google.com/spreadsheets/d/1QqKyyYR6Q21VydFLVH3TRQUabQu_ym0Zz7PgGX0-kHA/edit?usp=sharing"",""แผน!HV22"")"),9400)</f>
        <v>9400</v>
      </c>
      <c r="M660" s="837">
        <v>0</v>
      </c>
      <c r="N660" s="837">
        <f>N661+N662+N663+N664</f>
        <v>0</v>
      </c>
      <c r="O660" s="837">
        <f t="shared" ca="1" si="274"/>
        <v>0</v>
      </c>
      <c r="P660" s="837">
        <f t="shared" si="275"/>
        <v>0</v>
      </c>
      <c r="Q660" s="1264"/>
      <c r="R660" s="1264"/>
      <c r="S660" s="1264"/>
      <c r="T660" s="1264"/>
      <c r="U660" s="1264"/>
      <c r="V660" s="1264"/>
      <c r="W660" s="1264"/>
      <c r="X660" s="1264"/>
      <c r="Y660" s="1264"/>
      <c r="Z660" s="1264"/>
    </row>
    <row r="661" spans="1:26" ht="18.75">
      <c r="A661" s="1241"/>
      <c r="B661" s="1242"/>
      <c r="C661" s="1243"/>
      <c r="D661" s="1243"/>
      <c r="E661" s="1243"/>
      <c r="F661" s="1243" t="s">
        <v>186</v>
      </c>
      <c r="G661" s="963"/>
      <c r="H661" s="778" t="s">
        <v>12</v>
      </c>
      <c r="I661" s="830"/>
      <c r="J661" s="830"/>
      <c r="K661" s="831"/>
      <c r="L661" s="831"/>
      <c r="M661" s="831"/>
      <c r="N661" s="1031">
        <v>0</v>
      </c>
      <c r="O661" s="831"/>
      <c r="P661" s="831"/>
      <c r="Q661" s="1244"/>
      <c r="R661" s="1244"/>
      <c r="S661" s="1244"/>
      <c r="T661" s="1244"/>
      <c r="U661" s="1244"/>
      <c r="V661" s="1244"/>
      <c r="W661" s="1244"/>
      <c r="X661" s="1244"/>
      <c r="Y661" s="1244"/>
      <c r="Z661" s="1244"/>
    </row>
    <row r="662" spans="1:26" ht="18.75">
      <c r="A662" s="1241"/>
      <c r="B662" s="1242"/>
      <c r="C662" s="1243"/>
      <c r="D662" s="1243"/>
      <c r="E662" s="1243"/>
      <c r="F662" s="1243" t="s">
        <v>187</v>
      </c>
      <c r="G662" s="963"/>
      <c r="H662" s="778" t="s">
        <v>12</v>
      </c>
      <c r="I662" s="830"/>
      <c r="J662" s="830"/>
      <c r="K662" s="831"/>
      <c r="L662" s="831"/>
      <c r="M662" s="831"/>
      <c r="N662" s="1031">
        <v>0</v>
      </c>
      <c r="O662" s="831"/>
      <c r="P662" s="831"/>
      <c r="Q662" s="1244"/>
      <c r="R662" s="1244"/>
      <c r="S662" s="1244"/>
      <c r="T662" s="1244"/>
      <c r="U662" s="1244"/>
      <c r="V662" s="1244"/>
      <c r="W662" s="1244"/>
      <c r="X662" s="1244"/>
      <c r="Y662" s="1244"/>
      <c r="Z662" s="1244"/>
    </row>
    <row r="663" spans="1:26" ht="18.75">
      <c r="A663" s="1241"/>
      <c r="B663" s="1242"/>
      <c r="C663" s="1242"/>
      <c r="D663" s="1243"/>
      <c r="E663" s="1243"/>
      <c r="F663" s="1243" t="s">
        <v>188</v>
      </c>
      <c r="G663" s="963"/>
      <c r="H663" s="778" t="s">
        <v>12</v>
      </c>
      <c r="I663" s="830"/>
      <c r="J663" s="830"/>
      <c r="K663" s="831"/>
      <c r="L663" s="831"/>
      <c r="M663" s="831"/>
      <c r="N663" s="1031">
        <v>0</v>
      </c>
      <c r="O663" s="831"/>
      <c r="P663" s="831"/>
      <c r="Q663" s="1244"/>
      <c r="R663" s="1244"/>
      <c r="S663" s="1244"/>
      <c r="T663" s="1244"/>
      <c r="U663" s="1244"/>
      <c r="V663" s="1244"/>
      <c r="W663" s="1244"/>
      <c r="X663" s="1244"/>
      <c r="Y663" s="1244"/>
      <c r="Z663" s="1244"/>
    </row>
    <row r="664" spans="1:26" ht="18.75">
      <c r="A664" s="1241"/>
      <c r="B664" s="1242"/>
      <c r="C664" s="1242"/>
      <c r="D664" s="1242"/>
      <c r="E664" s="1243"/>
      <c r="F664" s="1243" t="s">
        <v>189</v>
      </c>
      <c r="G664" s="963"/>
      <c r="H664" s="778" t="s">
        <v>12</v>
      </c>
      <c r="I664" s="830"/>
      <c r="J664" s="830"/>
      <c r="K664" s="831"/>
      <c r="L664" s="831"/>
      <c r="M664" s="831"/>
      <c r="N664" s="1031">
        <v>0</v>
      </c>
      <c r="O664" s="831"/>
      <c r="P664" s="831"/>
      <c r="Q664" s="1244"/>
      <c r="R664" s="1244"/>
      <c r="S664" s="1244"/>
      <c r="T664" s="1244"/>
      <c r="U664" s="1244"/>
      <c r="V664" s="1244"/>
      <c r="W664" s="1244"/>
      <c r="X664" s="1244"/>
      <c r="Y664" s="1244"/>
      <c r="Z664" s="1244"/>
    </row>
    <row r="665" spans="1:26" ht="18.75">
      <c r="A665" s="1259"/>
      <c r="B665" s="1242"/>
      <c r="C665" s="1242"/>
      <c r="D665" s="1266" t="s">
        <v>21</v>
      </c>
      <c r="E665" s="1243"/>
      <c r="F665" s="1243"/>
      <c r="G665" s="963"/>
      <c r="H665" s="168" t="s">
        <v>12</v>
      </c>
      <c r="I665" s="944"/>
      <c r="J665" s="944"/>
      <c r="K665" s="945"/>
      <c r="L665" s="831">
        <f t="shared" ref="L665:N665" si="278">L666+L667</f>
        <v>0</v>
      </c>
      <c r="M665" s="831">
        <f t="shared" si="278"/>
        <v>0</v>
      </c>
      <c r="N665" s="831">
        <f t="shared" si="278"/>
        <v>0</v>
      </c>
      <c r="O665" s="831">
        <f t="shared" ref="O665:O667" si="279">IF(L665&gt;0,N665*100/L665,0)</f>
        <v>0</v>
      </c>
      <c r="P665" s="831">
        <f t="shared" ref="P665:P667" si="280">IF(M665&gt;0,N665*100/M665,0)</f>
        <v>0</v>
      </c>
      <c r="Q665" s="1244"/>
      <c r="R665" s="1244"/>
      <c r="S665" s="1244"/>
      <c r="T665" s="1244"/>
      <c r="U665" s="1244"/>
      <c r="V665" s="1244"/>
      <c r="W665" s="1244"/>
      <c r="X665" s="1244"/>
      <c r="Y665" s="1244"/>
      <c r="Z665" s="1244"/>
    </row>
    <row r="666" spans="1:26" ht="18.75" hidden="1">
      <c r="A666" s="1260"/>
      <c r="B666" s="1265"/>
      <c r="C666" s="1265"/>
      <c r="D666" s="1265"/>
      <c r="E666" s="1261" t="s">
        <v>18</v>
      </c>
      <c r="F666" s="1261"/>
      <c r="G666" s="1263"/>
      <c r="H666" s="165" t="s">
        <v>12</v>
      </c>
      <c r="I666" s="947"/>
      <c r="J666" s="947"/>
      <c r="K666" s="948"/>
      <c r="L666" s="837">
        <v>0</v>
      </c>
      <c r="M666" s="837">
        <v>0</v>
      </c>
      <c r="N666" s="837">
        <v>0</v>
      </c>
      <c r="O666" s="837">
        <f t="shared" si="279"/>
        <v>0</v>
      </c>
      <c r="P666" s="837">
        <f t="shared" si="280"/>
        <v>0</v>
      </c>
      <c r="Q666" s="1264"/>
      <c r="R666" s="1264"/>
      <c r="S666" s="1264"/>
      <c r="T666" s="1264"/>
      <c r="U666" s="1264"/>
      <c r="V666" s="1264"/>
      <c r="W666" s="1264"/>
      <c r="X666" s="1264"/>
      <c r="Y666" s="1264"/>
      <c r="Z666" s="1264"/>
    </row>
    <row r="667" spans="1:26" ht="18.75" hidden="1">
      <c r="A667" s="1260"/>
      <c r="B667" s="1265"/>
      <c r="C667" s="1265"/>
      <c r="D667" s="1265"/>
      <c r="E667" s="1261" t="s">
        <v>19</v>
      </c>
      <c r="F667" s="1261"/>
      <c r="G667" s="1263"/>
      <c r="H667" s="169" t="s">
        <v>12</v>
      </c>
      <c r="I667" s="947"/>
      <c r="J667" s="947"/>
      <c r="K667" s="948"/>
      <c r="L667" s="837">
        <v>0</v>
      </c>
      <c r="M667" s="837">
        <v>0</v>
      </c>
      <c r="N667" s="837">
        <v>0</v>
      </c>
      <c r="O667" s="837">
        <f t="shared" si="279"/>
        <v>0</v>
      </c>
      <c r="P667" s="837">
        <f t="shared" si="280"/>
        <v>0</v>
      </c>
      <c r="Q667" s="1264"/>
      <c r="R667" s="1264"/>
      <c r="S667" s="1264"/>
      <c r="T667" s="1264"/>
      <c r="U667" s="1264"/>
      <c r="V667" s="1264"/>
      <c r="W667" s="1264"/>
      <c r="X667" s="1264"/>
      <c r="Y667" s="1264"/>
      <c r="Z667" s="1264"/>
    </row>
    <row r="668" spans="1:26" ht="19.5">
      <c r="A668" s="1267"/>
      <c r="B668" s="1268"/>
      <c r="C668" s="1242" t="s">
        <v>16</v>
      </c>
      <c r="D668" s="1269" t="s">
        <v>38</v>
      </c>
      <c r="E668" s="1271"/>
      <c r="F668" s="1271"/>
      <c r="G668" s="1272"/>
      <c r="H668" s="954"/>
      <c r="I668" s="944"/>
      <c r="J668" s="944"/>
      <c r="K668" s="945"/>
      <c r="L668" s="945"/>
      <c r="M668" s="945"/>
      <c r="N668" s="945"/>
      <c r="O668" s="945"/>
      <c r="P668" s="945"/>
      <c r="Q668" s="1244"/>
      <c r="R668" s="1244"/>
      <c r="S668" s="1244"/>
      <c r="T668" s="1244"/>
      <c r="U668" s="1244"/>
      <c r="V668" s="1244"/>
      <c r="W668" s="1244"/>
      <c r="X668" s="1244"/>
      <c r="Y668" s="1244"/>
      <c r="Z668" s="1244"/>
    </row>
    <row r="669" spans="1:26" ht="19.5">
      <c r="A669" s="1267"/>
      <c r="B669" s="1268"/>
      <c r="C669" s="1268"/>
      <c r="D669" s="1268" t="s">
        <v>280</v>
      </c>
      <c r="E669" s="961"/>
      <c r="F669" s="961"/>
      <c r="G669" s="954"/>
      <c r="H669" s="733" t="s">
        <v>46</v>
      </c>
      <c r="I669" s="966">
        <f ca="1">IFERROR(__xludf.DUMMYFUNCTION("IMPORTRANGE(""https://docs.google.com/spreadsheets/d/1QqKyyYR6Q21VydFLVH3TRQUabQu_ym0Zz7PgGX0-kHA/edit?usp=sharing"",""แผน!IA22"")"),50)</f>
        <v>50</v>
      </c>
      <c r="J669" s="966">
        <f>J675</f>
        <v>0</v>
      </c>
      <c r="K669" s="967">
        <f ca="1">IF(I669&gt;0,J669*100/I669,0)</f>
        <v>0</v>
      </c>
      <c r="L669" s="945"/>
      <c r="M669" s="945"/>
      <c r="N669" s="945"/>
      <c r="O669" s="945"/>
      <c r="P669" s="945"/>
      <c r="Q669" s="1244"/>
      <c r="R669" s="1244"/>
      <c r="S669" s="1244"/>
      <c r="T669" s="1244"/>
      <c r="U669" s="1244"/>
      <c r="V669" s="1244"/>
      <c r="W669" s="1244"/>
      <c r="X669" s="1244"/>
      <c r="Y669" s="1244"/>
      <c r="Z669" s="1244"/>
    </row>
    <row r="670" spans="1:26" ht="18.75">
      <c r="A670" s="1267"/>
      <c r="B670" s="1268"/>
      <c r="C670" s="1268"/>
      <c r="D670" s="1268"/>
      <c r="E670" s="961" t="s">
        <v>281</v>
      </c>
      <c r="F670" s="961"/>
      <c r="G670" s="954"/>
      <c r="H670" s="730" t="s">
        <v>66</v>
      </c>
      <c r="I670" s="830">
        <f ca="1">IFERROR(__xludf.DUMMYFUNCTION("IMPORTRANGE(""https://docs.google.com/spreadsheets/d/1QqKyyYR6Q21VydFLVH3TRQUabQu_ym0Zz7PgGX0-kHA/edit?usp=sharing"",""แผน!HZ22"")"),4)</f>
        <v>4</v>
      </c>
      <c r="J670" s="959">
        <v>4</v>
      </c>
      <c r="K670" s="831">
        <f ca="1">IF(I670&gt;0,(J670*100)/I670,0)</f>
        <v>100</v>
      </c>
      <c r="L670" s="945"/>
      <c r="M670" s="945"/>
      <c r="N670" s="945"/>
      <c r="O670" s="945"/>
      <c r="P670" s="945"/>
      <c r="Q670" s="1244"/>
      <c r="R670" s="1244"/>
      <c r="S670" s="1244"/>
      <c r="T670" s="1244"/>
      <c r="U670" s="1244"/>
      <c r="V670" s="1244"/>
      <c r="W670" s="1244"/>
      <c r="X670" s="1244"/>
      <c r="Y670" s="1244"/>
      <c r="Z670" s="1244"/>
    </row>
    <row r="671" spans="1:26" ht="18.75">
      <c r="A671" s="1267"/>
      <c r="B671" s="1268"/>
      <c r="C671" s="1268"/>
      <c r="D671" s="1268"/>
      <c r="E671" s="961" t="s">
        <v>282</v>
      </c>
      <c r="F671" s="961"/>
      <c r="G671" s="954"/>
      <c r="H671" s="730" t="s">
        <v>66</v>
      </c>
      <c r="I671" s="830">
        <f ca="1">IFERROR(__xludf.DUMMYFUNCTION("IMPORTRANGE(""https://docs.google.com/spreadsheets/d/1QqKyyYR6Q21VydFLVH3TRQUabQu_ym0Zz7PgGX0-kHA/edit?usp=sharing"",""แผน!HZ22"")"),4)</f>
        <v>4</v>
      </c>
      <c r="J671" s="959">
        <v>4</v>
      </c>
      <c r="K671" s="831">
        <f ca="1">IF(I$671&gt;0,J671*100/I$671,0)</f>
        <v>100</v>
      </c>
      <c r="L671" s="945"/>
      <c r="M671" s="945"/>
      <c r="N671" s="945"/>
      <c r="O671" s="945"/>
      <c r="P671" s="945"/>
      <c r="Q671" s="1244"/>
      <c r="R671" s="1244"/>
      <c r="S671" s="1244"/>
      <c r="T671" s="1244"/>
      <c r="U671" s="1244"/>
      <c r="V671" s="1244"/>
      <c r="W671" s="1244"/>
      <c r="X671" s="1244"/>
      <c r="Y671" s="1244"/>
      <c r="Z671" s="1244"/>
    </row>
    <row r="672" spans="1:26" ht="18.75">
      <c r="A672" s="1267"/>
      <c r="B672" s="1268"/>
      <c r="C672" s="1268"/>
      <c r="D672" s="1268"/>
      <c r="E672" s="961" t="s">
        <v>283</v>
      </c>
      <c r="F672" s="961"/>
      <c r="G672" s="954"/>
      <c r="H672" s="730" t="s">
        <v>46</v>
      </c>
      <c r="I672" s="830"/>
      <c r="J672" s="959">
        <v>0</v>
      </c>
      <c r="K672" s="831">
        <f t="shared" ref="K672:K675" ca="1" si="281">IF(I$669&gt;0,J672*100/I$669,0)</f>
        <v>0</v>
      </c>
      <c r="L672" s="945"/>
      <c r="M672" s="945"/>
      <c r="N672" s="945"/>
      <c r="O672" s="945"/>
      <c r="P672" s="945"/>
      <c r="Q672" s="1244"/>
      <c r="R672" s="1244"/>
      <c r="S672" s="1244"/>
      <c r="T672" s="1244"/>
      <c r="U672" s="1244"/>
      <c r="V672" s="1244"/>
      <c r="W672" s="1244"/>
      <c r="X672" s="1244"/>
      <c r="Y672" s="1244"/>
      <c r="Z672" s="1244"/>
    </row>
    <row r="673" spans="1:26" ht="18.75">
      <c r="A673" s="1267"/>
      <c r="B673" s="1268"/>
      <c r="C673" s="1268"/>
      <c r="D673" s="1268"/>
      <c r="E673" s="961" t="s">
        <v>284</v>
      </c>
      <c r="F673" s="961"/>
      <c r="G673" s="954"/>
      <c r="H673" s="730" t="s">
        <v>46</v>
      </c>
      <c r="I673" s="830"/>
      <c r="J673" s="959">
        <v>0</v>
      </c>
      <c r="K673" s="831">
        <f t="shared" ca="1" si="281"/>
        <v>0</v>
      </c>
      <c r="L673" s="945"/>
      <c r="M673" s="945"/>
      <c r="N673" s="945"/>
      <c r="O673" s="945"/>
      <c r="P673" s="945"/>
      <c r="Q673" s="1244"/>
      <c r="R673" s="1244"/>
      <c r="S673" s="1244"/>
      <c r="T673" s="1244"/>
      <c r="U673" s="1244"/>
      <c r="V673" s="1244"/>
      <c r="W673" s="1244"/>
      <c r="X673" s="1244"/>
      <c r="Y673" s="1244"/>
      <c r="Z673" s="1244"/>
    </row>
    <row r="674" spans="1:26" ht="18.75">
      <c r="A674" s="1267"/>
      <c r="B674" s="1268"/>
      <c r="C674" s="1268"/>
      <c r="D674" s="1268"/>
      <c r="E674" s="961" t="s">
        <v>285</v>
      </c>
      <c r="F674" s="961"/>
      <c r="G674" s="954"/>
      <c r="H674" s="730" t="s">
        <v>46</v>
      </c>
      <c r="I674" s="830"/>
      <c r="J674" s="959">
        <v>0</v>
      </c>
      <c r="K674" s="831">
        <f t="shared" ca="1" si="281"/>
        <v>0</v>
      </c>
      <c r="L674" s="945"/>
      <c r="M674" s="945"/>
      <c r="N674" s="945"/>
      <c r="O674" s="945"/>
      <c r="P674" s="945"/>
      <c r="Q674" s="1244"/>
      <c r="R674" s="1244"/>
      <c r="S674" s="1244"/>
      <c r="T674" s="1244"/>
      <c r="U674" s="1244"/>
      <c r="V674" s="1244"/>
      <c r="W674" s="1244"/>
      <c r="X674" s="1244"/>
      <c r="Y674" s="1244"/>
      <c r="Z674" s="1244"/>
    </row>
    <row r="675" spans="1:26" ht="19.5">
      <c r="A675" s="1267"/>
      <c r="B675" s="1268"/>
      <c r="C675" s="1268"/>
      <c r="D675" s="1268"/>
      <c r="E675" s="961" t="s">
        <v>286</v>
      </c>
      <c r="F675" s="961"/>
      <c r="G675" s="954"/>
      <c r="H675" s="730" t="s">
        <v>46</v>
      </c>
      <c r="I675" s="830"/>
      <c r="J675" s="966">
        <f>J676+J677</f>
        <v>0</v>
      </c>
      <c r="K675" s="967">
        <f t="shared" ca="1" si="281"/>
        <v>0</v>
      </c>
      <c r="L675" s="945"/>
      <c r="M675" s="945"/>
      <c r="N675" s="945"/>
      <c r="O675" s="945"/>
      <c r="P675" s="945"/>
      <c r="Q675" s="1244"/>
      <c r="R675" s="1244"/>
      <c r="S675" s="1244"/>
      <c r="T675" s="1244"/>
      <c r="U675" s="1244"/>
      <c r="V675" s="1244"/>
      <c r="W675" s="1244"/>
      <c r="X675" s="1244"/>
      <c r="Y675" s="1244"/>
      <c r="Z675" s="1244"/>
    </row>
    <row r="676" spans="1:26" ht="18.75">
      <c r="A676" s="1267"/>
      <c r="B676" s="1268"/>
      <c r="C676" s="1268"/>
      <c r="D676" s="1268"/>
      <c r="E676" s="961"/>
      <c r="F676" s="961" t="s">
        <v>287</v>
      </c>
      <c r="G676" s="954"/>
      <c r="H676" s="730" t="s">
        <v>46</v>
      </c>
      <c r="I676" s="830"/>
      <c r="J676" s="959">
        <v>0</v>
      </c>
      <c r="K676" s="831"/>
      <c r="L676" s="945"/>
      <c r="M676" s="945"/>
      <c r="N676" s="945"/>
      <c r="O676" s="945"/>
      <c r="P676" s="945"/>
      <c r="Q676" s="1244"/>
      <c r="R676" s="1244"/>
      <c r="S676" s="1244"/>
      <c r="T676" s="1244"/>
      <c r="U676" s="1244"/>
      <c r="V676" s="1244"/>
      <c r="W676" s="1244"/>
      <c r="X676" s="1244"/>
      <c r="Y676" s="1244"/>
      <c r="Z676" s="1244"/>
    </row>
    <row r="677" spans="1:26" ht="18.75">
      <c r="A677" s="1267"/>
      <c r="B677" s="1268"/>
      <c r="C677" s="1268"/>
      <c r="D677" s="1268"/>
      <c r="E677" s="961"/>
      <c r="F677" s="961" t="s">
        <v>288</v>
      </c>
      <c r="G677" s="954"/>
      <c r="H677" s="730" t="s">
        <v>46</v>
      </c>
      <c r="I677" s="830"/>
      <c r="J677" s="959">
        <v>0</v>
      </c>
      <c r="K677" s="831"/>
      <c r="L677" s="945"/>
      <c r="M677" s="945"/>
      <c r="N677" s="945"/>
      <c r="O677" s="945"/>
      <c r="P677" s="945"/>
      <c r="Q677" s="1244"/>
      <c r="R677" s="1244"/>
      <c r="S677" s="1244"/>
      <c r="T677" s="1244"/>
      <c r="U677" s="1244"/>
      <c r="V677" s="1244"/>
      <c r="W677" s="1244"/>
      <c r="X677" s="1244"/>
      <c r="Y677" s="1244"/>
      <c r="Z677" s="1244"/>
    </row>
    <row r="678" spans="1:26" ht="19.5">
      <c r="A678" s="1267"/>
      <c r="B678" s="1268"/>
      <c r="C678" s="1268"/>
      <c r="D678" s="1268" t="s">
        <v>289</v>
      </c>
      <c r="E678" s="961"/>
      <c r="F678" s="961"/>
      <c r="G678" s="954"/>
      <c r="H678" s="730" t="s">
        <v>46</v>
      </c>
      <c r="I678" s="966">
        <f ca="1">IFERROR(__xludf.DUMMYFUNCTION("IMPORTRANGE(""https://docs.google.com/spreadsheets/d/1QqKyyYR6Q21VydFLVH3TRQUabQu_ym0Zz7PgGX0-kHA/edit?usp=sharing"",""แผน!IB22"")"),0)</f>
        <v>0</v>
      </c>
      <c r="J678" s="966">
        <f>J679</f>
        <v>0</v>
      </c>
      <c r="K678" s="967">
        <f ca="1">IF(I678&gt;0,J678*100/I678,0)</f>
        <v>0</v>
      </c>
      <c r="L678" s="945"/>
      <c r="M678" s="945"/>
      <c r="N678" s="945"/>
      <c r="O678" s="945"/>
      <c r="P678" s="945"/>
      <c r="Q678" s="1244"/>
      <c r="R678" s="1244"/>
      <c r="S678" s="1244"/>
      <c r="T678" s="1244"/>
      <c r="U678" s="1244"/>
      <c r="V678" s="1244"/>
      <c r="W678" s="1244"/>
      <c r="X678" s="1244"/>
      <c r="Y678" s="1244"/>
      <c r="Z678" s="1244"/>
    </row>
    <row r="679" spans="1:26" ht="18.75">
      <c r="A679" s="1267"/>
      <c r="B679" s="1268"/>
      <c r="C679" s="1268"/>
      <c r="D679" s="1268"/>
      <c r="E679" s="961" t="s">
        <v>290</v>
      </c>
      <c r="F679" s="961"/>
      <c r="G679" s="954"/>
      <c r="H679" s="730" t="s">
        <v>46</v>
      </c>
      <c r="I679" s="830"/>
      <c r="J679" s="830">
        <f>J680+J681</f>
        <v>0</v>
      </c>
      <c r="K679" s="831"/>
      <c r="L679" s="945"/>
      <c r="M679" s="945"/>
      <c r="N679" s="945"/>
      <c r="O679" s="945"/>
      <c r="P679" s="945"/>
      <c r="Q679" s="1244"/>
      <c r="R679" s="1244"/>
      <c r="S679" s="1244"/>
      <c r="T679" s="1244"/>
      <c r="U679" s="1244"/>
      <c r="V679" s="1244"/>
      <c r="W679" s="1244"/>
      <c r="X679" s="1244"/>
      <c r="Y679" s="1244"/>
      <c r="Z679" s="1244"/>
    </row>
    <row r="680" spans="1:26" ht="18.75">
      <c r="A680" s="1267"/>
      <c r="B680" s="1268"/>
      <c r="C680" s="1268"/>
      <c r="D680" s="1268"/>
      <c r="E680" s="961"/>
      <c r="F680" s="961" t="s">
        <v>287</v>
      </c>
      <c r="G680" s="954"/>
      <c r="H680" s="730" t="s">
        <v>46</v>
      </c>
      <c r="I680" s="830"/>
      <c r="J680" s="959">
        <v>0</v>
      </c>
      <c r="K680" s="831"/>
      <c r="L680" s="945"/>
      <c r="M680" s="945"/>
      <c r="N680" s="945"/>
      <c r="O680" s="945"/>
      <c r="P680" s="945"/>
      <c r="Q680" s="1244"/>
      <c r="R680" s="1244"/>
      <c r="S680" s="1244"/>
      <c r="T680" s="1244"/>
      <c r="U680" s="1244"/>
      <c r="V680" s="1244"/>
      <c r="W680" s="1244"/>
      <c r="X680" s="1244"/>
      <c r="Y680" s="1244"/>
      <c r="Z680" s="1244"/>
    </row>
    <row r="681" spans="1:26" ht="18.75">
      <c r="A681" s="1267"/>
      <c r="B681" s="1268"/>
      <c r="C681" s="1268"/>
      <c r="D681" s="1268"/>
      <c r="E681" s="961"/>
      <c r="F681" s="961" t="s">
        <v>288</v>
      </c>
      <c r="G681" s="954"/>
      <c r="H681" s="730" t="s">
        <v>46</v>
      </c>
      <c r="I681" s="830"/>
      <c r="J681" s="959">
        <v>0</v>
      </c>
      <c r="K681" s="831"/>
      <c r="L681" s="945"/>
      <c r="M681" s="945"/>
      <c r="N681" s="945"/>
      <c r="O681" s="945"/>
      <c r="P681" s="945"/>
      <c r="Q681" s="1244"/>
      <c r="R681" s="1244"/>
      <c r="S681" s="1244"/>
      <c r="T681" s="1244"/>
      <c r="U681" s="1244"/>
      <c r="V681" s="1244"/>
      <c r="W681" s="1244"/>
      <c r="X681" s="1244"/>
      <c r="Y681" s="1244"/>
      <c r="Z681" s="1244"/>
    </row>
    <row r="682" spans="1:26" ht="18.75">
      <c r="A682" s="1267"/>
      <c r="B682" s="1268"/>
      <c r="C682" s="1268"/>
      <c r="D682" s="1268"/>
      <c r="E682" s="961" t="s">
        <v>291</v>
      </c>
      <c r="F682" s="961"/>
      <c r="G682" s="954"/>
      <c r="H682" s="730" t="s">
        <v>46</v>
      </c>
      <c r="I682" s="830"/>
      <c r="J682" s="959">
        <v>0</v>
      </c>
      <c r="K682" s="831"/>
      <c r="L682" s="945"/>
      <c r="M682" s="945"/>
      <c r="N682" s="945"/>
      <c r="O682" s="945"/>
      <c r="P682" s="945"/>
      <c r="Q682" s="1244"/>
      <c r="R682" s="1244"/>
      <c r="S682" s="1244"/>
      <c r="T682" s="1244"/>
      <c r="U682" s="1244"/>
      <c r="V682" s="1244"/>
      <c r="W682" s="1244"/>
      <c r="X682" s="1244"/>
      <c r="Y682" s="1244"/>
      <c r="Z682" s="1244"/>
    </row>
    <row r="683" spans="1:26" ht="18.75">
      <c r="A683" s="1267"/>
      <c r="B683" s="1268"/>
      <c r="C683" s="1268"/>
      <c r="D683" s="1268"/>
      <c r="E683" s="961"/>
      <c r="F683" s="961" t="s">
        <v>292</v>
      </c>
      <c r="G683" s="954"/>
      <c r="H683" s="730" t="s">
        <v>46</v>
      </c>
      <c r="I683" s="830"/>
      <c r="J683" s="959">
        <v>0</v>
      </c>
      <c r="K683" s="831"/>
      <c r="L683" s="945"/>
      <c r="M683" s="945"/>
      <c r="N683" s="945"/>
      <c r="O683" s="945"/>
      <c r="P683" s="945"/>
      <c r="Q683" s="1244"/>
      <c r="R683" s="1244"/>
      <c r="S683" s="1244"/>
      <c r="T683" s="1244"/>
      <c r="U683" s="1244"/>
      <c r="V683" s="1244"/>
      <c r="W683" s="1244"/>
      <c r="X683" s="1244"/>
      <c r="Y683" s="1244"/>
      <c r="Z683" s="1244"/>
    </row>
    <row r="684" spans="1:26" ht="19.5" hidden="1">
      <c r="A684" s="1373"/>
      <c r="B684" s="1374" t="s">
        <v>293</v>
      </c>
      <c r="C684" s="1373"/>
      <c r="D684" s="1373"/>
      <c r="E684" s="1373"/>
      <c r="F684" s="1373"/>
      <c r="G684" s="1375"/>
      <c r="H684" s="1375"/>
      <c r="I684" s="1376"/>
      <c r="J684" s="1376"/>
      <c r="K684" s="1377"/>
      <c r="L684" s="1377"/>
      <c r="M684" s="1377"/>
      <c r="N684" s="1377"/>
      <c r="O684" s="1377"/>
      <c r="P684" s="1377"/>
      <c r="Q684" s="1244"/>
      <c r="R684" s="1244"/>
      <c r="S684" s="1244"/>
      <c r="T684" s="1244"/>
      <c r="U684" s="1244"/>
      <c r="V684" s="1244"/>
      <c r="W684" s="1244"/>
      <c r="X684" s="1244"/>
      <c r="Y684" s="1244"/>
      <c r="Z684" s="1244"/>
    </row>
    <row r="685" spans="1:26" ht="19.5" hidden="1">
      <c r="A685" s="1259"/>
      <c r="B685" s="1243"/>
      <c r="C685" s="1243" t="s">
        <v>16</v>
      </c>
      <c r="D685" s="1507" t="s">
        <v>17</v>
      </c>
      <c r="E685" s="1485"/>
      <c r="F685" s="1485"/>
      <c r="G685" s="963"/>
      <c r="H685" s="563" t="s">
        <v>12</v>
      </c>
      <c r="I685" s="830"/>
      <c r="J685" s="830"/>
      <c r="K685" s="831"/>
      <c r="L685" s="967">
        <f t="shared" ref="L685:N685" ca="1" si="282">L686+L687</f>
        <v>0</v>
      </c>
      <c r="M685" s="967">
        <f t="shared" si="282"/>
        <v>0</v>
      </c>
      <c r="N685" s="967">
        <f t="shared" si="282"/>
        <v>0</v>
      </c>
      <c r="O685" s="967">
        <f t="shared" ref="O685:O688" ca="1" si="283">IF(L685&gt;0,N685*100/L685,0)</f>
        <v>0</v>
      </c>
      <c r="P685" s="967">
        <f t="shared" ref="P685:P688" si="284">IF(M685&gt;0,N685*100/M685,0)</f>
        <v>0</v>
      </c>
      <c r="Q685" s="1244"/>
      <c r="R685" s="1244"/>
      <c r="S685" s="1244"/>
      <c r="T685" s="1244"/>
      <c r="U685" s="1244"/>
      <c r="V685" s="1244"/>
      <c r="W685" s="1244"/>
      <c r="X685" s="1244"/>
      <c r="Y685" s="1244"/>
      <c r="Z685" s="1244"/>
    </row>
    <row r="686" spans="1:26" ht="18.75" hidden="1">
      <c r="A686" s="1260"/>
      <c r="B686" s="1261"/>
      <c r="C686" s="1261"/>
      <c r="D686" s="1262"/>
      <c r="E686" s="1261" t="s">
        <v>184</v>
      </c>
      <c r="F686" s="1261"/>
      <c r="G686" s="1263"/>
      <c r="H686" s="165" t="s">
        <v>12</v>
      </c>
      <c r="I686" s="836"/>
      <c r="J686" s="836"/>
      <c r="K686" s="837"/>
      <c r="L686" s="837">
        <f t="shared" ref="L686:N687" si="285">L689+L696</f>
        <v>0</v>
      </c>
      <c r="M686" s="837">
        <f t="shared" si="285"/>
        <v>0</v>
      </c>
      <c r="N686" s="837">
        <f t="shared" si="285"/>
        <v>0</v>
      </c>
      <c r="O686" s="837">
        <f t="shared" si="283"/>
        <v>0</v>
      </c>
      <c r="P686" s="837">
        <f t="shared" si="284"/>
        <v>0</v>
      </c>
      <c r="Q686" s="1264"/>
      <c r="R686" s="1264"/>
      <c r="S686" s="1264"/>
      <c r="T686" s="1264"/>
      <c r="U686" s="1264"/>
      <c r="V686" s="1264"/>
      <c r="W686" s="1264"/>
      <c r="X686" s="1264"/>
      <c r="Y686" s="1264"/>
      <c r="Z686" s="1264"/>
    </row>
    <row r="687" spans="1:26" ht="18.75" hidden="1">
      <c r="A687" s="1260"/>
      <c r="B687" s="1265"/>
      <c r="C687" s="1261"/>
      <c r="D687" s="1262"/>
      <c r="E687" s="1261" t="s">
        <v>185</v>
      </c>
      <c r="F687" s="1261"/>
      <c r="G687" s="1263"/>
      <c r="H687" s="165" t="s">
        <v>12</v>
      </c>
      <c r="I687" s="836"/>
      <c r="J687" s="836"/>
      <c r="K687" s="837"/>
      <c r="L687" s="837">
        <f t="shared" ca="1" si="285"/>
        <v>0</v>
      </c>
      <c r="M687" s="837">
        <f t="shared" si="285"/>
        <v>0</v>
      </c>
      <c r="N687" s="837">
        <f t="shared" si="285"/>
        <v>0</v>
      </c>
      <c r="O687" s="837">
        <f t="shared" ca="1" si="283"/>
        <v>0</v>
      </c>
      <c r="P687" s="837">
        <f t="shared" si="284"/>
        <v>0</v>
      </c>
      <c r="Q687" s="1264"/>
      <c r="R687" s="1264"/>
      <c r="S687" s="1264"/>
      <c r="T687" s="1264"/>
      <c r="U687" s="1264"/>
      <c r="V687" s="1264"/>
      <c r="W687" s="1264"/>
      <c r="X687" s="1264"/>
      <c r="Y687" s="1264"/>
      <c r="Z687" s="1264"/>
    </row>
    <row r="688" spans="1:26" ht="18.75" hidden="1">
      <c r="A688" s="1259"/>
      <c r="B688" s="1242"/>
      <c r="C688" s="1243"/>
      <c r="D688" s="1266" t="s">
        <v>20</v>
      </c>
      <c r="E688" s="1243"/>
      <c r="F688" s="1243"/>
      <c r="G688" s="963"/>
      <c r="H688" s="778" t="s">
        <v>12</v>
      </c>
      <c r="I688" s="944"/>
      <c r="J688" s="944"/>
      <c r="K688" s="945"/>
      <c r="L688" s="831">
        <f t="shared" ref="L688:N688" ca="1" si="286">L689+L690</f>
        <v>0</v>
      </c>
      <c r="M688" s="831">
        <f t="shared" si="286"/>
        <v>0</v>
      </c>
      <c r="N688" s="831">
        <f t="shared" si="286"/>
        <v>0</v>
      </c>
      <c r="O688" s="831">
        <f t="shared" ca="1" si="283"/>
        <v>0</v>
      </c>
      <c r="P688" s="831">
        <f t="shared" si="284"/>
        <v>0</v>
      </c>
      <c r="Q688" s="1244"/>
      <c r="R688" s="1244"/>
      <c r="S688" s="1244"/>
      <c r="T688" s="1244"/>
      <c r="U688" s="1244"/>
      <c r="V688" s="1244"/>
      <c r="W688" s="1244"/>
      <c r="X688" s="1244"/>
      <c r="Y688" s="1244"/>
      <c r="Z688" s="1244"/>
    </row>
    <row r="689" spans="1:26" ht="18.75" hidden="1">
      <c r="A689" s="1260"/>
      <c r="B689" s="1265"/>
      <c r="C689" s="1261"/>
      <c r="D689" s="1262"/>
      <c r="E689" s="1261" t="s">
        <v>184</v>
      </c>
      <c r="F689" s="1261"/>
      <c r="G689" s="1263"/>
      <c r="H689" s="165" t="s">
        <v>12</v>
      </c>
      <c r="I689" s="836"/>
      <c r="J689" s="836"/>
      <c r="K689" s="837"/>
      <c r="L689" s="837">
        <v>0</v>
      </c>
      <c r="M689" s="837">
        <v>0</v>
      </c>
      <c r="N689" s="837">
        <v>0</v>
      </c>
      <c r="O689" s="837"/>
      <c r="P689" s="837"/>
      <c r="Q689" s="1264"/>
      <c r="R689" s="1264"/>
      <c r="S689" s="1264"/>
      <c r="T689" s="1264"/>
      <c r="U689" s="1264"/>
      <c r="V689" s="1264"/>
      <c r="W689" s="1264"/>
      <c r="X689" s="1264"/>
      <c r="Y689" s="1264"/>
      <c r="Z689" s="1264"/>
    </row>
    <row r="690" spans="1:26" ht="18.75" hidden="1">
      <c r="A690" s="1260"/>
      <c r="B690" s="1265"/>
      <c r="C690" s="1261"/>
      <c r="D690" s="1262"/>
      <c r="E690" s="1261" t="s">
        <v>185</v>
      </c>
      <c r="F690" s="1261"/>
      <c r="G690" s="1263"/>
      <c r="H690" s="165" t="s">
        <v>12</v>
      </c>
      <c r="I690" s="836"/>
      <c r="J690" s="836"/>
      <c r="K690" s="837"/>
      <c r="L690" s="837">
        <f ca="1">IFERROR(__xludf.DUMMYFUNCTION("IMPORTRANGE(""https://docs.google.com/spreadsheets/d/1QqKyyYR6Q21VydFLVH3TRQUabQu_ym0Zz7PgGX0-kHA/edit?usp=sharing"",""แผน!HW22"")"),0)</f>
        <v>0</v>
      </c>
      <c r="M690" s="837">
        <v>0</v>
      </c>
      <c r="N690" s="837">
        <f>N691+N692+N693+N694</f>
        <v>0</v>
      </c>
      <c r="O690" s="837">
        <f ca="1">IF(L690&gt;0,N690*100/L690,0)</f>
        <v>0</v>
      </c>
      <c r="P690" s="837">
        <f>IF(M690&gt;0,N690*100/M690,0)</f>
        <v>0</v>
      </c>
      <c r="Q690" s="1264"/>
      <c r="R690" s="1264"/>
      <c r="S690" s="1264"/>
      <c r="T690" s="1264"/>
      <c r="U690" s="1264"/>
      <c r="V690" s="1264"/>
      <c r="W690" s="1264"/>
      <c r="X690" s="1264"/>
      <c r="Y690" s="1264"/>
      <c r="Z690" s="1264"/>
    </row>
    <row r="691" spans="1:26" ht="18.75" hidden="1">
      <c r="A691" s="1241"/>
      <c r="B691" s="1242"/>
      <c r="C691" s="1243"/>
      <c r="D691" s="1243"/>
      <c r="E691" s="1243"/>
      <c r="F691" s="1243" t="s">
        <v>186</v>
      </c>
      <c r="G691" s="963"/>
      <c r="H691" s="778" t="s">
        <v>12</v>
      </c>
      <c r="I691" s="830"/>
      <c r="J691" s="830"/>
      <c r="K691" s="831"/>
      <c r="L691" s="831"/>
      <c r="M691" s="831"/>
      <c r="N691" s="1031">
        <v>0</v>
      </c>
      <c r="O691" s="831"/>
      <c r="P691" s="831"/>
      <c r="Q691" s="1244"/>
      <c r="R691" s="1244"/>
      <c r="S691" s="1244"/>
      <c r="T691" s="1244"/>
      <c r="U691" s="1244"/>
      <c r="V691" s="1244"/>
      <c r="W691" s="1244"/>
      <c r="X691" s="1244"/>
      <c r="Y691" s="1244"/>
      <c r="Z691" s="1244"/>
    </row>
    <row r="692" spans="1:26" ht="18.75" hidden="1">
      <c r="A692" s="1241"/>
      <c r="B692" s="1242"/>
      <c r="C692" s="1243"/>
      <c r="D692" s="1243"/>
      <c r="E692" s="1243"/>
      <c r="F692" s="1243" t="s">
        <v>187</v>
      </c>
      <c r="G692" s="963"/>
      <c r="H692" s="778" t="s">
        <v>12</v>
      </c>
      <c r="I692" s="830"/>
      <c r="J692" s="830"/>
      <c r="K692" s="831"/>
      <c r="L692" s="831"/>
      <c r="M692" s="831"/>
      <c r="N692" s="1031">
        <v>0</v>
      </c>
      <c r="O692" s="831"/>
      <c r="P692" s="831"/>
      <c r="Q692" s="1244"/>
      <c r="R692" s="1244"/>
      <c r="S692" s="1244"/>
      <c r="T692" s="1244"/>
      <c r="U692" s="1244"/>
      <c r="V692" s="1244"/>
      <c r="W692" s="1244"/>
      <c r="X692" s="1244"/>
      <c r="Y692" s="1244"/>
      <c r="Z692" s="1244"/>
    </row>
    <row r="693" spans="1:26" ht="18.75" hidden="1">
      <c r="A693" s="1241"/>
      <c r="B693" s="1242"/>
      <c r="C693" s="1243"/>
      <c r="D693" s="1243"/>
      <c r="E693" s="1243"/>
      <c r="F693" s="1243" t="s">
        <v>188</v>
      </c>
      <c r="G693" s="963"/>
      <c r="H693" s="778" t="s">
        <v>12</v>
      </c>
      <c r="I693" s="830"/>
      <c r="J693" s="830"/>
      <c r="K693" s="831"/>
      <c r="L693" s="831"/>
      <c r="M693" s="831"/>
      <c r="N693" s="1031">
        <v>0</v>
      </c>
      <c r="O693" s="831"/>
      <c r="P693" s="831"/>
      <c r="Q693" s="1244"/>
      <c r="R693" s="1244"/>
      <c r="S693" s="1244"/>
      <c r="T693" s="1244"/>
      <c r="U693" s="1244"/>
      <c r="V693" s="1244"/>
      <c r="W693" s="1244"/>
      <c r="X693" s="1244"/>
      <c r="Y693" s="1244"/>
      <c r="Z693" s="1244"/>
    </row>
    <row r="694" spans="1:26" ht="18.75" hidden="1">
      <c r="A694" s="1241"/>
      <c r="B694" s="1242"/>
      <c r="C694" s="1243"/>
      <c r="D694" s="1243"/>
      <c r="E694" s="1243"/>
      <c r="F694" s="1243" t="s">
        <v>189</v>
      </c>
      <c r="G694" s="963"/>
      <c r="H694" s="778" t="s">
        <v>12</v>
      </c>
      <c r="I694" s="830"/>
      <c r="J694" s="830"/>
      <c r="K694" s="831"/>
      <c r="L694" s="831"/>
      <c r="M694" s="831"/>
      <c r="N694" s="1031">
        <v>0</v>
      </c>
      <c r="O694" s="831"/>
      <c r="P694" s="831"/>
      <c r="Q694" s="1244"/>
      <c r="R694" s="1244"/>
      <c r="S694" s="1244"/>
      <c r="T694" s="1244"/>
      <c r="U694" s="1244"/>
      <c r="V694" s="1244"/>
      <c r="W694" s="1244"/>
      <c r="X694" s="1244"/>
      <c r="Y694" s="1244"/>
      <c r="Z694" s="1244"/>
    </row>
    <row r="695" spans="1:26" ht="18.75" hidden="1">
      <c r="A695" s="1259"/>
      <c r="B695" s="1242"/>
      <c r="C695" s="1243"/>
      <c r="D695" s="1266" t="s">
        <v>21</v>
      </c>
      <c r="E695" s="1243"/>
      <c r="F695" s="1243"/>
      <c r="G695" s="963"/>
      <c r="H695" s="168" t="s">
        <v>12</v>
      </c>
      <c r="I695" s="944"/>
      <c r="J695" s="944"/>
      <c r="K695" s="945"/>
      <c r="L695" s="831">
        <f t="shared" ref="L695:N695" si="287">L696+L697</f>
        <v>0</v>
      </c>
      <c r="M695" s="831">
        <f t="shared" si="287"/>
        <v>0</v>
      </c>
      <c r="N695" s="831">
        <f t="shared" si="287"/>
        <v>0</v>
      </c>
      <c r="O695" s="831">
        <f t="shared" ref="O695:O697" si="288">IF(L695&gt;0,N695*100/L695,0)</f>
        <v>0</v>
      </c>
      <c r="P695" s="831">
        <f t="shared" ref="P695:P697" si="289">IF(M695&gt;0,N695*100/M695,0)</f>
        <v>0</v>
      </c>
      <c r="Q695" s="1244"/>
      <c r="R695" s="1244"/>
      <c r="S695" s="1244"/>
      <c r="T695" s="1244"/>
      <c r="U695" s="1244"/>
      <c r="V695" s="1244"/>
      <c r="W695" s="1244"/>
      <c r="X695" s="1244"/>
      <c r="Y695" s="1244"/>
      <c r="Z695" s="1244"/>
    </row>
    <row r="696" spans="1:26" ht="18.75" hidden="1">
      <c r="A696" s="1260"/>
      <c r="B696" s="1265"/>
      <c r="C696" s="1261"/>
      <c r="D696" s="1261"/>
      <c r="E696" s="1261" t="s">
        <v>18</v>
      </c>
      <c r="F696" s="1261"/>
      <c r="G696" s="1263"/>
      <c r="H696" s="165" t="s">
        <v>12</v>
      </c>
      <c r="I696" s="947"/>
      <c r="J696" s="947"/>
      <c r="K696" s="948"/>
      <c r="L696" s="837">
        <v>0</v>
      </c>
      <c r="M696" s="837">
        <v>0</v>
      </c>
      <c r="N696" s="837">
        <v>0</v>
      </c>
      <c r="O696" s="837">
        <f t="shared" si="288"/>
        <v>0</v>
      </c>
      <c r="P696" s="837">
        <f t="shared" si="289"/>
        <v>0</v>
      </c>
      <c r="Q696" s="1264"/>
      <c r="R696" s="1264"/>
      <c r="S696" s="1264"/>
      <c r="T696" s="1264"/>
      <c r="U696" s="1264"/>
      <c r="V696" s="1264"/>
      <c r="W696" s="1264"/>
      <c r="X696" s="1264"/>
      <c r="Y696" s="1264"/>
      <c r="Z696" s="1264"/>
    </row>
    <row r="697" spans="1:26" ht="18.75" hidden="1">
      <c r="A697" s="1260"/>
      <c r="B697" s="1265"/>
      <c r="C697" s="1261"/>
      <c r="D697" s="1261"/>
      <c r="E697" s="1261" t="s">
        <v>19</v>
      </c>
      <c r="F697" s="1261"/>
      <c r="G697" s="1263"/>
      <c r="H697" s="169" t="s">
        <v>12</v>
      </c>
      <c r="I697" s="947"/>
      <c r="J697" s="947"/>
      <c r="K697" s="948"/>
      <c r="L697" s="837">
        <v>0</v>
      </c>
      <c r="M697" s="837">
        <v>0</v>
      </c>
      <c r="N697" s="837">
        <v>0</v>
      </c>
      <c r="O697" s="837">
        <f t="shared" si="288"/>
        <v>0</v>
      </c>
      <c r="P697" s="837">
        <f t="shared" si="289"/>
        <v>0</v>
      </c>
      <c r="Q697" s="1264"/>
      <c r="R697" s="1264"/>
      <c r="S697" s="1264"/>
      <c r="T697" s="1264"/>
      <c r="U697" s="1264"/>
      <c r="V697" s="1264"/>
      <c r="W697" s="1264"/>
      <c r="X697" s="1264"/>
      <c r="Y697" s="1264"/>
      <c r="Z697" s="1264"/>
    </row>
    <row r="698" spans="1:26" ht="19.5" hidden="1">
      <c r="A698" s="1267"/>
      <c r="B698" s="1268"/>
      <c r="C698" s="1243" t="s">
        <v>16</v>
      </c>
      <c r="D698" s="1378" t="s">
        <v>38</v>
      </c>
      <c r="E698" s="1271"/>
      <c r="F698" s="1271"/>
      <c r="G698" s="1272"/>
      <c r="H698" s="954"/>
      <c r="I698" s="944"/>
      <c r="J698" s="944"/>
      <c r="K698" s="945"/>
      <c r="L698" s="945"/>
      <c r="M698" s="945"/>
      <c r="N698" s="945"/>
      <c r="O698" s="945"/>
      <c r="P698" s="945"/>
      <c r="Q698" s="1244"/>
      <c r="R698" s="1244"/>
      <c r="S698" s="1244"/>
      <c r="T698" s="1244"/>
      <c r="U698" s="1244"/>
      <c r="V698" s="1244"/>
      <c r="W698" s="1244"/>
      <c r="X698" s="1244"/>
      <c r="Y698" s="1244"/>
      <c r="Z698" s="1244"/>
    </row>
    <row r="699" spans="1:26" ht="18.75" hidden="1">
      <c r="A699" s="1368"/>
      <c r="B699" s="1243"/>
      <c r="C699" s="1243"/>
      <c r="D699" s="1243" t="s">
        <v>294</v>
      </c>
      <c r="E699" s="1243"/>
      <c r="F699" s="1243"/>
      <c r="G699" s="963"/>
      <c r="H699" s="730" t="s">
        <v>46</v>
      </c>
      <c r="I699" s="1379">
        <f ca="1">IFERROR(__xludf.DUMMYFUNCTION("IMPORTRANGE(""https://docs.google.com/spreadsheets/d/1QqKyyYR6Q21VydFLVH3TRQUabQu_ym0Zz7PgGX0-kHA/edit?usp=sharing"",""แผน!IC22"")"),0)</f>
        <v>0</v>
      </c>
      <c r="J699" s="830">
        <f ca="1">IFERROR(__xludf.DUMMYFUNCTION("IMPORTRANGE(""https://docs.google.com/spreadsheets/d/1XWAQStnk-4SwqDmLtmXYiTMKHgktTP8We1SCoS47DrQ/edit?usp=sharing"",""จัดที่ดิน!BB22"")"),0)</f>
        <v>0</v>
      </c>
      <c r="K699" s="831">
        <f t="shared" ref="K699:K701" ca="1" si="290">IF(I699&gt;0,J699*100/I699,0)</f>
        <v>0</v>
      </c>
      <c r="L699" s="831"/>
      <c r="M699" s="963"/>
      <c r="N699" s="1380"/>
      <c r="O699" s="831"/>
      <c r="P699" s="831"/>
      <c r="Q699" s="1244"/>
      <c r="R699" s="1244"/>
      <c r="S699" s="1244"/>
      <c r="T699" s="1244"/>
      <c r="U699" s="1244"/>
      <c r="V699" s="1244"/>
      <c r="W699" s="1244"/>
      <c r="X699" s="1244"/>
      <c r="Y699" s="1244"/>
      <c r="Z699" s="1244"/>
    </row>
    <row r="700" spans="1:26" ht="18.75" hidden="1">
      <c r="A700" s="1368"/>
      <c r="B700" s="1243"/>
      <c r="C700" s="1243"/>
      <c r="D700" s="1243" t="s">
        <v>295</v>
      </c>
      <c r="E700" s="1243"/>
      <c r="F700" s="1243"/>
      <c r="G700" s="963"/>
      <c r="H700" s="730" t="s">
        <v>35</v>
      </c>
      <c r="I700" s="1379">
        <f ca="1">IFERROR(__xludf.DUMMYFUNCTION("IMPORTRANGE(""https://docs.google.com/spreadsheets/d/1QqKyyYR6Q21VydFLVH3TRQUabQu_ym0Zz7PgGX0-kHA/edit?usp=sharing"",""แผน!ID22"")"),0)</f>
        <v>0</v>
      </c>
      <c r="J700" s="830">
        <f ca="1">IFERROR(__xludf.DUMMYFUNCTION("IMPORTRANGE(""https://docs.google.com/spreadsheets/d/1XWAQStnk-4SwqDmLtmXYiTMKHgktTP8We1SCoS47DrQ/edit?usp=sharing"",""จัดที่ดิน!BD22"")"),0)</f>
        <v>0</v>
      </c>
      <c r="K700" s="831">
        <f t="shared" ca="1" si="290"/>
        <v>0</v>
      </c>
      <c r="L700" s="831"/>
      <c r="M700" s="963"/>
      <c r="N700" s="1380"/>
      <c r="O700" s="831"/>
      <c r="P700" s="831"/>
      <c r="Q700" s="1244"/>
      <c r="R700" s="1244"/>
      <c r="S700" s="1244"/>
      <c r="T700" s="1244"/>
      <c r="U700" s="1244"/>
      <c r="V700" s="1244"/>
      <c r="W700" s="1244"/>
      <c r="X700" s="1244"/>
      <c r="Y700" s="1244"/>
      <c r="Z700" s="1244"/>
    </row>
    <row r="701" spans="1:26" ht="19.5" hidden="1">
      <c r="A701" s="1368"/>
      <c r="B701" s="1243"/>
      <c r="C701" s="1243"/>
      <c r="D701" s="1243" t="s">
        <v>296</v>
      </c>
      <c r="E701" s="1243"/>
      <c r="F701" s="1243"/>
      <c r="G701" s="963"/>
      <c r="H701" s="733" t="s">
        <v>46</v>
      </c>
      <c r="I701" s="1381">
        <f ca="1">IFERROR(__xludf.DUMMYFUNCTION("IMPORTRANGE(""https://docs.google.com/spreadsheets/d/1QqKyyYR6Q21VydFLVH3TRQUabQu_ym0Zz7PgGX0-kHA/edit?usp=sharing"",""แผน!IE22"")"),0)</f>
        <v>0</v>
      </c>
      <c r="J701" s="966">
        <f>J704+J707</f>
        <v>0</v>
      </c>
      <c r="K701" s="967">
        <f t="shared" ca="1" si="290"/>
        <v>0</v>
      </c>
      <c r="L701" s="831"/>
      <c r="M701" s="963"/>
      <c r="N701" s="1380"/>
      <c r="O701" s="831"/>
      <c r="P701" s="831"/>
      <c r="Q701" s="1244"/>
      <c r="R701" s="1244"/>
      <c r="S701" s="1244"/>
      <c r="T701" s="1244"/>
      <c r="U701" s="1244"/>
      <c r="V701" s="1244"/>
      <c r="W701" s="1244"/>
      <c r="X701" s="1244"/>
      <c r="Y701" s="1244"/>
      <c r="Z701" s="1244"/>
    </row>
    <row r="702" spans="1:26" ht="18.75" hidden="1">
      <c r="A702" s="1368"/>
      <c r="B702" s="1243"/>
      <c r="C702" s="1243"/>
      <c r="D702" s="1243"/>
      <c r="E702" s="1243" t="s">
        <v>297</v>
      </c>
      <c r="F702" s="1243"/>
      <c r="G702" s="963"/>
      <c r="H702" s="730" t="s">
        <v>35</v>
      </c>
      <c r="I702" s="1379"/>
      <c r="J702" s="959">
        <v>0</v>
      </c>
      <c r="K702" s="831"/>
      <c r="L702" s="831"/>
      <c r="M702" s="963"/>
      <c r="N702" s="1380"/>
      <c r="O702" s="831"/>
      <c r="P702" s="831"/>
      <c r="Q702" s="1244"/>
      <c r="R702" s="1244"/>
      <c r="S702" s="1244"/>
      <c r="T702" s="1244"/>
      <c r="U702" s="1244"/>
      <c r="V702" s="1244"/>
      <c r="W702" s="1244"/>
      <c r="X702" s="1244"/>
      <c r="Y702" s="1244"/>
      <c r="Z702" s="1244"/>
    </row>
    <row r="703" spans="1:26" ht="18.75" hidden="1">
      <c r="A703" s="1368"/>
      <c r="B703" s="1243"/>
      <c r="C703" s="1243"/>
      <c r="D703" s="1243"/>
      <c r="E703" s="1243"/>
      <c r="F703" s="1243"/>
      <c r="G703" s="963"/>
      <c r="H703" s="730" t="s">
        <v>34</v>
      </c>
      <c r="I703" s="1379"/>
      <c r="J703" s="959">
        <v>0</v>
      </c>
      <c r="K703" s="831"/>
      <c r="L703" s="831"/>
      <c r="M703" s="963"/>
      <c r="N703" s="1380"/>
      <c r="O703" s="831"/>
      <c r="P703" s="831"/>
      <c r="Q703" s="1244"/>
      <c r="R703" s="1244"/>
      <c r="S703" s="1244"/>
      <c r="T703" s="1244"/>
      <c r="U703" s="1244"/>
      <c r="V703" s="1244"/>
      <c r="W703" s="1244"/>
      <c r="X703" s="1244"/>
      <c r="Y703" s="1244"/>
      <c r="Z703" s="1244"/>
    </row>
    <row r="704" spans="1:26" ht="18.75" hidden="1">
      <c r="A704" s="1368"/>
      <c r="B704" s="1243"/>
      <c r="C704" s="1243"/>
      <c r="D704" s="1243"/>
      <c r="E704" s="1243"/>
      <c r="F704" s="1243"/>
      <c r="G704" s="963"/>
      <c r="H704" s="730" t="s">
        <v>46</v>
      </c>
      <c r="I704" s="1379">
        <f ca="1">IFERROR(__xludf.DUMMYFUNCTION("IMPORTRANGE(""https://docs.google.com/spreadsheets/d/1QqKyyYR6Q21VydFLVH3TRQUabQu_ym0Zz7PgGX0-kHA/edit?usp=sharing"",""แผน!IF22"")"),0)</f>
        <v>0</v>
      </c>
      <c r="J704" s="959">
        <v>0</v>
      </c>
      <c r="K704" s="831"/>
      <c r="L704" s="831"/>
      <c r="M704" s="963"/>
      <c r="N704" s="1380"/>
      <c r="O704" s="831"/>
      <c r="P704" s="831"/>
      <c r="Q704" s="1244"/>
      <c r="R704" s="1244"/>
      <c r="S704" s="1244"/>
      <c r="T704" s="1244"/>
      <c r="U704" s="1244"/>
      <c r="V704" s="1244"/>
      <c r="W704" s="1244"/>
      <c r="X704" s="1244"/>
      <c r="Y704" s="1244"/>
      <c r="Z704" s="1244"/>
    </row>
    <row r="705" spans="1:26" ht="18.75" hidden="1">
      <c r="A705" s="1368"/>
      <c r="B705" s="1243"/>
      <c r="C705" s="1243"/>
      <c r="D705" s="1243"/>
      <c r="E705" s="1243" t="s">
        <v>298</v>
      </c>
      <c r="F705" s="1243"/>
      <c r="G705" s="963"/>
      <c r="H705" s="730" t="s">
        <v>35</v>
      </c>
      <c r="I705" s="1379"/>
      <c r="J705" s="959">
        <v>0</v>
      </c>
      <c r="K705" s="831"/>
      <c r="L705" s="831"/>
      <c r="M705" s="963"/>
      <c r="N705" s="1380"/>
      <c r="O705" s="831"/>
      <c r="P705" s="831"/>
      <c r="Q705" s="1244"/>
      <c r="R705" s="1244"/>
      <c r="S705" s="1244"/>
      <c r="T705" s="1244"/>
      <c r="U705" s="1244"/>
      <c r="V705" s="1244"/>
      <c r="W705" s="1244"/>
      <c r="X705" s="1244"/>
      <c r="Y705" s="1244"/>
      <c r="Z705" s="1244"/>
    </row>
    <row r="706" spans="1:26" ht="18.75" hidden="1">
      <c r="A706" s="1368"/>
      <c r="B706" s="1243"/>
      <c r="C706" s="1243"/>
      <c r="D706" s="1243"/>
      <c r="E706" s="1243"/>
      <c r="F706" s="1243"/>
      <c r="G706" s="963"/>
      <c r="H706" s="730" t="s">
        <v>34</v>
      </c>
      <c r="I706" s="1379"/>
      <c r="J706" s="959">
        <v>0</v>
      </c>
      <c r="K706" s="831"/>
      <c r="L706" s="831"/>
      <c r="M706" s="963"/>
      <c r="N706" s="1380"/>
      <c r="O706" s="831"/>
      <c r="P706" s="831"/>
      <c r="Q706" s="1244"/>
      <c r="R706" s="1244"/>
      <c r="S706" s="1244"/>
      <c r="T706" s="1244"/>
      <c r="U706" s="1244"/>
      <c r="V706" s="1244"/>
      <c r="W706" s="1244"/>
      <c r="X706" s="1244"/>
      <c r="Y706" s="1244"/>
      <c r="Z706" s="1244"/>
    </row>
    <row r="707" spans="1:26" ht="18.75" hidden="1">
      <c r="A707" s="1368"/>
      <c r="B707" s="1243"/>
      <c r="C707" s="1243"/>
      <c r="D707" s="1243"/>
      <c r="E707" s="1243"/>
      <c r="F707" s="1243"/>
      <c r="G707" s="963"/>
      <c r="H707" s="730" t="s">
        <v>46</v>
      </c>
      <c r="I707" s="1379">
        <f ca="1">IFERROR(__xludf.DUMMYFUNCTION("IMPORTRANGE(""https://docs.google.com/spreadsheets/d/1QqKyyYR6Q21VydFLVH3TRQUabQu_ym0Zz7PgGX0-kHA/edit?usp=sharing"",""แผน!IG22"")"),0)</f>
        <v>0</v>
      </c>
      <c r="J707" s="959">
        <v>0</v>
      </c>
      <c r="K707" s="831"/>
      <c r="L707" s="831"/>
      <c r="M707" s="963"/>
      <c r="N707" s="1380"/>
      <c r="O707" s="831"/>
      <c r="P707" s="831"/>
      <c r="Q707" s="1244"/>
      <c r="R707" s="1244"/>
      <c r="S707" s="1244"/>
      <c r="T707" s="1244"/>
      <c r="U707" s="1244"/>
      <c r="V707" s="1244"/>
      <c r="W707" s="1244"/>
      <c r="X707" s="1244"/>
      <c r="Y707" s="1244"/>
      <c r="Z707" s="1244"/>
    </row>
    <row r="708" spans="1:26" ht="19.5" hidden="1">
      <c r="A708" s="1368"/>
      <c r="B708" s="1243"/>
      <c r="C708" s="1243"/>
      <c r="D708" s="1322" t="s">
        <v>299</v>
      </c>
      <c r="E708" s="1243"/>
      <c r="F708" s="1243"/>
      <c r="G708" s="963"/>
      <c r="H708" s="733" t="s">
        <v>46</v>
      </c>
      <c r="I708" s="1381">
        <f ca="1">IFERROR(__xludf.DUMMYFUNCTION("IMPORTRANGE(""https://docs.google.com/spreadsheets/d/1QqKyyYR6Q21VydFLVH3TRQUabQu_ym0Zz7PgGX0-kHA/edit?usp=sharing"",""แผน!IH22"")"),0)</f>
        <v>0</v>
      </c>
      <c r="J708" s="966">
        <f>J714+J717</f>
        <v>0</v>
      </c>
      <c r="K708" s="967">
        <f ca="1">IF(I708&gt;0,J708*100/I708,0)</f>
        <v>0</v>
      </c>
      <c r="L708" s="831"/>
      <c r="M708" s="963"/>
      <c r="N708" s="1380"/>
      <c r="O708" s="831"/>
      <c r="P708" s="831"/>
      <c r="Q708" s="1244"/>
      <c r="R708" s="1244"/>
      <c r="S708" s="1244"/>
      <c r="T708" s="1244"/>
      <c r="U708" s="1244"/>
      <c r="V708" s="1244"/>
      <c r="W708" s="1244"/>
      <c r="X708" s="1244"/>
      <c r="Y708" s="1244"/>
      <c r="Z708" s="1244"/>
    </row>
    <row r="709" spans="1:26" ht="18.75" hidden="1">
      <c r="A709" s="1368"/>
      <c r="B709" s="1243"/>
      <c r="C709" s="1243"/>
      <c r="D709" s="1243"/>
      <c r="E709" s="1243" t="s">
        <v>300</v>
      </c>
      <c r="F709" s="1243"/>
      <c r="G709" s="963"/>
      <c r="H709" s="730" t="s">
        <v>34</v>
      </c>
      <c r="I709" s="1379"/>
      <c r="J709" s="959">
        <v>0</v>
      </c>
      <c r="K709" s="831"/>
      <c r="L709" s="1380"/>
      <c r="M709" s="963"/>
      <c r="N709" s="1380"/>
      <c r="O709" s="831"/>
      <c r="P709" s="831"/>
      <c r="Q709" s="1244"/>
      <c r="R709" s="1244"/>
      <c r="S709" s="1244"/>
      <c r="T709" s="1244"/>
      <c r="U709" s="1244"/>
      <c r="V709" s="1244"/>
      <c r="W709" s="1244"/>
      <c r="X709" s="1244"/>
      <c r="Y709" s="1244"/>
      <c r="Z709" s="1244"/>
    </row>
    <row r="710" spans="1:26" ht="18.75" hidden="1">
      <c r="A710" s="1368"/>
      <c r="B710" s="1243"/>
      <c r="C710" s="1243"/>
      <c r="D710" s="1243"/>
      <c r="E710" s="1243"/>
      <c r="F710" s="1243"/>
      <c r="G710" s="963"/>
      <c r="H710" s="730" t="s">
        <v>46</v>
      </c>
      <c r="I710" s="1379"/>
      <c r="J710" s="959">
        <v>0</v>
      </c>
      <c r="K710" s="831"/>
      <c r="L710" s="1380"/>
      <c r="M710" s="963"/>
      <c r="N710" s="1380"/>
      <c r="O710" s="831"/>
      <c r="P710" s="831"/>
      <c r="Q710" s="1244"/>
      <c r="R710" s="1244"/>
      <c r="S710" s="1244"/>
      <c r="T710" s="1244"/>
      <c r="U710" s="1244"/>
      <c r="V710" s="1244"/>
      <c r="W710" s="1244"/>
      <c r="X710" s="1244"/>
      <c r="Y710" s="1244"/>
      <c r="Z710" s="1244"/>
    </row>
    <row r="711" spans="1:26" ht="18.75" hidden="1">
      <c r="A711" s="1368"/>
      <c r="B711" s="1243"/>
      <c r="C711" s="1243"/>
      <c r="D711" s="1243"/>
      <c r="E711" s="1243" t="s">
        <v>301</v>
      </c>
      <c r="F711" s="1243"/>
      <c r="G711" s="963"/>
      <c r="H711" s="954"/>
      <c r="I711" s="1379"/>
      <c r="J711" s="830"/>
      <c r="K711" s="831"/>
      <c r="L711" s="1380"/>
      <c r="M711" s="963"/>
      <c r="N711" s="1380"/>
      <c r="O711" s="831"/>
      <c r="P711" s="831"/>
      <c r="Q711" s="1244"/>
      <c r="R711" s="1244"/>
      <c r="S711" s="1244"/>
      <c r="T711" s="1244"/>
      <c r="U711" s="1244"/>
      <c r="V711" s="1244"/>
      <c r="W711" s="1244"/>
      <c r="X711" s="1244"/>
      <c r="Y711" s="1244"/>
      <c r="Z711" s="1244"/>
    </row>
    <row r="712" spans="1:26" ht="18.75" hidden="1">
      <c r="A712" s="1368"/>
      <c r="B712" s="1243"/>
      <c r="C712" s="1243"/>
      <c r="D712" s="1243"/>
      <c r="E712" s="1243"/>
      <c r="F712" s="1243" t="s">
        <v>302</v>
      </c>
      <c r="G712" s="963"/>
      <c r="H712" s="730" t="s">
        <v>35</v>
      </c>
      <c r="I712" s="1379"/>
      <c r="J712" s="959">
        <v>0</v>
      </c>
      <c r="K712" s="831"/>
      <c r="L712" s="1380"/>
      <c r="M712" s="963"/>
      <c r="N712" s="1380"/>
      <c r="O712" s="831"/>
      <c r="P712" s="831"/>
      <c r="Q712" s="1244"/>
      <c r="R712" s="1244"/>
      <c r="S712" s="1244"/>
      <c r="T712" s="1244"/>
      <c r="U712" s="1244"/>
      <c r="V712" s="1244"/>
      <c r="W712" s="1244"/>
      <c r="X712" s="1244"/>
      <c r="Y712" s="1244"/>
      <c r="Z712" s="1244"/>
    </row>
    <row r="713" spans="1:26" ht="18.75" hidden="1">
      <c r="A713" s="1368"/>
      <c r="B713" s="1243"/>
      <c r="C713" s="1243"/>
      <c r="D713" s="1243"/>
      <c r="E713" s="1243"/>
      <c r="F713" s="1243"/>
      <c r="G713" s="963"/>
      <c r="H713" s="730" t="s">
        <v>34</v>
      </c>
      <c r="I713" s="1379"/>
      <c r="J713" s="959">
        <v>0</v>
      </c>
      <c r="K713" s="831"/>
      <c r="L713" s="1380"/>
      <c r="M713" s="963"/>
      <c r="N713" s="1380"/>
      <c r="O713" s="831"/>
      <c r="P713" s="831"/>
      <c r="Q713" s="1244"/>
      <c r="R713" s="1244"/>
      <c r="S713" s="1244"/>
      <c r="T713" s="1244"/>
      <c r="U713" s="1244"/>
      <c r="V713" s="1244"/>
      <c r="W713" s="1244"/>
      <c r="X713" s="1244"/>
      <c r="Y713" s="1244"/>
      <c r="Z713" s="1244"/>
    </row>
    <row r="714" spans="1:26" ht="18.75" hidden="1">
      <c r="A714" s="1368"/>
      <c r="B714" s="1243"/>
      <c r="C714" s="1243"/>
      <c r="D714" s="1243"/>
      <c r="E714" s="1243"/>
      <c r="F714" s="1243"/>
      <c r="G714" s="963"/>
      <c r="H714" s="730" t="s">
        <v>46</v>
      </c>
      <c r="I714" s="1379"/>
      <c r="J714" s="959">
        <v>0</v>
      </c>
      <c r="K714" s="831"/>
      <c r="L714" s="1380"/>
      <c r="M714" s="963"/>
      <c r="N714" s="1380"/>
      <c r="O714" s="831"/>
      <c r="P714" s="831"/>
      <c r="Q714" s="1244"/>
      <c r="R714" s="1244"/>
      <c r="S714" s="1244"/>
      <c r="T714" s="1244"/>
      <c r="U714" s="1244"/>
      <c r="V714" s="1244"/>
      <c r="W714" s="1244"/>
      <c r="X714" s="1244"/>
      <c r="Y714" s="1244"/>
      <c r="Z714" s="1244"/>
    </row>
    <row r="715" spans="1:26" ht="18.75" hidden="1">
      <c r="A715" s="1368"/>
      <c r="B715" s="1243"/>
      <c r="C715" s="1243"/>
      <c r="D715" s="1243"/>
      <c r="E715" s="1243"/>
      <c r="F715" s="1243" t="s">
        <v>303</v>
      </c>
      <c r="G715" s="963"/>
      <c r="H715" s="730" t="s">
        <v>35</v>
      </c>
      <c r="I715" s="1379"/>
      <c r="J715" s="959">
        <v>0</v>
      </c>
      <c r="K715" s="831"/>
      <c r="L715" s="1380"/>
      <c r="M715" s="963"/>
      <c r="N715" s="1380"/>
      <c r="O715" s="831"/>
      <c r="P715" s="831"/>
      <c r="Q715" s="1244"/>
      <c r="R715" s="1244"/>
      <c r="S715" s="1244"/>
      <c r="T715" s="1244"/>
      <c r="U715" s="1244"/>
      <c r="V715" s="1244"/>
      <c r="W715" s="1244"/>
      <c r="X715" s="1244"/>
      <c r="Y715" s="1244"/>
      <c r="Z715" s="1244"/>
    </row>
    <row r="716" spans="1:26" ht="18.75" hidden="1">
      <c r="A716" s="1368"/>
      <c r="B716" s="1243"/>
      <c r="C716" s="1243"/>
      <c r="D716" s="1243"/>
      <c r="E716" s="1243"/>
      <c r="F716" s="1243"/>
      <c r="G716" s="963"/>
      <c r="H716" s="730" t="s">
        <v>34</v>
      </c>
      <c r="I716" s="1379"/>
      <c r="J716" s="959">
        <v>0</v>
      </c>
      <c r="K716" s="831"/>
      <c r="L716" s="1380"/>
      <c r="M716" s="963"/>
      <c r="N716" s="1380"/>
      <c r="O716" s="831"/>
      <c r="P716" s="831"/>
      <c r="Q716" s="1244"/>
      <c r="R716" s="1244"/>
      <c r="S716" s="1244"/>
      <c r="T716" s="1244"/>
      <c r="U716" s="1244"/>
      <c r="V716" s="1244"/>
      <c r="W716" s="1244"/>
      <c r="X716" s="1244"/>
      <c r="Y716" s="1244"/>
      <c r="Z716" s="1244"/>
    </row>
    <row r="717" spans="1:26" ht="18.75" hidden="1">
      <c r="A717" s="1368"/>
      <c r="B717" s="1243"/>
      <c r="C717" s="1243"/>
      <c r="D717" s="1243"/>
      <c r="E717" s="1243"/>
      <c r="F717" s="1243"/>
      <c r="G717" s="963"/>
      <c r="H717" s="730" t="s">
        <v>46</v>
      </c>
      <c r="I717" s="1379"/>
      <c r="J717" s="959">
        <v>0</v>
      </c>
      <c r="K717" s="831"/>
      <c r="L717" s="1380"/>
      <c r="M717" s="963"/>
      <c r="N717" s="1380"/>
      <c r="O717" s="831"/>
      <c r="P717" s="831"/>
      <c r="Q717" s="1244"/>
      <c r="R717" s="1244"/>
      <c r="S717" s="1244"/>
      <c r="T717" s="1244"/>
      <c r="U717" s="1244"/>
      <c r="V717" s="1244"/>
      <c r="W717" s="1244"/>
      <c r="X717" s="1244"/>
      <c r="Y717" s="1244"/>
      <c r="Z717" s="1244"/>
    </row>
    <row r="718" spans="1:26" ht="18.75" hidden="1">
      <c r="A718" s="1368"/>
      <c r="B718" s="1243"/>
      <c r="C718" s="1243"/>
      <c r="D718" s="1243" t="s">
        <v>304</v>
      </c>
      <c r="E718" s="1243"/>
      <c r="F718" s="1243"/>
      <c r="G718" s="963"/>
      <c r="H718" s="730" t="s">
        <v>35</v>
      </c>
      <c r="I718" s="1379"/>
      <c r="J718" s="830">
        <f ca="1">IFERROR(__xludf.DUMMYFUNCTION("IMPORTRANGE(""https://docs.google.com/spreadsheets/d/1XWAQStnk-4SwqDmLtmXYiTMKHgktTP8We1SCoS47DrQ/edit?usp=sharing"",""จัดที่ดิน!BF22"")"),0)</f>
        <v>0</v>
      </c>
      <c r="K718" s="831"/>
      <c r="L718" s="831"/>
      <c r="M718" s="963"/>
      <c r="N718" s="1380"/>
      <c r="O718" s="831"/>
      <c r="P718" s="831"/>
      <c r="Q718" s="1244"/>
      <c r="R718" s="1244"/>
      <c r="S718" s="1244"/>
      <c r="T718" s="1244"/>
      <c r="U718" s="1244"/>
      <c r="V718" s="1244"/>
      <c r="W718" s="1244"/>
      <c r="X718" s="1244"/>
      <c r="Y718" s="1244"/>
      <c r="Z718" s="1244"/>
    </row>
    <row r="719" spans="1:26" ht="18.75" hidden="1">
      <c r="A719" s="1368"/>
      <c r="B719" s="1243"/>
      <c r="C719" s="1243"/>
      <c r="D719" s="1243"/>
      <c r="E719" s="1243"/>
      <c r="F719" s="1243"/>
      <c r="G719" s="963"/>
      <c r="H719" s="730" t="s">
        <v>34</v>
      </c>
      <c r="I719" s="1379"/>
      <c r="J719" s="830">
        <f ca="1">IFERROR(__xludf.DUMMYFUNCTION("IMPORTRANGE(""https://docs.google.com/spreadsheets/d/1XWAQStnk-4SwqDmLtmXYiTMKHgktTP8We1SCoS47DrQ/edit?usp=sharing"",""จัดที่ดิน!BG22"")"),0)</f>
        <v>0</v>
      </c>
      <c r="K719" s="831"/>
      <c r="L719" s="1380"/>
      <c r="M719" s="963"/>
      <c r="N719" s="1380"/>
      <c r="O719" s="831"/>
      <c r="P719" s="831"/>
      <c r="Q719" s="1244"/>
      <c r="R719" s="1244"/>
      <c r="S719" s="1244"/>
      <c r="T719" s="1244"/>
      <c r="U719" s="1244"/>
      <c r="V719" s="1244"/>
      <c r="W719" s="1244"/>
      <c r="X719" s="1244"/>
      <c r="Y719" s="1244"/>
      <c r="Z719" s="1244"/>
    </row>
    <row r="720" spans="1:26" ht="18.75" hidden="1">
      <c r="A720" s="1368"/>
      <c r="B720" s="1243"/>
      <c r="C720" s="1243"/>
      <c r="D720" s="1243"/>
      <c r="E720" s="1243"/>
      <c r="F720" s="1243"/>
      <c r="G720" s="963"/>
      <c r="H720" s="730" t="s">
        <v>46</v>
      </c>
      <c r="I720" s="1379">
        <f ca="1">IFERROR(__xludf.DUMMYFUNCTION("IMPORTRANGE(""https://docs.google.com/spreadsheets/d/1QqKyyYR6Q21VydFLVH3TRQUabQu_ym0Zz7PgGX0-kHA/edit?usp=sharing"",""แผน!II22"")"),0)</f>
        <v>0</v>
      </c>
      <c r="J720" s="830">
        <f ca="1">IFERROR(__xludf.DUMMYFUNCTION("IMPORTRANGE(""https://docs.google.com/spreadsheets/d/1XWAQStnk-4SwqDmLtmXYiTMKHgktTP8We1SCoS47DrQ/edit?usp=sharing"",""จัดที่ดิน!BH22"")"),0)</f>
        <v>0</v>
      </c>
      <c r="K720" s="831">
        <f t="shared" ref="K720:K723" ca="1" si="291">IF(I720&gt;0,J720*100/I720,0)</f>
        <v>0</v>
      </c>
      <c r="L720" s="1380"/>
      <c r="M720" s="963"/>
      <c r="N720" s="1380"/>
      <c r="O720" s="831"/>
      <c r="P720" s="831"/>
      <c r="Q720" s="1244"/>
      <c r="R720" s="1244"/>
      <c r="S720" s="1244"/>
      <c r="T720" s="1244"/>
      <c r="U720" s="1244"/>
      <c r="V720" s="1244"/>
      <c r="W720" s="1244"/>
      <c r="X720" s="1244"/>
      <c r="Y720" s="1244"/>
      <c r="Z720" s="1244"/>
    </row>
    <row r="721" spans="1:26" ht="19.5" hidden="1">
      <c r="A721" s="1368"/>
      <c r="B721" s="1243"/>
      <c r="C721" s="1243"/>
      <c r="D721" s="1243" t="s">
        <v>305</v>
      </c>
      <c r="E721" s="1243"/>
      <c r="F721" s="1243"/>
      <c r="G721" s="963"/>
      <c r="H721" s="733" t="s">
        <v>35</v>
      </c>
      <c r="I721" s="1381">
        <f ca="1">IFERROR(__xludf.DUMMYFUNCTION("IMPORTRANGE(""https://docs.google.com/spreadsheets/d/1QqKyyYR6Q21VydFLVH3TRQUabQu_ym0Zz7PgGX0-kHA/edit?usp=sharing"",""แผน!IJ22"")"),0)</f>
        <v>0</v>
      </c>
      <c r="J721" s="966">
        <f ca="1">J723+J726</f>
        <v>0</v>
      </c>
      <c r="K721" s="967">
        <f t="shared" ca="1" si="291"/>
        <v>0</v>
      </c>
      <c r="L721" s="1380"/>
      <c r="M721" s="963"/>
      <c r="N721" s="1380"/>
      <c r="O721" s="831"/>
      <c r="P721" s="831"/>
      <c r="Q721" s="1244"/>
      <c r="R721" s="1244"/>
      <c r="S721" s="1244"/>
      <c r="T721" s="1244"/>
      <c r="U721" s="1244"/>
      <c r="V721" s="1244"/>
      <c r="W721" s="1244"/>
      <c r="X721" s="1244"/>
      <c r="Y721" s="1244"/>
      <c r="Z721" s="1244"/>
    </row>
    <row r="722" spans="1:26" ht="19.5" hidden="1">
      <c r="A722" s="1368"/>
      <c r="B722" s="1243"/>
      <c r="C722" s="1243"/>
      <c r="D722" s="1243"/>
      <c r="E722" s="1243"/>
      <c r="F722" s="1243"/>
      <c r="G722" s="963"/>
      <c r="H722" s="733" t="s">
        <v>46</v>
      </c>
      <c r="I722" s="1381">
        <f ca="1">IFERROR(__xludf.DUMMYFUNCTION("IMPORTRANGE(""https://docs.google.com/spreadsheets/d/1QqKyyYR6Q21VydFLVH3TRQUabQu_ym0Zz7PgGX0-kHA/edit?usp=sharing"",""แผน!IK22"")"),0)</f>
        <v>0</v>
      </c>
      <c r="J722" s="966">
        <f ca="1">J725+J728</f>
        <v>0</v>
      </c>
      <c r="K722" s="967">
        <f t="shared" ca="1" si="291"/>
        <v>0</v>
      </c>
      <c r="L722" s="831"/>
      <c r="M722" s="963"/>
      <c r="N722" s="1380"/>
      <c r="O722" s="831"/>
      <c r="P722" s="831"/>
      <c r="Q722" s="1244"/>
      <c r="R722" s="1244"/>
      <c r="S722" s="1244"/>
      <c r="T722" s="1244"/>
      <c r="U722" s="1244"/>
      <c r="V722" s="1244"/>
      <c r="W722" s="1244"/>
      <c r="X722" s="1244"/>
      <c r="Y722" s="1244"/>
      <c r="Z722" s="1244"/>
    </row>
    <row r="723" spans="1:26" ht="18.75" hidden="1">
      <c r="A723" s="1368"/>
      <c r="B723" s="1243"/>
      <c r="C723" s="1243"/>
      <c r="D723" s="1243"/>
      <c r="E723" s="1243" t="s">
        <v>306</v>
      </c>
      <c r="F723" s="1243"/>
      <c r="G723" s="963"/>
      <c r="H723" s="730" t="s">
        <v>35</v>
      </c>
      <c r="I723" s="1379">
        <f ca="1">IFERROR(__xludf.DUMMYFUNCTION("IMPORTRANGE(""https://docs.google.com/spreadsheets/d/1QqKyyYR6Q21VydFLVH3TRQUabQu_ym0Zz7PgGX0-kHA/edit?usp=sharing"",""แผน!IL22"")"),0)</f>
        <v>0</v>
      </c>
      <c r="J723" s="830">
        <f ca="1">IFERROR(__xludf.DUMMYFUNCTION("IMPORTRANGE(""https://docs.google.com/spreadsheets/d/1XWAQStnk-4SwqDmLtmXYiTMKHgktTP8We1SCoS47DrQ/edit?usp=sharing"",""จัดที่ดิน!BM22"")"),0)</f>
        <v>0</v>
      </c>
      <c r="K723" s="831">
        <f t="shared" ca="1" si="291"/>
        <v>0</v>
      </c>
      <c r="L723" s="831"/>
      <c r="M723" s="963"/>
      <c r="N723" s="1380"/>
      <c r="O723" s="831"/>
      <c r="P723" s="831"/>
      <c r="Q723" s="1244"/>
      <c r="R723" s="1244"/>
      <c r="S723" s="1244"/>
      <c r="T723" s="1244"/>
      <c r="U723" s="1244"/>
      <c r="V723" s="1244"/>
      <c r="W723" s="1244"/>
      <c r="X723" s="1244"/>
      <c r="Y723" s="1244"/>
      <c r="Z723" s="1244"/>
    </row>
    <row r="724" spans="1:26" ht="18.75" hidden="1">
      <c r="A724" s="1368"/>
      <c r="B724" s="1243"/>
      <c r="C724" s="1243"/>
      <c r="D724" s="1243"/>
      <c r="E724" s="1243"/>
      <c r="F724" s="1243"/>
      <c r="G724" s="963"/>
      <c r="H724" s="730" t="s">
        <v>34</v>
      </c>
      <c r="I724" s="1379"/>
      <c r="J724" s="830">
        <f ca="1">IFERROR(__xludf.DUMMYFUNCTION("IMPORTRANGE(""https://docs.google.com/spreadsheets/d/1XWAQStnk-4SwqDmLtmXYiTMKHgktTP8We1SCoS47DrQ/edit?usp=sharing"",""จัดที่ดิน!BN22"")"),0)</f>
        <v>0</v>
      </c>
      <c r="K724" s="831"/>
      <c r="L724" s="1380"/>
      <c r="M724" s="963"/>
      <c r="N724" s="1380"/>
      <c r="O724" s="831"/>
      <c r="P724" s="831"/>
      <c r="Q724" s="1244"/>
      <c r="R724" s="1244"/>
      <c r="S724" s="1244"/>
      <c r="T724" s="1244"/>
      <c r="U724" s="1244"/>
      <c r="V724" s="1244"/>
      <c r="W724" s="1244"/>
      <c r="X724" s="1244"/>
      <c r="Y724" s="1244"/>
      <c r="Z724" s="1244"/>
    </row>
    <row r="725" spans="1:26" ht="18.75" hidden="1">
      <c r="A725" s="1368"/>
      <c r="B725" s="1243"/>
      <c r="C725" s="1243"/>
      <c r="D725" s="1243"/>
      <c r="E725" s="1243"/>
      <c r="F725" s="1243"/>
      <c r="G725" s="963"/>
      <c r="H725" s="730" t="s">
        <v>46</v>
      </c>
      <c r="I725" s="1379">
        <f ca="1">IFERROR(__xludf.DUMMYFUNCTION("IMPORTRANGE(""https://docs.google.com/spreadsheets/d/1QqKyyYR6Q21VydFLVH3TRQUabQu_ym0Zz7PgGX0-kHA/edit?usp=sharing"",""แผน!IM22"")"),0)</f>
        <v>0</v>
      </c>
      <c r="J725" s="830">
        <f ca="1">IFERROR(__xludf.DUMMYFUNCTION("IMPORTRANGE(""https://docs.google.com/spreadsheets/d/1XWAQStnk-4SwqDmLtmXYiTMKHgktTP8We1SCoS47DrQ/edit?usp=sharing"",""จัดที่ดิน!BO22"")"),0)</f>
        <v>0</v>
      </c>
      <c r="K725" s="831">
        <f t="shared" ref="K725:K726" ca="1" si="292">IF(I725&gt;0,J725*100/I725,0)</f>
        <v>0</v>
      </c>
      <c r="L725" s="1380"/>
      <c r="M725" s="963"/>
      <c r="N725" s="1380"/>
      <c r="O725" s="831"/>
      <c r="P725" s="831"/>
      <c r="Q725" s="1244"/>
      <c r="R725" s="1244"/>
      <c r="S725" s="1244"/>
      <c r="T725" s="1244"/>
      <c r="U725" s="1244"/>
      <c r="V725" s="1244"/>
      <c r="W725" s="1244"/>
      <c r="X725" s="1244"/>
      <c r="Y725" s="1244"/>
      <c r="Z725" s="1244"/>
    </row>
    <row r="726" spans="1:26" ht="18.75" hidden="1">
      <c r="A726" s="1368"/>
      <c r="B726" s="1243"/>
      <c r="C726" s="1243"/>
      <c r="D726" s="1243"/>
      <c r="E726" s="1243" t="s">
        <v>307</v>
      </c>
      <c r="F726" s="1243"/>
      <c r="G726" s="963"/>
      <c r="H726" s="730" t="s">
        <v>35</v>
      </c>
      <c r="I726" s="1379">
        <f ca="1">IFERROR(__xludf.DUMMYFUNCTION("IMPORTRANGE(""https://docs.google.com/spreadsheets/d/1QqKyyYR6Q21VydFLVH3TRQUabQu_ym0Zz7PgGX0-kHA/edit?usp=sharing"",""แผน!IN22"")"),0)</f>
        <v>0</v>
      </c>
      <c r="J726" s="830">
        <f ca="1">IFERROR(__xludf.DUMMYFUNCTION("IMPORTRANGE(""https://docs.google.com/spreadsheets/d/1XWAQStnk-4SwqDmLtmXYiTMKHgktTP8We1SCoS47DrQ/edit?usp=sharing"",""จัดที่ดิน!BR22"")"),0)</f>
        <v>0</v>
      </c>
      <c r="K726" s="831">
        <f t="shared" ca="1" si="292"/>
        <v>0</v>
      </c>
      <c r="L726" s="831"/>
      <c r="M726" s="963"/>
      <c r="N726" s="1380"/>
      <c r="O726" s="831"/>
      <c r="P726" s="831"/>
      <c r="Q726" s="1244"/>
      <c r="R726" s="1244"/>
      <c r="S726" s="1244"/>
      <c r="T726" s="1244"/>
      <c r="U726" s="1244"/>
      <c r="V726" s="1244"/>
      <c r="W726" s="1244"/>
      <c r="X726" s="1244"/>
      <c r="Y726" s="1244"/>
      <c r="Z726" s="1244"/>
    </row>
    <row r="727" spans="1:26" ht="18.75" hidden="1">
      <c r="A727" s="1368"/>
      <c r="B727" s="1243"/>
      <c r="C727" s="1243"/>
      <c r="D727" s="1243"/>
      <c r="E727" s="1243"/>
      <c r="F727" s="1243"/>
      <c r="G727" s="963"/>
      <c r="H727" s="730" t="s">
        <v>34</v>
      </c>
      <c r="I727" s="1379"/>
      <c r="J727" s="830">
        <f ca="1">IFERROR(__xludf.DUMMYFUNCTION("IMPORTRANGE(""https://docs.google.com/spreadsheets/d/1XWAQStnk-4SwqDmLtmXYiTMKHgktTP8We1SCoS47DrQ/edit?usp=sharing"",""จัดที่ดิน!BS22"")"),0)</f>
        <v>0</v>
      </c>
      <c r="K727" s="831"/>
      <c r="L727" s="1380"/>
      <c r="M727" s="963"/>
      <c r="N727" s="1380"/>
      <c r="O727" s="831"/>
      <c r="P727" s="831"/>
      <c r="Q727" s="1244"/>
      <c r="R727" s="1244"/>
      <c r="S727" s="1244"/>
      <c r="T727" s="1244"/>
      <c r="U727" s="1244"/>
      <c r="V727" s="1244"/>
      <c r="W727" s="1244"/>
      <c r="X727" s="1244"/>
      <c r="Y727" s="1244"/>
      <c r="Z727" s="1244"/>
    </row>
    <row r="728" spans="1:26" ht="18.75" hidden="1">
      <c r="A728" s="1368"/>
      <c r="B728" s="1243"/>
      <c r="C728" s="1243"/>
      <c r="D728" s="1243"/>
      <c r="E728" s="1243"/>
      <c r="F728" s="1243"/>
      <c r="G728" s="963"/>
      <c r="H728" s="730" t="s">
        <v>46</v>
      </c>
      <c r="I728" s="1379">
        <f ca="1">IFERROR(__xludf.DUMMYFUNCTION("IMPORTRANGE(""https://docs.google.com/spreadsheets/d/1QqKyyYR6Q21VydFLVH3TRQUabQu_ym0Zz7PgGX0-kHA/edit?usp=sharing"",""แผน!IO22"")"),0)</f>
        <v>0</v>
      </c>
      <c r="J728" s="830">
        <f ca="1">IFERROR(__xludf.DUMMYFUNCTION("IMPORTRANGE(""https://docs.google.com/spreadsheets/d/1XWAQStnk-4SwqDmLtmXYiTMKHgktTP8We1SCoS47DrQ/edit?usp=sharing"",""จัดที่ดิน!BT22"")"),0)</f>
        <v>0</v>
      </c>
      <c r="K728" s="831">
        <f t="shared" ref="K728:K729" ca="1" si="293">IF(I728&gt;0,J728*100/I728,0)</f>
        <v>0</v>
      </c>
      <c r="L728" s="1380"/>
      <c r="M728" s="963"/>
      <c r="N728" s="1380"/>
      <c r="O728" s="831"/>
      <c r="P728" s="831"/>
      <c r="Q728" s="1244"/>
      <c r="R728" s="1244"/>
      <c r="S728" s="1244"/>
      <c r="T728" s="1244"/>
      <c r="U728" s="1244"/>
      <c r="V728" s="1244"/>
      <c r="W728" s="1244"/>
      <c r="X728" s="1244"/>
      <c r="Y728" s="1244"/>
      <c r="Z728" s="1244"/>
    </row>
    <row r="729" spans="1:26" ht="19.5" hidden="1">
      <c r="A729" s="1368"/>
      <c r="B729" s="1243"/>
      <c r="C729" s="1243"/>
      <c r="D729" s="1243" t="s">
        <v>308</v>
      </c>
      <c r="E729" s="1243"/>
      <c r="F729" s="1243"/>
      <c r="G729" s="963"/>
      <c r="H729" s="733" t="s">
        <v>46</v>
      </c>
      <c r="I729" s="1381">
        <f ca="1">IFERROR(__xludf.DUMMYFUNCTION("IMPORTRANGE(""https://docs.google.com/spreadsheets/d/1QqKyyYR6Q21VydFLVH3TRQUabQu_ym0Zz7PgGX0-kHA/edit?usp=sharing"",""แผน!IP22"")"),0)</f>
        <v>0</v>
      </c>
      <c r="J729" s="966">
        <f>J732+J735</f>
        <v>0</v>
      </c>
      <c r="K729" s="967">
        <f t="shared" ca="1" si="293"/>
        <v>0</v>
      </c>
      <c r="L729" s="831"/>
      <c r="M729" s="963"/>
      <c r="N729" s="1380"/>
      <c r="O729" s="831"/>
      <c r="P729" s="831"/>
      <c r="Q729" s="1244"/>
      <c r="R729" s="1244"/>
      <c r="S729" s="1244"/>
      <c r="T729" s="1244"/>
      <c r="U729" s="1244"/>
      <c r="V729" s="1244"/>
      <c r="W729" s="1244"/>
      <c r="X729" s="1244"/>
      <c r="Y729" s="1244"/>
      <c r="Z729" s="1244"/>
    </row>
    <row r="730" spans="1:26" ht="18.75" hidden="1">
      <c r="A730" s="1368"/>
      <c r="B730" s="1243"/>
      <c r="C730" s="1243"/>
      <c r="D730" s="1243"/>
      <c r="E730" s="1243" t="s">
        <v>309</v>
      </c>
      <c r="F730" s="1243"/>
      <c r="G730" s="963"/>
      <c r="H730" s="730" t="s">
        <v>35</v>
      </c>
      <c r="I730" s="1379"/>
      <c r="J730" s="959">
        <v>0</v>
      </c>
      <c r="K730" s="831"/>
      <c r="L730" s="1380"/>
      <c r="M730" s="831"/>
      <c r="N730" s="1380"/>
      <c r="O730" s="831"/>
      <c r="P730" s="831"/>
      <c r="Q730" s="1244"/>
      <c r="R730" s="1244"/>
      <c r="S730" s="1244"/>
      <c r="T730" s="1244"/>
      <c r="U730" s="1244"/>
      <c r="V730" s="1244"/>
      <c r="W730" s="1244"/>
      <c r="X730" s="1244"/>
      <c r="Y730" s="1244"/>
      <c r="Z730" s="1244"/>
    </row>
    <row r="731" spans="1:26" ht="18.75" hidden="1">
      <c r="A731" s="1368"/>
      <c r="B731" s="1243"/>
      <c r="C731" s="1243"/>
      <c r="D731" s="1243"/>
      <c r="E731" s="1243"/>
      <c r="F731" s="1243"/>
      <c r="G731" s="963"/>
      <c r="H731" s="730" t="s">
        <v>34</v>
      </c>
      <c r="I731" s="1379"/>
      <c r="J731" s="959">
        <v>0</v>
      </c>
      <c r="K731" s="831"/>
      <c r="L731" s="1380"/>
      <c r="M731" s="831"/>
      <c r="N731" s="1380"/>
      <c r="O731" s="831"/>
      <c r="P731" s="831"/>
      <c r="Q731" s="1244"/>
      <c r="R731" s="1244"/>
      <c r="S731" s="1244"/>
      <c r="T731" s="1244"/>
      <c r="U731" s="1244"/>
      <c r="V731" s="1244"/>
      <c r="W731" s="1244"/>
      <c r="X731" s="1244"/>
      <c r="Y731" s="1244"/>
      <c r="Z731" s="1244"/>
    </row>
    <row r="732" spans="1:26" ht="18.75" hidden="1">
      <c r="A732" s="1368"/>
      <c r="B732" s="1243"/>
      <c r="C732" s="1243"/>
      <c r="D732" s="1243"/>
      <c r="E732" s="1243"/>
      <c r="F732" s="1243"/>
      <c r="G732" s="963"/>
      <c r="H732" s="730" t="s">
        <v>46</v>
      </c>
      <c r="I732" s="1379"/>
      <c r="J732" s="959">
        <v>0</v>
      </c>
      <c r="K732" s="831"/>
      <c r="L732" s="1380"/>
      <c r="M732" s="831"/>
      <c r="N732" s="1380"/>
      <c r="O732" s="831"/>
      <c r="P732" s="831"/>
      <c r="Q732" s="1244"/>
      <c r="R732" s="1244"/>
      <c r="S732" s="1244"/>
      <c r="T732" s="1244"/>
      <c r="U732" s="1244"/>
      <c r="V732" s="1244"/>
      <c r="W732" s="1244"/>
      <c r="X732" s="1244"/>
      <c r="Y732" s="1244"/>
      <c r="Z732" s="1244"/>
    </row>
    <row r="733" spans="1:26" ht="18.75" hidden="1">
      <c r="A733" s="1368"/>
      <c r="B733" s="1243"/>
      <c r="C733" s="1243"/>
      <c r="D733" s="1243"/>
      <c r="E733" s="1243" t="s">
        <v>310</v>
      </c>
      <c r="F733" s="1243"/>
      <c r="G733" s="963"/>
      <c r="H733" s="730" t="s">
        <v>35</v>
      </c>
      <c r="I733" s="1379"/>
      <c r="J733" s="959">
        <v>0</v>
      </c>
      <c r="K733" s="831"/>
      <c r="L733" s="1380"/>
      <c r="M733" s="831"/>
      <c r="N733" s="1380"/>
      <c r="O733" s="831"/>
      <c r="P733" s="831"/>
      <c r="Q733" s="1244"/>
      <c r="R733" s="1244"/>
      <c r="S733" s="1244"/>
      <c r="T733" s="1244"/>
      <c r="U733" s="1244"/>
      <c r="V733" s="1244"/>
      <c r="W733" s="1244"/>
      <c r="X733" s="1244"/>
      <c r="Y733" s="1244"/>
      <c r="Z733" s="1244"/>
    </row>
    <row r="734" spans="1:26" ht="18.75" hidden="1">
      <c r="A734" s="1368"/>
      <c r="B734" s="1243"/>
      <c r="C734" s="1243"/>
      <c r="D734" s="1243"/>
      <c r="E734" s="1243"/>
      <c r="F734" s="1243"/>
      <c r="G734" s="963"/>
      <c r="H734" s="730" t="s">
        <v>34</v>
      </c>
      <c r="I734" s="1379"/>
      <c r="J734" s="959">
        <v>0</v>
      </c>
      <c r="K734" s="831"/>
      <c r="L734" s="1380"/>
      <c r="M734" s="831"/>
      <c r="N734" s="1380"/>
      <c r="O734" s="831"/>
      <c r="P734" s="831"/>
      <c r="Q734" s="1244"/>
      <c r="R734" s="1244"/>
      <c r="S734" s="1244"/>
      <c r="T734" s="1244"/>
      <c r="U734" s="1244"/>
      <c r="V734" s="1244"/>
      <c r="W734" s="1244"/>
      <c r="X734" s="1244"/>
      <c r="Y734" s="1244"/>
      <c r="Z734" s="1244"/>
    </row>
    <row r="735" spans="1:26" ht="19.5" hidden="1">
      <c r="A735" s="1382"/>
      <c r="B735" s="1383" t="s">
        <v>311</v>
      </c>
      <c r="C735" s="1116"/>
      <c r="D735" s="1116"/>
      <c r="E735" s="1116"/>
      <c r="F735" s="1116"/>
      <c r="G735" s="1361"/>
      <c r="H735" s="391" t="s">
        <v>46</v>
      </c>
      <c r="I735" s="1384"/>
      <c r="J735" s="1118">
        <v>0</v>
      </c>
      <c r="K735" s="1182"/>
      <c r="L735" s="1385"/>
      <c r="M735" s="1182"/>
      <c r="N735" s="1385"/>
      <c r="O735" s="1182"/>
      <c r="P735" s="1182"/>
      <c r="Q735" s="1244"/>
      <c r="R735" s="1244"/>
      <c r="S735" s="1244"/>
      <c r="T735" s="1244"/>
      <c r="U735" s="1244"/>
      <c r="V735" s="1244"/>
      <c r="W735" s="1244"/>
      <c r="X735" s="1244"/>
      <c r="Y735" s="1244"/>
      <c r="Z735" s="1244"/>
    </row>
    <row r="736" spans="1:26" ht="19.5" hidden="1">
      <c r="A736" s="740">
        <v>9</v>
      </c>
      <c r="B736" s="1386" t="s">
        <v>312</v>
      </c>
      <c r="C736" s="1387"/>
      <c r="D736" s="1387"/>
      <c r="E736" s="1387"/>
      <c r="F736" s="1387"/>
      <c r="G736" s="1388"/>
      <c r="H736" s="744" t="s">
        <v>46</v>
      </c>
      <c r="I736" s="1389"/>
      <c r="J736" s="1389">
        <f>J751</f>
        <v>0</v>
      </c>
      <c r="K736" s="1390">
        <f>IF(I736&gt;0,J736*100/I736,0)</f>
        <v>0</v>
      </c>
      <c r="L736" s="1391"/>
      <c r="M736" s="1391"/>
      <c r="N736" s="1391"/>
      <c r="O736" s="1391"/>
      <c r="P736" s="1391"/>
      <c r="Q736" s="1264"/>
      <c r="R736" s="1264"/>
      <c r="S736" s="1264"/>
      <c r="T736" s="1264"/>
      <c r="U736" s="1264"/>
      <c r="V736" s="1264"/>
      <c r="W736" s="1264"/>
      <c r="X736" s="1264"/>
      <c r="Y736" s="1264"/>
      <c r="Z736" s="1264"/>
    </row>
    <row r="737" spans="1:26" ht="19.5" hidden="1">
      <c r="A737" s="1260"/>
      <c r="B737" s="1261"/>
      <c r="C737" s="1261" t="s">
        <v>16</v>
      </c>
      <c r="D737" s="1508" t="s">
        <v>17</v>
      </c>
      <c r="E737" s="1485"/>
      <c r="F737" s="1485"/>
      <c r="G737" s="1263"/>
      <c r="H737" s="612" t="s">
        <v>12</v>
      </c>
      <c r="I737" s="836"/>
      <c r="J737" s="836"/>
      <c r="K737" s="837"/>
      <c r="L737" s="1292">
        <f t="shared" ref="L737:N737" si="294">L738+L739</f>
        <v>0</v>
      </c>
      <c r="M737" s="1292">
        <f t="shared" si="294"/>
        <v>0</v>
      </c>
      <c r="N737" s="1292">
        <f t="shared" si="294"/>
        <v>0</v>
      </c>
      <c r="O737" s="1292">
        <f t="shared" ref="O737:O742" si="295">IF(L737&gt;0,N737*100/L737,0)</f>
        <v>0</v>
      </c>
      <c r="P737" s="1292">
        <f t="shared" ref="P737:P742" si="296">IF(M737&gt;0,N737*100/M737,0)</f>
        <v>0</v>
      </c>
      <c r="Q737" s="1264"/>
      <c r="R737" s="1264"/>
      <c r="S737" s="1264"/>
      <c r="T737" s="1264"/>
      <c r="U737" s="1264"/>
      <c r="V737" s="1264"/>
      <c r="W737" s="1264"/>
      <c r="X737" s="1264"/>
      <c r="Y737" s="1264"/>
      <c r="Z737" s="1264"/>
    </row>
    <row r="738" spans="1:26" ht="18.75" hidden="1">
      <c r="A738" s="1260"/>
      <c r="B738" s="1261"/>
      <c r="C738" s="1261"/>
      <c r="D738" s="1262"/>
      <c r="E738" s="1261" t="s">
        <v>184</v>
      </c>
      <c r="F738" s="1261"/>
      <c r="G738" s="1263"/>
      <c r="H738" s="165" t="s">
        <v>12</v>
      </c>
      <c r="I738" s="836"/>
      <c r="J738" s="836"/>
      <c r="K738" s="837"/>
      <c r="L738" s="837">
        <f t="shared" ref="L738:N739" si="297">L741+L748</f>
        <v>0</v>
      </c>
      <c r="M738" s="837">
        <f t="shared" si="297"/>
        <v>0</v>
      </c>
      <c r="N738" s="837">
        <f t="shared" si="297"/>
        <v>0</v>
      </c>
      <c r="O738" s="837">
        <f t="shared" si="295"/>
        <v>0</v>
      </c>
      <c r="P738" s="837">
        <f t="shared" si="296"/>
        <v>0</v>
      </c>
      <c r="Q738" s="1264"/>
      <c r="R738" s="1264"/>
      <c r="S738" s="1264"/>
      <c r="T738" s="1264"/>
      <c r="U738" s="1264"/>
      <c r="V738" s="1264"/>
      <c r="W738" s="1264"/>
      <c r="X738" s="1264"/>
      <c r="Y738" s="1264"/>
      <c r="Z738" s="1264"/>
    </row>
    <row r="739" spans="1:26" ht="18.75" hidden="1">
      <c r="A739" s="1260"/>
      <c r="B739" s="1265"/>
      <c r="C739" s="1261"/>
      <c r="D739" s="1262"/>
      <c r="E739" s="1261" t="s">
        <v>185</v>
      </c>
      <c r="F739" s="1261"/>
      <c r="G739" s="1263"/>
      <c r="H739" s="165" t="s">
        <v>12</v>
      </c>
      <c r="I739" s="836"/>
      <c r="J739" s="836"/>
      <c r="K739" s="837"/>
      <c r="L739" s="837">
        <f t="shared" si="297"/>
        <v>0</v>
      </c>
      <c r="M739" s="837">
        <f t="shared" si="297"/>
        <v>0</v>
      </c>
      <c r="N739" s="837">
        <f t="shared" si="297"/>
        <v>0</v>
      </c>
      <c r="O739" s="837">
        <f t="shared" si="295"/>
        <v>0</v>
      </c>
      <c r="P739" s="837">
        <f t="shared" si="296"/>
        <v>0</v>
      </c>
      <c r="Q739" s="1264"/>
      <c r="R739" s="1264"/>
      <c r="S739" s="1264"/>
      <c r="T739" s="1264"/>
      <c r="U739" s="1264"/>
      <c r="V739" s="1264"/>
      <c r="W739" s="1264"/>
      <c r="X739" s="1264"/>
      <c r="Y739" s="1264"/>
      <c r="Z739" s="1264"/>
    </row>
    <row r="740" spans="1:26" ht="19.5" hidden="1">
      <c r="A740" s="1260"/>
      <c r="B740" s="1265"/>
      <c r="C740" s="1261"/>
      <c r="D740" s="1392" t="s">
        <v>20</v>
      </c>
      <c r="E740" s="1261"/>
      <c r="F740" s="1261"/>
      <c r="G740" s="1263"/>
      <c r="H740" s="612" t="s">
        <v>12</v>
      </c>
      <c r="I740" s="947"/>
      <c r="J740" s="947"/>
      <c r="K740" s="948"/>
      <c r="L740" s="1292">
        <f t="shared" ref="L740:N740" si="298">L741+L742</f>
        <v>0</v>
      </c>
      <c r="M740" s="1292">
        <f t="shared" si="298"/>
        <v>0</v>
      </c>
      <c r="N740" s="1292">
        <f t="shared" si="298"/>
        <v>0</v>
      </c>
      <c r="O740" s="1292">
        <f t="shared" si="295"/>
        <v>0</v>
      </c>
      <c r="P740" s="1292">
        <f t="shared" si="296"/>
        <v>0</v>
      </c>
      <c r="Q740" s="1264"/>
      <c r="R740" s="1264"/>
      <c r="S740" s="1264"/>
      <c r="T740" s="1264"/>
      <c r="U740" s="1264"/>
      <c r="V740" s="1264"/>
      <c r="W740" s="1264"/>
      <c r="X740" s="1264"/>
      <c r="Y740" s="1264"/>
      <c r="Z740" s="1264"/>
    </row>
    <row r="741" spans="1:26" ht="18.75" hidden="1">
      <c r="A741" s="1260"/>
      <c r="B741" s="1265"/>
      <c r="C741" s="1261"/>
      <c r="D741" s="1262"/>
      <c r="E741" s="1261" t="s">
        <v>184</v>
      </c>
      <c r="F741" s="1261"/>
      <c r="G741" s="1263"/>
      <c r="H741" s="165" t="s">
        <v>12</v>
      </c>
      <c r="I741" s="836"/>
      <c r="J741" s="836"/>
      <c r="K741" s="837"/>
      <c r="L741" s="837">
        <v>0</v>
      </c>
      <c r="M741" s="837">
        <v>0</v>
      </c>
      <c r="N741" s="837">
        <v>0</v>
      </c>
      <c r="O741" s="837">
        <f t="shared" si="295"/>
        <v>0</v>
      </c>
      <c r="P741" s="837">
        <f t="shared" si="296"/>
        <v>0</v>
      </c>
      <c r="Q741" s="1264"/>
      <c r="R741" s="1264"/>
      <c r="S741" s="1264"/>
      <c r="T741" s="1264"/>
      <c r="U741" s="1264"/>
      <c r="V741" s="1264"/>
      <c r="W741" s="1264"/>
      <c r="X741" s="1264"/>
      <c r="Y741" s="1264"/>
      <c r="Z741" s="1264"/>
    </row>
    <row r="742" spans="1:26" ht="18.75" hidden="1">
      <c r="A742" s="1260"/>
      <c r="B742" s="1265"/>
      <c r="C742" s="1261"/>
      <c r="D742" s="1262"/>
      <c r="E742" s="1261" t="s">
        <v>185</v>
      </c>
      <c r="F742" s="1261"/>
      <c r="G742" s="1263"/>
      <c r="H742" s="165" t="s">
        <v>12</v>
      </c>
      <c r="I742" s="836"/>
      <c r="J742" s="836"/>
      <c r="K742" s="837"/>
      <c r="L742" s="837">
        <v>0</v>
      </c>
      <c r="M742" s="837">
        <v>0</v>
      </c>
      <c r="N742" s="837">
        <f>N743+N744+N745+N746</f>
        <v>0</v>
      </c>
      <c r="O742" s="837">
        <f t="shared" si="295"/>
        <v>0</v>
      </c>
      <c r="P742" s="837">
        <f t="shared" si="296"/>
        <v>0</v>
      </c>
      <c r="Q742" s="1264"/>
      <c r="R742" s="1264"/>
      <c r="S742" s="1264"/>
      <c r="T742" s="1264"/>
      <c r="U742" s="1264"/>
      <c r="V742" s="1264"/>
      <c r="W742" s="1264"/>
      <c r="X742" s="1264"/>
      <c r="Y742" s="1264"/>
      <c r="Z742" s="1264"/>
    </row>
    <row r="743" spans="1:26" ht="18.75" hidden="1">
      <c r="A743" s="1294"/>
      <c r="B743" s="1265"/>
      <c r="C743" s="1261"/>
      <c r="D743" s="1261"/>
      <c r="E743" s="1261"/>
      <c r="F743" s="1261" t="s">
        <v>186</v>
      </c>
      <c r="G743" s="1263"/>
      <c r="H743" s="165" t="s">
        <v>12</v>
      </c>
      <c r="I743" s="836"/>
      <c r="J743" s="836"/>
      <c r="K743" s="837"/>
      <c r="L743" s="837"/>
      <c r="M743" s="837"/>
      <c r="N743" s="837"/>
      <c r="O743" s="837"/>
      <c r="P743" s="837"/>
      <c r="Q743" s="1264"/>
      <c r="R743" s="1264"/>
      <c r="S743" s="1264"/>
      <c r="T743" s="1264"/>
      <c r="U743" s="1264"/>
      <c r="V743" s="1264"/>
      <c r="W743" s="1264"/>
      <c r="X743" s="1264"/>
      <c r="Y743" s="1264"/>
      <c r="Z743" s="1264"/>
    </row>
    <row r="744" spans="1:26" ht="18.75" hidden="1">
      <c r="A744" s="1294"/>
      <c r="B744" s="1265"/>
      <c r="C744" s="1261"/>
      <c r="D744" s="1261"/>
      <c r="E744" s="1261"/>
      <c r="F744" s="1261" t="s">
        <v>187</v>
      </c>
      <c r="G744" s="1263"/>
      <c r="H744" s="165" t="s">
        <v>12</v>
      </c>
      <c r="I744" s="836"/>
      <c r="J744" s="836"/>
      <c r="K744" s="837"/>
      <c r="L744" s="837"/>
      <c r="M744" s="837"/>
      <c r="N744" s="837"/>
      <c r="O744" s="837"/>
      <c r="P744" s="837"/>
      <c r="Q744" s="1264"/>
      <c r="R744" s="1264"/>
      <c r="S744" s="1264"/>
      <c r="T744" s="1264"/>
      <c r="U744" s="1264"/>
      <c r="V744" s="1264"/>
      <c r="W744" s="1264"/>
      <c r="X744" s="1264"/>
      <c r="Y744" s="1264"/>
      <c r="Z744" s="1264"/>
    </row>
    <row r="745" spans="1:26" ht="18.75" hidden="1">
      <c r="A745" s="1294"/>
      <c r="B745" s="1265"/>
      <c r="C745" s="1261"/>
      <c r="D745" s="1261"/>
      <c r="E745" s="1261"/>
      <c r="F745" s="1261" t="s">
        <v>188</v>
      </c>
      <c r="G745" s="1263"/>
      <c r="H745" s="165" t="s">
        <v>12</v>
      </c>
      <c r="I745" s="836"/>
      <c r="J745" s="836"/>
      <c r="K745" s="837"/>
      <c r="L745" s="837"/>
      <c r="M745" s="837"/>
      <c r="N745" s="837"/>
      <c r="O745" s="837"/>
      <c r="P745" s="837"/>
      <c r="Q745" s="1264"/>
      <c r="R745" s="1264"/>
      <c r="S745" s="1264"/>
      <c r="T745" s="1264"/>
      <c r="U745" s="1264"/>
      <c r="V745" s="1264"/>
      <c r="W745" s="1264"/>
      <c r="X745" s="1264"/>
      <c r="Y745" s="1264"/>
      <c r="Z745" s="1264"/>
    </row>
    <row r="746" spans="1:26" ht="18.75" hidden="1">
      <c r="A746" s="1294"/>
      <c r="B746" s="1265"/>
      <c r="C746" s="1261"/>
      <c r="D746" s="1261"/>
      <c r="E746" s="1261"/>
      <c r="F746" s="1261" t="s">
        <v>189</v>
      </c>
      <c r="G746" s="1263"/>
      <c r="H746" s="165" t="s">
        <v>12</v>
      </c>
      <c r="I746" s="836"/>
      <c r="J746" s="836"/>
      <c r="K746" s="837"/>
      <c r="L746" s="837"/>
      <c r="M746" s="837"/>
      <c r="N746" s="837"/>
      <c r="O746" s="837"/>
      <c r="P746" s="837"/>
      <c r="Q746" s="1264"/>
      <c r="R746" s="1264"/>
      <c r="S746" s="1264"/>
      <c r="T746" s="1264"/>
      <c r="U746" s="1264"/>
      <c r="V746" s="1264"/>
      <c r="W746" s="1264"/>
      <c r="X746" s="1264"/>
      <c r="Y746" s="1264"/>
      <c r="Z746" s="1264"/>
    </row>
    <row r="747" spans="1:26" ht="19.5" hidden="1">
      <c r="A747" s="1260"/>
      <c r="B747" s="1265"/>
      <c r="C747" s="1261"/>
      <c r="D747" s="1392" t="s">
        <v>21</v>
      </c>
      <c r="E747" s="1261"/>
      <c r="F747" s="1261"/>
      <c r="G747" s="1263"/>
      <c r="H747" s="749" t="s">
        <v>12</v>
      </c>
      <c r="I747" s="947"/>
      <c r="J747" s="947"/>
      <c r="K747" s="948"/>
      <c r="L747" s="1292">
        <f t="shared" ref="L747:N747" si="299">L748+L749</f>
        <v>0</v>
      </c>
      <c r="M747" s="1292">
        <f t="shared" si="299"/>
        <v>0</v>
      </c>
      <c r="N747" s="1292">
        <f t="shared" si="299"/>
        <v>0</v>
      </c>
      <c r="O747" s="1292">
        <f t="shared" ref="O747:O749" si="300">IF(L747&gt;0,N747*100/L747,0)</f>
        <v>0</v>
      </c>
      <c r="P747" s="1292">
        <f t="shared" ref="P747:P749" si="301">IF(M747&gt;0,N747*100/M747,0)</f>
        <v>0</v>
      </c>
      <c r="Q747" s="1264"/>
      <c r="R747" s="1264"/>
      <c r="S747" s="1264"/>
      <c r="T747" s="1264"/>
      <c r="U747" s="1264"/>
      <c r="V747" s="1264"/>
      <c r="W747" s="1264"/>
      <c r="X747" s="1264"/>
      <c r="Y747" s="1264"/>
      <c r="Z747" s="1264"/>
    </row>
    <row r="748" spans="1:26" ht="18.75" hidden="1">
      <c r="A748" s="1260"/>
      <c r="B748" s="1265"/>
      <c r="C748" s="1261"/>
      <c r="D748" s="1261"/>
      <c r="E748" s="1261" t="s">
        <v>18</v>
      </c>
      <c r="F748" s="1261"/>
      <c r="G748" s="1263"/>
      <c r="H748" s="165" t="s">
        <v>12</v>
      </c>
      <c r="I748" s="947"/>
      <c r="J748" s="947"/>
      <c r="K748" s="948"/>
      <c r="L748" s="837">
        <v>0</v>
      </c>
      <c r="M748" s="837">
        <v>0</v>
      </c>
      <c r="N748" s="837">
        <v>0</v>
      </c>
      <c r="O748" s="837">
        <f t="shared" si="300"/>
        <v>0</v>
      </c>
      <c r="P748" s="837">
        <f t="shared" si="301"/>
        <v>0</v>
      </c>
      <c r="Q748" s="1264"/>
      <c r="R748" s="1264"/>
      <c r="S748" s="1264"/>
      <c r="T748" s="1264"/>
      <c r="U748" s="1264"/>
      <c r="V748" s="1264"/>
      <c r="W748" s="1264"/>
      <c r="X748" s="1264"/>
      <c r="Y748" s="1264"/>
      <c r="Z748" s="1264"/>
    </row>
    <row r="749" spans="1:26" ht="18.75" hidden="1">
      <c r="A749" s="1260"/>
      <c r="B749" s="1265"/>
      <c r="C749" s="1261"/>
      <c r="D749" s="1261"/>
      <c r="E749" s="1261" t="s">
        <v>19</v>
      </c>
      <c r="F749" s="1261"/>
      <c r="G749" s="1263"/>
      <c r="H749" s="169" t="s">
        <v>12</v>
      </c>
      <c r="I749" s="947"/>
      <c r="J749" s="947"/>
      <c r="K749" s="948"/>
      <c r="L749" s="837">
        <v>0</v>
      </c>
      <c r="M749" s="837">
        <v>0</v>
      </c>
      <c r="N749" s="837">
        <v>0</v>
      </c>
      <c r="O749" s="837">
        <f t="shared" si="300"/>
        <v>0</v>
      </c>
      <c r="P749" s="837">
        <f t="shared" si="301"/>
        <v>0</v>
      </c>
      <c r="Q749" s="1264"/>
      <c r="R749" s="1264"/>
      <c r="S749" s="1264"/>
      <c r="T749" s="1264"/>
      <c r="U749" s="1264"/>
      <c r="V749" s="1264"/>
      <c r="W749" s="1264"/>
      <c r="X749" s="1264"/>
      <c r="Y749" s="1264"/>
      <c r="Z749" s="1264"/>
    </row>
    <row r="750" spans="1:26" ht="19.5" hidden="1">
      <c r="A750" s="1273"/>
      <c r="B750" s="1274"/>
      <c r="C750" s="1261" t="s">
        <v>16</v>
      </c>
      <c r="D750" s="1393" t="s">
        <v>38</v>
      </c>
      <c r="E750" s="1296"/>
      <c r="F750" s="1296"/>
      <c r="G750" s="1297"/>
      <c r="H750" s="1060"/>
      <c r="I750" s="947"/>
      <c r="J750" s="947"/>
      <c r="K750" s="948"/>
      <c r="L750" s="948"/>
      <c r="M750" s="948"/>
      <c r="N750" s="948"/>
      <c r="O750" s="948"/>
      <c r="P750" s="948"/>
      <c r="Q750" s="1264"/>
      <c r="R750" s="1264"/>
      <c r="S750" s="1264"/>
      <c r="T750" s="1264"/>
      <c r="U750" s="1264"/>
      <c r="V750" s="1264"/>
      <c r="W750" s="1264"/>
      <c r="X750" s="1264"/>
      <c r="Y750" s="1264"/>
      <c r="Z750" s="1264"/>
    </row>
    <row r="751" spans="1:26" ht="18.75" hidden="1">
      <c r="A751" s="1294"/>
      <c r="B751" s="1265"/>
      <c r="C751" s="1261"/>
      <c r="D751" s="1261"/>
      <c r="E751" s="1261" t="s">
        <v>313</v>
      </c>
      <c r="F751" s="1261"/>
      <c r="G751" s="1263"/>
      <c r="H751" s="165" t="s">
        <v>46</v>
      </c>
      <c r="I751" s="836"/>
      <c r="J751" s="836"/>
      <c r="K751" s="837"/>
      <c r="L751" s="837"/>
      <c r="M751" s="837"/>
      <c r="N751" s="837"/>
      <c r="O751" s="837"/>
      <c r="P751" s="837"/>
      <c r="Q751" s="1264"/>
      <c r="R751" s="1264"/>
      <c r="S751" s="1264"/>
      <c r="T751" s="1264"/>
      <c r="U751" s="1264"/>
      <c r="V751" s="1264"/>
      <c r="W751" s="1264"/>
      <c r="X751" s="1264"/>
      <c r="Y751" s="1264"/>
      <c r="Z751" s="1264"/>
    </row>
    <row r="752" spans="1:26" ht="18.75" hidden="1">
      <c r="A752" s="1294"/>
      <c r="B752" s="1265"/>
      <c r="C752" s="1261"/>
      <c r="D752" s="1261"/>
      <c r="E752" s="1261"/>
      <c r="F752" s="1261"/>
      <c r="G752" s="1263"/>
      <c r="H752" s="165" t="s">
        <v>314</v>
      </c>
      <c r="I752" s="836"/>
      <c r="J752" s="836"/>
      <c r="K752" s="837"/>
      <c r="L752" s="837"/>
      <c r="M752" s="837"/>
      <c r="N752" s="837"/>
      <c r="O752" s="837"/>
      <c r="P752" s="837"/>
      <c r="Q752" s="1264"/>
      <c r="R752" s="1264"/>
      <c r="S752" s="1264"/>
      <c r="T752" s="1264"/>
      <c r="U752" s="1264"/>
      <c r="V752" s="1264"/>
      <c r="W752" s="1264"/>
      <c r="X752" s="1264"/>
      <c r="Y752" s="1264"/>
      <c r="Z752" s="1264"/>
    </row>
    <row r="753" spans="1:26" ht="19.5" hidden="1">
      <c r="A753" s="751">
        <v>10</v>
      </c>
      <c r="B753" s="1394" t="s">
        <v>315</v>
      </c>
      <c r="C753" s="1395"/>
      <c r="D753" s="1395"/>
      <c r="E753" s="1395"/>
      <c r="F753" s="1395"/>
      <c r="G753" s="1396"/>
      <c r="H753" s="755" t="s">
        <v>46</v>
      </c>
      <c r="I753" s="1397"/>
      <c r="J753" s="1397">
        <f>J768</f>
        <v>0</v>
      </c>
      <c r="K753" s="1398">
        <f>IF(I753&gt;0,J753*100/I753,0)</f>
        <v>0</v>
      </c>
      <c r="L753" s="1399"/>
      <c r="M753" s="1399"/>
      <c r="N753" s="1399"/>
      <c r="O753" s="1399"/>
      <c r="P753" s="1399"/>
      <c r="Q753" s="1264"/>
      <c r="R753" s="1264"/>
      <c r="S753" s="1264"/>
      <c r="T753" s="1264"/>
      <c r="U753" s="1264"/>
      <c r="V753" s="1264"/>
      <c r="W753" s="1264"/>
      <c r="X753" s="1264"/>
      <c r="Y753" s="1264"/>
      <c r="Z753" s="1264"/>
    </row>
    <row r="754" spans="1:26" ht="19.5" hidden="1">
      <c r="A754" s="1260"/>
      <c r="B754" s="1261"/>
      <c r="C754" s="1261" t="s">
        <v>16</v>
      </c>
      <c r="D754" s="1508" t="s">
        <v>17</v>
      </c>
      <c r="E754" s="1485"/>
      <c r="F754" s="1485"/>
      <c r="G754" s="1263"/>
      <c r="H754" s="612" t="s">
        <v>12</v>
      </c>
      <c r="I754" s="836"/>
      <c r="J754" s="836"/>
      <c r="K754" s="837"/>
      <c r="L754" s="1292">
        <f t="shared" ref="L754:N754" si="302">L755+L756</f>
        <v>0</v>
      </c>
      <c r="M754" s="1292">
        <f t="shared" si="302"/>
        <v>0</v>
      </c>
      <c r="N754" s="1292">
        <f t="shared" si="302"/>
        <v>0</v>
      </c>
      <c r="O754" s="1292">
        <f t="shared" ref="O754:O759" si="303">IF(L754&gt;0,N754*100/L754,0)</f>
        <v>0</v>
      </c>
      <c r="P754" s="1292">
        <f t="shared" ref="P754:P759" si="304">IF(M754&gt;0,N754*100/M754,0)</f>
        <v>0</v>
      </c>
      <c r="Q754" s="1264"/>
      <c r="R754" s="1264"/>
      <c r="S754" s="1264"/>
      <c r="T754" s="1264"/>
      <c r="U754" s="1264"/>
      <c r="V754" s="1264"/>
      <c r="W754" s="1264"/>
      <c r="X754" s="1264"/>
      <c r="Y754" s="1264"/>
      <c r="Z754" s="1264"/>
    </row>
    <row r="755" spans="1:26" ht="18.75" hidden="1">
      <c r="A755" s="1260"/>
      <c r="B755" s="1261"/>
      <c r="C755" s="1261"/>
      <c r="D755" s="1262"/>
      <c r="E755" s="1261" t="s">
        <v>184</v>
      </c>
      <c r="F755" s="1261"/>
      <c r="G755" s="1263"/>
      <c r="H755" s="165" t="s">
        <v>12</v>
      </c>
      <c r="I755" s="836"/>
      <c r="J755" s="836"/>
      <c r="K755" s="837"/>
      <c r="L755" s="837">
        <f t="shared" ref="L755:N756" si="305">L758+L765</f>
        <v>0</v>
      </c>
      <c r="M755" s="837">
        <f t="shared" si="305"/>
        <v>0</v>
      </c>
      <c r="N755" s="837">
        <f t="shared" si="305"/>
        <v>0</v>
      </c>
      <c r="O755" s="837">
        <f t="shared" si="303"/>
        <v>0</v>
      </c>
      <c r="P755" s="837">
        <f t="shared" si="304"/>
        <v>0</v>
      </c>
      <c r="Q755" s="1264"/>
      <c r="R755" s="1264"/>
      <c r="S755" s="1264"/>
      <c r="T755" s="1264"/>
      <c r="U755" s="1264"/>
      <c r="V755" s="1264"/>
      <c r="W755" s="1264"/>
      <c r="X755" s="1264"/>
      <c r="Y755" s="1264"/>
      <c r="Z755" s="1264"/>
    </row>
    <row r="756" spans="1:26" ht="18.75" hidden="1">
      <c r="A756" s="1260"/>
      <c r="B756" s="1265"/>
      <c r="C756" s="1261"/>
      <c r="D756" s="1262"/>
      <c r="E756" s="1261" t="s">
        <v>185</v>
      </c>
      <c r="F756" s="1261"/>
      <c r="G756" s="1263"/>
      <c r="H756" s="165" t="s">
        <v>12</v>
      </c>
      <c r="I756" s="836"/>
      <c r="J756" s="836"/>
      <c r="K756" s="837"/>
      <c r="L756" s="837">
        <f t="shared" si="305"/>
        <v>0</v>
      </c>
      <c r="M756" s="837">
        <f t="shared" si="305"/>
        <v>0</v>
      </c>
      <c r="N756" s="837">
        <f t="shared" si="305"/>
        <v>0</v>
      </c>
      <c r="O756" s="837">
        <f t="shared" si="303"/>
        <v>0</v>
      </c>
      <c r="P756" s="837">
        <f t="shared" si="304"/>
        <v>0</v>
      </c>
      <c r="Q756" s="1264"/>
      <c r="R756" s="1264"/>
      <c r="S756" s="1264"/>
      <c r="T756" s="1264"/>
      <c r="U756" s="1264"/>
      <c r="V756" s="1264"/>
      <c r="W756" s="1264"/>
      <c r="X756" s="1264"/>
      <c r="Y756" s="1264"/>
      <c r="Z756" s="1264"/>
    </row>
    <row r="757" spans="1:26" ht="19.5" hidden="1">
      <c r="A757" s="1260"/>
      <c r="B757" s="1265"/>
      <c r="C757" s="1261"/>
      <c r="D757" s="1392" t="s">
        <v>20</v>
      </c>
      <c r="E757" s="1261"/>
      <c r="F757" s="1261"/>
      <c r="G757" s="1263"/>
      <c r="H757" s="612" t="s">
        <v>12</v>
      </c>
      <c r="I757" s="947"/>
      <c r="J757" s="947"/>
      <c r="K757" s="948"/>
      <c r="L757" s="1292">
        <f t="shared" ref="L757:N757" si="306">L758+L759</f>
        <v>0</v>
      </c>
      <c r="M757" s="1292">
        <f t="shared" si="306"/>
        <v>0</v>
      </c>
      <c r="N757" s="1292">
        <f t="shared" si="306"/>
        <v>0</v>
      </c>
      <c r="O757" s="1292">
        <f t="shared" si="303"/>
        <v>0</v>
      </c>
      <c r="P757" s="1292">
        <f t="shared" si="304"/>
        <v>0</v>
      </c>
      <c r="Q757" s="1264"/>
      <c r="R757" s="1264"/>
      <c r="S757" s="1264"/>
      <c r="T757" s="1264"/>
      <c r="U757" s="1264"/>
      <c r="V757" s="1264"/>
      <c r="W757" s="1264"/>
      <c r="X757" s="1264"/>
      <c r="Y757" s="1264"/>
      <c r="Z757" s="1264"/>
    </row>
    <row r="758" spans="1:26" ht="18.75" hidden="1">
      <c r="A758" s="1260"/>
      <c r="B758" s="1265"/>
      <c r="C758" s="1261"/>
      <c r="D758" s="1262"/>
      <c r="E758" s="1261" t="s">
        <v>184</v>
      </c>
      <c r="F758" s="1261"/>
      <c r="G758" s="1263"/>
      <c r="H758" s="165" t="s">
        <v>12</v>
      </c>
      <c r="I758" s="836"/>
      <c r="J758" s="836"/>
      <c r="K758" s="837"/>
      <c r="L758" s="837">
        <v>0</v>
      </c>
      <c r="M758" s="837">
        <v>0</v>
      </c>
      <c r="N758" s="837">
        <v>0</v>
      </c>
      <c r="O758" s="837">
        <f t="shared" si="303"/>
        <v>0</v>
      </c>
      <c r="P758" s="837">
        <f t="shared" si="304"/>
        <v>0</v>
      </c>
      <c r="Q758" s="1264"/>
      <c r="R758" s="1264"/>
      <c r="S758" s="1264"/>
      <c r="T758" s="1264"/>
      <c r="U758" s="1264"/>
      <c r="V758" s="1264"/>
      <c r="W758" s="1264"/>
      <c r="X758" s="1264"/>
      <c r="Y758" s="1264"/>
      <c r="Z758" s="1264"/>
    </row>
    <row r="759" spans="1:26" ht="18.75" hidden="1">
      <c r="A759" s="1260"/>
      <c r="B759" s="1265"/>
      <c r="C759" s="1261"/>
      <c r="D759" s="1262"/>
      <c r="E759" s="1261" t="s">
        <v>185</v>
      </c>
      <c r="F759" s="1261"/>
      <c r="G759" s="1263"/>
      <c r="H759" s="165" t="s">
        <v>12</v>
      </c>
      <c r="I759" s="836"/>
      <c r="J759" s="836"/>
      <c r="K759" s="837"/>
      <c r="L759" s="837">
        <v>0</v>
      </c>
      <c r="M759" s="837">
        <v>0</v>
      </c>
      <c r="N759" s="837">
        <f>N760+N761+N762+N763</f>
        <v>0</v>
      </c>
      <c r="O759" s="837">
        <f t="shared" si="303"/>
        <v>0</v>
      </c>
      <c r="P759" s="837">
        <f t="shared" si="304"/>
        <v>0</v>
      </c>
      <c r="Q759" s="1264"/>
      <c r="R759" s="1264"/>
      <c r="S759" s="1264"/>
      <c r="T759" s="1264"/>
      <c r="U759" s="1264"/>
      <c r="V759" s="1264"/>
      <c r="W759" s="1264"/>
      <c r="X759" s="1264"/>
      <c r="Y759" s="1264"/>
      <c r="Z759" s="1264"/>
    </row>
    <row r="760" spans="1:26" ht="18.75" hidden="1">
      <c r="A760" s="1294"/>
      <c r="B760" s="1265"/>
      <c r="C760" s="1261"/>
      <c r="D760" s="1261"/>
      <c r="E760" s="1261"/>
      <c r="F760" s="1261" t="s">
        <v>186</v>
      </c>
      <c r="G760" s="1263"/>
      <c r="H760" s="165" t="s">
        <v>12</v>
      </c>
      <c r="I760" s="836"/>
      <c r="J760" s="836"/>
      <c r="K760" s="837"/>
      <c r="L760" s="837"/>
      <c r="M760" s="837"/>
      <c r="N760" s="837"/>
      <c r="O760" s="837"/>
      <c r="P760" s="837"/>
      <c r="Q760" s="1264"/>
      <c r="R760" s="1264"/>
      <c r="S760" s="1264"/>
      <c r="T760" s="1264"/>
      <c r="U760" s="1264"/>
      <c r="V760" s="1264"/>
      <c r="W760" s="1264"/>
      <c r="X760" s="1264"/>
      <c r="Y760" s="1264"/>
      <c r="Z760" s="1264"/>
    </row>
    <row r="761" spans="1:26" ht="18.75" hidden="1">
      <c r="A761" s="1294"/>
      <c r="B761" s="1265"/>
      <c r="C761" s="1261"/>
      <c r="D761" s="1261"/>
      <c r="E761" s="1261"/>
      <c r="F761" s="1261" t="s">
        <v>187</v>
      </c>
      <c r="G761" s="1263"/>
      <c r="H761" s="165" t="s">
        <v>12</v>
      </c>
      <c r="I761" s="836"/>
      <c r="J761" s="836"/>
      <c r="K761" s="837"/>
      <c r="L761" s="837"/>
      <c r="M761" s="837"/>
      <c r="N761" s="837"/>
      <c r="O761" s="837"/>
      <c r="P761" s="837"/>
      <c r="Q761" s="1264"/>
      <c r="R761" s="1264"/>
      <c r="S761" s="1264"/>
      <c r="T761" s="1264"/>
      <c r="U761" s="1264"/>
      <c r="V761" s="1264"/>
      <c r="W761" s="1264"/>
      <c r="X761" s="1264"/>
      <c r="Y761" s="1264"/>
      <c r="Z761" s="1264"/>
    </row>
    <row r="762" spans="1:26" ht="18.75" hidden="1">
      <c r="A762" s="1294"/>
      <c r="B762" s="1265"/>
      <c r="C762" s="1261"/>
      <c r="D762" s="1261"/>
      <c r="E762" s="1261"/>
      <c r="F762" s="1261" t="s">
        <v>188</v>
      </c>
      <c r="G762" s="1263"/>
      <c r="H762" s="165" t="s">
        <v>12</v>
      </c>
      <c r="I762" s="836"/>
      <c r="J762" s="836"/>
      <c r="K762" s="837"/>
      <c r="L762" s="837"/>
      <c r="M762" s="837"/>
      <c r="N762" s="837"/>
      <c r="O762" s="837"/>
      <c r="P762" s="837"/>
      <c r="Q762" s="1264"/>
      <c r="R762" s="1264"/>
      <c r="S762" s="1264"/>
      <c r="T762" s="1264"/>
      <c r="U762" s="1264"/>
      <c r="V762" s="1264"/>
      <c r="W762" s="1264"/>
      <c r="X762" s="1264"/>
      <c r="Y762" s="1264"/>
      <c r="Z762" s="1264"/>
    </row>
    <row r="763" spans="1:26" ht="18.75" hidden="1">
      <c r="A763" s="1294"/>
      <c r="B763" s="1265"/>
      <c r="C763" s="1261"/>
      <c r="D763" s="1261"/>
      <c r="E763" s="1261"/>
      <c r="F763" s="1261" t="s">
        <v>189</v>
      </c>
      <c r="G763" s="1263"/>
      <c r="H763" s="165" t="s">
        <v>12</v>
      </c>
      <c r="I763" s="836"/>
      <c r="J763" s="836"/>
      <c r="K763" s="837"/>
      <c r="L763" s="837"/>
      <c r="M763" s="837"/>
      <c r="N763" s="837"/>
      <c r="O763" s="837"/>
      <c r="P763" s="837"/>
      <c r="Q763" s="1264"/>
      <c r="R763" s="1264"/>
      <c r="S763" s="1264"/>
      <c r="T763" s="1264"/>
      <c r="U763" s="1264"/>
      <c r="V763" s="1264"/>
      <c r="W763" s="1264"/>
      <c r="X763" s="1264"/>
      <c r="Y763" s="1264"/>
      <c r="Z763" s="1264"/>
    </row>
    <row r="764" spans="1:26" ht="19.5" hidden="1">
      <c r="A764" s="1260"/>
      <c r="B764" s="1265"/>
      <c r="C764" s="1261"/>
      <c r="D764" s="1392" t="s">
        <v>21</v>
      </c>
      <c r="E764" s="1261"/>
      <c r="F764" s="1261"/>
      <c r="G764" s="1263"/>
      <c r="H764" s="749" t="s">
        <v>12</v>
      </c>
      <c r="I764" s="947"/>
      <c r="J764" s="947"/>
      <c r="K764" s="948"/>
      <c r="L764" s="1292">
        <f t="shared" ref="L764:N764" si="307">L765+L766</f>
        <v>0</v>
      </c>
      <c r="M764" s="1292">
        <f t="shared" si="307"/>
        <v>0</v>
      </c>
      <c r="N764" s="1292">
        <f t="shared" si="307"/>
        <v>0</v>
      </c>
      <c r="O764" s="1292">
        <f t="shared" ref="O764:O766" si="308">IF(L764&gt;0,N764*100/L764,0)</f>
        <v>0</v>
      </c>
      <c r="P764" s="1292">
        <f t="shared" ref="P764:P766" si="309">IF(M764&gt;0,N764*100/M764,0)</f>
        <v>0</v>
      </c>
      <c r="Q764" s="1264"/>
      <c r="R764" s="1264"/>
      <c r="S764" s="1264"/>
      <c r="T764" s="1264"/>
      <c r="U764" s="1264"/>
      <c r="V764" s="1264"/>
      <c r="W764" s="1264"/>
      <c r="X764" s="1264"/>
      <c r="Y764" s="1264"/>
      <c r="Z764" s="1264"/>
    </row>
    <row r="765" spans="1:26" ht="18.75" hidden="1">
      <c r="A765" s="1260"/>
      <c r="B765" s="1265"/>
      <c r="C765" s="1261"/>
      <c r="D765" s="1261"/>
      <c r="E765" s="1261" t="s">
        <v>18</v>
      </c>
      <c r="F765" s="1261"/>
      <c r="G765" s="1263"/>
      <c r="H765" s="165" t="s">
        <v>12</v>
      </c>
      <c r="I765" s="947"/>
      <c r="J765" s="947"/>
      <c r="K765" s="948"/>
      <c r="L765" s="837">
        <v>0</v>
      </c>
      <c r="M765" s="837">
        <v>0</v>
      </c>
      <c r="N765" s="837">
        <v>0</v>
      </c>
      <c r="O765" s="837">
        <f t="shared" si="308"/>
        <v>0</v>
      </c>
      <c r="P765" s="837">
        <f t="shared" si="309"/>
        <v>0</v>
      </c>
      <c r="Q765" s="1264"/>
      <c r="R765" s="1264"/>
      <c r="S765" s="1264"/>
      <c r="T765" s="1264"/>
      <c r="U765" s="1264"/>
      <c r="V765" s="1264"/>
      <c r="W765" s="1264"/>
      <c r="X765" s="1264"/>
      <c r="Y765" s="1264"/>
      <c r="Z765" s="1264"/>
    </row>
    <row r="766" spans="1:26" ht="18.75" hidden="1">
      <c r="A766" s="1260"/>
      <c r="B766" s="1265"/>
      <c r="C766" s="1261"/>
      <c r="D766" s="1261"/>
      <c r="E766" s="1261" t="s">
        <v>19</v>
      </c>
      <c r="F766" s="1261"/>
      <c r="G766" s="1263"/>
      <c r="H766" s="169" t="s">
        <v>12</v>
      </c>
      <c r="I766" s="947"/>
      <c r="J766" s="947"/>
      <c r="K766" s="948"/>
      <c r="L766" s="837">
        <v>0</v>
      </c>
      <c r="M766" s="837">
        <v>0</v>
      </c>
      <c r="N766" s="837">
        <v>0</v>
      </c>
      <c r="O766" s="837">
        <f t="shared" si="308"/>
        <v>0</v>
      </c>
      <c r="P766" s="837">
        <f t="shared" si="309"/>
        <v>0</v>
      </c>
      <c r="Q766" s="1264"/>
      <c r="R766" s="1264"/>
      <c r="S766" s="1264"/>
      <c r="T766" s="1264"/>
      <c r="U766" s="1264"/>
      <c r="V766" s="1264"/>
      <c r="W766" s="1264"/>
      <c r="X766" s="1264"/>
      <c r="Y766" s="1264"/>
      <c r="Z766" s="1264"/>
    </row>
    <row r="767" spans="1:26" ht="19.5" hidden="1">
      <c r="A767" s="1273"/>
      <c r="B767" s="1274"/>
      <c r="C767" s="1261" t="s">
        <v>16</v>
      </c>
      <c r="D767" s="1393" t="s">
        <v>38</v>
      </c>
      <c r="E767" s="1296"/>
      <c r="F767" s="1296"/>
      <c r="G767" s="1297"/>
      <c r="H767" s="1060"/>
      <c r="I767" s="947"/>
      <c r="J767" s="947"/>
      <c r="K767" s="948"/>
      <c r="L767" s="948"/>
      <c r="M767" s="948"/>
      <c r="N767" s="948"/>
      <c r="O767" s="948"/>
      <c r="P767" s="948"/>
      <c r="Q767" s="1264"/>
      <c r="R767" s="1264"/>
      <c r="S767" s="1264"/>
      <c r="T767" s="1264"/>
      <c r="U767" s="1264"/>
      <c r="V767" s="1264"/>
      <c r="W767" s="1264"/>
      <c r="X767" s="1264"/>
      <c r="Y767" s="1264"/>
      <c r="Z767" s="1264"/>
    </row>
    <row r="768" spans="1:26" ht="18.75" hidden="1">
      <c r="A768" s="1294"/>
      <c r="B768" s="1265"/>
      <c r="C768" s="1261"/>
      <c r="D768" s="1261"/>
      <c r="E768" s="1261" t="s">
        <v>316</v>
      </c>
      <c r="F768" s="1261"/>
      <c r="G768" s="1263"/>
      <c r="H768" s="165" t="s">
        <v>46</v>
      </c>
      <c r="I768" s="836"/>
      <c r="J768" s="836"/>
      <c r="K768" s="837"/>
      <c r="L768" s="837"/>
      <c r="M768" s="837"/>
      <c r="N768" s="837"/>
      <c r="O768" s="837"/>
      <c r="P768" s="837"/>
      <c r="Q768" s="1264"/>
      <c r="R768" s="1264"/>
      <c r="S768" s="1264"/>
      <c r="T768" s="1264"/>
      <c r="U768" s="1264"/>
      <c r="V768" s="1264"/>
      <c r="W768" s="1264"/>
      <c r="X768" s="1264"/>
      <c r="Y768" s="1264"/>
      <c r="Z768" s="1264"/>
    </row>
    <row r="769" spans="1:26" ht="19.5" hidden="1">
      <c r="A769" s="759">
        <v>11</v>
      </c>
      <c r="B769" s="1400" t="s">
        <v>317</v>
      </c>
      <c r="C769" s="1401"/>
      <c r="D769" s="1401"/>
      <c r="E769" s="1401"/>
      <c r="F769" s="1401"/>
      <c r="G769" s="1402"/>
      <c r="H769" s="763" t="s">
        <v>46</v>
      </c>
      <c r="I769" s="1403"/>
      <c r="J769" s="1403">
        <f>J784</f>
        <v>0</v>
      </c>
      <c r="K769" s="1404">
        <f>IF(I769&gt;0,J769*100/I769,0)</f>
        <v>0</v>
      </c>
      <c r="L769" s="1405"/>
      <c r="M769" s="1405"/>
      <c r="N769" s="1405"/>
      <c r="O769" s="1405"/>
      <c r="P769" s="1405"/>
      <c r="Q769" s="1264"/>
      <c r="R769" s="1264"/>
      <c r="S769" s="1264"/>
      <c r="T769" s="1264"/>
      <c r="U769" s="1264"/>
      <c r="V769" s="1264"/>
      <c r="W769" s="1264"/>
      <c r="X769" s="1264"/>
      <c r="Y769" s="1264"/>
      <c r="Z769" s="1264"/>
    </row>
    <row r="770" spans="1:26" ht="19.5" hidden="1">
      <c r="A770" s="1260"/>
      <c r="B770" s="1261"/>
      <c r="C770" s="1261" t="s">
        <v>16</v>
      </c>
      <c r="D770" s="1508" t="s">
        <v>17</v>
      </c>
      <c r="E770" s="1485"/>
      <c r="F770" s="1485"/>
      <c r="G770" s="1263"/>
      <c r="H770" s="612" t="s">
        <v>12</v>
      </c>
      <c r="I770" s="836"/>
      <c r="J770" s="836"/>
      <c r="K770" s="837"/>
      <c r="L770" s="1292">
        <f t="shared" ref="L770:N770" si="310">L771+L772</f>
        <v>0</v>
      </c>
      <c r="M770" s="1292">
        <f t="shared" si="310"/>
        <v>0</v>
      </c>
      <c r="N770" s="1292">
        <f t="shared" si="310"/>
        <v>0</v>
      </c>
      <c r="O770" s="1292">
        <f t="shared" ref="O770:O775" si="311">IF(L770&gt;0,N770*100/L770,0)</f>
        <v>0</v>
      </c>
      <c r="P770" s="1292">
        <f t="shared" ref="P770:P775" si="312">IF(M770&gt;0,N770*100/M770,0)</f>
        <v>0</v>
      </c>
      <c r="Q770" s="1264"/>
      <c r="R770" s="1264"/>
      <c r="S770" s="1264"/>
      <c r="T770" s="1264"/>
      <c r="U770" s="1264"/>
      <c r="V770" s="1264"/>
      <c r="W770" s="1264"/>
      <c r="X770" s="1264"/>
      <c r="Y770" s="1264"/>
      <c r="Z770" s="1264"/>
    </row>
    <row r="771" spans="1:26" ht="18.75" hidden="1">
      <c r="A771" s="1260"/>
      <c r="B771" s="1261"/>
      <c r="C771" s="1261"/>
      <c r="D771" s="1262"/>
      <c r="E771" s="1261" t="s">
        <v>184</v>
      </c>
      <c r="F771" s="1261"/>
      <c r="G771" s="1263"/>
      <c r="H771" s="165" t="s">
        <v>12</v>
      </c>
      <c r="I771" s="836"/>
      <c r="J771" s="836"/>
      <c r="K771" s="837"/>
      <c r="L771" s="837">
        <f t="shared" ref="L771:N772" si="313">L774+L781</f>
        <v>0</v>
      </c>
      <c r="M771" s="837">
        <f t="shared" si="313"/>
        <v>0</v>
      </c>
      <c r="N771" s="837">
        <f t="shared" si="313"/>
        <v>0</v>
      </c>
      <c r="O771" s="837">
        <f t="shared" si="311"/>
        <v>0</v>
      </c>
      <c r="P771" s="837">
        <f t="shared" si="312"/>
        <v>0</v>
      </c>
      <c r="Q771" s="1264"/>
      <c r="R771" s="1264"/>
      <c r="S771" s="1264"/>
      <c r="T771" s="1264"/>
      <c r="U771" s="1264"/>
      <c r="V771" s="1264"/>
      <c r="W771" s="1264"/>
      <c r="X771" s="1264"/>
      <c r="Y771" s="1264"/>
      <c r="Z771" s="1264"/>
    </row>
    <row r="772" spans="1:26" ht="18.75" hidden="1">
      <c r="A772" s="1260"/>
      <c r="B772" s="1265"/>
      <c r="C772" s="1261"/>
      <c r="D772" s="1262"/>
      <c r="E772" s="1261" t="s">
        <v>185</v>
      </c>
      <c r="F772" s="1261"/>
      <c r="G772" s="1263"/>
      <c r="H772" s="165" t="s">
        <v>12</v>
      </c>
      <c r="I772" s="836"/>
      <c r="J772" s="836"/>
      <c r="K772" s="837"/>
      <c r="L772" s="837">
        <f t="shared" si="313"/>
        <v>0</v>
      </c>
      <c r="M772" s="837">
        <f t="shared" si="313"/>
        <v>0</v>
      </c>
      <c r="N772" s="837">
        <f t="shared" si="313"/>
        <v>0</v>
      </c>
      <c r="O772" s="837">
        <f t="shared" si="311"/>
        <v>0</v>
      </c>
      <c r="P772" s="837">
        <f t="shared" si="312"/>
        <v>0</v>
      </c>
      <c r="Q772" s="1264"/>
      <c r="R772" s="1264"/>
      <c r="S772" s="1264"/>
      <c r="T772" s="1264"/>
      <c r="U772" s="1264"/>
      <c r="V772" s="1264"/>
      <c r="W772" s="1264"/>
      <c r="X772" s="1264"/>
      <c r="Y772" s="1264"/>
      <c r="Z772" s="1264"/>
    </row>
    <row r="773" spans="1:26" ht="19.5" hidden="1">
      <c r="A773" s="1260"/>
      <c r="B773" s="1265"/>
      <c r="C773" s="1261"/>
      <c r="D773" s="1392" t="s">
        <v>20</v>
      </c>
      <c r="E773" s="1261"/>
      <c r="F773" s="1261"/>
      <c r="G773" s="1263"/>
      <c r="H773" s="612" t="s">
        <v>12</v>
      </c>
      <c r="I773" s="947"/>
      <c r="J773" s="947"/>
      <c r="K773" s="948"/>
      <c r="L773" s="1292">
        <f t="shared" ref="L773:N773" si="314">L774+L775</f>
        <v>0</v>
      </c>
      <c r="M773" s="1292">
        <f t="shared" si="314"/>
        <v>0</v>
      </c>
      <c r="N773" s="1292">
        <f t="shared" si="314"/>
        <v>0</v>
      </c>
      <c r="O773" s="1292">
        <f t="shared" si="311"/>
        <v>0</v>
      </c>
      <c r="P773" s="1292">
        <f t="shared" si="312"/>
        <v>0</v>
      </c>
      <c r="Q773" s="1264"/>
      <c r="R773" s="1264"/>
      <c r="S773" s="1264"/>
      <c r="T773" s="1264"/>
      <c r="U773" s="1264"/>
      <c r="V773" s="1264"/>
      <c r="W773" s="1264"/>
      <c r="X773" s="1264"/>
      <c r="Y773" s="1264"/>
      <c r="Z773" s="1264"/>
    </row>
    <row r="774" spans="1:26" ht="18.75" hidden="1">
      <c r="A774" s="1260"/>
      <c r="B774" s="1265"/>
      <c r="C774" s="1261"/>
      <c r="D774" s="1262"/>
      <c r="E774" s="1261" t="s">
        <v>184</v>
      </c>
      <c r="F774" s="1261"/>
      <c r="G774" s="1263"/>
      <c r="H774" s="165" t="s">
        <v>12</v>
      </c>
      <c r="I774" s="836"/>
      <c r="J774" s="836"/>
      <c r="K774" s="837"/>
      <c r="L774" s="837">
        <v>0</v>
      </c>
      <c r="M774" s="837">
        <v>0</v>
      </c>
      <c r="N774" s="837">
        <v>0</v>
      </c>
      <c r="O774" s="837">
        <f t="shared" si="311"/>
        <v>0</v>
      </c>
      <c r="P774" s="837">
        <f t="shared" si="312"/>
        <v>0</v>
      </c>
      <c r="Q774" s="1264"/>
      <c r="R774" s="1264"/>
      <c r="S774" s="1264"/>
      <c r="T774" s="1264"/>
      <c r="U774" s="1264"/>
      <c r="V774" s="1264"/>
      <c r="W774" s="1264"/>
      <c r="X774" s="1264"/>
      <c r="Y774" s="1264"/>
      <c r="Z774" s="1264"/>
    </row>
    <row r="775" spans="1:26" ht="18.75" hidden="1">
      <c r="A775" s="1260"/>
      <c r="B775" s="1265"/>
      <c r="C775" s="1261"/>
      <c r="D775" s="1262"/>
      <c r="E775" s="1261" t="s">
        <v>185</v>
      </c>
      <c r="F775" s="1261"/>
      <c r="G775" s="1263"/>
      <c r="H775" s="165" t="s">
        <v>12</v>
      </c>
      <c r="I775" s="836"/>
      <c r="J775" s="836"/>
      <c r="K775" s="837"/>
      <c r="L775" s="837">
        <v>0</v>
      </c>
      <c r="M775" s="837">
        <v>0</v>
      </c>
      <c r="N775" s="837">
        <f>N776+N777+N778+N779</f>
        <v>0</v>
      </c>
      <c r="O775" s="837">
        <f t="shared" si="311"/>
        <v>0</v>
      </c>
      <c r="P775" s="837">
        <f t="shared" si="312"/>
        <v>0</v>
      </c>
      <c r="Q775" s="1264"/>
      <c r="R775" s="1264"/>
      <c r="S775" s="1264"/>
      <c r="T775" s="1264"/>
      <c r="U775" s="1264"/>
      <c r="V775" s="1264"/>
      <c r="W775" s="1264"/>
      <c r="X775" s="1264"/>
      <c r="Y775" s="1264"/>
      <c r="Z775" s="1264"/>
    </row>
    <row r="776" spans="1:26" ht="18.75" hidden="1">
      <c r="A776" s="1294"/>
      <c r="B776" s="1265"/>
      <c r="C776" s="1261"/>
      <c r="D776" s="1261"/>
      <c r="E776" s="1261"/>
      <c r="F776" s="1261" t="s">
        <v>186</v>
      </c>
      <c r="G776" s="1263"/>
      <c r="H776" s="165" t="s">
        <v>12</v>
      </c>
      <c r="I776" s="836"/>
      <c r="J776" s="836"/>
      <c r="K776" s="837"/>
      <c r="L776" s="837"/>
      <c r="M776" s="837"/>
      <c r="N776" s="837"/>
      <c r="O776" s="837"/>
      <c r="P776" s="837"/>
      <c r="Q776" s="1264"/>
      <c r="R776" s="1264"/>
      <c r="S776" s="1264"/>
      <c r="T776" s="1264"/>
      <c r="U776" s="1264"/>
      <c r="V776" s="1264"/>
      <c r="W776" s="1264"/>
      <c r="X776" s="1264"/>
      <c r="Y776" s="1264"/>
      <c r="Z776" s="1264"/>
    </row>
    <row r="777" spans="1:26" ht="18.75" hidden="1">
      <c r="A777" s="1294"/>
      <c r="B777" s="1265"/>
      <c r="C777" s="1261"/>
      <c r="D777" s="1261"/>
      <c r="E777" s="1261"/>
      <c r="F777" s="1261" t="s">
        <v>187</v>
      </c>
      <c r="G777" s="1263"/>
      <c r="H777" s="165" t="s">
        <v>12</v>
      </c>
      <c r="I777" s="836"/>
      <c r="J777" s="836"/>
      <c r="K777" s="837"/>
      <c r="L777" s="837"/>
      <c r="M777" s="837"/>
      <c r="N777" s="837"/>
      <c r="O777" s="837"/>
      <c r="P777" s="837"/>
      <c r="Q777" s="1264"/>
      <c r="R777" s="1264"/>
      <c r="S777" s="1264"/>
      <c r="T777" s="1264"/>
      <c r="U777" s="1264"/>
      <c r="V777" s="1264"/>
      <c r="W777" s="1264"/>
      <c r="X777" s="1264"/>
      <c r="Y777" s="1264"/>
      <c r="Z777" s="1264"/>
    </row>
    <row r="778" spans="1:26" ht="18.75" hidden="1">
      <c r="A778" s="1294"/>
      <c r="B778" s="1265"/>
      <c r="C778" s="1261"/>
      <c r="D778" s="1261"/>
      <c r="E778" s="1261"/>
      <c r="F778" s="1261" t="s">
        <v>188</v>
      </c>
      <c r="G778" s="1263"/>
      <c r="H778" s="165" t="s">
        <v>12</v>
      </c>
      <c r="I778" s="836"/>
      <c r="J778" s="836"/>
      <c r="K778" s="837"/>
      <c r="L778" s="837"/>
      <c r="M778" s="837"/>
      <c r="N778" s="837"/>
      <c r="O778" s="837"/>
      <c r="P778" s="837"/>
      <c r="Q778" s="1264"/>
      <c r="R778" s="1264"/>
      <c r="S778" s="1264"/>
      <c r="T778" s="1264"/>
      <c r="U778" s="1264"/>
      <c r="V778" s="1264"/>
      <c r="W778" s="1264"/>
      <c r="X778" s="1264"/>
      <c r="Y778" s="1264"/>
      <c r="Z778" s="1264"/>
    </row>
    <row r="779" spans="1:26" ht="18.75" hidden="1">
      <c r="A779" s="1294"/>
      <c r="B779" s="1265"/>
      <c r="C779" s="1261"/>
      <c r="D779" s="1261"/>
      <c r="E779" s="1261"/>
      <c r="F779" s="1261" t="s">
        <v>189</v>
      </c>
      <c r="G779" s="1263"/>
      <c r="H779" s="165" t="s">
        <v>12</v>
      </c>
      <c r="I779" s="836"/>
      <c r="J779" s="836"/>
      <c r="K779" s="837"/>
      <c r="L779" s="837"/>
      <c r="M779" s="837"/>
      <c r="N779" s="837"/>
      <c r="O779" s="837"/>
      <c r="P779" s="837"/>
      <c r="Q779" s="1264"/>
      <c r="R779" s="1264"/>
      <c r="S779" s="1264"/>
      <c r="T779" s="1264"/>
      <c r="U779" s="1264"/>
      <c r="V779" s="1264"/>
      <c r="W779" s="1264"/>
      <c r="X779" s="1264"/>
      <c r="Y779" s="1264"/>
      <c r="Z779" s="1264"/>
    </row>
    <row r="780" spans="1:26" ht="19.5" hidden="1">
      <c r="A780" s="1260"/>
      <c r="B780" s="1265"/>
      <c r="C780" s="1261"/>
      <c r="D780" s="1392" t="s">
        <v>21</v>
      </c>
      <c r="E780" s="1261"/>
      <c r="F780" s="1261"/>
      <c r="G780" s="1263"/>
      <c r="H780" s="749" t="s">
        <v>12</v>
      </c>
      <c r="I780" s="947"/>
      <c r="J780" s="947"/>
      <c r="K780" s="948"/>
      <c r="L780" s="1292">
        <f t="shared" ref="L780:N780" si="315">L781+L782</f>
        <v>0</v>
      </c>
      <c r="M780" s="1292">
        <f t="shared" si="315"/>
        <v>0</v>
      </c>
      <c r="N780" s="1292">
        <f t="shared" si="315"/>
        <v>0</v>
      </c>
      <c r="O780" s="1292">
        <f t="shared" ref="O780:O782" si="316">IF(L780&gt;0,N780*100/L780,0)</f>
        <v>0</v>
      </c>
      <c r="P780" s="1292">
        <f t="shared" ref="P780:P782" si="317">IF(M780&gt;0,N780*100/M780,0)</f>
        <v>0</v>
      </c>
      <c r="Q780" s="1264"/>
      <c r="R780" s="1264"/>
      <c r="S780" s="1264"/>
      <c r="T780" s="1264"/>
      <c r="U780" s="1264"/>
      <c r="V780" s="1264"/>
      <c r="W780" s="1264"/>
      <c r="X780" s="1264"/>
      <c r="Y780" s="1264"/>
      <c r="Z780" s="1264"/>
    </row>
    <row r="781" spans="1:26" ht="18.75" hidden="1">
      <c r="A781" s="1260"/>
      <c r="B781" s="1265"/>
      <c r="C781" s="1261"/>
      <c r="D781" s="1261"/>
      <c r="E781" s="1261" t="s">
        <v>18</v>
      </c>
      <c r="F781" s="1261"/>
      <c r="G781" s="1263"/>
      <c r="H781" s="165" t="s">
        <v>12</v>
      </c>
      <c r="I781" s="947"/>
      <c r="J781" s="947"/>
      <c r="K781" s="948"/>
      <c r="L781" s="837">
        <v>0</v>
      </c>
      <c r="M781" s="837">
        <v>0</v>
      </c>
      <c r="N781" s="837">
        <v>0</v>
      </c>
      <c r="O781" s="837">
        <f t="shared" si="316"/>
        <v>0</v>
      </c>
      <c r="P781" s="837">
        <f t="shared" si="317"/>
        <v>0</v>
      </c>
      <c r="Q781" s="1264"/>
      <c r="R781" s="1264"/>
      <c r="S781" s="1264"/>
      <c r="T781" s="1264"/>
      <c r="U781" s="1264"/>
      <c r="V781" s="1264"/>
      <c r="W781" s="1264"/>
      <c r="X781" s="1264"/>
      <c r="Y781" s="1264"/>
      <c r="Z781" s="1264"/>
    </row>
    <row r="782" spans="1:26" ht="18.75" hidden="1">
      <c r="A782" s="1260"/>
      <c r="B782" s="1265"/>
      <c r="C782" s="1261"/>
      <c r="D782" s="1261"/>
      <c r="E782" s="1261" t="s">
        <v>19</v>
      </c>
      <c r="F782" s="1261"/>
      <c r="G782" s="1263"/>
      <c r="H782" s="169" t="s">
        <v>12</v>
      </c>
      <c r="I782" s="947"/>
      <c r="J782" s="947"/>
      <c r="K782" s="948"/>
      <c r="L782" s="837">
        <v>0</v>
      </c>
      <c r="M782" s="837">
        <v>0</v>
      </c>
      <c r="N782" s="837">
        <v>0</v>
      </c>
      <c r="O782" s="837">
        <f t="shared" si="316"/>
        <v>0</v>
      </c>
      <c r="P782" s="837">
        <f t="shared" si="317"/>
        <v>0</v>
      </c>
      <c r="Q782" s="1264"/>
      <c r="R782" s="1264"/>
      <c r="S782" s="1264"/>
      <c r="T782" s="1264"/>
      <c r="U782" s="1264"/>
      <c r="V782" s="1264"/>
      <c r="W782" s="1264"/>
      <c r="X782" s="1264"/>
      <c r="Y782" s="1264"/>
      <c r="Z782" s="1264"/>
    </row>
    <row r="783" spans="1:26" ht="19.5" hidden="1">
      <c r="A783" s="1273"/>
      <c r="B783" s="1274"/>
      <c r="C783" s="1261" t="s">
        <v>16</v>
      </c>
      <c r="D783" s="1393" t="s">
        <v>38</v>
      </c>
      <c r="E783" s="1296"/>
      <c r="F783" s="1296"/>
      <c r="G783" s="1297"/>
      <c r="H783" s="1406"/>
      <c r="I783" s="947"/>
      <c r="J783" s="947"/>
      <c r="K783" s="948"/>
      <c r="L783" s="948"/>
      <c r="M783" s="948"/>
      <c r="N783" s="948"/>
      <c r="O783" s="948"/>
      <c r="P783" s="948"/>
      <c r="Q783" s="1264"/>
      <c r="R783" s="1264"/>
      <c r="S783" s="1264"/>
      <c r="T783" s="1264"/>
      <c r="U783" s="1264"/>
      <c r="V783" s="1264"/>
      <c r="W783" s="1264"/>
      <c r="X783" s="1264"/>
      <c r="Y783" s="1264"/>
      <c r="Z783" s="1264"/>
    </row>
    <row r="784" spans="1:26" ht="18.75" hidden="1">
      <c r="A784" s="1294"/>
      <c r="B784" s="1265"/>
      <c r="C784" s="1261"/>
      <c r="D784" s="1261"/>
      <c r="E784" s="1261" t="s">
        <v>318</v>
      </c>
      <c r="F784" s="1261"/>
      <c r="G784" s="1263"/>
      <c r="H784" s="165" t="s">
        <v>46</v>
      </c>
      <c r="I784" s="836"/>
      <c r="J784" s="836"/>
      <c r="K784" s="837"/>
      <c r="L784" s="837"/>
      <c r="M784" s="837"/>
      <c r="N784" s="837"/>
      <c r="O784" s="837"/>
      <c r="P784" s="837"/>
      <c r="Q784" s="1264"/>
      <c r="R784" s="1264"/>
      <c r="S784" s="1264"/>
      <c r="T784" s="1264"/>
      <c r="U784" s="1264"/>
      <c r="V784" s="1264"/>
      <c r="W784" s="1264"/>
      <c r="X784" s="1264"/>
      <c r="Y784" s="1264"/>
      <c r="Z784" s="1264"/>
    </row>
    <row r="785" spans="1:26" ht="19.5">
      <c r="A785" s="768">
        <v>12</v>
      </c>
      <c r="B785" s="1407" t="s">
        <v>319</v>
      </c>
      <c r="C785" s="1408"/>
      <c r="D785" s="1408"/>
      <c r="E785" s="1408"/>
      <c r="F785" s="1408"/>
      <c r="G785" s="1409"/>
      <c r="H785" s="1444" t="s">
        <v>46</v>
      </c>
      <c r="I785" s="1445">
        <f t="shared" ref="I785:J785" ca="1" si="318">I801+I803</f>
        <v>4000</v>
      </c>
      <c r="J785" s="1445">
        <f t="shared" ca="1" si="318"/>
        <v>1227</v>
      </c>
      <c r="K785" s="1446">
        <f ca="1">IF(I785&gt;0,J785*100/I785,0)</f>
        <v>30.675000000000001</v>
      </c>
      <c r="L785" s="1412"/>
      <c r="M785" s="1412"/>
      <c r="N785" s="1412"/>
      <c r="O785" s="1412"/>
      <c r="P785" s="1412"/>
      <c r="Q785" s="1244"/>
      <c r="R785" s="1244"/>
      <c r="S785" s="1244"/>
      <c r="T785" s="1244"/>
      <c r="U785" s="1244"/>
      <c r="V785" s="1244"/>
      <c r="W785" s="1244"/>
      <c r="X785" s="1244"/>
      <c r="Y785" s="1244"/>
      <c r="Z785" s="1244"/>
    </row>
    <row r="786" spans="1:26" ht="19.5">
      <c r="A786" s="1259"/>
      <c r="B786" s="1242"/>
      <c r="C786" s="1243" t="s">
        <v>16</v>
      </c>
      <c r="D786" s="1507" t="s">
        <v>17</v>
      </c>
      <c r="E786" s="1485"/>
      <c r="F786" s="1485"/>
      <c r="G786" s="963"/>
      <c r="H786" s="1447" t="s">
        <v>12</v>
      </c>
      <c r="I786" s="1448"/>
      <c r="J786" s="1448"/>
      <c r="K786" s="1449"/>
      <c r="L786" s="967">
        <f t="shared" ref="L786:N786" ca="1" si="319">L787+L788</f>
        <v>266560</v>
      </c>
      <c r="M786" s="967">
        <f t="shared" si="319"/>
        <v>0</v>
      </c>
      <c r="N786" s="967">
        <f t="shared" si="319"/>
        <v>98668</v>
      </c>
      <c r="O786" s="967">
        <f t="shared" ref="O786:O791" ca="1" si="320">IF(L786&gt;0,N786*100/L786,0)</f>
        <v>37.015306122448976</v>
      </c>
      <c r="P786" s="967">
        <f t="shared" ref="P786:P791" si="321">IF(M786&gt;0,N786*100/M786,0)</f>
        <v>0</v>
      </c>
      <c r="Q786" s="1244"/>
      <c r="R786" s="1244"/>
      <c r="S786" s="1244"/>
      <c r="T786" s="1244"/>
      <c r="U786" s="1244"/>
      <c r="V786" s="1244"/>
      <c r="W786" s="1244"/>
      <c r="X786" s="1244"/>
      <c r="Y786" s="1244"/>
      <c r="Z786" s="1244"/>
    </row>
    <row r="787" spans="1:26" ht="18.75" hidden="1">
      <c r="A787" s="1260"/>
      <c r="B787" s="1265"/>
      <c r="C787" s="1261"/>
      <c r="D787" s="1262"/>
      <c r="E787" s="1261" t="s">
        <v>184</v>
      </c>
      <c r="F787" s="1261"/>
      <c r="G787" s="1263"/>
      <c r="H787" s="1450" t="s">
        <v>12</v>
      </c>
      <c r="I787" s="1448"/>
      <c r="J787" s="1448"/>
      <c r="K787" s="1449"/>
      <c r="L787" s="837">
        <f t="shared" ref="L787:N788" si="322">L790+L797</f>
        <v>0</v>
      </c>
      <c r="M787" s="837">
        <f t="shared" si="322"/>
        <v>0</v>
      </c>
      <c r="N787" s="837">
        <f t="shared" si="322"/>
        <v>0</v>
      </c>
      <c r="O787" s="837">
        <f t="shared" si="320"/>
        <v>0</v>
      </c>
      <c r="P787" s="837">
        <f t="shared" si="321"/>
        <v>0</v>
      </c>
      <c r="Q787" s="1264"/>
      <c r="R787" s="1264"/>
      <c r="S787" s="1264"/>
      <c r="T787" s="1264"/>
      <c r="U787" s="1264"/>
      <c r="V787" s="1264"/>
      <c r="W787" s="1264"/>
      <c r="X787" s="1264"/>
      <c r="Y787" s="1264"/>
      <c r="Z787" s="1264"/>
    </row>
    <row r="788" spans="1:26" ht="18.75" hidden="1">
      <c r="A788" s="1260"/>
      <c r="B788" s="1265"/>
      <c r="C788" s="1265"/>
      <c r="D788" s="1274"/>
      <c r="E788" s="1261" t="s">
        <v>185</v>
      </c>
      <c r="F788" s="1261"/>
      <c r="G788" s="1263"/>
      <c r="H788" s="1450" t="s">
        <v>12</v>
      </c>
      <c r="I788" s="1448"/>
      <c r="J788" s="1448"/>
      <c r="K788" s="1449"/>
      <c r="L788" s="837">
        <f t="shared" ca="1" si="322"/>
        <v>266560</v>
      </c>
      <c r="M788" s="837">
        <f t="shared" si="322"/>
        <v>0</v>
      </c>
      <c r="N788" s="837">
        <f t="shared" si="322"/>
        <v>98668</v>
      </c>
      <c r="O788" s="837">
        <f t="shared" ca="1" si="320"/>
        <v>37.015306122448976</v>
      </c>
      <c r="P788" s="837">
        <f t="shared" si="321"/>
        <v>0</v>
      </c>
      <c r="Q788" s="1264"/>
      <c r="R788" s="1264"/>
      <c r="S788" s="1264"/>
      <c r="T788" s="1264"/>
      <c r="U788" s="1264"/>
      <c r="V788" s="1264"/>
      <c r="W788" s="1264"/>
      <c r="X788" s="1264"/>
      <c r="Y788" s="1264"/>
      <c r="Z788" s="1264"/>
    </row>
    <row r="789" spans="1:26" ht="18.75">
      <c r="A789" s="1259"/>
      <c r="B789" s="1242"/>
      <c r="C789" s="1242"/>
      <c r="D789" s="1266" t="s">
        <v>20</v>
      </c>
      <c r="E789" s="1243"/>
      <c r="F789" s="1243"/>
      <c r="G789" s="963"/>
      <c r="H789" s="1451" t="s">
        <v>12</v>
      </c>
      <c r="I789" s="1452"/>
      <c r="J789" s="1452"/>
      <c r="K789" s="1453"/>
      <c r="L789" s="831">
        <f t="shared" ref="L789:N789" ca="1" si="323">L790+L791</f>
        <v>266560</v>
      </c>
      <c r="M789" s="831">
        <f t="shared" si="323"/>
        <v>0</v>
      </c>
      <c r="N789" s="831">
        <f t="shared" si="323"/>
        <v>98668</v>
      </c>
      <c r="O789" s="831">
        <f t="shared" ca="1" si="320"/>
        <v>37.015306122448976</v>
      </c>
      <c r="P789" s="831">
        <f t="shared" si="321"/>
        <v>0</v>
      </c>
      <c r="Q789" s="1244"/>
      <c r="R789" s="1244"/>
      <c r="S789" s="1244"/>
      <c r="T789" s="1244"/>
      <c r="U789" s="1244"/>
      <c r="V789" s="1244"/>
      <c r="W789" s="1244"/>
      <c r="X789" s="1244"/>
      <c r="Y789" s="1244"/>
      <c r="Z789" s="1244"/>
    </row>
    <row r="790" spans="1:26" ht="18.75" hidden="1">
      <c r="A790" s="1260"/>
      <c r="B790" s="1265"/>
      <c r="C790" s="1265"/>
      <c r="D790" s="1274"/>
      <c r="E790" s="1261" t="s">
        <v>184</v>
      </c>
      <c r="F790" s="1261"/>
      <c r="G790" s="1263"/>
      <c r="H790" s="1450" t="s">
        <v>12</v>
      </c>
      <c r="I790" s="1448"/>
      <c r="J790" s="1448"/>
      <c r="K790" s="1449"/>
      <c r="L790" s="837">
        <v>0</v>
      </c>
      <c r="M790" s="837">
        <v>0</v>
      </c>
      <c r="N790" s="837">
        <v>0</v>
      </c>
      <c r="O790" s="837">
        <f t="shared" si="320"/>
        <v>0</v>
      </c>
      <c r="P790" s="837">
        <f t="shared" si="321"/>
        <v>0</v>
      </c>
      <c r="Q790" s="1264"/>
      <c r="R790" s="1264"/>
      <c r="S790" s="1264"/>
      <c r="T790" s="1264"/>
      <c r="U790" s="1264"/>
      <c r="V790" s="1264"/>
      <c r="W790" s="1264"/>
      <c r="X790" s="1264"/>
      <c r="Y790" s="1264"/>
      <c r="Z790" s="1264"/>
    </row>
    <row r="791" spans="1:26" ht="18.75" hidden="1">
      <c r="A791" s="1260"/>
      <c r="B791" s="1265"/>
      <c r="C791" s="1265"/>
      <c r="D791" s="1274"/>
      <c r="E791" s="1261" t="s">
        <v>185</v>
      </c>
      <c r="F791" s="1261"/>
      <c r="G791" s="1263"/>
      <c r="H791" s="1450" t="s">
        <v>12</v>
      </c>
      <c r="I791" s="1448"/>
      <c r="J791" s="1448"/>
      <c r="K791" s="1449"/>
      <c r="L791" s="837">
        <f ca="1">IFERROR(__xludf.DUMMYFUNCTION("IMPORTRANGE(""https://docs.google.com/spreadsheets/d/1QqKyyYR6Q21VydFLVH3TRQUabQu_ym0Zz7PgGX0-kHA/edit?usp=sharing"",""แผน!JJ22"")"),266560)</f>
        <v>266560</v>
      </c>
      <c r="M791" s="837">
        <v>0</v>
      </c>
      <c r="N791" s="837">
        <f>N792+N793+N794+N795</f>
        <v>98668</v>
      </c>
      <c r="O791" s="837">
        <f t="shared" ca="1" si="320"/>
        <v>37.015306122448976</v>
      </c>
      <c r="P791" s="837">
        <f t="shared" si="321"/>
        <v>0</v>
      </c>
      <c r="Q791" s="1264"/>
      <c r="R791" s="1264"/>
      <c r="S791" s="1264"/>
      <c r="T791" s="1264"/>
      <c r="U791" s="1264"/>
      <c r="V791" s="1264"/>
      <c r="W791" s="1264"/>
      <c r="X791" s="1264"/>
      <c r="Y791" s="1264"/>
      <c r="Z791" s="1264"/>
    </row>
    <row r="792" spans="1:26" ht="18.75">
      <c r="A792" s="1241"/>
      <c r="B792" s="1242"/>
      <c r="C792" s="1243"/>
      <c r="D792" s="1243"/>
      <c r="E792" s="1243"/>
      <c r="F792" s="1243" t="s">
        <v>186</v>
      </c>
      <c r="G792" s="963"/>
      <c r="H792" s="1451" t="s">
        <v>12</v>
      </c>
      <c r="I792" s="1448"/>
      <c r="J792" s="1448"/>
      <c r="K792" s="1449"/>
      <c r="L792" s="831"/>
      <c r="M792" s="831"/>
      <c r="N792" s="1031">
        <v>0</v>
      </c>
      <c r="O792" s="831"/>
      <c r="P792" s="831"/>
      <c r="Q792" s="1244"/>
      <c r="R792" s="1244"/>
      <c r="S792" s="1244"/>
      <c r="T792" s="1244"/>
      <c r="U792" s="1244"/>
      <c r="V792" s="1244"/>
      <c r="W792" s="1244"/>
      <c r="X792" s="1244"/>
      <c r="Y792" s="1244"/>
      <c r="Z792" s="1244"/>
    </row>
    <row r="793" spans="1:26" ht="18.75">
      <c r="A793" s="1241"/>
      <c r="B793" s="1242"/>
      <c r="C793" s="1243"/>
      <c r="D793" s="1243"/>
      <c r="E793" s="1243"/>
      <c r="F793" s="1243" t="s">
        <v>187</v>
      </c>
      <c r="G793" s="963"/>
      <c r="H793" s="1451" t="s">
        <v>12</v>
      </c>
      <c r="I793" s="1448"/>
      <c r="J793" s="1448"/>
      <c r="K793" s="1449"/>
      <c r="L793" s="831"/>
      <c r="M793" s="831"/>
      <c r="N793" s="1031">
        <v>0</v>
      </c>
      <c r="O793" s="831"/>
      <c r="P793" s="831"/>
      <c r="Q793" s="1244"/>
      <c r="R793" s="1244"/>
      <c r="S793" s="1244"/>
      <c r="T793" s="1244"/>
      <c r="U793" s="1244"/>
      <c r="V793" s="1244"/>
      <c r="W793" s="1244"/>
      <c r="X793" s="1244"/>
      <c r="Y793" s="1244"/>
      <c r="Z793" s="1244"/>
    </row>
    <row r="794" spans="1:26" ht="18.75">
      <c r="A794" s="1241"/>
      <c r="B794" s="1242"/>
      <c r="C794" s="1243"/>
      <c r="D794" s="1243"/>
      <c r="E794" s="1243"/>
      <c r="F794" s="1243" t="s">
        <v>188</v>
      </c>
      <c r="G794" s="963"/>
      <c r="H794" s="1451" t="s">
        <v>12</v>
      </c>
      <c r="I794" s="1448"/>
      <c r="J794" s="1448"/>
      <c r="K794" s="1449"/>
      <c r="L794" s="831"/>
      <c r="M794" s="831"/>
      <c r="N794" s="1031">
        <v>51116</v>
      </c>
      <c r="O794" s="831"/>
      <c r="P794" s="831"/>
      <c r="Q794" s="1244"/>
      <c r="R794" s="1244"/>
      <c r="S794" s="1244"/>
      <c r="T794" s="1244"/>
      <c r="U794" s="1244"/>
      <c r="V794" s="1244"/>
      <c r="W794" s="1244"/>
      <c r="X794" s="1244"/>
      <c r="Y794" s="1244"/>
      <c r="Z794" s="1244"/>
    </row>
    <row r="795" spans="1:26" ht="18.75">
      <c r="A795" s="1241"/>
      <c r="B795" s="1242"/>
      <c r="C795" s="1243"/>
      <c r="D795" s="1243"/>
      <c r="E795" s="1243"/>
      <c r="F795" s="1243" t="s">
        <v>189</v>
      </c>
      <c r="G795" s="963"/>
      <c r="H795" s="1451" t="s">
        <v>12</v>
      </c>
      <c r="I795" s="1448"/>
      <c r="J795" s="1448"/>
      <c r="K795" s="1449"/>
      <c r="L795" s="831"/>
      <c r="M795" s="831"/>
      <c r="N795" s="1031">
        <v>47552</v>
      </c>
      <c r="O795" s="831"/>
      <c r="P795" s="831"/>
      <c r="Q795" s="1244"/>
      <c r="R795" s="1244"/>
      <c r="S795" s="1244"/>
      <c r="T795" s="1244"/>
      <c r="U795" s="1244"/>
      <c r="V795" s="1244"/>
      <c r="W795" s="1244"/>
      <c r="X795" s="1244"/>
      <c r="Y795" s="1244"/>
      <c r="Z795" s="1244"/>
    </row>
    <row r="796" spans="1:26" ht="18.75">
      <c r="A796" s="1259"/>
      <c r="B796" s="1242"/>
      <c r="C796" s="1243"/>
      <c r="D796" s="1266" t="s">
        <v>21</v>
      </c>
      <c r="E796" s="1243"/>
      <c r="F796" s="1243"/>
      <c r="G796" s="963"/>
      <c r="H796" s="1454" t="s">
        <v>12</v>
      </c>
      <c r="I796" s="1452"/>
      <c r="J796" s="1452"/>
      <c r="K796" s="1453"/>
      <c r="L796" s="831">
        <f t="shared" ref="L796:N796" si="324">L797+L798</f>
        <v>0</v>
      </c>
      <c r="M796" s="831">
        <f t="shared" si="324"/>
        <v>0</v>
      </c>
      <c r="N796" s="831">
        <f t="shared" si="324"/>
        <v>0</v>
      </c>
      <c r="O796" s="831">
        <f t="shared" ref="O796:O798" si="325">IF(L796&gt;0,N796*100/L796,0)</f>
        <v>0</v>
      </c>
      <c r="P796" s="831">
        <f t="shared" ref="P796:P798" si="326">IF(M796&gt;0,N796*100/M796,0)</f>
        <v>0</v>
      </c>
      <c r="Q796" s="1244"/>
      <c r="R796" s="1244"/>
      <c r="S796" s="1244"/>
      <c r="T796" s="1244"/>
      <c r="U796" s="1244"/>
      <c r="V796" s="1244"/>
      <c r="W796" s="1244"/>
      <c r="X796" s="1244"/>
      <c r="Y796" s="1244"/>
      <c r="Z796" s="1244"/>
    </row>
    <row r="797" spans="1:26" ht="18.75" hidden="1">
      <c r="A797" s="1260"/>
      <c r="B797" s="1265"/>
      <c r="C797" s="1261"/>
      <c r="D797" s="1261"/>
      <c r="E797" s="1261" t="s">
        <v>18</v>
      </c>
      <c r="F797" s="1261"/>
      <c r="G797" s="1263"/>
      <c r="H797" s="1450" t="s">
        <v>12</v>
      </c>
      <c r="I797" s="1452"/>
      <c r="J797" s="1452"/>
      <c r="K797" s="1453"/>
      <c r="L797" s="837">
        <v>0</v>
      </c>
      <c r="M797" s="837">
        <v>0</v>
      </c>
      <c r="N797" s="837">
        <v>0</v>
      </c>
      <c r="O797" s="837">
        <f t="shared" si="325"/>
        <v>0</v>
      </c>
      <c r="P797" s="837">
        <f t="shared" si="326"/>
        <v>0</v>
      </c>
      <c r="Q797" s="1264"/>
      <c r="R797" s="1264"/>
      <c r="S797" s="1264"/>
      <c r="T797" s="1264"/>
      <c r="U797" s="1264"/>
      <c r="V797" s="1264"/>
      <c r="W797" s="1264"/>
      <c r="X797" s="1264"/>
      <c r="Y797" s="1264"/>
      <c r="Z797" s="1264"/>
    </row>
    <row r="798" spans="1:26" ht="18.75" hidden="1">
      <c r="A798" s="1260"/>
      <c r="B798" s="1265"/>
      <c r="C798" s="1261"/>
      <c r="D798" s="1261"/>
      <c r="E798" s="1261" t="s">
        <v>19</v>
      </c>
      <c r="F798" s="1261"/>
      <c r="G798" s="1263"/>
      <c r="H798" s="1455" t="s">
        <v>12</v>
      </c>
      <c r="I798" s="1452"/>
      <c r="J798" s="1452"/>
      <c r="K798" s="1453"/>
      <c r="L798" s="837">
        <v>0</v>
      </c>
      <c r="M798" s="837">
        <v>0</v>
      </c>
      <c r="N798" s="837">
        <v>0</v>
      </c>
      <c r="O798" s="837">
        <f t="shared" si="325"/>
        <v>0</v>
      </c>
      <c r="P798" s="837">
        <f t="shared" si="326"/>
        <v>0</v>
      </c>
      <c r="Q798" s="1264"/>
      <c r="R798" s="1264"/>
      <c r="S798" s="1264"/>
      <c r="T798" s="1264"/>
      <c r="U798" s="1264"/>
      <c r="V798" s="1264"/>
      <c r="W798" s="1264"/>
      <c r="X798" s="1264"/>
      <c r="Y798" s="1264"/>
      <c r="Z798" s="1264"/>
    </row>
    <row r="799" spans="1:26" ht="19.5">
      <c r="A799" s="1267"/>
      <c r="B799" s="1268"/>
      <c r="C799" s="1243" t="s">
        <v>16</v>
      </c>
      <c r="D799" s="1378" t="s">
        <v>38</v>
      </c>
      <c r="E799" s="1271"/>
      <c r="F799" s="1271"/>
      <c r="G799" s="1272"/>
      <c r="H799" s="1456"/>
      <c r="I799" s="1452"/>
      <c r="J799" s="1452"/>
      <c r="K799" s="1453"/>
      <c r="L799" s="945"/>
      <c r="M799" s="945"/>
      <c r="N799" s="945"/>
      <c r="O799" s="945"/>
      <c r="P799" s="945"/>
      <c r="Q799" s="1244"/>
      <c r="R799" s="1244"/>
      <c r="S799" s="1244"/>
      <c r="T799" s="1244"/>
      <c r="U799" s="1244"/>
      <c r="V799" s="1244"/>
      <c r="W799" s="1244"/>
      <c r="X799" s="1244"/>
      <c r="Y799" s="1244"/>
      <c r="Z799" s="1244"/>
    </row>
    <row r="800" spans="1:26" ht="18.75">
      <c r="A800" s="1267"/>
      <c r="B800" s="1268"/>
      <c r="C800" s="1268"/>
      <c r="D800" s="1268"/>
      <c r="E800" s="961"/>
      <c r="F800" s="961" t="s">
        <v>320</v>
      </c>
      <c r="G800" s="954"/>
      <c r="H800" s="1457" t="s">
        <v>34</v>
      </c>
      <c r="I800" s="1452"/>
      <c r="J800" s="1458">
        <f ca="1">IFERROR(__xludf.DUMMYFUNCTION("IMPORTRANGE(""https://docs.google.com/spreadsheets/d/1MaWodYyGHDf7siQLGxnXhG4mBNTNIuy296niS2xXulU/edit?usp=sharing"",""RTK!H22"")"),75)</f>
        <v>75</v>
      </c>
      <c r="K800" s="1449"/>
      <c r="L800" s="831"/>
      <c r="M800" s="831"/>
      <c r="N800" s="831"/>
      <c r="O800" s="945"/>
      <c r="P800" s="945"/>
      <c r="Q800" s="1244"/>
      <c r="R800" s="1244"/>
      <c r="S800" s="1244"/>
      <c r="T800" s="1244"/>
      <c r="U800" s="1244"/>
      <c r="V800" s="1244"/>
      <c r="W800" s="1244"/>
      <c r="X800" s="1244"/>
      <c r="Y800" s="1244"/>
      <c r="Z800" s="1244"/>
    </row>
    <row r="801" spans="1:26" ht="18.75">
      <c r="A801" s="1267"/>
      <c r="B801" s="1268"/>
      <c r="C801" s="1268"/>
      <c r="D801" s="1268"/>
      <c r="E801" s="961"/>
      <c r="F801" s="961"/>
      <c r="G801" s="954"/>
      <c r="H801" s="1451" t="s">
        <v>46</v>
      </c>
      <c r="I801" s="1458">
        <f ca="1">IFERROR(__xludf.DUMMYFUNCTION("IMPORTRANGE(""https://docs.google.com/spreadsheets/d/1MaWodYyGHDf7siQLGxnXhG4mBNTNIuy296niS2xXulU/edit?usp=sharing"",""RTK!G22"")"),4000)</f>
        <v>4000</v>
      </c>
      <c r="J801" s="1459">
        <f ca="1">IFERROR(__xludf.DUMMYFUNCTION("IMPORTRANGE(""https://docs.google.com/spreadsheets/d/1MaWodYyGHDf7siQLGxnXhG4mBNTNIuy296niS2xXulU/edit?usp=sharing"",""RTK!I22"")"),1227)</f>
        <v>1227</v>
      </c>
      <c r="K801" s="1460">
        <f ca="1">IF(I801&gt;0,J801*100/I801,0)</f>
        <v>30.675000000000001</v>
      </c>
      <c r="L801" s="831"/>
      <c r="M801" s="831"/>
      <c r="N801" s="831"/>
      <c r="O801" s="945"/>
      <c r="P801" s="945"/>
      <c r="Q801" s="1244"/>
      <c r="R801" s="1244"/>
      <c r="S801" s="1244"/>
      <c r="T801" s="1244"/>
      <c r="U801" s="1244"/>
      <c r="V801" s="1244"/>
      <c r="W801" s="1244"/>
      <c r="X801" s="1244"/>
      <c r="Y801" s="1244"/>
      <c r="Z801" s="1244"/>
    </row>
    <row r="802" spans="1:26" ht="18.75">
      <c r="A802" s="1273"/>
      <c r="B802" s="1274"/>
      <c r="C802" s="1274"/>
      <c r="D802" s="1274"/>
      <c r="E802" s="1262"/>
      <c r="F802" s="1416" t="s">
        <v>321</v>
      </c>
      <c r="G802" s="1060"/>
      <c r="H802" s="1457" t="s">
        <v>34</v>
      </c>
      <c r="I802" s="1452"/>
      <c r="J802" s="1458">
        <f ca="1">IFERROR(__xludf.DUMMYFUNCTION("IMPORTRANGE(""https://docs.google.com/spreadsheets/d/1MaWodYyGHDf7siQLGxnXhG4mBNTNIuy296niS2xXulU/edit?usp=sharing"",""RTK!L22"")"),0)</f>
        <v>0</v>
      </c>
      <c r="K802" s="1449"/>
      <c r="L802" s="948"/>
      <c r="M802" s="948"/>
      <c r="N802" s="948"/>
      <c r="O802" s="948"/>
      <c r="P802" s="948"/>
      <c r="Q802" s="1264"/>
      <c r="R802" s="1264"/>
      <c r="S802" s="1264"/>
      <c r="T802" s="1264"/>
      <c r="U802" s="1264"/>
      <c r="V802" s="1264"/>
      <c r="W802" s="1264"/>
      <c r="X802" s="1264"/>
      <c r="Y802" s="1264"/>
      <c r="Z802" s="1264"/>
    </row>
    <row r="803" spans="1:26" ht="18.75">
      <c r="A803" s="1273"/>
      <c r="B803" s="1274"/>
      <c r="C803" s="1274"/>
      <c r="D803" s="1274"/>
      <c r="E803" s="1262"/>
      <c r="F803" s="1262"/>
      <c r="G803" s="1060"/>
      <c r="H803" s="1457" t="s">
        <v>46</v>
      </c>
      <c r="I803" s="1458">
        <f ca="1">IFERROR(__xludf.DUMMYFUNCTION("IMPORTRANGE(""https://docs.google.com/spreadsheets/d/1MaWodYyGHDf7siQLGxnXhG4mBNTNIuy296niS2xXulU/edit?usp=sharing"",""RTK!K22"")"),0)</f>
        <v>0</v>
      </c>
      <c r="J803" s="1459">
        <f ca="1">IFERROR(__xludf.DUMMYFUNCTION("IMPORTRANGE(""https://docs.google.com/spreadsheets/d/1MaWodYyGHDf7siQLGxnXhG4mBNTNIuy296niS2xXulU/edit?usp=sharing"",""RTK!M22"")"),0)</f>
        <v>0</v>
      </c>
      <c r="K803" s="1460">
        <f t="shared" ref="K803:K804" ca="1" si="327">IF(I803&gt;0,J803*100/I803,0)</f>
        <v>0</v>
      </c>
      <c r="L803" s="948"/>
      <c r="M803" s="948"/>
      <c r="N803" s="948"/>
      <c r="O803" s="948"/>
      <c r="P803" s="948"/>
      <c r="Q803" s="1264"/>
      <c r="R803" s="1264"/>
      <c r="S803" s="1264"/>
      <c r="T803" s="1264"/>
      <c r="U803" s="1264"/>
      <c r="V803" s="1264"/>
      <c r="W803" s="1264"/>
      <c r="X803" s="1264"/>
      <c r="Y803" s="1264"/>
      <c r="Z803" s="1264"/>
    </row>
    <row r="804" spans="1:26" ht="19.5" hidden="1">
      <c r="A804" s="759">
        <v>13</v>
      </c>
      <c r="B804" s="1400" t="s">
        <v>322</v>
      </c>
      <c r="C804" s="1401"/>
      <c r="D804" s="1419"/>
      <c r="E804" s="1401"/>
      <c r="F804" s="1401"/>
      <c r="G804" s="1402"/>
      <c r="H804" s="763" t="s">
        <v>46</v>
      </c>
      <c r="I804" s="1403"/>
      <c r="J804" s="1403">
        <f>J819</f>
        <v>0</v>
      </c>
      <c r="K804" s="1404">
        <f t="shared" si="327"/>
        <v>0</v>
      </c>
      <c r="L804" s="1405"/>
      <c r="M804" s="1405"/>
      <c r="N804" s="1405"/>
      <c r="O804" s="1405"/>
      <c r="P804" s="1405"/>
      <c r="Q804" s="1264"/>
      <c r="R804" s="1264"/>
      <c r="S804" s="1264"/>
      <c r="T804" s="1264"/>
      <c r="U804" s="1264"/>
      <c r="V804" s="1264"/>
      <c r="W804" s="1264"/>
      <c r="X804" s="1264"/>
      <c r="Y804" s="1264"/>
      <c r="Z804" s="1264"/>
    </row>
    <row r="805" spans="1:26" ht="19.5" hidden="1">
      <c r="A805" s="1260"/>
      <c r="B805" s="1261"/>
      <c r="C805" s="1261" t="s">
        <v>16</v>
      </c>
      <c r="D805" s="1508" t="s">
        <v>17</v>
      </c>
      <c r="E805" s="1485"/>
      <c r="F805" s="1485"/>
      <c r="G805" s="1263"/>
      <c r="H805" s="612" t="s">
        <v>12</v>
      </c>
      <c r="I805" s="836"/>
      <c r="J805" s="836"/>
      <c r="K805" s="837"/>
      <c r="L805" s="1292">
        <f t="shared" ref="L805:N805" si="328">L806+L807</f>
        <v>0</v>
      </c>
      <c r="M805" s="1292">
        <f t="shared" si="328"/>
        <v>0</v>
      </c>
      <c r="N805" s="1292">
        <f t="shared" si="328"/>
        <v>0</v>
      </c>
      <c r="O805" s="1292">
        <f t="shared" ref="O805:O810" si="329">IF(L805&gt;0,N805*100/L805,0)</f>
        <v>0</v>
      </c>
      <c r="P805" s="1292">
        <f t="shared" ref="P805:P810" si="330">IF(M805&gt;0,N805*100/M805,0)</f>
        <v>0</v>
      </c>
      <c r="Q805" s="1264"/>
      <c r="R805" s="1264"/>
      <c r="S805" s="1264"/>
      <c r="T805" s="1264"/>
      <c r="U805" s="1264"/>
      <c r="V805" s="1264"/>
      <c r="W805" s="1264"/>
      <c r="X805" s="1264"/>
      <c r="Y805" s="1264"/>
      <c r="Z805" s="1264"/>
    </row>
    <row r="806" spans="1:26" ht="18.75" hidden="1">
      <c r="A806" s="1260"/>
      <c r="B806" s="1261"/>
      <c r="C806" s="1261"/>
      <c r="D806" s="1274"/>
      <c r="E806" s="1261" t="s">
        <v>184</v>
      </c>
      <c r="F806" s="1261"/>
      <c r="G806" s="1263"/>
      <c r="H806" s="165" t="s">
        <v>12</v>
      </c>
      <c r="I806" s="836"/>
      <c r="J806" s="836"/>
      <c r="K806" s="837"/>
      <c r="L806" s="837">
        <f t="shared" ref="L806:N807" si="331">L809+L816</f>
        <v>0</v>
      </c>
      <c r="M806" s="837">
        <f t="shared" si="331"/>
        <v>0</v>
      </c>
      <c r="N806" s="837">
        <f t="shared" si="331"/>
        <v>0</v>
      </c>
      <c r="O806" s="837">
        <f t="shared" si="329"/>
        <v>0</v>
      </c>
      <c r="P806" s="837">
        <f t="shared" si="330"/>
        <v>0</v>
      </c>
      <c r="Q806" s="1264"/>
      <c r="R806" s="1264"/>
      <c r="S806" s="1264"/>
      <c r="T806" s="1264"/>
      <c r="U806" s="1264"/>
      <c r="V806" s="1264"/>
      <c r="W806" s="1264"/>
      <c r="X806" s="1264"/>
      <c r="Y806" s="1264"/>
      <c r="Z806" s="1264"/>
    </row>
    <row r="807" spans="1:26" ht="18.75" hidden="1">
      <c r="A807" s="1260"/>
      <c r="B807" s="1261"/>
      <c r="C807" s="1261"/>
      <c r="D807" s="1274"/>
      <c r="E807" s="1261" t="s">
        <v>185</v>
      </c>
      <c r="F807" s="1261"/>
      <c r="G807" s="1263"/>
      <c r="H807" s="165" t="s">
        <v>12</v>
      </c>
      <c r="I807" s="836"/>
      <c r="J807" s="836"/>
      <c r="K807" s="837"/>
      <c r="L807" s="837">
        <f t="shared" si="331"/>
        <v>0</v>
      </c>
      <c r="M807" s="837">
        <f t="shared" si="331"/>
        <v>0</v>
      </c>
      <c r="N807" s="837">
        <f t="shared" si="331"/>
        <v>0</v>
      </c>
      <c r="O807" s="837">
        <f t="shared" si="329"/>
        <v>0</v>
      </c>
      <c r="P807" s="837">
        <f t="shared" si="330"/>
        <v>0</v>
      </c>
      <c r="Q807" s="1264"/>
      <c r="R807" s="1264"/>
      <c r="S807" s="1264"/>
      <c r="T807" s="1264"/>
      <c r="U807" s="1264"/>
      <c r="V807" s="1264"/>
      <c r="W807" s="1264"/>
      <c r="X807" s="1264"/>
      <c r="Y807" s="1264"/>
      <c r="Z807" s="1264"/>
    </row>
    <row r="808" spans="1:26" ht="19.5" hidden="1">
      <c r="A808" s="1260"/>
      <c r="B808" s="1265"/>
      <c r="C808" s="1261"/>
      <c r="D808" s="1509" t="s">
        <v>20</v>
      </c>
      <c r="E808" s="1485"/>
      <c r="F808" s="1485"/>
      <c r="G808" s="1263"/>
      <c r="H808" s="612" t="s">
        <v>12</v>
      </c>
      <c r="I808" s="947"/>
      <c r="J808" s="947"/>
      <c r="K808" s="948"/>
      <c r="L808" s="1292">
        <f t="shared" ref="L808:N808" si="332">L809+L810</f>
        <v>0</v>
      </c>
      <c r="M808" s="1292">
        <f t="shared" si="332"/>
        <v>0</v>
      </c>
      <c r="N808" s="1292">
        <f t="shared" si="332"/>
        <v>0</v>
      </c>
      <c r="O808" s="1292">
        <f t="shared" si="329"/>
        <v>0</v>
      </c>
      <c r="P808" s="1292">
        <f t="shared" si="330"/>
        <v>0</v>
      </c>
      <c r="Q808" s="1264"/>
      <c r="R808" s="1264"/>
      <c r="S808" s="1264"/>
      <c r="T808" s="1264"/>
      <c r="U808" s="1264"/>
      <c r="V808" s="1264"/>
      <c r="W808" s="1264"/>
      <c r="X808" s="1264"/>
      <c r="Y808" s="1264"/>
      <c r="Z808" s="1264"/>
    </row>
    <row r="809" spans="1:26" ht="18.75" hidden="1">
      <c r="A809" s="1260"/>
      <c r="B809" s="1261"/>
      <c r="C809" s="1261"/>
      <c r="D809" s="1274"/>
      <c r="E809" s="1261" t="s">
        <v>184</v>
      </c>
      <c r="F809" s="1261"/>
      <c r="G809" s="1263"/>
      <c r="H809" s="165" t="s">
        <v>12</v>
      </c>
      <c r="I809" s="836"/>
      <c r="J809" s="836"/>
      <c r="K809" s="837"/>
      <c r="L809" s="837">
        <v>0</v>
      </c>
      <c r="M809" s="837">
        <v>0</v>
      </c>
      <c r="N809" s="837">
        <v>0</v>
      </c>
      <c r="O809" s="837">
        <f t="shared" si="329"/>
        <v>0</v>
      </c>
      <c r="P809" s="837">
        <f t="shared" si="330"/>
        <v>0</v>
      </c>
      <c r="Q809" s="1264"/>
      <c r="R809" s="1264"/>
      <c r="S809" s="1264"/>
      <c r="T809" s="1264"/>
      <c r="U809" s="1264"/>
      <c r="V809" s="1264"/>
      <c r="W809" s="1264"/>
      <c r="X809" s="1264"/>
      <c r="Y809" s="1264"/>
      <c r="Z809" s="1264"/>
    </row>
    <row r="810" spans="1:26" ht="18.75" hidden="1">
      <c r="A810" s="1260"/>
      <c r="B810" s="1261"/>
      <c r="C810" s="1261"/>
      <c r="D810" s="1274"/>
      <c r="E810" s="1261" t="s">
        <v>185</v>
      </c>
      <c r="F810" s="1261"/>
      <c r="G810" s="1263"/>
      <c r="H810" s="165" t="s">
        <v>12</v>
      </c>
      <c r="I810" s="836"/>
      <c r="J810" s="836"/>
      <c r="K810" s="837"/>
      <c r="L810" s="837">
        <v>0</v>
      </c>
      <c r="M810" s="837">
        <v>0</v>
      </c>
      <c r="N810" s="837">
        <f>N811+N812+N813+N814</f>
        <v>0</v>
      </c>
      <c r="O810" s="837">
        <f t="shared" si="329"/>
        <v>0</v>
      </c>
      <c r="P810" s="837">
        <f t="shared" si="330"/>
        <v>0</v>
      </c>
      <c r="Q810" s="1264"/>
      <c r="R810" s="1264"/>
      <c r="S810" s="1264"/>
      <c r="T810" s="1264"/>
      <c r="U810" s="1264"/>
      <c r="V810" s="1264"/>
      <c r="W810" s="1264"/>
      <c r="X810" s="1264"/>
      <c r="Y810" s="1264"/>
      <c r="Z810" s="1264"/>
    </row>
    <row r="811" spans="1:26" ht="18.75" hidden="1">
      <c r="A811" s="1294"/>
      <c r="B811" s="1265"/>
      <c r="C811" s="1261"/>
      <c r="D811" s="1265"/>
      <c r="E811" s="1261"/>
      <c r="F811" s="1261" t="s">
        <v>186</v>
      </c>
      <c r="G811" s="1263"/>
      <c r="H811" s="165" t="s">
        <v>12</v>
      </c>
      <c r="I811" s="836"/>
      <c r="J811" s="836"/>
      <c r="K811" s="837"/>
      <c r="L811" s="837"/>
      <c r="M811" s="837"/>
      <c r="N811" s="837"/>
      <c r="O811" s="837"/>
      <c r="P811" s="837"/>
      <c r="Q811" s="1264"/>
      <c r="R811" s="1264"/>
      <c r="S811" s="1264"/>
      <c r="T811" s="1264"/>
      <c r="U811" s="1264"/>
      <c r="V811" s="1264"/>
      <c r="W811" s="1264"/>
      <c r="X811" s="1264"/>
      <c r="Y811" s="1264"/>
      <c r="Z811" s="1264"/>
    </row>
    <row r="812" spans="1:26" ht="18.75" hidden="1">
      <c r="A812" s="1294"/>
      <c r="B812" s="1265"/>
      <c r="C812" s="1261"/>
      <c r="D812" s="1265"/>
      <c r="E812" s="1261"/>
      <c r="F812" s="1261" t="s">
        <v>187</v>
      </c>
      <c r="G812" s="1263"/>
      <c r="H812" s="165" t="s">
        <v>12</v>
      </c>
      <c r="I812" s="836"/>
      <c r="J812" s="836"/>
      <c r="K812" s="837"/>
      <c r="L812" s="837"/>
      <c r="M812" s="837"/>
      <c r="N812" s="837"/>
      <c r="O812" s="837"/>
      <c r="P812" s="837"/>
      <c r="Q812" s="1264"/>
      <c r="R812" s="1264"/>
      <c r="S812" s="1264"/>
      <c r="T812" s="1264"/>
      <c r="U812" s="1264"/>
      <c r="V812" s="1264"/>
      <c r="W812" s="1264"/>
      <c r="X812" s="1264"/>
      <c r="Y812" s="1264"/>
      <c r="Z812" s="1264"/>
    </row>
    <row r="813" spans="1:26" ht="18.75" hidden="1">
      <c r="A813" s="1294"/>
      <c r="B813" s="1265"/>
      <c r="C813" s="1261"/>
      <c r="D813" s="1265"/>
      <c r="E813" s="1261"/>
      <c r="F813" s="1261" t="s">
        <v>188</v>
      </c>
      <c r="G813" s="1263"/>
      <c r="H813" s="165" t="s">
        <v>12</v>
      </c>
      <c r="I813" s="836"/>
      <c r="J813" s="836"/>
      <c r="K813" s="837"/>
      <c r="L813" s="837"/>
      <c r="M813" s="837"/>
      <c r="N813" s="837"/>
      <c r="O813" s="837"/>
      <c r="P813" s="837"/>
      <c r="Q813" s="1264"/>
      <c r="R813" s="1264"/>
      <c r="S813" s="1264"/>
      <c r="T813" s="1264"/>
      <c r="U813" s="1264"/>
      <c r="V813" s="1264"/>
      <c r="W813" s="1264"/>
      <c r="X813" s="1264"/>
      <c r="Y813" s="1264"/>
      <c r="Z813" s="1264"/>
    </row>
    <row r="814" spans="1:26" ht="18.75" hidden="1">
      <c r="A814" s="1294"/>
      <c r="B814" s="1265"/>
      <c r="C814" s="1261"/>
      <c r="D814" s="1265"/>
      <c r="E814" s="1261"/>
      <c r="F814" s="1261" t="s">
        <v>189</v>
      </c>
      <c r="G814" s="1263"/>
      <c r="H814" s="165" t="s">
        <v>12</v>
      </c>
      <c r="I814" s="836"/>
      <c r="J814" s="836"/>
      <c r="K814" s="837"/>
      <c r="L814" s="837"/>
      <c r="M814" s="837"/>
      <c r="N814" s="837"/>
      <c r="O814" s="837"/>
      <c r="P814" s="837"/>
      <c r="Q814" s="1264"/>
      <c r="R814" s="1264"/>
      <c r="S814" s="1264"/>
      <c r="T814" s="1264"/>
      <c r="U814" s="1264"/>
      <c r="V814" s="1264"/>
      <c r="W814" s="1264"/>
      <c r="X814" s="1264"/>
      <c r="Y814" s="1264"/>
      <c r="Z814" s="1264"/>
    </row>
    <row r="815" spans="1:26" ht="19.5" hidden="1">
      <c r="A815" s="1260"/>
      <c r="B815" s="1265"/>
      <c r="C815" s="1261"/>
      <c r="D815" s="1509" t="s">
        <v>21</v>
      </c>
      <c r="E815" s="1485"/>
      <c r="F815" s="1485"/>
      <c r="G815" s="1263"/>
      <c r="H815" s="749" t="s">
        <v>12</v>
      </c>
      <c r="I815" s="947"/>
      <c r="J815" s="947"/>
      <c r="K815" s="948"/>
      <c r="L815" s="1292">
        <f t="shared" ref="L815:N815" si="333">L816+L817</f>
        <v>0</v>
      </c>
      <c r="M815" s="1292">
        <f t="shared" si="333"/>
        <v>0</v>
      </c>
      <c r="N815" s="1292">
        <f t="shared" si="333"/>
        <v>0</v>
      </c>
      <c r="O815" s="1292">
        <f t="shared" ref="O815:O817" si="334">IF(L815&gt;0,N815*100/L815,0)</f>
        <v>0</v>
      </c>
      <c r="P815" s="1292">
        <f t="shared" ref="P815:P817" si="335">IF(M815&gt;0,N815*100/M815,0)</f>
        <v>0</v>
      </c>
      <c r="Q815" s="1264"/>
      <c r="R815" s="1264"/>
      <c r="S815" s="1264"/>
      <c r="T815" s="1264"/>
      <c r="U815" s="1264"/>
      <c r="V815" s="1264"/>
      <c r="W815" s="1264"/>
      <c r="X815" s="1264"/>
      <c r="Y815" s="1264"/>
      <c r="Z815" s="1264"/>
    </row>
    <row r="816" spans="1:26" ht="18.75" hidden="1">
      <c r="A816" s="1260"/>
      <c r="B816" s="1265"/>
      <c r="C816" s="1261"/>
      <c r="D816" s="1265"/>
      <c r="E816" s="1261" t="s">
        <v>18</v>
      </c>
      <c r="F816" s="1261"/>
      <c r="G816" s="1263"/>
      <c r="H816" s="165" t="s">
        <v>12</v>
      </c>
      <c r="I816" s="947"/>
      <c r="J816" s="947"/>
      <c r="K816" s="948"/>
      <c r="L816" s="837">
        <v>0</v>
      </c>
      <c r="M816" s="837">
        <v>0</v>
      </c>
      <c r="N816" s="837">
        <v>0</v>
      </c>
      <c r="O816" s="837">
        <f t="shared" si="334"/>
        <v>0</v>
      </c>
      <c r="P816" s="837">
        <f t="shared" si="335"/>
        <v>0</v>
      </c>
      <c r="Q816" s="1264"/>
      <c r="R816" s="1264"/>
      <c r="S816" s="1264"/>
      <c r="T816" s="1264"/>
      <c r="U816" s="1264"/>
      <c r="V816" s="1264"/>
      <c r="W816" s="1264"/>
      <c r="X816" s="1264"/>
      <c r="Y816" s="1264"/>
      <c r="Z816" s="1264"/>
    </row>
    <row r="817" spans="1:26" ht="18.75" hidden="1">
      <c r="A817" s="1260"/>
      <c r="B817" s="1265"/>
      <c r="C817" s="1261"/>
      <c r="D817" s="1265"/>
      <c r="E817" s="1261" t="s">
        <v>19</v>
      </c>
      <c r="F817" s="1261"/>
      <c r="G817" s="1263"/>
      <c r="H817" s="169" t="s">
        <v>12</v>
      </c>
      <c r="I817" s="947"/>
      <c r="J817" s="947"/>
      <c r="K817" s="948"/>
      <c r="L817" s="837">
        <v>0</v>
      </c>
      <c r="M817" s="837">
        <v>0</v>
      </c>
      <c r="N817" s="837">
        <v>0</v>
      </c>
      <c r="O817" s="837">
        <f t="shared" si="334"/>
        <v>0</v>
      </c>
      <c r="P817" s="837">
        <f t="shared" si="335"/>
        <v>0</v>
      </c>
      <c r="Q817" s="1264"/>
      <c r="R817" s="1264"/>
      <c r="S817" s="1264"/>
      <c r="T817" s="1264"/>
      <c r="U817" s="1264"/>
      <c r="V817" s="1264"/>
      <c r="W817" s="1264"/>
      <c r="X817" s="1264"/>
      <c r="Y817" s="1264"/>
      <c r="Z817" s="1264"/>
    </row>
    <row r="818" spans="1:26" ht="19.5" hidden="1">
      <c r="A818" s="1273"/>
      <c r="B818" s="1274"/>
      <c r="C818" s="1261" t="s">
        <v>16</v>
      </c>
      <c r="D818" s="1420" t="s">
        <v>38</v>
      </c>
      <c r="E818" s="1296"/>
      <c r="F818" s="1296"/>
      <c r="G818" s="1297"/>
      <c r="H818" s="1060"/>
      <c r="I818" s="947"/>
      <c r="J818" s="947"/>
      <c r="K818" s="948"/>
      <c r="L818" s="948"/>
      <c r="M818" s="948"/>
      <c r="N818" s="948"/>
      <c r="O818" s="948"/>
      <c r="P818" s="948"/>
      <c r="Q818" s="1264"/>
      <c r="R818" s="1264"/>
      <c r="S818" s="1264"/>
      <c r="T818" s="1264"/>
      <c r="U818" s="1264"/>
      <c r="V818" s="1264"/>
      <c r="W818" s="1264"/>
      <c r="X818" s="1264"/>
      <c r="Y818" s="1264"/>
      <c r="Z818" s="1264"/>
    </row>
    <row r="819" spans="1:26" ht="19.5" hidden="1" thickBot="1">
      <c r="A819" s="1421"/>
      <c r="B819" s="1422"/>
      <c r="C819" s="1423"/>
      <c r="D819" s="1422"/>
      <c r="E819" s="1423" t="s">
        <v>323</v>
      </c>
      <c r="F819" s="1423"/>
      <c r="G819" s="1424"/>
      <c r="H819" s="792" t="s">
        <v>46</v>
      </c>
      <c r="I819" s="1425"/>
      <c r="J819" s="1425"/>
      <c r="K819" s="1426"/>
      <c r="L819" s="1426"/>
      <c r="M819" s="1426"/>
      <c r="N819" s="1426"/>
      <c r="O819" s="1426"/>
      <c r="P819" s="1426"/>
      <c r="Q819" s="1264"/>
      <c r="R819" s="1264"/>
      <c r="S819" s="1264"/>
      <c r="T819" s="1264"/>
      <c r="U819" s="1264"/>
      <c r="V819" s="1264"/>
      <c r="W819" s="1264"/>
      <c r="X819" s="1264"/>
      <c r="Y819" s="1264"/>
      <c r="Z819" s="1264"/>
    </row>
    <row r="820" spans="1:26" ht="19.5">
      <c r="A820" s="1427" t="s">
        <v>333</v>
      </c>
      <c r="B820" s="1428"/>
      <c r="C820" s="1428"/>
      <c r="D820" s="1429"/>
      <c r="E820" s="1428"/>
      <c r="F820" s="1428"/>
      <c r="G820" s="1430"/>
      <c r="H820" s="143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32"/>
      <c r="J820" s="1432"/>
      <c r="K820" s="1433"/>
      <c r="L820" s="1433"/>
      <c r="M820" s="1433"/>
      <c r="N820" s="1433"/>
      <c r="O820" s="1433"/>
      <c r="P820" s="1433"/>
      <c r="Q820" s="1244"/>
      <c r="R820" s="1244"/>
      <c r="S820" s="1244"/>
      <c r="T820" s="1244"/>
      <c r="U820" s="1244"/>
      <c r="V820" s="1244"/>
      <c r="W820" s="1244"/>
      <c r="X820" s="1244"/>
      <c r="Y820" s="1244"/>
      <c r="Z820" s="1244"/>
    </row>
    <row r="821" spans="1:26" ht="18.75">
      <c r="A821" s="1368"/>
      <c r="B821" s="1243" t="s">
        <v>325</v>
      </c>
      <c r="C821" s="1243"/>
      <c r="D821" s="1242"/>
      <c r="E821" s="1243"/>
      <c r="F821" s="1243"/>
      <c r="G821" s="963"/>
      <c r="H821" s="590" t="s">
        <v>12</v>
      </c>
      <c r="I821" s="830">
        <f ca="1">IFERROR(__xludf.DUMMYFUNCTION("IMPORTRANGE(""https://docs.google.com/spreadsheets/d/19vJNZY_5yjcGF2XGBMNZRCAIB0Kwfpjp8YEOfu-bneM/edit?usp=sharing"",""งานกองทุน!D22"")"),3983214.83)</f>
        <v>3983214.83</v>
      </c>
      <c r="J821" s="830">
        <f ca="1">IFERROR(__xludf.DUMMYFUNCTION("IMPORTRANGE(""https://docs.google.com/spreadsheets/d/19vJNZY_5yjcGF2XGBMNZRCAIB0Kwfpjp8YEOfu-bneM/edit?usp=sharing"",""งานกองทุน!F22"")"),1682412.26)</f>
        <v>1682412.26</v>
      </c>
      <c r="K821" s="831">
        <f t="shared" ref="K821:K828" ca="1" si="336">IF(I821&gt;0,J821*100/I821,0)</f>
        <v>42.237547604230024</v>
      </c>
      <c r="L821" s="831"/>
      <c r="M821" s="831"/>
      <c r="N821" s="831"/>
      <c r="O821" s="831"/>
      <c r="P821" s="831"/>
      <c r="Q821" s="1244"/>
      <c r="R821" s="1244"/>
      <c r="S821" s="1244"/>
      <c r="T821" s="1244"/>
      <c r="U821" s="1244"/>
      <c r="V821" s="1244"/>
      <c r="W821" s="1244"/>
      <c r="X821" s="1244"/>
      <c r="Y821" s="1244"/>
      <c r="Z821" s="1244"/>
    </row>
    <row r="822" spans="1:26" ht="18.75">
      <c r="A822" s="1368"/>
      <c r="B822" s="1243"/>
      <c r="C822" s="1243"/>
      <c r="D822" s="1242"/>
      <c r="E822" s="1243"/>
      <c r="F822" s="1243"/>
      <c r="G822" s="963"/>
      <c r="H822" s="590" t="s">
        <v>35</v>
      </c>
      <c r="I822" s="830">
        <f ca="1">IFERROR(__xludf.DUMMYFUNCTION("IMPORTRANGE(""https://docs.google.com/spreadsheets/d/19vJNZY_5yjcGF2XGBMNZRCAIB0Kwfpjp8YEOfu-bneM/edit?usp=sharing"",""งานกองทุน!C22"")"),308)</f>
        <v>308</v>
      </c>
      <c r="J822" s="830">
        <f ca="1">IFERROR(__xludf.DUMMYFUNCTION("IMPORTRANGE(""https://docs.google.com/spreadsheets/d/19vJNZY_5yjcGF2XGBMNZRCAIB0Kwfpjp8YEOfu-bneM/edit?usp=sharing"",""งานกองทุน!E22"")"),117)</f>
        <v>117</v>
      </c>
      <c r="K822" s="831">
        <f t="shared" ca="1" si="336"/>
        <v>37.987012987012989</v>
      </c>
      <c r="L822" s="831"/>
      <c r="M822" s="831"/>
      <c r="N822" s="831"/>
      <c r="O822" s="831"/>
      <c r="P822" s="831"/>
      <c r="Q822" s="1244"/>
      <c r="R822" s="1244"/>
      <c r="S822" s="1244"/>
      <c r="T822" s="1244"/>
      <c r="U822" s="1244"/>
      <c r="V822" s="1244"/>
      <c r="W822" s="1244"/>
      <c r="X822" s="1244"/>
      <c r="Y822" s="1244"/>
      <c r="Z822" s="1244"/>
    </row>
    <row r="823" spans="1:26" ht="18.75">
      <c r="A823" s="1368"/>
      <c r="B823" s="1243" t="s">
        <v>326</v>
      </c>
      <c r="C823" s="1243"/>
      <c r="D823" s="1242"/>
      <c r="E823" s="1243"/>
      <c r="F823" s="1243"/>
      <c r="G823" s="963"/>
      <c r="H823" s="590" t="s">
        <v>12</v>
      </c>
      <c r="I823" s="830">
        <f ca="1">IFERROR(__xludf.DUMMYFUNCTION("IMPORTRANGE(""https://docs.google.com/spreadsheets/d/19vJNZY_5yjcGF2XGBMNZRCAIB0Kwfpjp8YEOfu-bneM/edit?usp=sharing"",""งานกองทุน!I22"")"),2514470.56)</f>
        <v>2514470.56</v>
      </c>
      <c r="J823" s="830">
        <f ca="1">IFERROR(__xludf.DUMMYFUNCTION("IMPORTRANGE(""https://docs.google.com/spreadsheets/d/19vJNZY_5yjcGF2XGBMNZRCAIB0Kwfpjp8YEOfu-bneM/edit?usp=sharing"",""งานกองทุน!K22"")"),202124.27)</f>
        <v>202124.27</v>
      </c>
      <c r="K823" s="831">
        <f t="shared" ca="1" si="336"/>
        <v>8.0384424942322656</v>
      </c>
      <c r="L823" s="831"/>
      <c r="M823" s="831"/>
      <c r="N823" s="831"/>
      <c r="O823" s="831"/>
      <c r="P823" s="831"/>
      <c r="Q823" s="1244"/>
      <c r="R823" s="1244"/>
      <c r="S823" s="1244"/>
      <c r="T823" s="1244"/>
      <c r="U823" s="1244"/>
      <c r="V823" s="1244"/>
      <c r="W823" s="1244"/>
      <c r="X823" s="1244"/>
      <c r="Y823" s="1244"/>
      <c r="Z823" s="1244"/>
    </row>
    <row r="824" spans="1:26" ht="18.75">
      <c r="A824" s="1368"/>
      <c r="B824" s="1243"/>
      <c r="C824" s="1243"/>
      <c r="D824" s="1242"/>
      <c r="E824" s="1243"/>
      <c r="F824" s="1243"/>
      <c r="G824" s="963"/>
      <c r="H824" s="590" t="s">
        <v>35</v>
      </c>
      <c r="I824" s="830">
        <f ca="1">IFERROR(__xludf.DUMMYFUNCTION("IMPORTRANGE(""https://docs.google.com/spreadsheets/d/19vJNZY_5yjcGF2XGBMNZRCAIB0Kwfpjp8YEOfu-bneM/edit?usp=sharing"",""งานกองทุน!H22"")"),91)</f>
        <v>91</v>
      </c>
      <c r="J824" s="830">
        <f ca="1">IFERROR(__xludf.DUMMYFUNCTION("IMPORTRANGE(""https://docs.google.com/spreadsheets/d/19vJNZY_5yjcGF2XGBMNZRCAIB0Kwfpjp8YEOfu-bneM/edit?usp=sharing"",""งานกองทุน!J22"")"),58)</f>
        <v>58</v>
      </c>
      <c r="K824" s="831">
        <f t="shared" ca="1" si="336"/>
        <v>63.736263736263737</v>
      </c>
      <c r="L824" s="831"/>
      <c r="M824" s="831"/>
      <c r="N824" s="831"/>
      <c r="O824" s="831"/>
      <c r="P824" s="831"/>
      <c r="Q824" s="1244"/>
      <c r="R824" s="1244"/>
      <c r="S824" s="1244"/>
      <c r="T824" s="1244"/>
      <c r="U824" s="1244"/>
      <c r="V824" s="1244"/>
      <c r="W824" s="1244"/>
      <c r="X824" s="1244"/>
      <c r="Y824" s="1244"/>
      <c r="Z824" s="1244"/>
    </row>
    <row r="825" spans="1:26" ht="18.75">
      <c r="A825" s="1368"/>
      <c r="B825" s="1243" t="s">
        <v>327</v>
      </c>
      <c r="C825" s="1243"/>
      <c r="D825" s="1242"/>
      <c r="E825" s="1243"/>
      <c r="F825" s="1243"/>
      <c r="G825" s="963"/>
      <c r="H825" s="590" t="s">
        <v>12</v>
      </c>
      <c r="I825" s="830">
        <f ca="1">IFERROR(__xludf.DUMMYFUNCTION("IMPORTRANGE(""https://docs.google.com/spreadsheets/d/19vJNZY_5yjcGF2XGBMNZRCAIB0Kwfpjp8YEOfu-bneM/edit?usp=sharing"",""งานกองทุน!N22"")"),0)</f>
        <v>0</v>
      </c>
      <c r="J825" s="830">
        <f ca="1">IFERROR(__xludf.DUMMYFUNCTION("IMPORTRANGE(""https://docs.google.com/spreadsheets/d/19vJNZY_5yjcGF2XGBMNZRCAIB0Kwfpjp8YEOfu-bneM/edit?usp=sharing"",""งานกองทุน!P22"")"),0)</f>
        <v>0</v>
      </c>
      <c r="K825" s="831">
        <f t="shared" ca="1" si="336"/>
        <v>0</v>
      </c>
      <c r="L825" s="831"/>
      <c r="M825" s="831"/>
      <c r="N825" s="831"/>
      <c r="O825" s="831"/>
      <c r="P825" s="831"/>
      <c r="Q825" s="1244"/>
      <c r="R825" s="1244"/>
      <c r="S825" s="1244"/>
      <c r="T825" s="1244"/>
      <c r="U825" s="1244"/>
      <c r="V825" s="1244"/>
      <c r="W825" s="1244"/>
      <c r="X825" s="1244"/>
      <c r="Y825" s="1244"/>
      <c r="Z825" s="1244"/>
    </row>
    <row r="826" spans="1:26" ht="18.75">
      <c r="A826" s="1368"/>
      <c r="B826" s="1243"/>
      <c r="C826" s="1243"/>
      <c r="D826" s="1242"/>
      <c r="E826" s="1243"/>
      <c r="F826" s="1243"/>
      <c r="G826" s="963"/>
      <c r="H826" s="590" t="s">
        <v>35</v>
      </c>
      <c r="I826" s="830">
        <f ca="1">IFERROR(__xludf.DUMMYFUNCTION("IMPORTRANGE(""https://docs.google.com/spreadsheets/d/19vJNZY_5yjcGF2XGBMNZRCAIB0Kwfpjp8YEOfu-bneM/edit?usp=sharing"",""งานกองทุน!M22"")"),0)</f>
        <v>0</v>
      </c>
      <c r="J826" s="830">
        <f ca="1">IFERROR(__xludf.DUMMYFUNCTION("IMPORTRANGE(""https://docs.google.com/spreadsheets/d/19vJNZY_5yjcGF2XGBMNZRCAIB0Kwfpjp8YEOfu-bneM/edit?usp=sharing"",""งานกองทุน!O22"")"),0)</f>
        <v>0</v>
      </c>
      <c r="K826" s="831">
        <f t="shared" ca="1" si="336"/>
        <v>0</v>
      </c>
      <c r="L826" s="831"/>
      <c r="M826" s="831"/>
      <c r="N826" s="831"/>
      <c r="O826" s="831"/>
      <c r="P826" s="831"/>
      <c r="Q826" s="1244"/>
      <c r="R826" s="1244"/>
      <c r="S826" s="1244"/>
      <c r="T826" s="1244"/>
      <c r="U826" s="1244"/>
      <c r="V826" s="1244"/>
      <c r="W826" s="1244"/>
      <c r="X826" s="1244"/>
      <c r="Y826" s="1244"/>
      <c r="Z826" s="1244"/>
    </row>
    <row r="827" spans="1:26" ht="18.75">
      <c r="A827" s="1368"/>
      <c r="B827" s="1243" t="s">
        <v>328</v>
      </c>
      <c r="C827" s="1243"/>
      <c r="D827" s="1242"/>
      <c r="E827" s="1243"/>
      <c r="F827" s="1243"/>
      <c r="G827" s="963"/>
      <c r="H827" s="590" t="s">
        <v>12</v>
      </c>
      <c r="I827" s="830">
        <f ca="1">IFERROR(__xludf.DUMMYFUNCTION("IMPORTRANGE(""https://docs.google.com/spreadsheets/d/19vJNZY_5yjcGF2XGBMNZRCAIB0Kwfpjp8YEOfu-bneM/edit?usp=sharing"",""งานกองทุน!S22"")"),4350000)</f>
        <v>4350000</v>
      </c>
      <c r="J827" s="830">
        <f ca="1">IFERROR(__xludf.DUMMYFUNCTION("IMPORTRANGE(""https://docs.google.com/spreadsheets/d/19vJNZY_5yjcGF2XGBMNZRCAIB0Kwfpjp8YEOfu-bneM/edit?usp=sharing"",""งานกองทุน!U22"")"),790000)</f>
        <v>790000</v>
      </c>
      <c r="K827" s="831">
        <f t="shared" ca="1" si="336"/>
        <v>18.160919540229884</v>
      </c>
      <c r="L827" s="831"/>
      <c r="M827" s="831"/>
      <c r="N827" s="831"/>
      <c r="O827" s="831"/>
      <c r="P827" s="831"/>
      <c r="Q827" s="1244"/>
      <c r="R827" s="1244"/>
      <c r="S827" s="1244"/>
      <c r="T827" s="1244"/>
      <c r="U827" s="1244"/>
      <c r="V827" s="1244"/>
      <c r="W827" s="1244"/>
      <c r="X827" s="1244"/>
      <c r="Y827" s="1244"/>
      <c r="Z827" s="1244"/>
    </row>
    <row r="828" spans="1:26" ht="18.75">
      <c r="A828" s="1369"/>
      <c r="B828" s="1371"/>
      <c r="C828" s="1371"/>
      <c r="D828" s="1370"/>
      <c r="E828" s="1371"/>
      <c r="F828" s="1371"/>
      <c r="G828" s="1434"/>
      <c r="H828" s="802" t="s">
        <v>35</v>
      </c>
      <c r="I828" s="1085">
        <f ca="1">IFERROR(__xludf.DUMMYFUNCTION("IMPORTRANGE(""https://docs.google.com/spreadsheets/d/19vJNZY_5yjcGF2XGBMNZRCAIB0Kwfpjp8YEOfu-bneM/edit?usp=sharing"",""งานกองทุน!R22"")"),174)</f>
        <v>174</v>
      </c>
      <c r="J828" s="1085">
        <f ca="1">IFERROR(__xludf.DUMMYFUNCTION("IMPORTRANGE(""https://docs.google.com/spreadsheets/d/19vJNZY_5yjcGF2XGBMNZRCAIB0Kwfpjp8YEOfu-bneM/edit?usp=sharing"",""งานกองทุน!T22"")"),22)</f>
        <v>22</v>
      </c>
      <c r="K828" s="1182">
        <f t="shared" ca="1" si="336"/>
        <v>12.64367816091954</v>
      </c>
      <c r="L828" s="1182"/>
      <c r="M828" s="1182"/>
      <c r="N828" s="1182"/>
      <c r="O828" s="1182"/>
      <c r="P828" s="1182"/>
      <c r="Q828" s="1244"/>
      <c r="R828" s="1244"/>
      <c r="S828" s="1244"/>
      <c r="T828" s="1244"/>
      <c r="U828" s="1244"/>
      <c r="V828" s="1244"/>
      <c r="W828" s="1244"/>
      <c r="X828" s="1244"/>
      <c r="Y828" s="1244"/>
      <c r="Z828" s="124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CB779-0A7F-4438-A865-A69CDE2D48F0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Q24" sqref="Q24"/>
      <selection pane="bottomLeft" activeCell="A2" sqref="A2:P2"/>
    </sheetView>
  </sheetViews>
  <sheetFormatPr defaultColWidth="12.5703125" defaultRowHeight="15.75" customHeight="1"/>
  <cols>
    <col min="1" max="3" width="3.28515625" style="803" customWidth="1"/>
    <col min="4" max="6" width="5.85546875" style="803" customWidth="1"/>
    <col min="7" max="7" width="56.42578125" style="803" customWidth="1"/>
    <col min="8" max="8" width="9.42578125" style="803" customWidth="1"/>
    <col min="9" max="9" width="18.7109375" style="803" bestFit="1" customWidth="1"/>
    <col min="10" max="10" width="16.85546875" style="803" bestFit="1" customWidth="1"/>
    <col min="11" max="11" width="12.5703125" style="803" bestFit="1" customWidth="1"/>
    <col min="12" max="14" width="21.28515625" style="803" bestFit="1" customWidth="1"/>
    <col min="15" max="15" width="20.140625" style="803" bestFit="1" customWidth="1"/>
    <col min="16" max="16" width="22" style="803" bestFit="1" customWidth="1"/>
    <col min="17" max="16384" width="12.5703125" style="803"/>
  </cols>
  <sheetData>
    <row r="1" spans="1:26" ht="19.5">
      <c r="A1" s="1498" t="s">
        <v>0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</row>
    <row r="2" spans="1:26" ht="19.5">
      <c r="A2" s="1498" t="s">
        <v>346</v>
      </c>
      <c r="B2" s="1516"/>
      <c r="C2" s="1516"/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  <c r="O2" s="1516"/>
      <c r="P2" s="1516"/>
    </row>
    <row r="3" spans="1:26" ht="19.5">
      <c r="A3" s="1498" t="s">
        <v>329</v>
      </c>
      <c r="B3" s="1516"/>
      <c r="C3" s="1516"/>
      <c r="D3" s="1516"/>
      <c r="E3" s="1516"/>
      <c r="F3" s="1516"/>
      <c r="G3" s="1516"/>
      <c r="H3" s="1516"/>
      <c r="I3" s="1516"/>
      <c r="J3" s="1516"/>
      <c r="K3" s="1516"/>
      <c r="L3" s="1516"/>
      <c r="M3" s="1516"/>
      <c r="N3" s="1516"/>
      <c r="O3" s="1516"/>
      <c r="P3" s="1516"/>
    </row>
    <row r="4" spans="1:26" ht="12.75">
      <c r="A4" s="804"/>
      <c r="B4" s="804"/>
      <c r="C4" s="804"/>
      <c r="D4" s="804"/>
      <c r="E4" s="804"/>
      <c r="F4" s="804"/>
      <c r="G4" s="804"/>
      <c r="H4" s="804"/>
      <c r="I4" s="804"/>
      <c r="J4" s="805"/>
      <c r="K4" s="806"/>
      <c r="L4" s="805"/>
      <c r="M4" s="805"/>
      <c r="N4" s="805"/>
      <c r="O4" s="804"/>
      <c r="P4" s="804"/>
    </row>
    <row r="5" spans="1:26" ht="19.5">
      <c r="A5" s="1504" t="s">
        <v>2</v>
      </c>
      <c r="B5" s="1516"/>
      <c r="C5" s="1516"/>
      <c r="D5" s="1516"/>
      <c r="E5" s="1516"/>
      <c r="F5" s="1516"/>
      <c r="G5" s="1505"/>
      <c r="H5" s="1500" t="s">
        <v>3</v>
      </c>
      <c r="I5" s="1501" t="s">
        <v>4</v>
      </c>
      <c r="J5" s="1494"/>
      <c r="K5" s="1495"/>
      <c r="L5" s="1502" t="s">
        <v>5</v>
      </c>
      <c r="M5" s="1495"/>
      <c r="N5" s="1503" t="s">
        <v>6</v>
      </c>
      <c r="O5" s="1494"/>
      <c r="P5" s="1495"/>
    </row>
    <row r="6" spans="1:26" ht="19.5">
      <c r="A6" s="1506"/>
      <c r="B6" s="1494"/>
      <c r="C6" s="1494"/>
      <c r="D6" s="1494"/>
      <c r="E6" s="1494"/>
      <c r="F6" s="1494"/>
      <c r="G6" s="1495"/>
      <c r="H6" s="14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12" t="s">
        <v>15</v>
      </c>
      <c r="B7" s="1494"/>
      <c r="C7" s="1494"/>
      <c r="D7" s="1494"/>
      <c r="E7" s="1494"/>
      <c r="F7" s="1494"/>
      <c r="G7" s="1495"/>
      <c r="H7" s="807"/>
      <c r="I7" s="808"/>
      <c r="J7" s="808"/>
      <c r="K7" s="809"/>
      <c r="L7" s="809"/>
      <c r="M7" s="809"/>
      <c r="N7" s="809"/>
      <c r="O7" s="809"/>
      <c r="P7" s="809"/>
    </row>
    <row r="8" spans="1:26" ht="19.5">
      <c r="A8" s="810"/>
      <c r="B8" s="811"/>
      <c r="C8" s="812" t="s">
        <v>16</v>
      </c>
      <c r="D8" s="813" t="s">
        <v>17</v>
      </c>
      <c r="E8" s="811"/>
      <c r="F8" s="811"/>
      <c r="G8" s="814"/>
      <c r="H8" s="19" t="s">
        <v>12</v>
      </c>
      <c r="I8" s="815"/>
      <c r="J8" s="815"/>
      <c r="K8" s="816"/>
      <c r="L8" s="817">
        <f t="shared" ref="L8:N8" ca="1" si="0">L9+L10</f>
        <v>7690187</v>
      </c>
      <c r="M8" s="817">
        <f t="shared" ca="1" si="0"/>
        <v>4069418</v>
      </c>
      <c r="N8" s="817">
        <f t="shared" ca="1" si="0"/>
        <v>3354124.6799999997</v>
      </c>
      <c r="O8" s="817">
        <f t="shared" ref="O8:O16" ca="1" si="1">IF(L8&gt;0,N8*100/L8,0)</f>
        <v>43.615645237235455</v>
      </c>
      <c r="P8" s="817">
        <f t="shared" ref="P8:P16" ca="1" si="2">IF(M8&gt;0,N8*100/M8,0)</f>
        <v>82.422712043835261</v>
      </c>
      <c r="Q8" s="818"/>
      <c r="R8" s="818"/>
      <c r="S8" s="818"/>
      <c r="T8" s="818"/>
      <c r="U8" s="818"/>
      <c r="V8" s="818"/>
      <c r="W8" s="818"/>
      <c r="X8" s="818"/>
      <c r="Y8" s="818"/>
      <c r="Z8" s="818"/>
    </row>
    <row r="9" spans="1:26" ht="18.75" hidden="1">
      <c r="A9" s="819"/>
      <c r="B9" s="820"/>
      <c r="C9" s="820"/>
      <c r="D9" s="820"/>
      <c r="E9" s="821" t="s">
        <v>18</v>
      </c>
      <c r="F9" s="820"/>
      <c r="G9" s="822"/>
      <c r="H9" s="28" t="s">
        <v>12</v>
      </c>
      <c r="I9" s="823"/>
      <c r="J9" s="823"/>
      <c r="K9" s="824"/>
      <c r="L9" s="824">
        <f t="shared" ref="L9:N10" si="3">L12+L15</f>
        <v>0</v>
      </c>
      <c r="M9" s="824">
        <f t="shared" si="3"/>
        <v>0</v>
      </c>
      <c r="N9" s="824">
        <f t="shared" si="3"/>
        <v>0</v>
      </c>
      <c r="O9" s="824">
        <f t="shared" si="1"/>
        <v>0</v>
      </c>
      <c r="P9" s="824">
        <f t="shared" si="2"/>
        <v>0</v>
      </c>
      <c r="Q9" s="825"/>
      <c r="R9" s="825"/>
      <c r="S9" s="825"/>
      <c r="T9" s="825"/>
      <c r="U9" s="825"/>
      <c r="V9" s="825"/>
      <c r="W9" s="825"/>
      <c r="X9" s="825"/>
      <c r="Y9" s="825"/>
      <c r="Z9" s="825"/>
    </row>
    <row r="10" spans="1:26" ht="18.75" hidden="1">
      <c r="A10" s="819"/>
      <c r="B10" s="820"/>
      <c r="C10" s="820"/>
      <c r="D10" s="820"/>
      <c r="E10" s="821" t="s">
        <v>19</v>
      </c>
      <c r="F10" s="820"/>
      <c r="G10" s="822"/>
      <c r="H10" s="28" t="s">
        <v>12</v>
      </c>
      <c r="I10" s="823"/>
      <c r="J10" s="823"/>
      <c r="K10" s="824"/>
      <c r="L10" s="824">
        <f t="shared" ca="1" si="3"/>
        <v>7690187</v>
      </c>
      <c r="M10" s="824">
        <f t="shared" ca="1" si="3"/>
        <v>4069418</v>
      </c>
      <c r="N10" s="824">
        <f t="shared" ca="1" si="3"/>
        <v>3354124.6799999997</v>
      </c>
      <c r="O10" s="824">
        <f t="shared" ca="1" si="1"/>
        <v>43.615645237235455</v>
      </c>
      <c r="P10" s="824">
        <f t="shared" ca="1" si="2"/>
        <v>82.422712043835261</v>
      </c>
      <c r="Q10" s="825"/>
      <c r="R10" s="825"/>
      <c r="S10" s="825"/>
      <c r="T10" s="825"/>
      <c r="U10" s="825"/>
      <c r="V10" s="825"/>
      <c r="W10" s="825"/>
      <c r="X10" s="825"/>
      <c r="Y10" s="825"/>
      <c r="Z10" s="825"/>
    </row>
    <row r="11" spans="1:26" ht="18.75">
      <c r="A11" s="826"/>
      <c r="B11" s="827"/>
      <c r="C11" s="827"/>
      <c r="D11" s="828" t="s">
        <v>20</v>
      </c>
      <c r="E11" s="827"/>
      <c r="F11" s="827"/>
      <c r="G11" s="829"/>
      <c r="H11" s="590" t="s">
        <v>12</v>
      </c>
      <c r="I11" s="830"/>
      <c r="J11" s="830"/>
      <c r="K11" s="831"/>
      <c r="L11" s="831">
        <f t="shared" ref="L11:N11" ca="1" si="4">L12+L13</f>
        <v>6963287</v>
      </c>
      <c r="M11" s="831">
        <f t="shared" ca="1" si="4"/>
        <v>3346018</v>
      </c>
      <c r="N11" s="831">
        <f t="shared" ca="1" si="4"/>
        <v>2630724.6799999997</v>
      </c>
      <c r="O11" s="831">
        <f t="shared" ca="1" si="1"/>
        <v>37.779926060781349</v>
      </c>
      <c r="P11" s="831">
        <f t="shared" ca="1" si="2"/>
        <v>78.622550147668051</v>
      </c>
      <c r="Q11" s="818"/>
      <c r="R11" s="818"/>
      <c r="S11" s="818"/>
      <c r="T11" s="818"/>
      <c r="U11" s="818"/>
      <c r="V11" s="818"/>
      <c r="W11" s="818"/>
      <c r="X11" s="818"/>
      <c r="Y11" s="818"/>
      <c r="Z11" s="818"/>
    </row>
    <row r="12" spans="1:26" ht="18.75" hidden="1">
      <c r="A12" s="832"/>
      <c r="B12" s="833"/>
      <c r="C12" s="833"/>
      <c r="D12" s="833"/>
      <c r="E12" s="834" t="s">
        <v>18</v>
      </c>
      <c r="F12" s="833"/>
      <c r="G12" s="835"/>
      <c r="H12" s="43" t="s">
        <v>12</v>
      </c>
      <c r="I12" s="836"/>
      <c r="J12" s="836"/>
      <c r="K12" s="837"/>
      <c r="L12" s="837">
        <f t="shared" ref="L12:N13" si="5">L22+L32</f>
        <v>0</v>
      </c>
      <c r="M12" s="837">
        <f t="shared" si="5"/>
        <v>0</v>
      </c>
      <c r="N12" s="837">
        <f t="shared" si="5"/>
        <v>0</v>
      </c>
      <c r="O12" s="837">
        <f t="shared" si="1"/>
        <v>0</v>
      </c>
      <c r="P12" s="837">
        <f t="shared" si="2"/>
        <v>0</v>
      </c>
      <c r="Q12" s="825"/>
      <c r="R12" s="825"/>
      <c r="S12" s="825"/>
      <c r="T12" s="825"/>
      <c r="U12" s="825"/>
      <c r="V12" s="825"/>
      <c r="W12" s="825"/>
      <c r="X12" s="825"/>
      <c r="Y12" s="825"/>
      <c r="Z12" s="825"/>
    </row>
    <row r="13" spans="1:26" ht="18.75" hidden="1">
      <c r="A13" s="832"/>
      <c r="B13" s="833"/>
      <c r="C13" s="833"/>
      <c r="D13" s="833"/>
      <c r="E13" s="834" t="s">
        <v>19</v>
      </c>
      <c r="F13" s="833"/>
      <c r="G13" s="835"/>
      <c r="H13" s="43" t="s">
        <v>12</v>
      </c>
      <c r="I13" s="836"/>
      <c r="J13" s="836"/>
      <c r="K13" s="837"/>
      <c r="L13" s="837">
        <f t="shared" ca="1" si="5"/>
        <v>6963287</v>
      </c>
      <c r="M13" s="837">
        <f t="shared" ca="1" si="5"/>
        <v>3346018</v>
      </c>
      <c r="N13" s="837">
        <f t="shared" ca="1" si="5"/>
        <v>2630724.6799999997</v>
      </c>
      <c r="O13" s="837">
        <f t="shared" ca="1" si="1"/>
        <v>37.779926060781349</v>
      </c>
      <c r="P13" s="837">
        <f t="shared" ca="1" si="2"/>
        <v>78.622550147668051</v>
      </c>
      <c r="Q13" s="825"/>
      <c r="R13" s="825"/>
      <c r="S13" s="825"/>
      <c r="T13" s="825"/>
      <c r="U13" s="825"/>
      <c r="V13" s="825"/>
      <c r="W13" s="825"/>
      <c r="X13" s="825"/>
      <c r="Y13" s="825"/>
      <c r="Z13" s="825"/>
    </row>
    <row r="14" spans="1:26" ht="18.75">
      <c r="A14" s="826"/>
      <c r="B14" s="827"/>
      <c r="C14" s="827"/>
      <c r="D14" s="828" t="s">
        <v>21</v>
      </c>
      <c r="E14" s="827"/>
      <c r="F14" s="827"/>
      <c r="G14" s="829"/>
      <c r="H14" s="590" t="s">
        <v>12</v>
      </c>
      <c r="I14" s="830"/>
      <c r="J14" s="830"/>
      <c r="K14" s="831"/>
      <c r="L14" s="831">
        <f t="shared" ref="L14:N14" ca="1" si="6">L15+L16</f>
        <v>726900</v>
      </c>
      <c r="M14" s="831">
        <f t="shared" ca="1" si="6"/>
        <v>723400</v>
      </c>
      <c r="N14" s="831">
        <f t="shared" ca="1" si="6"/>
        <v>723400</v>
      </c>
      <c r="O14" s="831">
        <f t="shared" ca="1" si="1"/>
        <v>99.518503232906866</v>
      </c>
      <c r="P14" s="831">
        <f t="shared" ca="1" si="2"/>
        <v>100</v>
      </c>
      <c r="Q14" s="818"/>
      <c r="R14" s="818"/>
      <c r="S14" s="818"/>
      <c r="T14" s="818"/>
      <c r="U14" s="818"/>
      <c r="V14" s="818"/>
      <c r="W14" s="818"/>
      <c r="X14" s="818"/>
      <c r="Y14" s="818"/>
      <c r="Z14" s="818"/>
    </row>
    <row r="15" spans="1:26" ht="18.75" hidden="1">
      <c r="A15" s="832"/>
      <c r="B15" s="833"/>
      <c r="C15" s="833"/>
      <c r="D15" s="833"/>
      <c r="E15" s="834" t="s">
        <v>18</v>
      </c>
      <c r="F15" s="833"/>
      <c r="G15" s="835"/>
      <c r="H15" s="43" t="s">
        <v>12</v>
      </c>
      <c r="I15" s="836"/>
      <c r="J15" s="836"/>
      <c r="K15" s="837"/>
      <c r="L15" s="837">
        <f t="shared" ref="L15:N16" si="7">L25+L35</f>
        <v>0</v>
      </c>
      <c r="M15" s="837">
        <f t="shared" si="7"/>
        <v>0</v>
      </c>
      <c r="N15" s="837">
        <f t="shared" si="7"/>
        <v>0</v>
      </c>
      <c r="O15" s="837">
        <f t="shared" si="1"/>
        <v>0</v>
      </c>
      <c r="P15" s="837">
        <f t="shared" si="2"/>
        <v>0</v>
      </c>
      <c r="Q15" s="825"/>
      <c r="R15" s="825"/>
      <c r="S15" s="825"/>
      <c r="T15" s="825"/>
      <c r="U15" s="825"/>
      <c r="V15" s="825"/>
      <c r="W15" s="825"/>
      <c r="X15" s="825"/>
      <c r="Y15" s="825"/>
      <c r="Z15" s="825"/>
    </row>
    <row r="16" spans="1:26" ht="18.75" hidden="1">
      <c r="A16" s="838"/>
      <c r="B16" s="839"/>
      <c r="C16" s="839"/>
      <c r="D16" s="839"/>
      <c r="E16" s="840" t="s">
        <v>19</v>
      </c>
      <c r="F16" s="839"/>
      <c r="G16" s="841"/>
      <c r="H16" s="50" t="s">
        <v>12</v>
      </c>
      <c r="I16" s="842"/>
      <c r="J16" s="842"/>
      <c r="K16" s="843"/>
      <c r="L16" s="843">
        <f t="shared" ca="1" si="7"/>
        <v>726900</v>
      </c>
      <c r="M16" s="843">
        <f t="shared" ca="1" si="7"/>
        <v>723400</v>
      </c>
      <c r="N16" s="843">
        <f t="shared" ca="1" si="7"/>
        <v>723400</v>
      </c>
      <c r="O16" s="843">
        <f t="shared" ca="1" si="1"/>
        <v>99.518503232906866</v>
      </c>
      <c r="P16" s="843">
        <f t="shared" ca="1" si="2"/>
        <v>100</v>
      </c>
      <c r="Q16" s="825"/>
      <c r="R16" s="825"/>
      <c r="S16" s="825"/>
      <c r="T16" s="825"/>
      <c r="U16" s="825"/>
      <c r="V16" s="825"/>
      <c r="W16" s="825"/>
      <c r="X16" s="825"/>
      <c r="Y16" s="825"/>
      <c r="Z16" s="825"/>
    </row>
    <row r="17" spans="1:26" ht="19.5">
      <c r="A17" s="1512" t="s">
        <v>22</v>
      </c>
      <c r="B17" s="1494"/>
      <c r="C17" s="1494"/>
      <c r="D17" s="1494"/>
      <c r="E17" s="1494"/>
      <c r="F17" s="1494"/>
      <c r="G17" s="1495"/>
      <c r="H17" s="807"/>
      <c r="I17" s="808"/>
      <c r="J17" s="808"/>
      <c r="K17" s="809"/>
      <c r="L17" s="809"/>
      <c r="M17" s="809"/>
      <c r="N17" s="809"/>
      <c r="O17" s="809"/>
      <c r="P17" s="809"/>
    </row>
    <row r="18" spans="1:26" ht="19.5">
      <c r="A18" s="810"/>
      <c r="B18" s="811"/>
      <c r="C18" s="812" t="s">
        <v>16</v>
      </c>
      <c r="D18" s="813" t="s">
        <v>17</v>
      </c>
      <c r="E18" s="811"/>
      <c r="F18" s="811"/>
      <c r="G18" s="814"/>
      <c r="H18" s="19" t="s">
        <v>12</v>
      </c>
      <c r="I18" s="815"/>
      <c r="J18" s="815"/>
      <c r="K18" s="816"/>
      <c r="L18" s="817">
        <f t="shared" ref="L18:N18" ca="1" si="8">L19+L20</f>
        <v>4835024</v>
      </c>
      <c r="M18" s="817">
        <f t="shared" ca="1" si="8"/>
        <v>4069418</v>
      </c>
      <c r="N18" s="817">
        <f t="shared" ca="1" si="8"/>
        <v>2571131.6799999997</v>
      </c>
      <c r="O18" s="817">
        <f t="shared" ref="O18:O26" ca="1" si="9">IF(L18&gt;0,N18*100/L18,0)</f>
        <v>53.177226834861621</v>
      </c>
      <c r="P18" s="817">
        <f t="shared" ref="P18:P26" ca="1" si="10">IF(M18&gt;0,N18*100/M18,0)</f>
        <v>63.181803393015898</v>
      </c>
      <c r="Q18" s="818"/>
      <c r="R18" s="818"/>
      <c r="S18" s="818"/>
      <c r="T18" s="818"/>
      <c r="U18" s="818"/>
      <c r="V18" s="818"/>
      <c r="W18" s="818"/>
      <c r="X18" s="818"/>
      <c r="Y18" s="818"/>
      <c r="Z18" s="818"/>
    </row>
    <row r="19" spans="1:26" ht="18.75" hidden="1">
      <c r="A19" s="819"/>
      <c r="B19" s="820"/>
      <c r="C19" s="820"/>
      <c r="D19" s="820"/>
      <c r="E19" s="821" t="s">
        <v>18</v>
      </c>
      <c r="F19" s="820"/>
      <c r="G19" s="822"/>
      <c r="H19" s="28" t="s">
        <v>12</v>
      </c>
      <c r="I19" s="823"/>
      <c r="J19" s="823"/>
      <c r="K19" s="824"/>
      <c r="L19" s="824">
        <f t="shared" ref="L19:N20" si="11">L22+L25</f>
        <v>0</v>
      </c>
      <c r="M19" s="824">
        <f t="shared" si="11"/>
        <v>0</v>
      </c>
      <c r="N19" s="824">
        <f t="shared" si="11"/>
        <v>0</v>
      </c>
      <c r="O19" s="824">
        <f t="shared" si="9"/>
        <v>0</v>
      </c>
      <c r="P19" s="824">
        <f t="shared" si="10"/>
        <v>0</v>
      </c>
      <c r="Q19" s="825"/>
      <c r="R19" s="825"/>
      <c r="S19" s="825"/>
      <c r="T19" s="825"/>
      <c r="U19" s="825"/>
      <c r="V19" s="825"/>
      <c r="W19" s="825"/>
      <c r="X19" s="825"/>
      <c r="Y19" s="825"/>
      <c r="Z19" s="825"/>
    </row>
    <row r="20" spans="1:26" ht="18.75" hidden="1">
      <c r="A20" s="819"/>
      <c r="B20" s="820"/>
      <c r="C20" s="820"/>
      <c r="D20" s="820"/>
      <c r="E20" s="821" t="s">
        <v>19</v>
      </c>
      <c r="F20" s="820"/>
      <c r="G20" s="822"/>
      <c r="H20" s="28" t="s">
        <v>12</v>
      </c>
      <c r="I20" s="823"/>
      <c r="J20" s="823"/>
      <c r="K20" s="824"/>
      <c r="L20" s="824">
        <f t="shared" ca="1" si="11"/>
        <v>4835024</v>
      </c>
      <c r="M20" s="824">
        <f t="shared" ca="1" si="11"/>
        <v>4069418</v>
      </c>
      <c r="N20" s="824">
        <f t="shared" ca="1" si="11"/>
        <v>2571131.6799999997</v>
      </c>
      <c r="O20" s="824">
        <f t="shared" ca="1" si="9"/>
        <v>53.177226834861621</v>
      </c>
      <c r="P20" s="824">
        <f t="shared" ca="1" si="10"/>
        <v>63.181803393015898</v>
      </c>
      <c r="Q20" s="825"/>
      <c r="R20" s="825"/>
      <c r="S20" s="825"/>
      <c r="T20" s="825"/>
      <c r="U20" s="825"/>
      <c r="V20" s="825"/>
      <c r="W20" s="825"/>
      <c r="X20" s="825"/>
      <c r="Y20" s="825"/>
      <c r="Z20" s="825"/>
    </row>
    <row r="21" spans="1:26" ht="18.75">
      <c r="A21" s="826"/>
      <c r="B21" s="827"/>
      <c r="C21" s="827"/>
      <c r="D21" s="828" t="s">
        <v>20</v>
      </c>
      <c r="E21" s="827"/>
      <c r="F21" s="827"/>
      <c r="G21" s="829"/>
      <c r="H21" s="590" t="s">
        <v>12</v>
      </c>
      <c r="I21" s="830"/>
      <c r="J21" s="830"/>
      <c r="K21" s="831"/>
      <c r="L21" s="831">
        <f t="shared" ref="L21:N21" ca="1" si="12">L22+L23</f>
        <v>4108124</v>
      </c>
      <c r="M21" s="831">
        <f t="shared" ca="1" si="12"/>
        <v>3346018</v>
      </c>
      <c r="N21" s="831">
        <f t="shared" ca="1" si="12"/>
        <v>1847731.68</v>
      </c>
      <c r="O21" s="831">
        <f t="shared" ca="1" si="9"/>
        <v>44.977505060704104</v>
      </c>
      <c r="P21" s="831">
        <f t="shared" ca="1" si="10"/>
        <v>55.221809326787842</v>
      </c>
      <c r="Q21" s="818"/>
      <c r="R21" s="818"/>
      <c r="S21" s="818"/>
      <c r="T21" s="818"/>
      <c r="U21" s="818"/>
      <c r="V21" s="818"/>
      <c r="W21" s="818"/>
      <c r="X21" s="818"/>
      <c r="Y21" s="818"/>
      <c r="Z21" s="818"/>
    </row>
    <row r="22" spans="1:26" ht="18.75" hidden="1">
      <c r="A22" s="832"/>
      <c r="B22" s="833"/>
      <c r="C22" s="833"/>
      <c r="D22" s="833"/>
      <c r="E22" s="834" t="s">
        <v>18</v>
      </c>
      <c r="F22" s="833"/>
      <c r="G22" s="835"/>
      <c r="H22" s="43" t="s">
        <v>12</v>
      </c>
      <c r="I22" s="836"/>
      <c r="J22" s="836"/>
      <c r="K22" s="837"/>
      <c r="L22" s="837">
        <f t="shared" ref="L22:N23" si="13">L45+L57+L70+L92+L123+L136+L153+L185+L169+L265+L281+L302+L319+L332+L349+L393+L406</f>
        <v>0</v>
      </c>
      <c r="M22" s="837">
        <f t="shared" si="13"/>
        <v>0</v>
      </c>
      <c r="N22" s="837">
        <f t="shared" si="13"/>
        <v>0</v>
      </c>
      <c r="O22" s="837">
        <f t="shared" si="9"/>
        <v>0</v>
      </c>
      <c r="P22" s="837">
        <f t="shared" si="10"/>
        <v>0</v>
      </c>
      <c r="Q22" s="825"/>
      <c r="R22" s="825"/>
      <c r="S22" s="825"/>
      <c r="T22" s="825"/>
      <c r="U22" s="825"/>
      <c r="V22" s="825"/>
      <c r="W22" s="825"/>
      <c r="X22" s="825"/>
      <c r="Y22" s="825"/>
      <c r="Z22" s="825"/>
    </row>
    <row r="23" spans="1:26" ht="18.75" hidden="1">
      <c r="A23" s="832"/>
      <c r="B23" s="833"/>
      <c r="C23" s="833"/>
      <c r="D23" s="833"/>
      <c r="E23" s="834" t="s">
        <v>19</v>
      </c>
      <c r="F23" s="833"/>
      <c r="G23" s="835"/>
      <c r="H23" s="43" t="s">
        <v>12</v>
      </c>
      <c r="I23" s="836"/>
      <c r="J23" s="836"/>
      <c r="K23" s="837"/>
      <c r="L23" s="837">
        <f t="shared" ca="1" si="13"/>
        <v>4108124</v>
      </c>
      <c r="M23" s="837">
        <f t="shared" ca="1" si="13"/>
        <v>3346018</v>
      </c>
      <c r="N23" s="837">
        <f t="shared" ca="1" si="13"/>
        <v>1847731.68</v>
      </c>
      <c r="O23" s="837">
        <f t="shared" ca="1" si="9"/>
        <v>44.977505060704104</v>
      </c>
      <c r="P23" s="837">
        <f t="shared" ca="1" si="10"/>
        <v>55.221809326787842</v>
      </c>
      <c r="Q23" s="825"/>
      <c r="R23" s="825"/>
      <c r="S23" s="825"/>
      <c r="T23" s="825"/>
      <c r="U23" s="825"/>
      <c r="V23" s="825"/>
      <c r="W23" s="825"/>
      <c r="X23" s="825"/>
      <c r="Y23" s="825"/>
      <c r="Z23" s="825"/>
    </row>
    <row r="24" spans="1:26" ht="18.75">
      <c r="A24" s="826"/>
      <c r="B24" s="827"/>
      <c r="C24" s="827"/>
      <c r="D24" s="828" t="s">
        <v>21</v>
      </c>
      <c r="E24" s="827"/>
      <c r="F24" s="827"/>
      <c r="G24" s="829"/>
      <c r="H24" s="590" t="s">
        <v>12</v>
      </c>
      <c r="I24" s="830"/>
      <c r="J24" s="830"/>
      <c r="K24" s="831"/>
      <c r="L24" s="831">
        <f t="shared" ref="L24:N24" ca="1" si="14">L25+L26</f>
        <v>726900</v>
      </c>
      <c r="M24" s="831">
        <f t="shared" ca="1" si="14"/>
        <v>723400</v>
      </c>
      <c r="N24" s="831">
        <f t="shared" ca="1" si="14"/>
        <v>723400</v>
      </c>
      <c r="O24" s="831">
        <f t="shared" ca="1" si="9"/>
        <v>99.518503232906866</v>
      </c>
      <c r="P24" s="831">
        <f t="shared" ca="1" si="10"/>
        <v>100</v>
      </c>
      <c r="Q24" s="818"/>
      <c r="R24" s="818"/>
      <c r="S24" s="818"/>
      <c r="T24" s="818"/>
      <c r="U24" s="818"/>
      <c r="V24" s="818"/>
      <c r="W24" s="818"/>
      <c r="X24" s="818"/>
      <c r="Y24" s="818"/>
      <c r="Z24" s="818"/>
    </row>
    <row r="25" spans="1:26" ht="18.75" hidden="1">
      <c r="A25" s="832"/>
      <c r="B25" s="833"/>
      <c r="C25" s="833"/>
      <c r="D25" s="833"/>
      <c r="E25" s="834" t="s">
        <v>18</v>
      </c>
      <c r="F25" s="833"/>
      <c r="G25" s="835"/>
      <c r="H25" s="43" t="s">
        <v>12</v>
      </c>
      <c r="I25" s="836"/>
      <c r="J25" s="836"/>
      <c r="K25" s="837"/>
      <c r="L25" s="837">
        <f t="shared" ref="L25:N26" si="15">L48+L60+L73+L95+L126+L139+L156+L188+L172+L268+L284+L305+L322+L335+L352+L396+L409</f>
        <v>0</v>
      </c>
      <c r="M25" s="837">
        <f t="shared" si="15"/>
        <v>0</v>
      </c>
      <c r="N25" s="837">
        <f t="shared" si="15"/>
        <v>0</v>
      </c>
      <c r="O25" s="837">
        <f t="shared" si="9"/>
        <v>0</v>
      </c>
      <c r="P25" s="837">
        <f t="shared" si="10"/>
        <v>0</v>
      </c>
      <c r="Q25" s="825"/>
      <c r="R25" s="825"/>
      <c r="S25" s="825"/>
      <c r="T25" s="825"/>
      <c r="U25" s="825"/>
      <c r="V25" s="825"/>
      <c r="W25" s="825"/>
      <c r="X25" s="825"/>
      <c r="Y25" s="825"/>
      <c r="Z25" s="825"/>
    </row>
    <row r="26" spans="1:26" ht="18.75" hidden="1">
      <c r="A26" s="838"/>
      <c r="B26" s="839"/>
      <c r="C26" s="839"/>
      <c r="D26" s="839"/>
      <c r="E26" s="840" t="s">
        <v>19</v>
      </c>
      <c r="F26" s="839"/>
      <c r="G26" s="841"/>
      <c r="H26" s="50" t="s">
        <v>12</v>
      </c>
      <c r="I26" s="842"/>
      <c r="J26" s="842"/>
      <c r="K26" s="843"/>
      <c r="L26" s="843">
        <f t="shared" ca="1" si="15"/>
        <v>726900</v>
      </c>
      <c r="M26" s="843">
        <f t="shared" ca="1" si="15"/>
        <v>723400</v>
      </c>
      <c r="N26" s="843">
        <f t="shared" ca="1" si="15"/>
        <v>723400</v>
      </c>
      <c r="O26" s="843">
        <f t="shared" ca="1" si="9"/>
        <v>99.518503232906866</v>
      </c>
      <c r="P26" s="843">
        <f t="shared" ca="1" si="10"/>
        <v>100</v>
      </c>
      <c r="Q26" s="825"/>
      <c r="R26" s="825"/>
      <c r="S26" s="825"/>
      <c r="T26" s="825"/>
      <c r="U26" s="825"/>
      <c r="V26" s="825"/>
      <c r="W26" s="825"/>
      <c r="X26" s="825"/>
      <c r="Y26" s="825"/>
      <c r="Z26" s="825"/>
    </row>
    <row r="27" spans="1:26" ht="19.5">
      <c r="A27" s="1512" t="s">
        <v>23</v>
      </c>
      <c r="B27" s="1494"/>
      <c r="C27" s="1494"/>
      <c r="D27" s="1494"/>
      <c r="E27" s="1494"/>
      <c r="F27" s="1494"/>
      <c r="G27" s="1495"/>
      <c r="H27" s="807"/>
      <c r="I27" s="808"/>
      <c r="J27" s="808"/>
      <c r="K27" s="809"/>
      <c r="L27" s="809"/>
      <c r="M27" s="809"/>
      <c r="N27" s="809"/>
      <c r="O27" s="809"/>
      <c r="P27" s="809"/>
    </row>
    <row r="28" spans="1:26" ht="19.5">
      <c r="A28" s="810"/>
      <c r="B28" s="811"/>
      <c r="C28" s="812" t="s">
        <v>16</v>
      </c>
      <c r="D28" s="813" t="s">
        <v>17</v>
      </c>
      <c r="E28" s="811"/>
      <c r="F28" s="811"/>
      <c r="G28" s="814"/>
      <c r="H28" s="19" t="s">
        <v>12</v>
      </c>
      <c r="I28" s="815"/>
      <c r="J28" s="815"/>
      <c r="K28" s="816"/>
      <c r="L28" s="817">
        <f t="shared" ref="L28:N28" ca="1" si="16">L29+L30</f>
        <v>2855163</v>
      </c>
      <c r="M28" s="817">
        <f t="shared" si="16"/>
        <v>0</v>
      </c>
      <c r="N28" s="817">
        <f t="shared" si="16"/>
        <v>782993</v>
      </c>
      <c r="O28" s="817">
        <f t="shared" ref="O28:O37" ca="1" si="17">IF(L28&gt;0,N28*100/L28,0)</f>
        <v>27.423758293309348</v>
      </c>
      <c r="P28" s="817">
        <f t="shared" ref="P28:P37" si="18">IF(M28&gt;0,N28*100/M28,0)</f>
        <v>0</v>
      </c>
      <c r="Q28" s="818"/>
      <c r="R28" s="818"/>
      <c r="S28" s="818"/>
      <c r="T28" s="818"/>
      <c r="U28" s="818"/>
      <c r="V28" s="818"/>
      <c r="W28" s="818"/>
      <c r="X28" s="818"/>
      <c r="Y28" s="818"/>
      <c r="Z28" s="818"/>
    </row>
    <row r="29" spans="1:26" ht="18.75" hidden="1">
      <c r="A29" s="819"/>
      <c r="B29" s="820"/>
      <c r="C29" s="820"/>
      <c r="D29" s="820"/>
      <c r="E29" s="821" t="s">
        <v>18</v>
      </c>
      <c r="F29" s="820"/>
      <c r="G29" s="822"/>
      <c r="H29" s="28" t="s">
        <v>12</v>
      </c>
      <c r="I29" s="823"/>
      <c r="J29" s="823"/>
      <c r="K29" s="824"/>
      <c r="L29" s="824">
        <f t="shared" ref="L29:N30" si="19">L32+L35</f>
        <v>0</v>
      </c>
      <c r="M29" s="824">
        <f t="shared" si="19"/>
        <v>0</v>
      </c>
      <c r="N29" s="824">
        <f t="shared" si="19"/>
        <v>0</v>
      </c>
      <c r="O29" s="824">
        <f t="shared" si="17"/>
        <v>0</v>
      </c>
      <c r="P29" s="824">
        <f t="shared" si="18"/>
        <v>0</v>
      </c>
      <c r="Q29" s="825"/>
      <c r="R29" s="825"/>
      <c r="S29" s="825"/>
      <c r="T29" s="825"/>
      <c r="U29" s="825"/>
      <c r="V29" s="825"/>
      <c r="W29" s="825"/>
      <c r="X29" s="825"/>
      <c r="Y29" s="825"/>
      <c r="Z29" s="825"/>
    </row>
    <row r="30" spans="1:26" ht="18.75" hidden="1">
      <c r="A30" s="819"/>
      <c r="B30" s="820"/>
      <c r="C30" s="820"/>
      <c r="D30" s="820"/>
      <c r="E30" s="821" t="s">
        <v>19</v>
      </c>
      <c r="F30" s="820"/>
      <c r="G30" s="822"/>
      <c r="H30" s="28" t="s">
        <v>12</v>
      </c>
      <c r="I30" s="823"/>
      <c r="J30" s="823"/>
      <c r="K30" s="824"/>
      <c r="L30" s="824">
        <f t="shared" ca="1" si="19"/>
        <v>2855163</v>
      </c>
      <c r="M30" s="824">
        <f t="shared" si="19"/>
        <v>0</v>
      </c>
      <c r="N30" s="824">
        <f t="shared" si="19"/>
        <v>782993</v>
      </c>
      <c r="O30" s="824">
        <f t="shared" ca="1" si="17"/>
        <v>27.423758293309348</v>
      </c>
      <c r="P30" s="824">
        <f t="shared" si="18"/>
        <v>0</v>
      </c>
      <c r="Q30" s="825"/>
      <c r="R30" s="825"/>
      <c r="S30" s="825"/>
      <c r="T30" s="825"/>
      <c r="U30" s="825"/>
      <c r="V30" s="825"/>
      <c r="W30" s="825"/>
      <c r="X30" s="825"/>
      <c r="Y30" s="825"/>
      <c r="Z30" s="825"/>
    </row>
    <row r="31" spans="1:26" ht="18.75">
      <c r="A31" s="826"/>
      <c r="B31" s="827"/>
      <c r="C31" s="827"/>
      <c r="D31" s="828" t="s">
        <v>20</v>
      </c>
      <c r="E31" s="827"/>
      <c r="F31" s="827"/>
      <c r="G31" s="829"/>
      <c r="H31" s="590" t="s">
        <v>12</v>
      </c>
      <c r="I31" s="830"/>
      <c r="J31" s="830"/>
      <c r="K31" s="831"/>
      <c r="L31" s="831">
        <f t="shared" ref="L31:N31" ca="1" si="20">L32+L33</f>
        <v>2855163</v>
      </c>
      <c r="M31" s="831">
        <f t="shared" si="20"/>
        <v>0</v>
      </c>
      <c r="N31" s="831">
        <f t="shared" si="20"/>
        <v>782993</v>
      </c>
      <c r="O31" s="831">
        <f t="shared" ca="1" si="17"/>
        <v>27.423758293309348</v>
      </c>
      <c r="P31" s="831">
        <f t="shared" si="18"/>
        <v>0</v>
      </c>
      <c r="Q31" s="818"/>
      <c r="R31" s="818"/>
      <c r="S31" s="818"/>
      <c r="T31" s="818"/>
      <c r="U31" s="818"/>
      <c r="V31" s="818"/>
      <c r="W31" s="818"/>
      <c r="X31" s="818"/>
      <c r="Y31" s="818"/>
      <c r="Z31" s="818"/>
    </row>
    <row r="32" spans="1:26" ht="18.75" hidden="1">
      <c r="A32" s="832"/>
      <c r="B32" s="833"/>
      <c r="C32" s="833"/>
      <c r="D32" s="833"/>
      <c r="E32" s="834" t="s">
        <v>18</v>
      </c>
      <c r="F32" s="833"/>
      <c r="G32" s="835"/>
      <c r="H32" s="43" t="s">
        <v>12</v>
      </c>
      <c r="I32" s="836"/>
      <c r="J32" s="836"/>
      <c r="K32" s="837"/>
      <c r="L32" s="837">
        <f t="shared" ref="L32:N33" si="21">L423+L448+L471+L506+L527+L548+L633+L659+L689+L741+L758+L774+L790+L809</f>
        <v>0</v>
      </c>
      <c r="M32" s="837">
        <f t="shared" si="21"/>
        <v>0</v>
      </c>
      <c r="N32" s="837">
        <f t="shared" si="21"/>
        <v>0</v>
      </c>
      <c r="O32" s="837">
        <f t="shared" si="17"/>
        <v>0</v>
      </c>
      <c r="P32" s="837">
        <f t="shared" si="18"/>
        <v>0</v>
      </c>
      <c r="Q32" s="825"/>
      <c r="R32" s="825"/>
      <c r="S32" s="825"/>
      <c r="T32" s="825"/>
      <c r="U32" s="825"/>
      <c r="V32" s="825"/>
      <c r="W32" s="825"/>
      <c r="X32" s="825"/>
      <c r="Y32" s="825"/>
      <c r="Z32" s="825"/>
    </row>
    <row r="33" spans="1:26" ht="18.75" hidden="1">
      <c r="A33" s="832"/>
      <c r="B33" s="833"/>
      <c r="C33" s="833"/>
      <c r="D33" s="833"/>
      <c r="E33" s="834" t="s">
        <v>19</v>
      </c>
      <c r="F33" s="833"/>
      <c r="G33" s="835"/>
      <c r="H33" s="43" t="s">
        <v>12</v>
      </c>
      <c r="I33" s="836"/>
      <c r="J33" s="836"/>
      <c r="K33" s="837"/>
      <c r="L33" s="837">
        <f t="shared" ca="1" si="21"/>
        <v>2855163</v>
      </c>
      <c r="M33" s="837">
        <f t="shared" si="21"/>
        <v>0</v>
      </c>
      <c r="N33" s="837">
        <f t="shared" si="21"/>
        <v>782993</v>
      </c>
      <c r="O33" s="837">
        <f t="shared" ca="1" si="17"/>
        <v>27.423758293309348</v>
      </c>
      <c r="P33" s="837">
        <f t="shared" si="18"/>
        <v>0</v>
      </c>
      <c r="Q33" s="825"/>
      <c r="R33" s="825"/>
      <c r="S33" s="825"/>
      <c r="T33" s="825"/>
      <c r="U33" s="825"/>
      <c r="V33" s="825"/>
      <c r="W33" s="825"/>
      <c r="X33" s="825"/>
      <c r="Y33" s="825"/>
      <c r="Z33" s="825"/>
    </row>
    <row r="34" spans="1:26" ht="18.75">
      <c r="A34" s="826"/>
      <c r="B34" s="827"/>
      <c r="C34" s="827"/>
      <c r="D34" s="828" t="s">
        <v>21</v>
      </c>
      <c r="E34" s="827"/>
      <c r="F34" s="827"/>
      <c r="G34" s="829"/>
      <c r="H34" s="590" t="s">
        <v>12</v>
      </c>
      <c r="I34" s="830"/>
      <c r="J34" s="830"/>
      <c r="K34" s="831"/>
      <c r="L34" s="831">
        <f t="shared" ref="L34:N34" ca="1" si="22">L35+L36</f>
        <v>0</v>
      </c>
      <c r="M34" s="831">
        <f t="shared" si="22"/>
        <v>0</v>
      </c>
      <c r="N34" s="831">
        <f t="shared" si="22"/>
        <v>0</v>
      </c>
      <c r="O34" s="831">
        <f t="shared" ca="1" si="17"/>
        <v>0</v>
      </c>
      <c r="P34" s="831">
        <f t="shared" si="18"/>
        <v>0</v>
      </c>
      <c r="Q34" s="818"/>
      <c r="R34" s="818"/>
      <c r="S34" s="818"/>
      <c r="T34" s="818"/>
      <c r="U34" s="818"/>
      <c r="V34" s="818"/>
      <c r="W34" s="818"/>
      <c r="X34" s="818"/>
      <c r="Y34" s="818"/>
      <c r="Z34" s="818"/>
    </row>
    <row r="35" spans="1:26" ht="18.75" hidden="1">
      <c r="A35" s="832"/>
      <c r="B35" s="833"/>
      <c r="C35" s="833"/>
      <c r="D35" s="833"/>
      <c r="E35" s="834" t="s">
        <v>18</v>
      </c>
      <c r="F35" s="833"/>
      <c r="G35" s="835"/>
      <c r="H35" s="43" t="s">
        <v>12</v>
      </c>
      <c r="I35" s="836"/>
      <c r="J35" s="836"/>
      <c r="K35" s="837"/>
      <c r="L35" s="837">
        <f t="shared" ref="L35:N36" si="23">L430+L455+L478+L513+L534+L556+L640+L666+L696+L748+L765+L781+L797+L816</f>
        <v>0</v>
      </c>
      <c r="M35" s="837">
        <f t="shared" si="23"/>
        <v>0</v>
      </c>
      <c r="N35" s="837">
        <f t="shared" si="23"/>
        <v>0</v>
      </c>
      <c r="O35" s="837">
        <f t="shared" si="17"/>
        <v>0</v>
      </c>
      <c r="P35" s="837">
        <f t="shared" si="18"/>
        <v>0</v>
      </c>
      <c r="Q35" s="825"/>
      <c r="R35" s="825"/>
      <c r="S35" s="825"/>
      <c r="T35" s="825"/>
      <c r="U35" s="825"/>
      <c r="V35" s="825"/>
      <c r="W35" s="825"/>
      <c r="X35" s="825"/>
      <c r="Y35" s="825"/>
      <c r="Z35" s="825"/>
    </row>
    <row r="36" spans="1:26" ht="18.75" hidden="1">
      <c r="A36" s="838"/>
      <c r="B36" s="839"/>
      <c r="C36" s="839"/>
      <c r="D36" s="839"/>
      <c r="E36" s="840" t="s">
        <v>19</v>
      </c>
      <c r="F36" s="839"/>
      <c r="G36" s="841"/>
      <c r="H36" s="50" t="s">
        <v>12</v>
      </c>
      <c r="I36" s="842"/>
      <c r="J36" s="842"/>
      <c r="K36" s="843"/>
      <c r="L36" s="843">
        <f t="shared" ca="1" si="23"/>
        <v>0</v>
      </c>
      <c r="M36" s="843">
        <f t="shared" si="23"/>
        <v>0</v>
      </c>
      <c r="N36" s="843">
        <f t="shared" si="23"/>
        <v>0</v>
      </c>
      <c r="O36" s="843">
        <f t="shared" ca="1" si="17"/>
        <v>0</v>
      </c>
      <c r="P36" s="843">
        <f t="shared" si="18"/>
        <v>0</v>
      </c>
      <c r="Q36" s="825"/>
      <c r="R36" s="825"/>
      <c r="S36" s="825"/>
      <c r="T36" s="825"/>
      <c r="U36" s="825"/>
      <c r="V36" s="825"/>
      <c r="W36" s="825"/>
      <c r="X36" s="825"/>
      <c r="Y36" s="825"/>
      <c r="Z36" s="825"/>
    </row>
    <row r="37" spans="1:26" ht="19.5">
      <c r="A37" s="844" t="s">
        <v>24</v>
      </c>
      <c r="B37" s="845"/>
      <c r="C37" s="845"/>
      <c r="D37" s="845"/>
      <c r="E37" s="845"/>
      <c r="F37" s="845"/>
      <c r="G37" s="846"/>
      <c r="H37" s="847"/>
      <c r="I37" s="848"/>
      <c r="J37" s="848"/>
      <c r="K37" s="849"/>
      <c r="L37" s="850">
        <f t="shared" ref="L37:N37" ca="1" si="24">L41+L53+L66+L88+L119+L132+L149+L165+L181+L261+L277+L298+L315+L328+L345+L389+L402</f>
        <v>4835024</v>
      </c>
      <c r="M37" s="850">
        <f t="shared" ca="1" si="24"/>
        <v>4069418</v>
      </c>
      <c r="N37" s="850">
        <f t="shared" ca="1" si="24"/>
        <v>2571131.6800000002</v>
      </c>
      <c r="O37" s="850">
        <f t="shared" ca="1" si="17"/>
        <v>53.177226834861635</v>
      </c>
      <c r="P37" s="850">
        <f t="shared" ca="1" si="18"/>
        <v>63.181803393015912</v>
      </c>
    </row>
    <row r="38" spans="1:26" ht="19.5">
      <c r="A38" s="851" t="s">
        <v>25</v>
      </c>
      <c r="B38" s="852"/>
      <c r="C38" s="852"/>
      <c r="D38" s="852"/>
      <c r="E38" s="852"/>
      <c r="F38" s="852"/>
      <c r="G38" s="853"/>
      <c r="H38" s="854"/>
      <c r="I38" s="855"/>
      <c r="J38" s="855"/>
      <c r="K38" s="856"/>
      <c r="L38" s="856"/>
      <c r="M38" s="856"/>
      <c r="N38" s="856"/>
      <c r="O38" s="856"/>
      <c r="P38" s="856"/>
    </row>
    <row r="39" spans="1:26" ht="19.5">
      <c r="A39" s="857"/>
      <c r="B39" s="858" t="s">
        <v>26</v>
      </c>
      <c r="C39" s="859"/>
      <c r="D39" s="859"/>
      <c r="E39" s="859"/>
      <c r="F39" s="859"/>
      <c r="G39" s="860"/>
      <c r="H39" s="861"/>
      <c r="I39" s="862"/>
      <c r="J39" s="862"/>
      <c r="K39" s="863"/>
      <c r="L39" s="863"/>
      <c r="M39" s="863"/>
      <c r="N39" s="863"/>
      <c r="O39" s="863"/>
      <c r="P39" s="863"/>
    </row>
    <row r="40" spans="1:26" ht="19.5">
      <c r="A40" s="864"/>
      <c r="B40" s="1513" t="s">
        <v>27</v>
      </c>
      <c r="C40" s="1485"/>
      <c r="D40" s="1485"/>
      <c r="E40" s="1485"/>
      <c r="F40" s="1485"/>
      <c r="G40" s="1491"/>
      <c r="H40" s="865"/>
      <c r="I40" s="866"/>
      <c r="J40" s="866"/>
      <c r="K40" s="867"/>
      <c r="L40" s="867"/>
      <c r="M40" s="867"/>
      <c r="N40" s="867"/>
      <c r="O40" s="867"/>
      <c r="P40" s="867"/>
    </row>
    <row r="41" spans="1:26" ht="19.5">
      <c r="A41" s="868"/>
      <c r="B41" s="869"/>
      <c r="C41" s="870" t="s">
        <v>16</v>
      </c>
      <c r="D41" s="871" t="s">
        <v>17</v>
      </c>
      <c r="E41" s="869"/>
      <c r="F41" s="869"/>
      <c r="G41" s="872"/>
      <c r="H41" s="82" t="s">
        <v>12</v>
      </c>
      <c r="I41" s="873"/>
      <c r="J41" s="873"/>
      <c r="K41" s="874"/>
      <c r="L41" s="875">
        <f t="shared" ref="L41:N41" ca="1" si="25">L42+L43</f>
        <v>508544</v>
      </c>
      <c r="M41" s="875">
        <f t="shared" ca="1" si="25"/>
        <v>522723</v>
      </c>
      <c r="N41" s="875">
        <f t="shared" ca="1" si="25"/>
        <v>260307</v>
      </c>
      <c r="O41" s="875">
        <f t="shared" ref="O41:O49" ca="1" si="26">IF(L41&gt;0,N41*100/L41,0)</f>
        <v>51.186721306317644</v>
      </c>
      <c r="P41" s="875">
        <f t="shared" ref="P41:P49" ca="1" si="27">IF(M41&gt;0,N41*100/M41,0)</f>
        <v>49.798267916276878</v>
      </c>
      <c r="Q41" s="818"/>
      <c r="R41" s="818"/>
      <c r="S41" s="818"/>
      <c r="T41" s="818"/>
      <c r="U41" s="818"/>
      <c r="V41" s="818"/>
      <c r="W41" s="818"/>
      <c r="X41" s="818"/>
      <c r="Y41" s="818"/>
      <c r="Z41" s="818"/>
    </row>
    <row r="42" spans="1:26" ht="18.75" hidden="1">
      <c r="A42" s="876"/>
      <c r="B42" s="877"/>
      <c r="C42" s="877"/>
      <c r="D42" s="877"/>
      <c r="E42" s="878" t="s">
        <v>18</v>
      </c>
      <c r="F42" s="877"/>
      <c r="G42" s="879"/>
      <c r="H42" s="90" t="s">
        <v>12</v>
      </c>
      <c r="I42" s="880"/>
      <c r="J42" s="880"/>
      <c r="K42" s="881"/>
      <c r="L42" s="881">
        <f t="shared" ref="L42:N43" si="28">L45+L48</f>
        <v>0</v>
      </c>
      <c r="M42" s="881">
        <f t="shared" si="28"/>
        <v>0</v>
      </c>
      <c r="N42" s="881">
        <f t="shared" si="28"/>
        <v>0</v>
      </c>
      <c r="O42" s="881">
        <f t="shared" si="26"/>
        <v>0</v>
      </c>
      <c r="P42" s="881">
        <f t="shared" si="27"/>
        <v>0</v>
      </c>
      <c r="Q42" s="825"/>
      <c r="R42" s="825"/>
      <c r="S42" s="825"/>
      <c r="T42" s="825"/>
      <c r="U42" s="825"/>
      <c r="V42" s="825"/>
      <c r="W42" s="825"/>
      <c r="X42" s="825"/>
      <c r="Y42" s="825"/>
      <c r="Z42" s="825"/>
    </row>
    <row r="43" spans="1:26" ht="18.75" hidden="1">
      <c r="A43" s="876"/>
      <c r="B43" s="877"/>
      <c r="C43" s="877"/>
      <c r="D43" s="877"/>
      <c r="E43" s="878" t="s">
        <v>19</v>
      </c>
      <c r="F43" s="877"/>
      <c r="G43" s="879"/>
      <c r="H43" s="90" t="s">
        <v>12</v>
      </c>
      <c r="I43" s="880"/>
      <c r="J43" s="880"/>
      <c r="K43" s="881"/>
      <c r="L43" s="881">
        <f t="shared" ca="1" si="28"/>
        <v>508544</v>
      </c>
      <c r="M43" s="881">
        <f t="shared" ca="1" si="28"/>
        <v>522723</v>
      </c>
      <c r="N43" s="881">
        <f t="shared" ca="1" si="28"/>
        <v>260307</v>
      </c>
      <c r="O43" s="881">
        <f t="shared" ca="1" si="26"/>
        <v>51.186721306317644</v>
      </c>
      <c r="P43" s="881">
        <f t="shared" ca="1" si="27"/>
        <v>49.798267916276878</v>
      </c>
      <c r="Q43" s="825"/>
      <c r="R43" s="825"/>
      <c r="S43" s="825"/>
      <c r="T43" s="825"/>
      <c r="U43" s="825"/>
      <c r="V43" s="825"/>
      <c r="W43" s="825"/>
      <c r="X43" s="825"/>
      <c r="Y43" s="825"/>
      <c r="Z43" s="825"/>
    </row>
    <row r="44" spans="1:26" ht="18.75">
      <c r="A44" s="826"/>
      <c r="B44" s="827"/>
      <c r="C44" s="827"/>
      <c r="D44" s="828" t="s">
        <v>20</v>
      </c>
      <c r="E44" s="827"/>
      <c r="F44" s="827"/>
      <c r="G44" s="829"/>
      <c r="H44" s="590" t="s">
        <v>12</v>
      </c>
      <c r="I44" s="830"/>
      <c r="J44" s="830"/>
      <c r="K44" s="831"/>
      <c r="L44" s="831">
        <f t="shared" ref="L44:N44" ca="1" si="29">L45+L46</f>
        <v>508544</v>
      </c>
      <c r="M44" s="831">
        <f t="shared" ca="1" si="29"/>
        <v>522723</v>
      </c>
      <c r="N44" s="831">
        <f t="shared" ca="1" si="29"/>
        <v>260307</v>
      </c>
      <c r="O44" s="831">
        <f t="shared" ca="1" si="26"/>
        <v>51.186721306317644</v>
      </c>
      <c r="P44" s="831">
        <f t="shared" ca="1" si="27"/>
        <v>49.798267916276878</v>
      </c>
      <c r="Q44" s="818"/>
      <c r="R44" s="818"/>
      <c r="S44" s="818"/>
      <c r="T44" s="818"/>
      <c r="U44" s="818"/>
      <c r="V44" s="818"/>
      <c r="W44" s="818"/>
      <c r="X44" s="818"/>
      <c r="Y44" s="818"/>
      <c r="Z44" s="818"/>
    </row>
    <row r="45" spans="1:26" ht="18.75" hidden="1">
      <c r="A45" s="832"/>
      <c r="B45" s="833"/>
      <c r="C45" s="833"/>
      <c r="D45" s="833"/>
      <c r="E45" s="834" t="s">
        <v>18</v>
      </c>
      <c r="F45" s="833"/>
      <c r="G45" s="835"/>
      <c r="H45" s="43" t="s">
        <v>12</v>
      </c>
      <c r="I45" s="836"/>
      <c r="J45" s="836"/>
      <c r="K45" s="837"/>
      <c r="L45" s="837">
        <v>0</v>
      </c>
      <c r="M45" s="837">
        <v>0</v>
      </c>
      <c r="N45" s="837">
        <v>0</v>
      </c>
      <c r="O45" s="837">
        <f t="shared" si="26"/>
        <v>0</v>
      </c>
      <c r="P45" s="837">
        <f t="shared" si="27"/>
        <v>0</v>
      </c>
      <c r="Q45" s="825"/>
      <c r="R45" s="825"/>
      <c r="S45" s="825"/>
      <c r="T45" s="825"/>
      <c r="U45" s="825"/>
      <c r="V45" s="825"/>
      <c r="W45" s="825"/>
      <c r="X45" s="825"/>
      <c r="Y45" s="825"/>
      <c r="Z45" s="825"/>
    </row>
    <row r="46" spans="1:26" ht="18.75" hidden="1">
      <c r="A46" s="832"/>
      <c r="B46" s="833"/>
      <c r="C46" s="833"/>
      <c r="D46" s="833"/>
      <c r="E46" s="834" t="s">
        <v>19</v>
      </c>
      <c r="F46" s="833"/>
      <c r="G46" s="835"/>
      <c r="H46" s="43" t="s">
        <v>12</v>
      </c>
      <c r="I46" s="836"/>
      <c r="J46" s="836"/>
      <c r="K46" s="837"/>
      <c r="L46" s="837">
        <f ca="1">IFERROR(__xludf.DUMMYFUNCTION("IMPORTRANGE(""https://docs.google.com/spreadsheets/d/1MeEWN-I1oV_STSDYn1IFDPWt_1FKiwhDph83XaGc0o0/edit?usp=sharing"",""งบพรบ!M23"")"),508544)</f>
        <v>508544</v>
      </c>
      <c r="M46" s="837">
        <f ca="1">IFERROR(__xludf.DUMMYFUNCTION("IMPORTRANGE(""https://docs.google.com/spreadsheets/d/1MeEWN-I1oV_STSDYn1IFDPWt_1FKiwhDph83XaGc0o0/edit?usp=sharing"",""งบพรบ!R23"")"),522723)</f>
        <v>522723</v>
      </c>
      <c r="N46" s="837">
        <f ca="1">IFERROR(__xludf.DUMMYFUNCTION("IMPORTRANGE(""https://docs.google.com/spreadsheets/d/1MeEWN-I1oV_STSDYn1IFDPWt_1FKiwhDph83XaGc0o0/edit?usp=sharing"",""งบพรบ!T23"")"),260307)</f>
        <v>260307</v>
      </c>
      <c r="O46" s="837">
        <f t="shared" ca="1" si="26"/>
        <v>51.186721306317644</v>
      </c>
      <c r="P46" s="837">
        <f t="shared" ca="1" si="27"/>
        <v>49.798267916276878</v>
      </c>
      <c r="Q46" s="825"/>
      <c r="R46" s="825"/>
      <c r="S46" s="825"/>
      <c r="T46" s="825"/>
      <c r="U46" s="825"/>
      <c r="V46" s="825"/>
      <c r="W46" s="825"/>
      <c r="X46" s="825"/>
      <c r="Y46" s="825"/>
      <c r="Z46" s="825"/>
    </row>
    <row r="47" spans="1:26" ht="18.75">
      <c r="A47" s="826"/>
      <c r="B47" s="827"/>
      <c r="C47" s="827"/>
      <c r="D47" s="828" t="s">
        <v>21</v>
      </c>
      <c r="E47" s="827"/>
      <c r="F47" s="827"/>
      <c r="G47" s="829"/>
      <c r="H47" s="590" t="s">
        <v>12</v>
      </c>
      <c r="I47" s="830"/>
      <c r="J47" s="830"/>
      <c r="K47" s="831"/>
      <c r="L47" s="831">
        <f t="shared" ref="L47:N47" ca="1" si="30">L48+L49</f>
        <v>0</v>
      </c>
      <c r="M47" s="831">
        <f t="shared" ca="1" si="30"/>
        <v>0</v>
      </c>
      <c r="N47" s="831">
        <f t="shared" ca="1" si="30"/>
        <v>0</v>
      </c>
      <c r="O47" s="831">
        <f t="shared" ca="1" si="26"/>
        <v>0</v>
      </c>
      <c r="P47" s="831">
        <f t="shared" ca="1" si="27"/>
        <v>0</v>
      </c>
      <c r="Q47" s="818"/>
      <c r="R47" s="818"/>
      <c r="S47" s="818"/>
      <c r="T47" s="818"/>
      <c r="U47" s="818"/>
      <c r="V47" s="818"/>
      <c r="W47" s="818"/>
      <c r="X47" s="818"/>
      <c r="Y47" s="818"/>
      <c r="Z47" s="818"/>
    </row>
    <row r="48" spans="1:26" ht="18.75" hidden="1">
      <c r="A48" s="832"/>
      <c r="B48" s="833"/>
      <c r="C48" s="833"/>
      <c r="D48" s="833"/>
      <c r="E48" s="834" t="s">
        <v>18</v>
      </c>
      <c r="F48" s="833"/>
      <c r="G48" s="835"/>
      <c r="H48" s="43" t="s">
        <v>12</v>
      </c>
      <c r="I48" s="836"/>
      <c r="J48" s="836"/>
      <c r="K48" s="837"/>
      <c r="L48" s="837">
        <v>0</v>
      </c>
      <c r="M48" s="837">
        <v>0</v>
      </c>
      <c r="N48" s="837">
        <v>0</v>
      </c>
      <c r="O48" s="837">
        <f t="shared" si="26"/>
        <v>0</v>
      </c>
      <c r="P48" s="837">
        <f t="shared" si="27"/>
        <v>0</v>
      </c>
      <c r="Q48" s="825"/>
      <c r="R48" s="825"/>
      <c r="S48" s="825"/>
      <c r="T48" s="825"/>
      <c r="U48" s="825"/>
      <c r="V48" s="825"/>
      <c r="W48" s="825"/>
      <c r="X48" s="825"/>
      <c r="Y48" s="825"/>
      <c r="Z48" s="825"/>
    </row>
    <row r="49" spans="1:26" ht="18.75" hidden="1">
      <c r="A49" s="838"/>
      <c r="B49" s="839"/>
      <c r="C49" s="839"/>
      <c r="D49" s="839"/>
      <c r="E49" s="840" t="s">
        <v>19</v>
      </c>
      <c r="F49" s="839"/>
      <c r="G49" s="841"/>
      <c r="H49" s="50" t="s">
        <v>12</v>
      </c>
      <c r="I49" s="842"/>
      <c r="J49" s="842"/>
      <c r="K49" s="843"/>
      <c r="L49" s="843">
        <f ca="1">IFERROR(__xludf.DUMMYFUNCTION("IMPORTRANGE(""https://docs.google.com/spreadsheets/d/1MeEWN-I1oV_STSDYn1IFDPWt_1FKiwhDph83XaGc0o0/edit?usp=sharing"",""งบพรบ!P23"")"),0)</f>
        <v>0</v>
      </c>
      <c r="M49" s="843">
        <f ca="1">IFERROR(__xludf.DUMMYFUNCTION("IMPORTRANGE(""https://docs.google.com/spreadsheets/d/1MeEWN-I1oV_STSDYn1IFDPWt_1FKiwhDph83XaGc0o0/edit?usp=sharing"",""งบพรบ!S23"")"),0)</f>
        <v>0</v>
      </c>
      <c r="N49" s="843">
        <f ca="1">IFERROR(__xludf.DUMMYFUNCTION("IMPORTRANGE(""https://docs.google.com/spreadsheets/d/1MeEWN-I1oV_STSDYn1IFDPWt_1FKiwhDph83XaGc0o0/edit?usp=sharing"",""งบพรบ!U23"")"),0)</f>
        <v>0</v>
      </c>
      <c r="O49" s="843">
        <f t="shared" ca="1" si="26"/>
        <v>0</v>
      </c>
      <c r="P49" s="843">
        <f t="shared" ca="1" si="27"/>
        <v>0</v>
      </c>
      <c r="Q49" s="825"/>
      <c r="R49" s="825"/>
      <c r="S49" s="825"/>
      <c r="T49" s="825"/>
      <c r="U49" s="825"/>
      <c r="V49" s="825"/>
      <c r="W49" s="825"/>
      <c r="X49" s="825"/>
      <c r="Y49" s="825"/>
      <c r="Z49" s="825"/>
    </row>
    <row r="50" spans="1:26" ht="19.5">
      <c r="A50" s="1514" t="s">
        <v>28</v>
      </c>
      <c r="B50" s="1494"/>
      <c r="C50" s="1494"/>
      <c r="D50" s="1494"/>
      <c r="E50" s="1494"/>
      <c r="F50" s="1494"/>
      <c r="G50" s="1495"/>
      <c r="H50" s="882"/>
      <c r="I50" s="883"/>
      <c r="J50" s="883"/>
      <c r="K50" s="884"/>
      <c r="L50" s="884"/>
      <c r="M50" s="884"/>
      <c r="N50" s="884"/>
      <c r="O50" s="884"/>
      <c r="P50" s="884"/>
    </row>
    <row r="51" spans="1:26" ht="19.5">
      <c r="A51" s="885"/>
      <c r="B51" s="1515" t="s">
        <v>29</v>
      </c>
      <c r="C51" s="1485"/>
      <c r="D51" s="1485"/>
      <c r="E51" s="1485"/>
      <c r="F51" s="1485"/>
      <c r="G51" s="1491"/>
      <c r="H51" s="886"/>
      <c r="I51" s="887"/>
      <c r="J51" s="887"/>
      <c r="K51" s="888"/>
      <c r="L51" s="888"/>
      <c r="M51" s="888"/>
      <c r="N51" s="888"/>
      <c r="O51" s="888"/>
      <c r="P51" s="888"/>
    </row>
    <row r="52" spans="1:26" ht="19.5">
      <c r="A52" s="889"/>
      <c r="B52" s="890" t="s">
        <v>30</v>
      </c>
      <c r="C52" s="891"/>
      <c r="D52" s="891"/>
      <c r="E52" s="891"/>
      <c r="F52" s="891"/>
      <c r="G52" s="892"/>
      <c r="H52" s="893"/>
      <c r="I52" s="894"/>
      <c r="J52" s="894"/>
      <c r="K52" s="895"/>
      <c r="L52" s="895"/>
      <c r="M52" s="895"/>
      <c r="N52" s="895"/>
      <c r="O52" s="895"/>
      <c r="P52" s="895"/>
    </row>
    <row r="53" spans="1:26" ht="19.5">
      <c r="A53" s="896"/>
      <c r="B53" s="897"/>
      <c r="C53" s="898" t="s">
        <v>16</v>
      </c>
      <c r="D53" s="899" t="s">
        <v>17</v>
      </c>
      <c r="E53" s="897"/>
      <c r="F53" s="897"/>
      <c r="G53" s="900"/>
      <c r="H53" s="113" t="s">
        <v>12</v>
      </c>
      <c r="I53" s="901"/>
      <c r="J53" s="901"/>
      <c r="K53" s="902"/>
      <c r="L53" s="903">
        <f t="shared" ref="L53:N53" ca="1" si="31">L54+L55</f>
        <v>1299900</v>
      </c>
      <c r="M53" s="903">
        <f t="shared" ca="1" si="31"/>
        <v>1093500</v>
      </c>
      <c r="N53" s="903">
        <f t="shared" ca="1" si="31"/>
        <v>831831.95</v>
      </c>
      <c r="O53" s="903">
        <f t="shared" ref="O53:O61" ca="1" si="32">IF(L53&gt;0,N53*100/L53,0)</f>
        <v>63.991995538118317</v>
      </c>
      <c r="P53" s="903">
        <f t="shared" ref="P53:P61" ca="1" si="33">IF(M53&gt;0,N53*100/M53,0)</f>
        <v>76.070594421582072</v>
      </c>
      <c r="Q53" s="818"/>
      <c r="R53" s="818"/>
      <c r="S53" s="818"/>
      <c r="T53" s="818"/>
      <c r="U53" s="818"/>
      <c r="V53" s="818"/>
      <c r="W53" s="818"/>
      <c r="X53" s="818"/>
      <c r="Y53" s="818"/>
      <c r="Z53" s="818"/>
    </row>
    <row r="54" spans="1:26" ht="18.75" hidden="1">
      <c r="A54" s="904"/>
      <c r="B54" s="905"/>
      <c r="C54" s="905"/>
      <c r="D54" s="905"/>
      <c r="E54" s="906" t="s">
        <v>18</v>
      </c>
      <c r="F54" s="905"/>
      <c r="G54" s="907"/>
      <c r="H54" s="121" t="s">
        <v>12</v>
      </c>
      <c r="I54" s="908"/>
      <c r="J54" s="908"/>
      <c r="K54" s="909"/>
      <c r="L54" s="909">
        <f t="shared" ref="L54:N55" si="34">L57+L60</f>
        <v>0</v>
      </c>
      <c r="M54" s="909">
        <f t="shared" si="34"/>
        <v>0</v>
      </c>
      <c r="N54" s="909">
        <f t="shared" si="34"/>
        <v>0</v>
      </c>
      <c r="O54" s="909">
        <f t="shared" si="32"/>
        <v>0</v>
      </c>
      <c r="P54" s="909">
        <f t="shared" si="33"/>
        <v>0</v>
      </c>
      <c r="Q54" s="825"/>
      <c r="R54" s="825"/>
      <c r="S54" s="825"/>
      <c r="T54" s="825"/>
      <c r="U54" s="825"/>
      <c r="V54" s="825"/>
      <c r="W54" s="825"/>
      <c r="X54" s="825"/>
      <c r="Y54" s="825"/>
      <c r="Z54" s="825"/>
    </row>
    <row r="55" spans="1:26" ht="18.75" hidden="1">
      <c r="A55" s="904"/>
      <c r="B55" s="905"/>
      <c r="C55" s="905"/>
      <c r="D55" s="905"/>
      <c r="E55" s="906" t="s">
        <v>19</v>
      </c>
      <c r="F55" s="905"/>
      <c r="G55" s="907"/>
      <c r="H55" s="121" t="s">
        <v>12</v>
      </c>
      <c r="I55" s="908"/>
      <c r="J55" s="908"/>
      <c r="K55" s="909"/>
      <c r="L55" s="909">
        <f t="shared" ca="1" si="34"/>
        <v>1299900</v>
      </c>
      <c r="M55" s="909">
        <f t="shared" ca="1" si="34"/>
        <v>1093500</v>
      </c>
      <c r="N55" s="909">
        <f t="shared" ca="1" si="34"/>
        <v>831831.95</v>
      </c>
      <c r="O55" s="909">
        <f t="shared" ca="1" si="32"/>
        <v>63.991995538118317</v>
      </c>
      <c r="P55" s="909">
        <f t="shared" ca="1" si="33"/>
        <v>76.070594421582072</v>
      </c>
      <c r="Q55" s="825"/>
      <c r="R55" s="825"/>
      <c r="S55" s="825"/>
      <c r="T55" s="825"/>
      <c r="U55" s="825"/>
      <c r="V55" s="825"/>
      <c r="W55" s="825"/>
      <c r="X55" s="825"/>
      <c r="Y55" s="825"/>
      <c r="Z55" s="825"/>
    </row>
    <row r="56" spans="1:26" ht="18.75">
      <c r="A56" s="826"/>
      <c r="B56" s="827"/>
      <c r="C56" s="827"/>
      <c r="D56" s="828" t="s">
        <v>20</v>
      </c>
      <c r="E56" s="827"/>
      <c r="F56" s="827"/>
      <c r="G56" s="829"/>
      <c r="H56" s="590" t="s">
        <v>12</v>
      </c>
      <c r="I56" s="830"/>
      <c r="J56" s="830"/>
      <c r="K56" s="831"/>
      <c r="L56" s="831">
        <f t="shared" ref="L56:N56" ca="1" si="35">L57+L58</f>
        <v>811600</v>
      </c>
      <c r="M56" s="831">
        <f t="shared" ca="1" si="35"/>
        <v>608700</v>
      </c>
      <c r="N56" s="831">
        <f t="shared" ca="1" si="35"/>
        <v>347031.95</v>
      </c>
      <c r="O56" s="831">
        <f t="shared" ca="1" si="32"/>
        <v>42.758988417939875</v>
      </c>
      <c r="P56" s="831">
        <f t="shared" ca="1" si="33"/>
        <v>57.011984557253164</v>
      </c>
      <c r="Q56" s="818"/>
      <c r="R56" s="818"/>
      <c r="S56" s="818"/>
      <c r="T56" s="818"/>
      <c r="U56" s="818"/>
      <c r="V56" s="818"/>
      <c r="W56" s="818"/>
      <c r="X56" s="818"/>
      <c r="Y56" s="818"/>
      <c r="Z56" s="818"/>
    </row>
    <row r="57" spans="1:26" ht="18.75" hidden="1">
      <c r="A57" s="832"/>
      <c r="B57" s="833"/>
      <c r="C57" s="833"/>
      <c r="D57" s="833"/>
      <c r="E57" s="834" t="s">
        <v>18</v>
      </c>
      <c r="F57" s="833"/>
      <c r="G57" s="835"/>
      <c r="H57" s="43" t="s">
        <v>12</v>
      </c>
      <c r="I57" s="836"/>
      <c r="J57" s="836"/>
      <c r="K57" s="837"/>
      <c r="L57" s="837">
        <v>0</v>
      </c>
      <c r="M57" s="837">
        <v>0</v>
      </c>
      <c r="N57" s="837">
        <v>0</v>
      </c>
      <c r="O57" s="837">
        <f t="shared" si="32"/>
        <v>0</v>
      </c>
      <c r="P57" s="837">
        <f t="shared" si="33"/>
        <v>0</v>
      </c>
      <c r="Q57" s="825"/>
      <c r="R57" s="825"/>
      <c r="S57" s="825"/>
      <c r="T57" s="825"/>
      <c r="U57" s="825"/>
      <c r="V57" s="825"/>
      <c r="W57" s="825"/>
      <c r="X57" s="825"/>
      <c r="Y57" s="825"/>
      <c r="Z57" s="825"/>
    </row>
    <row r="58" spans="1:26" ht="18.75" hidden="1">
      <c r="A58" s="832"/>
      <c r="B58" s="833"/>
      <c r="C58" s="833"/>
      <c r="D58" s="833"/>
      <c r="E58" s="834" t="s">
        <v>19</v>
      </c>
      <c r="F58" s="833"/>
      <c r="G58" s="835"/>
      <c r="H58" s="43" t="s">
        <v>12</v>
      </c>
      <c r="I58" s="836"/>
      <c r="J58" s="836"/>
      <c r="K58" s="837"/>
      <c r="L58" s="837">
        <f ca="1">IFERROR(__xludf.DUMMYFUNCTION("IMPORTRANGE(""https://docs.google.com/spreadsheets/d/1MeEWN-I1oV_STSDYn1IFDPWt_1FKiwhDph83XaGc0o0/edit?usp=sharing"",""งบพรบ!W23"")"),811600)</f>
        <v>811600</v>
      </c>
      <c r="M58" s="837">
        <f ca="1">IFERROR(__xludf.DUMMYFUNCTION("IMPORTRANGE(""https://docs.google.com/spreadsheets/d/1MeEWN-I1oV_STSDYn1IFDPWt_1FKiwhDph83XaGc0o0/edit?usp=sharing"",""งบพรบ!AB23"")"),608700)</f>
        <v>608700</v>
      </c>
      <c r="N58" s="837">
        <f ca="1">IFERROR(__xludf.DUMMYFUNCTION("IMPORTRANGE(""https://docs.google.com/spreadsheets/d/1MeEWN-I1oV_STSDYn1IFDPWt_1FKiwhDph83XaGc0o0/edit?usp=sharing"",""งบพรบ!AD23"")"),347031.95)</f>
        <v>347031.95</v>
      </c>
      <c r="O58" s="837">
        <f t="shared" ca="1" si="32"/>
        <v>42.758988417939875</v>
      </c>
      <c r="P58" s="837">
        <f t="shared" ca="1" si="33"/>
        <v>57.011984557253164</v>
      </c>
      <c r="Q58" s="825"/>
      <c r="R58" s="825"/>
      <c r="S58" s="825"/>
      <c r="T58" s="825"/>
      <c r="U58" s="825"/>
      <c r="V58" s="825"/>
      <c r="W58" s="825"/>
      <c r="X58" s="825"/>
      <c r="Y58" s="825"/>
      <c r="Z58" s="825"/>
    </row>
    <row r="59" spans="1:26" ht="18.75">
      <c r="A59" s="826"/>
      <c r="B59" s="827"/>
      <c r="C59" s="827"/>
      <c r="D59" s="828" t="s">
        <v>21</v>
      </c>
      <c r="E59" s="827"/>
      <c r="F59" s="827"/>
      <c r="G59" s="829"/>
      <c r="H59" s="590" t="s">
        <v>12</v>
      </c>
      <c r="I59" s="830"/>
      <c r="J59" s="830"/>
      <c r="K59" s="831"/>
      <c r="L59" s="831">
        <f t="shared" ref="L59:N59" ca="1" si="36">L60+L61</f>
        <v>488300</v>
      </c>
      <c r="M59" s="831">
        <f t="shared" ca="1" si="36"/>
        <v>484800</v>
      </c>
      <c r="N59" s="831">
        <f t="shared" ca="1" si="36"/>
        <v>484800</v>
      </c>
      <c r="O59" s="831">
        <f t="shared" ca="1" si="32"/>
        <v>99.283227524063079</v>
      </c>
      <c r="P59" s="831">
        <f t="shared" ca="1" si="33"/>
        <v>100</v>
      </c>
      <c r="Q59" s="818"/>
      <c r="R59" s="818"/>
      <c r="S59" s="818"/>
      <c r="T59" s="818"/>
      <c r="U59" s="818"/>
      <c r="V59" s="818"/>
      <c r="W59" s="818"/>
      <c r="X59" s="818"/>
      <c r="Y59" s="818"/>
      <c r="Z59" s="818"/>
    </row>
    <row r="60" spans="1:26" ht="18.75" hidden="1">
      <c r="A60" s="832"/>
      <c r="B60" s="833"/>
      <c r="C60" s="833"/>
      <c r="D60" s="833"/>
      <c r="E60" s="834" t="s">
        <v>18</v>
      </c>
      <c r="F60" s="833"/>
      <c r="G60" s="835"/>
      <c r="H60" s="43" t="s">
        <v>12</v>
      </c>
      <c r="I60" s="836"/>
      <c r="J60" s="836"/>
      <c r="K60" s="837"/>
      <c r="L60" s="837">
        <v>0</v>
      </c>
      <c r="M60" s="837">
        <v>0</v>
      </c>
      <c r="N60" s="837">
        <v>0</v>
      </c>
      <c r="O60" s="837">
        <f t="shared" si="32"/>
        <v>0</v>
      </c>
      <c r="P60" s="837">
        <f t="shared" si="33"/>
        <v>0</v>
      </c>
      <c r="Q60" s="825"/>
      <c r="R60" s="825"/>
      <c r="S60" s="825"/>
      <c r="T60" s="825"/>
      <c r="U60" s="825"/>
      <c r="V60" s="825"/>
      <c r="W60" s="825"/>
      <c r="X60" s="825"/>
      <c r="Y60" s="825"/>
      <c r="Z60" s="825"/>
    </row>
    <row r="61" spans="1:26" ht="18.75" hidden="1">
      <c r="A61" s="838"/>
      <c r="B61" s="839"/>
      <c r="C61" s="839"/>
      <c r="D61" s="839"/>
      <c r="E61" s="840" t="s">
        <v>19</v>
      </c>
      <c r="F61" s="839"/>
      <c r="G61" s="841"/>
      <c r="H61" s="50" t="s">
        <v>12</v>
      </c>
      <c r="I61" s="842"/>
      <c r="J61" s="842"/>
      <c r="K61" s="843"/>
      <c r="L61" s="843">
        <f ca="1">IFERROR(__xludf.DUMMYFUNCTION("IMPORTRANGE(""https://docs.google.com/spreadsheets/d/1MeEWN-I1oV_STSDYn1IFDPWt_1FKiwhDph83XaGc0o0/edit?usp=sharing"",""งบพรบ!Z23"")"),488300)</f>
        <v>488300</v>
      </c>
      <c r="M61" s="843">
        <f ca="1">IFERROR(__xludf.DUMMYFUNCTION("IMPORTRANGE(""https://docs.google.com/spreadsheets/d/1MeEWN-I1oV_STSDYn1IFDPWt_1FKiwhDph83XaGc0o0/edit?usp=sharing"",""งบพรบ!AC23"")"),484800)</f>
        <v>484800</v>
      </c>
      <c r="N61" s="843">
        <f ca="1">IFERROR(__xludf.DUMMYFUNCTION("IMPORTRANGE(""https://docs.google.com/spreadsheets/d/1MeEWN-I1oV_STSDYn1IFDPWt_1FKiwhDph83XaGc0o0/edit?usp=sharing"",""งบพรบ!AE23"")"),484800)</f>
        <v>484800</v>
      </c>
      <c r="O61" s="843">
        <f t="shared" ca="1" si="32"/>
        <v>99.283227524063079</v>
      </c>
      <c r="P61" s="843">
        <f t="shared" ca="1" si="33"/>
        <v>100</v>
      </c>
      <c r="Q61" s="825"/>
      <c r="R61" s="825"/>
      <c r="S61" s="825"/>
      <c r="T61" s="825"/>
      <c r="U61" s="825"/>
      <c r="V61" s="825"/>
      <c r="W61" s="825"/>
      <c r="X61" s="825"/>
      <c r="Y61" s="825"/>
      <c r="Z61" s="825"/>
    </row>
    <row r="62" spans="1:26" ht="19.5">
      <c r="A62" s="910" t="s">
        <v>31</v>
      </c>
      <c r="B62" s="911"/>
      <c r="C62" s="911"/>
      <c r="D62" s="911"/>
      <c r="E62" s="912"/>
      <c r="F62" s="912"/>
      <c r="G62" s="913"/>
      <c r="H62" s="914"/>
      <c r="I62" s="915"/>
      <c r="J62" s="915"/>
      <c r="K62" s="916"/>
      <c r="L62" s="916"/>
      <c r="M62" s="916"/>
      <c r="N62" s="916"/>
      <c r="O62" s="916"/>
      <c r="P62" s="916"/>
    </row>
    <row r="63" spans="1:26" ht="19.5">
      <c r="A63" s="917" t="s">
        <v>32</v>
      </c>
      <c r="B63" s="918"/>
      <c r="C63" s="919"/>
      <c r="D63" s="918"/>
      <c r="E63" s="918"/>
      <c r="F63" s="918"/>
      <c r="G63" s="920"/>
      <c r="H63" s="921"/>
      <c r="I63" s="922"/>
      <c r="J63" s="922"/>
      <c r="K63" s="923"/>
      <c r="L63" s="923"/>
      <c r="M63" s="923"/>
      <c r="N63" s="923"/>
      <c r="O63" s="923"/>
      <c r="P63" s="923"/>
    </row>
    <row r="64" spans="1:26" ht="19.5">
      <c r="A64" s="924"/>
      <c r="B64" s="925" t="s">
        <v>33</v>
      </c>
      <c r="C64" s="926"/>
      <c r="D64" s="927"/>
      <c r="E64" s="926"/>
      <c r="F64" s="926"/>
      <c r="G64" s="928"/>
      <c r="H64" s="205" t="s">
        <v>34</v>
      </c>
      <c r="I64" s="929">
        <f t="shared" ref="I64:J65" ca="1" si="37">I76</f>
        <v>1</v>
      </c>
      <c r="J64" s="929">
        <f t="shared" si="37"/>
        <v>1</v>
      </c>
      <c r="K64" s="930">
        <f t="shared" ref="K64:K65" ca="1" si="38">IF(I64&gt;0,J64*100/I64,0)</f>
        <v>100</v>
      </c>
      <c r="L64" s="931"/>
      <c r="M64" s="931"/>
      <c r="N64" s="931"/>
      <c r="O64" s="931"/>
      <c r="P64" s="931"/>
    </row>
    <row r="65" spans="1:26" ht="19.5">
      <c r="A65" s="924"/>
      <c r="B65" s="926"/>
      <c r="C65" s="926"/>
      <c r="D65" s="927"/>
      <c r="E65" s="926"/>
      <c r="F65" s="926"/>
      <c r="G65" s="928"/>
      <c r="H65" s="205" t="s">
        <v>35</v>
      </c>
      <c r="I65" s="929">
        <f t="shared" ca="1" si="37"/>
        <v>35</v>
      </c>
      <c r="J65" s="929">
        <f t="shared" si="37"/>
        <v>35</v>
      </c>
      <c r="K65" s="930">
        <f t="shared" ca="1" si="38"/>
        <v>100</v>
      </c>
      <c r="L65" s="931"/>
      <c r="M65" s="931"/>
      <c r="N65" s="931"/>
      <c r="O65" s="931"/>
      <c r="P65" s="931"/>
    </row>
    <row r="66" spans="1:26" ht="19.5">
      <c r="A66" s="932"/>
      <c r="B66" s="933"/>
      <c r="C66" s="934" t="s">
        <v>16</v>
      </c>
      <c r="D66" s="935" t="s">
        <v>17</v>
      </c>
      <c r="E66" s="933"/>
      <c r="F66" s="933"/>
      <c r="G66" s="936"/>
      <c r="H66" s="152" t="s">
        <v>12</v>
      </c>
      <c r="I66" s="937"/>
      <c r="J66" s="937"/>
      <c r="K66" s="938"/>
      <c r="L66" s="939">
        <f t="shared" ref="L66:N66" ca="1" si="39">L67+L68</f>
        <v>640000</v>
      </c>
      <c r="M66" s="939">
        <f t="shared" ca="1" si="39"/>
        <v>471000</v>
      </c>
      <c r="N66" s="939">
        <f t="shared" ca="1" si="39"/>
        <v>241033</v>
      </c>
      <c r="O66" s="939">
        <f t="shared" ref="O66:O74" ca="1" si="40">IF(L66&gt;0,N66*100/L66,0)</f>
        <v>37.661406249999999</v>
      </c>
      <c r="P66" s="939">
        <f t="shared" ref="P66:P74" ca="1" si="41">IF(M66&gt;0,N66*100/M66,0)</f>
        <v>51.174734607218682</v>
      </c>
      <c r="Q66" s="818"/>
      <c r="R66" s="818"/>
      <c r="S66" s="818"/>
      <c r="T66" s="818"/>
      <c r="U66" s="818"/>
      <c r="V66" s="818"/>
      <c r="W66" s="818"/>
      <c r="X66" s="818"/>
      <c r="Y66" s="818"/>
      <c r="Z66" s="818"/>
    </row>
    <row r="67" spans="1:26" ht="18.75" hidden="1">
      <c r="A67" s="940"/>
      <c r="B67" s="833"/>
      <c r="C67" s="833"/>
      <c r="D67" s="833"/>
      <c r="E67" s="834" t="s">
        <v>18</v>
      </c>
      <c r="F67" s="833"/>
      <c r="G67" s="941"/>
      <c r="H67" s="158" t="s">
        <v>12</v>
      </c>
      <c r="I67" s="836"/>
      <c r="J67" s="836"/>
      <c r="K67" s="837"/>
      <c r="L67" s="837">
        <f t="shared" ref="L67:N68" si="42">L70+L73</f>
        <v>0</v>
      </c>
      <c r="M67" s="837">
        <f t="shared" si="42"/>
        <v>0</v>
      </c>
      <c r="N67" s="837">
        <f t="shared" si="42"/>
        <v>0</v>
      </c>
      <c r="O67" s="837">
        <f t="shared" si="40"/>
        <v>0</v>
      </c>
      <c r="P67" s="837">
        <f t="shared" si="41"/>
        <v>0</v>
      </c>
      <c r="Q67" s="825"/>
      <c r="R67" s="825"/>
      <c r="S67" s="825"/>
      <c r="T67" s="825"/>
      <c r="U67" s="825"/>
      <c r="V67" s="825"/>
      <c r="W67" s="825"/>
      <c r="X67" s="825"/>
      <c r="Y67" s="825"/>
      <c r="Z67" s="825"/>
    </row>
    <row r="68" spans="1:26" ht="18.75" hidden="1">
      <c r="A68" s="940"/>
      <c r="B68" s="833"/>
      <c r="C68" s="833"/>
      <c r="D68" s="833"/>
      <c r="E68" s="834" t="s">
        <v>19</v>
      </c>
      <c r="F68" s="833"/>
      <c r="G68" s="941"/>
      <c r="H68" s="158" t="s">
        <v>12</v>
      </c>
      <c r="I68" s="836"/>
      <c r="J68" s="836"/>
      <c r="K68" s="837"/>
      <c r="L68" s="837">
        <f t="shared" ca="1" si="42"/>
        <v>640000</v>
      </c>
      <c r="M68" s="837">
        <f t="shared" ca="1" si="42"/>
        <v>471000</v>
      </c>
      <c r="N68" s="837">
        <f t="shared" ca="1" si="42"/>
        <v>241033</v>
      </c>
      <c r="O68" s="837">
        <f t="shared" ca="1" si="40"/>
        <v>37.661406249999999</v>
      </c>
      <c r="P68" s="837">
        <f t="shared" ca="1" si="41"/>
        <v>51.174734607218682</v>
      </c>
      <c r="Q68" s="825"/>
      <c r="R68" s="825"/>
      <c r="S68" s="825"/>
      <c r="T68" s="825"/>
      <c r="U68" s="825"/>
      <c r="V68" s="825"/>
      <c r="W68" s="825"/>
      <c r="X68" s="825"/>
      <c r="Y68" s="825"/>
      <c r="Z68" s="825"/>
    </row>
    <row r="69" spans="1:26" ht="18.75">
      <c r="A69" s="942"/>
      <c r="B69" s="827"/>
      <c r="C69" s="943"/>
      <c r="D69" s="828" t="s">
        <v>20</v>
      </c>
      <c r="E69" s="827"/>
      <c r="F69" s="827"/>
      <c r="G69" s="829"/>
      <c r="H69" s="778" t="s">
        <v>12</v>
      </c>
      <c r="I69" s="944"/>
      <c r="J69" s="944"/>
      <c r="K69" s="945"/>
      <c r="L69" s="831">
        <f t="shared" ref="L69:N69" ca="1" si="43">L70+L71</f>
        <v>640000</v>
      </c>
      <c r="M69" s="831">
        <f t="shared" ca="1" si="43"/>
        <v>471000</v>
      </c>
      <c r="N69" s="831">
        <f t="shared" ca="1" si="43"/>
        <v>241033</v>
      </c>
      <c r="O69" s="831">
        <f t="shared" ca="1" si="40"/>
        <v>37.661406249999999</v>
      </c>
      <c r="P69" s="831">
        <f t="shared" ca="1" si="41"/>
        <v>51.174734607218682</v>
      </c>
      <c r="Q69" s="818"/>
      <c r="R69" s="818"/>
      <c r="S69" s="818"/>
      <c r="T69" s="818"/>
      <c r="U69" s="818"/>
      <c r="V69" s="818"/>
      <c r="W69" s="818"/>
      <c r="X69" s="818"/>
      <c r="Y69" s="818"/>
      <c r="Z69" s="818"/>
    </row>
    <row r="70" spans="1:26" ht="19.5" hidden="1">
      <c r="A70" s="940"/>
      <c r="B70" s="833"/>
      <c r="C70" s="946"/>
      <c r="D70" s="833"/>
      <c r="E70" s="834" t="s">
        <v>36</v>
      </c>
      <c r="F70" s="833"/>
      <c r="G70" s="941"/>
      <c r="H70" s="165" t="s">
        <v>12</v>
      </c>
      <c r="I70" s="947"/>
      <c r="J70" s="947"/>
      <c r="K70" s="948"/>
      <c r="L70" s="837">
        <v>0</v>
      </c>
      <c r="M70" s="837">
        <v>0</v>
      </c>
      <c r="N70" s="837">
        <v>0</v>
      </c>
      <c r="O70" s="837">
        <f t="shared" si="40"/>
        <v>0</v>
      </c>
      <c r="P70" s="837">
        <f t="shared" si="41"/>
        <v>0</v>
      </c>
      <c r="Q70" s="825"/>
      <c r="R70" s="825"/>
      <c r="S70" s="825"/>
      <c r="T70" s="825"/>
      <c r="U70" s="825"/>
      <c r="V70" s="825"/>
      <c r="W70" s="825"/>
      <c r="X70" s="825"/>
      <c r="Y70" s="825"/>
      <c r="Z70" s="825"/>
    </row>
    <row r="71" spans="1:26" ht="19.5" hidden="1">
      <c r="A71" s="940"/>
      <c r="B71" s="833"/>
      <c r="C71" s="946"/>
      <c r="D71" s="833"/>
      <c r="E71" s="834" t="s">
        <v>37</v>
      </c>
      <c r="F71" s="833"/>
      <c r="G71" s="941"/>
      <c r="H71" s="165" t="s">
        <v>12</v>
      </c>
      <c r="I71" s="947"/>
      <c r="J71" s="947"/>
      <c r="K71" s="948"/>
      <c r="L71" s="837">
        <f ca="1">IFERROR(__xludf.DUMMYFUNCTION("IMPORTRANGE(""https://docs.google.com/spreadsheets/d/1MeEWN-I1oV_STSDYn1IFDPWt_1FKiwhDph83XaGc0o0/edit?usp=sharing"",""งบพรบ!AG23"")"),640000)</f>
        <v>640000</v>
      </c>
      <c r="M71" s="837">
        <f ca="1">IFERROR(__xludf.DUMMYFUNCTION("IMPORTRANGE(""https://docs.google.com/spreadsheets/d/1MeEWN-I1oV_STSDYn1IFDPWt_1FKiwhDph83XaGc0o0/edit?usp=sharing"",""งบพรบ!AL23"")"),471000)</f>
        <v>471000</v>
      </c>
      <c r="N71" s="837">
        <f ca="1">IFERROR(__xludf.DUMMYFUNCTION("IMPORTRANGE(""https://docs.google.com/spreadsheets/d/1MeEWN-I1oV_STSDYn1IFDPWt_1FKiwhDph83XaGc0o0/edit?usp=sharing"",""งบพรบ!AN23"")"),241033)</f>
        <v>241033</v>
      </c>
      <c r="O71" s="837">
        <f t="shared" ca="1" si="40"/>
        <v>37.661406249999999</v>
      </c>
      <c r="P71" s="837">
        <f t="shared" ca="1" si="41"/>
        <v>51.174734607218682</v>
      </c>
      <c r="Q71" s="825"/>
      <c r="R71" s="825"/>
      <c r="S71" s="825"/>
      <c r="T71" s="825"/>
      <c r="U71" s="825"/>
      <c r="V71" s="825"/>
      <c r="W71" s="825"/>
      <c r="X71" s="825"/>
      <c r="Y71" s="825"/>
      <c r="Z71" s="825"/>
    </row>
    <row r="72" spans="1:26" ht="18.75">
      <c r="A72" s="942"/>
      <c r="B72" s="827"/>
      <c r="C72" s="943"/>
      <c r="D72" s="828" t="s">
        <v>21</v>
      </c>
      <c r="E72" s="827"/>
      <c r="F72" s="827"/>
      <c r="G72" s="829"/>
      <c r="H72" s="168" t="s">
        <v>12</v>
      </c>
      <c r="I72" s="944"/>
      <c r="J72" s="944"/>
      <c r="K72" s="945"/>
      <c r="L72" s="831">
        <f t="shared" ref="L72:N72" ca="1" si="44">L73+L74</f>
        <v>0</v>
      </c>
      <c r="M72" s="831">
        <f t="shared" ca="1" si="44"/>
        <v>0</v>
      </c>
      <c r="N72" s="831">
        <f t="shared" ca="1" si="44"/>
        <v>0</v>
      </c>
      <c r="O72" s="831">
        <f t="shared" ca="1" si="40"/>
        <v>0</v>
      </c>
      <c r="P72" s="831">
        <f t="shared" ca="1" si="41"/>
        <v>0</v>
      </c>
      <c r="Q72" s="818"/>
      <c r="R72" s="818"/>
      <c r="S72" s="818"/>
      <c r="T72" s="818"/>
      <c r="U72" s="818"/>
      <c r="V72" s="818"/>
      <c r="W72" s="818"/>
      <c r="X72" s="818"/>
      <c r="Y72" s="818"/>
      <c r="Z72" s="818"/>
    </row>
    <row r="73" spans="1:26" ht="19.5" hidden="1">
      <c r="A73" s="940"/>
      <c r="B73" s="833"/>
      <c r="C73" s="946"/>
      <c r="D73" s="833"/>
      <c r="E73" s="834" t="s">
        <v>18</v>
      </c>
      <c r="F73" s="833"/>
      <c r="G73" s="941"/>
      <c r="H73" s="165" t="s">
        <v>12</v>
      </c>
      <c r="I73" s="947"/>
      <c r="J73" s="947"/>
      <c r="K73" s="948"/>
      <c r="L73" s="837">
        <v>0</v>
      </c>
      <c r="M73" s="837"/>
      <c r="N73" s="837"/>
      <c r="O73" s="837">
        <f t="shared" si="40"/>
        <v>0</v>
      </c>
      <c r="P73" s="837">
        <f t="shared" si="41"/>
        <v>0</v>
      </c>
      <c r="Q73" s="825"/>
      <c r="R73" s="825"/>
      <c r="S73" s="825"/>
      <c r="T73" s="825"/>
      <c r="U73" s="825"/>
      <c r="V73" s="825"/>
      <c r="W73" s="825"/>
      <c r="X73" s="825"/>
      <c r="Y73" s="825"/>
      <c r="Z73" s="825"/>
    </row>
    <row r="74" spans="1:26" ht="19.5" hidden="1">
      <c r="A74" s="940"/>
      <c r="B74" s="833"/>
      <c r="C74" s="946"/>
      <c r="D74" s="833"/>
      <c r="E74" s="834" t="s">
        <v>19</v>
      </c>
      <c r="F74" s="833"/>
      <c r="G74" s="941"/>
      <c r="H74" s="169" t="s">
        <v>12</v>
      </c>
      <c r="I74" s="947"/>
      <c r="J74" s="947"/>
      <c r="K74" s="948"/>
      <c r="L74" s="837">
        <f ca="1">IFERROR(__xludf.DUMMYFUNCTION("IMPORTRANGE(""https://docs.google.com/spreadsheets/d/1MeEWN-I1oV_STSDYn1IFDPWt_1FKiwhDph83XaGc0o0/edit?usp=sharing"",""งบพรบ!AJ23"")"),0)</f>
        <v>0</v>
      </c>
      <c r="M74" s="837">
        <f ca="1">IFERROR(__xludf.DUMMYFUNCTION("IMPORTRANGE(""https://docs.google.com/spreadsheets/d/1MeEWN-I1oV_STSDYn1IFDPWt_1FKiwhDph83XaGc0o0/edit?usp=sharing"",""งบพรบ!AM23"")"),0)</f>
        <v>0</v>
      </c>
      <c r="N74" s="837">
        <f ca="1">IFERROR(__xludf.DUMMYFUNCTION("IMPORTRANGE(""https://docs.google.com/spreadsheets/d/1MeEWN-I1oV_STSDYn1IFDPWt_1FKiwhDph83XaGc0o0/edit?usp=sharing"",""งบพรบ!AO23"")"),0)</f>
        <v>0</v>
      </c>
      <c r="O74" s="837">
        <f t="shared" ca="1" si="40"/>
        <v>0</v>
      </c>
      <c r="P74" s="837">
        <f t="shared" ca="1" si="41"/>
        <v>0</v>
      </c>
      <c r="Q74" s="825"/>
      <c r="R74" s="825"/>
      <c r="S74" s="825"/>
      <c r="T74" s="825"/>
      <c r="U74" s="825"/>
      <c r="V74" s="825"/>
      <c r="W74" s="825"/>
      <c r="X74" s="825"/>
      <c r="Y74" s="825"/>
      <c r="Z74" s="825"/>
    </row>
    <row r="75" spans="1:26" ht="19.5">
      <c r="A75" s="949"/>
      <c r="B75" s="950"/>
      <c r="C75" s="946" t="s">
        <v>16</v>
      </c>
      <c r="D75" s="951" t="s">
        <v>38</v>
      </c>
      <c r="E75" s="952"/>
      <c r="F75" s="952"/>
      <c r="G75" s="953"/>
      <c r="H75" s="954"/>
      <c r="I75" s="944"/>
      <c r="J75" s="944"/>
      <c r="K75" s="945"/>
      <c r="L75" s="945"/>
      <c r="M75" s="945"/>
      <c r="N75" s="945"/>
      <c r="O75" s="945"/>
      <c r="P75" s="945"/>
    </row>
    <row r="76" spans="1:26" ht="19.5">
      <c r="A76" s="949"/>
      <c r="B76" s="950"/>
      <c r="C76" s="950"/>
      <c r="D76" s="955" t="s">
        <v>39</v>
      </c>
      <c r="E76" s="956"/>
      <c r="F76" s="957"/>
      <c r="G76" s="958"/>
      <c r="H76" s="180" t="s">
        <v>34</v>
      </c>
      <c r="I76" s="830">
        <f t="shared" ref="I76:J77" ca="1" si="45">I78+I80+I82</f>
        <v>1</v>
      </c>
      <c r="J76" s="830">
        <f t="shared" si="45"/>
        <v>1</v>
      </c>
      <c r="K76" s="945">
        <f t="shared" ref="K76:K84" ca="1" si="46">IF(I76&gt;0,J76*100/I76,0)</f>
        <v>100</v>
      </c>
      <c r="L76" s="945"/>
      <c r="M76" s="945"/>
      <c r="N76" s="945"/>
      <c r="O76" s="945"/>
      <c r="P76" s="945"/>
    </row>
    <row r="77" spans="1:26" ht="19.5">
      <c r="A77" s="949"/>
      <c r="B77" s="950"/>
      <c r="C77" s="950"/>
      <c r="D77" s="950"/>
      <c r="E77" s="957"/>
      <c r="F77" s="957"/>
      <c r="G77" s="958"/>
      <c r="H77" s="180" t="s">
        <v>35</v>
      </c>
      <c r="I77" s="830">
        <f t="shared" ca="1" si="45"/>
        <v>35</v>
      </c>
      <c r="J77" s="830">
        <f t="shared" si="45"/>
        <v>35</v>
      </c>
      <c r="K77" s="945">
        <f t="shared" ca="1" si="46"/>
        <v>100</v>
      </c>
      <c r="L77" s="945"/>
      <c r="M77" s="945"/>
      <c r="N77" s="945"/>
      <c r="O77" s="945"/>
      <c r="P77" s="945"/>
    </row>
    <row r="78" spans="1:26" ht="18.75">
      <c r="A78" s="949"/>
      <c r="B78" s="950"/>
      <c r="C78" s="950"/>
      <c r="D78" s="950"/>
      <c r="E78" s="956" t="s">
        <v>40</v>
      </c>
      <c r="F78" s="956"/>
      <c r="G78" s="958"/>
      <c r="H78" s="730" t="s">
        <v>34</v>
      </c>
      <c r="I78" s="944">
        <f ca="1">IFERROR(__xludf.DUMMYFUNCTION("IMPORTRANGE(""https://docs.google.com/spreadsheets/d/1QqKyyYR6Q21VydFLVH3TRQUabQu_ym0Zz7PgGX0-kHA/edit?usp=sharing"",""แผน!H23"")"),0)</f>
        <v>0</v>
      </c>
      <c r="J78" s="959">
        <v>0</v>
      </c>
      <c r="K78" s="945">
        <f t="shared" ca="1" si="46"/>
        <v>0</v>
      </c>
      <c r="L78" s="945"/>
      <c r="M78" s="945"/>
      <c r="N78" s="945"/>
      <c r="O78" s="945"/>
      <c r="P78" s="945"/>
    </row>
    <row r="79" spans="1:26" ht="18.75">
      <c r="A79" s="949"/>
      <c r="B79" s="950"/>
      <c r="C79" s="950"/>
      <c r="D79" s="950"/>
      <c r="E79" s="957"/>
      <c r="F79" s="957"/>
      <c r="G79" s="958"/>
      <c r="H79" s="730" t="s">
        <v>35</v>
      </c>
      <c r="I79" s="944">
        <f ca="1">IFERROR(__xludf.DUMMYFUNCTION("IMPORTRANGE(""https://docs.google.com/spreadsheets/d/1QqKyyYR6Q21VydFLVH3TRQUabQu_ym0Zz7PgGX0-kHA/edit?usp=sharing"",""แผน!I23"")"),0)</f>
        <v>0</v>
      </c>
      <c r="J79" s="959">
        <v>0</v>
      </c>
      <c r="K79" s="945">
        <f t="shared" ca="1" si="46"/>
        <v>0</v>
      </c>
      <c r="L79" s="945"/>
      <c r="M79" s="945"/>
      <c r="N79" s="945"/>
      <c r="O79" s="945"/>
      <c r="P79" s="945"/>
    </row>
    <row r="80" spans="1:26" ht="18.75">
      <c r="A80" s="949"/>
      <c r="B80" s="950"/>
      <c r="C80" s="950"/>
      <c r="D80" s="950"/>
      <c r="E80" s="956" t="s">
        <v>41</v>
      </c>
      <c r="F80" s="956"/>
      <c r="G80" s="958"/>
      <c r="H80" s="730" t="s">
        <v>34</v>
      </c>
      <c r="I80" s="944">
        <f ca="1">IFERROR(__xludf.DUMMYFUNCTION("IMPORTRANGE(""https://docs.google.com/spreadsheets/d/1QqKyyYR6Q21VydFLVH3TRQUabQu_ym0Zz7PgGX0-kHA/edit?usp=sharing"",""แผน!F23"")"),0)</f>
        <v>0</v>
      </c>
      <c r="J80" s="959">
        <v>0</v>
      </c>
      <c r="K80" s="945">
        <f t="shared" ca="1" si="46"/>
        <v>0</v>
      </c>
      <c r="L80" s="945"/>
      <c r="M80" s="945"/>
      <c r="N80" s="945"/>
      <c r="O80" s="945"/>
      <c r="P80" s="945"/>
    </row>
    <row r="81" spans="1:26" ht="18.75">
      <c r="A81" s="949"/>
      <c r="B81" s="950"/>
      <c r="C81" s="950"/>
      <c r="D81" s="950"/>
      <c r="E81" s="957"/>
      <c r="F81" s="957"/>
      <c r="G81" s="958"/>
      <c r="H81" s="730" t="s">
        <v>35</v>
      </c>
      <c r="I81" s="944">
        <f ca="1">IFERROR(__xludf.DUMMYFUNCTION("IMPORTRANGE(""https://docs.google.com/spreadsheets/d/1QqKyyYR6Q21VydFLVH3TRQUabQu_ym0Zz7PgGX0-kHA/edit?usp=sharing"",""แผน!G23"")"),0)</f>
        <v>0</v>
      </c>
      <c r="J81" s="959">
        <v>0</v>
      </c>
      <c r="K81" s="945">
        <f t="shared" ca="1" si="46"/>
        <v>0</v>
      </c>
      <c r="L81" s="945"/>
      <c r="M81" s="945"/>
      <c r="N81" s="945"/>
      <c r="O81" s="945"/>
      <c r="P81" s="945"/>
    </row>
    <row r="82" spans="1:26" ht="18.75">
      <c r="A82" s="949"/>
      <c r="B82" s="950"/>
      <c r="C82" s="950"/>
      <c r="D82" s="950"/>
      <c r="E82" s="956" t="s">
        <v>42</v>
      </c>
      <c r="F82" s="956"/>
      <c r="G82" s="958"/>
      <c r="H82" s="730" t="s">
        <v>34</v>
      </c>
      <c r="I82" s="944">
        <f ca="1">IFERROR(__xludf.DUMMYFUNCTION("IMPORTRANGE(""https://docs.google.com/spreadsheets/d/1QqKyyYR6Q21VydFLVH3TRQUabQu_ym0Zz7PgGX0-kHA/edit?usp=sharing"",""แผน!D23"")"),1)</f>
        <v>1</v>
      </c>
      <c r="J82" s="959">
        <v>1</v>
      </c>
      <c r="K82" s="945">
        <f t="shared" ca="1" si="46"/>
        <v>100</v>
      </c>
      <c r="L82" s="945"/>
      <c r="M82" s="945"/>
      <c r="N82" s="945"/>
      <c r="O82" s="945"/>
      <c r="P82" s="945"/>
    </row>
    <row r="83" spans="1:26" ht="18.75">
      <c r="A83" s="949"/>
      <c r="B83" s="950"/>
      <c r="C83" s="950"/>
      <c r="D83" s="950"/>
      <c r="E83" s="957"/>
      <c r="F83" s="957"/>
      <c r="G83" s="958"/>
      <c r="H83" s="730" t="s">
        <v>35</v>
      </c>
      <c r="I83" s="944">
        <f ca="1">IFERROR(__xludf.DUMMYFUNCTION("IMPORTRANGE(""https://docs.google.com/spreadsheets/d/1QqKyyYR6Q21VydFLVH3TRQUabQu_ym0Zz7PgGX0-kHA/edit?usp=sharing"",""แผน!E23"")"),35)</f>
        <v>35</v>
      </c>
      <c r="J83" s="959">
        <v>35</v>
      </c>
      <c r="K83" s="945">
        <f t="shared" ca="1" si="46"/>
        <v>100</v>
      </c>
      <c r="L83" s="945"/>
      <c r="M83" s="945"/>
      <c r="N83" s="945"/>
      <c r="O83" s="945"/>
      <c r="P83" s="945"/>
    </row>
    <row r="84" spans="1:26" ht="18.75">
      <c r="A84" s="949"/>
      <c r="B84" s="950"/>
      <c r="C84" s="950"/>
      <c r="D84" s="955" t="s">
        <v>43</v>
      </c>
      <c r="E84" s="956"/>
      <c r="F84" s="957"/>
      <c r="G84" s="958"/>
      <c r="H84" s="777" t="s">
        <v>34</v>
      </c>
      <c r="I84" s="944">
        <f ca="1">IFERROR(__xludf.DUMMYFUNCTION("IMPORTRANGE(""https://docs.google.com/spreadsheets/d/1QqKyyYR6Q21VydFLVH3TRQUabQu_ym0Zz7PgGX0-kHA/edit?usp=sharing"",""แผน!J23"")"),1)</f>
        <v>1</v>
      </c>
      <c r="J84" s="959">
        <v>0</v>
      </c>
      <c r="K84" s="945">
        <f t="shared" ca="1" si="46"/>
        <v>0</v>
      </c>
      <c r="L84" s="945"/>
      <c r="M84" s="945"/>
      <c r="N84" s="945"/>
      <c r="O84" s="945"/>
      <c r="P84" s="945"/>
    </row>
    <row r="85" spans="1:26" ht="19.5">
      <c r="A85" s="917" t="s">
        <v>44</v>
      </c>
      <c r="B85" s="918"/>
      <c r="C85" s="919"/>
      <c r="D85" s="918"/>
      <c r="E85" s="918"/>
      <c r="F85" s="918"/>
      <c r="G85" s="920"/>
      <c r="H85" s="921"/>
      <c r="I85" s="922"/>
      <c r="J85" s="922"/>
      <c r="K85" s="923"/>
      <c r="L85" s="923"/>
      <c r="M85" s="923"/>
      <c r="N85" s="923"/>
      <c r="O85" s="923"/>
      <c r="P85" s="923"/>
    </row>
    <row r="86" spans="1:26" ht="19.5">
      <c r="A86" s="924"/>
      <c r="B86" s="925" t="s">
        <v>45</v>
      </c>
      <c r="C86" s="926"/>
      <c r="D86" s="927"/>
      <c r="E86" s="926"/>
      <c r="F86" s="926"/>
      <c r="G86" s="928"/>
      <c r="H86" s="205" t="s">
        <v>46</v>
      </c>
      <c r="I86" s="929">
        <f t="shared" ref="I86:J87" ca="1" si="47">I98</f>
        <v>75</v>
      </c>
      <c r="J86" s="929">
        <f t="shared" si="47"/>
        <v>75</v>
      </c>
      <c r="K86" s="930">
        <f t="shared" ref="K86:K87" ca="1" si="48">IF(I86&gt;0,J86*100/I86,0)</f>
        <v>100</v>
      </c>
      <c r="L86" s="931"/>
      <c r="M86" s="931"/>
      <c r="N86" s="931"/>
      <c r="O86" s="931"/>
      <c r="P86" s="931"/>
    </row>
    <row r="87" spans="1:26" ht="19.5">
      <c r="A87" s="924"/>
      <c r="B87" s="926"/>
      <c r="C87" s="926"/>
      <c r="D87" s="927"/>
      <c r="E87" s="926"/>
      <c r="F87" s="926"/>
      <c r="G87" s="928"/>
      <c r="H87" s="205" t="s">
        <v>35</v>
      </c>
      <c r="I87" s="929">
        <f t="shared" ca="1" si="47"/>
        <v>25</v>
      </c>
      <c r="J87" s="929">
        <f t="shared" si="47"/>
        <v>25</v>
      </c>
      <c r="K87" s="930">
        <f t="shared" ca="1" si="48"/>
        <v>100</v>
      </c>
      <c r="L87" s="931"/>
      <c r="M87" s="931"/>
      <c r="N87" s="931"/>
      <c r="O87" s="931"/>
      <c r="P87" s="931"/>
    </row>
    <row r="88" spans="1:26" ht="19.5">
      <c r="A88" s="932"/>
      <c r="B88" s="933"/>
      <c r="C88" s="934" t="s">
        <v>16</v>
      </c>
      <c r="D88" s="935" t="s">
        <v>17</v>
      </c>
      <c r="E88" s="933"/>
      <c r="F88" s="933"/>
      <c r="G88" s="936"/>
      <c r="H88" s="152" t="s">
        <v>12</v>
      </c>
      <c r="I88" s="937"/>
      <c r="J88" s="937"/>
      <c r="K88" s="938"/>
      <c r="L88" s="939">
        <f t="shared" ref="L88:N88" ca="1" si="49">L89+L90</f>
        <v>420300</v>
      </c>
      <c r="M88" s="939">
        <f t="shared" ca="1" si="49"/>
        <v>303925</v>
      </c>
      <c r="N88" s="939">
        <f t="shared" ca="1" si="49"/>
        <v>210314</v>
      </c>
      <c r="O88" s="939">
        <f t="shared" ref="O88:O96" ca="1" si="50">IF(L88&gt;0,N88*100/L88,0)</f>
        <v>50.039019747799188</v>
      </c>
      <c r="P88" s="939">
        <f t="shared" ref="P88:P96" ca="1" si="51">IF(M88&gt;0,N88*100/M88,0)</f>
        <v>69.199309040059219</v>
      </c>
      <c r="Q88" s="818"/>
      <c r="R88" s="818"/>
      <c r="S88" s="818"/>
      <c r="T88" s="818"/>
      <c r="U88" s="818"/>
      <c r="V88" s="818"/>
      <c r="W88" s="818"/>
      <c r="X88" s="818"/>
      <c r="Y88" s="818"/>
      <c r="Z88" s="818"/>
    </row>
    <row r="89" spans="1:26" ht="18.75" hidden="1">
      <c r="A89" s="940"/>
      <c r="B89" s="833"/>
      <c r="C89" s="833"/>
      <c r="D89" s="833"/>
      <c r="E89" s="834" t="s">
        <v>18</v>
      </c>
      <c r="F89" s="833"/>
      <c r="G89" s="941"/>
      <c r="H89" s="158" t="s">
        <v>12</v>
      </c>
      <c r="I89" s="836"/>
      <c r="J89" s="836"/>
      <c r="K89" s="837"/>
      <c r="L89" s="837">
        <f t="shared" ref="L89:N90" si="52">L92+L95</f>
        <v>0</v>
      </c>
      <c r="M89" s="837">
        <f t="shared" si="52"/>
        <v>0</v>
      </c>
      <c r="N89" s="837">
        <f t="shared" si="52"/>
        <v>0</v>
      </c>
      <c r="O89" s="837">
        <f t="shared" si="50"/>
        <v>0</v>
      </c>
      <c r="P89" s="837">
        <f t="shared" si="51"/>
        <v>0</v>
      </c>
      <c r="Q89" s="825"/>
      <c r="R89" s="825"/>
      <c r="S89" s="825"/>
      <c r="T89" s="825"/>
      <c r="U89" s="825"/>
      <c r="V89" s="825"/>
      <c r="W89" s="825"/>
      <c r="X89" s="825"/>
      <c r="Y89" s="825"/>
      <c r="Z89" s="825"/>
    </row>
    <row r="90" spans="1:26" ht="18.75" hidden="1">
      <c r="A90" s="940"/>
      <c r="B90" s="833"/>
      <c r="C90" s="833"/>
      <c r="D90" s="833"/>
      <c r="E90" s="834" t="s">
        <v>19</v>
      </c>
      <c r="F90" s="833"/>
      <c r="G90" s="941"/>
      <c r="H90" s="158" t="s">
        <v>12</v>
      </c>
      <c r="I90" s="836"/>
      <c r="J90" s="836"/>
      <c r="K90" s="837"/>
      <c r="L90" s="837">
        <f t="shared" ca="1" si="52"/>
        <v>420300</v>
      </c>
      <c r="M90" s="837">
        <f t="shared" ca="1" si="52"/>
        <v>303925</v>
      </c>
      <c r="N90" s="837">
        <f t="shared" ca="1" si="52"/>
        <v>210314</v>
      </c>
      <c r="O90" s="837">
        <f t="shared" ca="1" si="50"/>
        <v>50.039019747799188</v>
      </c>
      <c r="P90" s="837">
        <f t="shared" ca="1" si="51"/>
        <v>69.199309040059219</v>
      </c>
      <c r="Q90" s="825"/>
      <c r="R90" s="825"/>
      <c r="S90" s="825"/>
      <c r="T90" s="825"/>
      <c r="U90" s="825"/>
      <c r="V90" s="825"/>
      <c r="W90" s="825"/>
      <c r="X90" s="825"/>
      <c r="Y90" s="825"/>
      <c r="Z90" s="825"/>
    </row>
    <row r="91" spans="1:26" ht="18.75">
      <c r="A91" s="942"/>
      <c r="B91" s="827"/>
      <c r="C91" s="943"/>
      <c r="D91" s="828" t="s">
        <v>20</v>
      </c>
      <c r="E91" s="827"/>
      <c r="F91" s="827"/>
      <c r="G91" s="829"/>
      <c r="H91" s="778" t="s">
        <v>12</v>
      </c>
      <c r="I91" s="944"/>
      <c r="J91" s="944"/>
      <c r="K91" s="945"/>
      <c r="L91" s="831">
        <f t="shared" ref="L91:N91" ca="1" si="53">L92+L93</f>
        <v>420300</v>
      </c>
      <c r="M91" s="831">
        <f t="shared" ca="1" si="53"/>
        <v>303925</v>
      </c>
      <c r="N91" s="831">
        <f t="shared" ca="1" si="53"/>
        <v>210314</v>
      </c>
      <c r="O91" s="831">
        <f t="shared" ca="1" si="50"/>
        <v>50.039019747799188</v>
      </c>
      <c r="P91" s="831">
        <f t="shared" ca="1" si="51"/>
        <v>69.199309040059219</v>
      </c>
      <c r="Q91" s="818"/>
      <c r="R91" s="818"/>
      <c r="S91" s="818"/>
      <c r="T91" s="818"/>
      <c r="U91" s="818"/>
      <c r="V91" s="818"/>
      <c r="W91" s="818"/>
      <c r="X91" s="818"/>
      <c r="Y91" s="818"/>
      <c r="Z91" s="818"/>
    </row>
    <row r="92" spans="1:26" ht="19.5" hidden="1">
      <c r="A92" s="940"/>
      <c r="B92" s="833"/>
      <c r="C92" s="946"/>
      <c r="D92" s="833"/>
      <c r="E92" s="834" t="s">
        <v>36</v>
      </c>
      <c r="F92" s="833"/>
      <c r="G92" s="941"/>
      <c r="H92" s="165" t="s">
        <v>12</v>
      </c>
      <c r="I92" s="947"/>
      <c r="J92" s="947"/>
      <c r="K92" s="948"/>
      <c r="L92" s="837">
        <v>0</v>
      </c>
      <c r="M92" s="837">
        <v>0</v>
      </c>
      <c r="N92" s="837">
        <v>0</v>
      </c>
      <c r="O92" s="837">
        <f t="shared" si="50"/>
        <v>0</v>
      </c>
      <c r="P92" s="837">
        <f t="shared" si="51"/>
        <v>0</v>
      </c>
      <c r="Q92" s="825"/>
      <c r="R92" s="825"/>
      <c r="S92" s="825"/>
      <c r="T92" s="825"/>
      <c r="U92" s="825"/>
      <c r="V92" s="825"/>
      <c r="W92" s="825"/>
      <c r="X92" s="825"/>
      <c r="Y92" s="825"/>
      <c r="Z92" s="825"/>
    </row>
    <row r="93" spans="1:26" ht="19.5" hidden="1">
      <c r="A93" s="940"/>
      <c r="B93" s="833"/>
      <c r="C93" s="946"/>
      <c r="D93" s="833"/>
      <c r="E93" s="834" t="s">
        <v>37</v>
      </c>
      <c r="F93" s="833"/>
      <c r="G93" s="941"/>
      <c r="H93" s="165" t="s">
        <v>12</v>
      </c>
      <c r="I93" s="947"/>
      <c r="J93" s="947"/>
      <c r="K93" s="948"/>
      <c r="L93" s="837">
        <f ca="1">IFERROR(__xludf.DUMMYFUNCTION("IMPORTRANGE(""https://docs.google.com/spreadsheets/d/1MeEWN-I1oV_STSDYn1IFDPWt_1FKiwhDph83XaGc0o0/edit?usp=sharing"",""งบพรบ!AQ23"")"),420300)</f>
        <v>420300</v>
      </c>
      <c r="M93" s="837">
        <f ca="1">IFERROR(__xludf.DUMMYFUNCTION("IMPORTRANGE(""https://docs.google.com/spreadsheets/d/1MeEWN-I1oV_STSDYn1IFDPWt_1FKiwhDph83XaGc0o0/edit?usp=sharing"",""งบพรบ!AV23"")"),303925)</f>
        <v>303925</v>
      </c>
      <c r="N93" s="837">
        <f ca="1">IFERROR(__xludf.DUMMYFUNCTION("IMPORTRANGE(""https://docs.google.com/spreadsheets/d/1MeEWN-I1oV_STSDYn1IFDPWt_1FKiwhDph83XaGc0o0/edit?usp=sharing"",""งบพรบ!AX23"")"),210314)</f>
        <v>210314</v>
      </c>
      <c r="O93" s="837">
        <f t="shared" ca="1" si="50"/>
        <v>50.039019747799188</v>
      </c>
      <c r="P93" s="837">
        <f t="shared" ca="1" si="51"/>
        <v>69.199309040059219</v>
      </c>
      <c r="Q93" s="825"/>
      <c r="R93" s="825"/>
      <c r="S93" s="825"/>
      <c r="T93" s="825"/>
      <c r="U93" s="825"/>
      <c r="V93" s="825"/>
      <c r="W93" s="825"/>
      <c r="X93" s="825"/>
      <c r="Y93" s="825"/>
      <c r="Z93" s="825"/>
    </row>
    <row r="94" spans="1:26" ht="18.75">
      <c r="A94" s="942"/>
      <c r="B94" s="827"/>
      <c r="C94" s="943"/>
      <c r="D94" s="828" t="s">
        <v>21</v>
      </c>
      <c r="E94" s="827"/>
      <c r="F94" s="827"/>
      <c r="G94" s="829"/>
      <c r="H94" s="168" t="s">
        <v>12</v>
      </c>
      <c r="I94" s="944"/>
      <c r="J94" s="944"/>
      <c r="K94" s="945"/>
      <c r="L94" s="831">
        <f t="shared" ref="L94:N94" ca="1" si="54">L95+L96</f>
        <v>0</v>
      </c>
      <c r="M94" s="831">
        <f t="shared" ca="1" si="54"/>
        <v>0</v>
      </c>
      <c r="N94" s="831">
        <f t="shared" ca="1" si="54"/>
        <v>0</v>
      </c>
      <c r="O94" s="831">
        <f t="shared" ca="1" si="50"/>
        <v>0</v>
      </c>
      <c r="P94" s="831">
        <f t="shared" ca="1" si="51"/>
        <v>0</v>
      </c>
      <c r="Q94" s="818"/>
      <c r="R94" s="818"/>
      <c r="S94" s="818"/>
      <c r="T94" s="818"/>
      <c r="U94" s="818"/>
      <c r="V94" s="818"/>
      <c r="W94" s="818"/>
      <c r="X94" s="818"/>
      <c r="Y94" s="818"/>
      <c r="Z94" s="818"/>
    </row>
    <row r="95" spans="1:26" ht="19.5" hidden="1">
      <c r="A95" s="940"/>
      <c r="B95" s="833"/>
      <c r="C95" s="946"/>
      <c r="D95" s="833"/>
      <c r="E95" s="834" t="s">
        <v>18</v>
      </c>
      <c r="F95" s="833"/>
      <c r="G95" s="941"/>
      <c r="H95" s="165" t="s">
        <v>12</v>
      </c>
      <c r="I95" s="947"/>
      <c r="J95" s="947"/>
      <c r="K95" s="948"/>
      <c r="L95" s="837">
        <v>0</v>
      </c>
      <c r="M95" s="837">
        <v>0</v>
      </c>
      <c r="N95" s="837">
        <v>0</v>
      </c>
      <c r="O95" s="837">
        <f t="shared" si="50"/>
        <v>0</v>
      </c>
      <c r="P95" s="837">
        <f t="shared" si="51"/>
        <v>0</v>
      </c>
      <c r="Q95" s="825"/>
      <c r="R95" s="825"/>
      <c r="S95" s="825"/>
      <c r="T95" s="825"/>
      <c r="U95" s="825"/>
      <c r="V95" s="825"/>
      <c r="W95" s="825"/>
      <c r="X95" s="825"/>
      <c r="Y95" s="825"/>
      <c r="Z95" s="825"/>
    </row>
    <row r="96" spans="1:26" ht="19.5" hidden="1">
      <c r="A96" s="940"/>
      <c r="B96" s="833"/>
      <c r="C96" s="946"/>
      <c r="D96" s="833"/>
      <c r="E96" s="834" t="s">
        <v>19</v>
      </c>
      <c r="F96" s="833"/>
      <c r="G96" s="941"/>
      <c r="H96" s="169" t="s">
        <v>12</v>
      </c>
      <c r="I96" s="947"/>
      <c r="J96" s="947"/>
      <c r="K96" s="948"/>
      <c r="L96" s="837">
        <f ca="1">IFERROR(__xludf.DUMMYFUNCTION("IMPORTRANGE(""https://docs.google.com/spreadsheets/d/1MeEWN-I1oV_STSDYn1IFDPWt_1FKiwhDph83XaGc0o0/edit?usp=sharing"",""งบพรบ!AT23"")"),0)</f>
        <v>0</v>
      </c>
      <c r="M96" s="837">
        <f ca="1">IFERROR(__xludf.DUMMYFUNCTION("IMPORTRANGE(""https://docs.google.com/spreadsheets/d/1MeEWN-I1oV_STSDYn1IFDPWt_1FKiwhDph83XaGc0o0/edit?usp=sharing"",""งบพรบ!AW23"")"),0)</f>
        <v>0</v>
      </c>
      <c r="N96" s="837">
        <f ca="1">IFERROR(__xludf.DUMMYFUNCTION("IMPORTRANGE(""https://docs.google.com/spreadsheets/d/1MeEWN-I1oV_STSDYn1IFDPWt_1FKiwhDph83XaGc0o0/edit?usp=sharing"",""งบพรบ!AY23"")"),0)</f>
        <v>0</v>
      </c>
      <c r="O96" s="837">
        <f t="shared" ca="1" si="50"/>
        <v>0</v>
      </c>
      <c r="P96" s="837">
        <f t="shared" ca="1" si="51"/>
        <v>0</v>
      </c>
      <c r="Q96" s="825"/>
      <c r="R96" s="825"/>
      <c r="S96" s="825"/>
      <c r="T96" s="825"/>
      <c r="U96" s="825"/>
      <c r="V96" s="825"/>
      <c r="W96" s="825"/>
      <c r="X96" s="825"/>
      <c r="Y96" s="825"/>
      <c r="Z96" s="825"/>
    </row>
    <row r="97" spans="1:16" ht="19.5">
      <c r="A97" s="949"/>
      <c r="B97" s="950"/>
      <c r="C97" s="946" t="s">
        <v>16</v>
      </c>
      <c r="D97" s="951" t="s">
        <v>38</v>
      </c>
      <c r="E97" s="952"/>
      <c r="F97" s="952"/>
      <c r="G97" s="953"/>
      <c r="H97" s="954"/>
      <c r="I97" s="944"/>
      <c r="J97" s="830"/>
      <c r="K97" s="831"/>
      <c r="L97" s="831"/>
      <c r="M97" s="831"/>
      <c r="N97" s="831"/>
      <c r="O97" s="945"/>
      <c r="P97" s="945"/>
    </row>
    <row r="98" spans="1:16" ht="18.75">
      <c r="A98" s="949"/>
      <c r="B98" s="950"/>
      <c r="C98" s="950"/>
      <c r="D98" s="956" t="s">
        <v>47</v>
      </c>
      <c r="E98" s="956"/>
      <c r="F98" s="957"/>
      <c r="G98" s="958"/>
      <c r="H98" s="590" t="s">
        <v>46</v>
      </c>
      <c r="I98" s="830">
        <f ca="1">IFERROR(__xludf.DUMMYFUNCTION("IMPORTRANGE(""https://docs.google.com/spreadsheets/d/1QqKyyYR6Q21VydFLVH3TRQUabQu_ym0Zz7PgGX0-kHA/edit?usp=sharing"",""แผน!K23"")"),75)</f>
        <v>75</v>
      </c>
      <c r="J98" s="830">
        <f>J102</f>
        <v>75</v>
      </c>
      <c r="K98" s="831">
        <f t="shared" ref="K98:K100" ca="1" si="55">IF(I98&gt;0,J98*100/I98,0)</f>
        <v>100</v>
      </c>
      <c r="L98" s="831"/>
      <c r="M98" s="831"/>
      <c r="N98" s="831"/>
      <c r="O98" s="945"/>
      <c r="P98" s="945"/>
    </row>
    <row r="99" spans="1:16" ht="18.75">
      <c r="A99" s="949"/>
      <c r="B99" s="950"/>
      <c r="C99" s="950"/>
      <c r="D99" s="956" t="s">
        <v>48</v>
      </c>
      <c r="E99" s="956"/>
      <c r="F99" s="957"/>
      <c r="G99" s="958"/>
      <c r="H99" s="590" t="s">
        <v>35</v>
      </c>
      <c r="I99" s="830">
        <f ca="1">IFERROR(__xludf.DUMMYFUNCTION("IMPORTRANGE(""https://docs.google.com/spreadsheets/d/1QqKyyYR6Q21VydFLVH3TRQUabQu_ym0Zz7PgGX0-kHA/edit?usp=sharing"",""แผน!L23"")"),25)</f>
        <v>25</v>
      </c>
      <c r="J99" s="830">
        <f>J104</f>
        <v>25</v>
      </c>
      <c r="K99" s="831">
        <f t="shared" ca="1" si="55"/>
        <v>100</v>
      </c>
      <c r="L99" s="831"/>
      <c r="M99" s="831"/>
      <c r="N99" s="831"/>
      <c r="O99" s="945"/>
      <c r="P99" s="945"/>
    </row>
    <row r="100" spans="1:16" ht="18.75">
      <c r="A100" s="949"/>
      <c r="B100" s="950"/>
      <c r="C100" s="950"/>
      <c r="D100" s="950"/>
      <c r="E100" s="957"/>
      <c r="F100" s="957"/>
      <c r="G100" s="958"/>
      <c r="H100" s="590" t="s">
        <v>49</v>
      </c>
      <c r="I100" s="830">
        <f ca="1">IFERROR(__xludf.DUMMYFUNCTION("IMPORTRANGE(""https://docs.google.com/spreadsheets/d/1QqKyyYR6Q21VydFLVH3TRQUabQu_ym0Zz7PgGX0-kHA/edit?usp=sharing"",""แผน!M23"")"),2)</f>
        <v>2</v>
      </c>
      <c r="J100" s="830">
        <f>J107+J110</f>
        <v>0</v>
      </c>
      <c r="K100" s="831">
        <f t="shared" ca="1" si="55"/>
        <v>0</v>
      </c>
      <c r="L100" s="831"/>
      <c r="M100" s="831"/>
      <c r="N100" s="831"/>
      <c r="O100" s="945"/>
      <c r="P100" s="945"/>
    </row>
    <row r="101" spans="1:16" ht="19.5">
      <c r="A101" s="949"/>
      <c r="B101" s="950"/>
      <c r="C101" s="950"/>
      <c r="D101" s="957"/>
      <c r="E101" s="960" t="s">
        <v>50</v>
      </c>
      <c r="F101" s="957"/>
      <c r="G101" s="958"/>
      <c r="H101" s="590"/>
      <c r="I101" s="830"/>
      <c r="J101" s="830"/>
      <c r="K101" s="831"/>
      <c r="L101" s="831"/>
      <c r="M101" s="831"/>
      <c r="N101" s="831"/>
      <c r="O101" s="945"/>
      <c r="P101" s="945"/>
    </row>
    <row r="102" spans="1:16" ht="18.75">
      <c r="A102" s="949"/>
      <c r="B102" s="950"/>
      <c r="C102" s="950"/>
      <c r="D102" s="957"/>
      <c r="E102" s="961" t="s">
        <v>47</v>
      </c>
      <c r="F102" s="957"/>
      <c r="G102" s="958"/>
      <c r="H102" s="590" t="s">
        <v>46</v>
      </c>
      <c r="I102" s="830">
        <f ca="1">IFERROR(__xludf.DUMMYFUNCTION("IMPORTRANGE(""https://docs.google.com/spreadsheets/d/1QqKyyYR6Q21VydFLVH3TRQUabQu_ym0Zz7PgGX0-kHA/edit?usp=sharing"",""แผน!N23"")"),75)</f>
        <v>75</v>
      </c>
      <c r="J102" s="959">
        <v>75</v>
      </c>
      <c r="K102" s="831">
        <f t="shared" ref="K102:K104" ca="1" si="56">IF(I102&gt;0,J102*100/I102,0)</f>
        <v>100</v>
      </c>
      <c r="L102" s="831"/>
      <c r="M102" s="831"/>
      <c r="N102" s="831"/>
      <c r="O102" s="945"/>
      <c r="P102" s="945"/>
    </row>
    <row r="103" spans="1:16" ht="19.5">
      <c r="A103" s="949"/>
      <c r="B103" s="950"/>
      <c r="C103" s="950"/>
      <c r="D103" s="957"/>
      <c r="E103" s="956" t="s">
        <v>51</v>
      </c>
      <c r="F103" s="957"/>
      <c r="G103" s="958"/>
      <c r="H103" s="590" t="s">
        <v>35</v>
      </c>
      <c r="I103" s="830">
        <f ca="1">IFERROR(__xludf.DUMMYFUNCTION("IMPORTRANGE(""https://docs.google.com/spreadsheets/d/1QqKyyYR6Q21VydFLVH3TRQUabQu_ym0Zz7PgGX0-kHA/edit?usp=sharing"",""แผน!O23"")"),25)</f>
        <v>25</v>
      </c>
      <c r="J103" s="959">
        <v>25</v>
      </c>
      <c r="K103" s="831">
        <f t="shared" ca="1" si="56"/>
        <v>100</v>
      </c>
      <c r="L103" s="831"/>
      <c r="M103" s="831"/>
      <c r="N103" s="831"/>
      <c r="O103" s="945"/>
      <c r="P103" s="945"/>
    </row>
    <row r="104" spans="1:16" ht="18.75">
      <c r="A104" s="949"/>
      <c r="B104" s="950"/>
      <c r="C104" s="950"/>
      <c r="D104" s="957"/>
      <c r="E104" s="962" t="s">
        <v>52</v>
      </c>
      <c r="F104" s="957"/>
      <c r="G104" s="958"/>
      <c r="H104" s="590" t="s">
        <v>35</v>
      </c>
      <c r="I104" s="830">
        <f ca="1">IFERROR(__xludf.DUMMYFUNCTION("IMPORTRANGE(""https://docs.google.com/spreadsheets/d/1QqKyyYR6Q21VydFLVH3TRQUabQu_ym0Zz7PgGX0-kHA/edit?usp=sharing"",""แผน!O23"")"),25)</f>
        <v>25</v>
      </c>
      <c r="J104" s="959">
        <v>25</v>
      </c>
      <c r="K104" s="831">
        <f t="shared" ca="1" si="56"/>
        <v>100</v>
      </c>
      <c r="L104" s="831"/>
      <c r="M104" s="831"/>
      <c r="N104" s="831"/>
      <c r="O104" s="945"/>
      <c r="P104" s="945"/>
    </row>
    <row r="105" spans="1:16" ht="19.5">
      <c r="A105" s="949"/>
      <c r="B105" s="950"/>
      <c r="C105" s="950"/>
      <c r="D105" s="957"/>
      <c r="E105" s="960" t="s">
        <v>53</v>
      </c>
      <c r="F105" s="957"/>
      <c r="G105" s="958"/>
      <c r="H105" s="963"/>
      <c r="I105" s="830"/>
      <c r="J105" s="830"/>
      <c r="K105" s="831"/>
      <c r="L105" s="831"/>
      <c r="M105" s="831"/>
      <c r="N105" s="831"/>
      <c r="O105" s="945"/>
      <c r="P105" s="945"/>
    </row>
    <row r="106" spans="1:16" ht="19.5">
      <c r="A106" s="949"/>
      <c r="B106" s="950"/>
      <c r="C106" s="950"/>
      <c r="D106" s="957"/>
      <c r="E106" s="956" t="s">
        <v>54</v>
      </c>
      <c r="F106" s="957"/>
      <c r="G106" s="958"/>
      <c r="H106" s="590" t="s">
        <v>49</v>
      </c>
      <c r="I106" s="830">
        <f ca="1">IFERROR(__xludf.DUMMYFUNCTION("IMPORTRANGE(""https://docs.google.com/spreadsheets/d/1QqKyyYR6Q21VydFLVH3TRQUabQu_ym0Zz7PgGX0-kHA/edit?usp=sharing"",""แผน!P23"")"),1)</f>
        <v>1</v>
      </c>
      <c r="J106" s="959">
        <v>0</v>
      </c>
      <c r="K106" s="831">
        <f t="shared" ref="K106:K107" ca="1" si="57">IF(I106&gt;0,J106*100/I106,0)</f>
        <v>0</v>
      </c>
      <c r="L106" s="831"/>
      <c r="M106" s="831"/>
      <c r="N106" s="831"/>
      <c r="O106" s="945"/>
      <c r="P106" s="945"/>
    </row>
    <row r="107" spans="1:16" ht="18.75">
      <c r="A107" s="949"/>
      <c r="B107" s="950"/>
      <c r="C107" s="950"/>
      <c r="D107" s="957"/>
      <c r="E107" s="962" t="s">
        <v>55</v>
      </c>
      <c r="F107" s="957"/>
      <c r="G107" s="958"/>
      <c r="H107" s="590" t="s">
        <v>49</v>
      </c>
      <c r="I107" s="830">
        <f ca="1">IFERROR(__xludf.DUMMYFUNCTION("IMPORTRANGE(""https://docs.google.com/spreadsheets/d/1QqKyyYR6Q21VydFLVH3TRQUabQu_ym0Zz7PgGX0-kHA/edit?usp=sharing"",""แผน!P23"")"),1)</f>
        <v>1</v>
      </c>
      <c r="J107" s="959">
        <v>0</v>
      </c>
      <c r="K107" s="831">
        <f t="shared" ca="1" si="57"/>
        <v>0</v>
      </c>
      <c r="L107" s="831"/>
      <c r="M107" s="831"/>
      <c r="N107" s="831"/>
      <c r="O107" s="945"/>
      <c r="P107" s="945"/>
    </row>
    <row r="108" spans="1:16" ht="19.5">
      <c r="A108" s="949"/>
      <c r="B108" s="950"/>
      <c r="C108" s="950"/>
      <c r="D108" s="957"/>
      <c r="E108" s="960" t="s">
        <v>56</v>
      </c>
      <c r="F108" s="957"/>
      <c r="G108" s="958"/>
      <c r="H108" s="963"/>
      <c r="I108" s="830"/>
      <c r="J108" s="830"/>
      <c r="K108" s="831"/>
      <c r="L108" s="831"/>
      <c r="M108" s="831"/>
      <c r="N108" s="831"/>
      <c r="O108" s="945"/>
      <c r="P108" s="945"/>
    </row>
    <row r="109" spans="1:16" ht="19.5">
      <c r="A109" s="949"/>
      <c r="B109" s="950"/>
      <c r="C109" s="950"/>
      <c r="D109" s="957"/>
      <c r="E109" s="956" t="s">
        <v>57</v>
      </c>
      <c r="F109" s="957"/>
      <c r="G109" s="958"/>
      <c r="H109" s="590" t="s">
        <v>49</v>
      </c>
      <c r="I109" s="830">
        <f ca="1">IFERROR(__xludf.DUMMYFUNCTION("IMPORTRANGE(""https://docs.google.com/spreadsheets/d/1QqKyyYR6Q21VydFLVH3TRQUabQu_ym0Zz7PgGX0-kHA/edit?usp=sharing"",""แผน!Q23"")"),1)</f>
        <v>1</v>
      </c>
      <c r="J109" s="959">
        <v>0</v>
      </c>
      <c r="K109" s="831">
        <f t="shared" ref="K109:K116" ca="1" si="58">IF(I109&gt;0,J109*100/I109,0)</f>
        <v>0</v>
      </c>
      <c r="L109" s="831"/>
      <c r="M109" s="831"/>
      <c r="N109" s="831"/>
      <c r="O109" s="945"/>
      <c r="P109" s="945"/>
    </row>
    <row r="110" spans="1:16" ht="18.75">
      <c r="A110" s="949"/>
      <c r="B110" s="950"/>
      <c r="C110" s="950"/>
      <c r="D110" s="957"/>
      <c r="E110" s="964" t="s">
        <v>58</v>
      </c>
      <c r="F110" s="957"/>
      <c r="G110" s="958"/>
      <c r="H110" s="590" t="s">
        <v>49</v>
      </c>
      <c r="I110" s="830">
        <f ca="1">IFERROR(__xludf.DUMMYFUNCTION("IMPORTRANGE(""https://docs.google.com/spreadsheets/d/1QqKyyYR6Q21VydFLVH3TRQUabQu_ym0Zz7PgGX0-kHA/edit?usp=sharing"",""แผน!Q23"")"),1)</f>
        <v>1</v>
      </c>
      <c r="J110" s="959">
        <v>0</v>
      </c>
      <c r="K110" s="831">
        <f t="shared" ca="1" si="58"/>
        <v>0</v>
      </c>
      <c r="L110" s="831"/>
      <c r="M110" s="831"/>
      <c r="N110" s="831"/>
      <c r="O110" s="945"/>
      <c r="P110" s="945"/>
    </row>
    <row r="111" spans="1:16" ht="19.5">
      <c r="A111" s="949"/>
      <c r="B111" s="950"/>
      <c r="C111" s="950"/>
      <c r="D111" s="960" t="s">
        <v>59</v>
      </c>
      <c r="E111" s="960"/>
      <c r="F111" s="957"/>
      <c r="G111" s="958"/>
      <c r="H111" s="733" t="s">
        <v>35</v>
      </c>
      <c r="I111" s="965">
        <f ca="1">IFERROR(__xludf.DUMMYFUNCTION("IMPORTRANGE(""https://docs.google.com/spreadsheets/d/1QqKyyYR6Q21VydFLVH3TRQUabQu_ym0Zz7PgGX0-kHA/edit?usp=sharing"",""แผน!R23"")"),25)</f>
        <v>25</v>
      </c>
      <c r="J111" s="966">
        <f>J114</f>
        <v>0</v>
      </c>
      <c r="K111" s="967">
        <f t="shared" ca="1" si="58"/>
        <v>0</v>
      </c>
      <c r="L111" s="831"/>
      <c r="M111" s="831"/>
      <c r="N111" s="831"/>
      <c r="O111" s="945"/>
      <c r="P111" s="945"/>
    </row>
    <row r="112" spans="1:16" ht="19.5">
      <c r="A112" s="949"/>
      <c r="B112" s="950"/>
      <c r="C112" s="950"/>
      <c r="D112" s="950"/>
      <c r="E112" s="957"/>
      <c r="F112" s="957"/>
      <c r="G112" s="958"/>
      <c r="H112" s="196" t="s">
        <v>49</v>
      </c>
      <c r="I112" s="965">
        <f t="shared" ref="I112:J112" ca="1" si="59">I115+I116</f>
        <v>2</v>
      </c>
      <c r="J112" s="966">
        <f t="shared" si="59"/>
        <v>0</v>
      </c>
      <c r="K112" s="967">
        <f t="shared" ca="1" si="58"/>
        <v>0</v>
      </c>
      <c r="L112" s="831"/>
      <c r="M112" s="831"/>
      <c r="N112" s="831"/>
      <c r="O112" s="945"/>
      <c r="P112" s="945"/>
    </row>
    <row r="113" spans="1:26" ht="19.5">
      <c r="A113" s="949"/>
      <c r="B113" s="950"/>
      <c r="C113" s="950"/>
      <c r="D113" s="950"/>
      <c r="E113" s="968" t="s">
        <v>60</v>
      </c>
      <c r="F113" s="957"/>
      <c r="G113" s="958"/>
      <c r="H113" s="198" t="s">
        <v>35</v>
      </c>
      <c r="I113" s="944">
        <f ca="1">IFERROR(__xludf.DUMMYFUNCTION("IMPORTRANGE(""https://docs.google.com/spreadsheets/d/1QqKyyYR6Q21VydFLVH3TRQUabQu_ym0Zz7PgGX0-kHA/edit?usp=sharing"",""แผน!R23"")"),25)</f>
        <v>25</v>
      </c>
      <c r="J113" s="959">
        <v>0</v>
      </c>
      <c r="K113" s="831">
        <f t="shared" ca="1" si="58"/>
        <v>0</v>
      </c>
      <c r="L113" s="831"/>
      <c r="M113" s="831"/>
      <c r="N113" s="831"/>
      <c r="O113" s="945"/>
      <c r="P113" s="945"/>
    </row>
    <row r="114" spans="1:26" ht="19.5">
      <c r="A114" s="949"/>
      <c r="B114" s="950"/>
      <c r="C114" s="950"/>
      <c r="D114" s="950"/>
      <c r="E114" s="956" t="s">
        <v>61</v>
      </c>
      <c r="F114" s="957"/>
      <c r="G114" s="958"/>
      <c r="H114" s="199" t="s">
        <v>35</v>
      </c>
      <c r="I114" s="944">
        <f ca="1">IFERROR(__xludf.DUMMYFUNCTION("IMPORTRANGE(""https://docs.google.com/spreadsheets/d/1QqKyyYR6Q21VydFLVH3TRQUabQu_ym0Zz7PgGX0-kHA/edit?usp=sharing"",""แผน!R23"")"),25)</f>
        <v>25</v>
      </c>
      <c r="J114" s="959">
        <v>0</v>
      </c>
      <c r="K114" s="831">
        <f t="shared" ca="1" si="58"/>
        <v>0</v>
      </c>
      <c r="L114" s="831"/>
      <c r="M114" s="831"/>
      <c r="N114" s="831"/>
      <c r="O114" s="945"/>
      <c r="P114" s="945"/>
    </row>
    <row r="115" spans="1:26" ht="18.75">
      <c r="A115" s="949"/>
      <c r="B115" s="950"/>
      <c r="C115" s="950"/>
      <c r="D115" s="950"/>
      <c r="E115" s="956" t="s">
        <v>62</v>
      </c>
      <c r="F115" s="957"/>
      <c r="G115" s="958"/>
      <c r="H115" s="199" t="s">
        <v>49</v>
      </c>
      <c r="I115" s="944">
        <f ca="1">IFERROR(__xludf.DUMMYFUNCTION("IMPORTRANGE(""https://docs.google.com/spreadsheets/d/1QqKyyYR6Q21VydFLVH3TRQUabQu_ym0Zz7PgGX0-kHA/edit?usp=sharing"",""แผน!S23"")"),1)</f>
        <v>1</v>
      </c>
      <c r="J115" s="959">
        <v>0</v>
      </c>
      <c r="K115" s="831">
        <f t="shared" ca="1" si="58"/>
        <v>0</v>
      </c>
      <c r="L115" s="831"/>
      <c r="M115" s="831"/>
      <c r="N115" s="831"/>
      <c r="O115" s="945"/>
      <c r="P115" s="945"/>
    </row>
    <row r="116" spans="1:26" ht="18.75">
      <c r="A116" s="949"/>
      <c r="B116" s="950"/>
      <c r="C116" s="950"/>
      <c r="D116" s="950"/>
      <c r="E116" s="956" t="s">
        <v>63</v>
      </c>
      <c r="F116" s="957"/>
      <c r="G116" s="958"/>
      <c r="H116" s="199" t="s">
        <v>49</v>
      </c>
      <c r="I116" s="944">
        <f ca="1">IFERROR(__xludf.DUMMYFUNCTION("IMPORTRANGE(""https://docs.google.com/spreadsheets/d/1QqKyyYR6Q21VydFLVH3TRQUabQu_ym0Zz7PgGX0-kHA/edit?usp=sharing"",""แผน!T23"")"),1)</f>
        <v>1</v>
      </c>
      <c r="J116" s="959">
        <v>0</v>
      </c>
      <c r="K116" s="831">
        <f t="shared" ca="1" si="58"/>
        <v>0</v>
      </c>
      <c r="L116" s="831"/>
      <c r="M116" s="831"/>
      <c r="N116" s="831"/>
      <c r="O116" s="945"/>
      <c r="P116" s="945"/>
    </row>
    <row r="117" spans="1:26" ht="19.5" hidden="1">
      <c r="A117" s="917" t="s">
        <v>64</v>
      </c>
      <c r="B117" s="918"/>
      <c r="C117" s="969"/>
      <c r="D117" s="918"/>
      <c r="E117" s="918"/>
      <c r="F117" s="918"/>
      <c r="G117" s="918"/>
      <c r="H117" s="970"/>
      <c r="I117" s="971"/>
      <c r="J117" s="971"/>
      <c r="K117" s="972"/>
      <c r="L117" s="923"/>
      <c r="M117" s="923"/>
      <c r="N117" s="923"/>
      <c r="O117" s="923"/>
      <c r="P117" s="923"/>
    </row>
    <row r="118" spans="1:26" ht="19.5" hidden="1">
      <c r="A118" s="924"/>
      <c r="B118" s="925" t="s">
        <v>65</v>
      </c>
      <c r="C118" s="973"/>
      <c r="D118" s="927"/>
      <c r="E118" s="926"/>
      <c r="F118" s="926"/>
      <c r="G118" s="928"/>
      <c r="H118" s="205"/>
      <c r="I118" s="974"/>
      <c r="J118" s="974"/>
      <c r="K118" s="931"/>
      <c r="L118" s="931"/>
      <c r="M118" s="931"/>
      <c r="N118" s="931"/>
      <c r="O118" s="931"/>
      <c r="P118" s="931"/>
    </row>
    <row r="119" spans="1:26" ht="19.5" hidden="1">
      <c r="A119" s="932"/>
      <c r="B119" s="933"/>
      <c r="C119" s="934" t="s">
        <v>16</v>
      </c>
      <c r="D119" s="935" t="s">
        <v>17</v>
      </c>
      <c r="E119" s="933"/>
      <c r="F119" s="933"/>
      <c r="G119" s="936"/>
      <c r="H119" s="152" t="s">
        <v>12</v>
      </c>
      <c r="I119" s="937"/>
      <c r="J119" s="937"/>
      <c r="K119" s="938"/>
      <c r="L119" s="939">
        <f t="shared" ref="L119:N119" ca="1" si="60">L120+L121</f>
        <v>0</v>
      </c>
      <c r="M119" s="939">
        <f t="shared" ca="1" si="60"/>
        <v>0</v>
      </c>
      <c r="N119" s="939">
        <f t="shared" ca="1" si="60"/>
        <v>0</v>
      </c>
      <c r="O119" s="939">
        <f t="shared" ref="O119:O127" ca="1" si="61">IF(L119&gt;0,N119*100/L119,0)</f>
        <v>0</v>
      </c>
      <c r="P119" s="939">
        <f t="shared" ref="P119:P127" ca="1" si="62">IF(M119&gt;0,N119*100/M119,0)</f>
        <v>0</v>
      </c>
      <c r="Q119" s="818"/>
      <c r="R119" s="818"/>
      <c r="S119" s="818"/>
      <c r="T119" s="818"/>
      <c r="U119" s="818"/>
      <c r="V119" s="818"/>
      <c r="W119" s="818"/>
      <c r="X119" s="818"/>
      <c r="Y119" s="818"/>
      <c r="Z119" s="818"/>
    </row>
    <row r="120" spans="1:26" ht="18.75" hidden="1">
      <c r="A120" s="940"/>
      <c r="B120" s="833"/>
      <c r="C120" s="833"/>
      <c r="D120" s="833"/>
      <c r="E120" s="834" t="s">
        <v>18</v>
      </c>
      <c r="F120" s="833"/>
      <c r="G120" s="941"/>
      <c r="H120" s="158" t="s">
        <v>12</v>
      </c>
      <c r="I120" s="836"/>
      <c r="J120" s="836"/>
      <c r="K120" s="837"/>
      <c r="L120" s="837">
        <f t="shared" ref="L120:N121" si="63">L123+L126</f>
        <v>0</v>
      </c>
      <c r="M120" s="837">
        <f t="shared" si="63"/>
        <v>0</v>
      </c>
      <c r="N120" s="837">
        <f t="shared" si="63"/>
        <v>0</v>
      </c>
      <c r="O120" s="837">
        <f t="shared" si="61"/>
        <v>0</v>
      </c>
      <c r="P120" s="837">
        <f t="shared" si="62"/>
        <v>0</v>
      </c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</row>
    <row r="121" spans="1:26" ht="18.75" hidden="1">
      <c r="A121" s="940"/>
      <c r="B121" s="833"/>
      <c r="C121" s="833"/>
      <c r="D121" s="833"/>
      <c r="E121" s="834" t="s">
        <v>19</v>
      </c>
      <c r="F121" s="833"/>
      <c r="G121" s="941"/>
      <c r="H121" s="158" t="s">
        <v>12</v>
      </c>
      <c r="I121" s="836"/>
      <c r="J121" s="836"/>
      <c r="K121" s="837"/>
      <c r="L121" s="837">
        <f t="shared" ca="1" si="63"/>
        <v>0</v>
      </c>
      <c r="M121" s="837">
        <f t="shared" ca="1" si="63"/>
        <v>0</v>
      </c>
      <c r="N121" s="837">
        <f t="shared" ca="1" si="63"/>
        <v>0</v>
      </c>
      <c r="O121" s="837">
        <f t="shared" ca="1" si="61"/>
        <v>0</v>
      </c>
      <c r="P121" s="837">
        <f t="shared" ca="1" si="62"/>
        <v>0</v>
      </c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</row>
    <row r="122" spans="1:26" ht="18.75" hidden="1">
      <c r="A122" s="942"/>
      <c r="B122" s="827"/>
      <c r="C122" s="943"/>
      <c r="D122" s="828" t="s">
        <v>20</v>
      </c>
      <c r="E122" s="827"/>
      <c r="F122" s="827"/>
      <c r="G122" s="829"/>
      <c r="H122" s="778" t="s">
        <v>12</v>
      </c>
      <c r="I122" s="944"/>
      <c r="J122" s="944"/>
      <c r="K122" s="945"/>
      <c r="L122" s="831">
        <f t="shared" ref="L122:N122" ca="1" si="64">L123+L124</f>
        <v>0</v>
      </c>
      <c r="M122" s="831">
        <f t="shared" ca="1" si="64"/>
        <v>0</v>
      </c>
      <c r="N122" s="831">
        <f t="shared" ca="1" si="64"/>
        <v>0</v>
      </c>
      <c r="O122" s="831">
        <f t="shared" ca="1" si="61"/>
        <v>0</v>
      </c>
      <c r="P122" s="831">
        <f t="shared" ca="1" si="62"/>
        <v>0</v>
      </c>
      <c r="Q122" s="818"/>
      <c r="R122" s="818"/>
      <c r="S122" s="818"/>
      <c r="T122" s="818"/>
      <c r="U122" s="818"/>
      <c r="V122" s="818"/>
      <c r="W122" s="818"/>
      <c r="X122" s="818"/>
      <c r="Y122" s="818"/>
      <c r="Z122" s="818"/>
    </row>
    <row r="123" spans="1:26" ht="18.75" hidden="1">
      <c r="A123" s="940"/>
      <c r="B123" s="833"/>
      <c r="C123" s="834"/>
      <c r="D123" s="833"/>
      <c r="E123" s="834" t="s">
        <v>36</v>
      </c>
      <c r="F123" s="833"/>
      <c r="G123" s="941"/>
      <c r="H123" s="165" t="s">
        <v>12</v>
      </c>
      <c r="I123" s="947"/>
      <c r="J123" s="947"/>
      <c r="K123" s="948"/>
      <c r="L123" s="837">
        <v>0</v>
      </c>
      <c r="M123" s="837">
        <v>0</v>
      </c>
      <c r="N123" s="837">
        <v>0</v>
      </c>
      <c r="O123" s="837">
        <f t="shared" si="61"/>
        <v>0</v>
      </c>
      <c r="P123" s="837">
        <f t="shared" si="62"/>
        <v>0</v>
      </c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</row>
    <row r="124" spans="1:26" ht="18.75" hidden="1">
      <c r="A124" s="940"/>
      <c r="B124" s="833"/>
      <c r="C124" s="834"/>
      <c r="D124" s="833"/>
      <c r="E124" s="834" t="s">
        <v>37</v>
      </c>
      <c r="F124" s="833"/>
      <c r="G124" s="941"/>
      <c r="H124" s="165" t="s">
        <v>12</v>
      </c>
      <c r="I124" s="947"/>
      <c r="J124" s="947"/>
      <c r="K124" s="948"/>
      <c r="L124" s="837">
        <f ca="1">IFERROR(__xludf.DUMMYFUNCTION("IMPORTRANGE(""https://docs.google.com/spreadsheets/d/1MeEWN-I1oV_STSDYn1IFDPWt_1FKiwhDph83XaGc0o0/edit?usp=sharing"",""งบพรบ!BA23"")"),0)</f>
        <v>0</v>
      </c>
      <c r="M124" s="837">
        <f ca="1">IFERROR(__xludf.DUMMYFUNCTION("IMPORTRANGE(""https://docs.google.com/spreadsheets/d/1MeEWN-I1oV_STSDYn1IFDPWt_1FKiwhDph83XaGc0o0/edit?usp=sharing"",""งบพรบ!BF23"")"),0)</f>
        <v>0</v>
      </c>
      <c r="N124" s="837">
        <f ca="1">IFERROR(__xludf.DUMMYFUNCTION("IMPORTRANGE(""https://docs.google.com/spreadsheets/d/1MeEWN-I1oV_STSDYn1IFDPWt_1FKiwhDph83XaGc0o0/edit?usp=sharing"",""งบพรบ!BH23"")"),0)</f>
        <v>0</v>
      </c>
      <c r="O124" s="837">
        <f t="shared" ca="1" si="61"/>
        <v>0</v>
      </c>
      <c r="P124" s="837">
        <f t="shared" ca="1" si="62"/>
        <v>0</v>
      </c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</row>
    <row r="125" spans="1:26" ht="18.75" hidden="1">
      <c r="A125" s="942"/>
      <c r="B125" s="827"/>
      <c r="C125" s="943"/>
      <c r="D125" s="828" t="s">
        <v>21</v>
      </c>
      <c r="E125" s="827"/>
      <c r="F125" s="827"/>
      <c r="G125" s="829"/>
      <c r="H125" s="168" t="s">
        <v>12</v>
      </c>
      <c r="I125" s="944"/>
      <c r="J125" s="944"/>
      <c r="K125" s="945"/>
      <c r="L125" s="831">
        <f t="shared" ref="L125:N125" ca="1" si="65">L126+L127</f>
        <v>0</v>
      </c>
      <c r="M125" s="831">
        <f t="shared" ca="1" si="65"/>
        <v>0</v>
      </c>
      <c r="N125" s="831">
        <f t="shared" ca="1" si="65"/>
        <v>0</v>
      </c>
      <c r="O125" s="831">
        <f t="shared" ca="1" si="61"/>
        <v>0</v>
      </c>
      <c r="P125" s="831">
        <f t="shared" ca="1" si="62"/>
        <v>0</v>
      </c>
      <c r="Q125" s="818"/>
      <c r="R125" s="818"/>
      <c r="S125" s="818"/>
      <c r="T125" s="818"/>
      <c r="U125" s="818"/>
      <c r="V125" s="818"/>
      <c r="W125" s="818"/>
      <c r="X125" s="818"/>
      <c r="Y125" s="818"/>
      <c r="Z125" s="818"/>
    </row>
    <row r="126" spans="1:26" ht="19.5" hidden="1">
      <c r="A126" s="940"/>
      <c r="B126" s="833"/>
      <c r="C126" s="946"/>
      <c r="D126" s="833"/>
      <c r="E126" s="834" t="s">
        <v>18</v>
      </c>
      <c r="F126" s="833"/>
      <c r="G126" s="941"/>
      <c r="H126" s="165" t="s">
        <v>12</v>
      </c>
      <c r="I126" s="947"/>
      <c r="J126" s="947"/>
      <c r="K126" s="948"/>
      <c r="L126" s="837">
        <v>0</v>
      </c>
      <c r="M126" s="837">
        <v>0</v>
      </c>
      <c r="N126" s="837">
        <v>0</v>
      </c>
      <c r="O126" s="837">
        <f t="shared" si="61"/>
        <v>0</v>
      </c>
      <c r="P126" s="837">
        <f t="shared" si="62"/>
        <v>0</v>
      </c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</row>
    <row r="127" spans="1:26" ht="19.5" hidden="1">
      <c r="A127" s="940"/>
      <c r="B127" s="833"/>
      <c r="C127" s="946"/>
      <c r="D127" s="833"/>
      <c r="E127" s="834" t="s">
        <v>19</v>
      </c>
      <c r="F127" s="833"/>
      <c r="G127" s="941"/>
      <c r="H127" s="169" t="s">
        <v>12</v>
      </c>
      <c r="I127" s="947"/>
      <c r="J127" s="947"/>
      <c r="K127" s="948"/>
      <c r="L127" s="837">
        <f ca="1">IFERROR(__xludf.DUMMYFUNCTION("IMPORTRANGE(""https://docs.google.com/spreadsheets/d/1MeEWN-I1oV_STSDYn1IFDPWt_1FKiwhDph83XaGc0o0/edit?usp=sharing"",""งบพรบ!BD23"")"),0)</f>
        <v>0</v>
      </c>
      <c r="M127" s="837">
        <f ca="1">IFERROR(__xludf.DUMMYFUNCTION("IMPORTRANGE(""https://docs.google.com/spreadsheets/d/1MeEWN-I1oV_STSDYn1IFDPWt_1FKiwhDph83XaGc0o0/edit?usp=sharing"",""งบพรบ!BG23"")"),0)</f>
        <v>0</v>
      </c>
      <c r="N127" s="837">
        <f ca="1">IFERROR(__xludf.DUMMYFUNCTION("IMPORTRANGE(""https://docs.google.com/spreadsheets/d/1MeEWN-I1oV_STSDYn1IFDPWt_1FKiwhDph83XaGc0o0/edit?usp=sharing"",""งบพรบ!BI23"")"),0)</f>
        <v>0</v>
      </c>
      <c r="O127" s="837">
        <f t="shared" ca="1" si="61"/>
        <v>0</v>
      </c>
      <c r="P127" s="837">
        <f t="shared" ca="1" si="62"/>
        <v>0</v>
      </c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</row>
    <row r="128" spans="1:26" ht="19.5">
      <c r="A128" s="917" t="s">
        <v>67</v>
      </c>
      <c r="B128" s="918"/>
      <c r="C128" s="969"/>
      <c r="D128" s="918"/>
      <c r="E128" s="918"/>
      <c r="F128" s="918"/>
      <c r="G128" s="918"/>
      <c r="H128" s="970"/>
      <c r="I128" s="971"/>
      <c r="J128" s="971"/>
      <c r="K128" s="972"/>
      <c r="L128" s="923"/>
      <c r="M128" s="923"/>
      <c r="N128" s="923"/>
      <c r="O128" s="923"/>
      <c r="P128" s="923"/>
    </row>
    <row r="129" spans="1:26" ht="19.5">
      <c r="A129" s="924"/>
      <c r="B129" s="925" t="s">
        <v>68</v>
      </c>
      <c r="C129" s="973"/>
      <c r="D129" s="927"/>
      <c r="E129" s="926"/>
      <c r="F129" s="926"/>
      <c r="G129" s="926"/>
      <c r="H129" s="207"/>
      <c r="I129" s="974"/>
      <c r="J129" s="974"/>
      <c r="K129" s="931"/>
      <c r="L129" s="931"/>
      <c r="M129" s="931"/>
      <c r="N129" s="931"/>
      <c r="O129" s="931"/>
      <c r="P129" s="931"/>
    </row>
    <row r="130" spans="1:26" ht="19.5">
      <c r="A130" s="924"/>
      <c r="B130" s="925"/>
      <c r="C130" s="975" t="s">
        <v>69</v>
      </c>
      <c r="D130" s="927"/>
      <c r="E130" s="926"/>
      <c r="F130" s="926"/>
      <c r="G130" s="928"/>
      <c r="H130" s="205" t="s">
        <v>66</v>
      </c>
      <c r="I130" s="929">
        <f t="shared" ref="I130:J130" ca="1" si="66">I146</f>
        <v>1</v>
      </c>
      <c r="J130" s="929">
        <f t="shared" si="66"/>
        <v>1</v>
      </c>
      <c r="K130" s="930">
        <f t="shared" ref="K130:K131" ca="1" si="67">IF(I130&gt;0,J130*100/I130,0)</f>
        <v>100</v>
      </c>
      <c r="L130" s="931"/>
      <c r="M130" s="931"/>
      <c r="N130" s="931"/>
      <c r="O130" s="931"/>
      <c r="P130" s="931"/>
    </row>
    <row r="131" spans="1:26" ht="19.5">
      <c r="A131" s="924"/>
      <c r="B131" s="925"/>
      <c r="C131" s="975" t="s">
        <v>70</v>
      </c>
      <c r="D131" s="927"/>
      <c r="E131" s="926"/>
      <c r="F131" s="926"/>
      <c r="G131" s="928"/>
      <c r="H131" s="205" t="s">
        <v>35</v>
      </c>
      <c r="I131" s="929">
        <f t="shared" ref="I131:J131" ca="1" si="68">I143</f>
        <v>10</v>
      </c>
      <c r="J131" s="929">
        <f t="shared" ca="1" si="68"/>
        <v>10</v>
      </c>
      <c r="K131" s="930">
        <f t="shared" ca="1" si="67"/>
        <v>100</v>
      </c>
      <c r="L131" s="931"/>
      <c r="M131" s="931"/>
      <c r="N131" s="931"/>
      <c r="O131" s="931"/>
      <c r="P131" s="931"/>
    </row>
    <row r="132" spans="1:26" ht="19.5">
      <c r="A132" s="932"/>
      <c r="B132" s="933"/>
      <c r="C132" s="934" t="s">
        <v>16</v>
      </c>
      <c r="D132" s="935" t="s">
        <v>17</v>
      </c>
      <c r="E132" s="933"/>
      <c r="F132" s="933"/>
      <c r="G132" s="936"/>
      <c r="H132" s="152" t="s">
        <v>12</v>
      </c>
      <c r="I132" s="937"/>
      <c r="J132" s="937"/>
      <c r="K132" s="938"/>
      <c r="L132" s="939">
        <f t="shared" ref="L132:N132" ca="1" si="69">L133+L134</f>
        <v>239255</v>
      </c>
      <c r="M132" s="939">
        <f t="shared" ca="1" si="69"/>
        <v>212600</v>
      </c>
      <c r="N132" s="939">
        <f t="shared" ca="1" si="69"/>
        <v>164702.5</v>
      </c>
      <c r="O132" s="939">
        <f t="shared" ref="O132:O140" ca="1" si="70">IF(L132&gt;0,N132*100/L132,0)</f>
        <v>68.839731667049804</v>
      </c>
      <c r="P132" s="939">
        <f t="shared" ref="P132:P140" ca="1" si="71">IF(M132&gt;0,N132*100/M132,0)</f>
        <v>77.470602069614301</v>
      </c>
      <c r="Q132" s="818"/>
      <c r="R132" s="818"/>
      <c r="S132" s="818"/>
      <c r="T132" s="818"/>
      <c r="U132" s="818"/>
      <c r="V132" s="818"/>
      <c r="W132" s="818"/>
      <c r="X132" s="818"/>
      <c r="Y132" s="818"/>
      <c r="Z132" s="818"/>
    </row>
    <row r="133" spans="1:26" ht="18.75" hidden="1">
      <c r="A133" s="940"/>
      <c r="B133" s="833"/>
      <c r="C133" s="833"/>
      <c r="D133" s="833"/>
      <c r="E133" s="834" t="s">
        <v>18</v>
      </c>
      <c r="F133" s="833"/>
      <c r="G133" s="941"/>
      <c r="H133" s="158" t="s">
        <v>12</v>
      </c>
      <c r="I133" s="836"/>
      <c r="J133" s="836"/>
      <c r="K133" s="837"/>
      <c r="L133" s="837">
        <f t="shared" ref="L133:N134" si="72">L136+L139</f>
        <v>0</v>
      </c>
      <c r="M133" s="837">
        <f t="shared" si="72"/>
        <v>0</v>
      </c>
      <c r="N133" s="837">
        <f t="shared" si="72"/>
        <v>0</v>
      </c>
      <c r="O133" s="837">
        <f t="shared" si="70"/>
        <v>0</v>
      </c>
      <c r="P133" s="837">
        <f t="shared" si="71"/>
        <v>0</v>
      </c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</row>
    <row r="134" spans="1:26" ht="18.75" hidden="1">
      <c r="A134" s="940"/>
      <c r="B134" s="833"/>
      <c r="C134" s="833"/>
      <c r="D134" s="833"/>
      <c r="E134" s="834" t="s">
        <v>19</v>
      </c>
      <c r="F134" s="833"/>
      <c r="G134" s="941"/>
      <c r="H134" s="158" t="s">
        <v>12</v>
      </c>
      <c r="I134" s="836"/>
      <c r="J134" s="836"/>
      <c r="K134" s="837"/>
      <c r="L134" s="837">
        <f t="shared" ca="1" si="72"/>
        <v>239255</v>
      </c>
      <c r="M134" s="837">
        <f t="shared" ca="1" si="72"/>
        <v>212600</v>
      </c>
      <c r="N134" s="837">
        <f t="shared" ca="1" si="72"/>
        <v>164702.5</v>
      </c>
      <c r="O134" s="837">
        <f t="shared" ca="1" si="70"/>
        <v>68.839731667049804</v>
      </c>
      <c r="P134" s="837">
        <f t="shared" ca="1" si="71"/>
        <v>77.470602069614301</v>
      </c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</row>
    <row r="135" spans="1:26" ht="18.75">
      <c r="A135" s="942"/>
      <c r="B135" s="827"/>
      <c r="C135" s="943"/>
      <c r="D135" s="828" t="s">
        <v>20</v>
      </c>
      <c r="E135" s="827"/>
      <c r="F135" s="827"/>
      <c r="G135" s="829"/>
      <c r="H135" s="778" t="s">
        <v>12</v>
      </c>
      <c r="I135" s="944"/>
      <c r="J135" s="944"/>
      <c r="K135" s="945"/>
      <c r="L135" s="831">
        <f t="shared" ref="L135:N135" ca="1" si="73">L136+L137</f>
        <v>136255</v>
      </c>
      <c r="M135" s="831">
        <f t="shared" ca="1" si="73"/>
        <v>109600</v>
      </c>
      <c r="N135" s="831">
        <f t="shared" ca="1" si="73"/>
        <v>61702.5</v>
      </c>
      <c r="O135" s="831">
        <f t="shared" ca="1" si="70"/>
        <v>45.284576712781181</v>
      </c>
      <c r="P135" s="831">
        <f t="shared" ca="1" si="71"/>
        <v>56.297901459854018</v>
      </c>
      <c r="Q135" s="818"/>
      <c r="R135" s="818"/>
      <c r="S135" s="818"/>
      <c r="T135" s="818"/>
      <c r="U135" s="818"/>
      <c r="V135" s="818"/>
      <c r="W135" s="818"/>
      <c r="X135" s="818"/>
      <c r="Y135" s="818"/>
      <c r="Z135" s="818"/>
    </row>
    <row r="136" spans="1:26" ht="19.5" hidden="1">
      <c r="A136" s="940"/>
      <c r="B136" s="833"/>
      <c r="C136" s="946"/>
      <c r="D136" s="833"/>
      <c r="E136" s="834" t="s">
        <v>36</v>
      </c>
      <c r="F136" s="833"/>
      <c r="G136" s="941"/>
      <c r="H136" s="165" t="s">
        <v>12</v>
      </c>
      <c r="I136" s="947"/>
      <c r="J136" s="947"/>
      <c r="K136" s="948"/>
      <c r="L136" s="837">
        <v>0</v>
      </c>
      <c r="M136" s="837">
        <v>0</v>
      </c>
      <c r="N136" s="837">
        <v>0</v>
      </c>
      <c r="O136" s="837">
        <f t="shared" si="70"/>
        <v>0</v>
      </c>
      <c r="P136" s="837">
        <f t="shared" si="71"/>
        <v>0</v>
      </c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</row>
    <row r="137" spans="1:26" ht="19.5" hidden="1">
      <c r="A137" s="940"/>
      <c r="B137" s="833"/>
      <c r="C137" s="946"/>
      <c r="D137" s="833"/>
      <c r="E137" s="834" t="s">
        <v>37</v>
      </c>
      <c r="F137" s="833"/>
      <c r="G137" s="941"/>
      <c r="H137" s="165" t="s">
        <v>12</v>
      </c>
      <c r="I137" s="947"/>
      <c r="J137" s="947"/>
      <c r="K137" s="948"/>
      <c r="L137" s="837">
        <f ca="1">IFERROR(__xludf.DUMMYFUNCTION("IMPORTRANGE(""https://docs.google.com/spreadsheets/d/1MeEWN-I1oV_STSDYn1IFDPWt_1FKiwhDph83XaGc0o0/edit?usp=sharing"",""งบพรบ!BK23"")"),136255)</f>
        <v>136255</v>
      </c>
      <c r="M137" s="837">
        <f ca="1">IFERROR(__xludf.DUMMYFUNCTION("IMPORTRANGE(""https://docs.google.com/spreadsheets/d/1MeEWN-I1oV_STSDYn1IFDPWt_1FKiwhDph83XaGc0o0/edit?usp=sharing"",""งบพรบ!BP23"")"),109600)</f>
        <v>109600</v>
      </c>
      <c r="N137" s="837">
        <f ca="1">IFERROR(__xludf.DUMMYFUNCTION("IMPORTRANGE(""https://docs.google.com/spreadsheets/d/1MeEWN-I1oV_STSDYn1IFDPWt_1FKiwhDph83XaGc0o0/edit?usp=sharing"",""งบพรบ!BR23"")"),61702.5)</f>
        <v>61702.5</v>
      </c>
      <c r="O137" s="837">
        <f t="shared" ca="1" si="70"/>
        <v>45.284576712781181</v>
      </c>
      <c r="P137" s="837">
        <f t="shared" ca="1" si="71"/>
        <v>56.297901459854018</v>
      </c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</row>
    <row r="138" spans="1:26" ht="18.75">
      <c r="A138" s="942"/>
      <c r="B138" s="827"/>
      <c r="C138" s="943"/>
      <c r="D138" s="828" t="s">
        <v>21</v>
      </c>
      <c r="E138" s="827"/>
      <c r="F138" s="827"/>
      <c r="G138" s="829"/>
      <c r="H138" s="168" t="s">
        <v>12</v>
      </c>
      <c r="I138" s="944"/>
      <c r="J138" s="944"/>
      <c r="K138" s="945"/>
      <c r="L138" s="831">
        <f t="shared" ref="L138:N138" ca="1" si="74">L139+L140</f>
        <v>103000</v>
      </c>
      <c r="M138" s="831">
        <f t="shared" ca="1" si="74"/>
        <v>103000</v>
      </c>
      <c r="N138" s="831">
        <f t="shared" ca="1" si="74"/>
        <v>103000</v>
      </c>
      <c r="O138" s="831">
        <f t="shared" ca="1" si="70"/>
        <v>100</v>
      </c>
      <c r="P138" s="831">
        <f t="shared" ca="1" si="71"/>
        <v>100</v>
      </c>
      <c r="Q138" s="818"/>
      <c r="R138" s="818"/>
      <c r="S138" s="818"/>
      <c r="T138" s="818"/>
      <c r="U138" s="818"/>
      <c r="V138" s="818"/>
      <c r="W138" s="818"/>
      <c r="X138" s="818"/>
      <c r="Y138" s="818"/>
      <c r="Z138" s="818"/>
    </row>
    <row r="139" spans="1:26" ht="19.5" hidden="1">
      <c r="A139" s="940"/>
      <c r="B139" s="833"/>
      <c r="C139" s="946"/>
      <c r="D139" s="833"/>
      <c r="E139" s="834" t="s">
        <v>18</v>
      </c>
      <c r="F139" s="833"/>
      <c r="G139" s="941"/>
      <c r="H139" s="165" t="s">
        <v>12</v>
      </c>
      <c r="I139" s="947"/>
      <c r="J139" s="947"/>
      <c r="K139" s="948"/>
      <c r="L139" s="837">
        <v>0</v>
      </c>
      <c r="M139" s="837">
        <v>0</v>
      </c>
      <c r="N139" s="837">
        <v>0</v>
      </c>
      <c r="O139" s="837">
        <f t="shared" si="70"/>
        <v>0</v>
      </c>
      <c r="P139" s="837">
        <f t="shared" si="71"/>
        <v>0</v>
      </c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</row>
    <row r="140" spans="1:26" ht="19.5" hidden="1">
      <c r="A140" s="940"/>
      <c r="B140" s="833"/>
      <c r="C140" s="946"/>
      <c r="D140" s="833"/>
      <c r="E140" s="834" t="s">
        <v>19</v>
      </c>
      <c r="F140" s="833"/>
      <c r="G140" s="941"/>
      <c r="H140" s="169" t="s">
        <v>12</v>
      </c>
      <c r="I140" s="947"/>
      <c r="J140" s="947"/>
      <c r="K140" s="948"/>
      <c r="L140" s="837">
        <f ca="1">IFERROR(__xludf.DUMMYFUNCTION("IMPORTRANGE(""https://docs.google.com/spreadsheets/d/1MeEWN-I1oV_STSDYn1IFDPWt_1FKiwhDph83XaGc0o0/edit?usp=sharing"",""งบพรบ!BN23"")"),103000)</f>
        <v>103000</v>
      </c>
      <c r="M140" s="837">
        <f ca="1">IFERROR(__xludf.DUMMYFUNCTION("IMPORTRANGE(""https://docs.google.com/spreadsheets/d/1MeEWN-I1oV_STSDYn1IFDPWt_1FKiwhDph83XaGc0o0/edit?usp=sharing"",""งบพรบ!BQ23"")"),103000)</f>
        <v>103000</v>
      </c>
      <c r="N140" s="837">
        <f ca="1">IFERROR(__xludf.DUMMYFUNCTION("IMPORTRANGE(""https://docs.google.com/spreadsheets/d/1MeEWN-I1oV_STSDYn1IFDPWt_1FKiwhDph83XaGc0o0/edit?usp=sharing"",""งบพรบ!BS23"")"),103000)</f>
        <v>103000</v>
      </c>
      <c r="O140" s="837">
        <f t="shared" ca="1" si="70"/>
        <v>100</v>
      </c>
      <c r="P140" s="837">
        <f t="shared" ca="1" si="71"/>
        <v>100</v>
      </c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</row>
    <row r="141" spans="1:26" ht="19.5">
      <c r="A141" s="949"/>
      <c r="B141" s="950"/>
      <c r="C141" s="934" t="s">
        <v>16</v>
      </c>
      <c r="D141" s="951" t="s">
        <v>38</v>
      </c>
      <c r="E141" s="952"/>
      <c r="F141" s="952"/>
      <c r="G141" s="953"/>
      <c r="H141" s="168"/>
      <c r="I141" s="830"/>
      <c r="J141" s="830"/>
      <c r="K141" s="831"/>
      <c r="L141" s="831"/>
      <c r="M141" s="831"/>
      <c r="N141" s="831"/>
      <c r="O141" s="831"/>
      <c r="P141" s="831"/>
    </row>
    <row r="142" spans="1:26" ht="19.5">
      <c r="A142" s="942"/>
      <c r="B142" s="827"/>
      <c r="C142" s="976"/>
      <c r="D142" s="943" t="s">
        <v>71</v>
      </c>
      <c r="E142" s="828"/>
      <c r="F142" s="827"/>
      <c r="G142" s="977"/>
      <c r="H142" s="168"/>
      <c r="I142" s="830"/>
      <c r="J142" s="959">
        <v>0</v>
      </c>
      <c r="K142" s="831"/>
      <c r="L142" s="831"/>
      <c r="M142" s="831"/>
      <c r="N142" s="831"/>
      <c r="O142" s="831"/>
      <c r="P142" s="831"/>
    </row>
    <row r="143" spans="1:26" ht="19.5">
      <c r="A143" s="942"/>
      <c r="B143" s="827"/>
      <c r="C143" s="976"/>
      <c r="D143" s="943" t="s">
        <v>72</v>
      </c>
      <c r="E143" s="828"/>
      <c r="F143" s="827"/>
      <c r="G143" s="977"/>
      <c r="H143" s="168" t="s">
        <v>35</v>
      </c>
      <c r="I143" s="830">
        <f ca="1">I145</f>
        <v>10</v>
      </c>
      <c r="J143" s="830">
        <f ca="1">IF(AND(J144&gt;=I144,J145&gt;=I145),J145,0)</f>
        <v>10</v>
      </c>
      <c r="K143" s="831">
        <f t="shared" ref="K143:K146" ca="1" si="75">IF(I143&gt;0,J143*100/I143,0)</f>
        <v>100</v>
      </c>
      <c r="L143" s="831"/>
      <c r="M143" s="831"/>
      <c r="N143" s="831"/>
      <c r="O143" s="831"/>
      <c r="P143" s="831"/>
    </row>
    <row r="144" spans="1:26" ht="19.5">
      <c r="A144" s="942"/>
      <c r="B144" s="827"/>
      <c r="C144" s="976"/>
      <c r="D144" s="957"/>
      <c r="E144" s="943" t="s">
        <v>73</v>
      </c>
      <c r="F144" s="827"/>
      <c r="G144" s="977"/>
      <c r="H144" s="168" t="s">
        <v>35</v>
      </c>
      <c r="I144" s="830">
        <f ca="1">IFERROR(__xludf.DUMMYFUNCTION("IMPORTRANGE(""https://docs.google.com/spreadsheets/d/1QqKyyYR6Q21VydFLVH3TRQUabQu_ym0Zz7PgGX0-kHA/edit?usp=sharing"",""แผน!U23"")"),5)</f>
        <v>5</v>
      </c>
      <c r="J144" s="959">
        <v>5</v>
      </c>
      <c r="K144" s="831">
        <f t="shared" ca="1" si="75"/>
        <v>100</v>
      </c>
      <c r="L144" s="831"/>
      <c r="M144" s="831"/>
      <c r="N144" s="831"/>
      <c r="O144" s="831"/>
      <c r="P144" s="831"/>
    </row>
    <row r="145" spans="1:26" ht="19.5">
      <c r="A145" s="942"/>
      <c r="B145" s="827"/>
      <c r="C145" s="976"/>
      <c r="D145" s="957"/>
      <c r="E145" s="943" t="s">
        <v>74</v>
      </c>
      <c r="F145" s="827"/>
      <c r="G145" s="977"/>
      <c r="H145" s="168" t="s">
        <v>35</v>
      </c>
      <c r="I145" s="830">
        <f ca="1">IFERROR(__xludf.DUMMYFUNCTION("IMPORTRANGE(""https://docs.google.com/spreadsheets/d/1QqKyyYR6Q21VydFLVH3TRQUabQu_ym0Zz7PgGX0-kHA/edit?usp=sharing"",""แผน!V23"")"),10)</f>
        <v>10</v>
      </c>
      <c r="J145" s="959">
        <v>10</v>
      </c>
      <c r="K145" s="831">
        <f t="shared" ca="1" si="75"/>
        <v>100</v>
      </c>
      <c r="L145" s="831"/>
      <c r="M145" s="831"/>
      <c r="N145" s="831"/>
      <c r="O145" s="831"/>
      <c r="P145" s="831"/>
    </row>
    <row r="146" spans="1:26" ht="19.5">
      <c r="A146" s="942"/>
      <c r="B146" s="827"/>
      <c r="C146" s="976"/>
      <c r="D146" s="943" t="s">
        <v>75</v>
      </c>
      <c r="E146" s="828"/>
      <c r="F146" s="827"/>
      <c r="G146" s="977"/>
      <c r="H146" s="168" t="s">
        <v>66</v>
      </c>
      <c r="I146" s="830">
        <f ca="1">IFERROR(__xludf.DUMMYFUNCTION("IMPORTRANGE(""https://docs.google.com/spreadsheets/d/1QqKyyYR6Q21VydFLVH3TRQUabQu_ym0Zz7PgGX0-kHA/edit?usp=sharing"",""แผน!W23"")"),1)</f>
        <v>1</v>
      </c>
      <c r="J146" s="959">
        <v>1</v>
      </c>
      <c r="K146" s="831">
        <f t="shared" ca="1" si="75"/>
        <v>100</v>
      </c>
      <c r="L146" s="831"/>
      <c r="M146" s="831"/>
      <c r="N146" s="831"/>
      <c r="O146" s="831"/>
      <c r="P146" s="831"/>
    </row>
    <row r="147" spans="1:26" ht="19.5">
      <c r="A147" s="917" t="s">
        <v>76</v>
      </c>
      <c r="B147" s="918"/>
      <c r="C147" s="969"/>
      <c r="D147" s="918"/>
      <c r="E147" s="918"/>
      <c r="F147" s="918"/>
      <c r="G147" s="918"/>
      <c r="H147" s="970"/>
      <c r="I147" s="971"/>
      <c r="J147" s="971"/>
      <c r="K147" s="972"/>
      <c r="L147" s="923"/>
      <c r="M147" s="923"/>
      <c r="N147" s="923"/>
      <c r="O147" s="923"/>
      <c r="P147" s="923"/>
    </row>
    <row r="148" spans="1:26" ht="19.5">
      <c r="A148" s="978"/>
      <c r="B148" s="925" t="s">
        <v>77</v>
      </c>
      <c r="C148" s="925"/>
      <c r="D148" s="925"/>
      <c r="E148" s="979"/>
      <c r="F148" s="980"/>
      <c r="G148" s="981"/>
      <c r="H148" s="221" t="s">
        <v>35</v>
      </c>
      <c r="I148" s="929">
        <f t="shared" ref="I148:J148" ca="1" si="76">I159</f>
        <v>20</v>
      </c>
      <c r="J148" s="929">
        <f t="shared" si="76"/>
        <v>40</v>
      </c>
      <c r="K148" s="930">
        <f ca="1">IF(I148&gt;0,J148*100/I148,0)</f>
        <v>200</v>
      </c>
      <c r="L148" s="930"/>
      <c r="M148" s="930"/>
      <c r="N148" s="930"/>
      <c r="O148" s="930"/>
      <c r="P148" s="930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32"/>
      <c r="B149" s="933"/>
      <c r="C149" s="934" t="s">
        <v>16</v>
      </c>
      <c r="D149" s="935" t="s">
        <v>17</v>
      </c>
      <c r="E149" s="933"/>
      <c r="F149" s="933"/>
      <c r="G149" s="936"/>
      <c r="H149" s="152" t="s">
        <v>12</v>
      </c>
      <c r="I149" s="937"/>
      <c r="J149" s="937"/>
      <c r="K149" s="938"/>
      <c r="L149" s="939">
        <f t="shared" ref="L149:N149" ca="1" si="77">L150+L151</f>
        <v>10000</v>
      </c>
      <c r="M149" s="939">
        <f t="shared" ca="1" si="77"/>
        <v>29480</v>
      </c>
      <c r="N149" s="939">
        <f t="shared" ca="1" si="77"/>
        <v>23517.5</v>
      </c>
      <c r="O149" s="939">
        <f t="shared" ref="O149:O157" ca="1" si="78">IF(L149&gt;0,N149*100/L149,0)</f>
        <v>235.17500000000001</v>
      </c>
      <c r="P149" s="939">
        <f t="shared" ref="P149:P157" ca="1" si="79">IF(M149&gt;0,N149*100/M149,0)</f>
        <v>79.774423337856177</v>
      </c>
      <c r="Q149" s="818"/>
      <c r="R149" s="818"/>
      <c r="S149" s="818"/>
      <c r="T149" s="818"/>
      <c r="U149" s="818"/>
      <c r="V149" s="818"/>
      <c r="W149" s="818"/>
      <c r="X149" s="818"/>
      <c r="Y149" s="818"/>
      <c r="Z149" s="818"/>
    </row>
    <row r="150" spans="1:26" ht="18.75" hidden="1">
      <c r="A150" s="940"/>
      <c r="B150" s="833"/>
      <c r="C150" s="833"/>
      <c r="D150" s="833"/>
      <c r="E150" s="834" t="s">
        <v>18</v>
      </c>
      <c r="F150" s="833"/>
      <c r="G150" s="941"/>
      <c r="H150" s="158" t="s">
        <v>12</v>
      </c>
      <c r="I150" s="836"/>
      <c r="J150" s="836"/>
      <c r="K150" s="837"/>
      <c r="L150" s="837">
        <f t="shared" ref="L150:N151" si="80">L153+L156</f>
        <v>0</v>
      </c>
      <c r="M150" s="837">
        <f t="shared" si="80"/>
        <v>0</v>
      </c>
      <c r="N150" s="837">
        <f t="shared" si="80"/>
        <v>0</v>
      </c>
      <c r="O150" s="837">
        <f t="shared" si="78"/>
        <v>0</v>
      </c>
      <c r="P150" s="837">
        <f t="shared" si="79"/>
        <v>0</v>
      </c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</row>
    <row r="151" spans="1:26" ht="18.75" hidden="1">
      <c r="A151" s="940"/>
      <c r="B151" s="833"/>
      <c r="C151" s="833"/>
      <c r="D151" s="833"/>
      <c r="E151" s="834" t="s">
        <v>19</v>
      </c>
      <c r="F151" s="833"/>
      <c r="G151" s="941"/>
      <c r="H151" s="158" t="s">
        <v>12</v>
      </c>
      <c r="I151" s="836"/>
      <c r="J151" s="836"/>
      <c r="K151" s="837"/>
      <c r="L151" s="837">
        <f t="shared" ca="1" si="80"/>
        <v>10000</v>
      </c>
      <c r="M151" s="837">
        <f t="shared" ca="1" si="80"/>
        <v>29480</v>
      </c>
      <c r="N151" s="837">
        <f t="shared" ca="1" si="80"/>
        <v>23517.5</v>
      </c>
      <c r="O151" s="837">
        <f t="shared" ca="1" si="78"/>
        <v>235.17500000000001</v>
      </c>
      <c r="P151" s="837">
        <f t="shared" ca="1" si="79"/>
        <v>79.774423337856177</v>
      </c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</row>
    <row r="152" spans="1:26" ht="18.75">
      <c r="A152" s="942"/>
      <c r="B152" s="827"/>
      <c r="C152" s="943"/>
      <c r="D152" s="828" t="s">
        <v>20</v>
      </c>
      <c r="E152" s="827"/>
      <c r="F152" s="827"/>
      <c r="G152" s="829"/>
      <c r="H152" s="778" t="s">
        <v>12</v>
      </c>
      <c r="I152" s="944"/>
      <c r="J152" s="944"/>
      <c r="K152" s="945"/>
      <c r="L152" s="831">
        <f t="shared" ref="L152:N152" ca="1" si="81">L153+L154</f>
        <v>10000</v>
      </c>
      <c r="M152" s="831">
        <f t="shared" ca="1" si="81"/>
        <v>29480</v>
      </c>
      <c r="N152" s="831">
        <f t="shared" ca="1" si="81"/>
        <v>23517.5</v>
      </c>
      <c r="O152" s="831">
        <f t="shared" ca="1" si="78"/>
        <v>235.17500000000001</v>
      </c>
      <c r="P152" s="831">
        <f t="shared" ca="1" si="79"/>
        <v>79.774423337856177</v>
      </c>
      <c r="Q152" s="818"/>
      <c r="R152" s="818"/>
      <c r="S152" s="818"/>
      <c r="T152" s="818"/>
      <c r="U152" s="818"/>
      <c r="V152" s="818"/>
      <c r="W152" s="818"/>
      <c r="X152" s="818"/>
      <c r="Y152" s="818"/>
      <c r="Z152" s="818"/>
    </row>
    <row r="153" spans="1:26" ht="19.5" hidden="1">
      <c r="A153" s="940"/>
      <c r="B153" s="833"/>
      <c r="C153" s="946"/>
      <c r="D153" s="833"/>
      <c r="E153" s="834" t="s">
        <v>36</v>
      </c>
      <c r="F153" s="833"/>
      <c r="G153" s="941"/>
      <c r="H153" s="165" t="s">
        <v>12</v>
      </c>
      <c r="I153" s="947"/>
      <c r="J153" s="947"/>
      <c r="K153" s="948"/>
      <c r="L153" s="837">
        <v>0</v>
      </c>
      <c r="M153" s="837">
        <v>0</v>
      </c>
      <c r="N153" s="837">
        <v>0</v>
      </c>
      <c r="O153" s="837">
        <f t="shared" si="78"/>
        <v>0</v>
      </c>
      <c r="P153" s="837">
        <f t="shared" si="79"/>
        <v>0</v>
      </c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</row>
    <row r="154" spans="1:26" ht="19.5" hidden="1">
      <c r="A154" s="940"/>
      <c r="B154" s="833"/>
      <c r="C154" s="946"/>
      <c r="D154" s="833"/>
      <c r="E154" s="834" t="s">
        <v>37</v>
      </c>
      <c r="F154" s="833"/>
      <c r="G154" s="941"/>
      <c r="H154" s="165" t="s">
        <v>12</v>
      </c>
      <c r="I154" s="947"/>
      <c r="J154" s="947"/>
      <c r="K154" s="948"/>
      <c r="L154" s="837">
        <f ca="1">IFERROR(__xludf.DUMMYFUNCTION("IMPORTRANGE(""https://docs.google.com/spreadsheets/d/1MeEWN-I1oV_STSDYn1IFDPWt_1FKiwhDph83XaGc0o0/edit?usp=sharing"",""งบพรบ!BU23"")"),10000)</f>
        <v>10000</v>
      </c>
      <c r="M154" s="837">
        <f ca="1">IFERROR(__xludf.DUMMYFUNCTION("IMPORTRANGE(""https://docs.google.com/spreadsheets/d/1MeEWN-I1oV_STSDYn1IFDPWt_1FKiwhDph83XaGc0o0/edit?usp=sharing"",""งบพรบ!BZ23"")"),29480)</f>
        <v>29480</v>
      </c>
      <c r="N154" s="837">
        <f ca="1">IFERROR(__xludf.DUMMYFUNCTION("IMPORTRANGE(""https://docs.google.com/spreadsheets/d/1MeEWN-I1oV_STSDYn1IFDPWt_1FKiwhDph83XaGc0o0/edit?usp=sharing"",""งบพรบ!CB23"")"),23517.5)</f>
        <v>23517.5</v>
      </c>
      <c r="O154" s="837">
        <f t="shared" ca="1" si="78"/>
        <v>235.17500000000001</v>
      </c>
      <c r="P154" s="837">
        <f t="shared" ca="1" si="79"/>
        <v>79.774423337856177</v>
      </c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</row>
    <row r="155" spans="1:26" ht="18.75">
      <c r="A155" s="942"/>
      <c r="B155" s="827"/>
      <c r="C155" s="943"/>
      <c r="D155" s="828" t="s">
        <v>21</v>
      </c>
      <c r="E155" s="827"/>
      <c r="F155" s="827"/>
      <c r="G155" s="829"/>
      <c r="H155" s="168" t="s">
        <v>12</v>
      </c>
      <c r="I155" s="944"/>
      <c r="J155" s="944"/>
      <c r="K155" s="945"/>
      <c r="L155" s="831">
        <f t="shared" ref="L155:N155" ca="1" si="82">L156+L157</f>
        <v>0</v>
      </c>
      <c r="M155" s="831">
        <f t="shared" ca="1" si="82"/>
        <v>0</v>
      </c>
      <c r="N155" s="831">
        <f t="shared" ca="1" si="82"/>
        <v>0</v>
      </c>
      <c r="O155" s="831">
        <f t="shared" ca="1" si="78"/>
        <v>0</v>
      </c>
      <c r="P155" s="831">
        <f t="shared" ca="1" si="79"/>
        <v>0</v>
      </c>
      <c r="Q155" s="818"/>
      <c r="R155" s="818"/>
      <c r="S155" s="818"/>
      <c r="T155" s="818"/>
      <c r="U155" s="818"/>
      <c r="V155" s="818"/>
      <c r="W155" s="818"/>
      <c r="X155" s="818"/>
      <c r="Y155" s="818"/>
      <c r="Z155" s="818"/>
    </row>
    <row r="156" spans="1:26" ht="19.5" hidden="1">
      <c r="A156" s="940"/>
      <c r="B156" s="833"/>
      <c r="C156" s="946"/>
      <c r="D156" s="833"/>
      <c r="E156" s="834" t="s">
        <v>18</v>
      </c>
      <c r="F156" s="833"/>
      <c r="G156" s="941"/>
      <c r="H156" s="165" t="s">
        <v>12</v>
      </c>
      <c r="I156" s="947"/>
      <c r="J156" s="947"/>
      <c r="K156" s="948"/>
      <c r="L156" s="837">
        <v>0</v>
      </c>
      <c r="M156" s="837">
        <v>0</v>
      </c>
      <c r="N156" s="837">
        <v>0</v>
      </c>
      <c r="O156" s="837">
        <f t="shared" si="78"/>
        <v>0</v>
      </c>
      <c r="P156" s="837">
        <f t="shared" si="79"/>
        <v>0</v>
      </c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</row>
    <row r="157" spans="1:26" ht="19.5" hidden="1">
      <c r="A157" s="940"/>
      <c r="B157" s="833"/>
      <c r="C157" s="946"/>
      <c r="D157" s="833"/>
      <c r="E157" s="834" t="s">
        <v>19</v>
      </c>
      <c r="F157" s="833"/>
      <c r="G157" s="941"/>
      <c r="H157" s="169" t="s">
        <v>12</v>
      </c>
      <c r="I157" s="947"/>
      <c r="J157" s="947"/>
      <c r="K157" s="948"/>
      <c r="L157" s="837">
        <f ca="1">IFERROR(__xludf.DUMMYFUNCTION("IMPORTRANGE(""https://docs.google.com/spreadsheets/d/1MeEWN-I1oV_STSDYn1IFDPWt_1FKiwhDph83XaGc0o0/edit?usp=sharing"",""งบพรบ!BX23"")"),0)</f>
        <v>0</v>
      </c>
      <c r="M157" s="837">
        <f ca="1">IFERROR(__xludf.DUMMYFUNCTION("IMPORTRANGE(""https://docs.google.com/spreadsheets/d/1MeEWN-I1oV_STSDYn1IFDPWt_1FKiwhDph83XaGc0o0/edit?usp=sharing"",""งบพรบ!CA23"")"),0)</f>
        <v>0</v>
      </c>
      <c r="N157" s="837">
        <f ca="1">IFERROR(__xludf.DUMMYFUNCTION("IMPORTRANGE(""https://docs.google.com/spreadsheets/d/1MeEWN-I1oV_STSDYn1IFDPWt_1FKiwhDph83XaGc0o0/edit?usp=sharing"",""งบพรบ!CC23"")"),0)</f>
        <v>0</v>
      </c>
      <c r="O157" s="837">
        <f t="shared" ca="1" si="78"/>
        <v>0</v>
      </c>
      <c r="P157" s="837">
        <f t="shared" ca="1" si="79"/>
        <v>0</v>
      </c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</row>
    <row r="158" spans="1:26" ht="19.5">
      <c r="A158" s="949"/>
      <c r="B158" s="950"/>
      <c r="C158" s="946" t="s">
        <v>16</v>
      </c>
      <c r="D158" s="951" t="s">
        <v>38</v>
      </c>
      <c r="E158" s="952"/>
      <c r="F158" s="952"/>
      <c r="G158" s="953"/>
      <c r="H158" s="168"/>
      <c r="I158" s="830"/>
      <c r="J158" s="830"/>
      <c r="K158" s="831"/>
      <c r="L158" s="831"/>
      <c r="M158" s="831"/>
      <c r="N158" s="831"/>
      <c r="O158" s="831"/>
      <c r="P158" s="831"/>
    </row>
    <row r="159" spans="1:26" ht="19.5">
      <c r="A159" s="942"/>
      <c r="B159" s="827"/>
      <c r="C159" s="976"/>
      <c r="D159" s="943" t="s">
        <v>78</v>
      </c>
      <c r="E159" s="828"/>
      <c r="F159" s="827"/>
      <c r="G159" s="977"/>
      <c r="H159" s="168" t="s">
        <v>35</v>
      </c>
      <c r="I159" s="830">
        <f ca="1">IFERROR(__xludf.DUMMYFUNCTION("IMPORTRANGE(""https://docs.google.com/spreadsheets/d/1QqKyyYR6Q21VydFLVH3TRQUabQu_ym0Zz7PgGX0-kHA/edit?usp=sharing"",""แผน!X23"")"),20)</f>
        <v>20</v>
      </c>
      <c r="J159" s="959">
        <v>40</v>
      </c>
      <c r="K159" s="831">
        <f ca="1">IF(I159&gt;0,J159*100/I159,0)</f>
        <v>200</v>
      </c>
      <c r="L159" s="831"/>
      <c r="M159" s="831"/>
      <c r="N159" s="831"/>
      <c r="O159" s="831"/>
      <c r="P159" s="831"/>
    </row>
    <row r="160" spans="1:26" ht="19.5" hidden="1">
      <c r="A160" s="940"/>
      <c r="B160" s="833"/>
      <c r="C160" s="946"/>
      <c r="D160" s="834" t="s">
        <v>79</v>
      </c>
      <c r="E160" s="982"/>
      <c r="F160" s="833"/>
      <c r="G160" s="941"/>
      <c r="H160" s="169" t="s">
        <v>35</v>
      </c>
      <c r="I160" s="836"/>
      <c r="J160" s="836"/>
      <c r="K160" s="837"/>
      <c r="L160" s="837"/>
      <c r="M160" s="837"/>
      <c r="N160" s="837"/>
      <c r="O160" s="837"/>
      <c r="P160" s="83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983"/>
      <c r="B161" s="984"/>
      <c r="C161" s="985"/>
      <c r="D161" s="986" t="s">
        <v>80</v>
      </c>
      <c r="E161" s="987"/>
      <c r="F161" s="984"/>
      <c r="G161" s="988"/>
      <c r="H161" s="232" t="s">
        <v>35</v>
      </c>
      <c r="I161" s="989"/>
      <c r="J161" s="989"/>
      <c r="K161" s="990"/>
      <c r="L161" s="990"/>
      <c r="M161" s="990"/>
      <c r="N161" s="990"/>
      <c r="O161" s="990"/>
      <c r="P161" s="990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991" t="s">
        <v>81</v>
      </c>
      <c r="B162" s="992"/>
      <c r="C162" s="992"/>
      <c r="D162" s="992"/>
      <c r="E162" s="993"/>
      <c r="F162" s="993"/>
      <c r="G162" s="994"/>
      <c r="H162" s="995"/>
      <c r="I162" s="996"/>
      <c r="J162" s="996"/>
      <c r="K162" s="997"/>
      <c r="L162" s="997"/>
      <c r="M162" s="997"/>
      <c r="N162" s="997"/>
      <c r="O162" s="997"/>
      <c r="P162" s="997"/>
    </row>
    <row r="163" spans="1:26" ht="19.5">
      <c r="A163" s="998" t="s">
        <v>82</v>
      </c>
      <c r="B163" s="999"/>
      <c r="C163" s="999"/>
      <c r="D163" s="1000"/>
      <c r="E163" s="1000"/>
      <c r="F163" s="1000"/>
      <c r="G163" s="1001"/>
      <c r="H163" s="1002"/>
      <c r="I163" s="1003"/>
      <c r="J163" s="1003"/>
      <c r="K163" s="1004"/>
      <c r="L163" s="1004"/>
      <c r="M163" s="1004"/>
      <c r="N163" s="1004"/>
      <c r="O163" s="1004"/>
      <c r="P163" s="1004"/>
    </row>
    <row r="164" spans="1:26" ht="19.5">
      <c r="A164" s="1005"/>
      <c r="B164" s="1006" t="s">
        <v>83</v>
      </c>
      <c r="C164" s="1007"/>
      <c r="D164" s="952"/>
      <c r="E164" s="952"/>
      <c r="F164" s="952"/>
      <c r="G164" s="953"/>
      <c r="H164" s="252" t="s">
        <v>35</v>
      </c>
      <c r="I164" s="1008">
        <f t="shared" ref="I164:J164" ca="1" si="83">I174+I177</f>
        <v>11</v>
      </c>
      <c r="J164" s="1008">
        <f t="shared" si="83"/>
        <v>0</v>
      </c>
      <c r="K164" s="1009">
        <f ca="1">IF(I164&gt;0,J164*100/I164,0)</f>
        <v>0</v>
      </c>
      <c r="L164" s="1010"/>
      <c r="M164" s="1010"/>
      <c r="N164" s="1010"/>
      <c r="O164" s="1010"/>
      <c r="P164" s="1010"/>
    </row>
    <row r="165" spans="1:26" ht="19.5">
      <c r="A165" s="932"/>
      <c r="B165" s="933"/>
      <c r="C165" s="934" t="s">
        <v>16</v>
      </c>
      <c r="D165" s="935" t="s">
        <v>17</v>
      </c>
      <c r="E165" s="933"/>
      <c r="F165" s="933"/>
      <c r="G165" s="936"/>
      <c r="H165" s="152" t="s">
        <v>12</v>
      </c>
      <c r="I165" s="937"/>
      <c r="J165" s="937"/>
      <c r="K165" s="938"/>
      <c r="L165" s="939">
        <f t="shared" ref="L165:N165" ca="1" si="84">L166+L167</f>
        <v>22055</v>
      </c>
      <c r="M165" s="939">
        <f t="shared" ca="1" si="84"/>
        <v>36805</v>
      </c>
      <c r="N165" s="939">
        <f t="shared" ca="1" si="84"/>
        <v>14750</v>
      </c>
      <c r="O165" s="939">
        <f t="shared" ref="O165:O173" ca="1" si="85">IF(L165&gt;0,N165*100/L165,0)</f>
        <v>66.878258898209026</v>
      </c>
      <c r="P165" s="939">
        <f t="shared" ref="P165:P173" ca="1" si="86">IF(M165&gt;0,N165*100/M165,0)</f>
        <v>40.076076620024452</v>
      </c>
      <c r="Q165" s="818"/>
      <c r="R165" s="818"/>
      <c r="S165" s="818"/>
      <c r="T165" s="818"/>
      <c r="U165" s="818"/>
      <c r="V165" s="818"/>
      <c r="W165" s="818"/>
      <c r="X165" s="818"/>
      <c r="Y165" s="818"/>
      <c r="Z165" s="818"/>
    </row>
    <row r="166" spans="1:26" ht="18.75" hidden="1">
      <c r="A166" s="940"/>
      <c r="B166" s="833"/>
      <c r="C166" s="833"/>
      <c r="D166" s="833"/>
      <c r="E166" s="834" t="s">
        <v>18</v>
      </c>
      <c r="F166" s="833"/>
      <c r="G166" s="941"/>
      <c r="H166" s="158" t="s">
        <v>12</v>
      </c>
      <c r="I166" s="836"/>
      <c r="J166" s="836"/>
      <c r="K166" s="837"/>
      <c r="L166" s="837">
        <f t="shared" ref="L166:N167" si="87">L169+L172</f>
        <v>0</v>
      </c>
      <c r="M166" s="837">
        <f t="shared" si="87"/>
        <v>0</v>
      </c>
      <c r="N166" s="837">
        <f t="shared" si="87"/>
        <v>0</v>
      </c>
      <c r="O166" s="837">
        <f t="shared" si="85"/>
        <v>0</v>
      </c>
      <c r="P166" s="837">
        <f t="shared" si="86"/>
        <v>0</v>
      </c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</row>
    <row r="167" spans="1:26" ht="18.75" hidden="1">
      <c r="A167" s="940"/>
      <c r="B167" s="833"/>
      <c r="C167" s="833"/>
      <c r="D167" s="833"/>
      <c r="E167" s="834" t="s">
        <v>19</v>
      </c>
      <c r="F167" s="833"/>
      <c r="G167" s="941"/>
      <c r="H167" s="158" t="s">
        <v>12</v>
      </c>
      <c r="I167" s="836"/>
      <c r="J167" s="836"/>
      <c r="K167" s="837"/>
      <c r="L167" s="837">
        <f t="shared" ca="1" si="87"/>
        <v>22055</v>
      </c>
      <c r="M167" s="837">
        <f t="shared" ca="1" si="87"/>
        <v>36805</v>
      </c>
      <c r="N167" s="837">
        <f t="shared" ca="1" si="87"/>
        <v>14750</v>
      </c>
      <c r="O167" s="837">
        <f t="shared" ca="1" si="85"/>
        <v>66.878258898209026</v>
      </c>
      <c r="P167" s="837">
        <f t="shared" ca="1" si="86"/>
        <v>40.076076620024452</v>
      </c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</row>
    <row r="168" spans="1:26" ht="18.75">
      <c r="A168" s="942"/>
      <c r="B168" s="827"/>
      <c r="C168" s="943"/>
      <c r="D168" s="828" t="s">
        <v>20</v>
      </c>
      <c r="E168" s="827"/>
      <c r="F168" s="827"/>
      <c r="G168" s="829"/>
      <c r="H168" s="778" t="s">
        <v>12</v>
      </c>
      <c r="I168" s="944"/>
      <c r="J168" s="944"/>
      <c r="K168" s="945"/>
      <c r="L168" s="831">
        <f t="shared" ref="L168:N168" ca="1" si="88">L169+L170</f>
        <v>22055</v>
      </c>
      <c r="M168" s="831">
        <f t="shared" ca="1" si="88"/>
        <v>36805</v>
      </c>
      <c r="N168" s="831">
        <f t="shared" ca="1" si="88"/>
        <v>14750</v>
      </c>
      <c r="O168" s="831">
        <f t="shared" ca="1" si="85"/>
        <v>66.878258898209026</v>
      </c>
      <c r="P168" s="831">
        <f t="shared" ca="1" si="86"/>
        <v>40.076076620024452</v>
      </c>
      <c r="Q168" s="818"/>
      <c r="R168" s="818"/>
      <c r="S168" s="818"/>
      <c r="T168" s="818"/>
      <c r="U168" s="818"/>
      <c r="V168" s="818"/>
      <c r="W168" s="818"/>
      <c r="X168" s="818"/>
      <c r="Y168" s="818"/>
      <c r="Z168" s="818"/>
    </row>
    <row r="169" spans="1:26" ht="19.5" hidden="1">
      <c r="A169" s="940"/>
      <c r="B169" s="833"/>
      <c r="C169" s="946"/>
      <c r="D169" s="833"/>
      <c r="E169" s="834" t="s">
        <v>36</v>
      </c>
      <c r="F169" s="833"/>
      <c r="G169" s="941"/>
      <c r="H169" s="165" t="s">
        <v>12</v>
      </c>
      <c r="I169" s="947"/>
      <c r="J169" s="947"/>
      <c r="K169" s="948"/>
      <c r="L169" s="837">
        <v>0</v>
      </c>
      <c r="M169" s="837">
        <v>0</v>
      </c>
      <c r="N169" s="837">
        <v>0</v>
      </c>
      <c r="O169" s="837">
        <f t="shared" si="85"/>
        <v>0</v>
      </c>
      <c r="P169" s="837">
        <f t="shared" si="86"/>
        <v>0</v>
      </c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</row>
    <row r="170" spans="1:26" ht="19.5" hidden="1">
      <c r="A170" s="940"/>
      <c r="B170" s="833"/>
      <c r="C170" s="946"/>
      <c r="D170" s="833"/>
      <c r="E170" s="834" t="s">
        <v>37</v>
      </c>
      <c r="F170" s="833"/>
      <c r="G170" s="941"/>
      <c r="H170" s="165" t="s">
        <v>12</v>
      </c>
      <c r="I170" s="947"/>
      <c r="J170" s="947"/>
      <c r="K170" s="948"/>
      <c r="L170" s="837">
        <f ca="1">IFERROR(__xludf.DUMMYFUNCTION("IMPORTRANGE(""https://docs.google.com/spreadsheets/d/1MeEWN-I1oV_STSDYn1IFDPWt_1FKiwhDph83XaGc0o0/edit?usp=sharing"",""งบพรบ!CE23"")"),22055)</f>
        <v>22055</v>
      </c>
      <c r="M170" s="837">
        <f ca="1">IFERROR(__xludf.DUMMYFUNCTION("IMPORTRANGE(""https://docs.google.com/spreadsheets/d/1MeEWN-I1oV_STSDYn1IFDPWt_1FKiwhDph83XaGc0o0/edit?usp=sharing"",""งบพรบ!CJ23"")"),36805)</f>
        <v>36805</v>
      </c>
      <c r="N170" s="837">
        <f ca="1">IFERROR(__xludf.DUMMYFUNCTION("IMPORTRANGE(""https://docs.google.com/spreadsheets/d/1MeEWN-I1oV_STSDYn1IFDPWt_1FKiwhDph83XaGc0o0/edit?usp=sharing"",""งบพรบ!CL23"")"),14750)</f>
        <v>14750</v>
      </c>
      <c r="O170" s="837">
        <f t="shared" ca="1" si="85"/>
        <v>66.878258898209026</v>
      </c>
      <c r="P170" s="837">
        <f t="shared" ca="1" si="86"/>
        <v>40.076076620024452</v>
      </c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</row>
    <row r="171" spans="1:26" ht="18.75">
      <c r="A171" s="942"/>
      <c r="B171" s="827"/>
      <c r="C171" s="943"/>
      <c r="D171" s="828" t="s">
        <v>21</v>
      </c>
      <c r="E171" s="827"/>
      <c r="F171" s="827"/>
      <c r="G171" s="829"/>
      <c r="H171" s="168" t="s">
        <v>12</v>
      </c>
      <c r="I171" s="944"/>
      <c r="J171" s="944"/>
      <c r="K171" s="945"/>
      <c r="L171" s="831">
        <f t="shared" ref="L171:N171" ca="1" si="89">L172+L173</f>
        <v>0</v>
      </c>
      <c r="M171" s="831">
        <f t="shared" ca="1" si="89"/>
        <v>0</v>
      </c>
      <c r="N171" s="831">
        <f t="shared" ca="1" si="89"/>
        <v>0</v>
      </c>
      <c r="O171" s="831">
        <f t="shared" ca="1" si="85"/>
        <v>0</v>
      </c>
      <c r="P171" s="831">
        <f t="shared" ca="1" si="86"/>
        <v>0</v>
      </c>
      <c r="Q171" s="818"/>
      <c r="R171" s="818"/>
      <c r="S171" s="818"/>
      <c r="T171" s="818"/>
      <c r="U171" s="818"/>
      <c r="V171" s="818"/>
      <c r="W171" s="818"/>
      <c r="X171" s="818"/>
      <c r="Y171" s="818"/>
      <c r="Z171" s="818"/>
    </row>
    <row r="172" spans="1:26" ht="19.5" hidden="1">
      <c r="A172" s="940"/>
      <c r="B172" s="833"/>
      <c r="C172" s="946"/>
      <c r="D172" s="833"/>
      <c r="E172" s="834" t="s">
        <v>18</v>
      </c>
      <c r="F172" s="833"/>
      <c r="G172" s="941"/>
      <c r="H172" s="165" t="s">
        <v>12</v>
      </c>
      <c r="I172" s="947"/>
      <c r="J172" s="947"/>
      <c r="K172" s="948"/>
      <c r="L172" s="837">
        <v>0</v>
      </c>
      <c r="M172" s="837">
        <v>0</v>
      </c>
      <c r="N172" s="837">
        <v>0</v>
      </c>
      <c r="O172" s="837">
        <f t="shared" si="85"/>
        <v>0</v>
      </c>
      <c r="P172" s="837">
        <f t="shared" si="86"/>
        <v>0</v>
      </c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</row>
    <row r="173" spans="1:26" ht="19.5" hidden="1">
      <c r="A173" s="940"/>
      <c r="B173" s="833"/>
      <c r="C173" s="946"/>
      <c r="D173" s="833"/>
      <c r="E173" s="834" t="s">
        <v>19</v>
      </c>
      <c r="F173" s="833"/>
      <c r="G173" s="941"/>
      <c r="H173" s="169" t="s">
        <v>12</v>
      </c>
      <c r="I173" s="947"/>
      <c r="J173" s="947"/>
      <c r="K173" s="948"/>
      <c r="L173" s="837">
        <f ca="1">IFERROR(__xludf.DUMMYFUNCTION("IMPORTRANGE(""https://docs.google.com/spreadsheets/d/1MeEWN-I1oV_STSDYn1IFDPWt_1FKiwhDph83XaGc0o0/edit?usp=sharing"",""งบพรบ!CH23"")"),0)</f>
        <v>0</v>
      </c>
      <c r="M173" s="837">
        <f ca="1">IFERROR(__xludf.DUMMYFUNCTION("IMPORTRANGE(""https://docs.google.com/spreadsheets/d/1MeEWN-I1oV_STSDYn1IFDPWt_1FKiwhDph83XaGc0o0/edit?usp=sharing"",""งบพรบ!CK23"")"),0)</f>
        <v>0</v>
      </c>
      <c r="N173" s="837">
        <f ca="1">IFERROR(__xludf.DUMMYFUNCTION("IMPORTRANGE(""https://docs.google.com/spreadsheets/d/1MeEWN-I1oV_STSDYn1IFDPWt_1FKiwhDph83XaGc0o0/edit?usp=sharing"",""งบพรบ!CM23"")"),0)</f>
        <v>0</v>
      </c>
      <c r="O173" s="837">
        <f t="shared" ca="1" si="85"/>
        <v>0</v>
      </c>
      <c r="P173" s="837">
        <f t="shared" ca="1" si="86"/>
        <v>0</v>
      </c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</row>
    <row r="174" spans="1:26" ht="19.5">
      <c r="A174" s="1011"/>
      <c r="B174" s="1012"/>
      <c r="C174" s="1013" t="s">
        <v>84</v>
      </c>
      <c r="D174" s="1012"/>
      <c r="E174" s="1012"/>
      <c r="F174" s="1012"/>
      <c r="G174" s="1014"/>
      <c r="H174" s="260" t="s">
        <v>35</v>
      </c>
      <c r="I174" s="1015">
        <f t="shared" ref="I174:J174" ca="1" si="90">I176</f>
        <v>11</v>
      </c>
      <c r="J174" s="1015">
        <f t="shared" si="90"/>
        <v>0</v>
      </c>
      <c r="K174" s="1016">
        <f ca="1">IF(I174&gt;0,J174*100/I174,0)</f>
        <v>0</v>
      </c>
      <c r="L174" s="1016"/>
      <c r="M174" s="1016"/>
      <c r="N174" s="1016"/>
      <c r="O174" s="1016"/>
      <c r="P174" s="1016"/>
    </row>
    <row r="175" spans="1:26" ht="19.5">
      <c r="A175" s="949"/>
      <c r="B175" s="950"/>
      <c r="C175" s="946" t="s">
        <v>16</v>
      </c>
      <c r="D175" s="951" t="s">
        <v>38</v>
      </c>
      <c r="E175" s="952"/>
      <c r="F175" s="952"/>
      <c r="G175" s="953"/>
      <c r="H175" s="954"/>
      <c r="I175" s="944"/>
      <c r="J175" s="944"/>
      <c r="K175" s="945"/>
      <c r="L175" s="945"/>
      <c r="M175" s="945"/>
      <c r="N175" s="945"/>
      <c r="O175" s="945"/>
      <c r="P175" s="945"/>
    </row>
    <row r="176" spans="1:26" ht="18.75">
      <c r="A176" s="949"/>
      <c r="B176" s="950"/>
      <c r="C176" s="950"/>
      <c r="D176" s="1017" t="s">
        <v>85</v>
      </c>
      <c r="E176" s="957"/>
      <c r="F176" s="957"/>
      <c r="G176" s="958"/>
      <c r="H176" s="590" t="s">
        <v>35</v>
      </c>
      <c r="I176" s="830">
        <f ca="1">IFERROR(__xludf.DUMMYFUNCTION("IMPORTRANGE(""https://docs.google.com/spreadsheets/d/1QqKyyYR6Q21VydFLVH3TRQUabQu_ym0Zz7PgGX0-kHA/edit?usp=sharing"",""แผน!Y23"")"),11)</f>
        <v>11</v>
      </c>
      <c r="J176" s="959">
        <v>0</v>
      </c>
      <c r="K176" s="945">
        <f ca="1">IF(I176&gt;0,J176*100/I176,0)</f>
        <v>0</v>
      </c>
      <c r="L176" s="945"/>
      <c r="M176" s="945"/>
      <c r="N176" s="945"/>
      <c r="O176" s="945"/>
      <c r="P176" s="945"/>
    </row>
    <row r="177" spans="1:26" ht="19.5" hidden="1">
      <c r="A177" s="1011"/>
      <c r="B177" s="1018"/>
      <c r="C177" s="1019" t="s">
        <v>86</v>
      </c>
      <c r="D177" s="1018"/>
      <c r="E177" s="1012"/>
      <c r="F177" s="1012"/>
      <c r="G177" s="1014"/>
      <c r="H177" s="266" t="s">
        <v>35</v>
      </c>
      <c r="I177" s="1015"/>
      <c r="J177" s="1015">
        <f>J179</f>
        <v>0</v>
      </c>
      <c r="K177" s="1016"/>
      <c r="L177" s="1016"/>
      <c r="M177" s="1016"/>
      <c r="N177" s="1016"/>
      <c r="O177" s="1016"/>
      <c r="P177" s="1016"/>
    </row>
    <row r="178" spans="1:26" ht="19.5" hidden="1">
      <c r="A178" s="949"/>
      <c r="B178" s="950"/>
      <c r="C178" s="946" t="s">
        <v>16</v>
      </c>
      <c r="D178" s="1020" t="s">
        <v>38</v>
      </c>
      <c r="E178" s="952"/>
      <c r="F178" s="952"/>
      <c r="G178" s="953"/>
      <c r="H178" s="954"/>
      <c r="I178" s="944"/>
      <c r="J178" s="944"/>
      <c r="K178" s="945"/>
      <c r="L178" s="945"/>
      <c r="M178" s="945"/>
      <c r="N178" s="945"/>
      <c r="O178" s="945"/>
      <c r="P178" s="945"/>
    </row>
    <row r="179" spans="1:26" ht="18.75" hidden="1">
      <c r="A179" s="949"/>
      <c r="B179" s="950"/>
      <c r="C179" s="950"/>
      <c r="D179" s="1021" t="s">
        <v>87</v>
      </c>
      <c r="E179" s="957"/>
      <c r="F179" s="1022"/>
      <c r="G179" s="958"/>
      <c r="H179" s="43" t="s">
        <v>35</v>
      </c>
      <c r="I179" s="830"/>
      <c r="J179" s="830"/>
      <c r="K179" s="945"/>
      <c r="L179" s="945"/>
      <c r="M179" s="945"/>
      <c r="N179" s="945"/>
      <c r="O179" s="945"/>
      <c r="P179" s="945"/>
    </row>
    <row r="180" spans="1:26" ht="19.5">
      <c r="A180" s="1005"/>
      <c r="B180" s="1006" t="s">
        <v>88</v>
      </c>
      <c r="C180" s="1007"/>
      <c r="D180" s="952"/>
      <c r="E180" s="952"/>
      <c r="F180" s="952"/>
      <c r="G180" s="953"/>
      <c r="H180" s="252" t="s">
        <v>35</v>
      </c>
      <c r="I180" s="1008">
        <f t="shared" ref="I180:J180" ca="1" si="91">I225+I226</f>
        <v>10</v>
      </c>
      <c r="J180" s="1008">
        <f t="shared" si="91"/>
        <v>10</v>
      </c>
      <c r="K180" s="1009">
        <f ca="1">IF(I180&gt;0,J180*100/I180,0)</f>
        <v>100</v>
      </c>
      <c r="L180" s="1010"/>
      <c r="M180" s="1010"/>
      <c r="N180" s="1010"/>
      <c r="O180" s="1010"/>
      <c r="P180" s="1010"/>
    </row>
    <row r="181" spans="1:26" ht="19.5">
      <c r="A181" s="932"/>
      <c r="B181" s="933"/>
      <c r="C181" s="934" t="s">
        <v>16</v>
      </c>
      <c r="D181" s="935" t="s">
        <v>17</v>
      </c>
      <c r="E181" s="933"/>
      <c r="F181" s="933"/>
      <c r="G181" s="936"/>
      <c r="H181" s="152" t="s">
        <v>12</v>
      </c>
      <c r="I181" s="937"/>
      <c r="J181" s="937"/>
      <c r="K181" s="938"/>
      <c r="L181" s="939">
        <f t="shared" ref="L181:N181" ca="1" si="92">L182+L183</f>
        <v>111200</v>
      </c>
      <c r="M181" s="939">
        <f t="shared" ca="1" si="92"/>
        <v>76500</v>
      </c>
      <c r="N181" s="939">
        <f t="shared" ca="1" si="92"/>
        <v>39020</v>
      </c>
      <c r="O181" s="939">
        <f t="shared" ref="O181:O189" ca="1" si="93">IF(L181&gt;0,N181*100/L181,0)</f>
        <v>35.089928057553955</v>
      </c>
      <c r="P181" s="939">
        <f t="shared" ref="P181:P189" ca="1" si="94">IF(M181&gt;0,N181*100/M181,0)</f>
        <v>51.006535947712422</v>
      </c>
      <c r="Q181" s="818"/>
      <c r="R181" s="818"/>
      <c r="S181" s="818"/>
      <c r="T181" s="818"/>
      <c r="U181" s="818"/>
      <c r="V181" s="818"/>
      <c r="W181" s="818"/>
      <c r="X181" s="818"/>
      <c r="Y181" s="818"/>
      <c r="Z181" s="818"/>
    </row>
    <row r="182" spans="1:26" ht="18.75" hidden="1">
      <c r="A182" s="940"/>
      <c r="B182" s="833"/>
      <c r="C182" s="833"/>
      <c r="D182" s="833"/>
      <c r="E182" s="834" t="s">
        <v>18</v>
      </c>
      <c r="F182" s="833"/>
      <c r="G182" s="941"/>
      <c r="H182" s="158" t="s">
        <v>12</v>
      </c>
      <c r="I182" s="836"/>
      <c r="J182" s="836"/>
      <c r="K182" s="837"/>
      <c r="L182" s="837">
        <f t="shared" ref="L182:N183" si="95">L185+L188</f>
        <v>0</v>
      </c>
      <c r="M182" s="837">
        <f t="shared" si="95"/>
        <v>0</v>
      </c>
      <c r="N182" s="837">
        <f t="shared" si="95"/>
        <v>0</v>
      </c>
      <c r="O182" s="837">
        <f t="shared" si="93"/>
        <v>0</v>
      </c>
      <c r="P182" s="837">
        <f t="shared" si="94"/>
        <v>0</v>
      </c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</row>
    <row r="183" spans="1:26" ht="18.75" hidden="1">
      <c r="A183" s="940"/>
      <c r="B183" s="833"/>
      <c r="C183" s="833"/>
      <c r="D183" s="833"/>
      <c r="E183" s="834" t="s">
        <v>19</v>
      </c>
      <c r="F183" s="833"/>
      <c r="G183" s="941"/>
      <c r="H183" s="158" t="s">
        <v>12</v>
      </c>
      <c r="I183" s="836"/>
      <c r="J183" s="836"/>
      <c r="K183" s="837"/>
      <c r="L183" s="837">
        <f t="shared" ca="1" si="95"/>
        <v>111200</v>
      </c>
      <c r="M183" s="837">
        <f t="shared" ca="1" si="95"/>
        <v>76500</v>
      </c>
      <c r="N183" s="837">
        <f t="shared" ca="1" si="95"/>
        <v>39020</v>
      </c>
      <c r="O183" s="837">
        <f t="shared" ca="1" si="93"/>
        <v>35.089928057553955</v>
      </c>
      <c r="P183" s="837">
        <f t="shared" ca="1" si="94"/>
        <v>51.006535947712422</v>
      </c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</row>
    <row r="184" spans="1:26" ht="18.75">
      <c r="A184" s="942"/>
      <c r="B184" s="827"/>
      <c r="C184" s="943"/>
      <c r="D184" s="828" t="s">
        <v>20</v>
      </c>
      <c r="E184" s="827"/>
      <c r="F184" s="827"/>
      <c r="G184" s="829"/>
      <c r="H184" s="778" t="s">
        <v>12</v>
      </c>
      <c r="I184" s="944"/>
      <c r="J184" s="944"/>
      <c r="K184" s="945"/>
      <c r="L184" s="831">
        <f t="shared" ref="L184:N184" ca="1" si="96">L185+L186</f>
        <v>111200</v>
      </c>
      <c r="M184" s="831">
        <f t="shared" ca="1" si="96"/>
        <v>76500</v>
      </c>
      <c r="N184" s="831">
        <f t="shared" ca="1" si="96"/>
        <v>39020</v>
      </c>
      <c r="O184" s="831">
        <f t="shared" ca="1" si="93"/>
        <v>35.089928057553955</v>
      </c>
      <c r="P184" s="831">
        <f t="shared" ca="1" si="94"/>
        <v>51.006535947712422</v>
      </c>
      <c r="Q184" s="818"/>
      <c r="R184" s="818"/>
      <c r="S184" s="818"/>
      <c r="T184" s="818"/>
      <c r="U184" s="818"/>
      <c r="V184" s="818"/>
      <c r="W184" s="818"/>
      <c r="X184" s="818"/>
      <c r="Y184" s="818"/>
      <c r="Z184" s="818"/>
    </row>
    <row r="185" spans="1:26" ht="19.5" hidden="1">
      <c r="A185" s="940"/>
      <c r="B185" s="833"/>
      <c r="C185" s="946"/>
      <c r="D185" s="833"/>
      <c r="E185" s="834" t="s">
        <v>36</v>
      </c>
      <c r="F185" s="833"/>
      <c r="G185" s="941"/>
      <c r="H185" s="165" t="s">
        <v>12</v>
      </c>
      <c r="I185" s="947"/>
      <c r="J185" s="947"/>
      <c r="K185" s="948"/>
      <c r="L185" s="837">
        <v>0</v>
      </c>
      <c r="M185" s="837">
        <v>0</v>
      </c>
      <c r="N185" s="837">
        <v>0</v>
      </c>
      <c r="O185" s="837">
        <f t="shared" si="93"/>
        <v>0</v>
      </c>
      <c r="P185" s="837">
        <f t="shared" si="94"/>
        <v>0</v>
      </c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</row>
    <row r="186" spans="1:26" ht="19.5" hidden="1">
      <c r="A186" s="940"/>
      <c r="B186" s="833"/>
      <c r="C186" s="946"/>
      <c r="D186" s="833"/>
      <c r="E186" s="834" t="s">
        <v>37</v>
      </c>
      <c r="F186" s="833"/>
      <c r="G186" s="941"/>
      <c r="H186" s="165" t="s">
        <v>12</v>
      </c>
      <c r="I186" s="947"/>
      <c r="J186" s="947"/>
      <c r="K186" s="948"/>
      <c r="L186" s="837">
        <f ca="1">IFERROR(__xludf.DUMMYFUNCTION("IMPORTRANGE(""https://docs.google.com/spreadsheets/d/1MeEWN-I1oV_STSDYn1IFDPWt_1FKiwhDph83XaGc0o0/edit?usp=sharing"",""งบพรบ!CO23"")"),111200)</f>
        <v>111200</v>
      </c>
      <c r="M186" s="837">
        <f ca="1">IFERROR(__xludf.DUMMYFUNCTION("IMPORTRANGE(""https://docs.google.com/spreadsheets/d/1MeEWN-I1oV_STSDYn1IFDPWt_1FKiwhDph83XaGc0o0/edit?usp=sharing"",""งบพรบ!CT23"")"),76500)</f>
        <v>76500</v>
      </c>
      <c r="N186" s="837">
        <f ca="1">IFERROR(__xludf.DUMMYFUNCTION("IMPORTRANGE(""https://docs.google.com/spreadsheets/d/1MeEWN-I1oV_STSDYn1IFDPWt_1FKiwhDph83XaGc0o0/edit?usp=sharing"",""งบพรบ!CV23"")"),39020)</f>
        <v>39020</v>
      </c>
      <c r="O186" s="837">
        <f t="shared" ca="1" si="93"/>
        <v>35.089928057553955</v>
      </c>
      <c r="P186" s="837">
        <f t="shared" ca="1" si="94"/>
        <v>51.006535947712422</v>
      </c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</row>
    <row r="187" spans="1:26" ht="18.75">
      <c r="A187" s="942"/>
      <c r="B187" s="827"/>
      <c r="C187" s="943"/>
      <c r="D187" s="828" t="s">
        <v>21</v>
      </c>
      <c r="E187" s="827"/>
      <c r="F187" s="827"/>
      <c r="G187" s="829"/>
      <c r="H187" s="168" t="s">
        <v>12</v>
      </c>
      <c r="I187" s="944"/>
      <c r="J187" s="944"/>
      <c r="K187" s="945"/>
      <c r="L187" s="831">
        <f t="shared" ref="L187:N187" ca="1" si="97">L188+L189</f>
        <v>0</v>
      </c>
      <c r="M187" s="831">
        <f t="shared" ca="1" si="97"/>
        <v>0</v>
      </c>
      <c r="N187" s="831">
        <f t="shared" ca="1" si="97"/>
        <v>0</v>
      </c>
      <c r="O187" s="831">
        <f t="shared" ca="1" si="93"/>
        <v>0</v>
      </c>
      <c r="P187" s="831">
        <f t="shared" ca="1" si="94"/>
        <v>0</v>
      </c>
      <c r="Q187" s="818"/>
      <c r="R187" s="818"/>
      <c r="S187" s="818"/>
      <c r="T187" s="818"/>
      <c r="U187" s="818"/>
      <c r="V187" s="818"/>
      <c r="W187" s="818"/>
      <c r="X187" s="818"/>
      <c r="Y187" s="818"/>
      <c r="Z187" s="818"/>
    </row>
    <row r="188" spans="1:26" ht="19.5" hidden="1">
      <c r="A188" s="940"/>
      <c r="B188" s="833"/>
      <c r="C188" s="946"/>
      <c r="D188" s="833"/>
      <c r="E188" s="834" t="s">
        <v>18</v>
      </c>
      <c r="F188" s="833"/>
      <c r="G188" s="941"/>
      <c r="H188" s="165" t="s">
        <v>12</v>
      </c>
      <c r="I188" s="947"/>
      <c r="J188" s="947"/>
      <c r="K188" s="948"/>
      <c r="L188" s="837">
        <v>0</v>
      </c>
      <c r="M188" s="837">
        <v>0</v>
      </c>
      <c r="N188" s="837">
        <v>0</v>
      </c>
      <c r="O188" s="837">
        <f t="shared" si="93"/>
        <v>0</v>
      </c>
      <c r="P188" s="837">
        <f t="shared" si="94"/>
        <v>0</v>
      </c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</row>
    <row r="189" spans="1:26" ht="19.5" hidden="1">
      <c r="A189" s="940"/>
      <c r="B189" s="833"/>
      <c r="C189" s="946"/>
      <c r="D189" s="833"/>
      <c r="E189" s="834" t="s">
        <v>19</v>
      </c>
      <c r="F189" s="833"/>
      <c r="G189" s="941"/>
      <c r="H189" s="169" t="s">
        <v>12</v>
      </c>
      <c r="I189" s="947"/>
      <c r="J189" s="947"/>
      <c r="K189" s="948"/>
      <c r="L189" s="837">
        <f ca="1">IFERROR(__xludf.DUMMYFUNCTION("IMPORTRANGE(""https://docs.google.com/spreadsheets/d/1MeEWN-I1oV_STSDYn1IFDPWt_1FKiwhDph83XaGc0o0/edit?usp=sharing"",""งบพรบ!CR23"")"),0)</f>
        <v>0</v>
      </c>
      <c r="M189" s="837">
        <f ca="1">IFERROR(__xludf.DUMMYFUNCTION("IMPORTRANGE(""https://docs.google.com/spreadsheets/d/1MeEWN-I1oV_STSDYn1IFDPWt_1FKiwhDph83XaGc0o0/edit?usp=sharing"",""งบพรบ!CU23"")"),0)</f>
        <v>0</v>
      </c>
      <c r="N189" s="837">
        <f ca="1">IFERROR(__xludf.DUMMYFUNCTION("IMPORTRANGE(""https://docs.google.com/spreadsheets/d/1MeEWN-I1oV_STSDYn1IFDPWt_1FKiwhDph83XaGc0o0/edit?usp=sharing"",""งบพรบ!CW23"")"),0)</f>
        <v>0</v>
      </c>
      <c r="O189" s="837">
        <f t="shared" ca="1" si="93"/>
        <v>0</v>
      </c>
      <c r="P189" s="837">
        <f t="shared" ca="1" si="94"/>
        <v>0</v>
      </c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</row>
    <row r="190" spans="1:26" ht="19.5">
      <c r="A190" s="1011"/>
      <c r="B190" s="1018"/>
      <c r="C190" s="1023" t="s">
        <v>89</v>
      </c>
      <c r="D190" s="1012"/>
      <c r="E190" s="1012"/>
      <c r="F190" s="1012"/>
      <c r="G190" s="1014"/>
      <c r="H190" s="260" t="s">
        <v>90</v>
      </c>
      <c r="I190" s="1024">
        <f t="shared" ref="I190:J190" ca="1" si="98">I193</f>
        <v>4</v>
      </c>
      <c r="J190" s="1024">
        <f t="shared" si="98"/>
        <v>1</v>
      </c>
      <c r="K190" s="1025">
        <f ca="1">IF(I190&gt;0,J190*100/I190,0)</f>
        <v>25</v>
      </c>
      <c r="L190" s="1016"/>
      <c r="M190" s="1016"/>
      <c r="N190" s="1016"/>
      <c r="O190" s="1016"/>
      <c r="P190" s="1016"/>
    </row>
    <row r="191" spans="1:26" ht="19.5">
      <c r="A191" s="932"/>
      <c r="B191" s="933"/>
      <c r="C191" s="934" t="s">
        <v>16</v>
      </c>
      <c r="D191" s="1026" t="s">
        <v>17</v>
      </c>
      <c r="E191" s="933"/>
      <c r="F191" s="933"/>
      <c r="G191" s="936"/>
      <c r="H191" s="275" t="s">
        <v>12</v>
      </c>
      <c r="I191" s="937"/>
      <c r="J191" s="937"/>
      <c r="K191" s="938"/>
      <c r="L191" s="939">
        <f ca="1">IFERROR(__xludf.DUMMYFUNCTION("IMPORTRANGE(""https://docs.google.com/spreadsheets/d/1QqKyyYR6Q21VydFLVH3TRQUabQu_ym0Zz7PgGX0-kHA/edit?usp=sharing"",""แผน!Z23"")"),6000)</f>
        <v>6000</v>
      </c>
      <c r="M191" s="939"/>
      <c r="N191" s="1027">
        <v>0</v>
      </c>
      <c r="O191" s="939">
        <f ca="1">IF(L191&gt;0,N191*100/L191,0)</f>
        <v>0</v>
      </c>
      <c r="P191" s="939">
        <f>IF(M191&gt;0,N191*100/M191,0)</f>
        <v>0</v>
      </c>
      <c r="Q191" s="818"/>
      <c r="R191" s="818"/>
      <c r="S191" s="818"/>
      <c r="T191" s="818"/>
      <c r="U191" s="818"/>
      <c r="V191" s="818"/>
      <c r="W191" s="818"/>
      <c r="X191" s="818"/>
      <c r="Y191" s="818"/>
      <c r="Z191" s="818"/>
    </row>
    <row r="192" spans="1:26" ht="19.5">
      <c r="A192" s="949"/>
      <c r="B192" s="950"/>
      <c r="C192" s="976" t="s">
        <v>16</v>
      </c>
      <c r="D192" s="951" t="s">
        <v>38</v>
      </c>
      <c r="E192" s="952"/>
      <c r="F192" s="952"/>
      <c r="G192" s="953"/>
      <c r="H192" s="954"/>
      <c r="I192" s="830"/>
      <c r="J192" s="830"/>
      <c r="K192" s="831"/>
      <c r="L192" s="831"/>
      <c r="M192" s="831"/>
      <c r="N192" s="831"/>
      <c r="O192" s="831"/>
      <c r="P192" s="831"/>
      <c r="Q192" s="818"/>
      <c r="R192" s="818"/>
      <c r="S192" s="818"/>
      <c r="T192" s="818"/>
      <c r="U192" s="818"/>
      <c r="V192" s="818"/>
      <c r="W192" s="818"/>
      <c r="X192" s="818"/>
      <c r="Y192" s="818"/>
      <c r="Z192" s="818"/>
    </row>
    <row r="193" spans="1:26" ht="18.75">
      <c r="A193" s="949"/>
      <c r="B193" s="950"/>
      <c r="C193" s="950"/>
      <c r="D193" s="956" t="s">
        <v>91</v>
      </c>
      <c r="E193" s="957"/>
      <c r="F193" s="957"/>
      <c r="G193" s="958"/>
      <c r="H193" s="730" t="s">
        <v>90</v>
      </c>
      <c r="I193" s="830">
        <f ca="1">IFERROR(__xludf.DUMMYFUNCTION("IMPORTRANGE(""https://docs.google.com/spreadsheets/d/1QqKyyYR6Q21VydFLVH3TRQUabQu_ym0Zz7PgGX0-kHA/edit?usp=sharing"",""แผน!AC23"")"),4)</f>
        <v>4</v>
      </c>
      <c r="J193" s="959">
        <v>1</v>
      </c>
      <c r="K193" s="831">
        <f ca="1">IF(I193&gt;0,J193*100/I193,0)</f>
        <v>25</v>
      </c>
      <c r="L193" s="831"/>
      <c r="M193" s="831"/>
      <c r="N193" s="831"/>
      <c r="O193" s="831"/>
      <c r="P193" s="831"/>
      <c r="Q193" s="818"/>
      <c r="R193" s="818"/>
      <c r="S193" s="818"/>
      <c r="T193" s="818"/>
      <c r="U193" s="818"/>
      <c r="V193" s="818"/>
      <c r="W193" s="818"/>
      <c r="X193" s="818"/>
      <c r="Y193" s="818"/>
      <c r="Z193" s="818"/>
    </row>
    <row r="194" spans="1:26" ht="18.75">
      <c r="A194" s="949"/>
      <c r="B194" s="950"/>
      <c r="C194" s="950"/>
      <c r="D194" s="956" t="s">
        <v>92</v>
      </c>
      <c r="E194" s="957"/>
      <c r="F194" s="957"/>
      <c r="G194" s="958"/>
      <c r="H194" s="277" t="s">
        <v>35</v>
      </c>
      <c r="I194" s="830"/>
      <c r="J194" s="830">
        <f>J195+J196</f>
        <v>50</v>
      </c>
      <c r="K194" s="831"/>
      <c r="L194" s="831"/>
      <c r="M194" s="831"/>
      <c r="N194" s="831"/>
      <c r="O194" s="831"/>
      <c r="P194" s="831"/>
      <c r="Q194" s="818"/>
      <c r="R194" s="818"/>
      <c r="S194" s="818"/>
      <c r="T194" s="818"/>
      <c r="U194" s="818"/>
      <c r="V194" s="818"/>
      <c r="W194" s="818"/>
      <c r="X194" s="818"/>
      <c r="Y194" s="818"/>
      <c r="Z194" s="818"/>
    </row>
    <row r="195" spans="1:26" ht="18.75">
      <c r="A195" s="949"/>
      <c r="B195" s="950"/>
      <c r="C195" s="950"/>
      <c r="D195" s="950"/>
      <c r="E195" s="956" t="s">
        <v>93</v>
      </c>
      <c r="F195" s="957"/>
      <c r="G195" s="958"/>
      <c r="H195" s="277" t="s">
        <v>35</v>
      </c>
      <c r="I195" s="830"/>
      <c r="J195" s="959">
        <v>50</v>
      </c>
      <c r="K195" s="831"/>
      <c r="L195" s="831"/>
      <c r="M195" s="831"/>
      <c r="N195" s="831"/>
      <c r="O195" s="831"/>
      <c r="P195" s="831"/>
      <c r="Q195" s="818"/>
      <c r="R195" s="818"/>
      <c r="S195" s="818"/>
      <c r="T195" s="818"/>
      <c r="U195" s="818"/>
      <c r="V195" s="818"/>
      <c r="W195" s="818"/>
      <c r="X195" s="818"/>
      <c r="Y195" s="818"/>
      <c r="Z195" s="818"/>
    </row>
    <row r="196" spans="1:26" ht="18.75">
      <c r="A196" s="949"/>
      <c r="B196" s="950"/>
      <c r="C196" s="950"/>
      <c r="D196" s="950"/>
      <c r="E196" s="956" t="s">
        <v>94</v>
      </c>
      <c r="F196" s="957"/>
      <c r="G196" s="958"/>
      <c r="H196" s="277" t="s">
        <v>35</v>
      </c>
      <c r="I196" s="830"/>
      <c r="J196" s="959">
        <v>0</v>
      </c>
      <c r="K196" s="831"/>
      <c r="L196" s="831"/>
      <c r="M196" s="831"/>
      <c r="N196" s="831"/>
      <c r="O196" s="831"/>
      <c r="P196" s="831"/>
      <c r="Q196" s="818"/>
      <c r="R196" s="818"/>
      <c r="S196" s="818"/>
      <c r="T196" s="818"/>
      <c r="U196" s="818"/>
      <c r="V196" s="818"/>
      <c r="W196" s="818"/>
      <c r="X196" s="818"/>
      <c r="Y196" s="818"/>
      <c r="Z196" s="818"/>
    </row>
    <row r="197" spans="1:26" ht="19.5">
      <c r="A197" s="1011"/>
      <c r="B197" s="1018"/>
      <c r="C197" s="1023" t="s">
        <v>95</v>
      </c>
      <c r="D197" s="1012"/>
      <c r="E197" s="1012"/>
      <c r="F197" s="1012"/>
      <c r="G197" s="1014"/>
      <c r="H197" s="278" t="s">
        <v>96</v>
      </c>
      <c r="I197" s="1024">
        <f t="shared" ref="I197:J197" ca="1" si="99">I204</f>
        <v>2</v>
      </c>
      <c r="J197" s="1024">
        <f t="shared" si="99"/>
        <v>2</v>
      </c>
      <c r="K197" s="1025">
        <f ca="1">IF(I197&gt;0,J197*100/I197,0)</f>
        <v>100</v>
      </c>
      <c r="L197" s="1016"/>
      <c r="M197" s="1016"/>
      <c r="N197" s="1016"/>
      <c r="O197" s="1016"/>
      <c r="P197" s="1016"/>
    </row>
    <row r="198" spans="1:26" ht="19.5">
      <c r="A198" s="932"/>
      <c r="B198" s="933"/>
      <c r="C198" s="934" t="s">
        <v>16</v>
      </c>
      <c r="D198" s="1026" t="s">
        <v>17</v>
      </c>
      <c r="E198" s="933"/>
      <c r="F198" s="933"/>
      <c r="G198" s="936"/>
      <c r="H198" s="275" t="s">
        <v>12</v>
      </c>
      <c r="I198" s="1028"/>
      <c r="J198" s="1028"/>
      <c r="K198" s="1029"/>
      <c r="L198" s="939">
        <f ca="1">L199+L200+L201+L202</f>
        <v>26000</v>
      </c>
      <c r="M198" s="939"/>
      <c r="N198" s="939">
        <f>N199+N200+N201+N202</f>
        <v>0</v>
      </c>
      <c r="O198" s="939">
        <f ca="1">IF(L198&gt;0,N198*100/L198,0)</f>
        <v>0</v>
      </c>
      <c r="P198" s="939">
        <f>IF(M198&gt;0,N198*100/M198,0)</f>
        <v>0</v>
      </c>
      <c r="Q198" s="818"/>
      <c r="R198" s="818"/>
      <c r="S198" s="818"/>
      <c r="T198" s="818"/>
      <c r="U198" s="818"/>
      <c r="V198" s="818"/>
      <c r="W198" s="818"/>
      <c r="X198" s="818"/>
      <c r="Y198" s="818"/>
      <c r="Z198" s="818"/>
    </row>
    <row r="199" spans="1:26" ht="18.75">
      <c r="A199" s="942"/>
      <c r="B199" s="1030"/>
      <c r="C199" s="827"/>
      <c r="D199" s="943" t="s">
        <v>97</v>
      </c>
      <c r="E199" s="827"/>
      <c r="F199" s="827"/>
      <c r="G199" s="829"/>
      <c r="H199" s="778" t="s">
        <v>12</v>
      </c>
      <c r="I199" s="944"/>
      <c r="J199" s="944"/>
      <c r="K199" s="945"/>
      <c r="L199" s="831">
        <f ca="1">IFERROR(__xludf.DUMMYFUNCTION("IMPORTRANGE(""https://docs.google.com/spreadsheets/d/1QqKyyYR6Q21VydFLVH3TRQUabQu_ym0Zz7PgGX0-kHA/edit?usp=sharing"",""แผน!AE23"")"),2000)</f>
        <v>2000</v>
      </c>
      <c r="M199" s="831"/>
      <c r="N199" s="1031">
        <v>0</v>
      </c>
      <c r="O199" s="831"/>
      <c r="P199" s="831"/>
      <c r="Q199" s="818"/>
      <c r="R199" s="818"/>
      <c r="S199" s="818"/>
      <c r="T199" s="818"/>
      <c r="U199" s="818"/>
      <c r="V199" s="818"/>
      <c r="W199" s="818"/>
      <c r="X199" s="818"/>
      <c r="Y199" s="818"/>
      <c r="Z199" s="818"/>
    </row>
    <row r="200" spans="1:26" ht="19.5">
      <c r="A200" s="1032"/>
      <c r="B200" s="1030"/>
      <c r="C200" s="976"/>
      <c r="D200" s="943" t="s">
        <v>98</v>
      </c>
      <c r="E200" s="827"/>
      <c r="F200" s="827"/>
      <c r="G200" s="829"/>
      <c r="H200" s="590" t="s">
        <v>12</v>
      </c>
      <c r="I200" s="830"/>
      <c r="J200" s="830"/>
      <c r="K200" s="831"/>
      <c r="L200" s="831">
        <f ca="1">IFERROR(__xludf.DUMMYFUNCTION("IMPORTRANGE(""https://docs.google.com/spreadsheets/d/1QqKyyYR6Q21VydFLVH3TRQUabQu_ym0Zz7PgGX0-kHA/edit?usp=sharing"",""แผน!AF23"")"),16000)</f>
        <v>16000</v>
      </c>
      <c r="M200" s="831"/>
      <c r="N200" s="1031">
        <v>0</v>
      </c>
      <c r="O200" s="831"/>
      <c r="P200" s="831"/>
      <c r="Q200" s="1033"/>
      <c r="R200" s="1033"/>
      <c r="S200" s="1033"/>
      <c r="T200" s="1033"/>
      <c r="U200" s="1033"/>
      <c r="V200" s="1033"/>
      <c r="W200" s="1033"/>
      <c r="X200" s="1033"/>
      <c r="Y200" s="1033"/>
      <c r="Z200" s="1033"/>
    </row>
    <row r="201" spans="1:26" ht="19.5">
      <c r="A201" s="1032"/>
      <c r="B201" s="1030"/>
      <c r="C201" s="976"/>
      <c r="D201" s="943" t="s">
        <v>99</v>
      </c>
      <c r="E201" s="827"/>
      <c r="F201" s="827"/>
      <c r="G201" s="829"/>
      <c r="H201" s="590" t="s">
        <v>12</v>
      </c>
      <c r="I201" s="830"/>
      <c r="J201" s="830"/>
      <c r="K201" s="831"/>
      <c r="L201" s="831">
        <f ca="1">IFERROR(__xludf.DUMMYFUNCTION("IMPORTRANGE(""https://docs.google.com/spreadsheets/d/1QqKyyYR6Q21VydFLVH3TRQUabQu_ym0Zz7PgGX0-kHA/edit?usp=sharing"",""แผน!AG23"")"),8000)</f>
        <v>8000</v>
      </c>
      <c r="M201" s="831"/>
      <c r="N201" s="1031">
        <v>0</v>
      </c>
      <c r="O201" s="831"/>
      <c r="P201" s="831"/>
      <c r="Q201" s="1033"/>
      <c r="R201" s="1033"/>
      <c r="S201" s="1033"/>
      <c r="T201" s="1033"/>
      <c r="U201" s="1033"/>
      <c r="V201" s="1033"/>
      <c r="W201" s="1033"/>
      <c r="X201" s="1033"/>
      <c r="Y201" s="1033"/>
      <c r="Z201" s="1033"/>
    </row>
    <row r="202" spans="1:26" ht="19.5">
      <c r="A202" s="1032"/>
      <c r="B202" s="1030"/>
      <c r="C202" s="976"/>
      <c r="D202" s="943" t="s">
        <v>100</v>
      </c>
      <c r="E202" s="827"/>
      <c r="F202" s="827"/>
      <c r="G202" s="829"/>
      <c r="H202" s="590" t="s">
        <v>12</v>
      </c>
      <c r="I202" s="830"/>
      <c r="J202" s="830"/>
      <c r="K202" s="831"/>
      <c r="L202" s="831">
        <f ca="1">IFERROR(__xludf.DUMMYFUNCTION("IMPORTRANGE(""https://docs.google.com/spreadsheets/d/1QqKyyYR6Q21VydFLVH3TRQUabQu_ym0Zz7PgGX0-kHA/edit?usp=sharing"",""แผน!AH23"")"),0)</f>
        <v>0</v>
      </c>
      <c r="M202" s="831"/>
      <c r="N202" s="1031">
        <v>0</v>
      </c>
      <c r="O202" s="831"/>
      <c r="P202" s="831"/>
      <c r="Q202" s="1033"/>
      <c r="R202" s="1033"/>
      <c r="S202" s="1033"/>
      <c r="T202" s="1033"/>
      <c r="U202" s="1033"/>
      <c r="V202" s="1033"/>
      <c r="W202" s="1033"/>
      <c r="X202" s="1033"/>
      <c r="Y202" s="1033"/>
      <c r="Z202" s="1033"/>
    </row>
    <row r="203" spans="1:26" ht="19.5">
      <c r="A203" s="949"/>
      <c r="B203" s="950"/>
      <c r="C203" s="976" t="s">
        <v>16</v>
      </c>
      <c r="D203" s="951" t="s">
        <v>38</v>
      </c>
      <c r="E203" s="952"/>
      <c r="F203" s="952"/>
      <c r="G203" s="953"/>
      <c r="H203" s="954"/>
      <c r="I203" s="944"/>
      <c r="J203" s="944"/>
      <c r="K203" s="945"/>
      <c r="L203" s="945"/>
      <c r="M203" s="945"/>
      <c r="N203" s="945"/>
      <c r="O203" s="945"/>
      <c r="P203" s="945"/>
      <c r="Q203" s="818"/>
      <c r="R203" s="818"/>
      <c r="S203" s="818"/>
      <c r="T203" s="818"/>
      <c r="U203" s="818"/>
      <c r="V203" s="818"/>
      <c r="W203" s="818"/>
      <c r="X203" s="818"/>
      <c r="Y203" s="818"/>
      <c r="Z203" s="818"/>
    </row>
    <row r="204" spans="1:26" ht="18.75">
      <c r="A204" s="949"/>
      <c r="B204" s="950"/>
      <c r="C204" s="950"/>
      <c r="D204" s="955" t="s">
        <v>101</v>
      </c>
      <c r="E204" s="957"/>
      <c r="F204" s="957"/>
      <c r="G204" s="958"/>
      <c r="H204" s="954" t="s">
        <v>96</v>
      </c>
      <c r="I204" s="830">
        <f ca="1">IFERROR(__xludf.DUMMYFUNCTION("IMPORTRANGE(""https://docs.google.com/spreadsheets/d/1QqKyyYR6Q21VydFLVH3TRQUabQu_ym0Zz7PgGX0-kHA/edit?usp=sharing"",""แผน!AI23"")"),2)</f>
        <v>2</v>
      </c>
      <c r="J204" s="959">
        <v>2</v>
      </c>
      <c r="K204" s="945">
        <f ca="1">IF(I204&gt;0,J204*100/I204,0)</f>
        <v>100</v>
      </c>
      <c r="L204" s="831"/>
      <c r="M204" s="831"/>
      <c r="N204" s="831"/>
      <c r="O204" s="831"/>
      <c r="P204" s="831"/>
      <c r="Q204" s="818"/>
      <c r="R204" s="818"/>
      <c r="S204" s="818"/>
      <c r="T204" s="818"/>
      <c r="U204" s="818"/>
      <c r="V204" s="818"/>
      <c r="W204" s="818"/>
      <c r="X204" s="818"/>
      <c r="Y204" s="818"/>
      <c r="Z204" s="818"/>
    </row>
    <row r="205" spans="1:26" ht="18.75">
      <c r="A205" s="949"/>
      <c r="B205" s="950"/>
      <c r="C205" s="950"/>
      <c r="D205" s="956" t="s">
        <v>59</v>
      </c>
      <c r="E205" s="957"/>
      <c r="F205" s="957"/>
      <c r="G205" s="958"/>
      <c r="H205" s="954"/>
      <c r="I205" s="830"/>
      <c r="J205" s="830"/>
      <c r="K205" s="945"/>
      <c r="L205" s="831"/>
      <c r="M205" s="831"/>
      <c r="N205" s="831"/>
      <c r="O205" s="831"/>
      <c r="P205" s="831"/>
      <c r="Q205" s="818"/>
      <c r="R205" s="818"/>
      <c r="S205" s="818"/>
      <c r="T205" s="818"/>
      <c r="U205" s="818"/>
      <c r="V205" s="818"/>
      <c r="W205" s="818"/>
      <c r="X205" s="818"/>
      <c r="Y205" s="818"/>
      <c r="Z205" s="818"/>
    </row>
    <row r="206" spans="1:26" ht="18.75">
      <c r="A206" s="949"/>
      <c r="B206" s="950"/>
      <c r="C206" s="950"/>
      <c r="D206" s="957"/>
      <c r="E206" s="968" t="s">
        <v>102</v>
      </c>
      <c r="F206" s="1034"/>
      <c r="G206" s="1035"/>
      <c r="H206" s="1036" t="s">
        <v>96</v>
      </c>
      <c r="I206" s="830">
        <v>2</v>
      </c>
      <c r="J206" s="959">
        <v>2</v>
      </c>
      <c r="K206" s="945">
        <f t="shared" ref="K206:K208" si="100">IF(I206&gt;0,J206*100/I206,0)</f>
        <v>100</v>
      </c>
      <c r="L206" s="831"/>
      <c r="M206" s="831"/>
      <c r="N206" s="831"/>
      <c r="O206" s="831"/>
      <c r="P206" s="831"/>
      <c r="Q206" s="818"/>
      <c r="R206" s="818"/>
      <c r="S206" s="818"/>
      <c r="T206" s="818"/>
      <c r="U206" s="818"/>
      <c r="V206" s="818"/>
      <c r="W206" s="818"/>
      <c r="X206" s="818"/>
      <c r="Y206" s="818"/>
      <c r="Z206" s="818"/>
    </row>
    <row r="207" spans="1:26" ht="18.75">
      <c r="A207" s="949"/>
      <c r="B207" s="950"/>
      <c r="C207" s="950"/>
      <c r="D207" s="956"/>
      <c r="E207" s="956" t="s">
        <v>103</v>
      </c>
      <c r="F207" s="957"/>
      <c r="G207" s="957"/>
      <c r="H207" s="290" t="s">
        <v>104</v>
      </c>
      <c r="I207" s="830">
        <v>0</v>
      </c>
      <c r="J207" s="959"/>
      <c r="K207" s="945">
        <f t="shared" si="100"/>
        <v>0</v>
      </c>
      <c r="L207" s="831"/>
      <c r="M207" s="831"/>
      <c r="N207" s="831"/>
      <c r="O207" s="831"/>
      <c r="P207" s="831"/>
      <c r="Q207" s="818"/>
      <c r="R207" s="818"/>
      <c r="S207" s="818"/>
      <c r="T207" s="818"/>
      <c r="U207" s="818"/>
      <c r="V207" s="818"/>
      <c r="W207" s="818"/>
      <c r="X207" s="818"/>
      <c r="Y207" s="818"/>
      <c r="Z207" s="818"/>
    </row>
    <row r="208" spans="1:26" ht="19.5">
      <c r="A208" s="1011"/>
      <c r="B208" s="1018"/>
      <c r="C208" s="1023" t="s">
        <v>105</v>
      </c>
      <c r="D208" s="1012"/>
      <c r="E208" s="1012"/>
      <c r="F208" s="1037"/>
      <c r="G208" s="1014"/>
      <c r="H208" s="278" t="s">
        <v>96</v>
      </c>
      <c r="I208" s="1024">
        <f t="shared" ref="I208:J208" ca="1" si="101">I215</f>
        <v>2</v>
      </c>
      <c r="J208" s="1024">
        <f t="shared" si="101"/>
        <v>2</v>
      </c>
      <c r="K208" s="1025">
        <f t="shared" ca="1" si="100"/>
        <v>100</v>
      </c>
      <c r="L208" s="1016"/>
      <c r="M208" s="1016"/>
      <c r="N208" s="1016"/>
      <c r="O208" s="1016"/>
      <c r="P208" s="1016"/>
    </row>
    <row r="209" spans="1:26" ht="19.5">
      <c r="A209" s="932"/>
      <c r="B209" s="933"/>
      <c r="C209" s="934" t="s">
        <v>16</v>
      </c>
      <c r="D209" s="1026" t="s">
        <v>17</v>
      </c>
      <c r="E209" s="933"/>
      <c r="F209" s="933"/>
      <c r="G209" s="936"/>
      <c r="H209" s="275" t="s">
        <v>12</v>
      </c>
      <c r="I209" s="1028"/>
      <c r="J209" s="1028"/>
      <c r="K209" s="1029"/>
      <c r="L209" s="939">
        <f ca="1">L210+L211+L212</f>
        <v>28000</v>
      </c>
      <c r="M209" s="939"/>
      <c r="N209" s="939">
        <f>N210+N211+N212</f>
        <v>0</v>
      </c>
      <c r="O209" s="939">
        <f ca="1">IF(L209&gt;0,N209*100/L209,0)</f>
        <v>0</v>
      </c>
      <c r="P209" s="939">
        <f>IF(M209&gt;0,N209*100/M209,0)</f>
        <v>0</v>
      </c>
      <c r="Q209" s="818"/>
      <c r="R209" s="818"/>
      <c r="S209" s="818"/>
      <c r="T209" s="818"/>
      <c r="U209" s="818"/>
      <c r="V209" s="818"/>
      <c r="W209" s="818"/>
      <c r="X209" s="818"/>
      <c r="Y209" s="818"/>
      <c r="Z209" s="818"/>
    </row>
    <row r="210" spans="1:26" ht="18.75">
      <c r="A210" s="942"/>
      <c r="B210" s="1030"/>
      <c r="C210" s="827"/>
      <c r="D210" s="943" t="s">
        <v>97</v>
      </c>
      <c r="E210" s="827"/>
      <c r="F210" s="827"/>
      <c r="G210" s="829"/>
      <c r="H210" s="778" t="s">
        <v>12</v>
      </c>
      <c r="I210" s="944"/>
      <c r="J210" s="944"/>
      <c r="K210" s="945"/>
      <c r="L210" s="831">
        <f ca="1">IFERROR(__xludf.DUMMYFUNCTION("IMPORTRANGE(""https://docs.google.com/spreadsheets/d/1QqKyyYR6Q21VydFLVH3TRQUabQu_ym0Zz7PgGX0-kHA/edit?usp=sharing"",""แผน!AK23"")"),2000)</f>
        <v>2000</v>
      </c>
      <c r="M210" s="831"/>
      <c r="N210" s="1031">
        <v>0</v>
      </c>
      <c r="O210" s="831"/>
      <c r="P210" s="831"/>
      <c r="Q210" s="818"/>
      <c r="R210" s="818"/>
      <c r="S210" s="818"/>
      <c r="T210" s="818"/>
      <c r="U210" s="818"/>
      <c r="V210" s="818"/>
      <c r="W210" s="818"/>
      <c r="X210" s="818"/>
      <c r="Y210" s="818"/>
      <c r="Z210" s="818"/>
    </row>
    <row r="211" spans="1:26" ht="19.5">
      <c r="A211" s="1032"/>
      <c r="B211" s="1030"/>
      <c r="C211" s="1038"/>
      <c r="D211" s="943" t="s">
        <v>99</v>
      </c>
      <c r="E211" s="827"/>
      <c r="F211" s="827"/>
      <c r="G211" s="829"/>
      <c r="H211" s="778" t="s">
        <v>12</v>
      </c>
      <c r="I211" s="830"/>
      <c r="J211" s="830"/>
      <c r="K211" s="831"/>
      <c r="L211" s="831">
        <f ca="1">IFERROR(__xludf.DUMMYFUNCTION("IMPORTRANGE(""https://docs.google.com/spreadsheets/d/1QqKyyYR6Q21VydFLVH3TRQUabQu_ym0Zz7PgGX0-kHA/edit?usp=sharing"",""แผน!AL23"")"),10000)</f>
        <v>10000</v>
      </c>
      <c r="M211" s="831"/>
      <c r="N211" s="1031">
        <v>0</v>
      </c>
      <c r="O211" s="831"/>
      <c r="P211" s="831"/>
      <c r="Q211" s="1033"/>
      <c r="R211" s="1033"/>
      <c r="S211" s="1033"/>
      <c r="T211" s="1033"/>
      <c r="U211" s="1033"/>
      <c r="V211" s="1033"/>
      <c r="W211" s="1033"/>
      <c r="X211" s="1033"/>
      <c r="Y211" s="1033"/>
      <c r="Z211" s="1033"/>
    </row>
    <row r="212" spans="1:26" ht="19.5">
      <c r="A212" s="1032"/>
      <c r="B212" s="1030"/>
      <c r="C212" s="1038"/>
      <c r="D212" s="943" t="s">
        <v>98</v>
      </c>
      <c r="E212" s="827"/>
      <c r="F212" s="827"/>
      <c r="G212" s="829"/>
      <c r="H212" s="778" t="s">
        <v>12</v>
      </c>
      <c r="I212" s="830"/>
      <c r="J212" s="830"/>
      <c r="K212" s="831"/>
      <c r="L212" s="831">
        <f ca="1">IFERROR(__xludf.DUMMYFUNCTION("IMPORTRANGE(""https://docs.google.com/spreadsheets/d/1QqKyyYR6Q21VydFLVH3TRQUabQu_ym0Zz7PgGX0-kHA/edit?usp=sharing"",""แผน!AM23"")"),16000)</f>
        <v>16000</v>
      </c>
      <c r="M212" s="831"/>
      <c r="N212" s="1031">
        <v>0</v>
      </c>
      <c r="O212" s="831"/>
      <c r="P212" s="831"/>
      <c r="Q212" s="1033"/>
      <c r="R212" s="1033"/>
      <c r="S212" s="1033"/>
      <c r="T212" s="1033"/>
      <c r="U212" s="1033"/>
      <c r="V212" s="1033"/>
      <c r="W212" s="1033"/>
      <c r="X212" s="1033"/>
      <c r="Y212" s="1033"/>
      <c r="Z212" s="1033"/>
    </row>
    <row r="213" spans="1:26" ht="19.5">
      <c r="A213" s="949"/>
      <c r="B213" s="950"/>
      <c r="C213" s="1038" t="s">
        <v>16</v>
      </c>
      <c r="D213" s="951" t="s">
        <v>38</v>
      </c>
      <c r="E213" s="952"/>
      <c r="F213" s="952"/>
      <c r="G213" s="953"/>
      <c r="H213" s="954"/>
      <c r="I213" s="944"/>
      <c r="J213" s="830"/>
      <c r="K213" s="831"/>
      <c r="L213" s="831"/>
      <c r="M213" s="831"/>
      <c r="N213" s="831"/>
      <c r="O213" s="945"/>
      <c r="P213" s="945"/>
      <c r="Q213" s="818"/>
      <c r="R213" s="818"/>
      <c r="S213" s="818"/>
      <c r="T213" s="818"/>
      <c r="U213" s="818"/>
      <c r="V213" s="818"/>
      <c r="W213" s="818"/>
      <c r="X213" s="818"/>
      <c r="Y213" s="818"/>
      <c r="Z213" s="818"/>
    </row>
    <row r="214" spans="1:26" ht="18.75">
      <c r="A214" s="949"/>
      <c r="B214" s="950"/>
      <c r="C214" s="950"/>
      <c r="D214" s="955" t="s">
        <v>106</v>
      </c>
      <c r="E214" s="957"/>
      <c r="F214" s="957"/>
      <c r="G214" s="958"/>
      <c r="H214" s="954" t="s">
        <v>96</v>
      </c>
      <c r="I214" s="830">
        <f ca="1">IFERROR(__xludf.DUMMYFUNCTION("IMPORTRANGE(""https://docs.google.com/spreadsheets/d/1QqKyyYR6Q21VydFLVH3TRQUabQu_ym0Zz7PgGX0-kHA/edit?usp=sharing"",""แผน!AN23"")"),2)</f>
        <v>2</v>
      </c>
      <c r="J214" s="959">
        <v>0</v>
      </c>
      <c r="K214" s="831">
        <f t="shared" ref="K214:K216" ca="1" si="102">IF(I214&gt;0,J214*100/I214,0)</f>
        <v>0</v>
      </c>
      <c r="L214" s="831"/>
      <c r="M214" s="831"/>
      <c r="N214" s="831"/>
      <c r="O214" s="831"/>
      <c r="P214" s="831"/>
      <c r="Q214" s="818"/>
      <c r="R214" s="818"/>
      <c r="S214" s="818"/>
      <c r="T214" s="818"/>
      <c r="U214" s="818"/>
      <c r="V214" s="818"/>
      <c r="W214" s="818"/>
      <c r="X214" s="818"/>
      <c r="Y214" s="818"/>
      <c r="Z214" s="818"/>
    </row>
    <row r="215" spans="1:26" ht="18.75">
      <c r="A215" s="949"/>
      <c r="B215" s="950"/>
      <c r="C215" s="950"/>
      <c r="D215" s="955" t="s">
        <v>107</v>
      </c>
      <c r="E215" s="957"/>
      <c r="F215" s="957"/>
      <c r="G215" s="958"/>
      <c r="H215" s="954" t="s">
        <v>96</v>
      </c>
      <c r="I215" s="830">
        <f ca="1">IFERROR(__xludf.DUMMYFUNCTION("IMPORTRANGE(""https://docs.google.com/spreadsheets/d/1QqKyyYR6Q21VydFLVH3TRQUabQu_ym0Zz7PgGX0-kHA/edit?usp=sharing"",""แผน!AN23"")"),2)</f>
        <v>2</v>
      </c>
      <c r="J215" s="959">
        <v>2</v>
      </c>
      <c r="K215" s="831">
        <f t="shared" ca="1" si="102"/>
        <v>100</v>
      </c>
      <c r="L215" s="831"/>
      <c r="M215" s="831"/>
      <c r="N215" s="831"/>
      <c r="O215" s="831"/>
      <c r="P215" s="831"/>
      <c r="Q215" s="818"/>
      <c r="R215" s="818"/>
      <c r="S215" s="818"/>
      <c r="T215" s="818"/>
      <c r="U215" s="818"/>
      <c r="V215" s="818"/>
      <c r="W215" s="818"/>
      <c r="X215" s="818"/>
      <c r="Y215" s="818"/>
      <c r="Z215" s="818"/>
    </row>
    <row r="216" spans="1:26" ht="19.5">
      <c r="A216" s="1011"/>
      <c r="B216" s="1018"/>
      <c r="C216" s="1023" t="s">
        <v>108</v>
      </c>
      <c r="D216" s="1012"/>
      <c r="E216" s="1012"/>
      <c r="F216" s="1037"/>
      <c r="G216" s="1014"/>
      <c r="H216" s="260" t="s">
        <v>109</v>
      </c>
      <c r="I216" s="1024">
        <f t="shared" ref="I216:J216" ca="1" si="103">I224</f>
        <v>128000</v>
      </c>
      <c r="J216" s="1024">
        <f t="shared" si="103"/>
        <v>0</v>
      </c>
      <c r="K216" s="1025">
        <f t="shared" ca="1" si="102"/>
        <v>0</v>
      </c>
      <c r="L216" s="1016"/>
      <c r="M216" s="1016"/>
      <c r="N216" s="1016"/>
      <c r="O216" s="1016"/>
      <c r="P216" s="1016"/>
    </row>
    <row r="217" spans="1:26" ht="19.5">
      <c r="A217" s="932"/>
      <c r="B217" s="933"/>
      <c r="C217" s="934" t="s">
        <v>16</v>
      </c>
      <c r="D217" s="1026" t="s">
        <v>17</v>
      </c>
      <c r="E217" s="933"/>
      <c r="F217" s="933"/>
      <c r="G217" s="936"/>
      <c r="H217" s="275" t="s">
        <v>12</v>
      </c>
      <c r="I217" s="1028"/>
      <c r="J217" s="1028"/>
      <c r="K217" s="1029"/>
      <c r="L217" s="939">
        <f ca="1">L218+L219+L220</f>
        <v>51200</v>
      </c>
      <c r="M217" s="939"/>
      <c r="N217" s="939">
        <f>N218+N219+N220</f>
        <v>10000</v>
      </c>
      <c r="O217" s="939">
        <f ca="1">IF(L217&gt;0,N217*100/L217,0)</f>
        <v>19.53125</v>
      </c>
      <c r="P217" s="939">
        <f>IF(M217&gt;0,N217*100/M217,0)</f>
        <v>0</v>
      </c>
      <c r="Q217" s="818"/>
      <c r="R217" s="818"/>
      <c r="S217" s="818"/>
      <c r="T217" s="818"/>
      <c r="U217" s="818"/>
      <c r="V217" s="818"/>
      <c r="W217" s="818"/>
      <c r="X217" s="818"/>
      <c r="Y217" s="818"/>
      <c r="Z217" s="818"/>
    </row>
    <row r="218" spans="1:26" ht="18.75">
      <c r="A218" s="942"/>
      <c r="B218" s="1030"/>
      <c r="C218" s="827"/>
      <c r="D218" s="943" t="s">
        <v>97</v>
      </c>
      <c r="E218" s="827"/>
      <c r="F218" s="827"/>
      <c r="G218" s="829"/>
      <c r="H218" s="778" t="s">
        <v>12</v>
      </c>
      <c r="I218" s="944"/>
      <c r="J218" s="944"/>
      <c r="K218" s="945"/>
      <c r="L218" s="831">
        <f ca="1">IFERROR(__xludf.DUMMYFUNCTION("IMPORTRANGE(""https://docs.google.com/spreadsheets/d/1QqKyyYR6Q21VydFLVH3TRQUabQu_ym0Zz7PgGX0-kHA/edit?usp=sharing"",""แผน!AP23"")"),8000)</f>
        <v>8000</v>
      </c>
      <c r="M218" s="831"/>
      <c r="N218" s="1031">
        <v>0</v>
      </c>
      <c r="O218" s="831"/>
      <c r="P218" s="831"/>
      <c r="Q218" s="818"/>
      <c r="R218" s="818"/>
      <c r="S218" s="818"/>
      <c r="T218" s="818"/>
      <c r="U218" s="818"/>
      <c r="V218" s="818"/>
      <c r="W218" s="818"/>
      <c r="X218" s="818"/>
      <c r="Y218" s="818"/>
      <c r="Z218" s="818"/>
    </row>
    <row r="219" spans="1:26" ht="19.5">
      <c r="A219" s="1032"/>
      <c r="B219" s="1030"/>
      <c r="C219" s="1038"/>
      <c r="D219" s="943" t="s">
        <v>110</v>
      </c>
      <c r="E219" s="827"/>
      <c r="F219" s="827"/>
      <c r="G219" s="829"/>
      <c r="H219" s="778" t="s">
        <v>12</v>
      </c>
      <c r="I219" s="830"/>
      <c r="J219" s="830"/>
      <c r="K219" s="831"/>
      <c r="L219" s="831">
        <f ca="1">IFERROR(__xludf.DUMMYFUNCTION("IMPORTRANGE(""https://docs.google.com/spreadsheets/d/1QqKyyYR6Q21VydFLVH3TRQUabQu_ym0Zz7PgGX0-kHA/edit?usp=sharing"",""แผน!AQ23"")"),33200)</f>
        <v>33200</v>
      </c>
      <c r="M219" s="831"/>
      <c r="N219" s="1031">
        <v>0</v>
      </c>
      <c r="O219" s="831"/>
      <c r="P219" s="831"/>
      <c r="Q219" s="1033"/>
      <c r="R219" s="1033"/>
      <c r="S219" s="1033"/>
      <c r="T219" s="1033"/>
      <c r="U219" s="1033"/>
      <c r="V219" s="1033"/>
      <c r="W219" s="1033"/>
      <c r="X219" s="1033"/>
      <c r="Y219" s="1033"/>
      <c r="Z219" s="1033"/>
    </row>
    <row r="220" spans="1:26" ht="19.5">
      <c r="A220" s="1032"/>
      <c r="B220" s="1030"/>
      <c r="C220" s="1038"/>
      <c r="D220" s="943" t="s">
        <v>98</v>
      </c>
      <c r="E220" s="827"/>
      <c r="F220" s="827"/>
      <c r="G220" s="829"/>
      <c r="H220" s="778" t="s">
        <v>12</v>
      </c>
      <c r="I220" s="830"/>
      <c r="J220" s="830"/>
      <c r="K220" s="831"/>
      <c r="L220" s="831">
        <f ca="1">IFERROR(__xludf.DUMMYFUNCTION("IMPORTRANGE(""https://docs.google.com/spreadsheets/d/1QqKyyYR6Q21VydFLVH3TRQUabQu_ym0Zz7PgGX0-kHA/edit?usp=sharing"",""แผน!AR23"")"),10000)</f>
        <v>10000</v>
      </c>
      <c r="M220" s="831"/>
      <c r="N220" s="1031">
        <v>10000</v>
      </c>
      <c r="O220" s="831"/>
      <c r="P220" s="831"/>
      <c r="Q220" s="1033"/>
      <c r="R220" s="1033"/>
      <c r="S220" s="1033"/>
      <c r="T220" s="1033"/>
      <c r="U220" s="1033"/>
      <c r="V220" s="1033"/>
      <c r="W220" s="1033"/>
      <c r="X220" s="1033"/>
      <c r="Y220" s="1033"/>
      <c r="Z220" s="1033"/>
    </row>
    <row r="221" spans="1:26" ht="19.5">
      <c r="A221" s="949"/>
      <c r="B221" s="950"/>
      <c r="C221" s="1038" t="s">
        <v>16</v>
      </c>
      <c r="D221" s="951" t="s">
        <v>38</v>
      </c>
      <c r="E221" s="952"/>
      <c r="F221" s="952"/>
      <c r="G221" s="953"/>
      <c r="H221" s="954"/>
      <c r="I221" s="944"/>
      <c r="J221" s="944"/>
      <c r="K221" s="945"/>
      <c r="L221" s="945"/>
      <c r="M221" s="945"/>
      <c r="N221" s="945"/>
      <c r="O221" s="945"/>
      <c r="P221" s="945"/>
      <c r="Q221" s="818"/>
      <c r="R221" s="818"/>
      <c r="S221" s="818"/>
      <c r="T221" s="818"/>
      <c r="U221" s="818"/>
      <c r="V221" s="818"/>
      <c r="W221" s="818"/>
      <c r="X221" s="818"/>
      <c r="Y221" s="818"/>
      <c r="Z221" s="818"/>
    </row>
    <row r="222" spans="1:26" ht="18.75">
      <c r="A222" s="949"/>
      <c r="B222" s="950"/>
      <c r="C222" s="950"/>
      <c r="D222" s="943" t="s">
        <v>111</v>
      </c>
      <c r="E222" s="957"/>
      <c r="F222" s="957"/>
      <c r="G222" s="958"/>
      <c r="H222" s="954"/>
      <c r="I222" s="830"/>
      <c r="J222" s="830"/>
      <c r="K222" s="945"/>
      <c r="L222" s="945"/>
      <c r="M222" s="945"/>
      <c r="N222" s="945"/>
      <c r="O222" s="945"/>
      <c r="P222" s="945"/>
      <c r="Q222" s="818"/>
      <c r="R222" s="818"/>
      <c r="S222" s="818"/>
      <c r="T222" s="818"/>
      <c r="U222" s="818"/>
      <c r="V222" s="818"/>
      <c r="W222" s="818"/>
      <c r="X222" s="818"/>
      <c r="Y222" s="818"/>
      <c r="Z222" s="818"/>
    </row>
    <row r="223" spans="1:26" ht="18.75">
      <c r="A223" s="949"/>
      <c r="B223" s="950"/>
      <c r="C223" s="950"/>
      <c r="D223" s="950"/>
      <c r="E223" s="955" t="s">
        <v>112</v>
      </c>
      <c r="F223" s="957"/>
      <c r="G223" s="958"/>
      <c r="H223" s="730" t="s">
        <v>109</v>
      </c>
      <c r="I223" s="830">
        <f ca="1">IFERROR(__xludf.DUMMYFUNCTION("IMPORTRANGE(""https://docs.google.com/spreadsheets/d/1QqKyyYR6Q21VydFLVH3TRQUabQu_ym0Zz7PgGX0-kHA/edit?usp=sharing"",""แผน!AT23"")"),128000)</f>
        <v>128000</v>
      </c>
      <c r="J223" s="959">
        <v>128000</v>
      </c>
      <c r="K223" s="945">
        <f t="shared" ref="K223:K226" ca="1" si="104">IF(I223&gt;0,J223*100/I223,0)</f>
        <v>100</v>
      </c>
      <c r="L223" s="945"/>
      <c r="M223" s="945"/>
      <c r="N223" s="945"/>
      <c r="O223" s="945"/>
      <c r="P223" s="945"/>
      <c r="Q223" s="818"/>
      <c r="R223" s="818"/>
      <c r="S223" s="818"/>
      <c r="T223" s="818"/>
      <c r="U223" s="818"/>
      <c r="V223" s="818"/>
      <c r="W223" s="818"/>
      <c r="X223" s="818"/>
      <c r="Y223" s="818"/>
      <c r="Z223" s="818"/>
    </row>
    <row r="224" spans="1:26" ht="18.75">
      <c r="A224" s="949"/>
      <c r="B224" s="950"/>
      <c r="C224" s="950"/>
      <c r="D224" s="950"/>
      <c r="E224" s="955" t="s">
        <v>113</v>
      </c>
      <c r="F224" s="957"/>
      <c r="G224" s="958"/>
      <c r="H224" s="730" t="s">
        <v>109</v>
      </c>
      <c r="I224" s="830">
        <f ca="1">IFERROR(__xludf.DUMMYFUNCTION("IMPORTRANGE(""https://docs.google.com/spreadsheets/d/1QqKyyYR6Q21VydFLVH3TRQUabQu_ym0Zz7PgGX0-kHA/edit?usp=sharing"",""แผน!AT23"")"),128000)</f>
        <v>128000</v>
      </c>
      <c r="J224" s="959">
        <v>0</v>
      </c>
      <c r="K224" s="945">
        <f t="shared" ca="1" si="104"/>
        <v>0</v>
      </c>
      <c r="L224" s="831"/>
      <c r="M224" s="831"/>
      <c r="N224" s="831"/>
      <c r="O224" s="831"/>
      <c r="P224" s="831"/>
      <c r="Q224" s="818"/>
      <c r="R224" s="818"/>
      <c r="S224" s="818"/>
      <c r="T224" s="818"/>
      <c r="U224" s="818"/>
      <c r="V224" s="818"/>
      <c r="W224" s="818"/>
      <c r="X224" s="818"/>
      <c r="Y224" s="818"/>
      <c r="Z224" s="818"/>
    </row>
    <row r="225" spans="1:26" ht="18.75">
      <c r="A225" s="949"/>
      <c r="B225" s="950"/>
      <c r="C225" s="950"/>
      <c r="D225" s="943" t="s">
        <v>114</v>
      </c>
      <c r="E225" s="957"/>
      <c r="F225" s="957"/>
      <c r="G225" s="958"/>
      <c r="H225" s="730" t="s">
        <v>35</v>
      </c>
      <c r="I225" s="830">
        <f ca="1">IFERROR(__xludf.DUMMYFUNCTION("IMPORTRANGE(""https://docs.google.com/spreadsheets/d/1QqKyyYR6Q21VydFLVH3TRQUabQu_ym0Zz7PgGX0-kHA/edit?usp=sharing"",""แผน!AS23"")"),10)</f>
        <v>10</v>
      </c>
      <c r="J225" s="959">
        <v>10</v>
      </c>
      <c r="K225" s="945">
        <f t="shared" ca="1" si="104"/>
        <v>100</v>
      </c>
      <c r="L225" s="831"/>
      <c r="M225" s="831"/>
      <c r="N225" s="831"/>
      <c r="O225" s="831"/>
      <c r="P225" s="831"/>
      <c r="Q225" s="818"/>
      <c r="R225" s="818"/>
      <c r="S225" s="818"/>
      <c r="T225" s="818"/>
      <c r="U225" s="818"/>
      <c r="V225" s="818"/>
      <c r="W225" s="818"/>
      <c r="X225" s="818"/>
      <c r="Y225" s="818"/>
      <c r="Z225" s="818"/>
    </row>
    <row r="226" spans="1:26" ht="19.5" hidden="1">
      <c r="A226" s="1011"/>
      <c r="B226" s="1018"/>
      <c r="C226" s="1039" t="s">
        <v>115</v>
      </c>
      <c r="D226" s="1012"/>
      <c r="E226" s="1012"/>
      <c r="F226" s="1012"/>
      <c r="G226" s="1014"/>
      <c r="H226" s="266" t="s">
        <v>35</v>
      </c>
      <c r="I226" s="1040">
        <f t="shared" ref="I226:J226" ca="1" si="105">I237+I248</f>
        <v>0</v>
      </c>
      <c r="J226" s="1040">
        <f t="shared" si="105"/>
        <v>0</v>
      </c>
      <c r="K226" s="1041">
        <f t="shared" ca="1" si="104"/>
        <v>0</v>
      </c>
      <c r="L226" s="1016"/>
      <c r="M226" s="1016"/>
      <c r="N226" s="1016"/>
      <c r="O226" s="1016"/>
      <c r="P226" s="1016"/>
    </row>
    <row r="227" spans="1:26" ht="19.5" hidden="1">
      <c r="A227" s="1042"/>
      <c r="B227" s="1043"/>
      <c r="C227" s="1044" t="s">
        <v>16</v>
      </c>
      <c r="D227" s="1045" t="s">
        <v>17</v>
      </c>
      <c r="E227" s="1043"/>
      <c r="F227" s="1043"/>
      <c r="G227" s="1046"/>
      <c r="H227" s="1047" t="s">
        <v>12</v>
      </c>
      <c r="I227" s="1048"/>
      <c r="J227" s="1048"/>
      <c r="K227" s="1049"/>
      <c r="L227" s="1050">
        <f t="shared" ref="L227:L231" ca="1" si="106">L238+L249</f>
        <v>0</v>
      </c>
      <c r="M227" s="1050"/>
      <c r="N227" s="1050">
        <f t="shared" ref="N227:N231" si="107">N238+N249</f>
        <v>0</v>
      </c>
      <c r="O227" s="1051"/>
      <c r="P227" s="1051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</row>
    <row r="228" spans="1:26" ht="18.75" hidden="1">
      <c r="A228" s="940"/>
      <c r="B228" s="1052"/>
      <c r="C228" s="833"/>
      <c r="D228" s="834" t="s">
        <v>97</v>
      </c>
      <c r="E228" s="833"/>
      <c r="F228" s="833"/>
      <c r="G228" s="835"/>
      <c r="H228" s="165" t="s">
        <v>12</v>
      </c>
      <c r="I228" s="947"/>
      <c r="J228" s="947"/>
      <c r="K228" s="948"/>
      <c r="L228" s="837">
        <f t="shared" ca="1" si="106"/>
        <v>0</v>
      </c>
      <c r="M228" s="837"/>
      <c r="N228" s="837">
        <f t="shared" si="107"/>
        <v>0</v>
      </c>
      <c r="O228" s="837"/>
      <c r="P228" s="837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</row>
    <row r="229" spans="1:26" ht="19.5" hidden="1">
      <c r="A229" s="1053"/>
      <c r="B229" s="1052"/>
      <c r="C229" s="1054"/>
      <c r="D229" s="834" t="s">
        <v>98</v>
      </c>
      <c r="E229" s="833"/>
      <c r="F229" s="833"/>
      <c r="G229" s="835"/>
      <c r="H229" s="165" t="s">
        <v>12</v>
      </c>
      <c r="I229" s="836"/>
      <c r="J229" s="836"/>
      <c r="K229" s="837"/>
      <c r="L229" s="837">
        <f t="shared" ca="1" si="106"/>
        <v>0</v>
      </c>
      <c r="M229" s="837"/>
      <c r="N229" s="837">
        <f t="shared" si="107"/>
        <v>0</v>
      </c>
      <c r="O229" s="837"/>
      <c r="P229" s="837"/>
      <c r="Q229" s="1055"/>
      <c r="R229" s="1055"/>
      <c r="S229" s="1055"/>
      <c r="T229" s="1055"/>
      <c r="U229" s="1055"/>
      <c r="V229" s="1055"/>
      <c r="W229" s="1055"/>
      <c r="X229" s="1055"/>
      <c r="Y229" s="1055"/>
      <c r="Z229" s="1055"/>
    </row>
    <row r="230" spans="1:26" ht="19.5" hidden="1">
      <c r="A230" s="1053"/>
      <c r="B230" s="1052"/>
      <c r="C230" s="1054"/>
      <c r="D230" s="834" t="s">
        <v>116</v>
      </c>
      <c r="E230" s="833"/>
      <c r="F230" s="833"/>
      <c r="G230" s="835"/>
      <c r="H230" s="165" t="s">
        <v>12</v>
      </c>
      <c r="I230" s="836"/>
      <c r="J230" s="836"/>
      <c r="K230" s="837"/>
      <c r="L230" s="837">
        <f t="shared" ca="1" si="106"/>
        <v>0</v>
      </c>
      <c r="M230" s="837"/>
      <c r="N230" s="837">
        <f t="shared" si="107"/>
        <v>0</v>
      </c>
      <c r="O230" s="837"/>
      <c r="P230" s="837"/>
      <c r="Q230" s="1055"/>
      <c r="R230" s="1055"/>
      <c r="S230" s="1055"/>
      <c r="T230" s="1055"/>
      <c r="U230" s="1055"/>
      <c r="V230" s="1055"/>
      <c r="W230" s="1055"/>
      <c r="X230" s="1055"/>
      <c r="Y230" s="1055"/>
      <c r="Z230" s="1055"/>
    </row>
    <row r="231" spans="1:26" ht="19.5" hidden="1">
      <c r="A231" s="1053"/>
      <c r="B231" s="1052"/>
      <c r="C231" s="1054"/>
      <c r="D231" s="834" t="s">
        <v>100</v>
      </c>
      <c r="E231" s="833"/>
      <c r="F231" s="833"/>
      <c r="G231" s="835"/>
      <c r="H231" s="165" t="s">
        <v>12</v>
      </c>
      <c r="I231" s="836"/>
      <c r="J231" s="836"/>
      <c r="K231" s="837"/>
      <c r="L231" s="837">
        <f t="shared" ca="1" si="106"/>
        <v>0</v>
      </c>
      <c r="M231" s="837"/>
      <c r="N231" s="837">
        <f t="shared" si="107"/>
        <v>0</v>
      </c>
      <c r="O231" s="837"/>
      <c r="P231" s="837"/>
      <c r="Q231" s="1055"/>
      <c r="R231" s="1055"/>
      <c r="S231" s="1055"/>
      <c r="T231" s="1055"/>
      <c r="U231" s="1055"/>
      <c r="V231" s="1055"/>
      <c r="W231" s="1055"/>
      <c r="X231" s="1055"/>
      <c r="Y231" s="1055"/>
      <c r="Z231" s="1055"/>
    </row>
    <row r="232" spans="1:26" ht="19.5" hidden="1">
      <c r="A232" s="1056"/>
      <c r="B232" s="1057"/>
      <c r="C232" s="1054" t="s">
        <v>16</v>
      </c>
      <c r="D232" s="1020" t="s">
        <v>38</v>
      </c>
      <c r="E232" s="1058"/>
      <c r="F232" s="1058"/>
      <c r="G232" s="1059"/>
      <c r="H232" s="1060"/>
      <c r="I232" s="947"/>
      <c r="J232" s="836"/>
      <c r="K232" s="837"/>
      <c r="L232" s="837"/>
      <c r="M232" s="837"/>
      <c r="N232" s="837"/>
      <c r="O232" s="948"/>
      <c r="P232" s="948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</row>
    <row r="233" spans="1:26" ht="18.75" hidden="1">
      <c r="A233" s="1056"/>
      <c r="B233" s="1057"/>
      <c r="C233" s="1057"/>
      <c r="D233" s="1022" t="s">
        <v>117</v>
      </c>
      <c r="E233" s="1061"/>
      <c r="F233" s="1061"/>
      <c r="G233" s="1062"/>
      <c r="H233" s="583" t="s">
        <v>35</v>
      </c>
      <c r="I233" s="836">
        <f t="shared" ref="I233:J233" ca="1" si="108">I244+I255</f>
        <v>0</v>
      </c>
      <c r="J233" s="836">
        <f t="shared" si="108"/>
        <v>0</v>
      </c>
      <c r="K233" s="837">
        <f ca="1">IF(I233&gt;0,J233*100/I233,0)</f>
        <v>0</v>
      </c>
      <c r="L233" s="837"/>
      <c r="M233" s="837"/>
      <c r="N233" s="837"/>
      <c r="O233" s="837"/>
      <c r="P233" s="837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</row>
    <row r="234" spans="1:26" ht="18.75" hidden="1">
      <c r="A234" s="1056"/>
      <c r="B234" s="1057"/>
      <c r="C234" s="1057"/>
      <c r="D234" s="1063" t="s">
        <v>43</v>
      </c>
      <c r="E234" s="1061"/>
      <c r="F234" s="1061"/>
      <c r="G234" s="1062"/>
      <c r="H234" s="583"/>
      <c r="I234" s="836"/>
      <c r="J234" s="836"/>
      <c r="K234" s="837"/>
      <c r="L234" s="837"/>
      <c r="M234" s="837"/>
      <c r="N234" s="837"/>
      <c r="O234" s="948"/>
      <c r="P234" s="948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</row>
    <row r="235" spans="1:26" ht="18.75" hidden="1">
      <c r="A235" s="1056"/>
      <c r="B235" s="1057"/>
      <c r="C235" s="1057"/>
      <c r="D235" s="1057"/>
      <c r="E235" s="1021" t="s">
        <v>118</v>
      </c>
      <c r="F235" s="1061"/>
      <c r="G235" s="1062"/>
      <c r="H235" s="583" t="s">
        <v>35</v>
      </c>
      <c r="I235" s="836">
        <f t="shared" ref="I235:J236" si="109">I246+I257</f>
        <v>0</v>
      </c>
      <c r="J235" s="836">
        <f t="shared" si="109"/>
        <v>0</v>
      </c>
      <c r="K235" s="837">
        <f t="shared" ref="K235:K237" si="110">IF(I235&gt;0,J235*100/I235,0)</f>
        <v>0</v>
      </c>
      <c r="L235" s="837"/>
      <c r="M235" s="837"/>
      <c r="N235" s="837"/>
      <c r="O235" s="837"/>
      <c r="P235" s="837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</row>
    <row r="236" spans="1:26" ht="18.75" hidden="1">
      <c r="A236" s="1056"/>
      <c r="B236" s="1057"/>
      <c r="C236" s="1057"/>
      <c r="D236" s="1057"/>
      <c r="E236" s="1021" t="s">
        <v>119</v>
      </c>
      <c r="F236" s="1061"/>
      <c r="G236" s="1062"/>
      <c r="H236" s="583" t="s">
        <v>66</v>
      </c>
      <c r="I236" s="836">
        <f t="shared" si="109"/>
        <v>0</v>
      </c>
      <c r="J236" s="836">
        <f t="shared" si="109"/>
        <v>0</v>
      </c>
      <c r="K236" s="837">
        <f t="shared" si="110"/>
        <v>0</v>
      </c>
      <c r="L236" s="837"/>
      <c r="M236" s="837"/>
      <c r="N236" s="837"/>
      <c r="O236" s="837"/>
      <c r="P236" s="837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</row>
    <row r="237" spans="1:26" ht="19.5" hidden="1">
      <c r="A237" s="1011"/>
      <c r="B237" s="1018"/>
      <c r="C237" s="1023" t="s">
        <v>331</v>
      </c>
      <c r="D237" s="1012"/>
      <c r="E237" s="1012"/>
      <c r="F237" s="1012"/>
      <c r="G237" s="1014"/>
      <c r="H237" s="260" t="s">
        <v>35</v>
      </c>
      <c r="I237" s="1024">
        <f t="shared" ref="I237:J237" ca="1" si="111">I244</f>
        <v>0</v>
      </c>
      <c r="J237" s="1024">
        <f t="shared" si="111"/>
        <v>0</v>
      </c>
      <c r="K237" s="1025">
        <f t="shared" ca="1" si="110"/>
        <v>0</v>
      </c>
      <c r="L237" s="1016"/>
      <c r="M237" s="1016"/>
      <c r="N237" s="1016"/>
      <c r="O237" s="1016"/>
      <c r="P237" s="1016"/>
    </row>
    <row r="238" spans="1:26" ht="19.5" hidden="1">
      <c r="A238" s="932"/>
      <c r="B238" s="933"/>
      <c r="C238" s="934" t="s">
        <v>16</v>
      </c>
      <c r="D238" s="935" t="s">
        <v>17</v>
      </c>
      <c r="E238" s="933"/>
      <c r="F238" s="933"/>
      <c r="G238" s="936"/>
      <c r="H238" s="275" t="s">
        <v>12</v>
      </c>
      <c r="I238" s="1028"/>
      <c r="J238" s="1028"/>
      <c r="K238" s="1029"/>
      <c r="L238" s="939">
        <f ca="1">L239+L240+L241+L242</f>
        <v>0</v>
      </c>
      <c r="M238" s="939"/>
      <c r="N238" s="939">
        <f>N239+N240+N241+N242</f>
        <v>0</v>
      </c>
      <c r="O238" s="939">
        <f ca="1">IF(L238&gt;0,N238*100/L238,0)</f>
        <v>0</v>
      </c>
      <c r="P238" s="939">
        <f>IF(M238&gt;0,N238*100/M238,0)</f>
        <v>0</v>
      </c>
      <c r="Q238" s="818"/>
      <c r="R238" s="818"/>
      <c r="S238" s="818"/>
      <c r="T238" s="818"/>
      <c r="U238" s="818"/>
      <c r="V238" s="818"/>
      <c r="W238" s="818"/>
      <c r="X238" s="818"/>
      <c r="Y238" s="818"/>
      <c r="Z238" s="818"/>
    </row>
    <row r="239" spans="1:26" ht="18.75" hidden="1">
      <c r="A239" s="1064"/>
      <c r="B239" s="1065"/>
      <c r="C239" s="1066"/>
      <c r="D239" s="1067" t="s">
        <v>97</v>
      </c>
      <c r="E239" s="1066"/>
      <c r="F239" s="1066"/>
      <c r="G239" s="1068"/>
      <c r="H239" s="319" t="s">
        <v>12</v>
      </c>
      <c r="I239" s="1069"/>
      <c r="J239" s="1069"/>
      <c r="K239" s="1070"/>
      <c r="L239" s="1071">
        <f ca="1">IFERROR(__xludf.DUMMYFUNCTION("IMPORTRANGE(""https://docs.google.com/spreadsheets/d/1QqKyyYR6Q21VydFLVH3TRQUabQu_ym0Zz7PgGX0-kHA/edit?usp=sharing"",""แผน!AV23"")"),0)</f>
        <v>0</v>
      </c>
      <c r="M239" s="1071"/>
      <c r="N239" s="1072">
        <v>0</v>
      </c>
      <c r="O239" s="1071"/>
      <c r="P239" s="1071"/>
      <c r="Q239" s="1073"/>
      <c r="R239" s="1073"/>
      <c r="S239" s="1073"/>
      <c r="T239" s="1073"/>
      <c r="U239" s="1073"/>
      <c r="V239" s="1073"/>
      <c r="W239" s="1073"/>
      <c r="X239" s="1073"/>
      <c r="Y239" s="1073"/>
      <c r="Z239" s="1073"/>
    </row>
    <row r="240" spans="1:26" ht="19.5" hidden="1">
      <c r="A240" s="1074"/>
      <c r="B240" s="1065"/>
      <c r="C240" s="1075"/>
      <c r="D240" s="1067" t="s">
        <v>98</v>
      </c>
      <c r="E240" s="1066"/>
      <c r="F240" s="1066"/>
      <c r="G240" s="1068"/>
      <c r="H240" s="319" t="s">
        <v>12</v>
      </c>
      <c r="I240" s="1076"/>
      <c r="J240" s="1076"/>
      <c r="K240" s="1071"/>
      <c r="L240" s="1071">
        <f ca="1">IFERROR(__xludf.DUMMYFUNCTION("IMPORTRANGE(""https://docs.google.com/spreadsheets/d/1QqKyyYR6Q21VydFLVH3TRQUabQu_ym0Zz7PgGX0-kHA/edit?usp=sharing"",""แผน!AW23"")"),0)</f>
        <v>0</v>
      </c>
      <c r="M240" s="1071"/>
      <c r="N240" s="1072">
        <v>0</v>
      </c>
      <c r="O240" s="1071"/>
      <c r="P240" s="1071"/>
      <c r="Q240" s="1077"/>
      <c r="R240" s="1077"/>
      <c r="S240" s="1077"/>
      <c r="T240" s="1077"/>
      <c r="U240" s="1077"/>
      <c r="V240" s="1077"/>
      <c r="W240" s="1077"/>
      <c r="X240" s="1077"/>
      <c r="Y240" s="1077"/>
      <c r="Z240" s="1077"/>
    </row>
    <row r="241" spans="1:26" ht="19.5" hidden="1">
      <c r="A241" s="1074"/>
      <c r="B241" s="1065"/>
      <c r="C241" s="1075"/>
      <c r="D241" s="1067" t="s">
        <v>116</v>
      </c>
      <c r="E241" s="1066"/>
      <c r="F241" s="1066"/>
      <c r="G241" s="1068"/>
      <c r="H241" s="319" t="s">
        <v>12</v>
      </c>
      <c r="I241" s="1076"/>
      <c r="J241" s="1076"/>
      <c r="K241" s="1071"/>
      <c r="L241" s="1071">
        <f ca="1">IFERROR(__xludf.DUMMYFUNCTION("IMPORTRANGE(""https://docs.google.com/spreadsheets/d/1QqKyyYR6Q21VydFLVH3TRQUabQu_ym0Zz7PgGX0-kHA/edit?usp=sharing"",""แผน!AX23"")"),0)</f>
        <v>0</v>
      </c>
      <c r="M241" s="1071"/>
      <c r="N241" s="1072">
        <v>0</v>
      </c>
      <c r="O241" s="1071"/>
      <c r="P241" s="1071"/>
      <c r="Q241" s="1077"/>
      <c r="R241" s="1077"/>
      <c r="S241" s="1077"/>
      <c r="T241" s="1077"/>
      <c r="U241" s="1077"/>
      <c r="V241" s="1077"/>
      <c r="W241" s="1077"/>
      <c r="X241" s="1077"/>
      <c r="Y241" s="1077"/>
      <c r="Z241" s="1077"/>
    </row>
    <row r="242" spans="1:26" ht="19.5" hidden="1">
      <c r="A242" s="1074"/>
      <c r="B242" s="1065"/>
      <c r="C242" s="1075"/>
      <c r="D242" s="1067" t="s">
        <v>100</v>
      </c>
      <c r="E242" s="1066"/>
      <c r="F242" s="1066"/>
      <c r="G242" s="1068"/>
      <c r="H242" s="319" t="s">
        <v>12</v>
      </c>
      <c r="I242" s="1076"/>
      <c r="J242" s="1076"/>
      <c r="K242" s="1071"/>
      <c r="L242" s="1071">
        <f ca="1">IFERROR(__xludf.DUMMYFUNCTION("IMPORTRANGE(""https://docs.google.com/spreadsheets/d/1QqKyyYR6Q21VydFLVH3TRQUabQu_ym0Zz7PgGX0-kHA/edit?usp=sharing"",""แผน!AY23"")"),0)</f>
        <v>0</v>
      </c>
      <c r="M242" s="1071"/>
      <c r="N242" s="1072">
        <v>0</v>
      </c>
      <c r="O242" s="1071"/>
      <c r="P242" s="1071"/>
      <c r="Q242" s="1077"/>
      <c r="R242" s="1077"/>
      <c r="S242" s="1077"/>
      <c r="T242" s="1077"/>
      <c r="U242" s="1077"/>
      <c r="V242" s="1077"/>
      <c r="W242" s="1077"/>
      <c r="X242" s="1077"/>
      <c r="Y242" s="1077"/>
      <c r="Z242" s="1077"/>
    </row>
    <row r="243" spans="1:26" ht="19.5" hidden="1">
      <c r="A243" s="949"/>
      <c r="B243" s="950"/>
      <c r="C243" s="1038" t="s">
        <v>16</v>
      </c>
      <c r="D243" s="951" t="s">
        <v>38</v>
      </c>
      <c r="E243" s="952"/>
      <c r="F243" s="952"/>
      <c r="G243" s="953"/>
      <c r="H243" s="954"/>
      <c r="I243" s="944"/>
      <c r="J243" s="830"/>
      <c r="K243" s="831"/>
      <c r="L243" s="831"/>
      <c r="M243" s="831"/>
      <c r="N243" s="831"/>
      <c r="O243" s="945"/>
      <c r="P243" s="945"/>
      <c r="Q243" s="818"/>
      <c r="R243" s="818"/>
      <c r="S243" s="818"/>
      <c r="T243" s="818"/>
      <c r="U243" s="818"/>
      <c r="V243" s="818"/>
      <c r="W243" s="818"/>
      <c r="X243" s="818"/>
      <c r="Y243" s="818"/>
      <c r="Z243" s="818"/>
    </row>
    <row r="244" spans="1:26" ht="18.75" hidden="1">
      <c r="A244" s="949"/>
      <c r="B244" s="950"/>
      <c r="C244" s="950"/>
      <c r="D244" s="956" t="s">
        <v>117</v>
      </c>
      <c r="E244" s="957"/>
      <c r="F244" s="957"/>
      <c r="G244" s="958"/>
      <c r="H244" s="730" t="s">
        <v>35</v>
      </c>
      <c r="I244" s="830">
        <f ca="1">IFERROR(__xludf.DUMMYFUNCTION("IMPORTRANGE(""https://docs.google.com/spreadsheets/d/1QqKyyYR6Q21VydFLVH3TRQUabQu_ym0Zz7PgGX0-kHA/edit?usp=sharing"",""แผน!BE23"")"),0)</f>
        <v>0</v>
      </c>
      <c r="J244" s="959">
        <v>0</v>
      </c>
      <c r="K244" s="831">
        <f ca="1">IF(I244&gt;0,J244*100/I244,0)</f>
        <v>0</v>
      </c>
      <c r="L244" s="831"/>
      <c r="M244" s="831"/>
      <c r="N244" s="831"/>
      <c r="O244" s="831"/>
      <c r="P244" s="831"/>
      <c r="Q244" s="818"/>
      <c r="R244" s="818"/>
      <c r="S244" s="818"/>
      <c r="T244" s="818"/>
      <c r="U244" s="818"/>
      <c r="V244" s="818"/>
      <c r="W244" s="818"/>
      <c r="X244" s="818"/>
      <c r="Y244" s="818"/>
      <c r="Z244" s="818"/>
    </row>
    <row r="245" spans="1:26" ht="18.75" hidden="1">
      <c r="A245" s="949"/>
      <c r="B245" s="950"/>
      <c r="C245" s="950"/>
      <c r="D245" s="1078" t="s">
        <v>43</v>
      </c>
      <c r="E245" s="957"/>
      <c r="F245" s="957"/>
      <c r="G245" s="958"/>
      <c r="H245" s="730"/>
      <c r="I245" s="830"/>
      <c r="J245" s="830"/>
      <c r="K245" s="831"/>
      <c r="L245" s="831"/>
      <c r="M245" s="831"/>
      <c r="N245" s="831"/>
      <c r="O245" s="945"/>
      <c r="P245" s="945"/>
      <c r="Q245" s="818"/>
      <c r="R245" s="818"/>
      <c r="S245" s="818"/>
      <c r="T245" s="818"/>
      <c r="U245" s="818"/>
      <c r="V245" s="818"/>
      <c r="W245" s="818"/>
      <c r="X245" s="818"/>
      <c r="Y245" s="818"/>
      <c r="Z245" s="818"/>
    </row>
    <row r="246" spans="1:26" ht="18.75" hidden="1">
      <c r="A246" s="949"/>
      <c r="B246" s="950"/>
      <c r="C246" s="950"/>
      <c r="D246" s="950"/>
      <c r="E246" s="955" t="s">
        <v>118</v>
      </c>
      <c r="F246" s="957"/>
      <c r="G246" s="958"/>
      <c r="H246" s="730" t="s">
        <v>35</v>
      </c>
      <c r="I246" s="830"/>
      <c r="J246" s="959">
        <v>0</v>
      </c>
      <c r="K246" s="831">
        <f t="shared" ref="K246:K248" si="112">IF(I246&gt;0,J246*100/I246,0)</f>
        <v>0</v>
      </c>
      <c r="L246" s="831"/>
      <c r="M246" s="831"/>
      <c r="N246" s="831"/>
      <c r="O246" s="831"/>
      <c r="P246" s="831"/>
      <c r="Q246" s="818"/>
      <c r="R246" s="818"/>
      <c r="S246" s="818"/>
      <c r="T246" s="818"/>
      <c r="U246" s="818"/>
      <c r="V246" s="818"/>
      <c r="W246" s="818"/>
      <c r="X246" s="818"/>
      <c r="Y246" s="818"/>
      <c r="Z246" s="818"/>
    </row>
    <row r="247" spans="1:26" ht="18.75" hidden="1">
      <c r="A247" s="949"/>
      <c r="B247" s="950"/>
      <c r="C247" s="950"/>
      <c r="D247" s="950"/>
      <c r="E247" s="955" t="s">
        <v>119</v>
      </c>
      <c r="F247" s="957"/>
      <c r="G247" s="958"/>
      <c r="H247" s="730" t="s">
        <v>66</v>
      </c>
      <c r="I247" s="830"/>
      <c r="J247" s="959">
        <v>0</v>
      </c>
      <c r="K247" s="831">
        <f t="shared" si="112"/>
        <v>0</v>
      </c>
      <c r="L247" s="831"/>
      <c r="M247" s="831"/>
      <c r="N247" s="831"/>
      <c r="O247" s="831"/>
      <c r="P247" s="831"/>
      <c r="Q247" s="818"/>
      <c r="R247" s="818"/>
      <c r="S247" s="818"/>
      <c r="T247" s="818"/>
      <c r="U247" s="818"/>
      <c r="V247" s="818"/>
      <c r="W247" s="818"/>
      <c r="X247" s="818"/>
      <c r="Y247" s="818"/>
      <c r="Z247" s="818"/>
    </row>
    <row r="248" spans="1:26" ht="19.5" hidden="1">
      <c r="A248" s="1011"/>
      <c r="B248" s="1018"/>
      <c r="C248" s="1023" t="s">
        <v>332</v>
      </c>
      <c r="D248" s="1012"/>
      <c r="E248" s="1012"/>
      <c r="F248" s="1012"/>
      <c r="G248" s="1014"/>
      <c r="H248" s="260" t="s">
        <v>35</v>
      </c>
      <c r="I248" s="1024">
        <f t="shared" ref="I248:J248" ca="1" si="113">I255</f>
        <v>0</v>
      </c>
      <c r="J248" s="1024">
        <f t="shared" si="113"/>
        <v>0</v>
      </c>
      <c r="K248" s="1025">
        <f t="shared" ca="1" si="112"/>
        <v>0</v>
      </c>
      <c r="L248" s="1016"/>
      <c r="M248" s="1016"/>
      <c r="N248" s="1016"/>
      <c r="O248" s="1016"/>
      <c r="P248" s="1016"/>
    </row>
    <row r="249" spans="1:26" ht="19.5" hidden="1">
      <c r="A249" s="932"/>
      <c r="B249" s="933"/>
      <c r="C249" s="934" t="s">
        <v>16</v>
      </c>
      <c r="D249" s="1026" t="s">
        <v>17</v>
      </c>
      <c r="E249" s="933"/>
      <c r="F249" s="933"/>
      <c r="G249" s="936"/>
      <c r="H249" s="275" t="s">
        <v>12</v>
      </c>
      <c r="I249" s="1028"/>
      <c r="J249" s="1028"/>
      <c r="K249" s="1029"/>
      <c r="L249" s="939">
        <f ca="1">L250+L251+L252+L253</f>
        <v>0</v>
      </c>
      <c r="M249" s="939"/>
      <c r="N249" s="939">
        <f>N250+N251+N252+N253</f>
        <v>0</v>
      </c>
      <c r="O249" s="939">
        <f ca="1">IF(L249&gt;0,N249*100/L249,0)</f>
        <v>0</v>
      </c>
      <c r="P249" s="939">
        <f>IF(M249&gt;0,N249*100/M249,0)</f>
        <v>0</v>
      </c>
      <c r="Q249" s="818"/>
      <c r="R249" s="818"/>
      <c r="S249" s="818"/>
      <c r="T249" s="818"/>
      <c r="U249" s="818"/>
      <c r="V249" s="818"/>
      <c r="W249" s="818"/>
      <c r="X249" s="818"/>
      <c r="Y249" s="818"/>
      <c r="Z249" s="818"/>
    </row>
    <row r="250" spans="1:26" ht="18.75" hidden="1">
      <c r="A250" s="1064"/>
      <c r="B250" s="1065"/>
      <c r="C250" s="1066"/>
      <c r="D250" s="1067" t="s">
        <v>97</v>
      </c>
      <c r="E250" s="1066"/>
      <c r="F250" s="1066"/>
      <c r="G250" s="1068"/>
      <c r="H250" s="319" t="s">
        <v>12</v>
      </c>
      <c r="I250" s="1069"/>
      <c r="J250" s="1069"/>
      <c r="K250" s="1070"/>
      <c r="L250" s="1071">
        <f ca="1">IFERROR(__xludf.DUMMYFUNCTION("IMPORTRANGE(""https://docs.google.com/spreadsheets/d/1QqKyyYR6Q21VydFLVH3TRQUabQu_ym0Zz7PgGX0-kHA/edit?usp=sharing"",""แผน!AZ23"")"),0)</f>
        <v>0</v>
      </c>
      <c r="M250" s="1071"/>
      <c r="N250" s="1072">
        <v>0</v>
      </c>
      <c r="O250" s="1071"/>
      <c r="P250" s="1071"/>
      <c r="Q250" s="1073"/>
      <c r="R250" s="1073"/>
      <c r="S250" s="1073"/>
      <c r="T250" s="1073"/>
      <c r="U250" s="1073"/>
      <c r="V250" s="1073"/>
      <c r="W250" s="1073"/>
      <c r="X250" s="1073"/>
      <c r="Y250" s="1073"/>
      <c r="Z250" s="1073"/>
    </row>
    <row r="251" spans="1:26" ht="19.5" hidden="1">
      <c r="A251" s="1074"/>
      <c r="B251" s="1065"/>
      <c r="C251" s="1075"/>
      <c r="D251" s="1067" t="s">
        <v>98</v>
      </c>
      <c r="E251" s="1066"/>
      <c r="F251" s="1066"/>
      <c r="G251" s="1068"/>
      <c r="H251" s="319" t="s">
        <v>12</v>
      </c>
      <c r="I251" s="1076"/>
      <c r="J251" s="1076"/>
      <c r="K251" s="1071"/>
      <c r="L251" s="1071">
        <f ca="1">IFERROR(__xludf.DUMMYFUNCTION("IMPORTRANGE(""https://docs.google.com/spreadsheets/d/1QqKyyYR6Q21VydFLVH3TRQUabQu_ym0Zz7PgGX0-kHA/edit?usp=sharing"",""แผน!BA23"")"),0)</f>
        <v>0</v>
      </c>
      <c r="M251" s="1071"/>
      <c r="N251" s="1072">
        <v>0</v>
      </c>
      <c r="O251" s="1071"/>
      <c r="P251" s="1071"/>
      <c r="Q251" s="1077"/>
      <c r="R251" s="1077"/>
      <c r="S251" s="1077"/>
      <c r="T251" s="1077"/>
      <c r="U251" s="1077"/>
      <c r="V251" s="1077"/>
      <c r="W251" s="1077"/>
      <c r="X251" s="1077"/>
      <c r="Y251" s="1077"/>
      <c r="Z251" s="1077"/>
    </row>
    <row r="252" spans="1:26" ht="19.5" hidden="1">
      <c r="A252" s="1074"/>
      <c r="B252" s="1065"/>
      <c r="C252" s="1075"/>
      <c r="D252" s="1067" t="s">
        <v>116</v>
      </c>
      <c r="E252" s="1066"/>
      <c r="F252" s="1066"/>
      <c r="G252" s="1068"/>
      <c r="H252" s="319" t="s">
        <v>12</v>
      </c>
      <c r="I252" s="1076"/>
      <c r="J252" s="1076"/>
      <c r="K252" s="1071"/>
      <c r="L252" s="1071">
        <f ca="1">IFERROR(__xludf.DUMMYFUNCTION("IMPORTRANGE(""https://docs.google.com/spreadsheets/d/1QqKyyYR6Q21VydFLVH3TRQUabQu_ym0Zz7PgGX0-kHA/edit?usp=sharing"",""แผน!BB23"")"),0)</f>
        <v>0</v>
      </c>
      <c r="M252" s="1071"/>
      <c r="N252" s="1072">
        <v>0</v>
      </c>
      <c r="O252" s="1071"/>
      <c r="P252" s="1071"/>
      <c r="Q252" s="1077"/>
      <c r="R252" s="1077"/>
      <c r="S252" s="1077"/>
      <c r="T252" s="1077"/>
      <c r="U252" s="1077"/>
      <c r="V252" s="1077"/>
      <c r="W252" s="1077"/>
      <c r="X252" s="1077"/>
      <c r="Y252" s="1077"/>
      <c r="Z252" s="1077"/>
    </row>
    <row r="253" spans="1:26" ht="19.5" hidden="1">
      <c r="A253" s="1074"/>
      <c r="B253" s="1065"/>
      <c r="C253" s="1075"/>
      <c r="D253" s="1067" t="s">
        <v>100</v>
      </c>
      <c r="E253" s="1066"/>
      <c r="F253" s="1066"/>
      <c r="G253" s="1068"/>
      <c r="H253" s="319" t="s">
        <v>12</v>
      </c>
      <c r="I253" s="1076"/>
      <c r="J253" s="1076"/>
      <c r="K253" s="1071"/>
      <c r="L253" s="1071">
        <f ca="1">IFERROR(__xludf.DUMMYFUNCTION("IMPORTRANGE(""https://docs.google.com/spreadsheets/d/1QqKyyYR6Q21VydFLVH3TRQUabQu_ym0Zz7PgGX0-kHA/edit?usp=sharing"",""แผน!BC23"")"),0)</f>
        <v>0</v>
      </c>
      <c r="M253" s="1071"/>
      <c r="N253" s="1072">
        <v>0</v>
      </c>
      <c r="O253" s="1071"/>
      <c r="P253" s="1071"/>
      <c r="Q253" s="1077"/>
      <c r="R253" s="1077"/>
      <c r="S253" s="1077"/>
      <c r="T253" s="1077"/>
      <c r="U253" s="1077"/>
      <c r="V253" s="1077"/>
      <c r="W253" s="1077"/>
      <c r="X253" s="1077"/>
      <c r="Y253" s="1077"/>
      <c r="Z253" s="1077"/>
    </row>
    <row r="254" spans="1:26" ht="19.5" hidden="1">
      <c r="A254" s="949"/>
      <c r="B254" s="950"/>
      <c r="C254" s="1038" t="s">
        <v>16</v>
      </c>
      <c r="D254" s="951" t="s">
        <v>38</v>
      </c>
      <c r="E254" s="952"/>
      <c r="F254" s="952"/>
      <c r="G254" s="953"/>
      <c r="H254" s="954"/>
      <c r="I254" s="944"/>
      <c r="J254" s="830"/>
      <c r="K254" s="831"/>
      <c r="L254" s="831"/>
      <c r="M254" s="831"/>
      <c r="N254" s="831"/>
      <c r="O254" s="945"/>
      <c r="P254" s="945"/>
      <c r="Q254" s="818"/>
      <c r="R254" s="818"/>
      <c r="S254" s="818"/>
      <c r="T254" s="818"/>
      <c r="U254" s="818"/>
      <c r="V254" s="818"/>
      <c r="W254" s="818"/>
      <c r="X254" s="818"/>
      <c r="Y254" s="818"/>
      <c r="Z254" s="818"/>
    </row>
    <row r="255" spans="1:26" ht="18.75" hidden="1">
      <c r="A255" s="949"/>
      <c r="B255" s="950"/>
      <c r="C255" s="950"/>
      <c r="D255" s="956" t="s">
        <v>117</v>
      </c>
      <c r="E255" s="957"/>
      <c r="F255" s="957"/>
      <c r="G255" s="958"/>
      <c r="H255" s="730" t="s">
        <v>35</v>
      </c>
      <c r="I255" s="830">
        <f ca="1">IFERROR(__xludf.DUMMYFUNCTION("IMPORTRANGE(""https://docs.google.com/spreadsheets/d/1QqKyyYR6Q21VydFLVH3TRQUabQu_ym0Zz7PgGX0-kHA/edit?usp=sharing"",""แผน!BF23"")"),0)</f>
        <v>0</v>
      </c>
      <c r="J255" s="959">
        <v>0</v>
      </c>
      <c r="K255" s="831">
        <f ca="1">IF(I255&gt;0,J255*100/I255,0)</f>
        <v>0</v>
      </c>
      <c r="L255" s="831"/>
      <c r="M255" s="831"/>
      <c r="N255" s="831"/>
      <c r="O255" s="831"/>
      <c r="P255" s="831"/>
      <c r="Q255" s="818"/>
      <c r="R255" s="818"/>
      <c r="S255" s="818"/>
      <c r="T255" s="818"/>
      <c r="U255" s="818"/>
      <c r="V255" s="818"/>
      <c r="W255" s="818"/>
      <c r="X255" s="818"/>
      <c r="Y255" s="818"/>
      <c r="Z255" s="818"/>
    </row>
    <row r="256" spans="1:26" ht="18.75" hidden="1">
      <c r="A256" s="949"/>
      <c r="B256" s="950"/>
      <c r="C256" s="950"/>
      <c r="D256" s="1078" t="s">
        <v>43</v>
      </c>
      <c r="E256" s="957"/>
      <c r="F256" s="957"/>
      <c r="G256" s="958"/>
      <c r="H256" s="730"/>
      <c r="I256" s="830"/>
      <c r="J256" s="830"/>
      <c r="K256" s="831"/>
      <c r="L256" s="831"/>
      <c r="M256" s="831"/>
      <c r="N256" s="831"/>
      <c r="O256" s="945"/>
      <c r="P256" s="945"/>
      <c r="Q256" s="818"/>
      <c r="R256" s="818"/>
      <c r="S256" s="818"/>
      <c r="T256" s="818"/>
      <c r="U256" s="818"/>
      <c r="V256" s="818"/>
      <c r="W256" s="818"/>
      <c r="X256" s="818"/>
      <c r="Y256" s="818"/>
      <c r="Z256" s="818"/>
    </row>
    <row r="257" spans="1:26" ht="18.75" hidden="1">
      <c r="A257" s="949"/>
      <c r="B257" s="950"/>
      <c r="C257" s="950"/>
      <c r="D257" s="950"/>
      <c r="E257" s="955" t="s">
        <v>118</v>
      </c>
      <c r="F257" s="957"/>
      <c r="G257" s="958"/>
      <c r="H257" s="730" t="s">
        <v>35</v>
      </c>
      <c r="I257" s="830"/>
      <c r="J257" s="959">
        <v>0</v>
      </c>
      <c r="K257" s="831">
        <f t="shared" ref="K257:K258" si="114">IF(I257&gt;0,J257*100/I257,0)</f>
        <v>0</v>
      </c>
      <c r="L257" s="831"/>
      <c r="M257" s="831"/>
      <c r="N257" s="831"/>
      <c r="O257" s="831"/>
      <c r="P257" s="831"/>
      <c r="Q257" s="818"/>
      <c r="R257" s="818"/>
      <c r="S257" s="818"/>
      <c r="T257" s="818"/>
      <c r="U257" s="818"/>
      <c r="V257" s="818"/>
      <c r="W257" s="818"/>
      <c r="X257" s="818"/>
      <c r="Y257" s="818"/>
      <c r="Z257" s="818"/>
    </row>
    <row r="258" spans="1:26" ht="18.75" hidden="1">
      <c r="A258" s="949"/>
      <c r="B258" s="950"/>
      <c r="C258" s="950"/>
      <c r="D258" s="950"/>
      <c r="E258" s="955" t="s">
        <v>119</v>
      </c>
      <c r="F258" s="957"/>
      <c r="G258" s="958"/>
      <c r="H258" s="730" t="s">
        <v>66</v>
      </c>
      <c r="I258" s="830"/>
      <c r="J258" s="959">
        <v>0</v>
      </c>
      <c r="K258" s="831">
        <f t="shared" si="114"/>
        <v>0</v>
      </c>
      <c r="L258" s="831"/>
      <c r="M258" s="831"/>
      <c r="N258" s="831"/>
      <c r="O258" s="831"/>
      <c r="P258" s="831"/>
      <c r="Q258" s="818"/>
      <c r="R258" s="818"/>
      <c r="S258" s="818"/>
      <c r="T258" s="818"/>
      <c r="U258" s="818"/>
      <c r="V258" s="818"/>
      <c r="W258" s="818"/>
      <c r="X258" s="818"/>
      <c r="Y258" s="818"/>
      <c r="Z258" s="818"/>
    </row>
    <row r="259" spans="1:26" ht="19.5">
      <c r="A259" s="998" t="s">
        <v>122</v>
      </c>
      <c r="B259" s="999"/>
      <c r="C259" s="999"/>
      <c r="D259" s="1000"/>
      <c r="E259" s="1000"/>
      <c r="F259" s="1000"/>
      <c r="G259" s="1001"/>
      <c r="H259" s="1002"/>
      <c r="I259" s="1003"/>
      <c r="J259" s="1003"/>
      <c r="K259" s="1004"/>
      <c r="L259" s="1004"/>
      <c r="M259" s="1004"/>
      <c r="N259" s="1004"/>
      <c r="O259" s="1004"/>
      <c r="P259" s="1004"/>
    </row>
    <row r="260" spans="1:26" ht="19.5">
      <c r="A260" s="1005"/>
      <c r="B260" s="1006" t="s">
        <v>123</v>
      </c>
      <c r="C260" s="1007"/>
      <c r="D260" s="952"/>
      <c r="E260" s="952"/>
      <c r="F260" s="952"/>
      <c r="G260" s="953"/>
      <c r="H260" s="252" t="s">
        <v>35</v>
      </c>
      <c r="I260" s="1008">
        <f t="shared" ref="I260:J260" ca="1" si="115">I271</f>
        <v>22</v>
      </c>
      <c r="J260" s="1008">
        <f t="shared" si="115"/>
        <v>22</v>
      </c>
      <c r="K260" s="1009">
        <f ca="1">IF(I260&gt;0,J260*100/I260,0)</f>
        <v>100</v>
      </c>
      <c r="L260" s="1010"/>
      <c r="M260" s="1010"/>
      <c r="N260" s="1010"/>
      <c r="O260" s="1010"/>
      <c r="P260" s="1010"/>
    </row>
    <row r="261" spans="1:26" ht="19.5">
      <c r="A261" s="932"/>
      <c r="B261" s="933"/>
      <c r="C261" s="934" t="s">
        <v>16</v>
      </c>
      <c r="D261" s="935" t="s">
        <v>17</v>
      </c>
      <c r="E261" s="933"/>
      <c r="F261" s="933"/>
      <c r="G261" s="936"/>
      <c r="H261" s="152" t="s">
        <v>12</v>
      </c>
      <c r="I261" s="937"/>
      <c r="J261" s="937"/>
      <c r="K261" s="938"/>
      <c r="L261" s="939">
        <f t="shared" ref="L261:N261" ca="1" si="116">L262+L263</f>
        <v>26900</v>
      </c>
      <c r="M261" s="939">
        <f t="shared" ca="1" si="116"/>
        <v>23900</v>
      </c>
      <c r="N261" s="939">
        <f t="shared" ca="1" si="116"/>
        <v>18132.5</v>
      </c>
      <c r="O261" s="939">
        <f t="shared" ref="O261:O269" ca="1" si="117">IF(L261&gt;0,N261*100/L261,0)</f>
        <v>67.407063197026019</v>
      </c>
      <c r="P261" s="939">
        <f t="shared" ref="P261:P269" ca="1" si="118">IF(M261&gt;0,N261*100/M261,0)</f>
        <v>75.86820083682008</v>
      </c>
      <c r="Q261" s="818"/>
      <c r="R261" s="818"/>
      <c r="S261" s="818"/>
      <c r="T261" s="818"/>
      <c r="U261" s="818"/>
      <c r="V261" s="818"/>
      <c r="W261" s="818"/>
      <c r="X261" s="818"/>
      <c r="Y261" s="818"/>
      <c r="Z261" s="818"/>
    </row>
    <row r="262" spans="1:26" ht="18.75" hidden="1">
      <c r="A262" s="940"/>
      <c r="B262" s="833"/>
      <c r="C262" s="833"/>
      <c r="D262" s="833"/>
      <c r="E262" s="834" t="s">
        <v>18</v>
      </c>
      <c r="F262" s="833"/>
      <c r="G262" s="941"/>
      <c r="H262" s="158" t="s">
        <v>12</v>
      </c>
      <c r="I262" s="836"/>
      <c r="J262" s="836"/>
      <c r="K262" s="837"/>
      <c r="L262" s="837">
        <f t="shared" ref="L262:N263" si="119">L265+L268</f>
        <v>0</v>
      </c>
      <c r="M262" s="837">
        <f t="shared" si="119"/>
        <v>0</v>
      </c>
      <c r="N262" s="837">
        <f t="shared" si="119"/>
        <v>0</v>
      </c>
      <c r="O262" s="837">
        <f t="shared" si="117"/>
        <v>0</v>
      </c>
      <c r="P262" s="837">
        <f t="shared" si="118"/>
        <v>0</v>
      </c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</row>
    <row r="263" spans="1:26" ht="18.75" hidden="1">
      <c r="A263" s="940"/>
      <c r="B263" s="833"/>
      <c r="C263" s="833"/>
      <c r="D263" s="833"/>
      <c r="E263" s="834" t="s">
        <v>19</v>
      </c>
      <c r="F263" s="833"/>
      <c r="G263" s="941"/>
      <c r="H263" s="158" t="s">
        <v>12</v>
      </c>
      <c r="I263" s="836"/>
      <c r="J263" s="836"/>
      <c r="K263" s="837"/>
      <c r="L263" s="837">
        <f t="shared" ca="1" si="119"/>
        <v>26900</v>
      </c>
      <c r="M263" s="837">
        <f t="shared" ca="1" si="119"/>
        <v>23900</v>
      </c>
      <c r="N263" s="837">
        <f t="shared" ca="1" si="119"/>
        <v>18132.5</v>
      </c>
      <c r="O263" s="837">
        <f t="shared" ca="1" si="117"/>
        <v>67.407063197026019</v>
      </c>
      <c r="P263" s="837">
        <f t="shared" ca="1" si="118"/>
        <v>75.86820083682008</v>
      </c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</row>
    <row r="264" spans="1:26" ht="18.75">
      <c r="A264" s="942"/>
      <c r="B264" s="827"/>
      <c r="C264" s="943"/>
      <c r="D264" s="828" t="s">
        <v>20</v>
      </c>
      <c r="E264" s="827"/>
      <c r="F264" s="827"/>
      <c r="G264" s="829"/>
      <c r="H264" s="778" t="s">
        <v>12</v>
      </c>
      <c r="I264" s="944"/>
      <c r="J264" s="944"/>
      <c r="K264" s="945"/>
      <c r="L264" s="831">
        <f t="shared" ref="L264:N264" ca="1" si="120">L265+L266</f>
        <v>26900</v>
      </c>
      <c r="M264" s="831">
        <f t="shared" ca="1" si="120"/>
        <v>23900</v>
      </c>
      <c r="N264" s="831">
        <f t="shared" ca="1" si="120"/>
        <v>18132.5</v>
      </c>
      <c r="O264" s="831">
        <f t="shared" ca="1" si="117"/>
        <v>67.407063197026019</v>
      </c>
      <c r="P264" s="831">
        <f t="shared" ca="1" si="118"/>
        <v>75.86820083682008</v>
      </c>
      <c r="Q264" s="818"/>
      <c r="R264" s="818"/>
      <c r="S264" s="818"/>
      <c r="T264" s="818"/>
      <c r="U264" s="818"/>
      <c r="V264" s="818"/>
      <c r="W264" s="818"/>
      <c r="X264" s="818"/>
      <c r="Y264" s="818"/>
      <c r="Z264" s="818"/>
    </row>
    <row r="265" spans="1:26" ht="19.5" hidden="1">
      <c r="A265" s="940"/>
      <c r="B265" s="833"/>
      <c r="C265" s="946"/>
      <c r="D265" s="833"/>
      <c r="E265" s="834" t="s">
        <v>36</v>
      </c>
      <c r="F265" s="833"/>
      <c r="G265" s="941"/>
      <c r="H265" s="165" t="s">
        <v>12</v>
      </c>
      <c r="I265" s="947"/>
      <c r="J265" s="947"/>
      <c r="K265" s="948"/>
      <c r="L265" s="837">
        <v>0</v>
      </c>
      <c r="M265" s="837">
        <v>0</v>
      </c>
      <c r="N265" s="837">
        <v>0</v>
      </c>
      <c r="O265" s="837">
        <f t="shared" si="117"/>
        <v>0</v>
      </c>
      <c r="P265" s="837">
        <f t="shared" si="118"/>
        <v>0</v>
      </c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</row>
    <row r="266" spans="1:26" ht="19.5" hidden="1">
      <c r="A266" s="940"/>
      <c r="B266" s="833"/>
      <c r="C266" s="946"/>
      <c r="D266" s="833"/>
      <c r="E266" s="834" t="s">
        <v>37</v>
      </c>
      <c r="F266" s="833"/>
      <c r="G266" s="941"/>
      <c r="H266" s="165" t="s">
        <v>12</v>
      </c>
      <c r="I266" s="947"/>
      <c r="J266" s="947"/>
      <c r="K266" s="948"/>
      <c r="L266" s="837">
        <f ca="1">IFERROR(__xludf.DUMMYFUNCTION("IMPORTRANGE(""https://docs.google.com/spreadsheets/d/1MeEWN-I1oV_STSDYn1IFDPWt_1FKiwhDph83XaGc0o0/edit?usp=sharing"",""งบพรบ!CY23"")"),26900)</f>
        <v>26900</v>
      </c>
      <c r="M266" s="837">
        <f ca="1">IFERROR(__xludf.DUMMYFUNCTION("IMPORTRANGE(""https://docs.google.com/spreadsheets/d/1MeEWN-I1oV_STSDYn1IFDPWt_1FKiwhDph83XaGc0o0/edit?usp=sharing"",""งบพรบ!DD23"")"),23900)</f>
        <v>23900</v>
      </c>
      <c r="N266" s="837">
        <f ca="1">IFERROR(__xludf.DUMMYFUNCTION("IMPORTRANGE(""https://docs.google.com/spreadsheets/d/1MeEWN-I1oV_STSDYn1IFDPWt_1FKiwhDph83XaGc0o0/edit?usp=sharing"",""งบพรบ!DF23"")"),18132.5)</f>
        <v>18132.5</v>
      </c>
      <c r="O266" s="837">
        <f t="shared" ca="1" si="117"/>
        <v>67.407063197026019</v>
      </c>
      <c r="P266" s="837">
        <f t="shared" ca="1" si="118"/>
        <v>75.86820083682008</v>
      </c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</row>
    <row r="267" spans="1:26" ht="18.75">
      <c r="A267" s="942"/>
      <c r="B267" s="827"/>
      <c r="C267" s="943"/>
      <c r="D267" s="828" t="s">
        <v>21</v>
      </c>
      <c r="E267" s="827"/>
      <c r="F267" s="827"/>
      <c r="G267" s="829"/>
      <c r="H267" s="168" t="s">
        <v>12</v>
      </c>
      <c r="I267" s="944"/>
      <c r="J267" s="944"/>
      <c r="K267" s="945"/>
      <c r="L267" s="831">
        <f t="shared" ref="L267:N267" ca="1" si="121">L268+L269</f>
        <v>0</v>
      </c>
      <c r="M267" s="831">
        <f t="shared" ca="1" si="121"/>
        <v>0</v>
      </c>
      <c r="N267" s="831">
        <f t="shared" ca="1" si="121"/>
        <v>0</v>
      </c>
      <c r="O267" s="831">
        <f t="shared" ca="1" si="117"/>
        <v>0</v>
      </c>
      <c r="P267" s="831">
        <f t="shared" ca="1" si="118"/>
        <v>0</v>
      </c>
      <c r="Q267" s="818"/>
      <c r="R267" s="818"/>
      <c r="S267" s="818"/>
      <c r="T267" s="818"/>
      <c r="U267" s="818"/>
      <c r="V267" s="818"/>
      <c r="W267" s="818"/>
      <c r="X267" s="818"/>
      <c r="Y267" s="818"/>
      <c r="Z267" s="818"/>
    </row>
    <row r="268" spans="1:26" ht="19.5" hidden="1">
      <c r="A268" s="940"/>
      <c r="B268" s="833"/>
      <c r="C268" s="946"/>
      <c r="D268" s="833"/>
      <c r="E268" s="834" t="s">
        <v>18</v>
      </c>
      <c r="F268" s="833"/>
      <c r="G268" s="941"/>
      <c r="H268" s="165" t="s">
        <v>12</v>
      </c>
      <c r="I268" s="947"/>
      <c r="J268" s="947"/>
      <c r="K268" s="948"/>
      <c r="L268" s="837">
        <v>0</v>
      </c>
      <c r="M268" s="837">
        <v>0</v>
      </c>
      <c r="N268" s="837">
        <v>0</v>
      </c>
      <c r="O268" s="837">
        <f t="shared" si="117"/>
        <v>0</v>
      </c>
      <c r="P268" s="837">
        <f t="shared" si="118"/>
        <v>0</v>
      </c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</row>
    <row r="269" spans="1:26" ht="19.5" hidden="1">
      <c r="A269" s="940"/>
      <c r="B269" s="833"/>
      <c r="C269" s="946"/>
      <c r="D269" s="833"/>
      <c r="E269" s="834" t="s">
        <v>19</v>
      </c>
      <c r="F269" s="833"/>
      <c r="G269" s="941"/>
      <c r="H269" s="169" t="s">
        <v>12</v>
      </c>
      <c r="I269" s="947"/>
      <c r="J269" s="947"/>
      <c r="K269" s="948"/>
      <c r="L269" s="837">
        <f ca="1">IFERROR(__xludf.DUMMYFUNCTION("IMPORTRANGE(""https://docs.google.com/spreadsheets/d/1MeEWN-I1oV_STSDYn1IFDPWt_1FKiwhDph83XaGc0o0/edit?usp=sharing"",""งบพรบ!DB23"")"),0)</f>
        <v>0</v>
      </c>
      <c r="M269" s="837">
        <f ca="1">IFERROR(__xludf.DUMMYFUNCTION("IMPORTRANGE(""https://docs.google.com/spreadsheets/d/1MeEWN-I1oV_STSDYn1IFDPWt_1FKiwhDph83XaGc0o0/edit?usp=sharing"",""งบพรบ!DE23"")"),0)</f>
        <v>0</v>
      </c>
      <c r="N269" s="837">
        <f ca="1">IFERROR(__xludf.DUMMYFUNCTION("IMPORTRANGE(""https://docs.google.com/spreadsheets/d/1MeEWN-I1oV_STSDYn1IFDPWt_1FKiwhDph83XaGc0o0/edit?usp=sharing"",""งบพรบ!DG23"")"),0)</f>
        <v>0</v>
      </c>
      <c r="O269" s="837">
        <f t="shared" ca="1" si="117"/>
        <v>0</v>
      </c>
      <c r="P269" s="837">
        <f t="shared" ca="1" si="118"/>
        <v>0</v>
      </c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</row>
    <row r="270" spans="1:26" ht="19.5">
      <c r="A270" s="949"/>
      <c r="B270" s="950"/>
      <c r="C270" s="943" t="s">
        <v>16</v>
      </c>
      <c r="D270" s="951" t="s">
        <v>38</v>
      </c>
      <c r="E270" s="952"/>
      <c r="F270" s="952"/>
      <c r="G270" s="953"/>
      <c r="H270" s="954"/>
      <c r="I270" s="944"/>
      <c r="J270" s="944"/>
      <c r="K270" s="945"/>
      <c r="L270" s="945"/>
      <c r="M270" s="945"/>
      <c r="N270" s="945"/>
      <c r="O270" s="945"/>
      <c r="P270" s="945"/>
    </row>
    <row r="271" spans="1:26" ht="18.75">
      <c r="A271" s="949"/>
      <c r="B271" s="950"/>
      <c r="C271" s="950"/>
      <c r="D271" s="1079" t="s">
        <v>124</v>
      </c>
      <c r="E271" s="957"/>
      <c r="F271" s="1022"/>
      <c r="G271" s="958"/>
      <c r="H271" s="346" t="s">
        <v>35</v>
      </c>
      <c r="I271" s="830">
        <f ca="1">IFERROR(__xludf.DUMMYFUNCTION("IMPORTRANGE(""https://docs.google.com/spreadsheets/d/1QqKyyYR6Q21VydFLVH3TRQUabQu_ym0Zz7PgGX0-kHA/edit?usp=sharing"",""แผน!EA23"")"),22)</f>
        <v>22</v>
      </c>
      <c r="J271" s="959">
        <v>22</v>
      </c>
      <c r="K271" s="945">
        <f ca="1">IF(I271&gt;0,J271*100/I271,0)</f>
        <v>100</v>
      </c>
      <c r="L271" s="945"/>
      <c r="M271" s="945"/>
      <c r="N271" s="945"/>
      <c r="O271" s="945"/>
      <c r="P271" s="945"/>
    </row>
    <row r="272" spans="1:26" ht="18.75" hidden="1">
      <c r="A272" s="1080"/>
      <c r="B272" s="1081"/>
      <c r="C272" s="1081"/>
      <c r="D272" s="1082" t="s">
        <v>125</v>
      </c>
      <c r="E272" s="1083"/>
      <c r="F272" s="1083"/>
      <c r="G272" s="1084"/>
      <c r="H272" s="50" t="s">
        <v>35</v>
      </c>
      <c r="I272" s="1085">
        <v>0</v>
      </c>
      <c r="J272" s="1085">
        <v>0</v>
      </c>
      <c r="K272" s="1086">
        <v>0</v>
      </c>
      <c r="L272" s="1086"/>
      <c r="M272" s="1086"/>
      <c r="N272" s="1086"/>
      <c r="O272" s="1086"/>
      <c r="P272" s="1086"/>
    </row>
    <row r="273" spans="1:26" ht="19.5">
      <c r="A273" s="1087" t="s">
        <v>126</v>
      </c>
      <c r="B273" s="1088"/>
      <c r="C273" s="1088"/>
      <c r="D273" s="1088"/>
      <c r="E273" s="1089"/>
      <c r="F273" s="1089"/>
      <c r="G273" s="1090"/>
      <c r="H273" s="1091"/>
      <c r="I273" s="1092"/>
      <c r="J273" s="1092"/>
      <c r="K273" s="1093"/>
      <c r="L273" s="1093"/>
      <c r="M273" s="1093"/>
      <c r="N273" s="1093"/>
      <c r="O273" s="1093"/>
      <c r="P273" s="1093"/>
    </row>
    <row r="274" spans="1:26" ht="19.5">
      <c r="A274" s="1094" t="s">
        <v>127</v>
      </c>
      <c r="B274" s="1095"/>
      <c r="C274" s="1096"/>
      <c r="D274" s="1095"/>
      <c r="E274" s="1095"/>
      <c r="F274" s="1095"/>
      <c r="G274" s="1095"/>
      <c r="H274" s="1097"/>
      <c r="I274" s="1098"/>
      <c r="J274" s="1099"/>
      <c r="K274" s="1100"/>
      <c r="L274" s="1100"/>
      <c r="M274" s="1100"/>
      <c r="N274" s="1100"/>
      <c r="O274" s="1100"/>
      <c r="P274" s="1100"/>
    </row>
    <row r="275" spans="1:26" ht="19.5">
      <c r="A275" s="1101"/>
      <c r="B275" s="1102" t="s">
        <v>128</v>
      </c>
      <c r="C275" s="1103"/>
      <c r="D275" s="1104"/>
      <c r="E275" s="1103"/>
      <c r="F275" s="1103"/>
      <c r="G275" s="1105"/>
      <c r="H275" s="374" t="s">
        <v>35</v>
      </c>
      <c r="I275" s="1106">
        <f t="shared" ref="I275:J275" ca="1" si="122">I288</f>
        <v>80</v>
      </c>
      <c r="J275" s="1106">
        <f t="shared" ca="1" si="122"/>
        <v>80</v>
      </c>
      <c r="K275" s="1107">
        <f t="shared" ref="K275:K276" ca="1" si="123">IF(I275&gt;0,J275*100/I275,0)</f>
        <v>100</v>
      </c>
      <c r="L275" s="1108"/>
      <c r="M275" s="1108"/>
      <c r="N275" s="1108"/>
      <c r="O275" s="1108"/>
      <c r="P275" s="1108"/>
    </row>
    <row r="276" spans="1:26" ht="19.5">
      <c r="A276" s="1101"/>
      <c r="B276" s="1102"/>
      <c r="C276" s="1103"/>
      <c r="D276" s="1104"/>
      <c r="E276" s="1103"/>
      <c r="F276" s="1103"/>
      <c r="G276" s="1105"/>
      <c r="H276" s="374" t="s">
        <v>46</v>
      </c>
      <c r="I276" s="1106">
        <f t="shared" ref="I276:J276" ca="1" si="124">I287</f>
        <v>800</v>
      </c>
      <c r="J276" s="1106">
        <f t="shared" si="124"/>
        <v>800</v>
      </c>
      <c r="K276" s="1107">
        <f t="shared" ca="1" si="123"/>
        <v>100</v>
      </c>
      <c r="L276" s="1108"/>
      <c r="M276" s="1108"/>
      <c r="N276" s="1108"/>
      <c r="O276" s="1108"/>
      <c r="P276" s="1108"/>
    </row>
    <row r="277" spans="1:26" ht="19.5">
      <c r="A277" s="932"/>
      <c r="B277" s="933"/>
      <c r="C277" s="934" t="s">
        <v>16</v>
      </c>
      <c r="D277" s="935" t="s">
        <v>17</v>
      </c>
      <c r="E277" s="933"/>
      <c r="F277" s="933"/>
      <c r="G277" s="936"/>
      <c r="H277" s="152" t="s">
        <v>12</v>
      </c>
      <c r="I277" s="937"/>
      <c r="J277" s="937"/>
      <c r="K277" s="938"/>
      <c r="L277" s="939">
        <f t="shared" ref="L277:N277" ca="1" si="125">L278+L279</f>
        <v>286680</v>
      </c>
      <c r="M277" s="939">
        <f t="shared" ca="1" si="125"/>
        <v>286680</v>
      </c>
      <c r="N277" s="939">
        <f t="shared" ca="1" si="125"/>
        <v>196695</v>
      </c>
      <c r="O277" s="939">
        <f t="shared" ref="O277:O285" ca="1" si="126">IF(L277&gt;0,N277*100/L277,0)</f>
        <v>68.611343658434492</v>
      </c>
      <c r="P277" s="939">
        <f t="shared" ref="P277:P285" ca="1" si="127">IF(M277&gt;0,N277*100/M277,0)</f>
        <v>68.611343658434492</v>
      </c>
      <c r="Q277" s="818"/>
      <c r="R277" s="818"/>
      <c r="S277" s="818"/>
      <c r="T277" s="818"/>
      <c r="U277" s="818"/>
      <c r="V277" s="818"/>
      <c r="W277" s="818"/>
      <c r="X277" s="818"/>
      <c r="Y277" s="818"/>
      <c r="Z277" s="818"/>
    </row>
    <row r="278" spans="1:26" ht="18.75" hidden="1">
      <c r="A278" s="940"/>
      <c r="B278" s="833"/>
      <c r="C278" s="833"/>
      <c r="D278" s="833"/>
      <c r="E278" s="834" t="s">
        <v>18</v>
      </c>
      <c r="F278" s="833"/>
      <c r="G278" s="941"/>
      <c r="H278" s="158" t="s">
        <v>12</v>
      </c>
      <c r="I278" s="836"/>
      <c r="J278" s="836"/>
      <c r="K278" s="837"/>
      <c r="L278" s="837">
        <f t="shared" ref="L278:N279" si="128">L281+L284</f>
        <v>0</v>
      </c>
      <c r="M278" s="837">
        <f t="shared" si="128"/>
        <v>0</v>
      </c>
      <c r="N278" s="837">
        <f t="shared" si="128"/>
        <v>0</v>
      </c>
      <c r="O278" s="837">
        <f t="shared" si="126"/>
        <v>0</v>
      </c>
      <c r="P278" s="837">
        <f t="shared" si="127"/>
        <v>0</v>
      </c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</row>
    <row r="279" spans="1:26" ht="18.75" hidden="1">
      <c r="A279" s="940"/>
      <c r="B279" s="833"/>
      <c r="C279" s="833"/>
      <c r="D279" s="833"/>
      <c r="E279" s="834" t="s">
        <v>19</v>
      </c>
      <c r="F279" s="833"/>
      <c r="G279" s="941"/>
      <c r="H279" s="158" t="s">
        <v>12</v>
      </c>
      <c r="I279" s="836"/>
      <c r="J279" s="836"/>
      <c r="K279" s="837"/>
      <c r="L279" s="837">
        <f t="shared" ca="1" si="128"/>
        <v>286680</v>
      </c>
      <c r="M279" s="837">
        <f t="shared" ca="1" si="128"/>
        <v>286680</v>
      </c>
      <c r="N279" s="837">
        <f t="shared" ca="1" si="128"/>
        <v>196695</v>
      </c>
      <c r="O279" s="837">
        <f t="shared" ca="1" si="126"/>
        <v>68.611343658434492</v>
      </c>
      <c r="P279" s="837">
        <f t="shared" ca="1" si="127"/>
        <v>68.611343658434492</v>
      </c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</row>
    <row r="280" spans="1:26" ht="18.75">
      <c r="A280" s="942"/>
      <c r="B280" s="827"/>
      <c r="C280" s="943"/>
      <c r="D280" s="828" t="s">
        <v>20</v>
      </c>
      <c r="E280" s="827"/>
      <c r="F280" s="827"/>
      <c r="G280" s="829"/>
      <c r="H280" s="778" t="s">
        <v>12</v>
      </c>
      <c r="I280" s="944"/>
      <c r="J280" s="944"/>
      <c r="K280" s="945"/>
      <c r="L280" s="831">
        <f t="shared" ref="L280:N280" ca="1" si="129">L281+L282</f>
        <v>286680</v>
      </c>
      <c r="M280" s="831">
        <f t="shared" ca="1" si="129"/>
        <v>286680</v>
      </c>
      <c r="N280" s="831">
        <f t="shared" ca="1" si="129"/>
        <v>196695</v>
      </c>
      <c r="O280" s="831">
        <f t="shared" ca="1" si="126"/>
        <v>68.611343658434492</v>
      </c>
      <c r="P280" s="831">
        <f t="shared" ca="1" si="127"/>
        <v>68.611343658434492</v>
      </c>
      <c r="Q280" s="818"/>
      <c r="R280" s="818"/>
      <c r="S280" s="818"/>
      <c r="T280" s="818"/>
      <c r="U280" s="818"/>
      <c r="V280" s="818"/>
      <c r="W280" s="818"/>
      <c r="X280" s="818"/>
      <c r="Y280" s="818"/>
      <c r="Z280" s="818"/>
    </row>
    <row r="281" spans="1:26" ht="19.5" hidden="1">
      <c r="A281" s="940"/>
      <c r="B281" s="833"/>
      <c r="C281" s="946"/>
      <c r="D281" s="833"/>
      <c r="E281" s="834" t="s">
        <v>36</v>
      </c>
      <c r="F281" s="833"/>
      <c r="G281" s="941"/>
      <c r="H281" s="165" t="s">
        <v>12</v>
      </c>
      <c r="I281" s="947"/>
      <c r="J281" s="947"/>
      <c r="K281" s="948"/>
      <c r="L281" s="837">
        <v>0</v>
      </c>
      <c r="M281" s="837">
        <v>0</v>
      </c>
      <c r="N281" s="837">
        <v>0</v>
      </c>
      <c r="O281" s="837">
        <f t="shared" si="126"/>
        <v>0</v>
      </c>
      <c r="P281" s="837">
        <f t="shared" si="127"/>
        <v>0</v>
      </c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</row>
    <row r="282" spans="1:26" ht="19.5" hidden="1">
      <c r="A282" s="940"/>
      <c r="B282" s="833"/>
      <c r="C282" s="946"/>
      <c r="D282" s="833"/>
      <c r="E282" s="834" t="s">
        <v>37</v>
      </c>
      <c r="F282" s="833"/>
      <c r="G282" s="941"/>
      <c r="H282" s="165" t="s">
        <v>12</v>
      </c>
      <c r="I282" s="947"/>
      <c r="J282" s="947"/>
      <c r="K282" s="948"/>
      <c r="L282" s="837">
        <f ca="1">IFERROR(__xludf.DUMMYFUNCTION("IMPORTRANGE(""https://docs.google.com/spreadsheets/d/1MeEWN-I1oV_STSDYn1IFDPWt_1FKiwhDph83XaGc0o0/edit?usp=sharing"",""งบพรบ!DI23"")"),286680)</f>
        <v>286680</v>
      </c>
      <c r="M282" s="837">
        <f ca="1">IFERROR(__xludf.DUMMYFUNCTION("IMPORTRANGE(""https://docs.google.com/spreadsheets/d/1MeEWN-I1oV_STSDYn1IFDPWt_1FKiwhDph83XaGc0o0/edit?usp=sharing"",""งบพรบ!DN23"")"),286680)</f>
        <v>286680</v>
      </c>
      <c r="N282" s="837">
        <f ca="1">IFERROR(__xludf.DUMMYFUNCTION("IMPORTRANGE(""https://docs.google.com/spreadsheets/d/1MeEWN-I1oV_STSDYn1IFDPWt_1FKiwhDph83XaGc0o0/edit?usp=sharing"",""งบพรบ!DP23"")"),196695)</f>
        <v>196695</v>
      </c>
      <c r="O282" s="837">
        <f t="shared" ca="1" si="126"/>
        <v>68.611343658434492</v>
      </c>
      <c r="P282" s="837">
        <f t="shared" ca="1" si="127"/>
        <v>68.611343658434492</v>
      </c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</row>
    <row r="283" spans="1:26" ht="18.75">
      <c r="A283" s="942"/>
      <c r="B283" s="827"/>
      <c r="C283" s="943"/>
      <c r="D283" s="828" t="s">
        <v>21</v>
      </c>
      <c r="E283" s="827"/>
      <c r="F283" s="827"/>
      <c r="G283" s="829"/>
      <c r="H283" s="168" t="s">
        <v>12</v>
      </c>
      <c r="I283" s="944"/>
      <c r="J283" s="944"/>
      <c r="K283" s="945"/>
      <c r="L283" s="831">
        <f t="shared" ref="L283:N283" ca="1" si="130">L284+L285</f>
        <v>0</v>
      </c>
      <c r="M283" s="831">
        <f t="shared" ca="1" si="130"/>
        <v>0</v>
      </c>
      <c r="N283" s="831">
        <f t="shared" ca="1" si="130"/>
        <v>0</v>
      </c>
      <c r="O283" s="831">
        <f t="shared" ca="1" si="126"/>
        <v>0</v>
      </c>
      <c r="P283" s="831">
        <f t="shared" ca="1" si="127"/>
        <v>0</v>
      </c>
      <c r="Q283" s="818"/>
      <c r="R283" s="818"/>
      <c r="S283" s="818"/>
      <c r="T283" s="818"/>
      <c r="U283" s="818"/>
      <c r="V283" s="818"/>
      <c r="W283" s="818"/>
      <c r="X283" s="818"/>
      <c r="Y283" s="818"/>
      <c r="Z283" s="818"/>
    </row>
    <row r="284" spans="1:26" ht="19.5" hidden="1">
      <c r="A284" s="940"/>
      <c r="B284" s="833"/>
      <c r="C284" s="946"/>
      <c r="D284" s="833"/>
      <c r="E284" s="834" t="s">
        <v>18</v>
      </c>
      <c r="F284" s="833"/>
      <c r="G284" s="941"/>
      <c r="H284" s="165" t="s">
        <v>12</v>
      </c>
      <c r="I284" s="947"/>
      <c r="J284" s="947"/>
      <c r="K284" s="948"/>
      <c r="L284" s="837">
        <v>0</v>
      </c>
      <c r="M284" s="837">
        <v>0</v>
      </c>
      <c r="N284" s="837">
        <v>0</v>
      </c>
      <c r="O284" s="837">
        <f t="shared" si="126"/>
        <v>0</v>
      </c>
      <c r="P284" s="837">
        <f t="shared" si="127"/>
        <v>0</v>
      </c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</row>
    <row r="285" spans="1:26" ht="19.5" hidden="1">
      <c r="A285" s="940"/>
      <c r="B285" s="833"/>
      <c r="C285" s="946"/>
      <c r="D285" s="833"/>
      <c r="E285" s="834" t="s">
        <v>19</v>
      </c>
      <c r="F285" s="833"/>
      <c r="G285" s="941"/>
      <c r="H285" s="169" t="s">
        <v>12</v>
      </c>
      <c r="I285" s="947"/>
      <c r="J285" s="947"/>
      <c r="K285" s="948"/>
      <c r="L285" s="837">
        <f ca="1">IFERROR(__xludf.DUMMYFUNCTION("IMPORTRANGE(""https://docs.google.com/spreadsheets/d/1MeEWN-I1oV_STSDYn1IFDPWt_1FKiwhDph83XaGc0o0/edit?usp=sharing"",""งบพรบ!DL23"")"),0)</f>
        <v>0</v>
      </c>
      <c r="M285" s="837">
        <f ca="1">IFERROR(__xludf.DUMMYFUNCTION("IMPORTRANGE(""https://docs.google.com/spreadsheets/d/1MeEWN-I1oV_STSDYn1IFDPWt_1FKiwhDph83XaGc0o0/edit?usp=sharing"",""งบพรบ!DO23"")"),0)</f>
        <v>0</v>
      </c>
      <c r="N285" s="837">
        <f ca="1">IFERROR(__xludf.DUMMYFUNCTION("IMPORTRANGE(""https://docs.google.com/spreadsheets/d/1MeEWN-I1oV_STSDYn1IFDPWt_1FKiwhDph83XaGc0o0/edit?usp=sharing"",""งบพรบ!DQ23"")"),0)</f>
        <v>0</v>
      </c>
      <c r="O285" s="837">
        <f t="shared" ca="1" si="126"/>
        <v>0</v>
      </c>
      <c r="P285" s="837">
        <f t="shared" ca="1" si="127"/>
        <v>0</v>
      </c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</row>
    <row r="286" spans="1:26" ht="19.5">
      <c r="A286" s="949"/>
      <c r="B286" s="950"/>
      <c r="C286" s="946" t="s">
        <v>16</v>
      </c>
      <c r="D286" s="951" t="s">
        <v>38</v>
      </c>
      <c r="E286" s="952"/>
      <c r="F286" s="952"/>
      <c r="G286" s="953"/>
      <c r="H286" s="954"/>
      <c r="I286" s="944"/>
      <c r="J286" s="944"/>
      <c r="K286" s="945"/>
      <c r="L286" s="945"/>
      <c r="M286" s="945"/>
      <c r="N286" s="945"/>
      <c r="O286" s="945"/>
      <c r="P286" s="945"/>
    </row>
    <row r="287" spans="1:26" ht="18.75">
      <c r="A287" s="949"/>
      <c r="B287" s="950"/>
      <c r="C287" s="950"/>
      <c r="D287" s="961" t="s">
        <v>129</v>
      </c>
      <c r="E287" s="950"/>
      <c r="F287" s="957"/>
      <c r="G287" s="958"/>
      <c r="H287" s="777" t="s">
        <v>46</v>
      </c>
      <c r="I287" s="830">
        <f ca="1">IFERROR(__xludf.DUMMYFUNCTION("IMPORTRANGE(""https://docs.google.com/spreadsheets/d/1QqKyyYR6Q21VydFLVH3TRQUabQu_ym0Zz7PgGX0-kHA/edit?usp=sharing"",""แผน!EC23"")"),800)</f>
        <v>800</v>
      </c>
      <c r="J287" s="959">
        <v>800</v>
      </c>
      <c r="K287" s="945">
        <f t="shared" ref="K287:K288" ca="1" si="131">IF(I287&gt;0,J287*100/I287,0)</f>
        <v>100</v>
      </c>
      <c r="L287" s="945"/>
      <c r="M287" s="945"/>
      <c r="N287" s="945"/>
      <c r="O287" s="945"/>
      <c r="P287" s="945"/>
    </row>
    <row r="288" spans="1:26" ht="19.5">
      <c r="A288" s="949"/>
      <c r="B288" s="950"/>
      <c r="C288" s="950"/>
      <c r="D288" s="961" t="s">
        <v>130</v>
      </c>
      <c r="E288" s="950"/>
      <c r="F288" s="957"/>
      <c r="G288" s="958"/>
      <c r="H288" s="180" t="s">
        <v>35</v>
      </c>
      <c r="I288" s="966">
        <f ca="1">IFERROR(__xludf.DUMMYFUNCTION("IMPORTRANGE(""https://docs.google.com/spreadsheets/d/1QqKyyYR6Q21VydFLVH3TRQUabQu_ym0Zz7PgGX0-kHA/edit?usp=sharing"",""แผน!EB23"")"),80)</f>
        <v>80</v>
      </c>
      <c r="J288" s="966">
        <f ca="1">IF(AND(J291&gt;=I288,J294&gt;=I288),J294,0)</f>
        <v>80</v>
      </c>
      <c r="K288" s="1109">
        <f t="shared" ca="1" si="131"/>
        <v>100</v>
      </c>
      <c r="L288" s="945"/>
      <c r="M288" s="945"/>
      <c r="N288" s="945"/>
      <c r="O288" s="945"/>
      <c r="P288" s="945"/>
    </row>
    <row r="289" spans="1:26" ht="19.5">
      <c r="A289" s="949"/>
      <c r="B289" s="950"/>
      <c r="C289" s="950"/>
      <c r="D289" s="1110"/>
      <c r="E289" s="1111" t="s">
        <v>131</v>
      </c>
      <c r="F289" s="957"/>
      <c r="G289" s="958"/>
      <c r="H289" s="730"/>
      <c r="I289" s="944"/>
      <c r="J289" s="830"/>
      <c r="K289" s="945"/>
      <c r="L289" s="945"/>
      <c r="M289" s="945"/>
      <c r="N289" s="945"/>
      <c r="O289" s="945"/>
      <c r="P289" s="945"/>
    </row>
    <row r="290" spans="1:26" ht="19.5">
      <c r="A290" s="949"/>
      <c r="B290" s="950"/>
      <c r="C290" s="950"/>
      <c r="D290" s="1110"/>
      <c r="E290" s="961" t="s">
        <v>132</v>
      </c>
      <c r="F290" s="957"/>
      <c r="G290" s="958"/>
      <c r="H290" s="730" t="s">
        <v>35</v>
      </c>
      <c r="I290" s="944">
        <f ca="1">IFERROR(__xludf.DUMMYFUNCTION("IMPORTRANGE(""https://docs.google.com/spreadsheets/d/1QqKyyYR6Q21VydFLVH3TRQUabQu_ym0Zz7PgGX0-kHA/edit?usp=sharing"",""แผน!EB23"")"),80)</f>
        <v>80</v>
      </c>
      <c r="J290" s="959">
        <v>80</v>
      </c>
      <c r="K290" s="945">
        <f t="shared" ref="K290:K291" ca="1" si="132">IF(I290&gt;0,J290*100/I290,0)</f>
        <v>100</v>
      </c>
      <c r="L290" s="945"/>
      <c r="M290" s="945"/>
      <c r="N290" s="945"/>
      <c r="O290" s="945"/>
      <c r="P290" s="945"/>
    </row>
    <row r="291" spans="1:26" ht="19.5">
      <c r="A291" s="949"/>
      <c r="B291" s="950"/>
      <c r="C291" s="950"/>
      <c r="D291" s="957"/>
      <c r="E291" s="961" t="s">
        <v>133</v>
      </c>
      <c r="F291" s="957"/>
      <c r="G291" s="958"/>
      <c r="H291" s="730" t="s">
        <v>35</v>
      </c>
      <c r="I291" s="944">
        <f ca="1">IFERROR(__xludf.DUMMYFUNCTION("IMPORTRANGE(""https://docs.google.com/spreadsheets/d/1QqKyyYR6Q21VydFLVH3TRQUabQu_ym0Zz7PgGX0-kHA/edit?usp=sharing"",""แผน!EB23"")"),80)</f>
        <v>80</v>
      </c>
      <c r="J291" s="959">
        <v>80</v>
      </c>
      <c r="K291" s="945">
        <f t="shared" ca="1" si="132"/>
        <v>100</v>
      </c>
      <c r="L291" s="945"/>
      <c r="M291" s="945"/>
      <c r="N291" s="945"/>
      <c r="O291" s="945"/>
      <c r="P291" s="945"/>
    </row>
    <row r="292" spans="1:26" ht="19.5">
      <c r="A292" s="1112"/>
      <c r="B292" s="1113"/>
      <c r="C292" s="1113"/>
      <c r="D292" s="1114"/>
      <c r="E292" s="1115" t="s">
        <v>134</v>
      </c>
      <c r="F292" s="1034"/>
      <c r="G292" s="1035"/>
      <c r="H292" s="387"/>
      <c r="I292" s="1028"/>
      <c r="J292" s="937"/>
      <c r="K292" s="1029"/>
      <c r="L292" s="1029"/>
      <c r="M292" s="1029"/>
      <c r="N292" s="1029"/>
      <c r="O292" s="1029"/>
      <c r="P292" s="1029"/>
    </row>
    <row r="293" spans="1:26" ht="19.5">
      <c r="A293" s="949"/>
      <c r="B293" s="950"/>
      <c r="C293" s="950"/>
      <c r="D293" s="1110"/>
      <c r="E293" s="961" t="s">
        <v>132</v>
      </c>
      <c r="F293" s="957"/>
      <c r="G293" s="958"/>
      <c r="H293" s="730" t="s">
        <v>35</v>
      </c>
      <c r="I293" s="944">
        <f ca="1">IFERROR(__xludf.DUMMYFUNCTION("IMPORTRANGE(""https://docs.google.com/spreadsheets/d/1QqKyyYR6Q21VydFLVH3TRQUabQu_ym0Zz7PgGX0-kHA/edit?usp=sharing"",""แผน!EB23"")"),80)</f>
        <v>80</v>
      </c>
      <c r="J293" s="959">
        <v>80</v>
      </c>
      <c r="K293" s="945">
        <f t="shared" ref="K293:K294" ca="1" si="133">IF(I293&gt;0,J293*100/I293,0)</f>
        <v>100</v>
      </c>
      <c r="L293" s="945"/>
      <c r="M293" s="945"/>
      <c r="N293" s="945"/>
      <c r="O293" s="945"/>
      <c r="P293" s="945"/>
    </row>
    <row r="294" spans="1:26" ht="19.5">
      <c r="A294" s="1080"/>
      <c r="B294" s="1081"/>
      <c r="C294" s="1081"/>
      <c r="D294" s="1083"/>
      <c r="E294" s="1116" t="s">
        <v>136</v>
      </c>
      <c r="F294" s="1083"/>
      <c r="G294" s="1084"/>
      <c r="H294" s="391" t="s">
        <v>35</v>
      </c>
      <c r="I294" s="1117">
        <f ca="1">IFERROR(__xludf.DUMMYFUNCTION("IMPORTRANGE(""https://docs.google.com/spreadsheets/d/1QqKyyYR6Q21VydFLVH3TRQUabQu_ym0Zz7PgGX0-kHA/edit?usp=sharing"",""แผน!EB23"")"),80)</f>
        <v>80</v>
      </c>
      <c r="J294" s="1118">
        <v>80</v>
      </c>
      <c r="K294" s="1086">
        <f t="shared" ca="1" si="133"/>
        <v>100</v>
      </c>
      <c r="L294" s="1086"/>
      <c r="M294" s="1086"/>
      <c r="N294" s="1086"/>
      <c r="O294" s="1086"/>
      <c r="P294" s="1086"/>
    </row>
    <row r="295" spans="1:26" ht="19.5">
      <c r="A295" s="1119" t="s">
        <v>137</v>
      </c>
      <c r="B295" s="1120"/>
      <c r="C295" s="1120"/>
      <c r="D295" s="1120"/>
      <c r="E295" s="1121"/>
      <c r="F295" s="1121"/>
      <c r="G295" s="1122"/>
      <c r="H295" s="1123"/>
      <c r="I295" s="1124"/>
      <c r="J295" s="1124"/>
      <c r="K295" s="1125"/>
      <c r="L295" s="1125"/>
      <c r="M295" s="1125"/>
      <c r="N295" s="1125"/>
      <c r="O295" s="1125"/>
      <c r="P295" s="1125"/>
    </row>
    <row r="296" spans="1:26" ht="19.5">
      <c r="A296" s="1126" t="s">
        <v>138</v>
      </c>
      <c r="B296" s="1127"/>
      <c r="C296" s="1127"/>
      <c r="D296" s="1128"/>
      <c r="E296" s="1128"/>
      <c r="F296" s="1128"/>
      <c r="G296" s="1129"/>
      <c r="H296" s="1130"/>
      <c r="I296" s="1131"/>
      <c r="J296" s="1131"/>
      <c r="K296" s="1132"/>
      <c r="L296" s="1132"/>
      <c r="M296" s="1132"/>
      <c r="N296" s="1132"/>
      <c r="O296" s="1132"/>
      <c r="P296" s="1132"/>
    </row>
    <row r="297" spans="1:26" ht="19.5">
      <c r="A297" s="1133"/>
      <c r="B297" s="1134" t="s">
        <v>139</v>
      </c>
      <c r="C297" s="1135"/>
      <c r="D297" s="1135"/>
      <c r="E297" s="1135"/>
      <c r="F297" s="1135"/>
      <c r="G297" s="1136"/>
      <c r="H297" s="412" t="s">
        <v>35</v>
      </c>
      <c r="I297" s="1137">
        <f t="shared" ref="I297:J297" ca="1" si="134">I309</f>
        <v>25</v>
      </c>
      <c r="J297" s="1137">
        <f t="shared" si="134"/>
        <v>25</v>
      </c>
      <c r="K297" s="1138">
        <f ca="1">IF(I297&gt;0,J297*100/I297,0)</f>
        <v>100</v>
      </c>
      <c r="L297" s="1139"/>
      <c r="M297" s="1139"/>
      <c r="N297" s="1139"/>
      <c r="O297" s="1139"/>
      <c r="P297" s="1139"/>
    </row>
    <row r="298" spans="1:26" ht="19.5">
      <c r="A298" s="932"/>
      <c r="B298" s="933"/>
      <c r="C298" s="934" t="s">
        <v>16</v>
      </c>
      <c r="D298" s="935" t="s">
        <v>17</v>
      </c>
      <c r="E298" s="933"/>
      <c r="F298" s="933"/>
      <c r="G298" s="936"/>
      <c r="H298" s="152" t="s">
        <v>12</v>
      </c>
      <c r="I298" s="937"/>
      <c r="J298" s="937"/>
      <c r="K298" s="938"/>
      <c r="L298" s="939">
        <f t="shared" ref="L298:N298" ca="1" si="135">L299+L300</f>
        <v>101000</v>
      </c>
      <c r="M298" s="939">
        <f t="shared" ca="1" si="135"/>
        <v>78500</v>
      </c>
      <c r="N298" s="939">
        <f t="shared" ca="1" si="135"/>
        <v>60400</v>
      </c>
      <c r="O298" s="939">
        <f t="shared" ref="O298:O306" ca="1" si="136">IF(L298&gt;0,N298*100/L298,0)</f>
        <v>59.801980198019805</v>
      </c>
      <c r="P298" s="939">
        <f t="shared" ref="P298:P306" ca="1" si="137">IF(M298&gt;0,N298*100/M298,0)</f>
        <v>76.942675159235662</v>
      </c>
      <c r="Q298" s="818"/>
      <c r="R298" s="818"/>
      <c r="S298" s="818"/>
      <c r="T298" s="818"/>
      <c r="U298" s="818"/>
      <c r="V298" s="818"/>
      <c r="W298" s="818"/>
      <c r="X298" s="818"/>
      <c r="Y298" s="818"/>
      <c r="Z298" s="818"/>
    </row>
    <row r="299" spans="1:26" ht="18.75" hidden="1">
      <c r="A299" s="940"/>
      <c r="B299" s="833"/>
      <c r="C299" s="833"/>
      <c r="D299" s="833"/>
      <c r="E299" s="834" t="s">
        <v>18</v>
      </c>
      <c r="F299" s="833"/>
      <c r="G299" s="941"/>
      <c r="H299" s="158" t="s">
        <v>12</v>
      </c>
      <c r="I299" s="836"/>
      <c r="J299" s="836"/>
      <c r="K299" s="837"/>
      <c r="L299" s="837">
        <f t="shared" ref="L299:N300" si="138">L302+L305</f>
        <v>0</v>
      </c>
      <c r="M299" s="837">
        <f t="shared" si="138"/>
        <v>0</v>
      </c>
      <c r="N299" s="837">
        <f t="shared" si="138"/>
        <v>0</v>
      </c>
      <c r="O299" s="837">
        <f t="shared" si="136"/>
        <v>0</v>
      </c>
      <c r="P299" s="837">
        <f t="shared" si="137"/>
        <v>0</v>
      </c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</row>
    <row r="300" spans="1:26" ht="18.75" hidden="1">
      <c r="A300" s="940"/>
      <c r="B300" s="833"/>
      <c r="C300" s="833"/>
      <c r="D300" s="833"/>
      <c r="E300" s="834" t="s">
        <v>19</v>
      </c>
      <c r="F300" s="833"/>
      <c r="G300" s="941"/>
      <c r="H300" s="158" t="s">
        <v>12</v>
      </c>
      <c r="I300" s="836"/>
      <c r="J300" s="836"/>
      <c r="K300" s="837"/>
      <c r="L300" s="837">
        <f t="shared" ca="1" si="138"/>
        <v>101000</v>
      </c>
      <c r="M300" s="837">
        <f t="shared" ca="1" si="138"/>
        <v>78500</v>
      </c>
      <c r="N300" s="837">
        <f t="shared" ca="1" si="138"/>
        <v>60400</v>
      </c>
      <c r="O300" s="837">
        <f t="shared" ca="1" si="136"/>
        <v>59.801980198019805</v>
      </c>
      <c r="P300" s="837">
        <f t="shared" ca="1" si="137"/>
        <v>76.942675159235662</v>
      </c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</row>
    <row r="301" spans="1:26" ht="18.75">
      <c r="A301" s="942"/>
      <c r="B301" s="827"/>
      <c r="C301" s="943"/>
      <c r="D301" s="828" t="s">
        <v>20</v>
      </c>
      <c r="E301" s="827"/>
      <c r="F301" s="827"/>
      <c r="G301" s="829"/>
      <c r="H301" s="778" t="s">
        <v>12</v>
      </c>
      <c r="I301" s="944"/>
      <c r="J301" s="944"/>
      <c r="K301" s="945"/>
      <c r="L301" s="831">
        <f t="shared" ref="L301:N301" ca="1" si="139">L302+L303</f>
        <v>101000</v>
      </c>
      <c r="M301" s="831">
        <f t="shared" ca="1" si="139"/>
        <v>78500</v>
      </c>
      <c r="N301" s="831">
        <f t="shared" ca="1" si="139"/>
        <v>60400</v>
      </c>
      <c r="O301" s="831">
        <f t="shared" ca="1" si="136"/>
        <v>59.801980198019805</v>
      </c>
      <c r="P301" s="831">
        <f t="shared" ca="1" si="137"/>
        <v>76.942675159235662</v>
      </c>
      <c r="Q301" s="818"/>
      <c r="R301" s="818"/>
      <c r="S301" s="818"/>
      <c r="T301" s="818"/>
      <c r="U301" s="818"/>
      <c r="V301" s="818"/>
      <c r="W301" s="818"/>
      <c r="X301" s="818"/>
      <c r="Y301" s="818"/>
      <c r="Z301" s="818"/>
    </row>
    <row r="302" spans="1:26" ht="19.5" hidden="1">
      <c r="A302" s="940"/>
      <c r="B302" s="833"/>
      <c r="C302" s="946"/>
      <c r="D302" s="833"/>
      <c r="E302" s="834" t="s">
        <v>36</v>
      </c>
      <c r="F302" s="833"/>
      <c r="G302" s="941"/>
      <c r="H302" s="165" t="s">
        <v>12</v>
      </c>
      <c r="I302" s="947"/>
      <c r="J302" s="947"/>
      <c r="K302" s="948"/>
      <c r="L302" s="837">
        <v>0</v>
      </c>
      <c r="M302" s="837">
        <v>0</v>
      </c>
      <c r="N302" s="837">
        <v>0</v>
      </c>
      <c r="O302" s="837">
        <f t="shared" si="136"/>
        <v>0</v>
      </c>
      <c r="P302" s="837">
        <f t="shared" si="137"/>
        <v>0</v>
      </c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</row>
    <row r="303" spans="1:26" ht="19.5" hidden="1">
      <c r="A303" s="940"/>
      <c r="B303" s="833"/>
      <c r="C303" s="946"/>
      <c r="D303" s="833"/>
      <c r="E303" s="834" t="s">
        <v>37</v>
      </c>
      <c r="F303" s="833"/>
      <c r="G303" s="941"/>
      <c r="H303" s="165" t="s">
        <v>12</v>
      </c>
      <c r="I303" s="947"/>
      <c r="J303" s="947"/>
      <c r="K303" s="948"/>
      <c r="L303" s="837">
        <f ca="1">IFERROR(__xludf.DUMMYFUNCTION("IMPORTRANGE(""https://docs.google.com/spreadsheets/d/1MeEWN-I1oV_STSDYn1IFDPWt_1FKiwhDph83XaGc0o0/edit?usp=sharing"",""งบพรบ!DS23"")"),101000)</f>
        <v>101000</v>
      </c>
      <c r="M303" s="837">
        <f ca="1">IFERROR(__xludf.DUMMYFUNCTION("IMPORTRANGE(""https://docs.google.com/spreadsheets/d/1MeEWN-I1oV_STSDYn1IFDPWt_1FKiwhDph83XaGc0o0/edit?usp=sharing"",""งบพรบ!DX23"")"),78500)</f>
        <v>78500</v>
      </c>
      <c r="N303" s="837">
        <f ca="1">IFERROR(__xludf.DUMMYFUNCTION("IMPORTRANGE(""https://docs.google.com/spreadsheets/d/1MeEWN-I1oV_STSDYn1IFDPWt_1FKiwhDph83XaGc0o0/edit?usp=sharing"",""งบพรบ!DZ23"")"),60400)</f>
        <v>60400</v>
      </c>
      <c r="O303" s="837">
        <f t="shared" ca="1" si="136"/>
        <v>59.801980198019805</v>
      </c>
      <c r="P303" s="837">
        <f t="shared" ca="1" si="137"/>
        <v>76.942675159235662</v>
      </c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</row>
    <row r="304" spans="1:26" ht="18.75">
      <c r="A304" s="942"/>
      <c r="B304" s="827"/>
      <c r="C304" s="943"/>
      <c r="D304" s="828" t="s">
        <v>21</v>
      </c>
      <c r="E304" s="827"/>
      <c r="F304" s="827"/>
      <c r="G304" s="829"/>
      <c r="H304" s="168" t="s">
        <v>12</v>
      </c>
      <c r="I304" s="944"/>
      <c r="J304" s="944"/>
      <c r="K304" s="945"/>
      <c r="L304" s="831">
        <f t="shared" ref="L304:N304" ca="1" si="140">L305+L306</f>
        <v>0</v>
      </c>
      <c r="M304" s="831">
        <f t="shared" ca="1" si="140"/>
        <v>0</v>
      </c>
      <c r="N304" s="831">
        <f t="shared" ca="1" si="140"/>
        <v>0</v>
      </c>
      <c r="O304" s="831">
        <f t="shared" ca="1" si="136"/>
        <v>0</v>
      </c>
      <c r="P304" s="831">
        <f t="shared" ca="1" si="137"/>
        <v>0</v>
      </c>
      <c r="Q304" s="818"/>
      <c r="R304" s="818"/>
      <c r="S304" s="818"/>
      <c r="T304" s="818"/>
      <c r="U304" s="818"/>
      <c r="V304" s="818"/>
      <c r="W304" s="818"/>
      <c r="X304" s="818"/>
      <c r="Y304" s="818"/>
      <c r="Z304" s="818"/>
    </row>
    <row r="305" spans="1:26" ht="19.5" hidden="1">
      <c r="A305" s="940"/>
      <c r="B305" s="833"/>
      <c r="C305" s="946"/>
      <c r="D305" s="833"/>
      <c r="E305" s="834" t="s">
        <v>18</v>
      </c>
      <c r="F305" s="833"/>
      <c r="G305" s="941"/>
      <c r="H305" s="165" t="s">
        <v>12</v>
      </c>
      <c r="I305" s="947"/>
      <c r="J305" s="947"/>
      <c r="K305" s="948"/>
      <c r="L305" s="837">
        <v>0</v>
      </c>
      <c r="M305" s="837">
        <v>0</v>
      </c>
      <c r="N305" s="837">
        <v>0</v>
      </c>
      <c r="O305" s="837">
        <f t="shared" si="136"/>
        <v>0</v>
      </c>
      <c r="P305" s="837">
        <f t="shared" si="137"/>
        <v>0</v>
      </c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</row>
    <row r="306" spans="1:26" ht="19.5" hidden="1">
      <c r="A306" s="940"/>
      <c r="B306" s="833"/>
      <c r="C306" s="946"/>
      <c r="D306" s="833"/>
      <c r="E306" s="834" t="s">
        <v>19</v>
      </c>
      <c r="F306" s="833"/>
      <c r="G306" s="941"/>
      <c r="H306" s="169" t="s">
        <v>12</v>
      </c>
      <c r="I306" s="947"/>
      <c r="J306" s="947"/>
      <c r="K306" s="948"/>
      <c r="L306" s="837">
        <f ca="1">IFERROR(__xludf.DUMMYFUNCTION("IMPORTRANGE(""https://docs.google.com/spreadsheets/d/1MeEWN-I1oV_STSDYn1IFDPWt_1FKiwhDph83XaGc0o0/edit?usp=sharing"",""งบพรบ!DV23"")"),0)</f>
        <v>0</v>
      </c>
      <c r="M306" s="837">
        <f ca="1">IFERROR(__xludf.DUMMYFUNCTION("IMPORTRANGE(""https://docs.google.com/spreadsheets/d/1MeEWN-I1oV_STSDYn1IFDPWt_1FKiwhDph83XaGc0o0/edit?usp=sharing"",""งบพรบ!DY23"")"),0)</f>
        <v>0</v>
      </c>
      <c r="N306" s="837">
        <f ca="1">IFERROR(__xludf.DUMMYFUNCTION("IMPORTRANGE(""https://docs.google.com/spreadsheets/d/1MeEWN-I1oV_STSDYn1IFDPWt_1FKiwhDph83XaGc0o0/edit?usp=sharing"",""งบพรบ!EA23"")"),0)</f>
        <v>0</v>
      </c>
      <c r="O306" s="837">
        <f t="shared" ca="1" si="136"/>
        <v>0</v>
      </c>
      <c r="P306" s="837">
        <f t="shared" ca="1" si="137"/>
        <v>0</v>
      </c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</row>
    <row r="307" spans="1:26" ht="19.5">
      <c r="A307" s="949"/>
      <c r="B307" s="950"/>
      <c r="C307" s="946" t="s">
        <v>16</v>
      </c>
      <c r="D307" s="951" t="s">
        <v>38</v>
      </c>
      <c r="E307" s="952"/>
      <c r="F307" s="952"/>
      <c r="G307" s="953"/>
      <c r="H307" s="954"/>
      <c r="I307" s="830"/>
      <c r="J307" s="830"/>
      <c r="K307" s="831"/>
      <c r="L307" s="831"/>
      <c r="M307" s="831"/>
      <c r="N307" s="831"/>
      <c r="O307" s="831"/>
      <c r="P307" s="831"/>
    </row>
    <row r="308" spans="1:26" ht="18.75">
      <c r="A308" s="949"/>
      <c r="B308" s="950"/>
      <c r="C308" s="950"/>
      <c r="D308" s="956" t="s">
        <v>140</v>
      </c>
      <c r="E308" s="956"/>
      <c r="F308" s="956"/>
      <c r="G308" s="958"/>
      <c r="H308" s="730"/>
      <c r="I308" s="830"/>
      <c r="J308" s="959">
        <v>1</v>
      </c>
      <c r="K308" s="831"/>
      <c r="L308" s="831"/>
      <c r="M308" s="831"/>
      <c r="N308" s="831"/>
      <c r="O308" s="831"/>
      <c r="P308" s="831"/>
    </row>
    <row r="309" spans="1:26" ht="18.75">
      <c r="A309" s="949"/>
      <c r="B309" s="950"/>
      <c r="C309" s="950"/>
      <c r="D309" s="956" t="s">
        <v>141</v>
      </c>
      <c r="E309" s="956"/>
      <c r="F309" s="956"/>
      <c r="G309" s="958"/>
      <c r="H309" s="730" t="s">
        <v>35</v>
      </c>
      <c r="I309" s="830">
        <f ca="1">IFERROR(__xludf.DUMMYFUNCTION("IMPORTRANGE(""https://docs.google.com/spreadsheets/d/1QqKyyYR6Q21VydFLVH3TRQUabQu_ym0Zz7PgGX0-kHA/edit?usp=sharing"",""แผน!ED23"")"),25)</f>
        <v>25</v>
      </c>
      <c r="J309" s="959">
        <v>25</v>
      </c>
      <c r="K309" s="831">
        <f t="shared" ref="K309:K312" ca="1" si="141">IF(I309&gt;0,J309*100/I309,0)</f>
        <v>100</v>
      </c>
      <c r="L309" s="831"/>
      <c r="M309" s="831"/>
      <c r="N309" s="831"/>
      <c r="O309" s="831"/>
      <c r="P309" s="831"/>
    </row>
    <row r="310" spans="1:26" ht="18.75">
      <c r="A310" s="949"/>
      <c r="B310" s="950"/>
      <c r="C310" s="950"/>
      <c r="D310" s="956" t="s">
        <v>142</v>
      </c>
      <c r="E310" s="956"/>
      <c r="F310" s="956"/>
      <c r="G310" s="958"/>
      <c r="H310" s="730" t="s">
        <v>35</v>
      </c>
      <c r="I310" s="830">
        <f ca="1">IFERROR(__xludf.DUMMYFUNCTION("IMPORTRANGE(""https://docs.google.com/spreadsheets/d/1QqKyyYR6Q21VydFLVH3TRQUabQu_ym0Zz7PgGX0-kHA/edit?usp=sharing"",""แผน!ED23"")"),25)</f>
        <v>25</v>
      </c>
      <c r="J310" s="959">
        <v>25</v>
      </c>
      <c r="K310" s="831">
        <f t="shared" ca="1" si="141"/>
        <v>100</v>
      </c>
      <c r="L310" s="831"/>
      <c r="M310" s="831"/>
      <c r="N310" s="831"/>
      <c r="O310" s="831"/>
      <c r="P310" s="831"/>
    </row>
    <row r="311" spans="1:26" ht="18.75">
      <c r="A311" s="949"/>
      <c r="B311" s="950"/>
      <c r="C311" s="950"/>
      <c r="D311" s="956" t="s">
        <v>59</v>
      </c>
      <c r="E311" s="956"/>
      <c r="F311" s="956"/>
      <c r="G311" s="958"/>
      <c r="H311" s="730" t="s">
        <v>35</v>
      </c>
      <c r="I311" s="830">
        <f ca="1">IFERROR(__xludf.DUMMYFUNCTION("IMPORTRANGE(""https://docs.google.com/spreadsheets/d/1QqKyyYR6Q21VydFLVH3TRQUabQu_ym0Zz7PgGX0-kHA/edit?usp=sharing"",""แผน!ED23"")"),25)</f>
        <v>25</v>
      </c>
      <c r="J311" s="959">
        <v>0</v>
      </c>
      <c r="K311" s="831">
        <f t="shared" ca="1" si="141"/>
        <v>0</v>
      </c>
      <c r="L311" s="831"/>
      <c r="M311" s="831"/>
      <c r="N311" s="831"/>
      <c r="O311" s="831"/>
      <c r="P311" s="831"/>
    </row>
    <row r="312" spans="1:26" ht="18.75">
      <c r="A312" s="949"/>
      <c r="B312" s="950"/>
      <c r="C312" s="950"/>
      <c r="D312" s="956" t="s">
        <v>143</v>
      </c>
      <c r="E312" s="956"/>
      <c r="F312" s="956"/>
      <c r="G312" s="958"/>
      <c r="H312" s="730" t="s">
        <v>35</v>
      </c>
      <c r="I312" s="830">
        <f ca="1">IFERROR(__xludf.DUMMYFUNCTION("IMPORTRANGE(""https://docs.google.com/spreadsheets/d/1QqKyyYR6Q21VydFLVH3TRQUabQu_ym0Zz7PgGX0-kHA/edit?usp=sharing"",""แผน!EE23"")"),5)</f>
        <v>5</v>
      </c>
      <c r="J312" s="959">
        <v>5</v>
      </c>
      <c r="K312" s="831">
        <f t="shared" ca="1" si="141"/>
        <v>100</v>
      </c>
      <c r="L312" s="831"/>
      <c r="M312" s="831"/>
      <c r="N312" s="831"/>
      <c r="O312" s="831"/>
      <c r="P312" s="831"/>
    </row>
    <row r="313" spans="1:26" ht="19.5" hidden="1">
      <c r="A313" s="1126" t="s">
        <v>144</v>
      </c>
      <c r="B313" s="1127"/>
      <c r="C313" s="1127"/>
      <c r="D313" s="1128"/>
      <c r="E313" s="1127"/>
      <c r="F313" s="1127"/>
      <c r="G313" s="1127"/>
      <c r="H313" s="1140"/>
      <c r="I313" s="1131"/>
      <c r="J313" s="1131"/>
      <c r="K313" s="1132"/>
      <c r="L313" s="1132"/>
      <c r="M313" s="1132"/>
      <c r="N313" s="1132"/>
      <c r="O313" s="1132"/>
      <c r="P313" s="1132"/>
    </row>
    <row r="314" spans="1:26" ht="19.5" hidden="1">
      <c r="A314" s="1141"/>
      <c r="B314" s="1134" t="s">
        <v>145</v>
      </c>
      <c r="C314" s="1142"/>
      <c r="D314" s="1143"/>
      <c r="E314" s="1135"/>
      <c r="F314" s="1135"/>
      <c r="G314" s="1136"/>
      <c r="H314" s="412" t="s">
        <v>146</v>
      </c>
      <c r="I314" s="1137">
        <f t="shared" ref="I314:J314" ca="1" si="142">I325</f>
        <v>0</v>
      </c>
      <c r="J314" s="1137">
        <f t="shared" si="142"/>
        <v>0</v>
      </c>
      <c r="K314" s="1138">
        <f ca="1">IF(I314&gt;0,J314*100/I314,0)</f>
        <v>0</v>
      </c>
      <c r="L314" s="1139"/>
      <c r="M314" s="1139"/>
      <c r="N314" s="1139"/>
      <c r="O314" s="1139"/>
      <c r="P314" s="1139"/>
    </row>
    <row r="315" spans="1:26" ht="19.5" hidden="1">
      <c r="A315" s="932"/>
      <c r="B315" s="933"/>
      <c r="C315" s="934" t="s">
        <v>16</v>
      </c>
      <c r="D315" s="935" t="s">
        <v>17</v>
      </c>
      <c r="E315" s="933"/>
      <c r="F315" s="933"/>
      <c r="G315" s="936"/>
      <c r="H315" s="152" t="s">
        <v>12</v>
      </c>
      <c r="I315" s="937"/>
      <c r="J315" s="937"/>
      <c r="K315" s="938"/>
      <c r="L315" s="939">
        <f t="shared" ref="L315:N315" ca="1" si="143">L316+L317</f>
        <v>0</v>
      </c>
      <c r="M315" s="939">
        <f t="shared" ca="1" si="143"/>
        <v>0</v>
      </c>
      <c r="N315" s="939">
        <f t="shared" ca="1" si="143"/>
        <v>0</v>
      </c>
      <c r="O315" s="939">
        <f t="shared" ref="O315:O323" ca="1" si="144">IF(L315&gt;0,N315*100/L315,0)</f>
        <v>0</v>
      </c>
      <c r="P315" s="939">
        <f t="shared" ref="P315:P323" ca="1" si="145">IF(M315&gt;0,N315*100/M315,0)</f>
        <v>0</v>
      </c>
      <c r="Q315" s="818"/>
      <c r="R315" s="818"/>
      <c r="S315" s="818"/>
      <c r="T315" s="818"/>
      <c r="U315" s="818"/>
      <c r="V315" s="818"/>
      <c r="W315" s="818"/>
      <c r="X315" s="818"/>
      <c r="Y315" s="818"/>
      <c r="Z315" s="818"/>
    </row>
    <row r="316" spans="1:26" ht="18.75" hidden="1">
      <c r="A316" s="940"/>
      <c r="B316" s="833"/>
      <c r="C316" s="833"/>
      <c r="D316" s="833"/>
      <c r="E316" s="834" t="s">
        <v>18</v>
      </c>
      <c r="F316" s="833"/>
      <c r="G316" s="941"/>
      <c r="H316" s="158" t="s">
        <v>12</v>
      </c>
      <c r="I316" s="836"/>
      <c r="J316" s="836"/>
      <c r="K316" s="837"/>
      <c r="L316" s="837">
        <f t="shared" ref="L316:N317" si="146">L319+L322</f>
        <v>0</v>
      </c>
      <c r="M316" s="837">
        <f t="shared" si="146"/>
        <v>0</v>
      </c>
      <c r="N316" s="837">
        <f t="shared" si="146"/>
        <v>0</v>
      </c>
      <c r="O316" s="837">
        <f t="shared" si="144"/>
        <v>0</v>
      </c>
      <c r="P316" s="837">
        <f t="shared" si="145"/>
        <v>0</v>
      </c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</row>
    <row r="317" spans="1:26" ht="18.75" hidden="1">
      <c r="A317" s="940"/>
      <c r="B317" s="833"/>
      <c r="C317" s="833"/>
      <c r="D317" s="833"/>
      <c r="E317" s="834" t="s">
        <v>19</v>
      </c>
      <c r="F317" s="833"/>
      <c r="G317" s="941"/>
      <c r="H317" s="158" t="s">
        <v>12</v>
      </c>
      <c r="I317" s="836"/>
      <c r="J317" s="836"/>
      <c r="K317" s="837"/>
      <c r="L317" s="837">
        <f t="shared" ca="1" si="146"/>
        <v>0</v>
      </c>
      <c r="M317" s="837">
        <f t="shared" ca="1" si="146"/>
        <v>0</v>
      </c>
      <c r="N317" s="837">
        <f t="shared" ca="1" si="146"/>
        <v>0</v>
      </c>
      <c r="O317" s="837">
        <f t="shared" ca="1" si="144"/>
        <v>0</v>
      </c>
      <c r="P317" s="837">
        <f t="shared" ca="1" si="145"/>
        <v>0</v>
      </c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</row>
    <row r="318" spans="1:26" ht="18.75" hidden="1">
      <c r="A318" s="942"/>
      <c r="B318" s="827"/>
      <c r="C318" s="943"/>
      <c r="D318" s="828" t="s">
        <v>20</v>
      </c>
      <c r="E318" s="827"/>
      <c r="F318" s="827"/>
      <c r="G318" s="829"/>
      <c r="H318" s="778" t="s">
        <v>12</v>
      </c>
      <c r="I318" s="944"/>
      <c r="J318" s="944"/>
      <c r="K318" s="945"/>
      <c r="L318" s="831">
        <f t="shared" ref="L318:N318" ca="1" si="147">L319+L320</f>
        <v>0</v>
      </c>
      <c r="M318" s="831">
        <f t="shared" ca="1" si="147"/>
        <v>0</v>
      </c>
      <c r="N318" s="831">
        <f t="shared" ca="1" si="147"/>
        <v>0</v>
      </c>
      <c r="O318" s="831">
        <f t="shared" ca="1" si="144"/>
        <v>0</v>
      </c>
      <c r="P318" s="831">
        <f t="shared" ca="1" si="145"/>
        <v>0</v>
      </c>
      <c r="Q318" s="818"/>
      <c r="R318" s="818"/>
      <c r="S318" s="818"/>
      <c r="T318" s="818"/>
      <c r="U318" s="818"/>
      <c r="V318" s="818"/>
      <c r="W318" s="818"/>
      <c r="X318" s="818"/>
      <c r="Y318" s="818"/>
      <c r="Z318" s="818"/>
    </row>
    <row r="319" spans="1:26" ht="19.5" hidden="1">
      <c r="A319" s="940"/>
      <c r="B319" s="833"/>
      <c r="C319" s="946"/>
      <c r="D319" s="833"/>
      <c r="E319" s="834" t="s">
        <v>36</v>
      </c>
      <c r="F319" s="833"/>
      <c r="G319" s="941"/>
      <c r="H319" s="165" t="s">
        <v>12</v>
      </c>
      <c r="I319" s="947"/>
      <c r="J319" s="947"/>
      <c r="K319" s="948"/>
      <c r="L319" s="837">
        <v>0</v>
      </c>
      <c r="M319" s="837">
        <v>0</v>
      </c>
      <c r="N319" s="837">
        <v>0</v>
      </c>
      <c r="O319" s="837">
        <f t="shared" si="144"/>
        <v>0</v>
      </c>
      <c r="P319" s="837">
        <f t="shared" si="145"/>
        <v>0</v>
      </c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</row>
    <row r="320" spans="1:26" ht="19.5" hidden="1">
      <c r="A320" s="940"/>
      <c r="B320" s="833"/>
      <c r="C320" s="946"/>
      <c r="D320" s="833"/>
      <c r="E320" s="834" t="s">
        <v>37</v>
      </c>
      <c r="F320" s="833"/>
      <c r="G320" s="941"/>
      <c r="H320" s="165" t="s">
        <v>12</v>
      </c>
      <c r="I320" s="947"/>
      <c r="J320" s="947"/>
      <c r="K320" s="948"/>
      <c r="L320" s="837">
        <f ca="1">IFERROR(__xludf.DUMMYFUNCTION("IMPORTRANGE(""https://docs.google.com/spreadsheets/d/1MeEWN-I1oV_STSDYn1IFDPWt_1FKiwhDph83XaGc0o0/edit?usp=sharing"",""งบพรบ!EC23"")"),0)</f>
        <v>0</v>
      </c>
      <c r="M320" s="837">
        <f ca="1">IFERROR(__xludf.DUMMYFUNCTION("IMPORTRANGE(""https://docs.google.com/spreadsheets/d/1MeEWN-I1oV_STSDYn1IFDPWt_1FKiwhDph83XaGc0o0/edit?usp=sharing"",""งบพรบ!EH23"")"),0)</f>
        <v>0</v>
      </c>
      <c r="N320" s="837">
        <f ca="1">IFERROR(__xludf.DUMMYFUNCTION("IMPORTRANGE(""https://docs.google.com/spreadsheets/d/1MeEWN-I1oV_STSDYn1IFDPWt_1FKiwhDph83XaGc0o0/edit?usp=sharing"",""งบพรบ!EJ23"")"),0)</f>
        <v>0</v>
      </c>
      <c r="O320" s="837">
        <f t="shared" ca="1" si="144"/>
        <v>0</v>
      </c>
      <c r="P320" s="837">
        <f t="shared" ca="1" si="145"/>
        <v>0</v>
      </c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</row>
    <row r="321" spans="1:26" ht="18.75" hidden="1">
      <c r="A321" s="942"/>
      <c r="B321" s="827"/>
      <c r="C321" s="943"/>
      <c r="D321" s="828" t="s">
        <v>21</v>
      </c>
      <c r="E321" s="827"/>
      <c r="F321" s="827"/>
      <c r="G321" s="829"/>
      <c r="H321" s="168" t="s">
        <v>12</v>
      </c>
      <c r="I321" s="944"/>
      <c r="J321" s="944"/>
      <c r="K321" s="945"/>
      <c r="L321" s="831">
        <f t="shared" ref="L321:N321" ca="1" si="148">L322+L323</f>
        <v>0</v>
      </c>
      <c r="M321" s="831">
        <f t="shared" ca="1" si="148"/>
        <v>0</v>
      </c>
      <c r="N321" s="831">
        <f t="shared" ca="1" si="148"/>
        <v>0</v>
      </c>
      <c r="O321" s="831">
        <f t="shared" ca="1" si="144"/>
        <v>0</v>
      </c>
      <c r="P321" s="831">
        <f t="shared" ca="1" si="145"/>
        <v>0</v>
      </c>
      <c r="Q321" s="818"/>
      <c r="R321" s="818"/>
      <c r="S321" s="818"/>
      <c r="T321" s="818"/>
      <c r="U321" s="818"/>
      <c r="V321" s="818"/>
      <c r="W321" s="818"/>
      <c r="X321" s="818"/>
      <c r="Y321" s="818"/>
      <c r="Z321" s="818"/>
    </row>
    <row r="322" spans="1:26" ht="19.5" hidden="1">
      <c r="A322" s="940"/>
      <c r="B322" s="833"/>
      <c r="C322" s="946"/>
      <c r="D322" s="833"/>
      <c r="E322" s="834" t="s">
        <v>18</v>
      </c>
      <c r="F322" s="833"/>
      <c r="G322" s="941"/>
      <c r="H322" s="165" t="s">
        <v>12</v>
      </c>
      <c r="I322" s="947"/>
      <c r="J322" s="947"/>
      <c r="K322" s="948"/>
      <c r="L322" s="837">
        <v>0</v>
      </c>
      <c r="M322" s="837">
        <v>0</v>
      </c>
      <c r="N322" s="837">
        <v>0</v>
      </c>
      <c r="O322" s="837">
        <f t="shared" si="144"/>
        <v>0</v>
      </c>
      <c r="P322" s="837">
        <f t="shared" si="145"/>
        <v>0</v>
      </c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</row>
    <row r="323" spans="1:26" ht="19.5" hidden="1">
      <c r="A323" s="940"/>
      <c r="B323" s="833"/>
      <c r="C323" s="946"/>
      <c r="D323" s="833"/>
      <c r="E323" s="834" t="s">
        <v>19</v>
      </c>
      <c r="F323" s="833"/>
      <c r="G323" s="941"/>
      <c r="H323" s="169" t="s">
        <v>12</v>
      </c>
      <c r="I323" s="947"/>
      <c r="J323" s="947"/>
      <c r="K323" s="948"/>
      <c r="L323" s="837">
        <f ca="1">IFERROR(__xludf.DUMMYFUNCTION("IMPORTRANGE(""https://docs.google.com/spreadsheets/d/1MeEWN-I1oV_STSDYn1IFDPWt_1FKiwhDph83XaGc0o0/edit?usp=sharing"",""งบพรบ!EF23"")"),0)</f>
        <v>0</v>
      </c>
      <c r="M323" s="837">
        <f ca="1">IFERROR(__xludf.DUMMYFUNCTION("IMPORTRANGE(""https://docs.google.com/spreadsheets/d/1MeEWN-I1oV_STSDYn1IFDPWt_1FKiwhDph83XaGc0o0/edit?usp=sharing"",""งบพรบ!EI23"")"),0)</f>
        <v>0</v>
      </c>
      <c r="N323" s="837">
        <f ca="1">IFERROR(__xludf.DUMMYFUNCTION("IMPORTRANGE(""https://docs.google.com/spreadsheets/d/1MeEWN-I1oV_STSDYn1IFDPWt_1FKiwhDph83XaGc0o0/edit?usp=sharing"",""งบพรบ!EK23"")"),0)</f>
        <v>0</v>
      </c>
      <c r="O323" s="837">
        <f t="shared" ca="1" si="144"/>
        <v>0</v>
      </c>
      <c r="P323" s="837">
        <f t="shared" ca="1" si="145"/>
        <v>0</v>
      </c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</row>
    <row r="324" spans="1:26" ht="19.5" hidden="1">
      <c r="A324" s="949"/>
      <c r="B324" s="950"/>
      <c r="C324" s="946" t="s">
        <v>16</v>
      </c>
      <c r="D324" s="951" t="s">
        <v>38</v>
      </c>
      <c r="E324" s="952"/>
      <c r="F324" s="952"/>
      <c r="G324" s="953"/>
      <c r="H324" s="954"/>
      <c r="I324" s="944"/>
      <c r="J324" s="830"/>
      <c r="K324" s="831"/>
      <c r="L324" s="831"/>
      <c r="M324" s="831"/>
      <c r="N324" s="831"/>
      <c r="O324" s="945"/>
      <c r="P324" s="945"/>
    </row>
    <row r="325" spans="1:26" ht="18.75" hidden="1">
      <c r="A325" s="949"/>
      <c r="B325" s="950"/>
      <c r="C325" s="950"/>
      <c r="D325" s="955" t="s">
        <v>147</v>
      </c>
      <c r="E325" s="957"/>
      <c r="F325" s="956"/>
      <c r="G325" s="958"/>
      <c r="H325" s="590" t="s">
        <v>146</v>
      </c>
      <c r="I325" s="830">
        <f ca="1">IFERROR(__xludf.DUMMYFUNCTION("IMPORTRANGE(""https://docs.google.com/spreadsheets/d/1QqKyyYR6Q21VydFLVH3TRQUabQu_ym0Zz7PgGX0-kHA/edit?usp=sharing"",""แผน!EF23"")"),0)</f>
        <v>0</v>
      </c>
      <c r="J325" s="959">
        <v>0</v>
      </c>
      <c r="K325" s="831">
        <f ca="1">IF(I325&gt;0,J325*100/I325,0)</f>
        <v>0</v>
      </c>
      <c r="L325" s="831"/>
      <c r="M325" s="831"/>
      <c r="N325" s="831"/>
      <c r="O325" s="945"/>
      <c r="P325" s="945"/>
    </row>
    <row r="326" spans="1:26" ht="19.5">
      <c r="A326" s="1126" t="s">
        <v>148</v>
      </c>
      <c r="B326" s="1127"/>
      <c r="C326" s="1127"/>
      <c r="D326" s="1128"/>
      <c r="E326" s="1127"/>
      <c r="F326" s="1127"/>
      <c r="G326" s="1127"/>
      <c r="H326" s="1140"/>
      <c r="I326" s="1131"/>
      <c r="J326" s="1131"/>
      <c r="K326" s="1132"/>
      <c r="L326" s="1132"/>
      <c r="M326" s="1132"/>
      <c r="N326" s="1132"/>
      <c r="O326" s="1132"/>
      <c r="P326" s="1132"/>
    </row>
    <row r="327" spans="1:26" ht="19.5">
      <c r="A327" s="1133"/>
      <c r="B327" s="1134" t="s">
        <v>149</v>
      </c>
      <c r="C327" s="1143"/>
      <c r="D327" s="1135"/>
      <c r="E327" s="1135"/>
      <c r="F327" s="1135"/>
      <c r="G327" s="1136"/>
      <c r="H327" s="412" t="s">
        <v>35</v>
      </c>
      <c r="I327" s="1137">
        <f ca="1">IFERROR(__xludf.DUMMYFUNCTION("IMPORTRANGE(""https://docs.google.com/spreadsheets/d/1QqKyyYR6Q21VydFLVH3TRQUabQu_ym0Zz7PgGX0-kHA/edit?usp=sharing"",""แผน!EG23"")"),7600)</f>
        <v>7600</v>
      </c>
      <c r="J327" s="1137">
        <f ca="1">J338+J341+J342+J343</f>
        <v>5257</v>
      </c>
      <c r="K327" s="1138">
        <f ca="1">IF(I327&gt;0,J327*100/I327,0)</f>
        <v>69.171052631578945</v>
      </c>
      <c r="L327" s="1139"/>
      <c r="M327" s="1139"/>
      <c r="N327" s="1139"/>
      <c r="O327" s="1139"/>
      <c r="P327" s="1139"/>
    </row>
    <row r="328" spans="1:26" ht="19.5">
      <c r="A328" s="932"/>
      <c r="B328" s="933"/>
      <c r="C328" s="934" t="s">
        <v>16</v>
      </c>
      <c r="D328" s="935" t="s">
        <v>17</v>
      </c>
      <c r="E328" s="933"/>
      <c r="F328" s="933"/>
      <c r="G328" s="936"/>
      <c r="H328" s="152" t="s">
        <v>12</v>
      </c>
      <c r="I328" s="937"/>
      <c r="J328" s="937"/>
      <c r="K328" s="938"/>
      <c r="L328" s="939">
        <f t="shared" ref="L328:N328" ca="1" si="149">L329+L330</f>
        <v>182000</v>
      </c>
      <c r="M328" s="939">
        <f t="shared" ca="1" si="149"/>
        <v>139000</v>
      </c>
      <c r="N328" s="939">
        <f t="shared" ca="1" si="149"/>
        <v>70220</v>
      </c>
      <c r="O328" s="939">
        <f t="shared" ref="O328:O336" ca="1" si="150">IF(L328&gt;0,N328*100/L328,0)</f>
        <v>38.582417582417584</v>
      </c>
      <c r="P328" s="939">
        <f t="shared" ref="P328:P336" ca="1" si="151">IF(M328&gt;0,N328*100/M328,0)</f>
        <v>50.517985611510788</v>
      </c>
      <c r="Q328" s="818"/>
      <c r="R328" s="818"/>
      <c r="S328" s="818"/>
      <c r="T328" s="818"/>
      <c r="U328" s="818"/>
      <c r="V328" s="818"/>
      <c r="W328" s="818"/>
      <c r="X328" s="818"/>
      <c r="Y328" s="818"/>
      <c r="Z328" s="818"/>
    </row>
    <row r="329" spans="1:26" ht="18.75" hidden="1">
      <c r="A329" s="940"/>
      <c r="B329" s="833"/>
      <c r="C329" s="833"/>
      <c r="D329" s="833"/>
      <c r="E329" s="834" t="s">
        <v>18</v>
      </c>
      <c r="F329" s="833"/>
      <c r="G329" s="941"/>
      <c r="H329" s="158" t="s">
        <v>12</v>
      </c>
      <c r="I329" s="836"/>
      <c r="J329" s="836"/>
      <c r="K329" s="837"/>
      <c r="L329" s="837">
        <f t="shared" ref="L329:N330" si="152">L332+L335</f>
        <v>0</v>
      </c>
      <c r="M329" s="837">
        <f t="shared" si="152"/>
        <v>0</v>
      </c>
      <c r="N329" s="837">
        <f t="shared" si="152"/>
        <v>0</v>
      </c>
      <c r="O329" s="837">
        <f t="shared" si="150"/>
        <v>0</v>
      </c>
      <c r="P329" s="837">
        <f t="shared" si="151"/>
        <v>0</v>
      </c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</row>
    <row r="330" spans="1:26" ht="18.75" hidden="1">
      <c r="A330" s="940"/>
      <c r="B330" s="833"/>
      <c r="C330" s="833"/>
      <c r="D330" s="833"/>
      <c r="E330" s="834" t="s">
        <v>19</v>
      </c>
      <c r="F330" s="833"/>
      <c r="G330" s="941"/>
      <c r="H330" s="158" t="s">
        <v>12</v>
      </c>
      <c r="I330" s="836"/>
      <c r="J330" s="836"/>
      <c r="K330" s="837"/>
      <c r="L330" s="837">
        <f t="shared" ca="1" si="152"/>
        <v>182000</v>
      </c>
      <c r="M330" s="837">
        <f t="shared" ca="1" si="152"/>
        <v>139000</v>
      </c>
      <c r="N330" s="837">
        <f t="shared" ca="1" si="152"/>
        <v>70220</v>
      </c>
      <c r="O330" s="837">
        <f t="shared" ca="1" si="150"/>
        <v>38.582417582417584</v>
      </c>
      <c r="P330" s="837">
        <f t="shared" ca="1" si="151"/>
        <v>50.517985611510788</v>
      </c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</row>
    <row r="331" spans="1:26" ht="18.75">
      <c r="A331" s="942"/>
      <c r="B331" s="827"/>
      <c r="C331" s="943"/>
      <c r="D331" s="828" t="s">
        <v>20</v>
      </c>
      <c r="E331" s="827"/>
      <c r="F331" s="827"/>
      <c r="G331" s="829"/>
      <c r="H331" s="778" t="s">
        <v>12</v>
      </c>
      <c r="I331" s="944"/>
      <c r="J331" s="944"/>
      <c r="K331" s="945"/>
      <c r="L331" s="831">
        <f t="shared" ref="L331:N331" ca="1" si="153">L332+L333</f>
        <v>182000</v>
      </c>
      <c r="M331" s="831">
        <f t="shared" ca="1" si="153"/>
        <v>139000</v>
      </c>
      <c r="N331" s="831">
        <f t="shared" ca="1" si="153"/>
        <v>70220</v>
      </c>
      <c r="O331" s="831">
        <f t="shared" ca="1" si="150"/>
        <v>38.582417582417584</v>
      </c>
      <c r="P331" s="831">
        <f t="shared" ca="1" si="151"/>
        <v>50.517985611510788</v>
      </c>
      <c r="Q331" s="818"/>
      <c r="R331" s="818"/>
      <c r="S331" s="818"/>
      <c r="T331" s="818"/>
      <c r="U331" s="818"/>
      <c r="V331" s="818"/>
      <c r="W331" s="818"/>
      <c r="X331" s="818"/>
      <c r="Y331" s="818"/>
      <c r="Z331" s="818"/>
    </row>
    <row r="332" spans="1:26" ht="19.5" hidden="1">
      <c r="A332" s="940"/>
      <c r="B332" s="833"/>
      <c r="C332" s="946"/>
      <c r="D332" s="833"/>
      <c r="E332" s="834" t="s">
        <v>36</v>
      </c>
      <c r="F332" s="833"/>
      <c r="G332" s="941"/>
      <c r="H332" s="165" t="s">
        <v>12</v>
      </c>
      <c r="I332" s="947"/>
      <c r="J332" s="947"/>
      <c r="K332" s="948"/>
      <c r="L332" s="837">
        <v>0</v>
      </c>
      <c r="M332" s="837">
        <v>0</v>
      </c>
      <c r="N332" s="837">
        <v>0</v>
      </c>
      <c r="O332" s="837">
        <f t="shared" si="150"/>
        <v>0</v>
      </c>
      <c r="P332" s="837">
        <f t="shared" si="151"/>
        <v>0</v>
      </c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</row>
    <row r="333" spans="1:26" ht="19.5" hidden="1">
      <c r="A333" s="940"/>
      <c r="B333" s="833"/>
      <c r="C333" s="946"/>
      <c r="D333" s="833"/>
      <c r="E333" s="834" t="s">
        <v>37</v>
      </c>
      <c r="F333" s="833"/>
      <c r="G333" s="941"/>
      <c r="H333" s="165" t="s">
        <v>12</v>
      </c>
      <c r="I333" s="947"/>
      <c r="J333" s="947"/>
      <c r="K333" s="948"/>
      <c r="L333" s="837">
        <f ca="1">IFERROR(__xludf.DUMMYFUNCTION("IMPORTRANGE(""https://docs.google.com/spreadsheets/d/1MeEWN-I1oV_STSDYn1IFDPWt_1FKiwhDph83XaGc0o0/edit?usp=sharing"",""งบพรบ!EM23"")"),182000)</f>
        <v>182000</v>
      </c>
      <c r="M333" s="837">
        <f ca="1">IFERROR(__xludf.DUMMYFUNCTION("IMPORTRANGE(""https://docs.google.com/spreadsheets/d/1MeEWN-I1oV_STSDYn1IFDPWt_1FKiwhDph83XaGc0o0/edit?usp=sharing"",""งบพรบ!ER23"")"),139000)</f>
        <v>139000</v>
      </c>
      <c r="N333" s="837">
        <f ca="1">IFERROR(__xludf.DUMMYFUNCTION("IMPORTRANGE(""https://docs.google.com/spreadsheets/d/1MeEWN-I1oV_STSDYn1IFDPWt_1FKiwhDph83XaGc0o0/edit?usp=sharing"",""งบพรบ!ET23"")"),70220)</f>
        <v>70220</v>
      </c>
      <c r="O333" s="837">
        <f t="shared" ca="1" si="150"/>
        <v>38.582417582417584</v>
      </c>
      <c r="P333" s="837">
        <f t="shared" ca="1" si="151"/>
        <v>50.517985611510788</v>
      </c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</row>
    <row r="334" spans="1:26" ht="18.75">
      <c r="A334" s="942"/>
      <c r="B334" s="827"/>
      <c r="C334" s="943"/>
      <c r="D334" s="828" t="s">
        <v>21</v>
      </c>
      <c r="E334" s="827"/>
      <c r="F334" s="827"/>
      <c r="G334" s="829"/>
      <c r="H334" s="168" t="s">
        <v>12</v>
      </c>
      <c r="I334" s="944"/>
      <c r="J334" s="944"/>
      <c r="K334" s="945"/>
      <c r="L334" s="831">
        <f t="shared" ref="L334:N334" ca="1" si="154">L335+L336</f>
        <v>0</v>
      </c>
      <c r="M334" s="831">
        <f t="shared" ca="1" si="154"/>
        <v>0</v>
      </c>
      <c r="N334" s="831">
        <f t="shared" ca="1" si="154"/>
        <v>0</v>
      </c>
      <c r="O334" s="831">
        <f t="shared" ca="1" si="150"/>
        <v>0</v>
      </c>
      <c r="P334" s="831">
        <f t="shared" ca="1" si="151"/>
        <v>0</v>
      </c>
      <c r="Q334" s="818"/>
      <c r="R334" s="818"/>
      <c r="S334" s="818"/>
      <c r="T334" s="818"/>
      <c r="U334" s="818"/>
      <c r="V334" s="818"/>
      <c r="W334" s="818"/>
      <c r="X334" s="818"/>
      <c r="Y334" s="818"/>
      <c r="Z334" s="818"/>
    </row>
    <row r="335" spans="1:26" ht="19.5" hidden="1">
      <c r="A335" s="940"/>
      <c r="B335" s="833"/>
      <c r="C335" s="946"/>
      <c r="D335" s="833"/>
      <c r="E335" s="834" t="s">
        <v>18</v>
      </c>
      <c r="F335" s="833"/>
      <c r="G335" s="941"/>
      <c r="H335" s="165" t="s">
        <v>12</v>
      </c>
      <c r="I335" s="947"/>
      <c r="J335" s="947"/>
      <c r="K335" s="948"/>
      <c r="L335" s="837">
        <v>0</v>
      </c>
      <c r="M335" s="837">
        <v>0</v>
      </c>
      <c r="N335" s="837">
        <v>0</v>
      </c>
      <c r="O335" s="837">
        <f t="shared" si="150"/>
        <v>0</v>
      </c>
      <c r="P335" s="837">
        <f t="shared" si="151"/>
        <v>0</v>
      </c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</row>
    <row r="336" spans="1:26" ht="19.5" hidden="1">
      <c r="A336" s="940"/>
      <c r="B336" s="833"/>
      <c r="C336" s="946"/>
      <c r="D336" s="833"/>
      <c r="E336" s="834" t="s">
        <v>19</v>
      </c>
      <c r="F336" s="833"/>
      <c r="G336" s="941"/>
      <c r="H336" s="169" t="s">
        <v>12</v>
      </c>
      <c r="I336" s="947"/>
      <c r="J336" s="947"/>
      <c r="K336" s="948"/>
      <c r="L336" s="837">
        <f ca="1">IFERROR(__xludf.DUMMYFUNCTION("IMPORTRANGE(""https://docs.google.com/spreadsheets/d/1MeEWN-I1oV_STSDYn1IFDPWt_1FKiwhDph83XaGc0o0/edit?usp=sharing"",""งบพรบ!EP23"")"),0)</f>
        <v>0</v>
      </c>
      <c r="M336" s="837">
        <f ca="1">IFERROR(__xludf.DUMMYFUNCTION("IMPORTRANGE(""https://docs.google.com/spreadsheets/d/1MeEWN-I1oV_STSDYn1IFDPWt_1FKiwhDph83XaGc0o0/edit?usp=sharing"",""งบพรบ!ES23"")"),0)</f>
        <v>0</v>
      </c>
      <c r="N336" s="837">
        <f ca="1">IFERROR(__xludf.DUMMYFUNCTION("IMPORTRANGE(""https://docs.google.com/spreadsheets/d/1MeEWN-I1oV_STSDYn1IFDPWt_1FKiwhDph83XaGc0o0/edit?usp=sharing"",""งบพรบ!EU23"")"),0)</f>
        <v>0</v>
      </c>
      <c r="O336" s="837">
        <f t="shared" ca="1" si="150"/>
        <v>0</v>
      </c>
      <c r="P336" s="837">
        <f t="shared" ca="1" si="151"/>
        <v>0</v>
      </c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</row>
    <row r="337" spans="1:26" ht="19.5">
      <c r="A337" s="949"/>
      <c r="B337" s="950"/>
      <c r="C337" s="946" t="s">
        <v>16</v>
      </c>
      <c r="D337" s="951" t="s">
        <v>38</v>
      </c>
      <c r="E337" s="952"/>
      <c r="F337" s="952"/>
      <c r="G337" s="953"/>
      <c r="H337" s="954"/>
      <c r="I337" s="944"/>
      <c r="J337" s="830"/>
      <c r="K337" s="831"/>
      <c r="L337" s="831"/>
      <c r="M337" s="831"/>
      <c r="N337" s="831"/>
      <c r="O337" s="945"/>
      <c r="P337" s="945"/>
    </row>
    <row r="338" spans="1:26" ht="18.75">
      <c r="A338" s="1032"/>
      <c r="B338" s="827"/>
      <c r="C338" s="1030"/>
      <c r="D338" s="956" t="s">
        <v>150</v>
      </c>
      <c r="E338" s="950"/>
      <c r="F338" s="827"/>
      <c r="G338" s="829"/>
      <c r="H338" s="277" t="s">
        <v>35</v>
      </c>
      <c r="I338" s="830">
        <f ca="1">IFERROR(__xludf.DUMMYFUNCTION("IMPORTRANGE(""https://docs.google.com/spreadsheets/d/1QqKyyYR6Q21VydFLVH3TRQUabQu_ym0Zz7PgGX0-kHA/edit?usp=sharing"",""แผน!EG23"")"),7600)</f>
        <v>7600</v>
      </c>
      <c r="J338" s="830">
        <f ca="1">IFERROR(__xludf.DUMMYFUNCTION("IMPORTRANGE(""https://docs.google.com/spreadsheets/d/1kVcqe37tkHyjCSG3S0O1AXqVkqjo8mSIZil3BcpIysc/edit?usp=sharing"",""ศูนย์!D23"")"),4237)</f>
        <v>4237</v>
      </c>
      <c r="K338" s="831">
        <f ca="1">IF(I338&gt;0,J338*100/I338,0)</f>
        <v>55.75</v>
      </c>
      <c r="L338" s="831"/>
      <c r="M338" s="831"/>
      <c r="N338" s="831"/>
      <c r="O338" s="831"/>
      <c r="P338" s="831"/>
    </row>
    <row r="339" spans="1:26" ht="18.75">
      <c r="A339" s="1032"/>
      <c r="B339" s="827"/>
      <c r="C339" s="1030"/>
      <c r="D339" s="956" t="s">
        <v>151</v>
      </c>
      <c r="E339" s="950"/>
      <c r="F339" s="827"/>
      <c r="G339" s="829"/>
      <c r="H339" s="277"/>
      <c r="I339" s="830"/>
      <c r="J339" s="830"/>
      <c r="K339" s="831"/>
      <c r="L339" s="831"/>
      <c r="M339" s="831"/>
      <c r="N339" s="831"/>
      <c r="O339" s="831"/>
      <c r="P339" s="831"/>
    </row>
    <row r="340" spans="1:26" ht="18.75">
      <c r="A340" s="1032"/>
      <c r="B340" s="827"/>
      <c r="C340" s="1030"/>
      <c r="D340" s="957"/>
      <c r="E340" s="956" t="s">
        <v>152</v>
      </c>
      <c r="F340" s="827"/>
      <c r="G340" s="829"/>
      <c r="H340" s="277" t="s">
        <v>153</v>
      </c>
      <c r="I340" s="830">
        <f ca="1">IFERROR(__xludf.DUMMYFUNCTION("IMPORTRANGE(""https://docs.google.com/spreadsheets/d/1QqKyyYR6Q21VydFLVH3TRQUabQu_ym0Zz7PgGX0-kHA/edit?usp=sharing"",""แผน!EH23"")"),7)</f>
        <v>7</v>
      </c>
      <c r="J340" s="830">
        <f ca="1">IFERROR(__xludf.DUMMYFUNCTION("IMPORTRANGE(""https://docs.google.com/spreadsheets/d/1kVcqe37tkHyjCSG3S0O1AXqVkqjo8mSIZil3BcpIysc/edit?usp=sharing"",""ศูนย์!E23"")"),4)</f>
        <v>4</v>
      </c>
      <c r="K340" s="831">
        <f ca="1">IF(I340&gt;0,J340*100/I340,0)</f>
        <v>57.142857142857146</v>
      </c>
      <c r="L340" s="831"/>
      <c r="M340" s="831"/>
      <c r="N340" s="831"/>
      <c r="O340" s="831"/>
      <c r="P340" s="831"/>
    </row>
    <row r="341" spans="1:26" ht="18.75">
      <c r="A341" s="1032"/>
      <c r="B341" s="827"/>
      <c r="C341" s="1030"/>
      <c r="D341" s="957"/>
      <c r="E341" s="956" t="s">
        <v>154</v>
      </c>
      <c r="F341" s="827"/>
      <c r="G341" s="829"/>
      <c r="H341" s="277" t="s">
        <v>35</v>
      </c>
      <c r="I341" s="830"/>
      <c r="J341" s="830">
        <f ca="1">IFERROR(__xludf.DUMMYFUNCTION("IMPORTRANGE(""https://docs.google.com/spreadsheets/d/1kVcqe37tkHyjCSG3S0O1AXqVkqjo8mSIZil3BcpIysc/edit?usp=sharing"",""ศูนย์!F23"")"),694)</f>
        <v>694</v>
      </c>
      <c r="K341" s="831"/>
      <c r="L341" s="831"/>
      <c r="M341" s="831"/>
      <c r="N341" s="831"/>
      <c r="O341" s="831"/>
      <c r="P341" s="831"/>
    </row>
    <row r="342" spans="1:26" ht="18.75">
      <c r="A342" s="1032"/>
      <c r="B342" s="827"/>
      <c r="C342" s="1030"/>
      <c r="D342" s="956" t="s">
        <v>155</v>
      </c>
      <c r="E342" s="957"/>
      <c r="F342" s="957"/>
      <c r="G342" s="829"/>
      <c r="H342" s="277" t="s">
        <v>35</v>
      </c>
      <c r="I342" s="830"/>
      <c r="J342" s="830">
        <f ca="1">IFERROR(__xludf.DUMMYFUNCTION("IMPORTRANGE(""https://docs.google.com/spreadsheets/d/1kVcqe37tkHyjCSG3S0O1AXqVkqjo8mSIZil3BcpIysc/edit?usp=sharing"",""ศูนย์!G23"")"),3)</f>
        <v>3</v>
      </c>
      <c r="K342" s="831"/>
      <c r="L342" s="831"/>
      <c r="M342" s="831"/>
      <c r="N342" s="831"/>
      <c r="O342" s="831"/>
      <c r="P342" s="831"/>
    </row>
    <row r="343" spans="1:26" ht="18.75">
      <c r="A343" s="1032"/>
      <c r="B343" s="827"/>
      <c r="C343" s="1030"/>
      <c r="D343" s="956" t="s">
        <v>156</v>
      </c>
      <c r="E343" s="957"/>
      <c r="F343" s="957"/>
      <c r="G343" s="829"/>
      <c r="H343" s="277" t="s">
        <v>35</v>
      </c>
      <c r="I343" s="830"/>
      <c r="J343" s="830">
        <f ca="1">IFERROR(__xludf.DUMMYFUNCTION("IMPORTRANGE(""https://docs.google.com/spreadsheets/d/1kVcqe37tkHyjCSG3S0O1AXqVkqjo8mSIZil3BcpIysc/edit?usp=sharing"",""ศูนย์!H23"")"),323)</f>
        <v>323</v>
      </c>
      <c r="K343" s="831"/>
      <c r="L343" s="831"/>
      <c r="M343" s="831"/>
      <c r="N343" s="831"/>
      <c r="O343" s="831"/>
      <c r="P343" s="831"/>
    </row>
    <row r="344" spans="1:26" ht="19.5">
      <c r="A344" s="1133"/>
      <c r="B344" s="1134" t="s">
        <v>157</v>
      </c>
      <c r="C344" s="1143"/>
      <c r="D344" s="1135"/>
      <c r="E344" s="1135"/>
      <c r="F344" s="1135"/>
      <c r="G344" s="1136"/>
      <c r="H344" s="412"/>
      <c r="I344" s="1144"/>
      <c r="J344" s="1144"/>
      <c r="K344" s="1139"/>
      <c r="L344" s="1139"/>
      <c r="M344" s="1139"/>
      <c r="N344" s="1139"/>
      <c r="O344" s="1139"/>
      <c r="P344" s="1139"/>
    </row>
    <row r="345" spans="1:26" ht="19.5">
      <c r="A345" s="932"/>
      <c r="B345" s="933"/>
      <c r="C345" s="934" t="s">
        <v>16</v>
      </c>
      <c r="D345" s="935" t="s">
        <v>17</v>
      </c>
      <c r="E345" s="933"/>
      <c r="F345" s="933"/>
      <c r="G345" s="936"/>
      <c r="H345" s="152" t="s">
        <v>12</v>
      </c>
      <c r="I345" s="937"/>
      <c r="J345" s="937"/>
      <c r="K345" s="938"/>
      <c r="L345" s="939">
        <f t="shared" ref="L345:N345" ca="1" si="155">L346+L347</f>
        <v>987190</v>
      </c>
      <c r="M345" s="939">
        <f t="shared" ca="1" si="155"/>
        <v>794805</v>
      </c>
      <c r="N345" s="939">
        <f t="shared" ca="1" si="155"/>
        <v>440208.23</v>
      </c>
      <c r="O345" s="939">
        <f t="shared" ref="O345:O353" ca="1" si="156">IF(L345&gt;0,N345*100/L345,0)</f>
        <v>44.592047123654005</v>
      </c>
      <c r="P345" s="939">
        <f t="shared" ref="P345:P353" ca="1" si="157">IF(M345&gt;0,N345*100/M345,0)</f>
        <v>55.385689571655938</v>
      </c>
      <c r="Q345" s="818"/>
      <c r="R345" s="818"/>
      <c r="S345" s="818"/>
      <c r="T345" s="818"/>
      <c r="U345" s="818"/>
      <c r="V345" s="818"/>
      <c r="W345" s="818"/>
      <c r="X345" s="818"/>
      <c r="Y345" s="818"/>
      <c r="Z345" s="818"/>
    </row>
    <row r="346" spans="1:26" ht="18.75" hidden="1">
      <c r="A346" s="940"/>
      <c r="B346" s="833"/>
      <c r="C346" s="833"/>
      <c r="D346" s="833"/>
      <c r="E346" s="834" t="s">
        <v>18</v>
      </c>
      <c r="F346" s="833"/>
      <c r="G346" s="941"/>
      <c r="H346" s="158" t="s">
        <v>12</v>
      </c>
      <c r="I346" s="836"/>
      <c r="J346" s="836"/>
      <c r="K346" s="837"/>
      <c r="L346" s="837">
        <f t="shared" ref="L346:N347" si="158">L349+L352</f>
        <v>0</v>
      </c>
      <c r="M346" s="837">
        <f t="shared" si="158"/>
        <v>0</v>
      </c>
      <c r="N346" s="837">
        <f t="shared" si="158"/>
        <v>0</v>
      </c>
      <c r="O346" s="837">
        <f t="shared" si="156"/>
        <v>0</v>
      </c>
      <c r="P346" s="837">
        <f t="shared" si="157"/>
        <v>0</v>
      </c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</row>
    <row r="347" spans="1:26" ht="18.75" hidden="1">
      <c r="A347" s="940"/>
      <c r="B347" s="833"/>
      <c r="C347" s="833"/>
      <c r="D347" s="833"/>
      <c r="E347" s="834" t="s">
        <v>19</v>
      </c>
      <c r="F347" s="833"/>
      <c r="G347" s="941"/>
      <c r="H347" s="158" t="s">
        <v>12</v>
      </c>
      <c r="I347" s="836"/>
      <c r="J347" s="836"/>
      <c r="K347" s="837"/>
      <c r="L347" s="837">
        <f t="shared" ca="1" si="158"/>
        <v>987190</v>
      </c>
      <c r="M347" s="837">
        <f t="shared" ca="1" si="158"/>
        <v>794805</v>
      </c>
      <c r="N347" s="837">
        <f t="shared" ca="1" si="158"/>
        <v>440208.23</v>
      </c>
      <c r="O347" s="837">
        <f t="shared" ca="1" si="156"/>
        <v>44.592047123654005</v>
      </c>
      <c r="P347" s="837">
        <f t="shared" ca="1" si="157"/>
        <v>55.385689571655938</v>
      </c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</row>
    <row r="348" spans="1:26" ht="18.75">
      <c r="A348" s="942"/>
      <c r="B348" s="827"/>
      <c r="C348" s="943"/>
      <c r="D348" s="828" t="s">
        <v>20</v>
      </c>
      <c r="E348" s="827"/>
      <c r="F348" s="827"/>
      <c r="G348" s="829"/>
      <c r="H348" s="778" t="s">
        <v>12</v>
      </c>
      <c r="I348" s="944"/>
      <c r="J348" s="944"/>
      <c r="K348" s="945"/>
      <c r="L348" s="831">
        <f t="shared" ref="L348:N348" ca="1" si="159">L349+L350</f>
        <v>851590</v>
      </c>
      <c r="M348" s="831">
        <f t="shared" ca="1" si="159"/>
        <v>659205</v>
      </c>
      <c r="N348" s="831">
        <f t="shared" ca="1" si="159"/>
        <v>304608.23</v>
      </c>
      <c r="O348" s="831">
        <f t="shared" ca="1" si="156"/>
        <v>35.769352622740989</v>
      </c>
      <c r="P348" s="831">
        <f t="shared" ca="1" si="157"/>
        <v>46.208422266214605</v>
      </c>
      <c r="Q348" s="818"/>
      <c r="R348" s="818"/>
      <c r="S348" s="818"/>
      <c r="T348" s="818"/>
      <c r="U348" s="818"/>
      <c r="V348" s="818"/>
      <c r="W348" s="818"/>
      <c r="X348" s="818"/>
      <c r="Y348" s="818"/>
      <c r="Z348" s="818"/>
    </row>
    <row r="349" spans="1:26" ht="19.5" hidden="1">
      <c r="A349" s="940"/>
      <c r="B349" s="833"/>
      <c r="C349" s="946"/>
      <c r="D349" s="833"/>
      <c r="E349" s="834" t="s">
        <v>36</v>
      </c>
      <c r="F349" s="833"/>
      <c r="G349" s="941"/>
      <c r="H349" s="165" t="s">
        <v>12</v>
      </c>
      <c r="I349" s="947"/>
      <c r="J349" s="947"/>
      <c r="K349" s="948"/>
      <c r="L349" s="837">
        <v>0</v>
      </c>
      <c r="M349" s="837">
        <v>0</v>
      </c>
      <c r="N349" s="837">
        <v>0</v>
      </c>
      <c r="O349" s="837">
        <f t="shared" si="156"/>
        <v>0</v>
      </c>
      <c r="P349" s="837">
        <f t="shared" si="157"/>
        <v>0</v>
      </c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</row>
    <row r="350" spans="1:26" ht="19.5" hidden="1">
      <c r="A350" s="940"/>
      <c r="B350" s="833"/>
      <c r="C350" s="946"/>
      <c r="D350" s="833"/>
      <c r="E350" s="834" t="s">
        <v>37</v>
      </c>
      <c r="F350" s="833"/>
      <c r="G350" s="941"/>
      <c r="H350" s="165" t="s">
        <v>12</v>
      </c>
      <c r="I350" s="947"/>
      <c r="J350" s="947"/>
      <c r="K350" s="948"/>
      <c r="L350" s="837">
        <f ca="1">IFERROR(__xludf.DUMMYFUNCTION("IMPORTRANGE(""https://docs.google.com/spreadsheets/d/1MeEWN-I1oV_STSDYn1IFDPWt_1FKiwhDph83XaGc0o0/edit?usp=sharing"",""งบพรบ!EW23"")"),851590)</f>
        <v>851590</v>
      </c>
      <c r="M350" s="837">
        <f ca="1">IFERROR(__xludf.DUMMYFUNCTION("IMPORTRANGE(""https://docs.google.com/spreadsheets/d/1MeEWN-I1oV_STSDYn1IFDPWt_1FKiwhDph83XaGc0o0/edit?usp=sharing"",""งบพรบ!FB23"")"),659205)</f>
        <v>659205</v>
      </c>
      <c r="N350" s="837">
        <f ca="1">IFERROR(__xludf.DUMMYFUNCTION("IMPORTRANGE(""https://docs.google.com/spreadsheets/d/1MeEWN-I1oV_STSDYn1IFDPWt_1FKiwhDph83XaGc0o0/edit?usp=sharing"",""งบพรบ!FD23"")"),304608.23)</f>
        <v>304608.23</v>
      </c>
      <c r="O350" s="837">
        <f t="shared" ca="1" si="156"/>
        <v>35.769352622740989</v>
      </c>
      <c r="P350" s="837">
        <f t="shared" ca="1" si="157"/>
        <v>46.208422266214605</v>
      </c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</row>
    <row r="351" spans="1:26" ht="18.75">
      <c r="A351" s="942"/>
      <c r="B351" s="827"/>
      <c r="C351" s="943"/>
      <c r="D351" s="828" t="s">
        <v>21</v>
      </c>
      <c r="E351" s="827"/>
      <c r="F351" s="827"/>
      <c r="G351" s="829"/>
      <c r="H351" s="168" t="s">
        <v>12</v>
      </c>
      <c r="I351" s="944"/>
      <c r="J351" s="944"/>
      <c r="K351" s="945"/>
      <c r="L351" s="831">
        <f t="shared" ref="L351:N351" ca="1" si="160">L352+L353</f>
        <v>135600</v>
      </c>
      <c r="M351" s="831">
        <f t="shared" ca="1" si="160"/>
        <v>135600</v>
      </c>
      <c r="N351" s="831">
        <f t="shared" ca="1" si="160"/>
        <v>135600</v>
      </c>
      <c r="O351" s="831">
        <f t="shared" ca="1" si="156"/>
        <v>100</v>
      </c>
      <c r="P351" s="831">
        <f t="shared" ca="1" si="157"/>
        <v>100</v>
      </c>
      <c r="Q351" s="818"/>
      <c r="R351" s="818"/>
      <c r="S351" s="818"/>
      <c r="T351" s="818"/>
      <c r="U351" s="818"/>
      <c r="V351" s="818"/>
      <c r="W351" s="818"/>
      <c r="X351" s="818"/>
      <c r="Y351" s="818"/>
      <c r="Z351" s="818"/>
    </row>
    <row r="352" spans="1:26" ht="19.5" hidden="1">
      <c r="A352" s="940"/>
      <c r="B352" s="833"/>
      <c r="C352" s="946"/>
      <c r="D352" s="833"/>
      <c r="E352" s="834" t="s">
        <v>18</v>
      </c>
      <c r="F352" s="833"/>
      <c r="G352" s="941"/>
      <c r="H352" s="165" t="s">
        <v>12</v>
      </c>
      <c r="I352" s="947"/>
      <c r="J352" s="947"/>
      <c r="K352" s="948"/>
      <c r="L352" s="837">
        <v>0</v>
      </c>
      <c r="M352" s="837">
        <v>0</v>
      </c>
      <c r="N352" s="837">
        <v>0</v>
      </c>
      <c r="O352" s="837">
        <f t="shared" si="156"/>
        <v>0</v>
      </c>
      <c r="P352" s="837">
        <f t="shared" si="157"/>
        <v>0</v>
      </c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</row>
    <row r="353" spans="1:26" ht="19.5" hidden="1">
      <c r="A353" s="940"/>
      <c r="B353" s="833"/>
      <c r="C353" s="946"/>
      <c r="D353" s="833"/>
      <c r="E353" s="834" t="s">
        <v>19</v>
      </c>
      <c r="F353" s="833"/>
      <c r="G353" s="941"/>
      <c r="H353" s="169" t="s">
        <v>12</v>
      </c>
      <c r="I353" s="947"/>
      <c r="J353" s="947"/>
      <c r="K353" s="948"/>
      <c r="L353" s="837">
        <f ca="1">IFERROR(__xludf.DUMMYFUNCTION("IMPORTRANGE(""https://docs.google.com/spreadsheets/d/1MeEWN-I1oV_STSDYn1IFDPWt_1FKiwhDph83XaGc0o0/edit?usp=sharing"",""งบพรบ!EZ23"")"),135600)</f>
        <v>135600</v>
      </c>
      <c r="M353" s="837">
        <f ca="1">IFERROR(__xludf.DUMMYFUNCTION("IMPORTRANGE(""https://docs.google.com/spreadsheets/d/1MeEWN-I1oV_STSDYn1IFDPWt_1FKiwhDph83XaGc0o0/edit?usp=sharing"",""งบพรบ!FC23"")"),135600)</f>
        <v>135600</v>
      </c>
      <c r="N353" s="837">
        <f ca="1">IFERROR(__xludf.DUMMYFUNCTION("IMPORTRANGE(""https://docs.google.com/spreadsheets/d/1MeEWN-I1oV_STSDYn1IFDPWt_1FKiwhDph83XaGc0o0/edit?usp=sharing"",""งบพรบ!FE23"")"),135600)</f>
        <v>135600</v>
      </c>
      <c r="O353" s="837">
        <f t="shared" ca="1" si="156"/>
        <v>100</v>
      </c>
      <c r="P353" s="837">
        <f t="shared" ca="1" si="157"/>
        <v>100</v>
      </c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</row>
    <row r="354" spans="1:26" ht="19.5">
      <c r="A354" s="1011"/>
      <c r="B354" s="1018"/>
      <c r="C354" s="1012"/>
      <c r="D354" s="1145" t="s">
        <v>158</v>
      </c>
      <c r="E354" s="1012"/>
      <c r="F354" s="1012"/>
      <c r="G354" s="1014"/>
      <c r="H354" s="1146"/>
      <c r="I354" s="1015"/>
      <c r="J354" s="1015"/>
      <c r="K354" s="1016"/>
      <c r="L354" s="1016"/>
      <c r="M354" s="1016"/>
      <c r="N354" s="1016"/>
      <c r="O354" s="1016"/>
      <c r="P354" s="1016"/>
    </row>
    <row r="355" spans="1:26" ht="19.5">
      <c r="A355" s="1147"/>
      <c r="B355" s="1148"/>
      <c r="C355" s="1149"/>
      <c r="D355" s="1150" t="s">
        <v>159</v>
      </c>
      <c r="E355" s="1151"/>
      <c r="F355" s="1151"/>
      <c r="G355" s="1152"/>
      <c r="H355" s="431" t="s">
        <v>35</v>
      </c>
      <c r="I355" s="1153">
        <f ca="1">IFERROR(__xludf.DUMMYFUNCTION("IMPORTRANGE(""https://docs.google.com/spreadsheets/d/1QqKyyYR6Q21VydFLVH3TRQUabQu_ym0Zz7PgGX0-kHA/edit?usp=sharing"",""แผน!EP23"")"),685)</f>
        <v>685</v>
      </c>
      <c r="J355" s="1153">
        <f ca="1">J362</f>
        <v>30</v>
      </c>
      <c r="K355" s="1154">
        <f ca="1">IF(I355&gt;0,J355*100/I355,0)</f>
        <v>4.3795620437956204</v>
      </c>
      <c r="L355" s="1155"/>
      <c r="M355" s="1155"/>
      <c r="N355" s="1155"/>
      <c r="O355" s="1155"/>
      <c r="P355" s="1155"/>
    </row>
    <row r="356" spans="1:26" ht="19.5">
      <c r="A356" s="1147"/>
      <c r="B356" s="1148"/>
      <c r="C356" s="1149"/>
      <c r="D356" s="1156" t="s">
        <v>160</v>
      </c>
      <c r="E356" s="1151"/>
      <c r="F356" s="1151"/>
      <c r="G356" s="1152"/>
      <c r="H356" s="1157"/>
      <c r="I356" s="1158"/>
      <c r="J356" s="1158"/>
      <c r="K356" s="1155"/>
      <c r="L356" s="1155"/>
      <c r="M356" s="1155"/>
      <c r="N356" s="1155"/>
      <c r="O356" s="1155"/>
      <c r="P356" s="1155"/>
    </row>
    <row r="357" spans="1:26" ht="19.5">
      <c r="A357" s="949"/>
      <c r="B357" s="950"/>
      <c r="C357" s="946" t="s">
        <v>16</v>
      </c>
      <c r="D357" s="951" t="s">
        <v>38</v>
      </c>
      <c r="E357" s="952"/>
      <c r="F357" s="952"/>
      <c r="G357" s="953"/>
      <c r="H357" s="954"/>
      <c r="I357" s="830"/>
      <c r="J357" s="830"/>
      <c r="K357" s="831"/>
      <c r="L357" s="945"/>
      <c r="M357" s="945"/>
      <c r="N357" s="945"/>
      <c r="O357" s="945"/>
      <c r="P357" s="945"/>
    </row>
    <row r="358" spans="1:26" ht="18.75">
      <c r="A358" s="949"/>
      <c r="B358" s="957"/>
      <c r="C358" s="950"/>
      <c r="D358" s="957"/>
      <c r="E358" s="955" t="s">
        <v>161</v>
      </c>
      <c r="F358" s="957"/>
      <c r="G358" s="958"/>
      <c r="H358" s="777" t="s">
        <v>35</v>
      </c>
      <c r="I358" s="830">
        <v>0</v>
      </c>
      <c r="J358" s="830">
        <f ca="1">IFERROR(__xludf.DUMMYFUNCTION("IMPORTRANGE(""https://docs.google.com/spreadsheets/d/1XWAQStnk-4SwqDmLtmXYiTMKHgktTP8We1SCoS47DrQ/edit?usp=sharing"",""จัดที่ดิน!W23"")"),18)</f>
        <v>18</v>
      </c>
      <c r="K358" s="831">
        <f t="shared" ref="K358:K365" si="161">IF(I358&gt;0,J358*100/I358,0)</f>
        <v>0</v>
      </c>
      <c r="L358" s="945"/>
      <c r="M358" s="945"/>
      <c r="N358" s="945"/>
      <c r="O358" s="945"/>
      <c r="P358" s="945"/>
    </row>
    <row r="359" spans="1:26" ht="18.75">
      <c r="A359" s="949"/>
      <c r="B359" s="957"/>
      <c r="C359" s="950"/>
      <c r="D359" s="957"/>
      <c r="E359" s="957"/>
      <c r="F359" s="957"/>
      <c r="G359" s="958"/>
      <c r="H359" s="777" t="s">
        <v>46</v>
      </c>
      <c r="I359" s="830">
        <f ca="1">IFERROR(__xludf.DUMMYFUNCTION("IMPORTRANGE(""https://docs.google.com/spreadsheets/d/1QqKyyYR6Q21VydFLVH3TRQUabQu_ym0Zz7PgGX0-kHA/edit?usp=sharing"",""แผน!EO23"")"),5000)</f>
        <v>5000</v>
      </c>
      <c r="J359" s="830">
        <f ca="1">IFERROR(__xludf.DUMMYFUNCTION("IMPORTRANGE(""https://docs.google.com/spreadsheets/d/1XWAQStnk-4SwqDmLtmXYiTMKHgktTP8We1SCoS47DrQ/edit?usp=sharing"",""จัดที่ดิน!X23"")"),437.36)</f>
        <v>437.36</v>
      </c>
      <c r="K359" s="831">
        <f t="shared" ca="1" si="161"/>
        <v>8.7471999999999994</v>
      </c>
      <c r="L359" s="945"/>
      <c r="M359" s="945"/>
      <c r="N359" s="945"/>
      <c r="O359" s="945"/>
      <c r="P359" s="945"/>
    </row>
    <row r="360" spans="1:26" ht="18.75">
      <c r="A360" s="949"/>
      <c r="B360" s="957"/>
      <c r="C360" s="950"/>
      <c r="D360" s="957"/>
      <c r="E360" s="955" t="s">
        <v>162</v>
      </c>
      <c r="F360" s="957"/>
      <c r="G360" s="958"/>
      <c r="H360" s="730" t="s">
        <v>35</v>
      </c>
      <c r="I360" s="830">
        <f ca="1">IFERROR(__xludf.DUMMYFUNCTION("IMPORTRANGE(""https://docs.google.com/spreadsheets/d/1QqKyyYR6Q21VydFLVH3TRQUabQu_ym0Zz7PgGX0-kHA/edit?usp=sharing"",""แผน!EP23"")"),685)</f>
        <v>685</v>
      </c>
      <c r="J360" s="830">
        <f ca="1">IFERROR(__xludf.DUMMYFUNCTION("IMPORTRANGE(""https://docs.google.com/spreadsheets/d/1XWAQStnk-4SwqDmLtmXYiTMKHgktTP8We1SCoS47DrQ/edit?usp=sharing"",""จัดที่ดิน!Y23"")"),67)</f>
        <v>67</v>
      </c>
      <c r="K360" s="831">
        <f t="shared" ca="1" si="161"/>
        <v>9.7810218978102181</v>
      </c>
      <c r="L360" s="945"/>
      <c r="M360" s="945"/>
      <c r="N360" s="945"/>
      <c r="O360" s="945"/>
      <c r="P360" s="945"/>
    </row>
    <row r="361" spans="1:26" ht="18.75">
      <c r="A361" s="949"/>
      <c r="B361" s="957"/>
      <c r="C361" s="950"/>
      <c r="D361" s="957"/>
      <c r="E361" s="957"/>
      <c r="F361" s="957"/>
      <c r="G361" s="958"/>
      <c r="H361" s="730" t="s">
        <v>46</v>
      </c>
      <c r="I361" s="830">
        <v>0</v>
      </c>
      <c r="J361" s="830">
        <f ca="1">IFERROR(__xludf.DUMMYFUNCTION("IMPORTRANGE(""https://docs.google.com/spreadsheets/d/1XWAQStnk-4SwqDmLtmXYiTMKHgktTP8We1SCoS47DrQ/edit?usp=sharing"",""จัดที่ดิน!Z23"")"),1118.79)</f>
        <v>1118.79</v>
      </c>
      <c r="K361" s="831">
        <f t="shared" si="161"/>
        <v>0</v>
      </c>
      <c r="L361" s="945"/>
      <c r="M361" s="945"/>
      <c r="N361" s="945"/>
      <c r="O361" s="945"/>
      <c r="P361" s="945"/>
    </row>
    <row r="362" spans="1:26" ht="18.75">
      <c r="A362" s="949"/>
      <c r="B362" s="957"/>
      <c r="C362" s="950"/>
      <c r="D362" s="957"/>
      <c r="E362" s="955" t="s">
        <v>163</v>
      </c>
      <c r="F362" s="957"/>
      <c r="G362" s="958"/>
      <c r="H362" s="730" t="s">
        <v>35</v>
      </c>
      <c r="I362" s="830">
        <f ca="1">IFERROR(__xludf.DUMMYFUNCTION("IMPORTRANGE(""https://docs.google.com/spreadsheets/d/1QqKyyYR6Q21VydFLVH3TRQUabQu_ym0Zz7PgGX0-kHA/edit?usp=sharing"",""แผน!EP23"")"),685)</f>
        <v>685</v>
      </c>
      <c r="J362" s="830">
        <f ca="1">IFERROR(__xludf.DUMMYFUNCTION("IMPORTRANGE(""https://docs.google.com/spreadsheets/d/1XWAQStnk-4SwqDmLtmXYiTMKHgktTP8We1SCoS47DrQ/edit?usp=sharing"",""จัดที่ดิน!AA23"")"),30)</f>
        <v>30</v>
      </c>
      <c r="K362" s="831">
        <f t="shared" ca="1" si="161"/>
        <v>4.3795620437956204</v>
      </c>
      <c r="L362" s="945"/>
      <c r="M362" s="945"/>
      <c r="N362" s="945"/>
      <c r="O362" s="945"/>
      <c r="P362" s="945"/>
    </row>
    <row r="363" spans="1:26" ht="18.75">
      <c r="A363" s="1159" t="s">
        <v>164</v>
      </c>
      <c r="B363" s="957"/>
      <c r="C363" s="950"/>
      <c r="D363" s="957"/>
      <c r="E363" s="956"/>
      <c r="F363" s="957"/>
      <c r="G363" s="958"/>
      <c r="H363" s="730" t="s">
        <v>46</v>
      </c>
      <c r="I363" s="830">
        <v>0</v>
      </c>
      <c r="J363" s="830">
        <f ca="1">IFERROR(__xludf.DUMMYFUNCTION("IMPORTRANGE(""https://docs.google.com/spreadsheets/d/1XWAQStnk-4SwqDmLtmXYiTMKHgktTP8We1SCoS47DrQ/edit?usp=sharing"",""จัดที่ดิน!AB23"")"),566.38)</f>
        <v>566.38</v>
      </c>
      <c r="K363" s="831">
        <f t="shared" si="161"/>
        <v>0</v>
      </c>
      <c r="L363" s="945"/>
      <c r="M363" s="945"/>
      <c r="N363" s="945"/>
      <c r="O363" s="945"/>
      <c r="P363" s="945"/>
    </row>
    <row r="364" spans="1:26" ht="19.5">
      <c r="A364" s="1160"/>
      <c r="B364" s="1161"/>
      <c r="C364" s="1162"/>
      <c r="D364" s="1163" t="s">
        <v>165</v>
      </c>
      <c r="E364" s="1164"/>
      <c r="F364" s="1164"/>
      <c r="G364" s="1165"/>
      <c r="H364" s="446" t="s">
        <v>35</v>
      </c>
      <c r="I364" s="1166">
        <f t="shared" ref="I364:J364" ca="1" si="162">I365+I374</f>
        <v>1285</v>
      </c>
      <c r="J364" s="1166">
        <f t="shared" ca="1" si="162"/>
        <v>376</v>
      </c>
      <c r="K364" s="1167">
        <f t="shared" ca="1" si="161"/>
        <v>29.260700389105057</v>
      </c>
      <c r="L364" s="1168"/>
      <c r="M364" s="1168"/>
      <c r="N364" s="1168"/>
      <c r="O364" s="1168"/>
      <c r="P364" s="1168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69"/>
      <c r="B365" s="1170"/>
      <c r="C365" s="1171"/>
      <c r="D365" s="1171" t="s">
        <v>166</v>
      </c>
      <c r="E365" s="1172"/>
      <c r="F365" s="1172"/>
      <c r="G365" s="1173"/>
      <c r="H365" s="457" t="s">
        <v>35</v>
      </c>
      <c r="I365" s="1174">
        <f ca="1">IFERROR(__xludf.DUMMYFUNCTION("IMPORTRANGE(""https://docs.google.com/spreadsheets/d/1QqKyyYR6Q21VydFLVH3TRQUabQu_ym0Zz7PgGX0-kHA/edit?usp=sharing"",""แผน!EJ23"")"),100)</f>
        <v>100</v>
      </c>
      <c r="J365" s="1174">
        <f ca="1">J372</f>
        <v>29</v>
      </c>
      <c r="K365" s="1175">
        <f t="shared" ca="1" si="161"/>
        <v>29</v>
      </c>
      <c r="L365" s="1176"/>
      <c r="M365" s="1176"/>
      <c r="N365" s="1176"/>
      <c r="O365" s="1176"/>
      <c r="P365" s="1176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69"/>
      <c r="B366" s="1170"/>
      <c r="C366" s="1171"/>
      <c r="D366" s="1177" t="s">
        <v>167</v>
      </c>
      <c r="E366" s="1172"/>
      <c r="F366" s="1172"/>
      <c r="G366" s="1173"/>
      <c r="H366" s="1178"/>
      <c r="I366" s="1179"/>
      <c r="J366" s="1179"/>
      <c r="K366" s="1176"/>
      <c r="L366" s="1176"/>
      <c r="M366" s="1176"/>
      <c r="N366" s="1176"/>
      <c r="O366" s="1176"/>
      <c r="P366" s="1176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49"/>
      <c r="B367" s="950"/>
      <c r="C367" s="946" t="s">
        <v>16</v>
      </c>
      <c r="D367" s="951" t="s">
        <v>38</v>
      </c>
      <c r="E367" s="952"/>
      <c r="F367" s="952"/>
      <c r="G367" s="953"/>
      <c r="H367" s="954"/>
      <c r="I367" s="830"/>
      <c r="J367" s="830"/>
      <c r="K367" s="831"/>
      <c r="L367" s="945"/>
      <c r="M367" s="945"/>
      <c r="N367" s="945"/>
      <c r="O367" s="945"/>
      <c r="P367" s="945"/>
    </row>
    <row r="368" spans="1:26" ht="18.75">
      <c r="A368" s="949"/>
      <c r="B368" s="957"/>
      <c r="C368" s="950"/>
      <c r="D368" s="957"/>
      <c r="E368" s="955" t="s">
        <v>161</v>
      </c>
      <c r="F368" s="957"/>
      <c r="G368" s="958"/>
      <c r="H368" s="777" t="s">
        <v>35</v>
      </c>
      <c r="I368" s="830">
        <v>0</v>
      </c>
      <c r="J368" s="830">
        <f ca="1">IFERROR(__xludf.DUMMYFUNCTION("IMPORTRANGE(""https://docs.google.com/spreadsheets/d/1XWAQStnk-4SwqDmLtmXYiTMKHgktTP8We1SCoS47DrQ/edit?usp=sharing"",""จัดที่ดิน!E23"")"),10)</f>
        <v>10</v>
      </c>
      <c r="K368" s="831">
        <f t="shared" ref="K368:K374" si="163">IF(I368&gt;0,J368*100/I368,0)</f>
        <v>0</v>
      </c>
      <c r="L368" s="945"/>
      <c r="M368" s="945"/>
      <c r="N368" s="945"/>
      <c r="O368" s="945"/>
      <c r="P368" s="945"/>
    </row>
    <row r="369" spans="1:26" ht="18.75">
      <c r="A369" s="949"/>
      <c r="B369" s="957"/>
      <c r="C369" s="950"/>
      <c r="D369" s="957"/>
      <c r="E369" s="957"/>
      <c r="F369" s="957"/>
      <c r="G369" s="958"/>
      <c r="H369" s="777" t="s">
        <v>46</v>
      </c>
      <c r="I369" s="830">
        <f ca="1">IFERROR(__xludf.DUMMYFUNCTION("IMPORTRANGE(""https://docs.google.com/spreadsheets/d/1QqKyyYR6Q21VydFLVH3TRQUabQu_ym0Zz7PgGX0-kHA/edit?usp=sharing"",""แผน!EI23"")"),1000)</f>
        <v>1000</v>
      </c>
      <c r="J369" s="830">
        <f ca="1">IFERROR(__xludf.DUMMYFUNCTION("IMPORTRANGE(""https://docs.google.com/spreadsheets/d/1XWAQStnk-4SwqDmLtmXYiTMKHgktTP8We1SCoS47DrQ/edit?usp=sharing"",""จัดที่ดิน!F23"")"),310.95)</f>
        <v>310.95</v>
      </c>
      <c r="K369" s="831">
        <f t="shared" ca="1" si="163"/>
        <v>31.094999999999999</v>
      </c>
      <c r="L369" s="945"/>
      <c r="M369" s="945"/>
      <c r="N369" s="945"/>
      <c r="O369" s="945"/>
      <c r="P369" s="945"/>
    </row>
    <row r="370" spans="1:26" ht="18.75">
      <c r="A370" s="949"/>
      <c r="B370" s="957"/>
      <c r="C370" s="950"/>
      <c r="D370" s="957"/>
      <c r="E370" s="955" t="s">
        <v>162</v>
      </c>
      <c r="F370" s="957"/>
      <c r="G370" s="958"/>
      <c r="H370" s="730" t="s">
        <v>35</v>
      </c>
      <c r="I370" s="830">
        <f ca="1">IFERROR(__xludf.DUMMYFUNCTION("IMPORTRANGE(""https://docs.google.com/spreadsheets/d/1QqKyyYR6Q21VydFLVH3TRQUabQu_ym0Zz7PgGX0-kHA/edit?usp=sharing"",""แผน!EJ23"")"),100)</f>
        <v>100</v>
      </c>
      <c r="J370" s="830">
        <f ca="1">IFERROR(__xludf.DUMMYFUNCTION("IMPORTRANGE(""https://docs.google.com/spreadsheets/d/1XWAQStnk-4SwqDmLtmXYiTMKHgktTP8We1SCoS47DrQ/edit?usp=sharing"",""จัดที่ดิน!G23"")"),60)</f>
        <v>60</v>
      </c>
      <c r="K370" s="831">
        <f t="shared" ca="1" si="163"/>
        <v>60</v>
      </c>
      <c r="L370" s="945"/>
      <c r="M370" s="945"/>
      <c r="N370" s="945"/>
      <c r="O370" s="945"/>
      <c r="P370" s="945"/>
    </row>
    <row r="371" spans="1:26" ht="18.75">
      <c r="A371" s="949"/>
      <c r="B371" s="957"/>
      <c r="C371" s="950"/>
      <c r="D371" s="957"/>
      <c r="E371" s="957"/>
      <c r="F371" s="957"/>
      <c r="G371" s="958"/>
      <c r="H371" s="730" t="s">
        <v>46</v>
      </c>
      <c r="I371" s="830">
        <v>0</v>
      </c>
      <c r="J371" s="830">
        <f ca="1">IFERROR(__xludf.DUMMYFUNCTION("IMPORTRANGE(""https://docs.google.com/spreadsheets/d/1XWAQStnk-4SwqDmLtmXYiTMKHgktTP8We1SCoS47DrQ/edit?usp=sharing"",""จัดที่ดิน!H23"")"),994.57)</f>
        <v>994.57</v>
      </c>
      <c r="K371" s="831">
        <f t="shared" si="163"/>
        <v>0</v>
      </c>
      <c r="L371" s="945"/>
      <c r="M371" s="945"/>
      <c r="N371" s="945"/>
      <c r="O371" s="945"/>
      <c r="P371" s="945"/>
    </row>
    <row r="372" spans="1:26" ht="18.75">
      <c r="A372" s="949"/>
      <c r="B372" s="957"/>
      <c r="C372" s="950"/>
      <c r="D372" s="957"/>
      <c r="E372" s="955" t="s">
        <v>163</v>
      </c>
      <c r="F372" s="957"/>
      <c r="G372" s="958"/>
      <c r="H372" s="730" t="s">
        <v>35</v>
      </c>
      <c r="I372" s="830">
        <f ca="1">IFERROR(__xludf.DUMMYFUNCTION("IMPORTRANGE(""https://docs.google.com/spreadsheets/d/1QqKyyYR6Q21VydFLVH3TRQUabQu_ym0Zz7PgGX0-kHA/edit?usp=sharing"",""แผน!EJ23"")"),100)</f>
        <v>100</v>
      </c>
      <c r="J372" s="830">
        <f ca="1">IFERROR(__xludf.DUMMYFUNCTION("IMPORTRANGE(""https://docs.google.com/spreadsheets/d/1XWAQStnk-4SwqDmLtmXYiTMKHgktTP8We1SCoS47DrQ/edit?usp=sharing"",""จัดที่ดิน!I23"")"),29)</f>
        <v>29</v>
      </c>
      <c r="K372" s="831">
        <f t="shared" ca="1" si="163"/>
        <v>29</v>
      </c>
      <c r="L372" s="945"/>
      <c r="M372" s="945"/>
      <c r="N372" s="945"/>
      <c r="O372" s="945"/>
      <c r="P372" s="945"/>
    </row>
    <row r="373" spans="1:26" ht="18.75">
      <c r="A373" s="1159" t="s">
        <v>164</v>
      </c>
      <c r="B373" s="957"/>
      <c r="C373" s="950"/>
      <c r="D373" s="957"/>
      <c r="E373" s="956"/>
      <c r="F373" s="957"/>
      <c r="G373" s="958"/>
      <c r="H373" s="730" t="s">
        <v>46</v>
      </c>
      <c r="I373" s="830">
        <v>0</v>
      </c>
      <c r="J373" s="830">
        <f ca="1">IFERROR(__xludf.DUMMYFUNCTION("IMPORTRANGE(""https://docs.google.com/spreadsheets/d/1XWAQStnk-4SwqDmLtmXYiTMKHgktTP8We1SCoS47DrQ/edit?usp=sharing"",""จัดที่ดิน!J23"")"),544.77)</f>
        <v>544.77</v>
      </c>
      <c r="K373" s="831">
        <f t="shared" si="163"/>
        <v>0</v>
      </c>
      <c r="L373" s="945"/>
      <c r="M373" s="945"/>
      <c r="N373" s="945"/>
      <c r="O373" s="945"/>
      <c r="P373" s="945"/>
    </row>
    <row r="374" spans="1:26" ht="19.5">
      <c r="A374" s="1169"/>
      <c r="B374" s="1170"/>
      <c r="C374" s="1171"/>
      <c r="D374" s="1171" t="s">
        <v>168</v>
      </c>
      <c r="E374" s="1172"/>
      <c r="F374" s="1172"/>
      <c r="G374" s="1173"/>
      <c r="H374" s="457" t="s">
        <v>35</v>
      </c>
      <c r="I374" s="1180">
        <f ca="1">IFERROR(__xludf.DUMMYFUNCTION("IMPORTRANGE(""https://docs.google.com/spreadsheets/d/1QqKyyYR6Q21VydFLVH3TRQUabQu_ym0Zz7PgGX0-kHA/edit?usp=sharing"",""แผน!EU23"")"),1185)</f>
        <v>1185</v>
      </c>
      <c r="J374" s="1174">
        <f ca="1">J381</f>
        <v>347</v>
      </c>
      <c r="K374" s="1175">
        <f t="shared" ca="1" si="163"/>
        <v>29.282700421940927</v>
      </c>
      <c r="L374" s="1176"/>
      <c r="M374" s="1176"/>
      <c r="N374" s="1176"/>
      <c r="O374" s="1176"/>
      <c r="P374" s="1176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69"/>
      <c r="B375" s="1170"/>
      <c r="C375" s="1171"/>
      <c r="D375" s="1177" t="s">
        <v>169</v>
      </c>
      <c r="E375" s="1172"/>
      <c r="F375" s="1172"/>
      <c r="G375" s="1173"/>
      <c r="H375" s="1178"/>
      <c r="I375" s="1179"/>
      <c r="J375" s="1179"/>
      <c r="K375" s="1176"/>
      <c r="L375" s="1176"/>
      <c r="M375" s="1176"/>
      <c r="N375" s="1176"/>
      <c r="O375" s="1176"/>
      <c r="P375" s="1176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49"/>
      <c r="B376" s="950"/>
      <c r="C376" s="946" t="s">
        <v>16</v>
      </c>
      <c r="D376" s="951" t="s">
        <v>38</v>
      </c>
      <c r="E376" s="952"/>
      <c r="F376" s="952"/>
      <c r="G376" s="953"/>
      <c r="H376" s="954"/>
      <c r="I376" s="830"/>
      <c r="J376" s="830"/>
      <c r="K376" s="831"/>
      <c r="L376" s="945"/>
      <c r="M376" s="945"/>
      <c r="N376" s="945"/>
      <c r="O376" s="945"/>
      <c r="P376" s="945"/>
    </row>
    <row r="377" spans="1:26" ht="18.75">
      <c r="A377" s="949"/>
      <c r="B377" s="957"/>
      <c r="C377" s="950"/>
      <c r="D377" s="957"/>
      <c r="E377" s="955" t="s">
        <v>161</v>
      </c>
      <c r="F377" s="957"/>
      <c r="G377" s="958"/>
      <c r="H377" s="777" t="s">
        <v>35</v>
      </c>
      <c r="I377" s="830">
        <v>0</v>
      </c>
      <c r="J377" s="830">
        <f ca="1">IFERROR(__xludf.DUMMYFUNCTION("IMPORTRANGE(""https://docs.google.com/spreadsheets/d/1XWAQStnk-4SwqDmLtmXYiTMKHgktTP8We1SCoS47DrQ/edit?usp=sharing"",""จัดที่ดิน!AH23"")"),8)</f>
        <v>8</v>
      </c>
      <c r="K377" s="831">
        <f t="shared" ref="K377:K382" si="164">IF(I377&gt;0,J377*100/I377,0)</f>
        <v>0</v>
      </c>
      <c r="L377" s="945"/>
      <c r="M377" s="945"/>
      <c r="N377" s="945"/>
      <c r="O377" s="945"/>
      <c r="P377" s="945"/>
    </row>
    <row r="378" spans="1:26" ht="18.75">
      <c r="A378" s="949"/>
      <c r="B378" s="957"/>
      <c r="C378" s="950"/>
      <c r="D378" s="957"/>
      <c r="E378" s="957"/>
      <c r="F378" s="957"/>
      <c r="G378" s="958"/>
      <c r="H378" s="777" t="s">
        <v>46</v>
      </c>
      <c r="I378" s="830">
        <f ca="1">IFERROR(__xludf.DUMMYFUNCTION("IMPORTRANGE(""https://docs.google.com/spreadsheets/d/1QqKyyYR6Q21VydFLVH3TRQUabQu_ym0Zz7PgGX0-kHA/edit?usp=sharing"",""แผน!ET23"")"),4000)</f>
        <v>4000</v>
      </c>
      <c r="J378" s="830">
        <f ca="1">IFERROR(__xludf.DUMMYFUNCTION("IMPORTRANGE(""https://docs.google.com/spreadsheets/d/1XWAQStnk-4SwqDmLtmXYiTMKHgktTP8We1SCoS47DrQ/edit?usp=sharing"",""จัดที่ดิน!AI23"")"),126.41)</f>
        <v>126.41</v>
      </c>
      <c r="K378" s="831">
        <f t="shared" ca="1" si="164"/>
        <v>3.16025</v>
      </c>
      <c r="L378" s="945"/>
      <c r="M378" s="945"/>
      <c r="N378" s="945"/>
      <c r="O378" s="945"/>
      <c r="P378" s="945"/>
    </row>
    <row r="379" spans="1:26" ht="18.75">
      <c r="A379" s="949"/>
      <c r="B379" s="957"/>
      <c r="C379" s="950"/>
      <c r="D379" s="957"/>
      <c r="E379" s="955" t="s">
        <v>162</v>
      </c>
      <c r="F379" s="957"/>
      <c r="G379" s="958"/>
      <c r="H379" s="730" t="s">
        <v>35</v>
      </c>
      <c r="I379" s="830">
        <f ca="1">IFERROR(__xludf.DUMMYFUNCTION("IMPORTRANGE(""https://docs.google.com/spreadsheets/d/1QqKyyYR6Q21VydFLVH3TRQUabQu_ym0Zz7PgGX0-kHA/edit?usp=sharing"",""แผน!EU23"")"),1185)</f>
        <v>1185</v>
      </c>
      <c r="J379" s="830">
        <f ca="1">IFERROR(__xludf.DUMMYFUNCTION("IMPORTRANGE(""https://docs.google.com/spreadsheets/d/1XWAQStnk-4SwqDmLtmXYiTMKHgktTP8We1SCoS47DrQ/edit?usp=sharing"",""จัดที่ดิน!AJ23"")"),353)</f>
        <v>353</v>
      </c>
      <c r="K379" s="831">
        <f t="shared" ca="1" si="164"/>
        <v>29.78902953586498</v>
      </c>
      <c r="L379" s="945"/>
      <c r="M379" s="945"/>
      <c r="N379" s="945"/>
      <c r="O379" s="945"/>
      <c r="P379" s="945"/>
    </row>
    <row r="380" spans="1:26" ht="18.75">
      <c r="A380" s="949"/>
      <c r="B380" s="957"/>
      <c r="C380" s="950"/>
      <c r="D380" s="957"/>
      <c r="E380" s="957"/>
      <c r="F380" s="957"/>
      <c r="G380" s="958"/>
      <c r="H380" s="730" t="s">
        <v>46</v>
      </c>
      <c r="I380" s="830">
        <v>0</v>
      </c>
      <c r="J380" s="830">
        <f ca="1">IFERROR(__xludf.DUMMYFUNCTION("IMPORTRANGE(""https://docs.google.com/spreadsheets/d/1XWAQStnk-4SwqDmLtmXYiTMKHgktTP8We1SCoS47DrQ/edit?usp=sharing"",""จัดที่ดิน!AK23"")"),6272.44)</f>
        <v>6272.44</v>
      </c>
      <c r="K380" s="831">
        <f t="shared" si="164"/>
        <v>0</v>
      </c>
      <c r="L380" s="945"/>
      <c r="M380" s="945"/>
      <c r="N380" s="945"/>
      <c r="O380" s="945"/>
      <c r="P380" s="945"/>
    </row>
    <row r="381" spans="1:26" ht="18.75">
      <c r="A381" s="949"/>
      <c r="B381" s="957"/>
      <c r="C381" s="950"/>
      <c r="D381" s="957"/>
      <c r="E381" s="955" t="s">
        <v>163</v>
      </c>
      <c r="F381" s="957"/>
      <c r="G381" s="958"/>
      <c r="H381" s="730" t="s">
        <v>35</v>
      </c>
      <c r="I381" s="830">
        <f ca="1">IFERROR(__xludf.DUMMYFUNCTION("IMPORTRANGE(""https://docs.google.com/spreadsheets/d/1QqKyyYR6Q21VydFLVH3TRQUabQu_ym0Zz7PgGX0-kHA/edit?usp=sharing"",""แผน!EU23"")"),1185)</f>
        <v>1185</v>
      </c>
      <c r="J381" s="830">
        <f ca="1">IFERROR(__xludf.DUMMYFUNCTION("IMPORTRANGE(""https://docs.google.com/spreadsheets/d/1XWAQStnk-4SwqDmLtmXYiTMKHgktTP8We1SCoS47DrQ/edit?usp=sharing"",""จัดที่ดิน!AL23"")"),347)</f>
        <v>347</v>
      </c>
      <c r="K381" s="831">
        <f t="shared" ca="1" si="164"/>
        <v>29.282700421940927</v>
      </c>
      <c r="L381" s="945"/>
      <c r="M381" s="945"/>
      <c r="N381" s="945"/>
      <c r="O381" s="945"/>
      <c r="P381" s="945"/>
    </row>
    <row r="382" spans="1:26" ht="18.75">
      <c r="A382" s="1159" t="s">
        <v>164</v>
      </c>
      <c r="B382" s="957"/>
      <c r="C382" s="950"/>
      <c r="D382" s="957"/>
      <c r="E382" s="956"/>
      <c r="F382" s="957"/>
      <c r="G382" s="958"/>
      <c r="H382" s="730" t="s">
        <v>46</v>
      </c>
      <c r="I382" s="830">
        <v>0</v>
      </c>
      <c r="J382" s="830">
        <f ca="1">IFERROR(__xludf.DUMMYFUNCTION("IMPORTRANGE(""https://docs.google.com/spreadsheets/d/1XWAQStnk-4SwqDmLtmXYiTMKHgktTP8We1SCoS47DrQ/edit?usp=sharing"",""จัดที่ดิน!AM23"")"),6169.83)</f>
        <v>6169.83</v>
      </c>
      <c r="K382" s="831">
        <f t="shared" si="164"/>
        <v>0</v>
      </c>
      <c r="L382" s="945"/>
      <c r="M382" s="945"/>
      <c r="N382" s="945"/>
      <c r="O382" s="945"/>
      <c r="P382" s="945"/>
    </row>
    <row r="383" spans="1:26" ht="19.5">
      <c r="A383" s="1011"/>
      <c r="B383" s="1018"/>
      <c r="C383" s="1012"/>
      <c r="D383" s="1145" t="s">
        <v>170</v>
      </c>
      <c r="E383" s="1012"/>
      <c r="F383" s="1012"/>
      <c r="G383" s="1014"/>
      <c r="H383" s="1146"/>
      <c r="I383" s="1015"/>
      <c r="J383" s="1015"/>
      <c r="K383" s="1016"/>
      <c r="L383" s="1016"/>
      <c r="M383" s="1016"/>
      <c r="N383" s="1016"/>
      <c r="O383" s="1016"/>
      <c r="P383" s="1016"/>
    </row>
    <row r="384" spans="1:26" ht="19.5">
      <c r="A384" s="949"/>
      <c r="B384" s="950"/>
      <c r="C384" s="827" t="s">
        <v>16</v>
      </c>
      <c r="D384" s="951" t="s">
        <v>38</v>
      </c>
      <c r="E384" s="952"/>
      <c r="F384" s="952"/>
      <c r="G384" s="953"/>
      <c r="H384" s="954"/>
      <c r="I384" s="830"/>
      <c r="J384" s="830"/>
      <c r="K384" s="831"/>
      <c r="L384" s="945"/>
      <c r="M384" s="945"/>
      <c r="N384" s="945"/>
      <c r="O384" s="945"/>
      <c r="P384" s="945"/>
    </row>
    <row r="385" spans="1:26" ht="18.75">
      <c r="A385" s="1080"/>
      <c r="B385" s="1083"/>
      <c r="C385" s="1081"/>
      <c r="D385" s="1083"/>
      <c r="E385" s="1181" t="s">
        <v>163</v>
      </c>
      <c r="F385" s="1083"/>
      <c r="G385" s="1084"/>
      <c r="H385" s="468" t="s">
        <v>35</v>
      </c>
      <c r="I385" s="1085">
        <f ca="1">IFERROR(__xludf.DUMMYFUNCTION("IMPORTRANGE(""https://docs.google.com/spreadsheets/d/1QqKyyYR6Q21VydFLVH3TRQUabQu_ym0Zz7PgGX0-kHA/edit?usp=sharing"",""แผน!EW23"")"),10)</f>
        <v>10</v>
      </c>
      <c r="J385" s="1085">
        <f ca="1">IFERROR(__xludf.DUMMYFUNCTION("IMPORTRANGE(""https://docs.google.com/spreadsheets/d/1XWAQStnk-4SwqDmLtmXYiTMKHgktTP8We1SCoS47DrQ/edit?usp=sharing"",""จัดที่ดิน!AP23"")"),6)</f>
        <v>6</v>
      </c>
      <c r="K385" s="1182">
        <f ca="1">IF(I385&gt;0,J385*100/I385,0)</f>
        <v>60</v>
      </c>
      <c r="L385" s="1086"/>
      <c r="M385" s="1086"/>
      <c r="N385" s="1086"/>
      <c r="O385" s="1086"/>
      <c r="P385" s="1086"/>
    </row>
    <row r="386" spans="1:26" ht="19.5" hidden="1">
      <c r="A386" s="1183" t="s">
        <v>171</v>
      </c>
      <c r="B386" s="1184"/>
      <c r="C386" s="1184"/>
      <c r="D386" s="1184"/>
      <c r="E386" s="1185"/>
      <c r="F386" s="1185"/>
      <c r="G386" s="1186"/>
      <c r="H386" s="1187"/>
      <c r="I386" s="1188"/>
      <c r="J386" s="1188"/>
      <c r="K386" s="1189"/>
      <c r="L386" s="1189"/>
      <c r="M386" s="1189"/>
      <c r="N386" s="1189"/>
      <c r="O386" s="1189"/>
      <c r="P386" s="1189"/>
    </row>
    <row r="387" spans="1:26" ht="19.5" hidden="1">
      <c r="A387" s="1190" t="s">
        <v>172</v>
      </c>
      <c r="B387" s="1191"/>
      <c r="C387" s="1191"/>
      <c r="D387" s="1192"/>
      <c r="E387" s="1191"/>
      <c r="F387" s="1191"/>
      <c r="G387" s="1191"/>
      <c r="H387" s="1193"/>
      <c r="I387" s="1194"/>
      <c r="J387" s="1194"/>
      <c r="K387" s="1195"/>
      <c r="L387" s="1195"/>
      <c r="M387" s="1195"/>
      <c r="N387" s="1195"/>
      <c r="O387" s="1195"/>
      <c r="P387" s="1195"/>
    </row>
    <row r="388" spans="1:26" ht="19.5" hidden="1">
      <c r="A388" s="1196"/>
      <c r="B388" s="1197" t="s">
        <v>173</v>
      </c>
      <c r="C388" s="1198"/>
      <c r="D388" s="1199"/>
      <c r="E388" s="1199"/>
      <c r="F388" s="1199"/>
      <c r="G388" s="1200"/>
      <c r="H388" s="489" t="s">
        <v>66</v>
      </c>
      <c r="I388" s="1201">
        <f t="shared" ref="I388:J388" si="165">I400</f>
        <v>0</v>
      </c>
      <c r="J388" s="1201">
        <f t="shared" si="165"/>
        <v>0</v>
      </c>
      <c r="K388" s="1202">
        <f>IF(I388&gt;0,J388*100/I388,0)</f>
        <v>0</v>
      </c>
      <c r="L388" s="1203"/>
      <c r="M388" s="1203"/>
      <c r="N388" s="1203"/>
      <c r="O388" s="1203"/>
      <c r="P388" s="1203"/>
    </row>
    <row r="389" spans="1:26" ht="19.5" hidden="1">
      <c r="A389" s="932"/>
      <c r="B389" s="933"/>
      <c r="C389" s="934" t="s">
        <v>16</v>
      </c>
      <c r="D389" s="935" t="s">
        <v>17</v>
      </c>
      <c r="E389" s="933"/>
      <c r="F389" s="933"/>
      <c r="G389" s="936"/>
      <c r="H389" s="152" t="s">
        <v>12</v>
      </c>
      <c r="I389" s="937"/>
      <c r="J389" s="937"/>
      <c r="K389" s="938"/>
      <c r="L389" s="939">
        <f t="shared" ref="L389:N389" ca="1" si="166">L390+L391</f>
        <v>0</v>
      </c>
      <c r="M389" s="939">
        <f t="shared" ca="1" si="166"/>
        <v>0</v>
      </c>
      <c r="N389" s="939">
        <f t="shared" ca="1" si="166"/>
        <v>0</v>
      </c>
      <c r="O389" s="939">
        <f t="shared" ref="O389:O397" ca="1" si="167">IF(L389&gt;0,N389*100/L389,0)</f>
        <v>0</v>
      </c>
      <c r="P389" s="939">
        <f t="shared" ref="P389:P397" ca="1" si="168">IF(M389&gt;0,N389*100/M389,0)</f>
        <v>0</v>
      </c>
      <c r="Q389" s="818"/>
      <c r="R389" s="818"/>
      <c r="S389" s="818"/>
      <c r="T389" s="818"/>
      <c r="U389" s="818"/>
      <c r="V389" s="818"/>
      <c r="W389" s="818"/>
      <c r="X389" s="818"/>
      <c r="Y389" s="818"/>
      <c r="Z389" s="818"/>
    </row>
    <row r="390" spans="1:26" ht="18.75" hidden="1">
      <c r="A390" s="940"/>
      <c r="B390" s="833"/>
      <c r="C390" s="833"/>
      <c r="D390" s="833"/>
      <c r="E390" s="834" t="s">
        <v>18</v>
      </c>
      <c r="F390" s="833"/>
      <c r="G390" s="941"/>
      <c r="H390" s="158" t="s">
        <v>12</v>
      </c>
      <c r="I390" s="836"/>
      <c r="J390" s="836"/>
      <c r="K390" s="837"/>
      <c r="L390" s="837">
        <f t="shared" ref="L390:N391" si="169">L393+L396</f>
        <v>0</v>
      </c>
      <c r="M390" s="837">
        <f t="shared" si="169"/>
        <v>0</v>
      </c>
      <c r="N390" s="837">
        <f t="shared" si="169"/>
        <v>0</v>
      </c>
      <c r="O390" s="837">
        <f t="shared" si="167"/>
        <v>0</v>
      </c>
      <c r="P390" s="837">
        <f t="shared" si="168"/>
        <v>0</v>
      </c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</row>
    <row r="391" spans="1:26" ht="18.75" hidden="1">
      <c r="A391" s="940"/>
      <c r="B391" s="833"/>
      <c r="C391" s="833"/>
      <c r="D391" s="833"/>
      <c r="E391" s="834" t="s">
        <v>19</v>
      </c>
      <c r="F391" s="833"/>
      <c r="G391" s="941"/>
      <c r="H391" s="158" t="s">
        <v>12</v>
      </c>
      <c r="I391" s="836"/>
      <c r="J391" s="836"/>
      <c r="K391" s="837"/>
      <c r="L391" s="837">
        <f t="shared" ca="1" si="169"/>
        <v>0</v>
      </c>
      <c r="M391" s="837">
        <f t="shared" ca="1" si="169"/>
        <v>0</v>
      </c>
      <c r="N391" s="837">
        <f t="shared" ca="1" si="169"/>
        <v>0</v>
      </c>
      <c r="O391" s="837">
        <f t="shared" ca="1" si="167"/>
        <v>0</v>
      </c>
      <c r="P391" s="837">
        <f t="shared" ca="1" si="168"/>
        <v>0</v>
      </c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</row>
    <row r="392" spans="1:26" ht="18.75" hidden="1">
      <c r="A392" s="942"/>
      <c r="B392" s="827"/>
      <c r="C392" s="943"/>
      <c r="D392" s="828" t="s">
        <v>20</v>
      </c>
      <c r="E392" s="827"/>
      <c r="F392" s="827"/>
      <c r="G392" s="829"/>
      <c r="H392" s="778" t="s">
        <v>12</v>
      </c>
      <c r="I392" s="944"/>
      <c r="J392" s="944"/>
      <c r="K392" s="945"/>
      <c r="L392" s="831">
        <f t="shared" ref="L392:N392" ca="1" si="170">L393+L394</f>
        <v>0</v>
      </c>
      <c r="M392" s="831">
        <f t="shared" ca="1" si="170"/>
        <v>0</v>
      </c>
      <c r="N392" s="831">
        <f t="shared" ca="1" si="170"/>
        <v>0</v>
      </c>
      <c r="O392" s="831">
        <f t="shared" ca="1" si="167"/>
        <v>0</v>
      </c>
      <c r="P392" s="831">
        <f t="shared" ca="1" si="168"/>
        <v>0</v>
      </c>
      <c r="Q392" s="818"/>
      <c r="R392" s="818"/>
      <c r="S392" s="818"/>
      <c r="T392" s="818"/>
      <c r="U392" s="818"/>
      <c r="V392" s="818"/>
      <c r="W392" s="818"/>
      <c r="X392" s="818"/>
      <c r="Y392" s="818"/>
      <c r="Z392" s="818"/>
    </row>
    <row r="393" spans="1:26" ht="19.5" hidden="1">
      <c r="A393" s="940"/>
      <c r="B393" s="833"/>
      <c r="C393" s="946"/>
      <c r="D393" s="833"/>
      <c r="E393" s="834" t="s">
        <v>36</v>
      </c>
      <c r="F393" s="833"/>
      <c r="G393" s="941"/>
      <c r="H393" s="165" t="s">
        <v>12</v>
      </c>
      <c r="I393" s="947"/>
      <c r="J393" s="947"/>
      <c r="K393" s="948"/>
      <c r="L393" s="837">
        <v>0</v>
      </c>
      <c r="M393" s="837">
        <v>0</v>
      </c>
      <c r="N393" s="837">
        <v>0</v>
      </c>
      <c r="O393" s="837">
        <f t="shared" si="167"/>
        <v>0</v>
      </c>
      <c r="P393" s="837">
        <f t="shared" si="168"/>
        <v>0</v>
      </c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</row>
    <row r="394" spans="1:26" ht="19.5" hidden="1">
      <c r="A394" s="940"/>
      <c r="B394" s="833"/>
      <c r="C394" s="946"/>
      <c r="D394" s="833"/>
      <c r="E394" s="834" t="s">
        <v>37</v>
      </c>
      <c r="F394" s="833"/>
      <c r="G394" s="941"/>
      <c r="H394" s="165" t="s">
        <v>12</v>
      </c>
      <c r="I394" s="947"/>
      <c r="J394" s="947"/>
      <c r="K394" s="948"/>
      <c r="L394" s="837">
        <f ca="1">IFERROR(__xludf.DUMMYFUNCTION("IMPORTRANGE(""https://docs.google.com/spreadsheets/d/1MeEWN-I1oV_STSDYn1IFDPWt_1FKiwhDph83XaGc0o0/edit?usp=sharing"",""งบพรบ!FG23"")"),0)</f>
        <v>0</v>
      </c>
      <c r="M394" s="837">
        <f ca="1">IFERROR(__xludf.DUMMYFUNCTION("IMPORTRANGE(""https://docs.google.com/spreadsheets/d/1MeEWN-I1oV_STSDYn1IFDPWt_1FKiwhDph83XaGc0o0/edit?usp=sharing"",""งบพรบ!FL23"")"),0)</f>
        <v>0</v>
      </c>
      <c r="N394" s="837">
        <f ca="1">IFERROR(__xludf.DUMMYFUNCTION("IMPORTRANGE(""https://docs.google.com/spreadsheets/d/1MeEWN-I1oV_STSDYn1IFDPWt_1FKiwhDph83XaGc0o0/edit?usp=sharing"",""งบพรบ!FN23"")"),0)</f>
        <v>0</v>
      </c>
      <c r="O394" s="837">
        <f t="shared" ca="1" si="167"/>
        <v>0</v>
      </c>
      <c r="P394" s="837">
        <f t="shared" ca="1" si="168"/>
        <v>0</v>
      </c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</row>
    <row r="395" spans="1:26" ht="18.75" hidden="1">
      <c r="A395" s="942"/>
      <c r="B395" s="827"/>
      <c r="C395" s="943"/>
      <c r="D395" s="828" t="s">
        <v>21</v>
      </c>
      <c r="E395" s="827"/>
      <c r="F395" s="827"/>
      <c r="G395" s="829"/>
      <c r="H395" s="168" t="s">
        <v>12</v>
      </c>
      <c r="I395" s="944"/>
      <c r="J395" s="944"/>
      <c r="K395" s="945"/>
      <c r="L395" s="831">
        <f t="shared" ref="L395:N395" ca="1" si="171">L396+L397</f>
        <v>0</v>
      </c>
      <c r="M395" s="831">
        <f t="shared" ca="1" si="171"/>
        <v>0</v>
      </c>
      <c r="N395" s="831">
        <f t="shared" ca="1" si="171"/>
        <v>0</v>
      </c>
      <c r="O395" s="831">
        <f t="shared" ca="1" si="167"/>
        <v>0</v>
      </c>
      <c r="P395" s="831">
        <f t="shared" ca="1" si="168"/>
        <v>0</v>
      </c>
      <c r="Q395" s="818"/>
      <c r="R395" s="818"/>
      <c r="S395" s="818"/>
      <c r="T395" s="818"/>
      <c r="U395" s="818"/>
      <c r="V395" s="818"/>
      <c r="W395" s="818"/>
      <c r="X395" s="818"/>
      <c r="Y395" s="818"/>
      <c r="Z395" s="818"/>
    </row>
    <row r="396" spans="1:26" ht="19.5" hidden="1">
      <c r="A396" s="940"/>
      <c r="B396" s="833"/>
      <c r="C396" s="946"/>
      <c r="D396" s="833"/>
      <c r="E396" s="834" t="s">
        <v>18</v>
      </c>
      <c r="F396" s="833"/>
      <c r="G396" s="941"/>
      <c r="H396" s="165" t="s">
        <v>12</v>
      </c>
      <c r="I396" s="947"/>
      <c r="J396" s="947"/>
      <c r="K396" s="948"/>
      <c r="L396" s="837">
        <v>0</v>
      </c>
      <c r="M396" s="837">
        <v>0</v>
      </c>
      <c r="N396" s="837">
        <v>0</v>
      </c>
      <c r="O396" s="837">
        <f t="shared" si="167"/>
        <v>0</v>
      </c>
      <c r="P396" s="837">
        <f t="shared" si="168"/>
        <v>0</v>
      </c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</row>
    <row r="397" spans="1:26" ht="19.5" hidden="1">
      <c r="A397" s="940"/>
      <c r="B397" s="833"/>
      <c r="C397" s="946"/>
      <c r="D397" s="833"/>
      <c r="E397" s="834" t="s">
        <v>19</v>
      </c>
      <c r="F397" s="833"/>
      <c r="G397" s="941"/>
      <c r="H397" s="169" t="s">
        <v>12</v>
      </c>
      <c r="I397" s="947"/>
      <c r="J397" s="947"/>
      <c r="K397" s="948"/>
      <c r="L397" s="837">
        <f ca="1">IFERROR(__xludf.DUMMYFUNCTION("IMPORTRANGE(""https://docs.google.com/spreadsheets/d/1MeEWN-I1oV_STSDYn1IFDPWt_1FKiwhDph83XaGc0o0/edit?usp=sharing"",""งบพรบ!FJ23"")"),0)</f>
        <v>0</v>
      </c>
      <c r="M397" s="837">
        <f ca="1">IFERROR(__xludf.DUMMYFUNCTION("IMPORTRANGE(""https://docs.google.com/spreadsheets/d/1MeEWN-I1oV_STSDYn1IFDPWt_1FKiwhDph83XaGc0o0/edit?usp=sharing"",""งบพรบ!FM23"")"),0)</f>
        <v>0</v>
      </c>
      <c r="N397" s="837">
        <f ca="1">IFERROR(__xludf.DUMMYFUNCTION("IMPORTRANGE(""https://docs.google.com/spreadsheets/d/1MeEWN-I1oV_STSDYn1IFDPWt_1FKiwhDph83XaGc0o0/edit?usp=sharing"",""งบพรบ!FO23"")"),0)</f>
        <v>0</v>
      </c>
      <c r="O397" s="837">
        <f t="shared" ca="1" si="167"/>
        <v>0</v>
      </c>
      <c r="P397" s="837">
        <f t="shared" ca="1" si="168"/>
        <v>0</v>
      </c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</row>
    <row r="398" spans="1:26" ht="19.5" hidden="1">
      <c r="A398" s="949"/>
      <c r="B398" s="950"/>
      <c r="C398" s="946" t="s">
        <v>16</v>
      </c>
      <c r="D398" s="951" t="s">
        <v>38</v>
      </c>
      <c r="E398" s="952"/>
      <c r="F398" s="952"/>
      <c r="G398" s="953"/>
      <c r="H398" s="954"/>
      <c r="I398" s="944"/>
      <c r="J398" s="830"/>
      <c r="K398" s="831"/>
      <c r="L398" s="831"/>
      <c r="M398" s="831"/>
      <c r="N398" s="831"/>
      <c r="O398" s="945"/>
      <c r="P398" s="945"/>
    </row>
    <row r="399" spans="1:26" ht="18.75" hidden="1">
      <c r="A399" s="1204"/>
      <c r="B399" s="933"/>
      <c r="C399" s="1205"/>
      <c r="D399" s="968" t="s">
        <v>174</v>
      </c>
      <c r="E399" s="1113"/>
      <c r="F399" s="933"/>
      <c r="G399" s="936"/>
      <c r="H399" s="496" t="s">
        <v>9</v>
      </c>
      <c r="I399" s="830">
        <v>0</v>
      </c>
      <c r="J399" s="959">
        <v>0</v>
      </c>
      <c r="K399" s="831">
        <f t="shared" ref="K399:K401" si="172">IF(I399&gt;0,J399*100/I399,0)</f>
        <v>0</v>
      </c>
      <c r="L399" s="1206"/>
      <c r="M399" s="1206"/>
      <c r="N399" s="1206"/>
      <c r="O399" s="1206"/>
      <c r="P399" s="1206"/>
      <c r="Q399" s="818"/>
      <c r="R399" s="818"/>
      <c r="S399" s="818"/>
      <c r="T399" s="818"/>
      <c r="U399" s="818"/>
      <c r="V399" s="818"/>
      <c r="W399" s="818"/>
      <c r="X399" s="818"/>
      <c r="Y399" s="818"/>
      <c r="Z399" s="818"/>
    </row>
    <row r="400" spans="1:26" ht="18.75" hidden="1">
      <c r="A400" s="1032"/>
      <c r="B400" s="827"/>
      <c r="C400" s="1030"/>
      <c r="D400" s="956" t="s">
        <v>175</v>
      </c>
      <c r="E400" s="950"/>
      <c r="F400" s="827"/>
      <c r="G400" s="829"/>
      <c r="H400" s="277" t="s">
        <v>66</v>
      </c>
      <c r="I400" s="830">
        <v>0</v>
      </c>
      <c r="J400" s="959">
        <v>0</v>
      </c>
      <c r="K400" s="831">
        <f t="shared" si="172"/>
        <v>0</v>
      </c>
      <c r="L400" s="831"/>
      <c r="M400" s="831"/>
      <c r="N400" s="831"/>
      <c r="O400" s="831"/>
      <c r="P400" s="831"/>
    </row>
    <row r="401" spans="1:26" ht="19.5" hidden="1">
      <c r="A401" s="1196"/>
      <c r="B401" s="1197" t="s">
        <v>176</v>
      </c>
      <c r="C401" s="1198"/>
      <c r="D401" s="1199"/>
      <c r="E401" s="1199"/>
      <c r="F401" s="1199"/>
      <c r="G401" s="1200"/>
      <c r="H401" s="489" t="s">
        <v>66</v>
      </c>
      <c r="I401" s="1201">
        <f t="shared" ref="I401:J401" si="173">I412</f>
        <v>0</v>
      </c>
      <c r="J401" s="1201">
        <f t="shared" si="173"/>
        <v>0</v>
      </c>
      <c r="K401" s="1202">
        <f t="shared" si="172"/>
        <v>0</v>
      </c>
      <c r="L401" s="1203"/>
      <c r="M401" s="1203"/>
      <c r="N401" s="1203"/>
      <c r="O401" s="1203"/>
      <c r="P401" s="1203"/>
    </row>
    <row r="402" spans="1:26" ht="19.5" hidden="1">
      <c r="A402" s="932"/>
      <c r="B402" s="933"/>
      <c r="C402" s="934" t="s">
        <v>16</v>
      </c>
      <c r="D402" s="935" t="s">
        <v>17</v>
      </c>
      <c r="E402" s="933"/>
      <c r="F402" s="933"/>
      <c r="G402" s="936"/>
      <c r="H402" s="152" t="s">
        <v>12</v>
      </c>
      <c r="I402" s="937"/>
      <c r="J402" s="937"/>
      <c r="K402" s="938"/>
      <c r="L402" s="939">
        <f t="shared" ref="L402:N402" ca="1" si="174">L403+L404</f>
        <v>0</v>
      </c>
      <c r="M402" s="939">
        <f t="shared" ca="1" si="174"/>
        <v>0</v>
      </c>
      <c r="N402" s="939">
        <f t="shared" ca="1" si="174"/>
        <v>0</v>
      </c>
      <c r="O402" s="939">
        <f t="shared" ref="O402:O410" ca="1" si="175">IF(L402&gt;0,N402*100/L402,0)</f>
        <v>0</v>
      </c>
      <c r="P402" s="939">
        <f t="shared" ref="P402:P410" ca="1" si="176">IF(M402&gt;0,N402*100/M402,0)</f>
        <v>0</v>
      </c>
      <c r="Q402" s="818"/>
      <c r="R402" s="818"/>
      <c r="S402" s="818"/>
      <c r="T402" s="818"/>
      <c r="U402" s="818"/>
      <c r="V402" s="818"/>
      <c r="W402" s="818"/>
      <c r="X402" s="818"/>
      <c r="Y402" s="818"/>
      <c r="Z402" s="818"/>
    </row>
    <row r="403" spans="1:26" ht="18.75" hidden="1">
      <c r="A403" s="940"/>
      <c r="B403" s="833"/>
      <c r="C403" s="833"/>
      <c r="D403" s="833"/>
      <c r="E403" s="834" t="s">
        <v>18</v>
      </c>
      <c r="F403" s="833"/>
      <c r="G403" s="941"/>
      <c r="H403" s="158" t="s">
        <v>12</v>
      </c>
      <c r="I403" s="836"/>
      <c r="J403" s="836"/>
      <c r="K403" s="837"/>
      <c r="L403" s="837">
        <f t="shared" ref="L403:N404" si="177">L406+L409</f>
        <v>0</v>
      </c>
      <c r="M403" s="837">
        <f t="shared" si="177"/>
        <v>0</v>
      </c>
      <c r="N403" s="837">
        <f t="shared" si="177"/>
        <v>0</v>
      </c>
      <c r="O403" s="837">
        <f t="shared" si="175"/>
        <v>0</v>
      </c>
      <c r="P403" s="837">
        <f t="shared" si="176"/>
        <v>0</v>
      </c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</row>
    <row r="404" spans="1:26" ht="18.75" hidden="1">
      <c r="A404" s="940"/>
      <c r="B404" s="833"/>
      <c r="C404" s="833"/>
      <c r="D404" s="833"/>
      <c r="E404" s="834" t="s">
        <v>19</v>
      </c>
      <c r="F404" s="833"/>
      <c r="G404" s="941"/>
      <c r="H404" s="158" t="s">
        <v>12</v>
      </c>
      <c r="I404" s="836"/>
      <c r="J404" s="836"/>
      <c r="K404" s="837"/>
      <c r="L404" s="837">
        <f t="shared" ca="1" si="177"/>
        <v>0</v>
      </c>
      <c r="M404" s="837">
        <f t="shared" ca="1" si="177"/>
        <v>0</v>
      </c>
      <c r="N404" s="837">
        <f t="shared" ca="1" si="177"/>
        <v>0</v>
      </c>
      <c r="O404" s="837">
        <f t="shared" ca="1" si="175"/>
        <v>0</v>
      </c>
      <c r="P404" s="837">
        <f t="shared" ca="1" si="176"/>
        <v>0</v>
      </c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</row>
    <row r="405" spans="1:26" ht="18.75" hidden="1">
      <c r="A405" s="942"/>
      <c r="B405" s="827"/>
      <c r="C405" s="943"/>
      <c r="D405" s="828" t="s">
        <v>20</v>
      </c>
      <c r="E405" s="827"/>
      <c r="F405" s="827"/>
      <c r="G405" s="829"/>
      <c r="H405" s="778" t="s">
        <v>12</v>
      </c>
      <c r="I405" s="944"/>
      <c r="J405" s="944"/>
      <c r="K405" s="945"/>
      <c r="L405" s="831">
        <f t="shared" ref="L405:N405" ca="1" si="178">L406+L407</f>
        <v>0</v>
      </c>
      <c r="M405" s="831">
        <f t="shared" ca="1" si="178"/>
        <v>0</v>
      </c>
      <c r="N405" s="831">
        <f t="shared" ca="1" si="178"/>
        <v>0</v>
      </c>
      <c r="O405" s="831">
        <f t="shared" ca="1" si="175"/>
        <v>0</v>
      </c>
      <c r="P405" s="831">
        <f t="shared" ca="1" si="176"/>
        <v>0</v>
      </c>
      <c r="Q405" s="818"/>
      <c r="R405" s="818"/>
      <c r="S405" s="818"/>
      <c r="T405" s="818"/>
      <c r="U405" s="818"/>
      <c r="V405" s="818"/>
      <c r="W405" s="818"/>
      <c r="X405" s="818"/>
      <c r="Y405" s="818"/>
      <c r="Z405" s="818"/>
    </row>
    <row r="406" spans="1:26" ht="19.5" hidden="1">
      <c r="A406" s="940"/>
      <c r="B406" s="833"/>
      <c r="C406" s="946"/>
      <c r="D406" s="833"/>
      <c r="E406" s="834" t="s">
        <v>36</v>
      </c>
      <c r="F406" s="833"/>
      <c r="G406" s="941"/>
      <c r="H406" s="165" t="s">
        <v>12</v>
      </c>
      <c r="I406" s="947"/>
      <c r="J406" s="947"/>
      <c r="K406" s="948"/>
      <c r="L406" s="837">
        <v>0</v>
      </c>
      <c r="M406" s="837">
        <v>0</v>
      </c>
      <c r="N406" s="837">
        <v>0</v>
      </c>
      <c r="O406" s="837">
        <f t="shared" si="175"/>
        <v>0</v>
      </c>
      <c r="P406" s="837">
        <f t="shared" si="176"/>
        <v>0</v>
      </c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</row>
    <row r="407" spans="1:26" ht="19.5" hidden="1">
      <c r="A407" s="940"/>
      <c r="B407" s="833"/>
      <c r="C407" s="946"/>
      <c r="D407" s="833"/>
      <c r="E407" s="834" t="s">
        <v>37</v>
      </c>
      <c r="F407" s="833"/>
      <c r="G407" s="941"/>
      <c r="H407" s="165" t="s">
        <v>12</v>
      </c>
      <c r="I407" s="947"/>
      <c r="J407" s="947"/>
      <c r="K407" s="948"/>
      <c r="L407" s="837">
        <f ca="1">IFERROR(__xludf.DUMMYFUNCTION("IMPORTRANGE(""https://docs.google.com/spreadsheets/d/1MeEWN-I1oV_STSDYn1IFDPWt_1FKiwhDph83XaGc0o0/edit?usp=sharing"",""งบพรบ!FQ23"")"),0)</f>
        <v>0</v>
      </c>
      <c r="M407" s="837">
        <f ca="1">IFERROR(__xludf.DUMMYFUNCTION("IMPORTRANGE(""https://docs.google.com/spreadsheets/d/1MeEWN-I1oV_STSDYn1IFDPWt_1FKiwhDph83XaGc0o0/edit?usp=sharing"",""งบพรบ!FV23"")"),0)</f>
        <v>0</v>
      </c>
      <c r="N407" s="837">
        <f ca="1">IFERROR(__xludf.DUMMYFUNCTION("IMPORTRANGE(""https://docs.google.com/spreadsheets/d/1MeEWN-I1oV_STSDYn1IFDPWt_1FKiwhDph83XaGc0o0/edit?usp=sharing"",""งบพรบ!FX23"")"),0)</f>
        <v>0</v>
      </c>
      <c r="O407" s="837">
        <f t="shared" ca="1" si="175"/>
        <v>0</v>
      </c>
      <c r="P407" s="837">
        <f t="shared" ca="1" si="176"/>
        <v>0</v>
      </c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</row>
    <row r="408" spans="1:26" ht="18.75" hidden="1">
      <c r="A408" s="942"/>
      <c r="B408" s="827"/>
      <c r="C408" s="943"/>
      <c r="D408" s="828" t="s">
        <v>21</v>
      </c>
      <c r="E408" s="827"/>
      <c r="F408" s="827"/>
      <c r="G408" s="829"/>
      <c r="H408" s="168" t="s">
        <v>12</v>
      </c>
      <c r="I408" s="944"/>
      <c r="J408" s="944"/>
      <c r="K408" s="945"/>
      <c r="L408" s="831">
        <f t="shared" ref="L408:N408" ca="1" si="179">L409+L410</f>
        <v>0</v>
      </c>
      <c r="M408" s="831">
        <f t="shared" ca="1" si="179"/>
        <v>0</v>
      </c>
      <c r="N408" s="831">
        <f t="shared" ca="1" si="179"/>
        <v>0</v>
      </c>
      <c r="O408" s="831">
        <f t="shared" ca="1" si="175"/>
        <v>0</v>
      </c>
      <c r="P408" s="831">
        <f t="shared" ca="1" si="176"/>
        <v>0</v>
      </c>
      <c r="Q408" s="818"/>
      <c r="R408" s="818"/>
      <c r="S408" s="818"/>
      <c r="T408" s="818"/>
      <c r="U408" s="818"/>
      <c r="V408" s="818"/>
      <c r="W408" s="818"/>
      <c r="X408" s="818"/>
      <c r="Y408" s="818"/>
      <c r="Z408" s="818"/>
    </row>
    <row r="409" spans="1:26" ht="19.5" hidden="1">
      <c r="A409" s="940"/>
      <c r="B409" s="833"/>
      <c r="C409" s="946"/>
      <c r="D409" s="833"/>
      <c r="E409" s="834" t="s">
        <v>18</v>
      </c>
      <c r="F409" s="833"/>
      <c r="G409" s="941"/>
      <c r="H409" s="165" t="s">
        <v>12</v>
      </c>
      <c r="I409" s="947"/>
      <c r="J409" s="947"/>
      <c r="K409" s="948"/>
      <c r="L409" s="837">
        <v>0</v>
      </c>
      <c r="M409" s="837">
        <v>0</v>
      </c>
      <c r="N409" s="837">
        <v>0</v>
      </c>
      <c r="O409" s="837">
        <f t="shared" si="175"/>
        <v>0</v>
      </c>
      <c r="P409" s="837">
        <f t="shared" si="176"/>
        <v>0</v>
      </c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</row>
    <row r="410" spans="1:26" ht="19.5" hidden="1">
      <c r="A410" s="940"/>
      <c r="B410" s="833"/>
      <c r="C410" s="946"/>
      <c r="D410" s="833"/>
      <c r="E410" s="834" t="s">
        <v>19</v>
      </c>
      <c r="F410" s="833"/>
      <c r="G410" s="941"/>
      <c r="H410" s="169" t="s">
        <v>12</v>
      </c>
      <c r="I410" s="947"/>
      <c r="J410" s="947"/>
      <c r="K410" s="948"/>
      <c r="L410" s="837">
        <f ca="1">IFERROR(__xludf.DUMMYFUNCTION("IMPORTRANGE(""https://docs.google.com/spreadsheets/d/1MeEWN-I1oV_STSDYn1IFDPWt_1FKiwhDph83XaGc0o0/edit?usp=sharing"",""งบพรบ!FT23"")"),0)</f>
        <v>0</v>
      </c>
      <c r="M410" s="837">
        <f ca="1">IFERROR(__xludf.DUMMYFUNCTION("IMPORTRANGE(""https://docs.google.com/spreadsheets/d/1MeEWN-I1oV_STSDYn1IFDPWt_1FKiwhDph83XaGc0o0/edit?usp=sharing"",""งบพรบ!FW23"")"),0)</f>
        <v>0</v>
      </c>
      <c r="N410" s="837">
        <f ca="1">IFERROR(__xludf.DUMMYFUNCTION("IMPORTRANGE(""https://docs.google.com/spreadsheets/d/1MeEWN-I1oV_STSDYn1IFDPWt_1FKiwhDph83XaGc0o0/edit?usp=sharing"",""งบพรบ!FY23"")"),0)</f>
        <v>0</v>
      </c>
      <c r="O410" s="837">
        <f t="shared" ca="1" si="175"/>
        <v>0</v>
      </c>
      <c r="P410" s="837">
        <f t="shared" ca="1" si="176"/>
        <v>0</v>
      </c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</row>
    <row r="411" spans="1:26" ht="19.5" hidden="1">
      <c r="A411" s="949"/>
      <c r="B411" s="950"/>
      <c r="C411" s="946" t="s">
        <v>16</v>
      </c>
      <c r="D411" s="1207" t="s">
        <v>38</v>
      </c>
      <c r="E411" s="1208"/>
      <c r="F411" s="1208"/>
      <c r="G411" s="1209"/>
      <c r="H411" s="954"/>
      <c r="I411" s="830"/>
      <c r="J411" s="830"/>
      <c r="K411" s="831"/>
      <c r="L411" s="945"/>
      <c r="M411" s="945"/>
      <c r="N411" s="945"/>
      <c r="O411" s="945"/>
      <c r="P411" s="945"/>
    </row>
    <row r="412" spans="1:26" ht="18.75" hidden="1">
      <c r="A412" s="949"/>
      <c r="B412" s="957"/>
      <c r="C412" s="957"/>
      <c r="D412" s="956" t="s">
        <v>177</v>
      </c>
      <c r="E412" s="957"/>
      <c r="F412" s="957"/>
      <c r="G412" s="958"/>
      <c r="H412" s="501" t="s">
        <v>66</v>
      </c>
      <c r="I412" s="830">
        <v>0</v>
      </c>
      <c r="J412" s="959">
        <v>0</v>
      </c>
      <c r="K412" s="831">
        <f t="shared" ref="K412:K413" si="180">IF(I412&gt;0,J412*100/I412,0)</f>
        <v>0</v>
      </c>
      <c r="L412" s="945"/>
      <c r="M412" s="945"/>
      <c r="N412" s="945"/>
      <c r="O412" s="945"/>
      <c r="P412" s="945"/>
    </row>
    <row r="413" spans="1:26" ht="19.5" hidden="1" thickBot="1">
      <c r="A413" s="1210"/>
      <c r="B413" s="1211"/>
      <c r="C413" s="1211"/>
      <c r="D413" s="1212" t="s">
        <v>178</v>
      </c>
      <c r="E413" s="1211"/>
      <c r="F413" s="1211"/>
      <c r="G413" s="1213"/>
      <c r="H413" s="506" t="s">
        <v>179</v>
      </c>
      <c r="I413" s="1214">
        <v>0</v>
      </c>
      <c r="J413" s="1215">
        <v>0</v>
      </c>
      <c r="K413" s="1216">
        <f t="shared" si="180"/>
        <v>0</v>
      </c>
      <c r="L413" s="1217"/>
      <c r="M413" s="1217"/>
      <c r="N413" s="1217"/>
      <c r="O413" s="1217"/>
      <c r="P413" s="1217"/>
    </row>
    <row r="414" spans="1:26" ht="19.5">
      <c r="A414" s="1218" t="s">
        <v>180</v>
      </c>
      <c r="B414" s="1219"/>
      <c r="C414" s="1219"/>
      <c r="D414" s="1219"/>
      <c r="E414" s="1219"/>
      <c r="F414" s="1219"/>
      <c r="G414" s="1220"/>
      <c r="H414" s="1221"/>
      <c r="I414" s="1222"/>
      <c r="J414" s="1222"/>
      <c r="K414" s="1223"/>
      <c r="L414" s="1224">
        <f t="shared" ref="L414:N414" ca="1" si="181">L419+L444+L467+L502+L523+L544+L629+L655+L685+L737+L754+L770+L786+L805</f>
        <v>2855163</v>
      </c>
      <c r="M414" s="1224">
        <f t="shared" si="181"/>
        <v>0</v>
      </c>
      <c r="N414" s="1224">
        <f t="shared" si="181"/>
        <v>782993</v>
      </c>
      <c r="O414" s="1224">
        <f ca="1">IF(L414&gt;0,N414*100/L414,0)</f>
        <v>27.423758293309348</v>
      </c>
      <c r="P414" s="1224">
        <f>IF(M414&gt;0,N414*100/M414,0)</f>
        <v>0</v>
      </c>
    </row>
    <row r="415" spans="1:26" ht="19.5">
      <c r="A415" s="1225" t="s">
        <v>181</v>
      </c>
      <c r="B415" s="1226"/>
      <c r="C415" s="1226"/>
      <c r="D415" s="1226"/>
      <c r="E415" s="1226"/>
      <c r="F415" s="1226"/>
      <c r="G415" s="1226"/>
      <c r="H415" s="1227"/>
      <c r="I415" s="1228"/>
      <c r="J415" s="1228"/>
      <c r="K415" s="1229"/>
      <c r="L415" s="1230"/>
      <c r="M415" s="1230"/>
      <c r="N415" s="1230"/>
      <c r="O415" s="1230"/>
      <c r="P415" s="1230"/>
    </row>
    <row r="416" spans="1:26" ht="19.5">
      <c r="A416" s="1225" t="s">
        <v>182</v>
      </c>
      <c r="B416" s="1226"/>
      <c r="C416" s="1226"/>
      <c r="D416" s="1226"/>
      <c r="E416" s="1226"/>
      <c r="F416" s="1226"/>
      <c r="G416" s="1231"/>
      <c r="H416" s="1232"/>
      <c r="I416" s="1233"/>
      <c r="J416" s="1233"/>
      <c r="K416" s="1230"/>
      <c r="L416" s="1230"/>
      <c r="M416" s="1230"/>
      <c r="N416" s="1230"/>
      <c r="O416" s="1230"/>
      <c r="P416" s="1230"/>
    </row>
    <row r="417" spans="1:26" ht="39">
      <c r="A417" s="527">
        <v>1</v>
      </c>
      <c r="B417" s="1234" t="s">
        <v>183</v>
      </c>
      <c r="C417" s="1234"/>
      <c r="D417" s="1235"/>
      <c r="E417" s="1235"/>
      <c r="F417" s="1235"/>
      <c r="G417" s="1236"/>
      <c r="H417" s="532" t="s">
        <v>35</v>
      </c>
      <c r="I417" s="1237">
        <f t="shared" ref="I417:J418" ca="1" si="182">I433</f>
        <v>20</v>
      </c>
      <c r="J417" s="1237">
        <f t="shared" ca="1" si="182"/>
        <v>20</v>
      </c>
      <c r="K417" s="1238">
        <f t="shared" ref="K417:K418" ca="1" si="183">IF(I417&gt;0,J417*100/I417,0)</f>
        <v>100</v>
      </c>
      <c r="L417" s="1239"/>
      <c r="M417" s="1239"/>
      <c r="N417" s="1239"/>
      <c r="O417" s="1239"/>
      <c r="P417" s="1239"/>
    </row>
    <row r="418" spans="1:26" ht="19.5">
      <c r="A418" s="1240"/>
      <c r="B418" s="527"/>
      <c r="C418" s="1234"/>
      <c r="D418" s="1235"/>
      <c r="E418" s="1235"/>
      <c r="F418" s="1235"/>
      <c r="G418" s="1236"/>
      <c r="H418" s="532" t="s">
        <v>49</v>
      </c>
      <c r="I418" s="1237">
        <f t="shared" ca="1" si="182"/>
        <v>1</v>
      </c>
      <c r="J418" s="1237">
        <f t="shared" si="182"/>
        <v>1</v>
      </c>
      <c r="K418" s="1238">
        <f t="shared" ca="1" si="183"/>
        <v>100</v>
      </c>
      <c r="L418" s="1239"/>
      <c r="M418" s="1239"/>
      <c r="N418" s="1239"/>
      <c r="O418" s="1239"/>
      <c r="P418" s="1239"/>
    </row>
    <row r="419" spans="1:26" ht="19.5">
      <c r="A419" s="932"/>
      <c r="B419" s="933"/>
      <c r="C419" s="933" t="s">
        <v>16</v>
      </c>
      <c r="D419" s="1510" t="s">
        <v>17</v>
      </c>
      <c r="E419" s="1487"/>
      <c r="F419" s="1487"/>
      <c r="G419" s="936"/>
      <c r="H419" s="275" t="s">
        <v>12</v>
      </c>
      <c r="I419" s="937"/>
      <c r="J419" s="937"/>
      <c r="K419" s="938"/>
      <c r="L419" s="939">
        <f t="shared" ref="L419:N419" ca="1" si="184">L420+L421</f>
        <v>100960</v>
      </c>
      <c r="M419" s="939">
        <f t="shared" si="184"/>
        <v>0</v>
      </c>
      <c r="N419" s="939">
        <f t="shared" si="184"/>
        <v>77362.5</v>
      </c>
      <c r="O419" s="939">
        <f t="shared" ref="O419:O424" ca="1" si="185">IF(L419&gt;0,N419*100/L419,0)</f>
        <v>76.62688193343898</v>
      </c>
      <c r="P419" s="939">
        <f t="shared" ref="P419:P424" si="186">IF(M419&gt;0,N419*100/M419,0)</f>
        <v>0</v>
      </c>
      <c r="Q419" s="818"/>
      <c r="R419" s="818"/>
      <c r="S419" s="818"/>
      <c r="T419" s="818"/>
      <c r="U419" s="818"/>
      <c r="V419" s="818"/>
      <c r="W419" s="818"/>
      <c r="X419" s="818"/>
      <c r="Y419" s="818"/>
      <c r="Z419" s="818"/>
    </row>
    <row r="420" spans="1:26" ht="18.75" hidden="1">
      <c r="A420" s="940"/>
      <c r="B420" s="833"/>
      <c r="C420" s="833"/>
      <c r="D420" s="1061"/>
      <c r="E420" s="834" t="s">
        <v>184</v>
      </c>
      <c r="F420" s="833"/>
      <c r="G420" s="941"/>
      <c r="H420" s="165" t="s">
        <v>12</v>
      </c>
      <c r="I420" s="836"/>
      <c r="J420" s="836"/>
      <c r="K420" s="837"/>
      <c r="L420" s="837">
        <f t="shared" ref="L420:N421" si="187">L423+L430</f>
        <v>0</v>
      </c>
      <c r="M420" s="837">
        <f t="shared" si="187"/>
        <v>0</v>
      </c>
      <c r="N420" s="837">
        <f t="shared" si="187"/>
        <v>0</v>
      </c>
      <c r="O420" s="837">
        <f t="shared" si="185"/>
        <v>0</v>
      </c>
      <c r="P420" s="837">
        <f t="shared" si="186"/>
        <v>0</v>
      </c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</row>
    <row r="421" spans="1:26" ht="18.75" hidden="1">
      <c r="A421" s="940"/>
      <c r="B421" s="833"/>
      <c r="C421" s="833"/>
      <c r="D421" s="1061"/>
      <c r="E421" s="834" t="s">
        <v>185</v>
      </c>
      <c r="F421" s="833"/>
      <c r="G421" s="941"/>
      <c r="H421" s="165" t="s">
        <v>12</v>
      </c>
      <c r="I421" s="836"/>
      <c r="J421" s="836"/>
      <c r="K421" s="837"/>
      <c r="L421" s="837">
        <f t="shared" ca="1" si="187"/>
        <v>100960</v>
      </c>
      <c r="M421" s="837">
        <f t="shared" si="187"/>
        <v>0</v>
      </c>
      <c r="N421" s="837">
        <f t="shared" si="187"/>
        <v>77362.5</v>
      </c>
      <c r="O421" s="837">
        <f t="shared" ca="1" si="185"/>
        <v>76.62688193343898</v>
      </c>
      <c r="P421" s="837">
        <f t="shared" si="186"/>
        <v>0</v>
      </c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</row>
    <row r="422" spans="1:26" ht="18.75">
      <c r="A422" s="942"/>
      <c r="B422" s="1030"/>
      <c r="C422" s="827"/>
      <c r="D422" s="828" t="s">
        <v>20</v>
      </c>
      <c r="E422" s="827"/>
      <c r="F422" s="827"/>
      <c r="G422" s="829"/>
      <c r="H422" s="778" t="s">
        <v>12</v>
      </c>
      <c r="I422" s="944"/>
      <c r="J422" s="944"/>
      <c r="K422" s="945"/>
      <c r="L422" s="831">
        <f t="shared" ref="L422:N422" ca="1" si="188">L423+L424</f>
        <v>100960</v>
      </c>
      <c r="M422" s="831">
        <f t="shared" si="188"/>
        <v>0</v>
      </c>
      <c r="N422" s="831">
        <f t="shared" si="188"/>
        <v>77362.5</v>
      </c>
      <c r="O422" s="831">
        <f t="shared" ca="1" si="185"/>
        <v>76.62688193343898</v>
      </c>
      <c r="P422" s="831">
        <f t="shared" si="186"/>
        <v>0</v>
      </c>
      <c r="Q422" s="818"/>
      <c r="R422" s="818"/>
      <c r="S422" s="818"/>
      <c r="T422" s="818"/>
      <c r="U422" s="818"/>
      <c r="V422" s="818"/>
      <c r="W422" s="818"/>
      <c r="X422" s="818"/>
      <c r="Y422" s="818"/>
      <c r="Z422" s="818"/>
    </row>
    <row r="423" spans="1:26" ht="18.75" hidden="1">
      <c r="A423" s="940"/>
      <c r="B423" s="833"/>
      <c r="C423" s="833"/>
      <c r="D423" s="1061"/>
      <c r="E423" s="834" t="s">
        <v>184</v>
      </c>
      <c r="F423" s="833"/>
      <c r="G423" s="941"/>
      <c r="H423" s="165" t="s">
        <v>12</v>
      </c>
      <c r="I423" s="836"/>
      <c r="J423" s="836"/>
      <c r="K423" s="837"/>
      <c r="L423" s="837">
        <v>0</v>
      </c>
      <c r="M423" s="837">
        <v>0</v>
      </c>
      <c r="N423" s="837">
        <v>0</v>
      </c>
      <c r="O423" s="837">
        <f t="shared" si="185"/>
        <v>0</v>
      </c>
      <c r="P423" s="837">
        <f t="shared" si="186"/>
        <v>0</v>
      </c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</row>
    <row r="424" spans="1:26" ht="18.75" hidden="1">
      <c r="A424" s="940"/>
      <c r="B424" s="833"/>
      <c r="C424" s="833"/>
      <c r="D424" s="1061"/>
      <c r="E424" s="834" t="s">
        <v>185</v>
      </c>
      <c r="F424" s="833"/>
      <c r="G424" s="941"/>
      <c r="H424" s="165" t="s">
        <v>12</v>
      </c>
      <c r="I424" s="836"/>
      <c r="J424" s="836"/>
      <c r="K424" s="837"/>
      <c r="L424" s="837">
        <f ca="1">IFERROR(__xludf.DUMMYFUNCTION("IMPORTRANGE(""https://docs.google.com/spreadsheets/d/1QqKyyYR6Q21VydFLVH3TRQUabQu_ym0Zz7PgGX0-kHA/edit?usp=sharing"",""แผน!EY23"")"),100960)</f>
        <v>100960</v>
      </c>
      <c r="M424" s="837">
        <v>0</v>
      </c>
      <c r="N424" s="837">
        <f>N425+N426+N427+N428</f>
        <v>77362.5</v>
      </c>
      <c r="O424" s="837">
        <f t="shared" ca="1" si="185"/>
        <v>76.62688193343898</v>
      </c>
      <c r="P424" s="837">
        <f t="shared" si="186"/>
        <v>0</v>
      </c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</row>
    <row r="425" spans="1:26" ht="18.75">
      <c r="A425" s="1241"/>
      <c r="B425" s="1242"/>
      <c r="C425" s="1243"/>
      <c r="D425" s="1243"/>
      <c r="E425" s="1243"/>
      <c r="F425" s="1243" t="s">
        <v>186</v>
      </c>
      <c r="G425" s="963"/>
      <c r="H425" s="778" t="s">
        <v>12</v>
      </c>
      <c r="I425" s="830"/>
      <c r="J425" s="830"/>
      <c r="K425" s="831"/>
      <c r="L425" s="831"/>
      <c r="M425" s="831"/>
      <c r="N425" s="1031">
        <v>73687.5</v>
      </c>
      <c r="O425" s="831"/>
      <c r="P425" s="831"/>
      <c r="Q425" s="1244"/>
      <c r="R425" s="1244"/>
      <c r="S425" s="1244"/>
      <c r="T425" s="1244"/>
      <c r="U425" s="1244"/>
      <c r="V425" s="1244"/>
      <c r="W425" s="1244"/>
      <c r="X425" s="1244"/>
      <c r="Y425" s="1244"/>
      <c r="Z425" s="1244"/>
    </row>
    <row r="426" spans="1:26" ht="18.75">
      <c r="A426" s="1241"/>
      <c r="B426" s="1242"/>
      <c r="C426" s="1243"/>
      <c r="D426" s="1243"/>
      <c r="E426" s="1243"/>
      <c r="F426" s="1243" t="s">
        <v>187</v>
      </c>
      <c r="G426" s="963"/>
      <c r="H426" s="778" t="s">
        <v>12</v>
      </c>
      <c r="I426" s="830"/>
      <c r="J426" s="830"/>
      <c r="K426" s="831"/>
      <c r="L426" s="831"/>
      <c r="M426" s="831"/>
      <c r="N426" s="1031">
        <v>0</v>
      </c>
      <c r="O426" s="831"/>
      <c r="P426" s="831"/>
      <c r="Q426" s="1244"/>
      <c r="R426" s="1244"/>
      <c r="S426" s="1244"/>
      <c r="T426" s="1244"/>
      <c r="U426" s="1244"/>
      <c r="V426" s="1244"/>
      <c r="W426" s="1244"/>
      <c r="X426" s="1244"/>
      <c r="Y426" s="1244"/>
      <c r="Z426" s="1244"/>
    </row>
    <row r="427" spans="1:26" ht="18.75">
      <c r="A427" s="1241"/>
      <c r="B427" s="1242"/>
      <c r="C427" s="1243"/>
      <c r="D427" s="1243"/>
      <c r="E427" s="1243"/>
      <c r="F427" s="1243" t="s">
        <v>188</v>
      </c>
      <c r="G427" s="963"/>
      <c r="H427" s="778" t="s">
        <v>12</v>
      </c>
      <c r="I427" s="830"/>
      <c r="J427" s="830"/>
      <c r="K427" s="831"/>
      <c r="L427" s="831"/>
      <c r="M427" s="831"/>
      <c r="N427" s="1031">
        <v>0</v>
      </c>
      <c r="O427" s="831"/>
      <c r="P427" s="831"/>
      <c r="Q427" s="1244"/>
      <c r="R427" s="1244"/>
      <c r="S427" s="1244"/>
      <c r="T427" s="1244"/>
      <c r="U427" s="1244"/>
      <c r="V427" s="1244"/>
      <c r="W427" s="1244"/>
      <c r="X427" s="1244"/>
      <c r="Y427" s="1244"/>
      <c r="Z427" s="1244"/>
    </row>
    <row r="428" spans="1:26" ht="18.75">
      <c r="A428" s="1032"/>
      <c r="B428" s="1030"/>
      <c r="C428" s="827"/>
      <c r="D428" s="827"/>
      <c r="E428" s="827"/>
      <c r="F428" s="943" t="s">
        <v>189</v>
      </c>
      <c r="G428" s="977"/>
      <c r="H428" s="778" t="s">
        <v>12</v>
      </c>
      <c r="I428" s="830"/>
      <c r="J428" s="830"/>
      <c r="K428" s="831"/>
      <c r="L428" s="831"/>
      <c r="M428" s="831"/>
      <c r="N428" s="1031">
        <v>3675</v>
      </c>
      <c r="O428" s="831"/>
      <c r="P428" s="831"/>
      <c r="Q428" s="818"/>
      <c r="R428" s="818"/>
      <c r="S428" s="818"/>
      <c r="T428" s="818"/>
      <c r="U428" s="818"/>
      <c r="V428" s="818"/>
      <c r="W428" s="818"/>
      <c r="X428" s="818"/>
      <c r="Y428" s="818"/>
      <c r="Z428" s="818"/>
    </row>
    <row r="429" spans="1:26" ht="18.75">
      <c r="A429" s="942"/>
      <c r="B429" s="1030"/>
      <c r="C429" s="827"/>
      <c r="D429" s="828" t="s">
        <v>21</v>
      </c>
      <c r="E429" s="827"/>
      <c r="F429" s="827"/>
      <c r="G429" s="829"/>
      <c r="H429" s="168" t="s">
        <v>12</v>
      </c>
      <c r="I429" s="944"/>
      <c r="J429" s="944"/>
      <c r="K429" s="945"/>
      <c r="L429" s="831">
        <f t="shared" ref="L429:N429" ca="1" si="189">L430+L431</f>
        <v>0</v>
      </c>
      <c r="M429" s="831">
        <f t="shared" si="189"/>
        <v>0</v>
      </c>
      <c r="N429" s="831">
        <f t="shared" si="189"/>
        <v>0</v>
      </c>
      <c r="O429" s="831">
        <f t="shared" ref="O429:O431" ca="1" si="190">IF(L429&gt;0,N429*100/L429,0)</f>
        <v>0</v>
      </c>
      <c r="P429" s="831">
        <f t="shared" ref="P429:P431" si="191">IF(M429&gt;0,N429*100/M429,0)</f>
        <v>0</v>
      </c>
      <c r="Q429" s="818"/>
      <c r="R429" s="818"/>
      <c r="S429" s="818"/>
      <c r="T429" s="818"/>
      <c r="U429" s="818"/>
      <c r="V429" s="818"/>
      <c r="W429" s="818"/>
      <c r="X429" s="818"/>
      <c r="Y429" s="818"/>
      <c r="Z429" s="818"/>
    </row>
    <row r="430" spans="1:26" ht="18.75" hidden="1">
      <c r="A430" s="940"/>
      <c r="B430" s="1052"/>
      <c r="C430" s="833"/>
      <c r="D430" s="833"/>
      <c r="E430" s="834" t="s">
        <v>18</v>
      </c>
      <c r="F430" s="833"/>
      <c r="G430" s="835"/>
      <c r="H430" s="165" t="s">
        <v>12</v>
      </c>
      <c r="I430" s="947"/>
      <c r="J430" s="947"/>
      <c r="K430" s="948"/>
      <c r="L430" s="837">
        <v>0</v>
      </c>
      <c r="M430" s="837">
        <v>0</v>
      </c>
      <c r="N430" s="837">
        <v>0</v>
      </c>
      <c r="O430" s="837">
        <f t="shared" si="190"/>
        <v>0</v>
      </c>
      <c r="P430" s="837">
        <f t="shared" si="191"/>
        <v>0</v>
      </c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</row>
    <row r="431" spans="1:26" ht="18.75" hidden="1">
      <c r="A431" s="940"/>
      <c r="B431" s="1052"/>
      <c r="C431" s="833"/>
      <c r="D431" s="833"/>
      <c r="E431" s="834" t="s">
        <v>19</v>
      </c>
      <c r="F431" s="833"/>
      <c r="G431" s="835"/>
      <c r="H431" s="169" t="s">
        <v>12</v>
      </c>
      <c r="I431" s="947"/>
      <c r="J431" s="947"/>
      <c r="K431" s="948"/>
      <c r="L431" s="837">
        <f ca="1">IFERROR(__xludf.DUMMYFUNCTION("IMPORTRANGE(""https://docs.google.com/spreadsheets/d/1QqKyyYR6Q21VydFLVH3TRQUabQu_ym0Zz7PgGX0-kHA/edit?usp=sharing"",""แผน!FB23"")"),0)</f>
        <v>0</v>
      </c>
      <c r="M431" s="837">
        <v>0</v>
      </c>
      <c r="N431" s="837">
        <v>0</v>
      </c>
      <c r="O431" s="837">
        <f t="shared" ca="1" si="190"/>
        <v>0</v>
      </c>
      <c r="P431" s="837">
        <f t="shared" si="191"/>
        <v>0</v>
      </c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</row>
    <row r="432" spans="1:26" ht="19.5">
      <c r="A432" s="1112"/>
      <c r="B432" s="1113"/>
      <c r="C432" s="933" t="s">
        <v>16</v>
      </c>
      <c r="D432" s="1245" t="s">
        <v>38</v>
      </c>
      <c r="E432" s="1246"/>
      <c r="F432" s="1246"/>
      <c r="G432" s="1247"/>
      <c r="H432" s="1248"/>
      <c r="I432" s="937"/>
      <c r="J432" s="937"/>
      <c r="K432" s="938"/>
      <c r="L432" s="938"/>
      <c r="M432" s="938"/>
      <c r="N432" s="938"/>
      <c r="O432" s="938"/>
      <c r="P432" s="938"/>
      <c r="Q432" s="818"/>
      <c r="R432" s="818"/>
      <c r="S432" s="818"/>
      <c r="T432" s="818"/>
      <c r="U432" s="818"/>
      <c r="V432" s="818"/>
      <c r="W432" s="818"/>
      <c r="X432" s="818"/>
      <c r="Y432" s="818"/>
      <c r="Z432" s="818"/>
    </row>
    <row r="433" spans="1:26" ht="19.5">
      <c r="A433" s="949"/>
      <c r="B433" s="950"/>
      <c r="C433" s="950"/>
      <c r="D433" s="960" t="s">
        <v>190</v>
      </c>
      <c r="E433" s="957"/>
      <c r="F433" s="957"/>
      <c r="G433" s="958"/>
      <c r="H433" s="196" t="s">
        <v>35</v>
      </c>
      <c r="I433" s="966">
        <f ca="1">I435</f>
        <v>20</v>
      </c>
      <c r="J433" s="966">
        <f ca="1">IF(AND(J435=I435,J437=I437,J439=I439),I437+I439,IF(AND(J435=I437,J437=I437),I437,IF(AND(J435=I439,J439=I439),I439,0)))</f>
        <v>20</v>
      </c>
      <c r="K433" s="967">
        <f t="shared" ref="K433:K435" ca="1" si="192">IF(I433&gt;0,J433*100/I433,0)</f>
        <v>100</v>
      </c>
      <c r="L433" s="831"/>
      <c r="M433" s="831"/>
      <c r="N433" s="831"/>
      <c r="O433" s="831"/>
      <c r="P433" s="831"/>
      <c r="Q433" s="818"/>
      <c r="R433" s="818"/>
      <c r="S433" s="818"/>
      <c r="T433" s="818"/>
      <c r="U433" s="818"/>
      <c r="V433" s="818"/>
      <c r="W433" s="818"/>
      <c r="X433" s="818"/>
      <c r="Y433" s="818"/>
      <c r="Z433" s="818"/>
    </row>
    <row r="434" spans="1:26" ht="19.5">
      <c r="A434" s="949"/>
      <c r="B434" s="950"/>
      <c r="C434" s="950"/>
      <c r="D434" s="960" t="s">
        <v>191</v>
      </c>
      <c r="E434" s="957"/>
      <c r="F434" s="957"/>
      <c r="G434" s="958"/>
      <c r="H434" s="196" t="s">
        <v>49</v>
      </c>
      <c r="I434" s="966">
        <f t="shared" ref="I434:J434" ca="1" si="193">I438+I440</f>
        <v>1</v>
      </c>
      <c r="J434" s="966">
        <f t="shared" si="193"/>
        <v>1</v>
      </c>
      <c r="K434" s="967">
        <f t="shared" ca="1" si="192"/>
        <v>100</v>
      </c>
      <c r="L434" s="831"/>
      <c r="M434" s="831"/>
      <c r="N434" s="831"/>
      <c r="O434" s="831"/>
      <c r="P434" s="831"/>
      <c r="Q434" s="818"/>
      <c r="R434" s="818"/>
      <c r="S434" s="818"/>
      <c r="T434" s="818"/>
      <c r="U434" s="818"/>
      <c r="V434" s="818"/>
      <c r="W434" s="818"/>
      <c r="X434" s="818"/>
      <c r="Y434" s="818"/>
      <c r="Z434" s="818"/>
    </row>
    <row r="435" spans="1:26" ht="18.75">
      <c r="A435" s="949"/>
      <c r="B435" s="950"/>
      <c r="C435" s="950"/>
      <c r="D435" s="956" t="s">
        <v>192</v>
      </c>
      <c r="E435" s="957"/>
      <c r="F435" s="957"/>
      <c r="G435" s="958"/>
      <c r="H435" s="590" t="s">
        <v>35</v>
      </c>
      <c r="I435" s="548">
        <f ca="1">IFERROR(__xludf.DUMMYFUNCTION("IMPORTRANGE(""https://docs.google.com/spreadsheets/d/1QqKyyYR6Q21VydFLVH3TRQUabQu_ym0Zz7PgGX0-kHA/edit?usp=sharing"",""แผน!FC23"")"),20)</f>
        <v>20</v>
      </c>
      <c r="J435" s="549">
        <v>20</v>
      </c>
      <c r="K435" s="831">
        <f t="shared" ca="1" si="192"/>
        <v>100</v>
      </c>
      <c r="L435" s="831"/>
      <c r="M435" s="831"/>
      <c r="N435" s="831"/>
      <c r="O435" s="831"/>
      <c r="P435" s="831"/>
      <c r="Q435" s="818"/>
      <c r="R435" s="818"/>
      <c r="S435" s="818"/>
      <c r="T435" s="818"/>
      <c r="U435" s="818"/>
      <c r="V435" s="818"/>
      <c r="W435" s="818"/>
      <c r="X435" s="818"/>
      <c r="Y435" s="818"/>
      <c r="Z435" s="818"/>
    </row>
    <row r="436" spans="1:26" ht="18.75">
      <c r="A436" s="949"/>
      <c r="B436" s="950"/>
      <c r="C436" s="950"/>
      <c r="D436" s="956" t="s">
        <v>193</v>
      </c>
      <c r="E436" s="957"/>
      <c r="F436" s="957"/>
      <c r="G436" s="958"/>
      <c r="H436" s="590"/>
      <c r="I436" s="830"/>
      <c r="J436" s="830"/>
      <c r="K436" s="831"/>
      <c r="L436" s="831"/>
      <c r="M436" s="831"/>
      <c r="N436" s="831"/>
      <c r="O436" s="831"/>
      <c r="P436" s="831"/>
      <c r="Q436" s="818"/>
      <c r="R436" s="818"/>
      <c r="S436" s="818"/>
      <c r="T436" s="818"/>
      <c r="U436" s="818"/>
      <c r="V436" s="818"/>
      <c r="W436" s="818"/>
      <c r="X436" s="818"/>
      <c r="Y436" s="818"/>
      <c r="Z436" s="818"/>
    </row>
    <row r="437" spans="1:26" ht="18.75">
      <c r="A437" s="949"/>
      <c r="B437" s="950"/>
      <c r="C437" s="950"/>
      <c r="D437" s="956" t="s">
        <v>194</v>
      </c>
      <c r="E437" s="957"/>
      <c r="F437" s="957"/>
      <c r="G437" s="958"/>
      <c r="H437" s="590" t="s">
        <v>35</v>
      </c>
      <c r="I437" s="548">
        <f ca="1">IFERROR(__xludf.DUMMYFUNCTION("IMPORTRANGE(""https://docs.google.com/spreadsheets/d/1QqKyyYR6Q21VydFLVH3TRQUabQu_ym0Zz7PgGX0-kHA/edit?usp=sharing"",""แผน!FD23"")"),0)</f>
        <v>0</v>
      </c>
      <c r="J437" s="549">
        <v>0</v>
      </c>
      <c r="K437" s="831">
        <f t="shared" ref="K437:K443" ca="1" si="194">IF(I437&gt;0,J437*100/I437,0)</f>
        <v>0</v>
      </c>
      <c r="L437" s="831"/>
      <c r="M437" s="831"/>
      <c r="N437" s="831"/>
      <c r="O437" s="831"/>
      <c r="P437" s="831"/>
      <c r="Q437" s="818"/>
      <c r="R437" s="818"/>
      <c r="S437" s="818"/>
      <c r="T437" s="818"/>
      <c r="U437" s="818"/>
      <c r="V437" s="818"/>
      <c r="W437" s="818"/>
      <c r="X437" s="818"/>
      <c r="Y437" s="818"/>
      <c r="Z437" s="818"/>
    </row>
    <row r="438" spans="1:26" ht="18.75">
      <c r="A438" s="949"/>
      <c r="B438" s="950"/>
      <c r="C438" s="950"/>
      <c r="D438" s="956" t="s">
        <v>195</v>
      </c>
      <c r="E438" s="957"/>
      <c r="F438" s="957"/>
      <c r="G438" s="958"/>
      <c r="H438" s="590" t="s">
        <v>49</v>
      </c>
      <c r="I438" s="830">
        <f ca="1">IFERROR(__xludf.DUMMYFUNCTION("IMPORTRANGE(""https://docs.google.com/spreadsheets/d/1QqKyyYR6Q21VydFLVH3TRQUabQu_ym0Zz7PgGX0-kHA/edit?usp=sharing"",""แผน!FE23"")"),0)</f>
        <v>0</v>
      </c>
      <c r="J438" s="959">
        <v>0</v>
      </c>
      <c r="K438" s="831">
        <f t="shared" ca="1" si="194"/>
        <v>0</v>
      </c>
      <c r="L438" s="831"/>
      <c r="M438" s="831"/>
      <c r="N438" s="831"/>
      <c r="O438" s="831"/>
      <c r="P438" s="831"/>
      <c r="Q438" s="818"/>
      <c r="R438" s="818"/>
      <c r="S438" s="818"/>
      <c r="T438" s="818"/>
      <c r="U438" s="818"/>
      <c r="V438" s="818"/>
      <c r="W438" s="818"/>
      <c r="X438" s="818"/>
      <c r="Y438" s="818"/>
      <c r="Z438" s="818"/>
    </row>
    <row r="439" spans="1:26" ht="18.75">
      <c r="A439" s="949"/>
      <c r="B439" s="950"/>
      <c r="C439" s="950"/>
      <c r="D439" s="956" t="s">
        <v>196</v>
      </c>
      <c r="E439" s="957"/>
      <c r="F439" s="957"/>
      <c r="G439" s="958"/>
      <c r="H439" s="590" t="s">
        <v>35</v>
      </c>
      <c r="I439" s="548">
        <f ca="1">IFERROR(__xludf.DUMMYFUNCTION("IMPORTRANGE(""https://docs.google.com/spreadsheets/d/1QqKyyYR6Q21VydFLVH3TRQUabQu_ym0Zz7PgGX0-kHA/edit?usp=sharing"",""แผน!FF23"")"),20)</f>
        <v>20</v>
      </c>
      <c r="J439" s="549">
        <v>20</v>
      </c>
      <c r="K439" s="831">
        <f t="shared" ca="1" si="194"/>
        <v>100</v>
      </c>
      <c r="L439" s="831"/>
      <c r="M439" s="831"/>
      <c r="N439" s="831"/>
      <c r="O439" s="831"/>
      <c r="P439" s="831"/>
      <c r="Q439" s="818"/>
      <c r="R439" s="818"/>
      <c r="S439" s="818"/>
      <c r="T439" s="818"/>
      <c r="U439" s="818"/>
      <c r="V439" s="818"/>
      <c r="W439" s="818"/>
      <c r="X439" s="818"/>
      <c r="Y439" s="818"/>
      <c r="Z439" s="818"/>
    </row>
    <row r="440" spans="1:26" ht="18.75">
      <c r="A440" s="949"/>
      <c r="B440" s="950"/>
      <c r="C440" s="950"/>
      <c r="D440" s="956" t="s">
        <v>197</v>
      </c>
      <c r="E440" s="957"/>
      <c r="F440" s="957"/>
      <c r="G440" s="958"/>
      <c r="H440" s="590" t="s">
        <v>49</v>
      </c>
      <c r="I440" s="830">
        <f ca="1">IFERROR(__xludf.DUMMYFUNCTION("IMPORTRANGE(""https://docs.google.com/spreadsheets/d/1QqKyyYR6Q21VydFLVH3TRQUabQu_ym0Zz7PgGX0-kHA/edit?usp=sharing"",""แผน!FG23"")"),1)</f>
        <v>1</v>
      </c>
      <c r="J440" s="959">
        <v>1</v>
      </c>
      <c r="K440" s="831">
        <f t="shared" ca="1" si="194"/>
        <v>100</v>
      </c>
      <c r="L440" s="831"/>
      <c r="M440" s="831"/>
      <c r="N440" s="831"/>
      <c r="O440" s="831"/>
      <c r="P440" s="831"/>
      <c r="Q440" s="818"/>
      <c r="R440" s="818"/>
      <c r="S440" s="818"/>
      <c r="T440" s="818"/>
      <c r="U440" s="818"/>
      <c r="V440" s="818"/>
      <c r="W440" s="818"/>
      <c r="X440" s="818"/>
      <c r="Y440" s="818"/>
      <c r="Z440" s="818"/>
    </row>
    <row r="441" spans="1:26" ht="18.75">
      <c r="A441" s="949"/>
      <c r="B441" s="950"/>
      <c r="C441" s="950"/>
      <c r="D441" s="956" t="s">
        <v>198</v>
      </c>
      <c r="E441" s="957"/>
      <c r="F441" s="957"/>
      <c r="G441" s="958"/>
      <c r="H441" s="590" t="s">
        <v>35</v>
      </c>
      <c r="I441" s="830">
        <f ca="1">IFERROR(__xludf.DUMMYFUNCTION("IMPORTRANGE(""https://docs.google.com/spreadsheets/d/1QqKyyYR6Q21VydFLVH3TRQUabQu_ym0Zz7PgGX0-kHA/edit?usp=sharing"",""แผน!FH23"")"),0)</f>
        <v>0</v>
      </c>
      <c r="J441" s="830">
        <v>0</v>
      </c>
      <c r="K441" s="831">
        <f t="shared" ca="1" si="194"/>
        <v>0</v>
      </c>
      <c r="L441" s="831"/>
      <c r="M441" s="831"/>
      <c r="N441" s="831"/>
      <c r="O441" s="831"/>
      <c r="P441" s="831"/>
      <c r="Q441" s="818"/>
      <c r="R441" s="818"/>
      <c r="S441" s="818"/>
      <c r="T441" s="818"/>
      <c r="U441" s="818"/>
      <c r="V441" s="818"/>
      <c r="W441" s="818"/>
      <c r="X441" s="818"/>
      <c r="Y441" s="818"/>
      <c r="Z441" s="818"/>
    </row>
    <row r="442" spans="1:26" ht="19.5">
      <c r="A442" s="550">
        <v>2</v>
      </c>
      <c r="B442" s="1249" t="s">
        <v>199</v>
      </c>
      <c r="C442" s="1250"/>
      <c r="D442" s="1250"/>
      <c r="E442" s="1250"/>
      <c r="F442" s="1250"/>
      <c r="G442" s="1251"/>
      <c r="H442" s="554" t="s">
        <v>35</v>
      </c>
      <c r="I442" s="1252">
        <f t="shared" ref="I442:J442" ca="1" si="195">I460</f>
        <v>100</v>
      </c>
      <c r="J442" s="1252">
        <f t="shared" si="195"/>
        <v>100</v>
      </c>
      <c r="K442" s="1253">
        <f t="shared" ca="1" si="194"/>
        <v>100</v>
      </c>
      <c r="L442" s="1254"/>
      <c r="M442" s="1254"/>
      <c r="N442" s="1254"/>
      <c r="O442" s="1254"/>
      <c r="P442" s="1254"/>
      <c r="Q442" s="1244"/>
      <c r="R442" s="1244"/>
      <c r="S442" s="1244"/>
      <c r="T442" s="1244"/>
      <c r="U442" s="1244"/>
      <c r="V442" s="1244"/>
      <c r="W442" s="1244"/>
      <c r="X442" s="1244"/>
      <c r="Y442" s="1244"/>
      <c r="Z442" s="1244"/>
    </row>
    <row r="443" spans="1:26" ht="19.5">
      <c r="A443" s="1255"/>
      <c r="B443" s="1256"/>
      <c r="C443" s="1257"/>
      <c r="D443" s="1257"/>
      <c r="E443" s="1257"/>
      <c r="F443" s="1257"/>
      <c r="G443" s="1258"/>
      <c r="H443" s="532" t="s">
        <v>46</v>
      </c>
      <c r="I443" s="1237">
        <f t="shared" ref="I443:J443" ca="1" si="196">I462</f>
        <v>475</v>
      </c>
      <c r="J443" s="1237">
        <f t="shared" si="196"/>
        <v>475</v>
      </c>
      <c r="K443" s="1238">
        <f t="shared" ca="1" si="194"/>
        <v>100</v>
      </c>
      <c r="L443" s="1239"/>
      <c r="M443" s="1239"/>
      <c r="N443" s="1239"/>
      <c r="O443" s="1239"/>
      <c r="P443" s="1239"/>
      <c r="Q443" s="1244"/>
      <c r="R443" s="1244"/>
      <c r="S443" s="1244"/>
      <c r="T443" s="1244"/>
      <c r="U443" s="1244"/>
      <c r="V443" s="1244"/>
      <c r="W443" s="1244"/>
      <c r="X443" s="1244"/>
      <c r="Y443" s="1244"/>
      <c r="Z443" s="1244"/>
    </row>
    <row r="444" spans="1:26" ht="19.5">
      <c r="A444" s="1259"/>
      <c r="B444" s="1243"/>
      <c r="C444" s="1243" t="s">
        <v>16</v>
      </c>
      <c r="D444" s="1507" t="s">
        <v>17</v>
      </c>
      <c r="E444" s="1485"/>
      <c r="F444" s="1485"/>
      <c r="G444" s="963"/>
      <c r="H444" s="563" t="s">
        <v>12</v>
      </c>
      <c r="I444" s="830"/>
      <c r="J444" s="830"/>
      <c r="K444" s="831"/>
      <c r="L444" s="967">
        <f t="shared" ref="L444:N444" ca="1" si="197">L445+L446</f>
        <v>840780</v>
      </c>
      <c r="M444" s="967">
        <f t="shared" si="197"/>
        <v>0</v>
      </c>
      <c r="N444" s="967">
        <f t="shared" si="197"/>
        <v>205200</v>
      </c>
      <c r="O444" s="967">
        <f t="shared" ref="O444:O449" ca="1" si="198">IF(L444&gt;0,N444*100/L444,0)</f>
        <v>24.405908798972384</v>
      </c>
      <c r="P444" s="967">
        <f t="shared" ref="P444:P449" si="199">IF(M444&gt;0,N444*100/M444,0)</f>
        <v>0</v>
      </c>
      <c r="Q444" s="1244"/>
      <c r="R444" s="1244"/>
      <c r="S444" s="1244"/>
      <c r="T444" s="1244"/>
      <c r="U444" s="1244"/>
      <c r="V444" s="1244"/>
      <c r="W444" s="1244"/>
      <c r="X444" s="1244"/>
      <c r="Y444" s="1244"/>
      <c r="Z444" s="1244"/>
    </row>
    <row r="445" spans="1:26" ht="18.75" hidden="1">
      <c r="A445" s="1260"/>
      <c r="B445" s="1261"/>
      <c r="C445" s="1261"/>
      <c r="D445" s="1262"/>
      <c r="E445" s="1261" t="s">
        <v>184</v>
      </c>
      <c r="F445" s="1261"/>
      <c r="G445" s="1263"/>
      <c r="H445" s="165" t="s">
        <v>12</v>
      </c>
      <c r="I445" s="836"/>
      <c r="J445" s="836"/>
      <c r="K445" s="837"/>
      <c r="L445" s="837">
        <f t="shared" ref="L445:N446" si="200">L448+L455</f>
        <v>0</v>
      </c>
      <c r="M445" s="837">
        <f t="shared" si="200"/>
        <v>0</v>
      </c>
      <c r="N445" s="837">
        <f t="shared" si="200"/>
        <v>0</v>
      </c>
      <c r="O445" s="837">
        <f t="shared" si="198"/>
        <v>0</v>
      </c>
      <c r="P445" s="837">
        <f t="shared" si="199"/>
        <v>0</v>
      </c>
      <c r="Q445" s="1264"/>
      <c r="R445" s="1264"/>
      <c r="S445" s="1264"/>
      <c r="T445" s="1264"/>
      <c r="U445" s="1264"/>
      <c r="V445" s="1264"/>
      <c r="W445" s="1264"/>
      <c r="X445" s="1264"/>
      <c r="Y445" s="1264"/>
      <c r="Z445" s="1264"/>
    </row>
    <row r="446" spans="1:26" ht="18.75" hidden="1">
      <c r="A446" s="1260"/>
      <c r="B446" s="1265"/>
      <c r="C446" s="1261"/>
      <c r="D446" s="1262"/>
      <c r="E446" s="1261" t="s">
        <v>185</v>
      </c>
      <c r="F446" s="1261"/>
      <c r="G446" s="1263"/>
      <c r="H446" s="165" t="s">
        <v>12</v>
      </c>
      <c r="I446" s="836"/>
      <c r="J446" s="836"/>
      <c r="K446" s="837"/>
      <c r="L446" s="837">
        <f t="shared" ca="1" si="200"/>
        <v>840780</v>
      </c>
      <c r="M446" s="837">
        <f t="shared" si="200"/>
        <v>0</v>
      </c>
      <c r="N446" s="837">
        <f t="shared" si="200"/>
        <v>205200</v>
      </c>
      <c r="O446" s="837">
        <f t="shared" ca="1" si="198"/>
        <v>24.405908798972384</v>
      </c>
      <c r="P446" s="837">
        <f t="shared" si="199"/>
        <v>0</v>
      </c>
      <c r="Q446" s="1264"/>
      <c r="R446" s="1264"/>
      <c r="S446" s="1264"/>
      <c r="T446" s="1264"/>
      <c r="U446" s="1264"/>
      <c r="V446" s="1264"/>
      <c r="W446" s="1264"/>
      <c r="X446" s="1264"/>
      <c r="Y446" s="1264"/>
      <c r="Z446" s="1264"/>
    </row>
    <row r="447" spans="1:26" ht="18.75">
      <c r="A447" s="1259"/>
      <c r="B447" s="1242"/>
      <c r="C447" s="1243"/>
      <c r="D447" s="1266" t="s">
        <v>20</v>
      </c>
      <c r="E447" s="1243"/>
      <c r="F447" s="1243"/>
      <c r="G447" s="963"/>
      <c r="H447" s="778" t="s">
        <v>12</v>
      </c>
      <c r="I447" s="944"/>
      <c r="J447" s="944"/>
      <c r="K447" s="945"/>
      <c r="L447" s="831">
        <f t="shared" ref="L447:N447" ca="1" si="201">L448+L449</f>
        <v>840780</v>
      </c>
      <c r="M447" s="831">
        <f t="shared" si="201"/>
        <v>0</v>
      </c>
      <c r="N447" s="831">
        <f t="shared" si="201"/>
        <v>205200</v>
      </c>
      <c r="O447" s="831">
        <f t="shared" ca="1" si="198"/>
        <v>24.405908798972384</v>
      </c>
      <c r="P447" s="831">
        <f t="shared" si="199"/>
        <v>0</v>
      </c>
      <c r="Q447" s="1244"/>
      <c r="R447" s="1244"/>
      <c r="S447" s="1244"/>
      <c r="T447" s="1244"/>
      <c r="U447" s="1244"/>
      <c r="V447" s="1244"/>
      <c r="W447" s="1244"/>
      <c r="X447" s="1244"/>
      <c r="Y447" s="1244"/>
      <c r="Z447" s="1244"/>
    </row>
    <row r="448" spans="1:26" ht="18.75" hidden="1">
      <c r="A448" s="1260"/>
      <c r="B448" s="1265"/>
      <c r="C448" s="1261"/>
      <c r="D448" s="1262"/>
      <c r="E448" s="1261" t="s">
        <v>184</v>
      </c>
      <c r="F448" s="1261"/>
      <c r="G448" s="1263"/>
      <c r="H448" s="165" t="s">
        <v>12</v>
      </c>
      <c r="I448" s="836"/>
      <c r="J448" s="836"/>
      <c r="K448" s="837"/>
      <c r="L448" s="837">
        <v>0</v>
      </c>
      <c r="M448" s="837">
        <v>0</v>
      </c>
      <c r="N448" s="837">
        <v>0</v>
      </c>
      <c r="O448" s="837">
        <f t="shared" si="198"/>
        <v>0</v>
      </c>
      <c r="P448" s="837">
        <f t="shared" si="199"/>
        <v>0</v>
      </c>
      <c r="Q448" s="1264"/>
      <c r="R448" s="1264"/>
      <c r="S448" s="1264"/>
      <c r="T448" s="1264"/>
      <c r="U448" s="1264"/>
      <c r="V448" s="1264"/>
      <c r="W448" s="1264"/>
      <c r="X448" s="1264"/>
      <c r="Y448" s="1264"/>
      <c r="Z448" s="1264"/>
    </row>
    <row r="449" spans="1:26" ht="18.75" hidden="1">
      <c r="A449" s="1260"/>
      <c r="B449" s="1265"/>
      <c r="C449" s="1261"/>
      <c r="D449" s="1262"/>
      <c r="E449" s="1261" t="s">
        <v>185</v>
      </c>
      <c r="F449" s="1261"/>
      <c r="G449" s="1263"/>
      <c r="H449" s="165" t="s">
        <v>12</v>
      </c>
      <c r="I449" s="836"/>
      <c r="J449" s="836"/>
      <c r="K449" s="837"/>
      <c r="L449" s="837">
        <f ca="1">IFERROR(__xludf.DUMMYFUNCTION("IMPORTRANGE(""https://docs.google.com/spreadsheets/d/1QqKyyYR6Q21VydFLVH3TRQUabQu_ym0Zz7PgGX0-kHA/edit?usp=sharing"",""แผน!FJ23"")"),840780)</f>
        <v>840780</v>
      </c>
      <c r="M449" s="837">
        <v>0</v>
      </c>
      <c r="N449" s="837">
        <f>N450+N451+N452+N453</f>
        <v>205200</v>
      </c>
      <c r="O449" s="837">
        <f t="shared" ca="1" si="198"/>
        <v>24.405908798972384</v>
      </c>
      <c r="P449" s="837">
        <f t="shared" si="199"/>
        <v>0</v>
      </c>
      <c r="Q449" s="1264"/>
      <c r="R449" s="1264"/>
      <c r="S449" s="1264"/>
      <c r="T449" s="1264"/>
      <c r="U449" s="1264"/>
      <c r="V449" s="1264"/>
      <c r="W449" s="1264"/>
      <c r="X449" s="1264"/>
      <c r="Y449" s="1264"/>
      <c r="Z449" s="1264"/>
    </row>
    <row r="450" spans="1:26" ht="18.75">
      <c r="A450" s="1241"/>
      <c r="B450" s="1242"/>
      <c r="C450" s="1243"/>
      <c r="D450" s="1243"/>
      <c r="E450" s="1243"/>
      <c r="F450" s="1243" t="s">
        <v>186</v>
      </c>
      <c r="G450" s="963"/>
      <c r="H450" s="778" t="s">
        <v>12</v>
      </c>
      <c r="I450" s="830"/>
      <c r="J450" s="830"/>
      <c r="K450" s="831"/>
      <c r="L450" s="831"/>
      <c r="M450" s="831"/>
      <c r="N450" s="1031">
        <v>144960</v>
      </c>
      <c r="O450" s="831"/>
      <c r="P450" s="831"/>
      <c r="Q450" s="1244"/>
      <c r="R450" s="1244"/>
      <c r="S450" s="1244"/>
      <c r="T450" s="1244"/>
      <c r="U450" s="1244"/>
      <c r="V450" s="1244"/>
      <c r="W450" s="1244"/>
      <c r="X450" s="1244"/>
      <c r="Y450" s="1244"/>
      <c r="Z450" s="1244"/>
    </row>
    <row r="451" spans="1:26" ht="18.75">
      <c r="A451" s="1241"/>
      <c r="B451" s="1242"/>
      <c r="C451" s="1243"/>
      <c r="D451" s="1243"/>
      <c r="E451" s="1243"/>
      <c r="F451" s="1243" t="s">
        <v>187</v>
      </c>
      <c r="G451" s="963"/>
      <c r="H451" s="778" t="s">
        <v>12</v>
      </c>
      <c r="I451" s="830"/>
      <c r="J451" s="830"/>
      <c r="K451" s="831"/>
      <c r="L451" s="831"/>
      <c r="M451" s="831"/>
      <c r="N451" s="1031">
        <v>0</v>
      </c>
      <c r="O451" s="831"/>
      <c r="P451" s="831"/>
      <c r="Q451" s="1244"/>
      <c r="R451" s="1244"/>
      <c r="S451" s="1244"/>
      <c r="T451" s="1244"/>
      <c r="U451" s="1244"/>
      <c r="V451" s="1244"/>
      <c r="W451" s="1244"/>
      <c r="X451" s="1244"/>
      <c r="Y451" s="1244"/>
      <c r="Z451" s="1244"/>
    </row>
    <row r="452" spans="1:26" ht="18.75">
      <c r="A452" s="1241"/>
      <c r="B452" s="1242"/>
      <c r="C452" s="1242"/>
      <c r="D452" s="1242"/>
      <c r="E452" s="1242"/>
      <c r="F452" s="1243" t="s">
        <v>188</v>
      </c>
      <c r="G452" s="963"/>
      <c r="H452" s="778" t="s">
        <v>12</v>
      </c>
      <c r="I452" s="830"/>
      <c r="J452" s="830"/>
      <c r="K452" s="831"/>
      <c r="L452" s="831"/>
      <c r="M452" s="831"/>
      <c r="N452" s="1031">
        <v>52000</v>
      </c>
      <c r="O452" s="831"/>
      <c r="P452" s="831"/>
      <c r="Q452" s="1244"/>
      <c r="R452" s="1244"/>
      <c r="S452" s="1244"/>
      <c r="T452" s="1244"/>
      <c r="U452" s="1244"/>
      <c r="V452" s="1244"/>
      <c r="W452" s="1244"/>
      <c r="X452" s="1244"/>
      <c r="Y452" s="1244"/>
      <c r="Z452" s="1244"/>
    </row>
    <row r="453" spans="1:26" ht="18.75">
      <c r="A453" s="1241"/>
      <c r="B453" s="1242"/>
      <c r="C453" s="1242"/>
      <c r="D453" s="1242"/>
      <c r="E453" s="1242"/>
      <c r="F453" s="1243" t="s">
        <v>189</v>
      </c>
      <c r="G453" s="963"/>
      <c r="H453" s="778" t="s">
        <v>12</v>
      </c>
      <c r="I453" s="830"/>
      <c r="J453" s="830"/>
      <c r="K453" s="831"/>
      <c r="L453" s="831"/>
      <c r="M453" s="831"/>
      <c r="N453" s="1031">
        <v>8240</v>
      </c>
      <c r="O453" s="831"/>
      <c r="P453" s="831"/>
      <c r="Q453" s="1244"/>
      <c r="R453" s="1244"/>
      <c r="S453" s="1244"/>
      <c r="T453" s="1244"/>
      <c r="U453" s="1244"/>
      <c r="V453" s="1244"/>
      <c r="W453" s="1244"/>
      <c r="X453" s="1244"/>
      <c r="Y453" s="1244"/>
      <c r="Z453" s="1244"/>
    </row>
    <row r="454" spans="1:26" ht="18.75">
      <c r="A454" s="1259"/>
      <c r="B454" s="1242"/>
      <c r="C454" s="1242"/>
      <c r="D454" s="1266" t="s">
        <v>21</v>
      </c>
      <c r="E454" s="1242"/>
      <c r="F454" s="1243"/>
      <c r="G454" s="963"/>
      <c r="H454" s="168" t="s">
        <v>12</v>
      </c>
      <c r="I454" s="944"/>
      <c r="J454" s="944"/>
      <c r="K454" s="945"/>
      <c r="L454" s="831">
        <f t="shared" ref="L454:N454" ca="1" si="202">L455+L456</f>
        <v>0</v>
      </c>
      <c r="M454" s="831">
        <f t="shared" si="202"/>
        <v>0</v>
      </c>
      <c r="N454" s="831">
        <f t="shared" si="202"/>
        <v>0</v>
      </c>
      <c r="O454" s="831">
        <f t="shared" ref="O454:O456" ca="1" si="203">IF(L454&gt;0,N454*100/L454,0)</f>
        <v>0</v>
      </c>
      <c r="P454" s="831">
        <f t="shared" ref="P454:P456" si="204">IF(M454&gt;0,N454*100/M454,0)</f>
        <v>0</v>
      </c>
      <c r="Q454" s="1244"/>
      <c r="R454" s="1244"/>
      <c r="S454" s="1244"/>
      <c r="T454" s="1244"/>
      <c r="U454" s="1244"/>
      <c r="V454" s="1244"/>
      <c r="W454" s="1244"/>
      <c r="X454" s="1244"/>
      <c r="Y454" s="1244"/>
      <c r="Z454" s="1244"/>
    </row>
    <row r="455" spans="1:26" ht="18.75" hidden="1">
      <c r="A455" s="1260"/>
      <c r="B455" s="1265"/>
      <c r="C455" s="1265"/>
      <c r="D455" s="1265"/>
      <c r="E455" s="1265" t="s">
        <v>18</v>
      </c>
      <c r="F455" s="1261"/>
      <c r="G455" s="1263"/>
      <c r="H455" s="165" t="s">
        <v>12</v>
      </c>
      <c r="I455" s="947"/>
      <c r="J455" s="947"/>
      <c r="K455" s="948"/>
      <c r="L455" s="837">
        <v>0</v>
      </c>
      <c r="M455" s="837">
        <v>0</v>
      </c>
      <c r="N455" s="837">
        <v>0</v>
      </c>
      <c r="O455" s="837">
        <f t="shared" si="203"/>
        <v>0</v>
      </c>
      <c r="P455" s="837">
        <f t="shared" si="204"/>
        <v>0</v>
      </c>
      <c r="Q455" s="1264"/>
      <c r="R455" s="1264"/>
      <c r="S455" s="1264"/>
      <c r="T455" s="1264"/>
      <c r="U455" s="1264"/>
      <c r="V455" s="1264"/>
      <c r="W455" s="1264"/>
      <c r="X455" s="1264"/>
      <c r="Y455" s="1264"/>
      <c r="Z455" s="1264"/>
    </row>
    <row r="456" spans="1:26" ht="18.75" hidden="1">
      <c r="A456" s="1260"/>
      <c r="B456" s="1265"/>
      <c r="C456" s="1265"/>
      <c r="D456" s="1265"/>
      <c r="E456" s="1265" t="s">
        <v>19</v>
      </c>
      <c r="F456" s="1261"/>
      <c r="G456" s="1263"/>
      <c r="H456" s="169" t="s">
        <v>12</v>
      </c>
      <c r="I456" s="947"/>
      <c r="J456" s="947"/>
      <c r="K456" s="948"/>
      <c r="L456" s="837">
        <f ca="1">IFERROR(__xludf.DUMMYFUNCTION("IMPORTRANGE(""https://docs.google.com/spreadsheets/d/1QqKyyYR6Q21VydFLVH3TRQUabQu_ym0Zz7PgGX0-kHA/edit?usp=sharing"",""แผน!FM23"")"),0)</f>
        <v>0</v>
      </c>
      <c r="M456" s="837">
        <v>0</v>
      </c>
      <c r="N456" s="837">
        <v>0</v>
      </c>
      <c r="O456" s="837">
        <f t="shared" ca="1" si="203"/>
        <v>0</v>
      </c>
      <c r="P456" s="837">
        <f t="shared" si="204"/>
        <v>0</v>
      </c>
      <c r="Q456" s="1264"/>
      <c r="R456" s="1264"/>
      <c r="S456" s="1264"/>
      <c r="T456" s="1264"/>
      <c r="U456" s="1264"/>
      <c r="V456" s="1264"/>
      <c r="W456" s="1264"/>
      <c r="X456" s="1264"/>
      <c r="Y456" s="1264"/>
      <c r="Z456" s="1264"/>
    </row>
    <row r="457" spans="1:26" ht="19.5">
      <c r="A457" s="1267"/>
      <c r="B457" s="1268"/>
      <c r="C457" s="1242" t="s">
        <v>16</v>
      </c>
      <c r="D457" s="1269" t="s">
        <v>38</v>
      </c>
      <c r="E457" s="1270"/>
      <c r="F457" s="1271"/>
      <c r="G457" s="1272"/>
      <c r="H457" s="954"/>
      <c r="I457" s="830"/>
      <c r="J457" s="830"/>
      <c r="K457" s="831"/>
      <c r="L457" s="831"/>
      <c r="M457" s="831"/>
      <c r="N457" s="831"/>
      <c r="O457" s="831"/>
      <c r="P457" s="831"/>
      <c r="Q457" s="1244"/>
      <c r="R457" s="1244"/>
      <c r="S457" s="1244"/>
      <c r="T457" s="1244"/>
      <c r="U457" s="1244"/>
      <c r="V457" s="1244"/>
      <c r="W457" s="1244"/>
      <c r="X457" s="1244"/>
      <c r="Y457" s="1244"/>
      <c r="Z457" s="1244"/>
    </row>
    <row r="458" spans="1:26" ht="18.75" hidden="1">
      <c r="A458" s="1273"/>
      <c r="B458" s="1274"/>
      <c r="C458" s="1274"/>
      <c r="D458" s="1274" t="s">
        <v>200</v>
      </c>
      <c r="E458" s="1274"/>
      <c r="F458" s="1262"/>
      <c r="G458" s="1060"/>
      <c r="H458" s="583" t="s">
        <v>35</v>
      </c>
      <c r="I458" s="836">
        <v>0</v>
      </c>
      <c r="J458" s="836">
        <v>0</v>
      </c>
      <c r="K458" s="837">
        <f>IF(I458&gt;0,J458*100/I458,0)</f>
        <v>0</v>
      </c>
      <c r="L458" s="837"/>
      <c r="M458" s="837"/>
      <c r="N458" s="837"/>
      <c r="O458" s="837"/>
      <c r="P458" s="837"/>
      <c r="Q458" s="1264"/>
      <c r="R458" s="1264"/>
      <c r="S458" s="1264"/>
      <c r="T458" s="1264"/>
      <c r="U458" s="1264"/>
      <c r="V458" s="1264"/>
      <c r="W458" s="1264"/>
      <c r="X458" s="1264"/>
      <c r="Y458" s="1264"/>
      <c r="Z458" s="1264"/>
    </row>
    <row r="459" spans="1:26" ht="18.75" hidden="1">
      <c r="A459" s="1273"/>
      <c r="B459" s="1274"/>
      <c r="C459" s="1274"/>
      <c r="D459" s="1274" t="s">
        <v>201</v>
      </c>
      <c r="E459" s="1274"/>
      <c r="F459" s="1262"/>
      <c r="G459" s="1060"/>
      <c r="H459" s="583"/>
      <c r="I459" s="836"/>
      <c r="J459" s="836"/>
      <c r="K459" s="837"/>
      <c r="L459" s="837"/>
      <c r="M459" s="837"/>
      <c r="N459" s="837"/>
      <c r="O459" s="837"/>
      <c r="P459" s="837"/>
      <c r="Q459" s="1264"/>
      <c r="R459" s="1264"/>
      <c r="S459" s="1264"/>
      <c r="T459" s="1264"/>
      <c r="U459" s="1264"/>
      <c r="V459" s="1264"/>
      <c r="W459" s="1264"/>
      <c r="X459" s="1264"/>
      <c r="Y459" s="1264"/>
      <c r="Z459" s="1264"/>
    </row>
    <row r="460" spans="1:26" ht="18.75">
      <c r="A460" s="1267"/>
      <c r="B460" s="1268"/>
      <c r="C460" s="1268"/>
      <c r="D460" s="1268" t="s">
        <v>202</v>
      </c>
      <c r="E460" s="1268"/>
      <c r="F460" s="961"/>
      <c r="G460" s="954"/>
      <c r="H460" s="730" t="s">
        <v>35</v>
      </c>
      <c r="I460" s="830">
        <f ca="1">IFERROR(__xludf.DUMMYFUNCTION("IMPORTRANGE(""https://docs.google.com/spreadsheets/d/1QqKyyYR6Q21VydFLVH3TRQUabQu_ym0Zz7PgGX0-kHA/edit?usp=sharing"",""แผน!FN23"")"),100)</f>
        <v>100</v>
      </c>
      <c r="J460" s="959">
        <v>100</v>
      </c>
      <c r="K460" s="831">
        <f ca="1">IF(I460&gt;0,J460*100/I460,0)</f>
        <v>100</v>
      </c>
      <c r="L460" s="831"/>
      <c r="M460" s="831"/>
      <c r="N460" s="831"/>
      <c r="O460" s="831"/>
      <c r="P460" s="831"/>
      <c r="Q460" s="1244"/>
      <c r="R460" s="1244"/>
      <c r="S460" s="1244"/>
      <c r="T460" s="1244"/>
      <c r="U460" s="1244"/>
      <c r="V460" s="1244"/>
      <c r="W460" s="1244"/>
      <c r="X460" s="1244"/>
      <c r="Y460" s="1244"/>
      <c r="Z460" s="1244"/>
    </row>
    <row r="461" spans="1:26" ht="18.75">
      <c r="A461" s="1267"/>
      <c r="B461" s="1268"/>
      <c r="C461" s="1268"/>
      <c r="D461" s="1268" t="s">
        <v>203</v>
      </c>
      <c r="E461" s="961"/>
      <c r="F461" s="961"/>
      <c r="G461" s="954"/>
      <c r="H461" s="730"/>
      <c r="I461" s="830"/>
      <c r="J461" s="830"/>
      <c r="K461" s="831"/>
      <c r="L461" s="831"/>
      <c r="M461" s="831"/>
      <c r="N461" s="831"/>
      <c r="O461" s="831"/>
      <c r="P461" s="831"/>
      <c r="Q461" s="1244"/>
      <c r="R461" s="1244"/>
      <c r="S461" s="1244"/>
      <c r="T461" s="1244"/>
      <c r="U461" s="1244"/>
      <c r="V461" s="1244"/>
      <c r="W461" s="1244"/>
      <c r="X461" s="1244"/>
      <c r="Y461" s="1244"/>
      <c r="Z461" s="1244"/>
    </row>
    <row r="462" spans="1:26" ht="18.75">
      <c r="A462" s="1267"/>
      <c r="B462" s="1268"/>
      <c r="C462" s="1268"/>
      <c r="D462" s="1268" t="s">
        <v>204</v>
      </c>
      <c r="E462" s="961"/>
      <c r="F462" s="961"/>
      <c r="G462" s="954"/>
      <c r="H462" s="730" t="s">
        <v>46</v>
      </c>
      <c r="I462" s="830">
        <f ca="1">IFERROR(__xludf.DUMMYFUNCTION("IMPORTRANGE(""https://docs.google.com/spreadsheets/d/1QqKyyYR6Q21VydFLVH3TRQUabQu_ym0Zz7PgGX0-kHA/edit?usp=sharing"",""แผน!FO23"")"),475)</f>
        <v>475</v>
      </c>
      <c r="J462" s="959">
        <v>475</v>
      </c>
      <c r="K462" s="831">
        <f ca="1">IF(I462&gt;0,J462*100/I462,0)</f>
        <v>100</v>
      </c>
      <c r="L462" s="831"/>
      <c r="M462" s="831"/>
      <c r="N462" s="831"/>
      <c r="O462" s="831"/>
      <c r="P462" s="831"/>
      <c r="Q462" s="1244"/>
      <c r="R462" s="1244"/>
      <c r="S462" s="1244"/>
      <c r="T462" s="1244"/>
      <c r="U462" s="1244"/>
      <c r="V462" s="1244"/>
      <c r="W462" s="1244"/>
      <c r="X462" s="1244"/>
      <c r="Y462" s="1244"/>
      <c r="Z462" s="1244"/>
    </row>
    <row r="463" spans="1:26" ht="18.75">
      <c r="A463" s="1267"/>
      <c r="B463" s="1268"/>
      <c r="C463" s="1268"/>
      <c r="D463" s="1268" t="s">
        <v>59</v>
      </c>
      <c r="E463" s="961"/>
      <c r="F463" s="1243"/>
      <c r="G463" s="963"/>
      <c r="H463" s="730" t="s">
        <v>46</v>
      </c>
      <c r="I463" s="830">
        <f ca="1">IFERROR(__xludf.DUMMYFUNCTION("IMPORTRANGE(""https://docs.google.com/spreadsheets/d/1QqKyyYR6Q21VydFLVH3TRQUabQu_ym0Zz7PgGX0-kHA/edit?usp=sharing"",""แผน!FO23"")"),475)</f>
        <v>475</v>
      </c>
      <c r="J463" s="959">
        <v>0</v>
      </c>
      <c r="K463" s="831"/>
      <c r="L463" s="831"/>
      <c r="M463" s="831"/>
      <c r="N463" s="831"/>
      <c r="O463" s="831"/>
      <c r="P463" s="831"/>
      <c r="Q463" s="1244"/>
      <c r="R463" s="1244"/>
      <c r="S463" s="1244"/>
      <c r="T463" s="1244"/>
      <c r="U463" s="1244"/>
      <c r="V463" s="1244"/>
      <c r="W463" s="1244"/>
      <c r="X463" s="1244"/>
      <c r="Y463" s="1244"/>
      <c r="Z463" s="1244"/>
    </row>
    <row r="464" spans="1:26" ht="19.5">
      <c r="A464" s="1267"/>
      <c r="B464" s="1268"/>
      <c r="C464" s="1268"/>
      <c r="D464" s="1268"/>
      <c r="E464" s="961"/>
      <c r="F464" s="961"/>
      <c r="G464" s="1275"/>
      <c r="H464" s="730" t="s">
        <v>35</v>
      </c>
      <c r="I464" s="830">
        <f ca="1">IFERROR(__xludf.DUMMYFUNCTION("IMPORTRANGE(""https://docs.google.com/spreadsheets/d/1QqKyyYR6Q21VydFLVH3TRQUabQu_ym0Zz7PgGX0-kHA/edit?usp=sharing"",""แผน!FN23"")"),100)</f>
        <v>100</v>
      </c>
      <c r="J464" s="959">
        <v>0</v>
      </c>
      <c r="K464" s="831"/>
      <c r="L464" s="831"/>
      <c r="M464" s="831"/>
      <c r="N464" s="831"/>
      <c r="O464" s="831"/>
      <c r="P464" s="831"/>
      <c r="Q464" s="1244"/>
      <c r="R464" s="1244"/>
      <c r="S464" s="1244"/>
      <c r="T464" s="1244"/>
      <c r="U464" s="1244"/>
      <c r="V464" s="1244"/>
      <c r="W464" s="1244"/>
      <c r="X464" s="1244"/>
      <c r="Y464" s="1244"/>
      <c r="Z464" s="1244"/>
    </row>
    <row r="465" spans="1:26" ht="19.5">
      <c r="A465" s="550">
        <v>3</v>
      </c>
      <c r="B465" s="1249" t="s">
        <v>205</v>
      </c>
      <c r="C465" s="1250"/>
      <c r="D465" s="1250"/>
      <c r="E465" s="1250"/>
      <c r="F465" s="1250"/>
      <c r="G465" s="1251"/>
      <c r="H465" s="554" t="s">
        <v>35</v>
      </c>
      <c r="I465" s="1252">
        <f ca="1">IFERROR(__xludf.DUMMYFUNCTION("IMPORTRANGE(""https://docs.google.com/spreadsheets/d/1QqKyyYR6Q21VydFLVH3TRQUabQu_ym0Zz7PgGX0-kHA/edit?usp=sharing"",""แผน!FX23"")"),51)</f>
        <v>51</v>
      </c>
      <c r="J465" s="1252">
        <f>J485+J489+J492</f>
        <v>51</v>
      </c>
      <c r="K465" s="1253">
        <f t="shared" ref="K465:K466" ca="1" si="205">IF(I465&gt;0,J465*100/I465,0)</f>
        <v>100</v>
      </c>
      <c r="L465" s="1254"/>
      <c r="M465" s="1254"/>
      <c r="N465" s="1254"/>
      <c r="O465" s="1254"/>
      <c r="P465" s="1254"/>
      <c r="Q465" s="1244"/>
      <c r="R465" s="1244"/>
      <c r="S465" s="1244"/>
      <c r="T465" s="1244"/>
      <c r="U465" s="1244"/>
      <c r="V465" s="1244"/>
      <c r="W465" s="1244"/>
      <c r="X465" s="1244"/>
      <c r="Y465" s="1244"/>
      <c r="Z465" s="1244"/>
    </row>
    <row r="466" spans="1:26" ht="19.5">
      <c r="A466" s="1255"/>
      <c r="B466" s="1256"/>
      <c r="C466" s="1257"/>
      <c r="D466" s="1257"/>
      <c r="E466" s="1257"/>
      <c r="F466" s="1257"/>
      <c r="G466" s="1258"/>
      <c r="H466" s="532" t="s">
        <v>46</v>
      </c>
      <c r="I466" s="1237">
        <f ca="1">IFERROR(__xludf.DUMMYFUNCTION("IMPORTRANGE(""https://docs.google.com/spreadsheets/d/1QqKyyYR6Q21VydFLVH3TRQUabQu_ym0Zz7PgGX0-kHA/edit?usp=sharing"",""แผน!FW23"")"),500)</f>
        <v>500</v>
      </c>
      <c r="J466" s="1237">
        <f>J495+J498</f>
        <v>50</v>
      </c>
      <c r="K466" s="1238">
        <f t="shared" ca="1" si="205"/>
        <v>10</v>
      </c>
      <c r="L466" s="1239"/>
      <c r="M466" s="1239"/>
      <c r="N466" s="1239"/>
      <c r="O466" s="1239"/>
      <c r="P466" s="1239"/>
      <c r="Q466" s="1244"/>
      <c r="R466" s="1244"/>
      <c r="S466" s="1244"/>
      <c r="T466" s="1244"/>
      <c r="U466" s="1244"/>
      <c r="V466" s="1244"/>
      <c r="W466" s="1244"/>
      <c r="X466" s="1244"/>
      <c r="Y466" s="1244"/>
      <c r="Z466" s="1244"/>
    </row>
    <row r="467" spans="1:26" ht="19.5">
      <c r="A467" s="1259"/>
      <c r="B467" s="1243"/>
      <c r="C467" s="1243" t="s">
        <v>16</v>
      </c>
      <c r="D467" s="1507" t="s">
        <v>17</v>
      </c>
      <c r="E467" s="1485"/>
      <c r="F467" s="1485"/>
      <c r="G467" s="963"/>
      <c r="H467" s="563" t="s">
        <v>12</v>
      </c>
      <c r="I467" s="830"/>
      <c r="J467" s="830"/>
      <c r="K467" s="831"/>
      <c r="L467" s="967">
        <f t="shared" ref="L467:N467" ca="1" si="206">L468+L469</f>
        <v>410323</v>
      </c>
      <c r="M467" s="967">
        <f t="shared" si="206"/>
        <v>0</v>
      </c>
      <c r="N467" s="967">
        <f t="shared" si="206"/>
        <v>115540</v>
      </c>
      <c r="O467" s="967">
        <f t="shared" ref="O467:O472" ca="1" si="207">IF(L467&gt;0,N467*100/L467,0)</f>
        <v>28.158304555191886</v>
      </c>
      <c r="P467" s="967">
        <f t="shared" ref="P467:P472" si="208">IF(M467&gt;0,N467*100/M467,0)</f>
        <v>0</v>
      </c>
      <c r="Q467" s="1244"/>
      <c r="R467" s="1244"/>
      <c r="S467" s="1244"/>
      <c r="T467" s="1244"/>
      <c r="U467" s="1244"/>
      <c r="V467" s="1244"/>
      <c r="W467" s="1244"/>
      <c r="X467" s="1244"/>
      <c r="Y467" s="1244"/>
      <c r="Z467" s="1244"/>
    </row>
    <row r="468" spans="1:26" ht="18.75" hidden="1">
      <c r="A468" s="1260"/>
      <c r="B468" s="1261"/>
      <c r="C468" s="1261"/>
      <c r="D468" s="1262"/>
      <c r="E468" s="1261" t="s">
        <v>184</v>
      </c>
      <c r="F468" s="1261"/>
      <c r="G468" s="1263"/>
      <c r="H468" s="165" t="s">
        <v>12</v>
      </c>
      <c r="I468" s="836"/>
      <c r="J468" s="836"/>
      <c r="K468" s="837"/>
      <c r="L468" s="837">
        <f t="shared" ref="L468:N469" si="209">L471+L478</f>
        <v>0</v>
      </c>
      <c r="M468" s="837">
        <f t="shared" si="209"/>
        <v>0</v>
      </c>
      <c r="N468" s="837">
        <f t="shared" si="209"/>
        <v>0</v>
      </c>
      <c r="O468" s="837">
        <f t="shared" si="207"/>
        <v>0</v>
      </c>
      <c r="P468" s="837">
        <f t="shared" si="208"/>
        <v>0</v>
      </c>
      <c r="Q468" s="1264"/>
      <c r="R468" s="1264"/>
      <c r="S468" s="1264"/>
      <c r="T468" s="1264"/>
      <c r="U468" s="1264"/>
      <c r="V468" s="1264"/>
      <c r="W468" s="1264"/>
      <c r="X468" s="1264"/>
      <c r="Y468" s="1264"/>
      <c r="Z468" s="1264"/>
    </row>
    <row r="469" spans="1:26" ht="18.75" hidden="1">
      <c r="A469" s="1260"/>
      <c r="B469" s="1265"/>
      <c r="C469" s="1261"/>
      <c r="D469" s="1262"/>
      <c r="E469" s="1261" t="s">
        <v>185</v>
      </c>
      <c r="F469" s="1261"/>
      <c r="G469" s="1263"/>
      <c r="H469" s="165" t="s">
        <v>12</v>
      </c>
      <c r="I469" s="836"/>
      <c r="J469" s="836"/>
      <c r="K469" s="837"/>
      <c r="L469" s="837">
        <f t="shared" ca="1" si="209"/>
        <v>410323</v>
      </c>
      <c r="M469" s="837">
        <f t="shared" si="209"/>
        <v>0</v>
      </c>
      <c r="N469" s="837">
        <f t="shared" si="209"/>
        <v>115540</v>
      </c>
      <c r="O469" s="837">
        <f t="shared" ca="1" si="207"/>
        <v>28.158304555191886</v>
      </c>
      <c r="P469" s="837">
        <f t="shared" si="208"/>
        <v>0</v>
      </c>
      <c r="Q469" s="1264"/>
      <c r="R469" s="1264"/>
      <c r="S469" s="1264"/>
      <c r="T469" s="1264"/>
      <c r="U469" s="1264"/>
      <c r="V469" s="1264"/>
      <c r="W469" s="1264"/>
      <c r="X469" s="1264"/>
      <c r="Y469" s="1264"/>
      <c r="Z469" s="1264"/>
    </row>
    <row r="470" spans="1:26" ht="18.75">
      <c r="A470" s="1259"/>
      <c r="B470" s="1242"/>
      <c r="C470" s="1243"/>
      <c r="D470" s="1266" t="s">
        <v>20</v>
      </c>
      <c r="E470" s="1243"/>
      <c r="F470" s="1243"/>
      <c r="G470" s="963"/>
      <c r="H470" s="778" t="s">
        <v>12</v>
      </c>
      <c r="I470" s="944"/>
      <c r="J470" s="944"/>
      <c r="K470" s="945"/>
      <c r="L470" s="831">
        <f t="shared" ref="L470:N470" ca="1" si="210">L471+L472</f>
        <v>410323</v>
      </c>
      <c r="M470" s="831">
        <f t="shared" si="210"/>
        <v>0</v>
      </c>
      <c r="N470" s="831">
        <f t="shared" si="210"/>
        <v>115540</v>
      </c>
      <c r="O470" s="831">
        <f t="shared" ca="1" si="207"/>
        <v>28.158304555191886</v>
      </c>
      <c r="P470" s="831">
        <f t="shared" si="208"/>
        <v>0</v>
      </c>
      <c r="Q470" s="1244"/>
      <c r="R470" s="1244"/>
      <c r="S470" s="1244"/>
      <c r="T470" s="1244"/>
      <c r="U470" s="1244"/>
      <c r="V470" s="1244"/>
      <c r="W470" s="1244"/>
      <c r="X470" s="1244"/>
      <c r="Y470" s="1244"/>
      <c r="Z470" s="1244"/>
    </row>
    <row r="471" spans="1:26" ht="18.75" hidden="1">
      <c r="A471" s="1260"/>
      <c r="B471" s="1265"/>
      <c r="C471" s="1261"/>
      <c r="D471" s="1262"/>
      <c r="E471" s="1261" t="s">
        <v>184</v>
      </c>
      <c r="F471" s="1261"/>
      <c r="G471" s="1263"/>
      <c r="H471" s="165" t="s">
        <v>12</v>
      </c>
      <c r="I471" s="836"/>
      <c r="J471" s="836"/>
      <c r="K471" s="837"/>
      <c r="L471" s="837">
        <v>0</v>
      </c>
      <c r="M471" s="837">
        <v>0</v>
      </c>
      <c r="N471" s="837">
        <v>0</v>
      </c>
      <c r="O471" s="837">
        <f t="shared" si="207"/>
        <v>0</v>
      </c>
      <c r="P471" s="837">
        <f t="shared" si="208"/>
        <v>0</v>
      </c>
      <c r="Q471" s="1264"/>
      <c r="R471" s="1264"/>
      <c r="S471" s="1264"/>
      <c r="T471" s="1264"/>
      <c r="U471" s="1264"/>
      <c r="V471" s="1264"/>
      <c r="W471" s="1264"/>
      <c r="X471" s="1264"/>
      <c r="Y471" s="1264"/>
      <c r="Z471" s="1264"/>
    </row>
    <row r="472" spans="1:26" ht="18.75" hidden="1">
      <c r="A472" s="1260"/>
      <c r="B472" s="1265"/>
      <c r="C472" s="1261"/>
      <c r="D472" s="1262"/>
      <c r="E472" s="1261" t="s">
        <v>185</v>
      </c>
      <c r="F472" s="1261"/>
      <c r="G472" s="1263"/>
      <c r="H472" s="165" t="s">
        <v>12</v>
      </c>
      <c r="I472" s="836"/>
      <c r="J472" s="836"/>
      <c r="K472" s="837"/>
      <c r="L472" s="837">
        <f ca="1">IFERROR(__xludf.DUMMYFUNCTION("IMPORTRANGE(""https://docs.google.com/spreadsheets/d/1QqKyyYR6Q21VydFLVH3TRQUabQu_ym0Zz7PgGX0-kHA/edit?usp=sharing"",""แผน!FS23"")"),410323)</f>
        <v>410323</v>
      </c>
      <c r="M472" s="837">
        <v>0</v>
      </c>
      <c r="N472" s="837">
        <f>N473+N474+N475+N476</f>
        <v>115540</v>
      </c>
      <c r="O472" s="837">
        <f t="shared" ca="1" si="207"/>
        <v>28.158304555191886</v>
      </c>
      <c r="P472" s="837">
        <f t="shared" si="208"/>
        <v>0</v>
      </c>
      <c r="Q472" s="1264"/>
      <c r="R472" s="1264"/>
      <c r="S472" s="1264"/>
      <c r="T472" s="1264"/>
      <c r="U472" s="1264"/>
      <c r="V472" s="1264"/>
      <c r="W472" s="1264"/>
      <c r="X472" s="1264"/>
      <c r="Y472" s="1264"/>
      <c r="Z472" s="1264"/>
    </row>
    <row r="473" spans="1:26" ht="18.75">
      <c r="A473" s="1241"/>
      <c r="B473" s="1242"/>
      <c r="C473" s="1243"/>
      <c r="D473" s="1243"/>
      <c r="E473" s="1243"/>
      <c r="F473" s="1243" t="s">
        <v>186</v>
      </c>
      <c r="G473" s="963"/>
      <c r="H473" s="778" t="s">
        <v>12</v>
      </c>
      <c r="I473" s="830"/>
      <c r="J473" s="830"/>
      <c r="K473" s="831"/>
      <c r="L473" s="831"/>
      <c r="M473" s="831"/>
      <c r="N473" s="1031">
        <v>71800</v>
      </c>
      <c r="O473" s="831"/>
      <c r="P473" s="831"/>
      <c r="Q473" s="1244"/>
      <c r="R473" s="1244"/>
      <c r="S473" s="1244"/>
      <c r="T473" s="1244"/>
      <c r="U473" s="1244"/>
      <c r="V473" s="1244"/>
      <c r="W473" s="1244"/>
      <c r="X473" s="1244"/>
      <c r="Y473" s="1244"/>
      <c r="Z473" s="1244"/>
    </row>
    <row r="474" spans="1:26" ht="18.75">
      <c r="A474" s="1241"/>
      <c r="B474" s="1242"/>
      <c r="C474" s="1243"/>
      <c r="D474" s="1243"/>
      <c r="E474" s="1243"/>
      <c r="F474" s="1243" t="s">
        <v>187</v>
      </c>
      <c r="G474" s="963"/>
      <c r="H474" s="778" t="s">
        <v>12</v>
      </c>
      <c r="I474" s="830"/>
      <c r="J474" s="830"/>
      <c r="K474" s="831"/>
      <c r="L474" s="831"/>
      <c r="M474" s="831"/>
      <c r="N474" s="1031">
        <v>35000</v>
      </c>
      <c r="O474" s="831"/>
      <c r="P474" s="831"/>
      <c r="Q474" s="1244"/>
      <c r="R474" s="1244"/>
      <c r="S474" s="1244"/>
      <c r="T474" s="1244"/>
      <c r="U474" s="1244"/>
      <c r="V474" s="1244"/>
      <c r="W474" s="1244"/>
      <c r="X474" s="1244"/>
      <c r="Y474" s="1244"/>
      <c r="Z474" s="1244"/>
    </row>
    <row r="475" spans="1:26" ht="18.75">
      <c r="A475" s="1241"/>
      <c r="B475" s="1242"/>
      <c r="C475" s="1242"/>
      <c r="D475" s="1242"/>
      <c r="E475" s="1242"/>
      <c r="F475" s="1243" t="s">
        <v>188</v>
      </c>
      <c r="G475" s="963"/>
      <c r="H475" s="778" t="s">
        <v>12</v>
      </c>
      <c r="I475" s="830"/>
      <c r="J475" s="830"/>
      <c r="K475" s="831"/>
      <c r="L475" s="831"/>
      <c r="M475" s="831"/>
      <c r="N475" s="1031">
        <v>0</v>
      </c>
      <c r="O475" s="831"/>
      <c r="P475" s="831"/>
      <c r="Q475" s="1244"/>
      <c r="R475" s="1244"/>
      <c r="S475" s="1244"/>
      <c r="T475" s="1244"/>
      <c r="U475" s="1244"/>
      <c r="V475" s="1244"/>
      <c r="W475" s="1244"/>
      <c r="X475" s="1244"/>
      <c r="Y475" s="1244"/>
      <c r="Z475" s="1244"/>
    </row>
    <row r="476" spans="1:26" ht="18.75">
      <c r="A476" s="1241"/>
      <c r="B476" s="1242"/>
      <c r="C476" s="1242"/>
      <c r="D476" s="1242"/>
      <c r="E476" s="1242"/>
      <c r="F476" s="1243" t="s">
        <v>189</v>
      </c>
      <c r="G476" s="963"/>
      <c r="H476" s="778" t="s">
        <v>12</v>
      </c>
      <c r="I476" s="830"/>
      <c r="J476" s="830"/>
      <c r="K476" s="831"/>
      <c r="L476" s="831"/>
      <c r="M476" s="831"/>
      <c r="N476" s="1031">
        <v>8740</v>
      </c>
      <c r="O476" s="831"/>
      <c r="P476" s="831"/>
      <c r="Q476" s="1244"/>
      <c r="R476" s="1244"/>
      <c r="S476" s="1244"/>
      <c r="T476" s="1244"/>
      <c r="U476" s="1244"/>
      <c r="V476" s="1244"/>
      <c r="W476" s="1244"/>
      <c r="X476" s="1244"/>
      <c r="Y476" s="1244"/>
      <c r="Z476" s="1244"/>
    </row>
    <row r="477" spans="1:26" ht="18.75">
      <c r="A477" s="1259"/>
      <c r="B477" s="1242"/>
      <c r="C477" s="1242"/>
      <c r="D477" s="1266" t="s">
        <v>21</v>
      </c>
      <c r="E477" s="1242"/>
      <c r="F477" s="1242"/>
      <c r="G477" s="963"/>
      <c r="H477" s="168" t="s">
        <v>12</v>
      </c>
      <c r="I477" s="944"/>
      <c r="J477" s="944"/>
      <c r="K477" s="945"/>
      <c r="L477" s="831">
        <f t="shared" ref="L477:N477" ca="1" si="211">L478+L479</f>
        <v>0</v>
      </c>
      <c r="M477" s="831">
        <f t="shared" si="211"/>
        <v>0</v>
      </c>
      <c r="N477" s="831">
        <f t="shared" si="211"/>
        <v>0</v>
      </c>
      <c r="O477" s="831">
        <f t="shared" ref="O477:O479" ca="1" si="212">IF(L477&gt;0,N477*100/L477,0)</f>
        <v>0</v>
      </c>
      <c r="P477" s="831">
        <f t="shared" ref="P477:P479" si="213">IF(M477&gt;0,N477*100/M477,0)</f>
        <v>0</v>
      </c>
      <c r="Q477" s="1244"/>
      <c r="R477" s="1244"/>
      <c r="S477" s="1244"/>
      <c r="T477" s="1244"/>
      <c r="U477" s="1244"/>
      <c r="V477" s="1244"/>
      <c r="W477" s="1244"/>
      <c r="X477" s="1244"/>
      <c r="Y477" s="1244"/>
      <c r="Z477" s="1244"/>
    </row>
    <row r="478" spans="1:26" ht="18.75" hidden="1">
      <c r="A478" s="1260"/>
      <c r="B478" s="1265"/>
      <c r="C478" s="1265"/>
      <c r="D478" s="1265"/>
      <c r="E478" s="1265" t="s">
        <v>18</v>
      </c>
      <c r="F478" s="1265"/>
      <c r="G478" s="1263"/>
      <c r="H478" s="165" t="s">
        <v>12</v>
      </c>
      <c r="I478" s="947"/>
      <c r="J478" s="947"/>
      <c r="K478" s="948"/>
      <c r="L478" s="837">
        <v>0</v>
      </c>
      <c r="M478" s="837">
        <v>0</v>
      </c>
      <c r="N478" s="837">
        <v>0</v>
      </c>
      <c r="O478" s="837">
        <f t="shared" si="212"/>
        <v>0</v>
      </c>
      <c r="P478" s="837">
        <f t="shared" si="213"/>
        <v>0</v>
      </c>
      <c r="Q478" s="1264"/>
      <c r="R478" s="1264"/>
      <c r="S478" s="1264"/>
      <c r="T478" s="1264"/>
      <c r="U478" s="1264"/>
      <c r="V478" s="1264"/>
      <c r="W478" s="1264"/>
      <c r="X478" s="1264"/>
      <c r="Y478" s="1264"/>
      <c r="Z478" s="1264"/>
    </row>
    <row r="479" spans="1:26" ht="18.75" hidden="1">
      <c r="A479" s="1260"/>
      <c r="B479" s="1265"/>
      <c r="C479" s="1265"/>
      <c r="D479" s="1265"/>
      <c r="E479" s="1265" t="s">
        <v>19</v>
      </c>
      <c r="F479" s="1265"/>
      <c r="G479" s="1263"/>
      <c r="H479" s="169" t="s">
        <v>12</v>
      </c>
      <c r="I479" s="947"/>
      <c r="J479" s="947"/>
      <c r="K479" s="948"/>
      <c r="L479" s="837">
        <f ca="1">IFERROR(__xludf.DUMMYFUNCTION("IMPORTRANGE(""https://docs.google.com/spreadsheets/d/1QqKyyYR6Q21VydFLVH3TRQUabQu_ym0Zz7PgGX0-kHA/edit?usp=sharing"",""แผน!FV23"")"),0)</f>
        <v>0</v>
      </c>
      <c r="M479" s="837">
        <v>0</v>
      </c>
      <c r="N479" s="837">
        <v>0</v>
      </c>
      <c r="O479" s="837">
        <f t="shared" ca="1" si="212"/>
        <v>0</v>
      </c>
      <c r="P479" s="837">
        <f t="shared" si="213"/>
        <v>0</v>
      </c>
      <c r="Q479" s="1264"/>
      <c r="R479" s="1264"/>
      <c r="S479" s="1264"/>
      <c r="T479" s="1264"/>
      <c r="U479" s="1264"/>
      <c r="V479" s="1264"/>
      <c r="W479" s="1264"/>
      <c r="X479" s="1264"/>
      <c r="Y479" s="1264"/>
      <c r="Z479" s="1264"/>
    </row>
    <row r="480" spans="1:26" ht="19.5">
      <c r="A480" s="1267"/>
      <c r="B480" s="1268"/>
      <c r="C480" s="1242" t="s">
        <v>16</v>
      </c>
      <c r="D480" s="1276" t="s">
        <v>38</v>
      </c>
      <c r="E480" s="1270"/>
      <c r="F480" s="1271"/>
      <c r="G480" s="1272"/>
      <c r="H480" s="954"/>
      <c r="I480" s="830"/>
      <c r="J480" s="830"/>
      <c r="K480" s="831"/>
      <c r="L480" s="831"/>
      <c r="M480" s="831"/>
      <c r="N480" s="831"/>
      <c r="O480" s="831"/>
      <c r="P480" s="831"/>
      <c r="Q480" s="1244"/>
      <c r="R480" s="1244"/>
      <c r="S480" s="1244"/>
      <c r="T480" s="1244"/>
      <c r="U480" s="1244"/>
      <c r="V480" s="1244"/>
      <c r="W480" s="1244"/>
      <c r="X480" s="1244"/>
      <c r="Y480" s="1244"/>
      <c r="Z480" s="1244"/>
    </row>
    <row r="481" spans="1:26" ht="19.5">
      <c r="A481" s="1267"/>
      <c r="B481" s="1268"/>
      <c r="C481" s="1268"/>
      <c r="D481" s="1277" t="s">
        <v>206</v>
      </c>
      <c r="E481" s="1268"/>
      <c r="F481" s="1268"/>
      <c r="G481" s="954"/>
      <c r="H481" s="963"/>
      <c r="I481" s="830"/>
      <c r="J481" s="830"/>
      <c r="K481" s="831"/>
      <c r="L481" s="831"/>
      <c r="M481" s="831"/>
      <c r="N481" s="831"/>
      <c r="O481" s="831"/>
      <c r="P481" s="831"/>
      <c r="Q481" s="1244"/>
      <c r="R481" s="1244"/>
      <c r="S481" s="1244"/>
      <c r="T481" s="1244"/>
      <c r="U481" s="1244"/>
      <c r="V481" s="1244"/>
      <c r="W481" s="1244"/>
      <c r="X481" s="1244"/>
      <c r="Y481" s="1244"/>
      <c r="Z481" s="1244"/>
    </row>
    <row r="482" spans="1:26" ht="18.75">
      <c r="A482" s="1267"/>
      <c r="B482" s="1268"/>
      <c r="C482" s="1268"/>
      <c r="D482" s="1268"/>
      <c r="E482" s="1268" t="s">
        <v>207</v>
      </c>
      <c r="F482" s="1268"/>
      <c r="G482" s="954"/>
      <c r="H482" s="963"/>
      <c r="I482" s="830"/>
      <c r="J482" s="830"/>
      <c r="K482" s="831"/>
      <c r="L482" s="831"/>
      <c r="M482" s="831"/>
      <c r="N482" s="831"/>
      <c r="O482" s="831"/>
      <c r="P482" s="831"/>
      <c r="Q482" s="1244"/>
      <c r="R482" s="1244"/>
      <c r="S482" s="1244"/>
      <c r="T482" s="1244"/>
      <c r="U482" s="1244"/>
      <c r="V482" s="1244"/>
      <c r="W482" s="1244"/>
      <c r="X482" s="1244"/>
      <c r="Y482" s="1244"/>
      <c r="Z482" s="1244"/>
    </row>
    <row r="483" spans="1:26" ht="18.75">
      <c r="A483" s="1267"/>
      <c r="B483" s="1268"/>
      <c r="C483" s="1268"/>
      <c r="D483" s="1268"/>
      <c r="E483" s="1268"/>
      <c r="F483" s="1268" t="s">
        <v>208</v>
      </c>
      <c r="G483" s="954"/>
      <c r="H483" s="590" t="s">
        <v>46</v>
      </c>
      <c r="I483" s="830">
        <f ca="1">IFERROR(__xludf.DUMMYFUNCTION("IMPORTRANGE(""https://docs.google.com/spreadsheets/d/1QqKyyYR6Q21VydFLVH3TRQUabQu_ym0Zz7PgGX0-kHA/edit?usp=sharing"",""แผน!FY23"")"),450)</f>
        <v>450</v>
      </c>
      <c r="J483" s="959">
        <v>450</v>
      </c>
      <c r="K483" s="831">
        <f ca="1">IF(I483&gt;0,J483*100/I483,0)</f>
        <v>100</v>
      </c>
      <c r="L483" s="831"/>
      <c r="M483" s="831"/>
      <c r="N483" s="831"/>
      <c r="O483" s="831"/>
      <c r="P483" s="831"/>
      <c r="Q483" s="1244"/>
      <c r="R483" s="1244"/>
      <c r="S483" s="1244"/>
      <c r="T483" s="1244"/>
      <c r="U483" s="1244"/>
      <c r="V483" s="1244"/>
      <c r="W483" s="1244"/>
      <c r="X483" s="1244"/>
      <c r="Y483" s="1244"/>
      <c r="Z483" s="1244"/>
    </row>
    <row r="484" spans="1:26" ht="18.75">
      <c r="A484" s="1267"/>
      <c r="B484" s="1268"/>
      <c r="C484" s="1268"/>
      <c r="D484" s="1268"/>
      <c r="E484" s="1268"/>
      <c r="F484" s="1268" t="s">
        <v>209</v>
      </c>
      <c r="G484" s="954"/>
      <c r="H484" s="590" t="s">
        <v>35</v>
      </c>
      <c r="I484" s="830"/>
      <c r="J484" s="959">
        <v>45</v>
      </c>
      <c r="K484" s="831"/>
      <c r="L484" s="831"/>
      <c r="M484" s="831"/>
      <c r="N484" s="831"/>
      <c r="O484" s="831"/>
      <c r="P484" s="831"/>
      <c r="Q484" s="1244"/>
      <c r="R484" s="1244"/>
      <c r="S484" s="1244"/>
      <c r="T484" s="1244"/>
      <c r="U484" s="1244"/>
      <c r="V484" s="1244"/>
      <c r="W484" s="1244"/>
      <c r="X484" s="1244"/>
      <c r="Y484" s="1244"/>
      <c r="Z484" s="1244"/>
    </row>
    <row r="485" spans="1:26" ht="18.75">
      <c r="A485" s="1267"/>
      <c r="B485" s="1268"/>
      <c r="C485" s="1268"/>
      <c r="D485" s="1268"/>
      <c r="E485" s="1268"/>
      <c r="F485" s="1268" t="s">
        <v>210</v>
      </c>
      <c r="G485" s="954"/>
      <c r="H485" s="590" t="s">
        <v>35</v>
      </c>
      <c r="I485" s="830">
        <f ca="1">IFERROR(__xludf.DUMMYFUNCTION("IMPORTRANGE(""https://docs.google.com/spreadsheets/d/1QqKyyYR6Q21VydFLVH3TRQUabQu_ym0Zz7PgGX0-kHA/edit?usp=sharing"",""แผน!FZ23"")"),45)</f>
        <v>45</v>
      </c>
      <c r="J485" s="959">
        <v>45</v>
      </c>
      <c r="K485" s="831">
        <f ca="1">IF(I485&gt;0,J485*100/I485,0)</f>
        <v>100</v>
      </c>
      <c r="L485" s="831"/>
      <c r="M485" s="831"/>
      <c r="N485" s="831"/>
      <c r="O485" s="831"/>
      <c r="P485" s="831"/>
      <c r="Q485" s="1244"/>
      <c r="R485" s="1244"/>
      <c r="S485" s="1244"/>
      <c r="T485" s="1244"/>
      <c r="U485" s="1244"/>
      <c r="V485" s="1244"/>
      <c r="W485" s="1244"/>
      <c r="X485" s="1244"/>
      <c r="Y485" s="1244"/>
      <c r="Z485" s="1244"/>
    </row>
    <row r="486" spans="1:26" ht="18.75">
      <c r="A486" s="1267"/>
      <c r="B486" s="1268"/>
      <c r="C486" s="1268"/>
      <c r="D486" s="1268"/>
      <c r="E486" s="1268" t="s">
        <v>62</v>
      </c>
      <c r="F486" s="1268"/>
      <c r="G486" s="954"/>
      <c r="H486" s="590"/>
      <c r="I486" s="830"/>
      <c r="J486" s="830"/>
      <c r="K486" s="831"/>
      <c r="L486" s="831"/>
      <c r="M486" s="831"/>
      <c r="N486" s="831"/>
      <c r="O486" s="831"/>
      <c r="P486" s="831"/>
      <c r="Q486" s="1244"/>
      <c r="R486" s="1244"/>
      <c r="S486" s="1244"/>
      <c r="T486" s="1244"/>
      <c r="U486" s="1244"/>
      <c r="V486" s="1244"/>
      <c r="W486" s="1244"/>
      <c r="X486" s="1244"/>
      <c r="Y486" s="1244"/>
      <c r="Z486" s="1244"/>
    </row>
    <row r="487" spans="1:26" ht="18.75">
      <c r="A487" s="1267"/>
      <c r="B487" s="1268"/>
      <c r="C487" s="1268"/>
      <c r="D487" s="1268"/>
      <c r="E487" s="1268"/>
      <c r="F487" s="1268" t="s">
        <v>208</v>
      </c>
      <c r="G487" s="954"/>
      <c r="H487" s="590" t="s">
        <v>46</v>
      </c>
      <c r="I487" s="830">
        <f ca="1">IFERROR(__xludf.DUMMYFUNCTION("IMPORTRANGE(""https://docs.google.com/spreadsheets/d/1QqKyyYR6Q21VydFLVH3TRQUabQu_ym0Zz7PgGX0-kHA/edit?usp=sharing"",""แผน!GA23"")"),50)</f>
        <v>50</v>
      </c>
      <c r="J487" s="959">
        <v>50</v>
      </c>
      <c r="K487" s="831">
        <f ca="1">IF(I487&gt;0,J487*100/I487,0)</f>
        <v>100</v>
      </c>
      <c r="L487" s="831"/>
      <c r="M487" s="831"/>
      <c r="N487" s="831"/>
      <c r="O487" s="831"/>
      <c r="P487" s="831"/>
      <c r="Q487" s="1244"/>
      <c r="R487" s="1244"/>
      <c r="S487" s="1244"/>
      <c r="T487" s="1244"/>
      <c r="U487" s="1244"/>
      <c r="V487" s="1244"/>
      <c r="W487" s="1244"/>
      <c r="X487" s="1244"/>
      <c r="Y487" s="1244"/>
      <c r="Z487" s="1244"/>
    </row>
    <row r="488" spans="1:26" ht="18.75">
      <c r="A488" s="1267"/>
      <c r="B488" s="1268"/>
      <c r="C488" s="1268"/>
      <c r="D488" s="1268"/>
      <c r="E488" s="1268"/>
      <c r="F488" s="1268" t="s">
        <v>211</v>
      </c>
      <c r="G488" s="954"/>
      <c r="H488" s="590" t="s">
        <v>35</v>
      </c>
      <c r="I488" s="830"/>
      <c r="J488" s="959">
        <v>5</v>
      </c>
      <c r="K488" s="831"/>
      <c r="L488" s="831"/>
      <c r="M488" s="831"/>
      <c r="N488" s="831"/>
      <c r="O488" s="831"/>
      <c r="P488" s="831"/>
      <c r="Q488" s="1244"/>
      <c r="R488" s="1244"/>
      <c r="S488" s="1244"/>
      <c r="T488" s="1244"/>
      <c r="U488" s="1244"/>
      <c r="V488" s="1244"/>
      <c r="W488" s="1244"/>
      <c r="X488" s="1244"/>
      <c r="Y488" s="1244"/>
      <c r="Z488" s="1244"/>
    </row>
    <row r="489" spans="1:26" ht="18.75">
      <c r="A489" s="1267"/>
      <c r="B489" s="1268"/>
      <c r="C489" s="1268"/>
      <c r="D489" s="1268"/>
      <c r="E489" s="1268"/>
      <c r="F489" s="1268" t="s">
        <v>212</v>
      </c>
      <c r="G489" s="954"/>
      <c r="H489" s="590" t="s">
        <v>35</v>
      </c>
      <c r="I489" s="830">
        <f ca="1">IFERROR(__xludf.DUMMYFUNCTION("IMPORTRANGE(""https://docs.google.com/spreadsheets/d/1QqKyyYR6Q21VydFLVH3TRQUabQu_ym0Zz7PgGX0-kHA/edit?usp=sharing"",""แผน!GB23"")"),5)</f>
        <v>5</v>
      </c>
      <c r="J489" s="959">
        <v>5</v>
      </c>
      <c r="K489" s="831">
        <f ca="1">IF(I489&gt;0,J489*100/I489,0)</f>
        <v>100</v>
      </c>
      <c r="L489" s="831"/>
      <c r="M489" s="831"/>
      <c r="N489" s="831"/>
      <c r="O489" s="831"/>
      <c r="P489" s="831"/>
      <c r="Q489" s="1244"/>
      <c r="R489" s="1244"/>
      <c r="S489" s="1244"/>
      <c r="T489" s="1244"/>
      <c r="U489" s="1244"/>
      <c r="V489" s="1244"/>
      <c r="W489" s="1244"/>
      <c r="X489" s="1244"/>
      <c r="Y489" s="1244"/>
      <c r="Z489" s="1244"/>
    </row>
    <row r="490" spans="1:26" ht="18.75">
      <c r="A490" s="1267"/>
      <c r="B490" s="1268"/>
      <c r="C490" s="1268"/>
      <c r="D490" s="1268"/>
      <c r="E490" s="1268" t="s">
        <v>63</v>
      </c>
      <c r="F490" s="961"/>
      <c r="G490" s="954"/>
      <c r="H490" s="590"/>
      <c r="I490" s="830"/>
      <c r="J490" s="830"/>
      <c r="K490" s="831"/>
      <c r="L490" s="831"/>
      <c r="M490" s="831"/>
      <c r="N490" s="831"/>
      <c r="O490" s="831"/>
      <c r="P490" s="831"/>
      <c r="Q490" s="1244"/>
      <c r="R490" s="1244"/>
      <c r="S490" s="1244"/>
      <c r="T490" s="1244"/>
      <c r="U490" s="1244"/>
      <c r="V490" s="1244"/>
      <c r="W490" s="1244"/>
      <c r="X490" s="1244"/>
      <c r="Y490" s="1244"/>
      <c r="Z490" s="1244"/>
    </row>
    <row r="491" spans="1:26" ht="18.75">
      <c r="A491" s="1267"/>
      <c r="B491" s="1268"/>
      <c r="C491" s="1268"/>
      <c r="D491" s="1268"/>
      <c r="E491" s="1268"/>
      <c r="F491" s="1268" t="s">
        <v>213</v>
      </c>
      <c r="G491" s="954"/>
      <c r="H491" s="590" t="s">
        <v>35</v>
      </c>
      <c r="I491" s="830"/>
      <c r="J491" s="959">
        <v>1</v>
      </c>
      <c r="K491" s="831"/>
      <c r="L491" s="831"/>
      <c r="M491" s="831"/>
      <c r="N491" s="831"/>
      <c r="O491" s="831"/>
      <c r="P491" s="831"/>
      <c r="Q491" s="1244"/>
      <c r="R491" s="1244"/>
      <c r="S491" s="1244"/>
      <c r="T491" s="1244"/>
      <c r="U491" s="1244"/>
      <c r="V491" s="1244"/>
      <c r="W491" s="1244"/>
      <c r="X491" s="1244"/>
      <c r="Y491" s="1244"/>
      <c r="Z491" s="1244"/>
    </row>
    <row r="492" spans="1:26" ht="18.75">
      <c r="A492" s="1267"/>
      <c r="B492" s="1268"/>
      <c r="C492" s="1268"/>
      <c r="D492" s="1268"/>
      <c r="E492" s="1268"/>
      <c r="F492" s="1268" t="s">
        <v>214</v>
      </c>
      <c r="G492" s="954"/>
      <c r="H492" s="590" t="s">
        <v>35</v>
      </c>
      <c r="I492" s="830">
        <f ca="1">IFERROR(__xludf.DUMMYFUNCTION("IMPORTRANGE(""https://docs.google.com/spreadsheets/d/1QqKyyYR6Q21VydFLVH3TRQUabQu_ym0Zz7PgGX0-kHA/edit?usp=sharing"",""แผน!GC23"")"),1)</f>
        <v>1</v>
      </c>
      <c r="J492" s="959">
        <v>1</v>
      </c>
      <c r="K492" s="831">
        <f ca="1">IF(I492&gt;0,J492*100/I492,0)</f>
        <v>100</v>
      </c>
      <c r="L492" s="831"/>
      <c r="M492" s="831"/>
      <c r="N492" s="831"/>
      <c r="O492" s="831"/>
      <c r="P492" s="831"/>
      <c r="Q492" s="1244"/>
      <c r="R492" s="1244"/>
      <c r="S492" s="1244"/>
      <c r="T492" s="1244"/>
      <c r="U492" s="1244"/>
      <c r="V492" s="1244"/>
      <c r="W492" s="1244"/>
      <c r="X492" s="1244"/>
      <c r="Y492" s="1244"/>
      <c r="Z492" s="1244"/>
    </row>
    <row r="493" spans="1:26" ht="19.5">
      <c r="A493" s="1267"/>
      <c r="B493" s="1268"/>
      <c r="C493" s="1268"/>
      <c r="D493" s="1277" t="s">
        <v>59</v>
      </c>
      <c r="E493" s="1268"/>
      <c r="F493" s="961"/>
      <c r="G493" s="954"/>
      <c r="H493" s="963"/>
      <c r="I493" s="830"/>
      <c r="J493" s="830"/>
      <c r="K493" s="831"/>
      <c r="L493" s="831"/>
      <c r="M493" s="831"/>
      <c r="N493" s="831"/>
      <c r="O493" s="831"/>
      <c r="P493" s="831"/>
      <c r="Q493" s="1244"/>
      <c r="R493" s="1244"/>
      <c r="S493" s="1244"/>
      <c r="T493" s="1244"/>
      <c r="U493" s="1244"/>
      <c r="V493" s="1244"/>
      <c r="W493" s="1244"/>
      <c r="X493" s="1244"/>
      <c r="Y493" s="1244"/>
      <c r="Z493" s="1244"/>
    </row>
    <row r="494" spans="1:26" ht="18.75">
      <c r="A494" s="1267"/>
      <c r="B494" s="1268"/>
      <c r="C494" s="1268"/>
      <c r="D494" s="1268"/>
      <c r="E494" s="1268" t="s">
        <v>207</v>
      </c>
      <c r="F494" s="961"/>
      <c r="G494" s="954"/>
      <c r="H494" s="963"/>
      <c r="I494" s="830"/>
      <c r="J494" s="830"/>
      <c r="K494" s="831"/>
      <c r="L494" s="831"/>
      <c r="M494" s="831"/>
      <c r="N494" s="831"/>
      <c r="O494" s="831"/>
      <c r="P494" s="831"/>
      <c r="Q494" s="1244"/>
      <c r="R494" s="1244"/>
      <c r="S494" s="1244"/>
      <c r="T494" s="1244"/>
      <c r="U494" s="1244"/>
      <c r="V494" s="1244"/>
      <c r="W494" s="1244"/>
      <c r="X494" s="1244"/>
      <c r="Y494" s="1244"/>
      <c r="Z494" s="1244"/>
    </row>
    <row r="495" spans="1:26" ht="18.75">
      <c r="A495" s="1267"/>
      <c r="B495" s="1268"/>
      <c r="C495" s="1268"/>
      <c r="D495" s="1268"/>
      <c r="E495" s="1268"/>
      <c r="F495" s="961" t="s">
        <v>215</v>
      </c>
      <c r="G495" s="954"/>
      <c r="H495" s="590" t="s">
        <v>46</v>
      </c>
      <c r="I495" s="830">
        <f ca="1">IFERROR(__xludf.DUMMYFUNCTION("IMPORTRANGE(""https://docs.google.com/spreadsheets/d/1QqKyyYR6Q21VydFLVH3TRQUabQu_ym0Zz7PgGX0-kHA/edit?usp=sharing"",""แผน!FY23"")"),450)</f>
        <v>450</v>
      </c>
      <c r="J495" s="959">
        <v>0</v>
      </c>
      <c r="K495" s="831">
        <f ca="1">IF(I495&gt;0,J495*100/I495,0)</f>
        <v>0</v>
      </c>
      <c r="L495" s="831"/>
      <c r="M495" s="831"/>
      <c r="N495" s="831"/>
      <c r="O495" s="831"/>
      <c r="P495" s="831"/>
      <c r="Q495" s="1244"/>
      <c r="R495" s="1244"/>
      <c r="S495" s="1244"/>
      <c r="T495" s="1244"/>
      <c r="U495" s="1244"/>
      <c r="V495" s="1244"/>
      <c r="W495" s="1244"/>
      <c r="X495" s="1244"/>
      <c r="Y495" s="1244"/>
      <c r="Z495" s="1244"/>
    </row>
    <row r="496" spans="1:26" ht="18.75">
      <c r="A496" s="1267"/>
      <c r="B496" s="1268"/>
      <c r="C496" s="1268"/>
      <c r="D496" s="1268"/>
      <c r="E496" s="1268"/>
      <c r="F496" s="961" t="s">
        <v>216</v>
      </c>
      <c r="G496" s="954"/>
      <c r="H496" s="590" t="s">
        <v>46</v>
      </c>
      <c r="I496" s="830"/>
      <c r="J496" s="959">
        <v>0</v>
      </c>
      <c r="K496" s="831"/>
      <c r="L496" s="831"/>
      <c r="M496" s="831"/>
      <c r="N496" s="831"/>
      <c r="O496" s="831"/>
      <c r="P496" s="831"/>
      <c r="Q496" s="1244"/>
      <c r="R496" s="1244"/>
      <c r="S496" s="1244"/>
      <c r="T496" s="1244"/>
      <c r="U496" s="1244"/>
      <c r="V496" s="1244"/>
      <c r="W496" s="1244"/>
      <c r="X496" s="1244"/>
      <c r="Y496" s="1244"/>
      <c r="Z496" s="1244"/>
    </row>
    <row r="497" spans="1:26" ht="18.75">
      <c r="A497" s="1267"/>
      <c r="B497" s="1268"/>
      <c r="C497" s="1268"/>
      <c r="D497" s="1268"/>
      <c r="E497" s="1268" t="s">
        <v>62</v>
      </c>
      <c r="F497" s="961"/>
      <c r="G497" s="954"/>
      <c r="H497" s="963"/>
      <c r="I497" s="830"/>
      <c r="J497" s="830"/>
      <c r="K497" s="831"/>
      <c r="L497" s="831"/>
      <c r="M497" s="831"/>
      <c r="N497" s="831"/>
      <c r="O497" s="831"/>
      <c r="P497" s="831"/>
      <c r="Q497" s="1244"/>
      <c r="R497" s="1244"/>
      <c r="S497" s="1244"/>
      <c r="T497" s="1244"/>
      <c r="U497" s="1244"/>
      <c r="V497" s="1244"/>
      <c r="W497" s="1244"/>
      <c r="X497" s="1244"/>
      <c r="Y497" s="1244"/>
      <c r="Z497" s="1244"/>
    </row>
    <row r="498" spans="1:26" ht="18.75">
      <c r="A498" s="1267"/>
      <c r="B498" s="1268"/>
      <c r="C498" s="1268"/>
      <c r="D498" s="1268"/>
      <c r="E498" s="961"/>
      <c r="F498" s="961" t="s">
        <v>217</v>
      </c>
      <c r="G498" s="954"/>
      <c r="H498" s="590" t="s">
        <v>46</v>
      </c>
      <c r="I498" s="830">
        <f ca="1">IFERROR(__xludf.DUMMYFUNCTION("IMPORTRANGE(""https://docs.google.com/spreadsheets/d/1QqKyyYR6Q21VydFLVH3TRQUabQu_ym0Zz7PgGX0-kHA/edit?usp=sharing"",""แผน!GA23"")"),50)</f>
        <v>50</v>
      </c>
      <c r="J498" s="959">
        <v>50</v>
      </c>
      <c r="K498" s="831">
        <f ca="1">IF(I498&gt;0,J498*100/I498,0)</f>
        <v>100</v>
      </c>
      <c r="L498" s="831"/>
      <c r="M498" s="831"/>
      <c r="N498" s="831"/>
      <c r="O498" s="831"/>
      <c r="P498" s="831"/>
      <c r="Q498" s="1244"/>
      <c r="R498" s="1244"/>
      <c r="S498" s="1244"/>
      <c r="T498" s="1244"/>
      <c r="U498" s="1244"/>
      <c r="V498" s="1244"/>
      <c r="W498" s="1244"/>
      <c r="X498" s="1244"/>
      <c r="Y498" s="1244"/>
      <c r="Z498" s="1244"/>
    </row>
    <row r="499" spans="1:26" ht="18.75">
      <c r="A499" s="1267"/>
      <c r="B499" s="1268"/>
      <c r="C499" s="1268"/>
      <c r="D499" s="1268"/>
      <c r="E499" s="961"/>
      <c r="F499" s="961" t="s">
        <v>218</v>
      </c>
      <c r="G499" s="954"/>
      <c r="H499" s="590" t="s">
        <v>46</v>
      </c>
      <c r="I499" s="830"/>
      <c r="J499" s="959">
        <v>5</v>
      </c>
      <c r="K499" s="831"/>
      <c r="L499" s="831"/>
      <c r="M499" s="831"/>
      <c r="N499" s="831"/>
      <c r="O499" s="831"/>
      <c r="P499" s="831"/>
      <c r="Q499" s="1244"/>
      <c r="R499" s="1244"/>
      <c r="S499" s="1244"/>
      <c r="T499" s="1244"/>
      <c r="U499" s="1244"/>
      <c r="V499" s="1244"/>
      <c r="W499" s="1244"/>
      <c r="X499" s="1244"/>
      <c r="Y499" s="1244"/>
      <c r="Z499" s="1244"/>
    </row>
    <row r="500" spans="1:26" ht="19.5" hidden="1">
      <c r="A500" s="594">
        <v>4</v>
      </c>
      <c r="B500" s="1278" t="s">
        <v>219</v>
      </c>
      <c r="C500" s="1279"/>
      <c r="D500" s="1280"/>
      <c r="E500" s="1280"/>
      <c r="F500" s="1280"/>
      <c r="G500" s="1281"/>
      <c r="H500" s="599" t="s">
        <v>109</v>
      </c>
      <c r="I500" s="1282"/>
      <c r="J500" s="1282">
        <f t="shared" ref="J500:J501" si="214">J516</f>
        <v>0</v>
      </c>
      <c r="K500" s="1283">
        <f t="shared" ref="K500:K501" si="215">IF(I500&gt;0,J500*100/I500,0)</f>
        <v>0</v>
      </c>
      <c r="L500" s="1284"/>
      <c r="M500" s="1284"/>
      <c r="N500" s="1284"/>
      <c r="O500" s="1284"/>
      <c r="P500" s="1284"/>
      <c r="Q500" s="1264"/>
      <c r="R500" s="1264"/>
      <c r="S500" s="1264"/>
      <c r="T500" s="1264"/>
      <c r="U500" s="1264"/>
      <c r="V500" s="1264"/>
      <c r="W500" s="1264"/>
      <c r="X500" s="1264"/>
      <c r="Y500" s="1264"/>
      <c r="Z500" s="1264"/>
    </row>
    <row r="501" spans="1:26" ht="19.5" hidden="1">
      <c r="A501" s="1285"/>
      <c r="B501" s="1286" t="s">
        <v>220</v>
      </c>
      <c r="C501" s="1286"/>
      <c r="D501" s="1287"/>
      <c r="E501" s="1287"/>
      <c r="F501" s="1287"/>
      <c r="G501" s="1288"/>
      <c r="H501" s="608" t="s">
        <v>35</v>
      </c>
      <c r="I501" s="1289"/>
      <c r="J501" s="1289">
        <f t="shared" si="214"/>
        <v>0</v>
      </c>
      <c r="K501" s="1290">
        <f t="shared" si="215"/>
        <v>0</v>
      </c>
      <c r="L501" s="1291"/>
      <c r="M501" s="1291"/>
      <c r="N501" s="1291"/>
      <c r="O501" s="1291"/>
      <c r="P501" s="1291"/>
      <c r="Q501" s="1264"/>
      <c r="R501" s="1264"/>
      <c r="S501" s="1264"/>
      <c r="T501" s="1264"/>
      <c r="U501" s="1264"/>
      <c r="V501" s="1264"/>
      <c r="W501" s="1264"/>
      <c r="X501" s="1264"/>
      <c r="Y501" s="1264"/>
      <c r="Z501" s="1264"/>
    </row>
    <row r="502" spans="1:26" ht="19.5" hidden="1">
      <c r="A502" s="1260"/>
      <c r="B502" s="1261"/>
      <c r="C502" s="1261" t="s">
        <v>16</v>
      </c>
      <c r="D502" s="1508" t="s">
        <v>17</v>
      </c>
      <c r="E502" s="1485"/>
      <c r="F502" s="1485"/>
      <c r="G502" s="1263"/>
      <c r="H502" s="612" t="s">
        <v>12</v>
      </c>
      <c r="I502" s="836"/>
      <c r="J502" s="836"/>
      <c r="K502" s="837"/>
      <c r="L502" s="1292">
        <f t="shared" ref="L502:N502" si="216">L503+L504</f>
        <v>0</v>
      </c>
      <c r="M502" s="1292">
        <f t="shared" si="216"/>
        <v>0</v>
      </c>
      <c r="N502" s="1292">
        <f t="shared" si="216"/>
        <v>0</v>
      </c>
      <c r="O502" s="1292">
        <f t="shared" ref="O502:O507" si="217">IF(L502&gt;0,N502*100/L502,0)</f>
        <v>0</v>
      </c>
      <c r="P502" s="1292">
        <f t="shared" ref="P502:P507" si="218">IF(M502&gt;0,N502*100/M502,0)</f>
        <v>0</v>
      </c>
      <c r="Q502" s="1264"/>
      <c r="R502" s="1264"/>
      <c r="S502" s="1264"/>
      <c r="T502" s="1264"/>
      <c r="U502" s="1264"/>
      <c r="V502" s="1264"/>
      <c r="W502" s="1264"/>
      <c r="X502" s="1264"/>
      <c r="Y502" s="1264"/>
      <c r="Z502" s="1264"/>
    </row>
    <row r="503" spans="1:26" ht="18.75" hidden="1">
      <c r="A503" s="1260"/>
      <c r="B503" s="1261"/>
      <c r="C503" s="1261"/>
      <c r="D503" s="1262"/>
      <c r="E503" s="1261" t="s">
        <v>184</v>
      </c>
      <c r="F503" s="1261"/>
      <c r="G503" s="1263"/>
      <c r="H503" s="165" t="s">
        <v>12</v>
      </c>
      <c r="I503" s="836"/>
      <c r="J503" s="836"/>
      <c r="K503" s="837"/>
      <c r="L503" s="837">
        <f t="shared" ref="L503:N504" si="219">L506+L513</f>
        <v>0</v>
      </c>
      <c r="M503" s="837">
        <f t="shared" si="219"/>
        <v>0</v>
      </c>
      <c r="N503" s="837">
        <f t="shared" si="219"/>
        <v>0</v>
      </c>
      <c r="O503" s="837">
        <f t="shared" si="217"/>
        <v>0</v>
      </c>
      <c r="P503" s="837">
        <f t="shared" si="218"/>
        <v>0</v>
      </c>
      <c r="Q503" s="1264"/>
      <c r="R503" s="1264"/>
      <c r="S503" s="1264"/>
      <c r="T503" s="1264"/>
      <c r="U503" s="1264"/>
      <c r="V503" s="1264"/>
      <c r="W503" s="1264"/>
      <c r="X503" s="1264"/>
      <c r="Y503" s="1264"/>
      <c r="Z503" s="1264"/>
    </row>
    <row r="504" spans="1:26" ht="18.75" hidden="1">
      <c r="A504" s="1260"/>
      <c r="B504" s="1265"/>
      <c r="C504" s="1261"/>
      <c r="D504" s="1262"/>
      <c r="E504" s="1261" t="s">
        <v>185</v>
      </c>
      <c r="F504" s="1261"/>
      <c r="G504" s="1263"/>
      <c r="H504" s="165" t="s">
        <v>12</v>
      </c>
      <c r="I504" s="836"/>
      <c r="J504" s="836"/>
      <c r="K504" s="837"/>
      <c r="L504" s="837">
        <f t="shared" si="219"/>
        <v>0</v>
      </c>
      <c r="M504" s="837">
        <f t="shared" si="219"/>
        <v>0</v>
      </c>
      <c r="N504" s="837">
        <f t="shared" si="219"/>
        <v>0</v>
      </c>
      <c r="O504" s="837">
        <f t="shared" si="217"/>
        <v>0</v>
      </c>
      <c r="P504" s="837">
        <f t="shared" si="218"/>
        <v>0</v>
      </c>
      <c r="Q504" s="1264"/>
      <c r="R504" s="1264"/>
      <c r="S504" s="1264"/>
      <c r="T504" s="1264"/>
      <c r="U504" s="1264"/>
      <c r="V504" s="1264"/>
      <c r="W504" s="1264"/>
      <c r="X504" s="1264"/>
      <c r="Y504" s="1264"/>
      <c r="Z504" s="1264"/>
    </row>
    <row r="505" spans="1:26" ht="18.75" hidden="1">
      <c r="A505" s="1260"/>
      <c r="B505" s="1265"/>
      <c r="C505" s="1261"/>
      <c r="D505" s="1293" t="s">
        <v>20</v>
      </c>
      <c r="E505" s="1261"/>
      <c r="F505" s="1261"/>
      <c r="G505" s="1263"/>
      <c r="H505" s="165" t="s">
        <v>12</v>
      </c>
      <c r="I505" s="947"/>
      <c r="J505" s="947"/>
      <c r="K505" s="948"/>
      <c r="L505" s="837">
        <f t="shared" ref="L505:N505" si="220">L506+L507</f>
        <v>0</v>
      </c>
      <c r="M505" s="837">
        <f t="shared" si="220"/>
        <v>0</v>
      </c>
      <c r="N505" s="837">
        <f t="shared" si="220"/>
        <v>0</v>
      </c>
      <c r="O505" s="837">
        <f t="shared" si="217"/>
        <v>0</v>
      </c>
      <c r="P505" s="837">
        <f t="shared" si="218"/>
        <v>0</v>
      </c>
      <c r="Q505" s="1264"/>
      <c r="R505" s="1264"/>
      <c r="S505" s="1264"/>
      <c r="T505" s="1264"/>
      <c r="U505" s="1264"/>
      <c r="V505" s="1264"/>
      <c r="W505" s="1264"/>
      <c r="X505" s="1264"/>
      <c r="Y505" s="1264"/>
      <c r="Z505" s="1264"/>
    </row>
    <row r="506" spans="1:26" ht="18.75" hidden="1">
      <c r="A506" s="1260"/>
      <c r="B506" s="1265"/>
      <c r="C506" s="1261"/>
      <c r="D506" s="1262"/>
      <c r="E506" s="1261" t="s">
        <v>184</v>
      </c>
      <c r="F506" s="1261"/>
      <c r="G506" s="1263"/>
      <c r="H506" s="165" t="s">
        <v>12</v>
      </c>
      <c r="I506" s="836"/>
      <c r="J506" s="836"/>
      <c r="K506" s="837"/>
      <c r="L506" s="837">
        <v>0</v>
      </c>
      <c r="M506" s="837">
        <v>0</v>
      </c>
      <c r="N506" s="837">
        <v>0</v>
      </c>
      <c r="O506" s="837">
        <f t="shared" si="217"/>
        <v>0</v>
      </c>
      <c r="P506" s="837">
        <f t="shared" si="218"/>
        <v>0</v>
      </c>
      <c r="Q506" s="1264"/>
      <c r="R506" s="1264"/>
      <c r="S506" s="1264"/>
      <c r="T506" s="1264"/>
      <c r="U506" s="1264"/>
      <c r="V506" s="1264"/>
      <c r="W506" s="1264"/>
      <c r="X506" s="1264"/>
      <c r="Y506" s="1264"/>
      <c r="Z506" s="1264"/>
    </row>
    <row r="507" spans="1:26" ht="18.75" hidden="1">
      <c r="A507" s="1260"/>
      <c r="B507" s="1265"/>
      <c r="C507" s="1261"/>
      <c r="D507" s="1262"/>
      <c r="E507" s="1261" t="s">
        <v>185</v>
      </c>
      <c r="F507" s="1261"/>
      <c r="G507" s="1263"/>
      <c r="H507" s="165" t="s">
        <v>12</v>
      </c>
      <c r="I507" s="836"/>
      <c r="J507" s="836"/>
      <c r="K507" s="837"/>
      <c r="L507" s="837">
        <v>0</v>
      </c>
      <c r="M507" s="837">
        <v>0</v>
      </c>
      <c r="N507" s="837">
        <f>N508+N509+N510+N511</f>
        <v>0</v>
      </c>
      <c r="O507" s="837">
        <f t="shared" si="217"/>
        <v>0</v>
      </c>
      <c r="P507" s="837">
        <f t="shared" si="218"/>
        <v>0</v>
      </c>
      <c r="Q507" s="1264"/>
      <c r="R507" s="1264"/>
      <c r="S507" s="1264"/>
      <c r="T507" s="1264"/>
      <c r="U507" s="1264"/>
      <c r="V507" s="1264"/>
      <c r="W507" s="1264"/>
      <c r="X507" s="1264"/>
      <c r="Y507" s="1264"/>
      <c r="Z507" s="1264"/>
    </row>
    <row r="508" spans="1:26" ht="18.75" hidden="1">
      <c r="A508" s="1294"/>
      <c r="B508" s="1265"/>
      <c r="C508" s="1261"/>
      <c r="D508" s="1261"/>
      <c r="E508" s="1261"/>
      <c r="F508" s="1261" t="s">
        <v>186</v>
      </c>
      <c r="G508" s="1263"/>
      <c r="H508" s="165" t="s">
        <v>12</v>
      </c>
      <c r="I508" s="836"/>
      <c r="J508" s="836"/>
      <c r="K508" s="837"/>
      <c r="L508" s="837"/>
      <c r="M508" s="837"/>
      <c r="N508" s="837">
        <v>0</v>
      </c>
      <c r="O508" s="837"/>
      <c r="P508" s="837"/>
      <c r="Q508" s="1264"/>
      <c r="R508" s="1264"/>
      <c r="S508" s="1264"/>
      <c r="T508" s="1264"/>
      <c r="U508" s="1264"/>
      <c r="V508" s="1264"/>
      <c r="W508" s="1264"/>
      <c r="X508" s="1264"/>
      <c r="Y508" s="1264"/>
      <c r="Z508" s="1264"/>
    </row>
    <row r="509" spans="1:26" ht="18.75" hidden="1">
      <c r="A509" s="1294"/>
      <c r="B509" s="1265"/>
      <c r="C509" s="1261"/>
      <c r="D509" s="1261"/>
      <c r="E509" s="1261"/>
      <c r="F509" s="1261" t="s">
        <v>187</v>
      </c>
      <c r="G509" s="1263"/>
      <c r="H509" s="165" t="s">
        <v>12</v>
      </c>
      <c r="I509" s="836"/>
      <c r="J509" s="836"/>
      <c r="K509" s="837"/>
      <c r="L509" s="837"/>
      <c r="M509" s="837"/>
      <c r="N509" s="837">
        <v>0</v>
      </c>
      <c r="O509" s="837"/>
      <c r="P509" s="837"/>
      <c r="Q509" s="1264"/>
      <c r="R509" s="1264"/>
      <c r="S509" s="1264"/>
      <c r="T509" s="1264"/>
      <c r="U509" s="1264"/>
      <c r="V509" s="1264"/>
      <c r="W509" s="1264"/>
      <c r="X509" s="1264"/>
      <c r="Y509" s="1264"/>
      <c r="Z509" s="1264"/>
    </row>
    <row r="510" spans="1:26" ht="18.75" hidden="1">
      <c r="A510" s="1294"/>
      <c r="B510" s="1265"/>
      <c r="C510" s="1265"/>
      <c r="D510" s="1265"/>
      <c r="E510" s="1261"/>
      <c r="F510" s="1261" t="s">
        <v>188</v>
      </c>
      <c r="G510" s="1263"/>
      <c r="H510" s="165" t="s">
        <v>12</v>
      </c>
      <c r="I510" s="836"/>
      <c r="J510" s="836"/>
      <c r="K510" s="837"/>
      <c r="L510" s="837"/>
      <c r="M510" s="837"/>
      <c r="N510" s="837">
        <v>0</v>
      </c>
      <c r="O510" s="837"/>
      <c r="P510" s="837"/>
      <c r="Q510" s="1264"/>
      <c r="R510" s="1264"/>
      <c r="S510" s="1264"/>
      <c r="T510" s="1264"/>
      <c r="U510" s="1264"/>
      <c r="V510" s="1264"/>
      <c r="W510" s="1264"/>
      <c r="X510" s="1264"/>
      <c r="Y510" s="1264"/>
      <c r="Z510" s="1264"/>
    </row>
    <row r="511" spans="1:26" ht="18.75" hidden="1">
      <c r="A511" s="1294"/>
      <c r="B511" s="1265"/>
      <c r="C511" s="1265"/>
      <c r="D511" s="1265"/>
      <c r="E511" s="1261"/>
      <c r="F511" s="1261" t="s">
        <v>189</v>
      </c>
      <c r="G511" s="1263"/>
      <c r="H511" s="165" t="s">
        <v>12</v>
      </c>
      <c r="I511" s="836"/>
      <c r="J511" s="836"/>
      <c r="K511" s="837"/>
      <c r="L511" s="837"/>
      <c r="M511" s="837"/>
      <c r="N511" s="837">
        <v>0</v>
      </c>
      <c r="O511" s="837"/>
      <c r="P511" s="837"/>
      <c r="Q511" s="1264"/>
      <c r="R511" s="1264"/>
      <c r="S511" s="1264"/>
      <c r="T511" s="1264"/>
      <c r="U511" s="1264"/>
      <c r="V511" s="1264"/>
      <c r="W511" s="1264"/>
      <c r="X511" s="1264"/>
      <c r="Y511" s="1264"/>
      <c r="Z511" s="1264"/>
    </row>
    <row r="512" spans="1:26" ht="18.75" hidden="1">
      <c r="A512" s="1260"/>
      <c r="B512" s="1265"/>
      <c r="C512" s="1265"/>
      <c r="D512" s="1293" t="s">
        <v>21</v>
      </c>
      <c r="E512" s="1265"/>
      <c r="F512" s="1261"/>
      <c r="G512" s="1263"/>
      <c r="H512" s="169" t="s">
        <v>12</v>
      </c>
      <c r="I512" s="947"/>
      <c r="J512" s="947"/>
      <c r="K512" s="948"/>
      <c r="L512" s="837">
        <f t="shared" ref="L512:N512" si="221">L513+L514</f>
        <v>0</v>
      </c>
      <c r="M512" s="837">
        <f t="shared" si="221"/>
        <v>0</v>
      </c>
      <c r="N512" s="837">
        <f t="shared" si="221"/>
        <v>0</v>
      </c>
      <c r="O512" s="837">
        <f t="shared" ref="O512:O514" si="222">IF(L512&gt;0,N512*100/L512,0)</f>
        <v>0</v>
      </c>
      <c r="P512" s="837">
        <f t="shared" ref="P512:P514" si="223">IF(M512&gt;0,N512*100/M512,0)</f>
        <v>0</v>
      </c>
      <c r="Q512" s="1264"/>
      <c r="R512" s="1264"/>
      <c r="S512" s="1264"/>
      <c r="T512" s="1264"/>
      <c r="U512" s="1264"/>
      <c r="V512" s="1264"/>
      <c r="W512" s="1264"/>
      <c r="X512" s="1264"/>
      <c r="Y512" s="1264"/>
      <c r="Z512" s="1264"/>
    </row>
    <row r="513" spans="1:26" ht="18.75" hidden="1">
      <c r="A513" s="1260"/>
      <c r="B513" s="1265"/>
      <c r="C513" s="1265"/>
      <c r="D513" s="1265"/>
      <c r="E513" s="1265" t="s">
        <v>18</v>
      </c>
      <c r="F513" s="1261"/>
      <c r="G513" s="1263"/>
      <c r="H513" s="165" t="s">
        <v>12</v>
      </c>
      <c r="I513" s="947"/>
      <c r="J513" s="947"/>
      <c r="K513" s="948"/>
      <c r="L513" s="837">
        <v>0</v>
      </c>
      <c r="M513" s="837">
        <v>0</v>
      </c>
      <c r="N513" s="837">
        <v>0</v>
      </c>
      <c r="O513" s="837">
        <f t="shared" si="222"/>
        <v>0</v>
      </c>
      <c r="P513" s="837">
        <f t="shared" si="223"/>
        <v>0</v>
      </c>
      <c r="Q513" s="1264"/>
      <c r="R513" s="1264"/>
      <c r="S513" s="1264"/>
      <c r="T513" s="1264"/>
      <c r="U513" s="1264"/>
      <c r="V513" s="1264"/>
      <c r="W513" s="1264"/>
      <c r="X513" s="1264"/>
      <c r="Y513" s="1264"/>
      <c r="Z513" s="1264"/>
    </row>
    <row r="514" spans="1:26" ht="18.75" hidden="1">
      <c r="A514" s="1260"/>
      <c r="B514" s="1265"/>
      <c r="C514" s="1265"/>
      <c r="D514" s="1261"/>
      <c r="E514" s="1265" t="s">
        <v>19</v>
      </c>
      <c r="F514" s="1261"/>
      <c r="G514" s="1263"/>
      <c r="H514" s="169" t="s">
        <v>12</v>
      </c>
      <c r="I514" s="947"/>
      <c r="J514" s="947"/>
      <c r="K514" s="948"/>
      <c r="L514" s="837">
        <v>0</v>
      </c>
      <c r="M514" s="837">
        <v>0</v>
      </c>
      <c r="N514" s="837">
        <v>0</v>
      </c>
      <c r="O514" s="837">
        <f t="shared" si="222"/>
        <v>0</v>
      </c>
      <c r="P514" s="837">
        <f t="shared" si="223"/>
        <v>0</v>
      </c>
      <c r="Q514" s="1264"/>
      <c r="R514" s="1264"/>
      <c r="S514" s="1264"/>
      <c r="T514" s="1264"/>
      <c r="U514" s="1264"/>
      <c r="V514" s="1264"/>
      <c r="W514" s="1264"/>
      <c r="X514" s="1264"/>
      <c r="Y514" s="1264"/>
      <c r="Z514" s="1264"/>
    </row>
    <row r="515" spans="1:26" ht="19.5" hidden="1">
      <c r="A515" s="1273"/>
      <c r="B515" s="1274"/>
      <c r="C515" s="1265" t="s">
        <v>16</v>
      </c>
      <c r="D515" s="1295" t="s">
        <v>38</v>
      </c>
      <c r="E515" s="1296"/>
      <c r="F515" s="1296"/>
      <c r="G515" s="1297"/>
      <c r="H515" s="1060"/>
      <c r="I515" s="947"/>
      <c r="J515" s="947"/>
      <c r="K515" s="948"/>
      <c r="L515" s="948"/>
      <c r="M515" s="948"/>
      <c r="N515" s="948"/>
      <c r="O515" s="948"/>
      <c r="P515" s="948"/>
      <c r="Q515" s="1264"/>
      <c r="R515" s="1264"/>
      <c r="S515" s="1264"/>
      <c r="T515" s="1264"/>
      <c r="U515" s="1264"/>
      <c r="V515" s="1264"/>
      <c r="W515" s="1264"/>
      <c r="X515" s="1264"/>
      <c r="Y515" s="1264"/>
      <c r="Z515" s="1264"/>
    </row>
    <row r="516" spans="1:26" ht="18.75" hidden="1">
      <c r="A516" s="1273"/>
      <c r="B516" s="1274"/>
      <c r="C516" s="1274"/>
      <c r="D516" s="1274" t="s">
        <v>221</v>
      </c>
      <c r="E516" s="1262"/>
      <c r="F516" s="1262"/>
      <c r="G516" s="1060"/>
      <c r="H516" s="619" t="s">
        <v>109</v>
      </c>
      <c r="I516" s="836"/>
      <c r="J516" s="836">
        <v>0</v>
      </c>
      <c r="K516" s="948">
        <f t="shared" ref="K516:K517" si="224">IF(I516&gt;0,J516*100/I516,0)</f>
        <v>0</v>
      </c>
      <c r="L516" s="948"/>
      <c r="M516" s="948"/>
      <c r="N516" s="948"/>
      <c r="O516" s="948"/>
      <c r="P516" s="948"/>
      <c r="Q516" s="1264"/>
      <c r="R516" s="1264"/>
      <c r="S516" s="1264"/>
      <c r="T516" s="1264"/>
      <c r="U516" s="1264"/>
      <c r="V516" s="1264"/>
      <c r="W516" s="1264"/>
      <c r="X516" s="1264"/>
      <c r="Y516" s="1264"/>
      <c r="Z516" s="1264"/>
    </row>
    <row r="517" spans="1:26" ht="19.5" hidden="1">
      <c r="A517" s="1273"/>
      <c r="B517" s="1274"/>
      <c r="C517" s="1274"/>
      <c r="D517" s="1274" t="s">
        <v>222</v>
      </c>
      <c r="E517" s="1262"/>
      <c r="F517" s="1262"/>
      <c r="G517" s="1060"/>
      <c r="H517" s="620" t="s">
        <v>35</v>
      </c>
      <c r="I517" s="1298"/>
      <c r="J517" s="1298">
        <f>J518+J519</f>
        <v>0</v>
      </c>
      <c r="K517" s="1299">
        <f t="shared" si="224"/>
        <v>0</v>
      </c>
      <c r="L517" s="948"/>
      <c r="M517" s="948"/>
      <c r="N517" s="948"/>
      <c r="O517" s="948"/>
      <c r="P517" s="948"/>
      <c r="Q517" s="1264"/>
      <c r="R517" s="1264"/>
      <c r="S517" s="1264"/>
      <c r="T517" s="1264"/>
      <c r="U517" s="1264"/>
      <c r="V517" s="1264"/>
      <c r="W517" s="1264"/>
      <c r="X517" s="1264"/>
      <c r="Y517" s="1264"/>
      <c r="Z517" s="1264"/>
    </row>
    <row r="518" spans="1:26" ht="18.75" hidden="1">
      <c r="A518" s="1273"/>
      <c r="B518" s="1274"/>
      <c r="C518" s="1274"/>
      <c r="D518" s="1274"/>
      <c r="E518" s="1274" t="s">
        <v>223</v>
      </c>
      <c r="F518" s="1262"/>
      <c r="G518" s="1060"/>
      <c r="H518" s="583" t="s">
        <v>35</v>
      </c>
      <c r="I518" s="836"/>
      <c r="J518" s="836"/>
      <c r="K518" s="948"/>
      <c r="L518" s="948"/>
      <c r="M518" s="948"/>
      <c r="N518" s="948"/>
      <c r="O518" s="948"/>
      <c r="P518" s="948"/>
      <c r="Q518" s="1264"/>
      <c r="R518" s="1264"/>
      <c r="S518" s="1264"/>
      <c r="T518" s="1264"/>
      <c r="U518" s="1264"/>
      <c r="V518" s="1264"/>
      <c r="W518" s="1264"/>
      <c r="X518" s="1264"/>
      <c r="Y518" s="1264"/>
      <c r="Z518" s="1264"/>
    </row>
    <row r="519" spans="1:26" ht="18.75" hidden="1">
      <c r="A519" s="1273"/>
      <c r="B519" s="1274"/>
      <c r="C519" s="1274"/>
      <c r="D519" s="1274"/>
      <c r="E519" s="1274" t="s">
        <v>224</v>
      </c>
      <c r="F519" s="1262"/>
      <c r="G519" s="1060"/>
      <c r="H519" s="619" t="s">
        <v>35</v>
      </c>
      <c r="I519" s="836"/>
      <c r="J519" s="836"/>
      <c r="K519" s="948"/>
      <c r="L519" s="948"/>
      <c r="M519" s="948"/>
      <c r="N519" s="948"/>
      <c r="O519" s="948"/>
      <c r="P519" s="948"/>
      <c r="Q519" s="1264"/>
      <c r="R519" s="1264"/>
      <c r="S519" s="1264"/>
      <c r="T519" s="1264"/>
      <c r="U519" s="1264"/>
      <c r="V519" s="1264"/>
      <c r="W519" s="1264"/>
      <c r="X519" s="1264"/>
      <c r="Y519" s="1264"/>
      <c r="Z519" s="1264"/>
    </row>
    <row r="520" spans="1:26" ht="19.5">
      <c r="A520" s="1300" t="s">
        <v>137</v>
      </c>
      <c r="B520" s="1301"/>
      <c r="C520" s="1301"/>
      <c r="D520" s="1302"/>
      <c r="E520" s="1302"/>
      <c r="F520" s="1302"/>
      <c r="G520" s="1303"/>
      <c r="H520" s="1304"/>
      <c r="I520" s="1305"/>
      <c r="J520" s="1305"/>
      <c r="K520" s="1306"/>
      <c r="L520" s="1306"/>
      <c r="M520" s="1306"/>
      <c r="N520" s="1306"/>
      <c r="O520" s="1306"/>
      <c r="P520" s="1306"/>
    </row>
    <row r="521" spans="1:26" ht="19.5" hidden="1">
      <c r="A521" s="630">
        <v>5</v>
      </c>
      <c r="B521" s="1307" t="s">
        <v>225</v>
      </c>
      <c r="C521" s="1308"/>
      <c r="D521" s="1309"/>
      <c r="E521" s="1309"/>
      <c r="F521" s="1309"/>
      <c r="G521" s="1309"/>
      <c r="H521" s="1310"/>
      <c r="I521" s="1311"/>
      <c r="J521" s="1311"/>
      <c r="K521" s="1312"/>
      <c r="L521" s="1312"/>
      <c r="M521" s="1312"/>
      <c r="N521" s="1312"/>
      <c r="O521" s="1312"/>
      <c r="P521" s="1312"/>
      <c r="Q521" s="1244"/>
      <c r="R521" s="1244"/>
      <c r="S521" s="1244"/>
      <c r="T521" s="1244"/>
      <c r="U521" s="1244"/>
      <c r="V521" s="1244"/>
      <c r="W521" s="1244"/>
      <c r="X521" s="1244"/>
      <c r="Y521" s="1244"/>
      <c r="Z521" s="1244"/>
    </row>
    <row r="522" spans="1:26" ht="19.5" hidden="1">
      <c r="A522" s="1313"/>
      <c r="B522" s="1314" t="s">
        <v>226</v>
      </c>
      <c r="C522" s="1315"/>
      <c r="D522" s="1315"/>
      <c r="E522" s="1315"/>
      <c r="F522" s="1315"/>
      <c r="G522" s="1316"/>
      <c r="H522" s="641" t="s">
        <v>35</v>
      </c>
      <c r="I522" s="1317">
        <f t="shared" ref="I522:J522" ca="1" si="225">I537</f>
        <v>0</v>
      </c>
      <c r="J522" s="1317">
        <f t="shared" ca="1" si="225"/>
        <v>0</v>
      </c>
      <c r="K522" s="1318">
        <f ca="1">IF(I522&gt;0,J522*100/I522,0)</f>
        <v>0</v>
      </c>
      <c r="L522" s="1319"/>
      <c r="M522" s="1319"/>
      <c r="N522" s="1319"/>
      <c r="O522" s="1319"/>
      <c r="P522" s="1319"/>
      <c r="Q522" s="1244"/>
      <c r="R522" s="1244"/>
      <c r="S522" s="1244"/>
      <c r="T522" s="1244"/>
      <c r="U522" s="1244"/>
      <c r="V522" s="1244"/>
      <c r="W522" s="1244"/>
      <c r="X522" s="1244"/>
      <c r="Y522" s="1244"/>
      <c r="Z522" s="1244"/>
    </row>
    <row r="523" spans="1:26" ht="19.5" hidden="1">
      <c r="A523" s="1259"/>
      <c r="B523" s="1243"/>
      <c r="C523" s="1243" t="s">
        <v>16</v>
      </c>
      <c r="D523" s="1507" t="s">
        <v>17</v>
      </c>
      <c r="E523" s="1485"/>
      <c r="F523" s="1485"/>
      <c r="G523" s="963"/>
      <c r="H523" s="563" t="s">
        <v>12</v>
      </c>
      <c r="I523" s="830"/>
      <c r="J523" s="830"/>
      <c r="K523" s="831"/>
      <c r="L523" s="967">
        <f t="shared" ref="L523:N523" ca="1" si="226">L524+L525</f>
        <v>0</v>
      </c>
      <c r="M523" s="967">
        <f t="shared" si="226"/>
        <v>0</v>
      </c>
      <c r="N523" s="967">
        <f t="shared" si="226"/>
        <v>0</v>
      </c>
      <c r="O523" s="967">
        <f t="shared" ref="O523:O528" ca="1" si="227">IF(L523&gt;0,N523*100/L523,0)</f>
        <v>0</v>
      </c>
      <c r="P523" s="967">
        <f t="shared" ref="P523:P528" si="228">IF(M523&gt;0,N523*100/M523,0)</f>
        <v>0</v>
      </c>
      <c r="Q523" s="1244"/>
      <c r="R523" s="1244"/>
      <c r="S523" s="1244"/>
      <c r="T523" s="1244"/>
      <c r="U523" s="1244"/>
      <c r="V523" s="1244"/>
      <c r="W523" s="1244"/>
      <c r="X523" s="1244"/>
      <c r="Y523" s="1244"/>
      <c r="Z523" s="1244"/>
    </row>
    <row r="524" spans="1:26" ht="18.75" hidden="1">
      <c r="A524" s="1260"/>
      <c r="B524" s="1261"/>
      <c r="C524" s="1261"/>
      <c r="D524" s="1262"/>
      <c r="E524" s="1261" t="s">
        <v>184</v>
      </c>
      <c r="F524" s="1261"/>
      <c r="G524" s="1263"/>
      <c r="H524" s="165" t="s">
        <v>12</v>
      </c>
      <c r="I524" s="836"/>
      <c r="J524" s="836"/>
      <c r="K524" s="837"/>
      <c r="L524" s="837">
        <f t="shared" ref="L524:N525" si="229">L527+L534</f>
        <v>0</v>
      </c>
      <c r="M524" s="837">
        <f t="shared" si="229"/>
        <v>0</v>
      </c>
      <c r="N524" s="837">
        <f t="shared" si="229"/>
        <v>0</v>
      </c>
      <c r="O524" s="837">
        <f t="shared" si="227"/>
        <v>0</v>
      </c>
      <c r="P524" s="837">
        <f t="shared" si="228"/>
        <v>0</v>
      </c>
      <c r="Q524" s="1264"/>
      <c r="R524" s="1264"/>
      <c r="S524" s="1264"/>
      <c r="T524" s="1264"/>
      <c r="U524" s="1264"/>
      <c r="V524" s="1264"/>
      <c r="W524" s="1264"/>
      <c r="X524" s="1264"/>
      <c r="Y524" s="1264"/>
      <c r="Z524" s="1264"/>
    </row>
    <row r="525" spans="1:26" ht="18.75" hidden="1">
      <c r="A525" s="1260"/>
      <c r="B525" s="1265"/>
      <c r="C525" s="1261"/>
      <c r="D525" s="1262"/>
      <c r="E525" s="1261" t="s">
        <v>185</v>
      </c>
      <c r="F525" s="1261"/>
      <c r="G525" s="1263"/>
      <c r="H525" s="165" t="s">
        <v>12</v>
      </c>
      <c r="I525" s="836"/>
      <c r="J525" s="836"/>
      <c r="K525" s="837"/>
      <c r="L525" s="837">
        <f t="shared" ca="1" si="229"/>
        <v>0</v>
      </c>
      <c r="M525" s="837">
        <f t="shared" si="229"/>
        <v>0</v>
      </c>
      <c r="N525" s="837">
        <f t="shared" si="229"/>
        <v>0</v>
      </c>
      <c r="O525" s="837">
        <f t="shared" ca="1" si="227"/>
        <v>0</v>
      </c>
      <c r="P525" s="837">
        <f t="shared" si="228"/>
        <v>0</v>
      </c>
      <c r="Q525" s="1264"/>
      <c r="R525" s="1264"/>
      <c r="S525" s="1264"/>
      <c r="T525" s="1264"/>
      <c r="U525" s="1264"/>
      <c r="V525" s="1264"/>
      <c r="W525" s="1264"/>
      <c r="X525" s="1264"/>
      <c r="Y525" s="1264"/>
      <c r="Z525" s="1264"/>
    </row>
    <row r="526" spans="1:26" ht="18.75" hidden="1">
      <c r="A526" s="1259"/>
      <c r="B526" s="1242"/>
      <c r="C526" s="1243"/>
      <c r="D526" s="1266" t="s">
        <v>20</v>
      </c>
      <c r="E526" s="1243"/>
      <c r="F526" s="1243"/>
      <c r="G526" s="963"/>
      <c r="H526" s="778" t="s">
        <v>12</v>
      </c>
      <c r="I526" s="944"/>
      <c r="J526" s="944"/>
      <c r="K526" s="945"/>
      <c r="L526" s="831">
        <f t="shared" ref="L526:N526" ca="1" si="230">L527+L528</f>
        <v>0</v>
      </c>
      <c r="M526" s="831">
        <f t="shared" si="230"/>
        <v>0</v>
      </c>
      <c r="N526" s="831">
        <f t="shared" si="230"/>
        <v>0</v>
      </c>
      <c r="O526" s="831">
        <f t="shared" ca="1" si="227"/>
        <v>0</v>
      </c>
      <c r="P526" s="831">
        <f t="shared" si="228"/>
        <v>0</v>
      </c>
      <c r="Q526" s="1244"/>
      <c r="R526" s="1244"/>
      <c r="S526" s="1244"/>
      <c r="T526" s="1244"/>
      <c r="U526" s="1244"/>
      <c r="V526" s="1244"/>
      <c r="W526" s="1244"/>
      <c r="X526" s="1244"/>
      <c r="Y526" s="1244"/>
      <c r="Z526" s="1244"/>
    </row>
    <row r="527" spans="1:26" ht="18.75" hidden="1">
      <c r="A527" s="1260"/>
      <c r="B527" s="1265"/>
      <c r="C527" s="1261"/>
      <c r="D527" s="1262"/>
      <c r="E527" s="1261" t="s">
        <v>184</v>
      </c>
      <c r="F527" s="1261"/>
      <c r="G527" s="1263"/>
      <c r="H527" s="165" t="s">
        <v>12</v>
      </c>
      <c r="I527" s="836"/>
      <c r="J527" s="836"/>
      <c r="K527" s="837"/>
      <c r="L527" s="837">
        <v>0</v>
      </c>
      <c r="M527" s="837">
        <v>0</v>
      </c>
      <c r="N527" s="837">
        <v>0</v>
      </c>
      <c r="O527" s="837">
        <f t="shared" si="227"/>
        <v>0</v>
      </c>
      <c r="P527" s="837">
        <f t="shared" si="228"/>
        <v>0</v>
      </c>
      <c r="Q527" s="1264"/>
      <c r="R527" s="1264"/>
      <c r="S527" s="1264"/>
      <c r="T527" s="1264"/>
      <c r="U527" s="1264"/>
      <c r="V527" s="1264"/>
      <c r="W527" s="1264"/>
      <c r="X527" s="1264"/>
      <c r="Y527" s="1264"/>
      <c r="Z527" s="1264"/>
    </row>
    <row r="528" spans="1:26" ht="18.75" hidden="1">
      <c r="A528" s="1260"/>
      <c r="B528" s="1265"/>
      <c r="C528" s="1261"/>
      <c r="D528" s="1262"/>
      <c r="E528" s="1261" t="s">
        <v>185</v>
      </c>
      <c r="F528" s="1261"/>
      <c r="G528" s="1263"/>
      <c r="H528" s="165" t="s">
        <v>12</v>
      </c>
      <c r="I528" s="836"/>
      <c r="J528" s="836"/>
      <c r="K528" s="837"/>
      <c r="L528" s="837">
        <f ca="1">IFERROR(__xludf.DUMMYFUNCTION("IMPORTRANGE(""https://docs.google.com/spreadsheets/d/1QqKyyYR6Q21VydFLVH3TRQUabQu_ym0Zz7PgGX0-kHA/edit?usp=sharing"",""แผน!GQ23"")"),0)</f>
        <v>0</v>
      </c>
      <c r="M528" s="837">
        <v>0</v>
      </c>
      <c r="N528" s="837">
        <f>N529+N530+N531+N532</f>
        <v>0</v>
      </c>
      <c r="O528" s="837">
        <f t="shared" ca="1" si="227"/>
        <v>0</v>
      </c>
      <c r="P528" s="837">
        <f t="shared" si="228"/>
        <v>0</v>
      </c>
      <c r="Q528" s="1264"/>
      <c r="R528" s="1264"/>
      <c r="S528" s="1264"/>
      <c r="T528" s="1264"/>
      <c r="U528" s="1264"/>
      <c r="V528" s="1264"/>
      <c r="W528" s="1264"/>
      <c r="X528" s="1264"/>
      <c r="Y528" s="1264"/>
      <c r="Z528" s="1264"/>
    </row>
    <row r="529" spans="1:26" ht="18.75" hidden="1">
      <c r="A529" s="1241"/>
      <c r="B529" s="1242"/>
      <c r="C529" s="1243"/>
      <c r="D529" s="1243"/>
      <c r="E529" s="1243"/>
      <c r="F529" s="1243" t="s">
        <v>186</v>
      </c>
      <c r="G529" s="963"/>
      <c r="H529" s="778" t="s">
        <v>12</v>
      </c>
      <c r="I529" s="830"/>
      <c r="J529" s="830"/>
      <c r="K529" s="831"/>
      <c r="L529" s="831"/>
      <c r="M529" s="831"/>
      <c r="N529" s="1031">
        <v>0</v>
      </c>
      <c r="O529" s="831"/>
      <c r="P529" s="831"/>
      <c r="Q529" s="1244"/>
      <c r="R529" s="1244"/>
      <c r="S529" s="1244"/>
      <c r="T529" s="1244"/>
      <c r="U529" s="1244"/>
      <c r="V529" s="1244"/>
      <c r="W529" s="1244"/>
      <c r="X529" s="1244"/>
      <c r="Y529" s="1244"/>
      <c r="Z529" s="1244"/>
    </row>
    <row r="530" spans="1:26" ht="18.75" hidden="1">
      <c r="A530" s="1241"/>
      <c r="B530" s="1242"/>
      <c r="C530" s="1243"/>
      <c r="D530" s="1243"/>
      <c r="E530" s="1243"/>
      <c r="F530" s="1243" t="s">
        <v>187</v>
      </c>
      <c r="G530" s="963"/>
      <c r="H530" s="778" t="s">
        <v>12</v>
      </c>
      <c r="I530" s="830"/>
      <c r="J530" s="830"/>
      <c r="K530" s="831"/>
      <c r="L530" s="831"/>
      <c r="M530" s="831"/>
      <c r="N530" s="1031">
        <v>0</v>
      </c>
      <c r="O530" s="831"/>
      <c r="P530" s="831"/>
      <c r="Q530" s="1244"/>
      <c r="R530" s="1244"/>
      <c r="S530" s="1244"/>
      <c r="T530" s="1244"/>
      <c r="U530" s="1244"/>
      <c r="V530" s="1244"/>
      <c r="W530" s="1244"/>
      <c r="X530" s="1244"/>
      <c r="Y530" s="1244"/>
      <c r="Z530" s="1244"/>
    </row>
    <row r="531" spans="1:26" ht="18.75" hidden="1">
      <c r="A531" s="1241"/>
      <c r="B531" s="1242"/>
      <c r="C531" s="1243"/>
      <c r="D531" s="1243"/>
      <c r="E531" s="1243"/>
      <c r="F531" s="1243" t="s">
        <v>188</v>
      </c>
      <c r="G531" s="963"/>
      <c r="H531" s="778" t="s">
        <v>12</v>
      </c>
      <c r="I531" s="830"/>
      <c r="J531" s="830"/>
      <c r="K531" s="831"/>
      <c r="L531" s="831"/>
      <c r="M531" s="831"/>
      <c r="N531" s="1031">
        <v>0</v>
      </c>
      <c r="O531" s="831"/>
      <c r="P531" s="831"/>
      <c r="Q531" s="1244"/>
      <c r="R531" s="1244"/>
      <c r="S531" s="1244"/>
      <c r="T531" s="1244"/>
      <c r="U531" s="1244"/>
      <c r="V531" s="1244"/>
      <c r="W531" s="1244"/>
      <c r="X531" s="1244"/>
      <c r="Y531" s="1244"/>
      <c r="Z531" s="1244"/>
    </row>
    <row r="532" spans="1:26" ht="18.75" hidden="1">
      <c r="A532" s="1241"/>
      <c r="B532" s="1242"/>
      <c r="C532" s="1243"/>
      <c r="D532" s="1243"/>
      <c r="E532" s="1243"/>
      <c r="F532" s="1243" t="s">
        <v>189</v>
      </c>
      <c r="G532" s="963"/>
      <c r="H532" s="778" t="s">
        <v>12</v>
      </c>
      <c r="I532" s="830"/>
      <c r="J532" s="830"/>
      <c r="K532" s="831"/>
      <c r="L532" s="831"/>
      <c r="M532" s="831"/>
      <c r="N532" s="1031">
        <v>0</v>
      </c>
      <c r="O532" s="831"/>
      <c r="P532" s="831"/>
      <c r="Q532" s="1244"/>
      <c r="R532" s="1244"/>
      <c r="S532" s="1244"/>
      <c r="T532" s="1244"/>
      <c r="U532" s="1244"/>
      <c r="V532" s="1244"/>
      <c r="W532" s="1244"/>
      <c r="X532" s="1244"/>
      <c r="Y532" s="1244"/>
      <c r="Z532" s="1244"/>
    </row>
    <row r="533" spans="1:26" ht="18.75" hidden="1">
      <c r="A533" s="1259"/>
      <c r="B533" s="1242"/>
      <c r="C533" s="1243"/>
      <c r="D533" s="1266" t="s">
        <v>21</v>
      </c>
      <c r="E533" s="1243"/>
      <c r="F533" s="1243"/>
      <c r="G533" s="963"/>
      <c r="H533" s="168" t="s">
        <v>12</v>
      </c>
      <c r="I533" s="944"/>
      <c r="J533" s="944"/>
      <c r="K533" s="945"/>
      <c r="L533" s="831">
        <f t="shared" ref="L533:N533" ca="1" si="231">L534+L535</f>
        <v>0</v>
      </c>
      <c r="M533" s="831">
        <f t="shared" si="231"/>
        <v>0</v>
      </c>
      <c r="N533" s="831">
        <f t="shared" si="231"/>
        <v>0</v>
      </c>
      <c r="O533" s="831">
        <f t="shared" ref="O533:O535" ca="1" si="232">IF(L533&gt;0,N533*100/L533,0)</f>
        <v>0</v>
      </c>
      <c r="P533" s="831">
        <f t="shared" ref="P533:P535" si="233">IF(M533&gt;0,N533*100/M533,0)</f>
        <v>0</v>
      </c>
      <c r="Q533" s="1244"/>
      <c r="R533" s="1244"/>
      <c r="S533" s="1244"/>
      <c r="T533" s="1244"/>
      <c r="U533" s="1244"/>
      <c r="V533" s="1244"/>
      <c r="W533" s="1244"/>
      <c r="X533" s="1244"/>
      <c r="Y533" s="1244"/>
      <c r="Z533" s="1244"/>
    </row>
    <row r="534" spans="1:26" ht="18.75" hidden="1">
      <c r="A534" s="1260"/>
      <c r="B534" s="1265"/>
      <c r="C534" s="1261"/>
      <c r="D534" s="1261"/>
      <c r="E534" s="1261" t="s">
        <v>18</v>
      </c>
      <c r="F534" s="1261"/>
      <c r="G534" s="1263"/>
      <c r="H534" s="165" t="s">
        <v>12</v>
      </c>
      <c r="I534" s="947"/>
      <c r="J534" s="947"/>
      <c r="K534" s="948"/>
      <c r="L534" s="837">
        <v>0</v>
      </c>
      <c r="M534" s="837">
        <v>0</v>
      </c>
      <c r="N534" s="837">
        <v>0</v>
      </c>
      <c r="O534" s="837">
        <f t="shared" si="232"/>
        <v>0</v>
      </c>
      <c r="P534" s="837">
        <f t="shared" si="233"/>
        <v>0</v>
      </c>
      <c r="Q534" s="1264"/>
      <c r="R534" s="1264"/>
      <c r="S534" s="1264"/>
      <c r="T534" s="1264"/>
      <c r="U534" s="1264"/>
      <c r="V534" s="1264"/>
      <c r="W534" s="1264"/>
      <c r="X534" s="1264"/>
      <c r="Y534" s="1264"/>
      <c r="Z534" s="1264"/>
    </row>
    <row r="535" spans="1:26" ht="18.75" hidden="1">
      <c r="A535" s="1260"/>
      <c r="B535" s="1265"/>
      <c r="C535" s="1261"/>
      <c r="D535" s="1261"/>
      <c r="E535" s="1261" t="s">
        <v>19</v>
      </c>
      <c r="F535" s="1261"/>
      <c r="G535" s="1263"/>
      <c r="H535" s="169" t="s">
        <v>12</v>
      </c>
      <c r="I535" s="947"/>
      <c r="J535" s="947"/>
      <c r="K535" s="948"/>
      <c r="L535" s="837">
        <f ca="1">IFERROR(__xludf.DUMMYFUNCTION("IMPORTRANGE(""https://docs.google.com/spreadsheets/d/1QqKyyYR6Q21VydFLVH3TRQUabQu_ym0Zz7PgGX0-kHA/edit?usp=sharing"",""แผน!GT23"")"),0)</f>
        <v>0</v>
      </c>
      <c r="M535" s="837">
        <v>0</v>
      </c>
      <c r="N535" s="837">
        <v>0</v>
      </c>
      <c r="O535" s="837">
        <f t="shared" ca="1" si="232"/>
        <v>0</v>
      </c>
      <c r="P535" s="837">
        <f t="shared" si="233"/>
        <v>0</v>
      </c>
      <c r="Q535" s="1264"/>
      <c r="R535" s="1264"/>
      <c r="S535" s="1264"/>
      <c r="T535" s="1264"/>
      <c r="U535" s="1264"/>
      <c r="V535" s="1264"/>
      <c r="W535" s="1264"/>
      <c r="X535" s="1264"/>
      <c r="Y535" s="1264"/>
      <c r="Z535" s="1264"/>
    </row>
    <row r="536" spans="1:26" ht="19.5" hidden="1">
      <c r="A536" s="1267"/>
      <c r="B536" s="1268"/>
      <c r="C536" s="1243" t="s">
        <v>16</v>
      </c>
      <c r="D536" s="1320" t="s">
        <v>38</v>
      </c>
      <c r="E536" s="1271"/>
      <c r="F536" s="1271"/>
      <c r="G536" s="1272"/>
      <c r="H536" s="954"/>
      <c r="I536" s="944"/>
      <c r="J536" s="944"/>
      <c r="K536" s="945"/>
      <c r="L536" s="945"/>
      <c r="M536" s="945"/>
      <c r="N536" s="945"/>
      <c r="O536" s="945"/>
      <c r="P536" s="945"/>
      <c r="Q536" s="1244"/>
      <c r="R536" s="1244"/>
      <c r="S536" s="1244"/>
      <c r="T536" s="1244"/>
      <c r="U536" s="1244"/>
      <c r="V536" s="1244"/>
      <c r="W536" s="1244"/>
      <c r="X536" s="1244"/>
      <c r="Y536" s="1244"/>
      <c r="Z536" s="1244"/>
    </row>
    <row r="537" spans="1:26" ht="19.5" hidden="1">
      <c r="A537" s="1241"/>
      <c r="B537" s="1242"/>
      <c r="C537" s="1243"/>
      <c r="D537" s="1243" t="s">
        <v>227</v>
      </c>
      <c r="E537" s="1243"/>
      <c r="F537" s="1243"/>
      <c r="G537" s="963"/>
      <c r="H537" s="590" t="s">
        <v>35</v>
      </c>
      <c r="I537" s="966">
        <f ca="1">IFERROR(__xludf.DUMMYFUNCTION("IMPORTRANGE(""https://docs.google.com/spreadsheets/d/1QqKyyYR6Q21VydFLVH3TRQUabQu_ym0Zz7PgGX0-kHA/edit?usp=sharing"",""แผน!GU23"")"),0)</f>
        <v>0</v>
      </c>
      <c r="J537" s="966">
        <f ca="1">IF(AND(J538=I538,J539=I539,J540=I540,J541=I541),I537,0)</f>
        <v>0</v>
      </c>
      <c r="K537" s="831">
        <f t="shared" ref="K537:K543" ca="1" si="234">IF(I537&gt;0,J537*100/I537,0)</f>
        <v>0</v>
      </c>
      <c r="L537" s="831"/>
      <c r="M537" s="831"/>
      <c r="N537" s="831"/>
      <c r="O537" s="831"/>
      <c r="P537" s="831"/>
      <c r="Q537" s="1321"/>
      <c r="R537" s="1321"/>
      <c r="S537" s="1321"/>
      <c r="T537" s="1321"/>
      <c r="U537" s="1321"/>
      <c r="V537" s="1321"/>
      <c r="W537" s="1321"/>
      <c r="X537" s="1321"/>
      <c r="Y537" s="1321"/>
      <c r="Z537" s="1321"/>
    </row>
    <row r="538" spans="1:26" ht="18.75" hidden="1">
      <c r="A538" s="1241"/>
      <c r="B538" s="1242"/>
      <c r="C538" s="1243"/>
      <c r="D538" s="1243"/>
      <c r="E538" s="1243" t="s">
        <v>228</v>
      </c>
      <c r="F538" s="1243"/>
      <c r="G538" s="963"/>
      <c r="H538" s="590" t="s">
        <v>35</v>
      </c>
      <c r="I538" s="830">
        <f ca="1">IFERROR(__xludf.DUMMYFUNCTION("IMPORTRANGE(""https://docs.google.com/spreadsheets/d/1QqKyyYR6Q21VydFLVH3TRQUabQu_ym0Zz7PgGX0-kHA/edit?usp=sharing"",""แผน!GV23"")"),0)</f>
        <v>0</v>
      </c>
      <c r="J538" s="959">
        <v>0</v>
      </c>
      <c r="K538" s="831">
        <f t="shared" ca="1" si="234"/>
        <v>0</v>
      </c>
      <c r="L538" s="831"/>
      <c r="M538" s="831"/>
      <c r="N538" s="831"/>
      <c r="O538" s="831"/>
      <c r="P538" s="831"/>
      <c r="Q538" s="1321"/>
      <c r="R538" s="1321"/>
      <c r="S538" s="1321"/>
      <c r="T538" s="1321"/>
      <c r="U538" s="1321"/>
      <c r="V538" s="1321"/>
      <c r="W538" s="1321"/>
      <c r="X538" s="1321"/>
      <c r="Y538" s="1321"/>
      <c r="Z538" s="1321"/>
    </row>
    <row r="539" spans="1:26" ht="18.75" hidden="1">
      <c r="A539" s="1241"/>
      <c r="B539" s="1242"/>
      <c r="C539" s="1243"/>
      <c r="D539" s="1243"/>
      <c r="E539" s="1243" t="s">
        <v>229</v>
      </c>
      <c r="F539" s="1243"/>
      <c r="G539" s="963"/>
      <c r="H539" s="590" t="s">
        <v>35</v>
      </c>
      <c r="I539" s="830">
        <f ca="1">IFERROR(__xludf.DUMMYFUNCTION("IMPORTRANGE(""https://docs.google.com/spreadsheets/d/1QqKyyYR6Q21VydFLVH3TRQUabQu_ym0Zz7PgGX0-kHA/edit?usp=sharing"",""แผน!GW23"")"),0)</f>
        <v>0</v>
      </c>
      <c r="J539" s="959">
        <v>0</v>
      </c>
      <c r="K539" s="831">
        <f t="shared" ca="1" si="234"/>
        <v>0</v>
      </c>
      <c r="L539" s="831"/>
      <c r="M539" s="831"/>
      <c r="N539" s="831"/>
      <c r="O539" s="831"/>
      <c r="P539" s="831"/>
      <c r="Q539" s="1321"/>
      <c r="R539" s="1321"/>
      <c r="S539" s="1321"/>
      <c r="T539" s="1321"/>
      <c r="U539" s="1321"/>
      <c r="V539" s="1321"/>
      <c r="W539" s="1321"/>
      <c r="X539" s="1321"/>
      <c r="Y539" s="1321"/>
      <c r="Z539" s="1321"/>
    </row>
    <row r="540" spans="1:26" ht="18.75" hidden="1">
      <c r="A540" s="1241"/>
      <c r="B540" s="1242"/>
      <c r="C540" s="1243"/>
      <c r="D540" s="1243"/>
      <c r="E540" s="1243" t="s">
        <v>230</v>
      </c>
      <c r="F540" s="1243"/>
      <c r="G540" s="963"/>
      <c r="H540" s="590" t="s">
        <v>35</v>
      </c>
      <c r="I540" s="830">
        <f ca="1">IFERROR(__xludf.DUMMYFUNCTION("IMPORTRANGE(""https://docs.google.com/spreadsheets/d/1QqKyyYR6Q21VydFLVH3TRQUabQu_ym0Zz7PgGX0-kHA/edit?usp=sharing"",""แผน!GX23"")"),0)</f>
        <v>0</v>
      </c>
      <c r="J540" s="959">
        <v>0</v>
      </c>
      <c r="K540" s="831">
        <f t="shared" ca="1" si="234"/>
        <v>0</v>
      </c>
      <c r="L540" s="831"/>
      <c r="M540" s="831"/>
      <c r="N540" s="831"/>
      <c r="O540" s="831"/>
      <c r="P540" s="831"/>
      <c r="Q540" s="1321"/>
      <c r="R540" s="1321"/>
      <c r="S540" s="1321"/>
      <c r="T540" s="1321"/>
      <c r="U540" s="1321"/>
      <c r="V540" s="1321"/>
      <c r="W540" s="1321"/>
      <c r="X540" s="1321"/>
      <c r="Y540" s="1321"/>
      <c r="Z540" s="1321"/>
    </row>
    <row r="541" spans="1:26" ht="18.75" hidden="1">
      <c r="A541" s="1241"/>
      <c r="B541" s="1242"/>
      <c r="C541" s="1243"/>
      <c r="D541" s="1243"/>
      <c r="E541" s="1322" t="s">
        <v>231</v>
      </c>
      <c r="F541" s="1243"/>
      <c r="G541" s="963"/>
      <c r="H541" s="590" t="s">
        <v>35</v>
      </c>
      <c r="I541" s="830">
        <f ca="1">IFERROR(__xludf.DUMMYFUNCTION("IMPORTRANGE(""https://docs.google.com/spreadsheets/d/1QqKyyYR6Q21VydFLVH3TRQUabQu_ym0Zz7PgGX0-kHA/edit?usp=sharing"",""แผน!GY23"")"),0)</f>
        <v>0</v>
      </c>
      <c r="J541" s="959">
        <v>0</v>
      </c>
      <c r="K541" s="831">
        <f t="shared" ca="1" si="234"/>
        <v>0</v>
      </c>
      <c r="L541" s="831"/>
      <c r="M541" s="831"/>
      <c r="N541" s="831"/>
      <c r="O541" s="831"/>
      <c r="P541" s="831"/>
      <c r="Q541" s="1321"/>
      <c r="R541" s="1321"/>
      <c r="S541" s="1321"/>
      <c r="T541" s="1321"/>
      <c r="U541" s="1321"/>
      <c r="V541" s="1321"/>
      <c r="W541" s="1321"/>
      <c r="X541" s="1321"/>
      <c r="Y541" s="1321"/>
      <c r="Z541" s="1321"/>
    </row>
    <row r="542" spans="1:26" ht="18.75" hidden="1">
      <c r="A542" s="1241"/>
      <c r="B542" s="1242"/>
      <c r="C542" s="1243"/>
      <c r="D542" s="1243" t="s">
        <v>59</v>
      </c>
      <c r="E542" s="1243"/>
      <c r="F542" s="1243"/>
      <c r="G542" s="963"/>
      <c r="H542" s="590" t="s">
        <v>35</v>
      </c>
      <c r="I542" s="830">
        <f ca="1">IFERROR(__xludf.DUMMYFUNCTION("IMPORTRANGE(""https://docs.google.com/spreadsheets/d/1QqKyyYR6Q21VydFLVH3TRQUabQu_ym0Zz7PgGX0-kHA/edit?usp=sharing"",""แผน!GZ23"")"),0)</f>
        <v>0</v>
      </c>
      <c r="J542" s="959">
        <v>0</v>
      </c>
      <c r="K542" s="831">
        <f t="shared" ca="1" si="234"/>
        <v>0</v>
      </c>
      <c r="L542" s="831"/>
      <c r="M542" s="831"/>
      <c r="N542" s="831"/>
      <c r="O542" s="831"/>
      <c r="P542" s="831"/>
      <c r="Q542" s="1321"/>
      <c r="R542" s="1321"/>
      <c r="S542" s="1321"/>
      <c r="T542" s="1321"/>
      <c r="U542" s="1321"/>
      <c r="V542" s="1321"/>
      <c r="W542" s="1321"/>
      <c r="X542" s="1321"/>
      <c r="Y542" s="1321"/>
      <c r="Z542" s="1321"/>
    </row>
    <row r="543" spans="1:26" ht="19.5">
      <c r="A543" s="630">
        <v>6</v>
      </c>
      <c r="B543" s="1323" t="s">
        <v>232</v>
      </c>
      <c r="C543" s="1309"/>
      <c r="D543" s="1309"/>
      <c r="E543" s="1309"/>
      <c r="F543" s="1309"/>
      <c r="G543" s="1310"/>
      <c r="H543" s="652" t="s">
        <v>46</v>
      </c>
      <c r="I543" s="1324">
        <f t="shared" ref="I543:J543" ca="1" si="235">I559</f>
        <v>133053</v>
      </c>
      <c r="J543" s="1324">
        <f t="shared" si="235"/>
        <v>0</v>
      </c>
      <c r="K543" s="1325">
        <f t="shared" ca="1" si="234"/>
        <v>0</v>
      </c>
      <c r="L543" s="1312"/>
      <c r="M543" s="1312"/>
      <c r="N543" s="1312"/>
      <c r="O543" s="1312"/>
      <c r="P543" s="1312"/>
      <c r="Q543" s="1244"/>
      <c r="R543" s="1244"/>
      <c r="S543" s="1244"/>
      <c r="T543" s="1244"/>
      <c r="U543" s="1244"/>
      <c r="V543" s="1244"/>
      <c r="W543" s="1244"/>
      <c r="X543" s="1244"/>
      <c r="Y543" s="1244"/>
      <c r="Z543" s="1244"/>
    </row>
    <row r="544" spans="1:26" ht="19.5">
      <c r="A544" s="1326"/>
      <c r="B544" s="1327"/>
      <c r="C544" s="1327" t="s">
        <v>16</v>
      </c>
      <c r="D544" s="1511" t="s">
        <v>17</v>
      </c>
      <c r="E544" s="1487"/>
      <c r="F544" s="1487"/>
      <c r="G544" s="1328"/>
      <c r="H544" s="275" t="s">
        <v>12</v>
      </c>
      <c r="I544" s="937"/>
      <c r="J544" s="937"/>
      <c r="K544" s="938"/>
      <c r="L544" s="939">
        <f t="shared" ref="L544:N544" ca="1" si="236">L545+L546</f>
        <v>618295</v>
      </c>
      <c r="M544" s="939">
        <f t="shared" si="236"/>
        <v>0</v>
      </c>
      <c r="N544" s="939">
        <f t="shared" si="236"/>
        <v>155853.54999999999</v>
      </c>
      <c r="O544" s="939">
        <f t="shared" ref="O544:O549" ca="1" si="237">IF(L544&gt;0,N544*100/L544,0)</f>
        <v>25.2069885734156</v>
      </c>
      <c r="P544" s="939">
        <f t="shared" ref="P544:P549" si="238">IF(M544&gt;0,N544*100/M544,0)</f>
        <v>0</v>
      </c>
      <c r="Q544" s="1244"/>
      <c r="R544" s="1244"/>
      <c r="S544" s="1244"/>
      <c r="T544" s="1244"/>
      <c r="U544" s="1244"/>
      <c r="V544" s="1244"/>
      <c r="W544" s="1244"/>
      <c r="X544" s="1244"/>
      <c r="Y544" s="1244"/>
      <c r="Z544" s="1244"/>
    </row>
    <row r="545" spans="1:26" ht="18.75" hidden="1">
      <c r="A545" s="1260"/>
      <c r="B545" s="1261"/>
      <c r="C545" s="1261"/>
      <c r="D545" s="1261"/>
      <c r="E545" s="1261" t="s">
        <v>184</v>
      </c>
      <c r="F545" s="1261"/>
      <c r="G545" s="1263"/>
      <c r="H545" s="165" t="s">
        <v>12</v>
      </c>
      <c r="I545" s="836"/>
      <c r="J545" s="836"/>
      <c r="K545" s="837"/>
      <c r="L545" s="837">
        <f t="shared" ref="L545:L546" si="239">L548+L556</f>
        <v>0</v>
      </c>
      <c r="M545" s="837">
        <f t="shared" ref="M545:N546" si="240">M548+M555</f>
        <v>0</v>
      </c>
      <c r="N545" s="837">
        <f t="shared" si="240"/>
        <v>0</v>
      </c>
      <c r="O545" s="837">
        <f t="shared" si="237"/>
        <v>0</v>
      </c>
      <c r="P545" s="837">
        <f t="shared" si="238"/>
        <v>0</v>
      </c>
      <c r="Q545" s="1264"/>
      <c r="R545" s="1264"/>
      <c r="S545" s="1264"/>
      <c r="T545" s="1264"/>
      <c r="U545" s="1264"/>
      <c r="V545" s="1264"/>
      <c r="W545" s="1264"/>
      <c r="X545" s="1264"/>
      <c r="Y545" s="1264"/>
      <c r="Z545" s="1264"/>
    </row>
    <row r="546" spans="1:26" ht="18.75" hidden="1">
      <c r="A546" s="1260"/>
      <c r="B546" s="1265"/>
      <c r="C546" s="1261"/>
      <c r="D546" s="1261"/>
      <c r="E546" s="1261" t="s">
        <v>185</v>
      </c>
      <c r="F546" s="1261"/>
      <c r="G546" s="1263"/>
      <c r="H546" s="165" t="s">
        <v>12</v>
      </c>
      <c r="I546" s="836"/>
      <c r="J546" s="836"/>
      <c r="K546" s="837"/>
      <c r="L546" s="837">
        <f t="shared" ca="1" si="239"/>
        <v>618295</v>
      </c>
      <c r="M546" s="837">
        <f t="shared" si="240"/>
        <v>0</v>
      </c>
      <c r="N546" s="837">
        <f t="shared" si="240"/>
        <v>155853.54999999999</v>
      </c>
      <c r="O546" s="837">
        <f t="shared" ca="1" si="237"/>
        <v>25.2069885734156</v>
      </c>
      <c r="P546" s="837">
        <f t="shared" si="238"/>
        <v>0</v>
      </c>
      <c r="Q546" s="1264"/>
      <c r="R546" s="1264"/>
      <c r="S546" s="1264"/>
      <c r="T546" s="1264"/>
      <c r="U546" s="1264"/>
      <c r="V546" s="1264"/>
      <c r="W546" s="1264"/>
      <c r="X546" s="1264"/>
      <c r="Y546" s="1264"/>
      <c r="Z546" s="1264"/>
    </row>
    <row r="547" spans="1:26" ht="18.75">
      <c r="A547" s="1259"/>
      <c r="B547" s="1242"/>
      <c r="C547" s="1243"/>
      <c r="D547" s="1266" t="s">
        <v>20</v>
      </c>
      <c r="E547" s="1243"/>
      <c r="F547" s="1243"/>
      <c r="G547" s="963"/>
      <c r="H547" s="778" t="s">
        <v>12</v>
      </c>
      <c r="I547" s="944"/>
      <c r="J547" s="944"/>
      <c r="K547" s="945"/>
      <c r="L547" s="831">
        <f t="shared" ref="L547:N547" ca="1" si="241">L548+L549</f>
        <v>618295</v>
      </c>
      <c r="M547" s="831">
        <f t="shared" si="241"/>
        <v>0</v>
      </c>
      <c r="N547" s="831">
        <f t="shared" si="241"/>
        <v>155853.54999999999</v>
      </c>
      <c r="O547" s="831">
        <f t="shared" ca="1" si="237"/>
        <v>25.2069885734156</v>
      </c>
      <c r="P547" s="831">
        <f t="shared" si="238"/>
        <v>0</v>
      </c>
      <c r="Q547" s="1244"/>
      <c r="R547" s="1244"/>
      <c r="S547" s="1244"/>
      <c r="T547" s="1244"/>
      <c r="U547" s="1244"/>
      <c r="V547" s="1244"/>
      <c r="W547" s="1244"/>
      <c r="X547" s="1244"/>
      <c r="Y547" s="1244"/>
      <c r="Z547" s="1244"/>
    </row>
    <row r="548" spans="1:26" ht="18.75" hidden="1">
      <c r="A548" s="1260"/>
      <c r="B548" s="1265"/>
      <c r="C548" s="1261"/>
      <c r="D548" s="1262"/>
      <c r="E548" s="1261" t="s">
        <v>184</v>
      </c>
      <c r="F548" s="1261"/>
      <c r="G548" s="1263"/>
      <c r="H548" s="165" t="s">
        <v>12</v>
      </c>
      <c r="I548" s="836"/>
      <c r="J548" s="836"/>
      <c r="K548" s="837"/>
      <c r="L548" s="837">
        <v>0</v>
      </c>
      <c r="M548" s="837">
        <v>0</v>
      </c>
      <c r="N548" s="837">
        <v>0</v>
      </c>
      <c r="O548" s="837">
        <f t="shared" si="237"/>
        <v>0</v>
      </c>
      <c r="P548" s="837">
        <f t="shared" si="238"/>
        <v>0</v>
      </c>
      <c r="Q548" s="1264"/>
      <c r="R548" s="1264"/>
      <c r="S548" s="1264"/>
      <c r="T548" s="1264"/>
      <c r="U548" s="1264"/>
      <c r="V548" s="1264"/>
      <c r="W548" s="1264"/>
      <c r="X548" s="1264"/>
      <c r="Y548" s="1264"/>
      <c r="Z548" s="1264"/>
    </row>
    <row r="549" spans="1:26" ht="18.75" hidden="1">
      <c r="A549" s="1260"/>
      <c r="B549" s="1265"/>
      <c r="C549" s="1261"/>
      <c r="D549" s="1262"/>
      <c r="E549" s="1261" t="s">
        <v>185</v>
      </c>
      <c r="F549" s="1261"/>
      <c r="G549" s="1263"/>
      <c r="H549" s="165" t="s">
        <v>12</v>
      </c>
      <c r="I549" s="836"/>
      <c r="J549" s="836"/>
      <c r="K549" s="837"/>
      <c r="L549" s="837">
        <f ca="1">IFERROR(__xludf.DUMMYFUNCTION("IMPORTRANGE(""https://docs.google.com/spreadsheets/d/1QqKyyYR6Q21VydFLVH3TRQUabQu_ym0Zz7PgGX0-kHA/edit?usp=sharing"",""แผน!HB23"")"),618295)</f>
        <v>618295</v>
      </c>
      <c r="M549" s="837">
        <v>0</v>
      </c>
      <c r="N549" s="837">
        <f>N550+N551+N552+N553+N554</f>
        <v>155853.54999999999</v>
      </c>
      <c r="O549" s="837">
        <f t="shared" ca="1" si="237"/>
        <v>25.2069885734156</v>
      </c>
      <c r="P549" s="837">
        <f t="shared" si="238"/>
        <v>0</v>
      </c>
      <c r="Q549" s="1264"/>
      <c r="R549" s="1264"/>
      <c r="S549" s="1264"/>
      <c r="T549" s="1264"/>
      <c r="U549" s="1264"/>
      <c r="V549" s="1264"/>
      <c r="W549" s="1264"/>
      <c r="X549" s="1264"/>
      <c r="Y549" s="1264"/>
      <c r="Z549" s="1264"/>
    </row>
    <row r="550" spans="1:26" ht="18.75">
      <c r="A550" s="1241"/>
      <c r="B550" s="1242"/>
      <c r="C550" s="1243"/>
      <c r="D550" s="1243"/>
      <c r="E550" s="1243"/>
      <c r="F550" s="1243" t="s">
        <v>186</v>
      </c>
      <c r="G550" s="963"/>
      <c r="H550" s="778" t="s">
        <v>12</v>
      </c>
      <c r="I550" s="830"/>
      <c r="J550" s="830"/>
      <c r="K550" s="831"/>
      <c r="L550" s="831"/>
      <c r="M550" s="831"/>
      <c r="N550" s="1031">
        <v>0</v>
      </c>
      <c r="O550" s="831"/>
      <c r="P550" s="831"/>
      <c r="Q550" s="1244"/>
      <c r="R550" s="1244"/>
      <c r="S550" s="1244"/>
      <c r="T550" s="1244"/>
      <c r="U550" s="1244"/>
      <c r="V550" s="1244"/>
      <c r="W550" s="1244"/>
      <c r="X550" s="1244"/>
      <c r="Y550" s="1244"/>
      <c r="Z550" s="1244"/>
    </row>
    <row r="551" spans="1:26" ht="18.75">
      <c r="A551" s="1241"/>
      <c r="B551" s="1242"/>
      <c r="C551" s="1242"/>
      <c r="D551" s="1242"/>
      <c r="E551" s="1243"/>
      <c r="F551" s="1243" t="s">
        <v>187</v>
      </c>
      <c r="G551" s="963"/>
      <c r="H551" s="778" t="s">
        <v>12</v>
      </c>
      <c r="I551" s="830"/>
      <c r="J551" s="830"/>
      <c r="K551" s="831"/>
      <c r="L551" s="831"/>
      <c r="M551" s="831"/>
      <c r="N551" s="1031">
        <v>0</v>
      </c>
      <c r="O551" s="831"/>
      <c r="P551" s="831"/>
      <c r="Q551" s="1244"/>
      <c r="R551" s="1244"/>
      <c r="S551" s="1244"/>
      <c r="T551" s="1244"/>
      <c r="U551" s="1244"/>
      <c r="V551" s="1244"/>
      <c r="W551" s="1244"/>
      <c r="X551" s="1244"/>
      <c r="Y551" s="1244"/>
      <c r="Z551" s="1244"/>
    </row>
    <row r="552" spans="1:26" ht="18.75">
      <c r="A552" s="1241"/>
      <c r="B552" s="1242"/>
      <c r="C552" s="1243"/>
      <c r="D552" s="1243"/>
      <c r="E552" s="1243"/>
      <c r="F552" s="1243" t="s">
        <v>188</v>
      </c>
      <c r="G552" s="963"/>
      <c r="H552" s="778" t="s">
        <v>12</v>
      </c>
      <c r="I552" s="830"/>
      <c r="J552" s="830"/>
      <c r="K552" s="831"/>
      <c r="L552" s="831"/>
      <c r="M552" s="831"/>
      <c r="N552" s="1031">
        <v>52000</v>
      </c>
      <c r="O552" s="831"/>
      <c r="P552" s="831"/>
      <c r="Q552" s="1244"/>
      <c r="R552" s="1244"/>
      <c r="S552" s="1244"/>
      <c r="T552" s="1244"/>
      <c r="U552" s="1244"/>
      <c r="V552" s="1244"/>
      <c r="W552" s="1244"/>
      <c r="X552" s="1244"/>
      <c r="Y552" s="1244"/>
      <c r="Z552" s="1244"/>
    </row>
    <row r="553" spans="1:26" ht="18.75">
      <c r="A553" s="1241"/>
      <c r="B553" s="1242"/>
      <c r="C553" s="1242"/>
      <c r="D553" s="1242"/>
      <c r="E553" s="1243"/>
      <c r="F553" s="1243" t="s">
        <v>189</v>
      </c>
      <c r="G553" s="963"/>
      <c r="H553" s="778" t="s">
        <v>12</v>
      </c>
      <c r="I553" s="830"/>
      <c r="J553" s="830"/>
      <c r="K553" s="831"/>
      <c r="L553" s="831"/>
      <c r="M553" s="831"/>
      <c r="N553" s="1031">
        <v>103853.55</v>
      </c>
      <c r="O553" s="831"/>
      <c r="P553" s="831"/>
      <c r="Q553" s="1244"/>
      <c r="R553" s="1244"/>
      <c r="S553" s="1244"/>
      <c r="T553" s="1244"/>
      <c r="U553" s="1244"/>
      <c r="V553" s="1244"/>
      <c r="W553" s="1244"/>
      <c r="X553" s="1244"/>
      <c r="Y553" s="1244"/>
      <c r="Z553" s="1244"/>
    </row>
    <row r="554" spans="1:26" ht="18.75">
      <c r="A554" s="1241"/>
      <c r="B554" s="1242"/>
      <c r="C554" s="1242"/>
      <c r="D554" s="1242"/>
      <c r="E554" s="1243"/>
      <c r="F554" s="1243" t="s">
        <v>233</v>
      </c>
      <c r="G554" s="963"/>
      <c r="H554" s="778" t="s">
        <v>12</v>
      </c>
      <c r="I554" s="830"/>
      <c r="J554" s="830"/>
      <c r="K554" s="831"/>
      <c r="L554" s="831"/>
      <c r="M554" s="831"/>
      <c r="N554" s="1031">
        <v>0</v>
      </c>
      <c r="O554" s="831"/>
      <c r="P554" s="831"/>
      <c r="Q554" s="1244"/>
      <c r="R554" s="1244"/>
      <c r="S554" s="1244"/>
      <c r="T554" s="1244"/>
      <c r="U554" s="1244"/>
      <c r="V554" s="1244"/>
      <c r="W554" s="1244"/>
      <c r="X554" s="1244"/>
      <c r="Y554" s="1244"/>
      <c r="Z554" s="1244"/>
    </row>
    <row r="555" spans="1:26" ht="18.75">
      <c r="A555" s="1259"/>
      <c r="B555" s="1242"/>
      <c r="C555" s="1242"/>
      <c r="D555" s="1266" t="s">
        <v>21</v>
      </c>
      <c r="E555" s="1243"/>
      <c r="F555" s="1243"/>
      <c r="G555" s="963"/>
      <c r="H555" s="168" t="s">
        <v>12</v>
      </c>
      <c r="I555" s="944"/>
      <c r="J555" s="944"/>
      <c r="K555" s="945"/>
      <c r="L555" s="831">
        <f t="shared" ref="L555:N555" ca="1" si="242">L556+L557</f>
        <v>0</v>
      </c>
      <c r="M555" s="831">
        <f t="shared" si="242"/>
        <v>0</v>
      </c>
      <c r="N555" s="831">
        <f t="shared" si="242"/>
        <v>0</v>
      </c>
      <c r="O555" s="831">
        <f t="shared" ref="O555:O557" ca="1" si="243">IF(L555&gt;0,N555*100/L555,0)</f>
        <v>0</v>
      </c>
      <c r="P555" s="831">
        <f t="shared" ref="P555:P557" si="244">IF(M555&gt;0,N555*100/M555,0)</f>
        <v>0</v>
      </c>
      <c r="Q555" s="1244"/>
      <c r="R555" s="1244"/>
      <c r="S555" s="1244"/>
      <c r="T555" s="1244"/>
      <c r="U555" s="1244"/>
      <c r="V555" s="1244"/>
      <c r="W555" s="1244"/>
      <c r="X555" s="1244"/>
      <c r="Y555" s="1244"/>
      <c r="Z555" s="1244"/>
    </row>
    <row r="556" spans="1:26" ht="18.75" hidden="1">
      <c r="A556" s="1260"/>
      <c r="B556" s="1265"/>
      <c r="C556" s="1265"/>
      <c r="D556" s="1261"/>
      <c r="E556" s="1261" t="s">
        <v>18</v>
      </c>
      <c r="F556" s="1261"/>
      <c r="G556" s="1263"/>
      <c r="H556" s="165" t="s">
        <v>12</v>
      </c>
      <c r="I556" s="947"/>
      <c r="J556" s="947"/>
      <c r="K556" s="948"/>
      <c r="L556" s="837">
        <v>0</v>
      </c>
      <c r="M556" s="837">
        <v>0</v>
      </c>
      <c r="N556" s="837">
        <v>0</v>
      </c>
      <c r="O556" s="837">
        <f t="shared" si="243"/>
        <v>0</v>
      </c>
      <c r="P556" s="837">
        <f t="shared" si="244"/>
        <v>0</v>
      </c>
      <c r="Q556" s="1264"/>
      <c r="R556" s="1264"/>
      <c r="S556" s="1264"/>
      <c r="T556" s="1264"/>
      <c r="U556" s="1264"/>
      <c r="V556" s="1264"/>
      <c r="W556" s="1264"/>
      <c r="X556" s="1264"/>
      <c r="Y556" s="1264"/>
      <c r="Z556" s="1264"/>
    </row>
    <row r="557" spans="1:26" ht="18.75" hidden="1">
      <c r="A557" s="1260"/>
      <c r="B557" s="1265"/>
      <c r="C557" s="1265"/>
      <c r="D557" s="1261"/>
      <c r="E557" s="1261" t="s">
        <v>19</v>
      </c>
      <c r="F557" s="1261"/>
      <c r="G557" s="1263"/>
      <c r="H557" s="169" t="s">
        <v>12</v>
      </c>
      <c r="I557" s="947"/>
      <c r="J557" s="947"/>
      <c r="K557" s="948"/>
      <c r="L557" s="837">
        <f ca="1">IFERROR(__xludf.DUMMYFUNCTION("IMPORTRANGE(""https://docs.google.com/spreadsheets/d/1QqKyyYR6Q21VydFLVH3TRQUabQu_ym0Zz7PgGX0-kHA/edit?usp=sharing"",""แผน!HF23"")"),0)</f>
        <v>0</v>
      </c>
      <c r="M557" s="837">
        <v>0</v>
      </c>
      <c r="N557" s="837">
        <v>0</v>
      </c>
      <c r="O557" s="837">
        <f t="shared" ca="1" si="243"/>
        <v>0</v>
      </c>
      <c r="P557" s="837">
        <f t="shared" si="244"/>
        <v>0</v>
      </c>
      <c r="Q557" s="1264"/>
      <c r="R557" s="1264"/>
      <c r="S557" s="1264"/>
      <c r="T557" s="1264"/>
      <c r="U557" s="1264"/>
      <c r="V557" s="1264"/>
      <c r="W557" s="1264"/>
      <c r="X557" s="1264"/>
      <c r="Y557" s="1264"/>
      <c r="Z557" s="1264"/>
    </row>
    <row r="558" spans="1:26" ht="19.5">
      <c r="A558" s="1267"/>
      <c r="B558" s="1268"/>
      <c r="C558" s="1242" t="s">
        <v>16</v>
      </c>
      <c r="D558" s="1320" t="s">
        <v>38</v>
      </c>
      <c r="E558" s="1271"/>
      <c r="F558" s="1271"/>
      <c r="G558" s="1272"/>
      <c r="H558" s="954"/>
      <c r="I558" s="944"/>
      <c r="J558" s="944"/>
      <c r="K558" s="945"/>
      <c r="L558" s="945"/>
      <c r="M558" s="945"/>
      <c r="N558" s="945"/>
      <c r="O558" s="945"/>
      <c r="P558" s="945"/>
      <c r="Q558" s="1244"/>
      <c r="R558" s="1244"/>
      <c r="S558" s="1244"/>
      <c r="T558" s="1244"/>
      <c r="U558" s="1244"/>
      <c r="V558" s="1244"/>
      <c r="W558" s="1244"/>
      <c r="X558" s="1244"/>
      <c r="Y558" s="1244"/>
      <c r="Z558" s="1244"/>
    </row>
    <row r="559" spans="1:26" ht="19.5">
      <c r="A559" s="1329"/>
      <c r="B559" s="1330" t="s">
        <v>234</v>
      </c>
      <c r="C559" s="1331"/>
      <c r="D559" s="1331"/>
      <c r="E559" s="1315"/>
      <c r="F559" s="1315"/>
      <c r="G559" s="1316"/>
      <c r="H559" s="661" t="s">
        <v>46</v>
      </c>
      <c r="I559" s="1317">
        <f t="shared" ref="I559:J559" ca="1" si="245">I576</f>
        <v>133053</v>
      </c>
      <c r="J559" s="1317">
        <f t="shared" si="245"/>
        <v>0</v>
      </c>
      <c r="K559" s="1318">
        <f t="shared" ref="K559:K561" ca="1" si="246">IF(I559&gt;0,J559*100/I559,0)</f>
        <v>0</v>
      </c>
      <c r="L559" s="1319"/>
      <c r="M559" s="1319"/>
      <c r="N559" s="1319"/>
      <c r="O559" s="1319"/>
      <c r="P559" s="1319"/>
      <c r="Q559" s="1244"/>
      <c r="R559" s="1244"/>
      <c r="S559" s="1244"/>
      <c r="T559" s="1244"/>
      <c r="U559" s="1244"/>
      <c r="V559" s="1244"/>
      <c r="W559" s="1244"/>
      <c r="X559" s="1244"/>
      <c r="Y559" s="1244"/>
      <c r="Z559" s="1244"/>
    </row>
    <row r="560" spans="1:26" ht="19.5">
      <c r="A560" s="1267"/>
      <c r="B560" s="1268"/>
      <c r="C560" s="1277" t="s">
        <v>235</v>
      </c>
      <c r="D560" s="1268"/>
      <c r="E560" s="961"/>
      <c r="F560" s="961"/>
      <c r="G560" s="954"/>
      <c r="H560" s="733" t="s">
        <v>46</v>
      </c>
      <c r="I560" s="965">
        <f ca="1">IFERROR(__xludf.DUMMYFUNCTION("IMPORTRANGE(""https://docs.google.com/spreadsheets/d/1QqKyyYR6Q21VydFLVH3TRQUabQu_ym0Zz7PgGX0-kHA/edit?usp=sharing"",""แผน!HH23"")"),133053)</f>
        <v>133053</v>
      </c>
      <c r="J560" s="965">
        <f t="shared" ref="J560:J561" si="247">J562+J564+J566</f>
        <v>133053</v>
      </c>
      <c r="K560" s="1109">
        <f t="shared" ca="1" si="246"/>
        <v>100</v>
      </c>
      <c r="L560" s="945"/>
      <c r="M560" s="945"/>
      <c r="N560" s="945"/>
      <c r="O560" s="945"/>
      <c r="P560" s="945"/>
      <c r="Q560" s="1244"/>
      <c r="R560" s="1244"/>
      <c r="S560" s="1244"/>
      <c r="T560" s="1244"/>
      <c r="U560" s="1244"/>
      <c r="V560" s="1244"/>
      <c r="W560" s="1244"/>
      <c r="X560" s="1244"/>
      <c r="Y560" s="1244"/>
      <c r="Z560" s="1244"/>
    </row>
    <row r="561" spans="1:26" ht="19.5">
      <c r="A561" s="1267"/>
      <c r="B561" s="1268"/>
      <c r="C561" s="1268"/>
      <c r="D561" s="961"/>
      <c r="E561" s="961"/>
      <c r="F561" s="961"/>
      <c r="G561" s="954"/>
      <c r="H561" s="733" t="s">
        <v>34</v>
      </c>
      <c r="I561" s="965">
        <f ca="1">IFERROR(__xludf.DUMMYFUNCTION("IMPORTRANGE(""https://docs.google.com/spreadsheets/d/1QqKyyYR6Q21VydFLVH3TRQUabQu_ym0Zz7PgGX0-kHA/edit?usp=sharing"",""แผน!HG23"")"),7593)</f>
        <v>7593</v>
      </c>
      <c r="J561" s="965">
        <f t="shared" si="247"/>
        <v>7593</v>
      </c>
      <c r="K561" s="1109">
        <f t="shared" ca="1" si="246"/>
        <v>100</v>
      </c>
      <c r="L561" s="945"/>
      <c r="M561" s="945"/>
      <c r="N561" s="945"/>
      <c r="O561" s="945"/>
      <c r="P561" s="945"/>
      <c r="Q561" s="1244"/>
      <c r="R561" s="1244"/>
      <c r="S561" s="1244"/>
      <c r="T561" s="1244"/>
      <c r="U561" s="1244"/>
      <c r="V561" s="1244"/>
      <c r="W561" s="1244"/>
      <c r="X561" s="1244"/>
      <c r="Y561" s="1244"/>
      <c r="Z561" s="1244"/>
    </row>
    <row r="562" spans="1:26" ht="18.75">
      <c r="A562" s="1267"/>
      <c r="B562" s="1268"/>
      <c r="C562" s="1268"/>
      <c r="D562" s="961" t="s">
        <v>236</v>
      </c>
      <c r="E562" s="961"/>
      <c r="F562" s="961"/>
      <c r="G562" s="954"/>
      <c r="H562" s="730" t="s">
        <v>46</v>
      </c>
      <c r="I562" s="944"/>
      <c r="J562" s="959">
        <v>88330</v>
      </c>
      <c r="K562" s="945"/>
      <c r="L562" s="945"/>
      <c r="M562" s="945"/>
      <c r="N562" s="945"/>
      <c r="O562" s="945"/>
      <c r="P562" s="945"/>
      <c r="Q562" s="1244"/>
      <c r="R562" s="1244"/>
      <c r="S562" s="1244"/>
      <c r="T562" s="1244"/>
      <c r="U562" s="1244"/>
      <c r="V562" s="1244"/>
      <c r="W562" s="1244"/>
      <c r="X562" s="1244"/>
      <c r="Y562" s="1244"/>
      <c r="Z562" s="1244"/>
    </row>
    <row r="563" spans="1:26" ht="18.75">
      <c r="A563" s="1267"/>
      <c r="B563" s="1268"/>
      <c r="C563" s="1268"/>
      <c r="D563" s="1268"/>
      <c r="E563" s="961"/>
      <c r="F563" s="961"/>
      <c r="G563" s="954"/>
      <c r="H563" s="730" t="s">
        <v>34</v>
      </c>
      <c r="I563" s="944"/>
      <c r="J563" s="959">
        <v>5462</v>
      </c>
      <c r="K563" s="945"/>
      <c r="L563" s="945"/>
      <c r="M563" s="945"/>
      <c r="N563" s="945"/>
      <c r="O563" s="945"/>
      <c r="P563" s="945"/>
      <c r="Q563" s="1244"/>
      <c r="R563" s="1244"/>
      <c r="S563" s="1244"/>
      <c r="T563" s="1244"/>
      <c r="U563" s="1244"/>
      <c r="V563" s="1244"/>
      <c r="W563" s="1244"/>
      <c r="X563" s="1244"/>
      <c r="Y563" s="1244"/>
      <c r="Z563" s="1244"/>
    </row>
    <row r="564" spans="1:26" ht="18.75">
      <c r="A564" s="1267"/>
      <c r="B564" s="1268"/>
      <c r="C564" s="1268"/>
      <c r="D564" s="961" t="s">
        <v>237</v>
      </c>
      <c r="E564" s="961"/>
      <c r="F564" s="961"/>
      <c r="G564" s="954"/>
      <c r="H564" s="730" t="s">
        <v>46</v>
      </c>
      <c r="I564" s="944"/>
      <c r="J564" s="959">
        <v>39824</v>
      </c>
      <c r="K564" s="945"/>
      <c r="L564" s="945"/>
      <c r="M564" s="945"/>
      <c r="N564" s="945"/>
      <c r="O564" s="945"/>
      <c r="P564" s="945"/>
      <c r="Q564" s="1244"/>
      <c r="R564" s="1244"/>
      <c r="S564" s="1244"/>
      <c r="T564" s="1244"/>
      <c r="U564" s="1244"/>
      <c r="V564" s="1244"/>
      <c r="W564" s="1244"/>
      <c r="X564" s="1244"/>
      <c r="Y564" s="1244"/>
      <c r="Z564" s="1244"/>
    </row>
    <row r="565" spans="1:26" ht="18.75">
      <c r="A565" s="1267"/>
      <c r="B565" s="1268"/>
      <c r="C565" s="1268"/>
      <c r="D565" s="961"/>
      <c r="E565" s="961"/>
      <c r="F565" s="961"/>
      <c r="G565" s="954"/>
      <c r="H565" s="730" t="s">
        <v>34</v>
      </c>
      <c r="I565" s="944"/>
      <c r="J565" s="959">
        <v>1887</v>
      </c>
      <c r="K565" s="945"/>
      <c r="L565" s="945"/>
      <c r="M565" s="945"/>
      <c r="N565" s="945"/>
      <c r="O565" s="945"/>
      <c r="P565" s="945"/>
      <c r="Q565" s="1244"/>
      <c r="R565" s="1244"/>
      <c r="S565" s="1244"/>
      <c r="T565" s="1244"/>
      <c r="U565" s="1244"/>
      <c r="V565" s="1244"/>
      <c r="W565" s="1244"/>
      <c r="X565" s="1244"/>
      <c r="Y565" s="1244"/>
      <c r="Z565" s="1244"/>
    </row>
    <row r="566" spans="1:26" ht="18.75">
      <c r="A566" s="1267"/>
      <c r="B566" s="1268"/>
      <c r="C566" s="1268"/>
      <c r="D566" s="961" t="s">
        <v>238</v>
      </c>
      <c r="E566" s="961"/>
      <c r="F566" s="961"/>
      <c r="G566" s="954"/>
      <c r="H566" s="730" t="s">
        <v>46</v>
      </c>
      <c r="I566" s="944"/>
      <c r="J566" s="959">
        <v>4899</v>
      </c>
      <c r="K566" s="945"/>
      <c r="L566" s="945"/>
      <c r="M566" s="945"/>
      <c r="N566" s="945"/>
      <c r="O566" s="945"/>
      <c r="P566" s="945"/>
      <c r="Q566" s="1244"/>
      <c r="R566" s="1244"/>
      <c r="S566" s="1244"/>
      <c r="T566" s="1244"/>
      <c r="U566" s="1244"/>
      <c r="V566" s="1244"/>
      <c r="W566" s="1244"/>
      <c r="X566" s="1244"/>
      <c r="Y566" s="1244"/>
      <c r="Z566" s="1244"/>
    </row>
    <row r="567" spans="1:26" ht="18.75">
      <c r="A567" s="1267"/>
      <c r="B567" s="1268"/>
      <c r="C567" s="1268"/>
      <c r="D567" s="961"/>
      <c r="E567" s="961"/>
      <c r="F567" s="961"/>
      <c r="G567" s="954"/>
      <c r="H567" s="730" t="s">
        <v>34</v>
      </c>
      <c r="I567" s="944"/>
      <c r="J567" s="959">
        <v>244</v>
      </c>
      <c r="K567" s="945"/>
      <c r="L567" s="945"/>
      <c r="M567" s="945"/>
      <c r="N567" s="945"/>
      <c r="O567" s="945"/>
      <c r="P567" s="945"/>
      <c r="Q567" s="1244"/>
      <c r="R567" s="1244"/>
      <c r="S567" s="1244"/>
      <c r="T567" s="1244"/>
      <c r="U567" s="1244"/>
      <c r="V567" s="1244"/>
      <c r="W567" s="1244"/>
      <c r="X567" s="1244"/>
      <c r="Y567" s="1244"/>
      <c r="Z567" s="1244"/>
    </row>
    <row r="568" spans="1:26" ht="19.5">
      <c r="A568" s="1267"/>
      <c r="B568" s="1268"/>
      <c r="C568" s="1277" t="s">
        <v>239</v>
      </c>
      <c r="D568" s="961"/>
      <c r="E568" s="961"/>
      <c r="F568" s="961"/>
      <c r="G568" s="954"/>
      <c r="H568" s="733" t="s">
        <v>46</v>
      </c>
      <c r="I568" s="965">
        <f ca="1">IFERROR(__xludf.DUMMYFUNCTION("IMPORTRANGE(""https://docs.google.com/spreadsheets/d/1QqKyyYR6Q21VydFLVH3TRQUabQu_ym0Zz7PgGX0-kHA/edit?usp=sharing"",""แผน!HH23"")"),133053)</f>
        <v>133053</v>
      </c>
      <c r="J568" s="966">
        <f t="shared" ref="J568:J569" si="248">J570+J572+J574</f>
        <v>19376.519999999997</v>
      </c>
      <c r="K568" s="1109">
        <f t="shared" ref="K568:K569" ca="1" si="249">IF(I568&gt;0,J568*100/I568,0)</f>
        <v>14.563008725846089</v>
      </c>
      <c r="L568" s="945"/>
      <c r="M568" s="945"/>
      <c r="N568" s="945"/>
      <c r="O568" s="945"/>
      <c r="P568" s="945"/>
      <c r="Q568" s="1244"/>
      <c r="R568" s="1244"/>
      <c r="S568" s="1244"/>
      <c r="T568" s="1244"/>
      <c r="U568" s="1244"/>
      <c r="V568" s="1244"/>
      <c r="W568" s="1244"/>
      <c r="X568" s="1244"/>
      <c r="Y568" s="1244"/>
      <c r="Z568" s="1244"/>
    </row>
    <row r="569" spans="1:26" ht="19.5">
      <c r="A569" s="1267"/>
      <c r="B569" s="1268"/>
      <c r="C569" s="1268"/>
      <c r="D569" s="1268"/>
      <c r="E569" s="961"/>
      <c r="F569" s="961"/>
      <c r="G569" s="954"/>
      <c r="H569" s="733" t="s">
        <v>34</v>
      </c>
      <c r="I569" s="965">
        <f ca="1">IFERROR(__xludf.DUMMYFUNCTION("IMPORTRANGE(""https://docs.google.com/spreadsheets/d/1QqKyyYR6Q21VydFLVH3TRQUabQu_ym0Zz7PgGX0-kHA/edit?usp=sharing"",""แผน!HG23"")"),7593)</f>
        <v>7593</v>
      </c>
      <c r="J569" s="966">
        <f t="shared" si="248"/>
        <v>1047</v>
      </c>
      <c r="K569" s="1109">
        <f t="shared" ca="1" si="249"/>
        <v>13.789016199130778</v>
      </c>
      <c r="L569" s="945"/>
      <c r="M569" s="945"/>
      <c r="N569" s="945"/>
      <c r="O569" s="945"/>
      <c r="P569" s="945"/>
      <c r="Q569" s="1244"/>
      <c r="R569" s="1244"/>
      <c r="S569" s="1244"/>
      <c r="T569" s="1244"/>
      <c r="U569" s="1244"/>
      <c r="V569" s="1244"/>
      <c r="W569" s="1244"/>
      <c r="X569" s="1244"/>
      <c r="Y569" s="1244"/>
      <c r="Z569" s="1244"/>
    </row>
    <row r="570" spans="1:26" ht="18.75">
      <c r="A570" s="1267"/>
      <c r="B570" s="1268"/>
      <c r="C570" s="1268"/>
      <c r="D570" s="961" t="s">
        <v>240</v>
      </c>
      <c r="E570" s="1268"/>
      <c r="F570" s="961"/>
      <c r="G570" s="954"/>
      <c r="H570" s="730" t="s">
        <v>46</v>
      </c>
      <c r="I570" s="944"/>
      <c r="J570" s="959">
        <v>15971.4</v>
      </c>
      <c r="K570" s="945"/>
      <c r="L570" s="945"/>
      <c r="M570" s="945"/>
      <c r="N570" s="945"/>
      <c r="O570" s="945"/>
      <c r="P570" s="945"/>
      <c r="Q570" s="1244"/>
      <c r="R570" s="1244"/>
      <c r="S570" s="1244"/>
      <c r="T570" s="1244"/>
      <c r="U570" s="1244"/>
      <c r="V570" s="1244"/>
      <c r="W570" s="1244"/>
      <c r="X570" s="1244"/>
      <c r="Y570" s="1244"/>
      <c r="Z570" s="1244"/>
    </row>
    <row r="571" spans="1:26" ht="18.75">
      <c r="A571" s="1267"/>
      <c r="B571" s="1268"/>
      <c r="C571" s="1268"/>
      <c r="D571" s="1268"/>
      <c r="E571" s="961"/>
      <c r="F571" s="961"/>
      <c r="G571" s="954"/>
      <c r="H571" s="730" t="s">
        <v>34</v>
      </c>
      <c r="I571" s="944"/>
      <c r="J571" s="959">
        <v>899</v>
      </c>
      <c r="K571" s="945"/>
      <c r="L571" s="945"/>
      <c r="M571" s="945"/>
      <c r="N571" s="945"/>
      <c r="O571" s="945"/>
      <c r="P571" s="945"/>
      <c r="Q571" s="1244"/>
      <c r="R571" s="1244"/>
      <c r="S571" s="1244"/>
      <c r="T571" s="1244"/>
      <c r="U571" s="1244"/>
      <c r="V571" s="1244"/>
      <c r="W571" s="1244"/>
      <c r="X571" s="1244"/>
      <c r="Y571" s="1244"/>
      <c r="Z571" s="1244"/>
    </row>
    <row r="572" spans="1:26" ht="18.75">
      <c r="A572" s="1267"/>
      <c r="B572" s="1268"/>
      <c r="C572" s="1268"/>
      <c r="D572" s="961" t="s">
        <v>241</v>
      </c>
      <c r="E572" s="961"/>
      <c r="F572" s="961"/>
      <c r="G572" s="954"/>
      <c r="H572" s="730" t="s">
        <v>46</v>
      </c>
      <c r="I572" s="944"/>
      <c r="J572" s="959">
        <v>2527.59</v>
      </c>
      <c r="K572" s="945"/>
      <c r="L572" s="945"/>
      <c r="M572" s="945"/>
      <c r="N572" s="945"/>
      <c r="O572" s="945"/>
      <c r="P572" s="945"/>
      <c r="Q572" s="1244"/>
      <c r="R572" s="1244"/>
      <c r="S572" s="1244"/>
      <c r="T572" s="1244"/>
      <c r="U572" s="1244"/>
      <c r="V572" s="1244"/>
      <c r="W572" s="1244"/>
      <c r="X572" s="1244"/>
      <c r="Y572" s="1244"/>
      <c r="Z572" s="1244"/>
    </row>
    <row r="573" spans="1:26" ht="18.75">
      <c r="A573" s="1267"/>
      <c r="B573" s="1268"/>
      <c r="C573" s="1268"/>
      <c r="D573" s="961"/>
      <c r="E573" s="961"/>
      <c r="F573" s="961"/>
      <c r="G573" s="954"/>
      <c r="H573" s="730" t="s">
        <v>34</v>
      </c>
      <c r="I573" s="944"/>
      <c r="J573" s="959">
        <v>104</v>
      </c>
      <c r="K573" s="945"/>
      <c r="L573" s="945"/>
      <c r="M573" s="945"/>
      <c r="N573" s="945"/>
      <c r="O573" s="945"/>
      <c r="P573" s="945"/>
      <c r="Q573" s="1244"/>
      <c r="R573" s="1244"/>
      <c r="S573" s="1244"/>
      <c r="T573" s="1244"/>
      <c r="U573" s="1244"/>
      <c r="V573" s="1244"/>
      <c r="W573" s="1244"/>
      <c r="X573" s="1244"/>
      <c r="Y573" s="1244"/>
      <c r="Z573" s="1244"/>
    </row>
    <row r="574" spans="1:26" ht="18.75">
      <c r="A574" s="1267"/>
      <c r="B574" s="1268"/>
      <c r="C574" s="1268"/>
      <c r="D574" s="961" t="s">
        <v>242</v>
      </c>
      <c r="E574" s="961"/>
      <c r="F574" s="961"/>
      <c r="G574" s="954"/>
      <c r="H574" s="730" t="s">
        <v>46</v>
      </c>
      <c r="I574" s="944"/>
      <c r="J574" s="959">
        <v>877.53</v>
      </c>
      <c r="K574" s="945"/>
      <c r="L574" s="945"/>
      <c r="M574" s="945"/>
      <c r="N574" s="945"/>
      <c r="O574" s="945"/>
      <c r="P574" s="945"/>
      <c r="Q574" s="1244"/>
      <c r="R574" s="1244"/>
      <c r="S574" s="1244"/>
      <c r="T574" s="1244"/>
      <c r="U574" s="1244"/>
      <c r="V574" s="1244"/>
      <c r="W574" s="1244"/>
      <c r="X574" s="1244"/>
      <c r="Y574" s="1244"/>
      <c r="Z574" s="1244"/>
    </row>
    <row r="575" spans="1:26" ht="18.75">
      <c r="A575" s="1267"/>
      <c r="B575" s="1268"/>
      <c r="C575" s="1268"/>
      <c r="D575" s="1268"/>
      <c r="E575" s="961"/>
      <c r="F575" s="961"/>
      <c r="G575" s="954"/>
      <c r="H575" s="730" t="s">
        <v>34</v>
      </c>
      <c r="I575" s="944"/>
      <c r="J575" s="959">
        <v>44</v>
      </c>
      <c r="K575" s="945"/>
      <c r="L575" s="945"/>
      <c r="M575" s="945"/>
      <c r="N575" s="945"/>
      <c r="O575" s="945"/>
      <c r="P575" s="945"/>
      <c r="Q575" s="1244"/>
      <c r="R575" s="1244"/>
      <c r="S575" s="1244"/>
      <c r="T575" s="1244"/>
      <c r="U575" s="1244"/>
      <c r="V575" s="1244"/>
      <c r="W575" s="1244"/>
      <c r="X575" s="1244"/>
      <c r="Y575" s="1244"/>
      <c r="Z575" s="1244"/>
    </row>
    <row r="576" spans="1:26" ht="19.5">
      <c r="A576" s="1267"/>
      <c r="B576" s="1268"/>
      <c r="C576" s="1277" t="s">
        <v>243</v>
      </c>
      <c r="D576" s="1268"/>
      <c r="E576" s="1268"/>
      <c r="F576" s="961"/>
      <c r="G576" s="954"/>
      <c r="H576" s="733" t="s">
        <v>46</v>
      </c>
      <c r="I576" s="965">
        <f ca="1">IFERROR(__xludf.DUMMYFUNCTION("IMPORTRANGE(""https://docs.google.com/spreadsheets/d/1QqKyyYR6Q21VydFLVH3TRQUabQu_ym0Zz7PgGX0-kHA/edit?usp=sharing"",""แผน!HH23"")"),133053)</f>
        <v>133053</v>
      </c>
      <c r="J576" s="966">
        <f t="shared" ref="J576:J577" si="250">J578+J580+J582+J588+J590</f>
        <v>0</v>
      </c>
      <c r="K576" s="1109">
        <f t="shared" ref="K576:K577" ca="1" si="251">IF(I576&gt;0,J576*100/I576,0)</f>
        <v>0</v>
      </c>
      <c r="L576" s="945"/>
      <c r="M576" s="945"/>
      <c r="N576" s="945"/>
      <c r="O576" s="945"/>
      <c r="P576" s="945"/>
      <c r="Q576" s="1244"/>
      <c r="R576" s="1244"/>
      <c r="S576" s="1244"/>
      <c r="T576" s="1244"/>
      <c r="U576" s="1244"/>
      <c r="V576" s="1244"/>
      <c r="W576" s="1244"/>
      <c r="X576" s="1244"/>
      <c r="Y576" s="1244"/>
      <c r="Z576" s="1244"/>
    </row>
    <row r="577" spans="1:26" ht="19.5">
      <c r="A577" s="1267"/>
      <c r="B577" s="1268"/>
      <c r="C577" s="1268"/>
      <c r="D577" s="1268"/>
      <c r="E577" s="961"/>
      <c r="F577" s="961"/>
      <c r="G577" s="954"/>
      <c r="H577" s="733" t="s">
        <v>34</v>
      </c>
      <c r="I577" s="965">
        <f ca="1">IFERROR(__xludf.DUMMYFUNCTION("IMPORTRANGE(""https://docs.google.com/spreadsheets/d/1QqKyyYR6Q21VydFLVH3TRQUabQu_ym0Zz7PgGX0-kHA/edit?usp=sharing"",""แผน!HG23"")"),7593)</f>
        <v>7593</v>
      </c>
      <c r="J577" s="966">
        <f t="shared" si="250"/>
        <v>0</v>
      </c>
      <c r="K577" s="1109">
        <f t="shared" ca="1" si="251"/>
        <v>0</v>
      </c>
      <c r="L577" s="945"/>
      <c r="M577" s="945"/>
      <c r="N577" s="945"/>
      <c r="O577" s="945"/>
      <c r="P577" s="945"/>
      <c r="Q577" s="1244"/>
      <c r="R577" s="1244"/>
      <c r="S577" s="1244"/>
      <c r="T577" s="1244"/>
      <c r="U577" s="1244"/>
      <c r="V577" s="1244"/>
      <c r="W577" s="1244"/>
      <c r="X577" s="1244"/>
      <c r="Y577" s="1244"/>
      <c r="Z577" s="1244"/>
    </row>
    <row r="578" spans="1:26" ht="18.75">
      <c r="A578" s="1267"/>
      <c r="B578" s="1268"/>
      <c r="C578" s="1268"/>
      <c r="D578" s="961" t="s">
        <v>244</v>
      </c>
      <c r="E578" s="961"/>
      <c r="F578" s="961"/>
      <c r="G578" s="954"/>
      <c r="H578" s="730" t="s">
        <v>46</v>
      </c>
      <c r="I578" s="944"/>
      <c r="J578" s="959">
        <v>0</v>
      </c>
      <c r="K578" s="945"/>
      <c r="L578" s="945"/>
      <c r="M578" s="945"/>
      <c r="N578" s="945"/>
      <c r="O578" s="945"/>
      <c r="P578" s="945"/>
      <c r="Q578" s="1244"/>
      <c r="R578" s="1244"/>
      <c r="S578" s="1244"/>
      <c r="T578" s="1244"/>
      <c r="U578" s="1244"/>
      <c r="V578" s="1244"/>
      <c r="W578" s="1244"/>
      <c r="X578" s="1244"/>
      <c r="Y578" s="1244"/>
      <c r="Z578" s="1244"/>
    </row>
    <row r="579" spans="1:26" ht="18.75">
      <c r="A579" s="1267"/>
      <c r="B579" s="1268"/>
      <c r="C579" s="1268"/>
      <c r="D579" s="1268"/>
      <c r="E579" s="961"/>
      <c r="F579" s="961"/>
      <c r="G579" s="954"/>
      <c r="H579" s="730" t="s">
        <v>34</v>
      </c>
      <c r="I579" s="944"/>
      <c r="J579" s="959">
        <v>0</v>
      </c>
      <c r="K579" s="945"/>
      <c r="L579" s="945"/>
      <c r="M579" s="945"/>
      <c r="N579" s="945"/>
      <c r="O579" s="945"/>
      <c r="P579" s="945"/>
      <c r="Q579" s="1244"/>
      <c r="R579" s="1244"/>
      <c r="S579" s="1244"/>
      <c r="T579" s="1244"/>
      <c r="U579" s="1244"/>
      <c r="V579" s="1244"/>
      <c r="W579" s="1244"/>
      <c r="X579" s="1244"/>
      <c r="Y579" s="1244"/>
      <c r="Z579" s="1244"/>
    </row>
    <row r="580" spans="1:26" ht="18.75">
      <c r="A580" s="1267"/>
      <c r="B580" s="1268"/>
      <c r="C580" s="1268"/>
      <c r="D580" s="961" t="s">
        <v>245</v>
      </c>
      <c r="E580" s="961"/>
      <c r="F580" s="961"/>
      <c r="G580" s="954"/>
      <c r="H580" s="730" t="s">
        <v>46</v>
      </c>
      <c r="I580" s="944"/>
      <c r="J580" s="959">
        <v>0</v>
      </c>
      <c r="K580" s="945"/>
      <c r="L580" s="945"/>
      <c r="M580" s="945"/>
      <c r="N580" s="945"/>
      <c r="O580" s="945"/>
      <c r="P580" s="945"/>
      <c r="Q580" s="1244"/>
      <c r="R580" s="1244"/>
      <c r="S580" s="1244"/>
      <c r="T580" s="1244"/>
      <c r="U580" s="1244"/>
      <c r="V580" s="1244"/>
      <c r="W580" s="1244"/>
      <c r="X580" s="1244"/>
      <c r="Y580" s="1244"/>
      <c r="Z580" s="1244"/>
    </row>
    <row r="581" spans="1:26" ht="18.75">
      <c r="A581" s="1267"/>
      <c r="B581" s="1268"/>
      <c r="C581" s="1268"/>
      <c r="D581" s="1268"/>
      <c r="E581" s="961"/>
      <c r="F581" s="961"/>
      <c r="G581" s="954"/>
      <c r="H581" s="730" t="s">
        <v>34</v>
      </c>
      <c r="I581" s="944"/>
      <c r="J581" s="959">
        <v>0</v>
      </c>
      <c r="K581" s="945"/>
      <c r="L581" s="945"/>
      <c r="M581" s="945"/>
      <c r="N581" s="945"/>
      <c r="O581" s="945"/>
      <c r="P581" s="945"/>
      <c r="Q581" s="1244"/>
      <c r="R581" s="1244"/>
      <c r="S581" s="1244"/>
      <c r="T581" s="1244"/>
      <c r="U581" s="1244"/>
      <c r="V581" s="1244"/>
      <c r="W581" s="1244"/>
      <c r="X581" s="1244"/>
      <c r="Y581" s="1244"/>
      <c r="Z581" s="1244"/>
    </row>
    <row r="582" spans="1:26" ht="19.5">
      <c r="A582" s="1267"/>
      <c r="B582" s="1268"/>
      <c r="C582" s="1268"/>
      <c r="D582" s="961" t="s">
        <v>246</v>
      </c>
      <c r="E582" s="961"/>
      <c r="F582" s="961"/>
      <c r="G582" s="954"/>
      <c r="H582" s="730" t="s">
        <v>46</v>
      </c>
      <c r="I582" s="944"/>
      <c r="J582" s="966">
        <f t="shared" ref="J582:J583" si="252">J584+J586</f>
        <v>0</v>
      </c>
      <c r="K582" s="1109"/>
      <c r="L582" s="945"/>
      <c r="M582" s="945"/>
      <c r="N582" s="945"/>
      <c r="O582" s="945"/>
      <c r="P582" s="945"/>
      <c r="Q582" s="1244"/>
      <c r="R582" s="1244"/>
      <c r="S582" s="1244"/>
      <c r="T582" s="1244"/>
      <c r="U582" s="1244"/>
      <c r="V582" s="1244"/>
      <c r="W582" s="1244"/>
      <c r="X582" s="1244"/>
      <c r="Y582" s="1244"/>
      <c r="Z582" s="1244"/>
    </row>
    <row r="583" spans="1:26" ht="19.5">
      <c r="A583" s="1267"/>
      <c r="B583" s="1268"/>
      <c r="C583" s="1268"/>
      <c r="D583" s="1268"/>
      <c r="E583" s="961"/>
      <c r="F583" s="961"/>
      <c r="G583" s="954"/>
      <c r="H583" s="730" t="s">
        <v>34</v>
      </c>
      <c r="I583" s="944"/>
      <c r="J583" s="966">
        <f t="shared" si="252"/>
        <v>0</v>
      </c>
      <c r="K583" s="1109"/>
      <c r="L583" s="945"/>
      <c r="M583" s="945"/>
      <c r="N583" s="945"/>
      <c r="O583" s="945"/>
      <c r="P583" s="945"/>
      <c r="Q583" s="1244"/>
      <c r="R583" s="1244"/>
      <c r="S583" s="1244"/>
      <c r="T583" s="1244"/>
      <c r="U583" s="1244"/>
      <c r="V583" s="1244"/>
      <c r="W583" s="1244"/>
      <c r="X583" s="1244"/>
      <c r="Y583" s="1244"/>
      <c r="Z583" s="1244"/>
    </row>
    <row r="584" spans="1:26" ht="18.75">
      <c r="A584" s="1267"/>
      <c r="B584" s="1268"/>
      <c r="C584" s="1268"/>
      <c r="D584" s="1268"/>
      <c r="E584" s="961" t="s">
        <v>247</v>
      </c>
      <c r="F584" s="961"/>
      <c r="G584" s="954"/>
      <c r="H584" s="730" t="s">
        <v>46</v>
      </c>
      <c r="I584" s="944"/>
      <c r="J584" s="959">
        <v>0</v>
      </c>
      <c r="K584" s="945"/>
      <c r="L584" s="945"/>
      <c r="M584" s="945"/>
      <c r="N584" s="945"/>
      <c r="O584" s="945"/>
      <c r="P584" s="945"/>
      <c r="Q584" s="1244"/>
      <c r="R584" s="1244"/>
      <c r="S584" s="1244"/>
      <c r="T584" s="1244"/>
      <c r="U584" s="1244"/>
      <c r="V584" s="1244"/>
      <c r="W584" s="1244"/>
      <c r="X584" s="1244"/>
      <c r="Y584" s="1244"/>
      <c r="Z584" s="1244"/>
    </row>
    <row r="585" spans="1:26" ht="18.75">
      <c r="A585" s="1267"/>
      <c r="B585" s="1268"/>
      <c r="C585" s="1268"/>
      <c r="D585" s="1268"/>
      <c r="E585" s="961"/>
      <c r="F585" s="961"/>
      <c r="G585" s="954"/>
      <c r="H585" s="730" t="s">
        <v>34</v>
      </c>
      <c r="I585" s="944"/>
      <c r="J585" s="959">
        <v>0</v>
      </c>
      <c r="K585" s="945"/>
      <c r="L585" s="945"/>
      <c r="M585" s="945"/>
      <c r="N585" s="945"/>
      <c r="O585" s="945"/>
      <c r="P585" s="945"/>
      <c r="Q585" s="1244"/>
      <c r="R585" s="1244"/>
      <c r="S585" s="1244"/>
      <c r="T585" s="1244"/>
      <c r="U585" s="1244"/>
      <c r="V585" s="1244"/>
      <c r="W585" s="1244"/>
      <c r="X585" s="1244"/>
      <c r="Y585" s="1244"/>
      <c r="Z585" s="1244"/>
    </row>
    <row r="586" spans="1:26" ht="18.75">
      <c r="A586" s="1267"/>
      <c r="B586" s="1268"/>
      <c r="C586" s="1268"/>
      <c r="D586" s="1268"/>
      <c r="E586" s="961" t="s">
        <v>248</v>
      </c>
      <c r="F586" s="961"/>
      <c r="G586" s="954"/>
      <c r="H586" s="730" t="s">
        <v>46</v>
      </c>
      <c r="I586" s="944"/>
      <c r="J586" s="959">
        <v>0</v>
      </c>
      <c r="K586" s="945"/>
      <c r="L586" s="945"/>
      <c r="M586" s="945"/>
      <c r="N586" s="945"/>
      <c r="O586" s="945"/>
      <c r="P586" s="945"/>
      <c r="Q586" s="1244"/>
      <c r="R586" s="1244"/>
      <c r="S586" s="1244"/>
      <c r="T586" s="1244"/>
      <c r="U586" s="1244"/>
      <c r="V586" s="1244"/>
      <c r="W586" s="1244"/>
      <c r="X586" s="1244"/>
      <c r="Y586" s="1244"/>
      <c r="Z586" s="1244"/>
    </row>
    <row r="587" spans="1:26" ht="18.75">
      <c r="A587" s="1267"/>
      <c r="B587" s="1268"/>
      <c r="C587" s="1268"/>
      <c r="D587" s="1268"/>
      <c r="E587" s="1268"/>
      <c r="F587" s="961"/>
      <c r="G587" s="954"/>
      <c r="H587" s="730" t="s">
        <v>34</v>
      </c>
      <c r="I587" s="944"/>
      <c r="J587" s="959">
        <v>0</v>
      </c>
      <c r="K587" s="945"/>
      <c r="L587" s="945"/>
      <c r="M587" s="945"/>
      <c r="N587" s="945"/>
      <c r="O587" s="945"/>
      <c r="P587" s="945"/>
      <c r="Q587" s="1244"/>
      <c r="R587" s="1244"/>
      <c r="S587" s="1244"/>
      <c r="T587" s="1244"/>
      <c r="U587" s="1244"/>
      <c r="V587" s="1244"/>
      <c r="W587" s="1244"/>
      <c r="X587" s="1244"/>
      <c r="Y587" s="1244"/>
      <c r="Z587" s="1244"/>
    </row>
    <row r="588" spans="1:26" ht="18.75">
      <c r="A588" s="1267"/>
      <c r="B588" s="1268"/>
      <c r="C588" s="1268"/>
      <c r="D588" s="961" t="s">
        <v>249</v>
      </c>
      <c r="E588" s="961"/>
      <c r="F588" s="961"/>
      <c r="G588" s="954"/>
      <c r="H588" s="730" t="s">
        <v>46</v>
      </c>
      <c r="I588" s="944"/>
      <c r="J588" s="959">
        <v>0</v>
      </c>
      <c r="K588" s="945"/>
      <c r="L588" s="945"/>
      <c r="M588" s="945"/>
      <c r="N588" s="945"/>
      <c r="O588" s="945"/>
      <c r="P588" s="945"/>
      <c r="Q588" s="1244"/>
      <c r="R588" s="1244"/>
      <c r="S588" s="1244"/>
      <c r="T588" s="1244"/>
      <c r="U588" s="1244"/>
      <c r="V588" s="1244"/>
      <c r="W588" s="1244"/>
      <c r="X588" s="1244"/>
      <c r="Y588" s="1244"/>
      <c r="Z588" s="1244"/>
    </row>
    <row r="589" spans="1:26" ht="18.75">
      <c r="A589" s="1267"/>
      <c r="B589" s="1268"/>
      <c r="C589" s="1268"/>
      <c r="D589" s="1268"/>
      <c r="E589" s="1268"/>
      <c r="F589" s="961"/>
      <c r="G589" s="954"/>
      <c r="H589" s="730" t="s">
        <v>34</v>
      </c>
      <c r="I589" s="944"/>
      <c r="J589" s="959">
        <v>0</v>
      </c>
      <c r="K589" s="945"/>
      <c r="L589" s="945"/>
      <c r="M589" s="945"/>
      <c r="N589" s="945"/>
      <c r="O589" s="945"/>
      <c r="P589" s="945"/>
      <c r="Q589" s="1244"/>
      <c r="R589" s="1244"/>
      <c r="S589" s="1244"/>
      <c r="T589" s="1244"/>
      <c r="U589" s="1244"/>
      <c r="V589" s="1244"/>
      <c r="W589" s="1244"/>
      <c r="X589" s="1244"/>
      <c r="Y589" s="1244"/>
      <c r="Z589" s="1244"/>
    </row>
    <row r="590" spans="1:26" ht="18.75">
      <c r="A590" s="1267"/>
      <c r="B590" s="1268"/>
      <c r="C590" s="1268"/>
      <c r="D590" s="961" t="s">
        <v>250</v>
      </c>
      <c r="E590" s="961"/>
      <c r="F590" s="961"/>
      <c r="G590" s="954"/>
      <c r="H590" s="730" t="s">
        <v>46</v>
      </c>
      <c r="I590" s="944"/>
      <c r="J590" s="959">
        <v>0</v>
      </c>
      <c r="K590" s="945"/>
      <c r="L590" s="945"/>
      <c r="M590" s="945"/>
      <c r="N590" s="945"/>
      <c r="O590" s="945"/>
      <c r="P590" s="945"/>
      <c r="Q590" s="1244"/>
      <c r="R590" s="1244"/>
      <c r="S590" s="1244"/>
      <c r="T590" s="1244"/>
      <c r="U590" s="1244"/>
      <c r="V590" s="1244"/>
      <c r="W590" s="1244"/>
      <c r="X590" s="1244"/>
      <c r="Y590" s="1244"/>
      <c r="Z590" s="1244"/>
    </row>
    <row r="591" spans="1:26" ht="18.75">
      <c r="A591" s="1332"/>
      <c r="B591" s="1333"/>
      <c r="C591" s="1333"/>
      <c r="D591" s="1333"/>
      <c r="E591" s="1244"/>
      <c r="F591" s="1244"/>
      <c r="G591" s="1334"/>
      <c r="H591" s="665" t="s">
        <v>34</v>
      </c>
      <c r="I591" s="1335"/>
      <c r="J591" s="1336">
        <v>0</v>
      </c>
      <c r="K591" s="1337"/>
      <c r="L591" s="1337"/>
      <c r="M591" s="1337"/>
      <c r="N591" s="1337"/>
      <c r="O591" s="1337"/>
      <c r="P591" s="1337"/>
      <c r="Q591" s="1244"/>
      <c r="R591" s="1244"/>
      <c r="S591" s="1244"/>
      <c r="T591" s="1244"/>
      <c r="U591" s="1244"/>
      <c r="V591" s="1244"/>
      <c r="W591" s="1244"/>
      <c r="X591" s="1244"/>
      <c r="Y591" s="1244"/>
      <c r="Z591" s="1244"/>
    </row>
    <row r="592" spans="1:26" ht="19.5">
      <c r="A592" s="1329"/>
      <c r="B592" s="1330" t="s">
        <v>251</v>
      </c>
      <c r="C592" s="1331"/>
      <c r="D592" s="1331"/>
      <c r="E592" s="1315"/>
      <c r="F592" s="1315"/>
      <c r="G592" s="1316"/>
      <c r="H592" s="661" t="s">
        <v>46</v>
      </c>
      <c r="I592" s="1338">
        <f t="shared" ref="I592:J592" ca="1" si="253">I593</f>
        <v>7886.87</v>
      </c>
      <c r="J592" s="1317">
        <f t="shared" si="253"/>
        <v>222</v>
      </c>
      <c r="K592" s="1318">
        <f t="shared" ref="K592:K594" ca="1" si="254">IF(I592&gt;0,J592*100/I592,0)</f>
        <v>2.8148048592153794</v>
      </c>
      <c r="L592" s="1319"/>
      <c r="M592" s="1319"/>
      <c r="N592" s="1319"/>
      <c r="O592" s="1319"/>
      <c r="P592" s="1319"/>
      <c r="Q592" s="1244"/>
      <c r="R592" s="1244"/>
      <c r="S592" s="1244"/>
      <c r="T592" s="1244"/>
      <c r="U592" s="1244"/>
      <c r="V592" s="1244"/>
      <c r="W592" s="1244"/>
      <c r="X592" s="1244"/>
      <c r="Y592" s="1244"/>
      <c r="Z592" s="1244"/>
    </row>
    <row r="593" spans="1:26" ht="19.5">
      <c r="A593" s="1267"/>
      <c r="B593" s="1268"/>
      <c r="C593" s="1277" t="s">
        <v>252</v>
      </c>
      <c r="D593" s="1268"/>
      <c r="E593" s="1268"/>
      <c r="F593" s="961"/>
      <c r="G593" s="954"/>
      <c r="H593" s="733" t="s">
        <v>46</v>
      </c>
      <c r="I593" s="1339">
        <f ca="1">IFERROR(__xludf.DUMMYFUNCTION("IMPORTRANGE(""https://docs.google.com/spreadsheets/d/1QqKyyYR6Q21VydFLVH3TRQUabQu_ym0Zz7PgGX0-kHA/edit?usp=sharing"",""แผน!HJ23"")"),7886.87)</f>
        <v>7886.87</v>
      </c>
      <c r="J593" s="965">
        <f t="shared" ref="J593:J594" si="255">J595+J603+J609</f>
        <v>222</v>
      </c>
      <c r="K593" s="1109">
        <f t="shared" ca="1" si="254"/>
        <v>2.8148048592153794</v>
      </c>
      <c r="L593" s="945"/>
      <c r="M593" s="945"/>
      <c r="N593" s="945"/>
      <c r="O593" s="945"/>
      <c r="P593" s="945"/>
      <c r="Q593" s="1244"/>
      <c r="R593" s="1244"/>
      <c r="S593" s="1244"/>
      <c r="T593" s="1244"/>
      <c r="U593" s="1244"/>
      <c r="V593" s="1244"/>
      <c r="W593" s="1244"/>
      <c r="X593" s="1244"/>
      <c r="Y593" s="1244"/>
      <c r="Z593" s="1244"/>
    </row>
    <row r="594" spans="1:26" ht="19.5">
      <c r="A594" s="1267"/>
      <c r="B594" s="1268"/>
      <c r="C594" s="1268"/>
      <c r="D594" s="1268"/>
      <c r="E594" s="961"/>
      <c r="F594" s="961"/>
      <c r="G594" s="954"/>
      <c r="H594" s="733" t="s">
        <v>34</v>
      </c>
      <c r="I594" s="965">
        <f ca="1">IFERROR(__xludf.DUMMYFUNCTION("IMPORTRANGE(""https://docs.google.com/spreadsheets/d/1QqKyyYR6Q21VydFLVH3TRQUabQu_ym0Zz7PgGX0-kHA/edit?usp=sharing"",""แผน!HI23"")"),382)</f>
        <v>382</v>
      </c>
      <c r="J594" s="965">
        <f t="shared" si="255"/>
        <v>19</v>
      </c>
      <c r="K594" s="1109">
        <f t="shared" ca="1" si="254"/>
        <v>4.9738219895287958</v>
      </c>
      <c r="L594" s="945"/>
      <c r="M594" s="945"/>
      <c r="N594" s="945"/>
      <c r="O594" s="945"/>
      <c r="P594" s="945"/>
      <c r="Q594" s="1244"/>
      <c r="R594" s="1244"/>
      <c r="S594" s="1244"/>
      <c r="T594" s="1244"/>
      <c r="U594" s="1244"/>
      <c r="V594" s="1244"/>
      <c r="W594" s="1244"/>
      <c r="X594" s="1244"/>
      <c r="Y594" s="1244"/>
      <c r="Z594" s="1244"/>
    </row>
    <row r="595" spans="1:26" ht="18.75">
      <c r="A595" s="1267"/>
      <c r="B595" s="1268"/>
      <c r="C595" s="1268" t="s">
        <v>253</v>
      </c>
      <c r="D595" s="1268"/>
      <c r="E595" s="1268"/>
      <c r="F595" s="961"/>
      <c r="G595" s="954"/>
      <c r="H595" s="730" t="s">
        <v>46</v>
      </c>
      <c r="I595" s="944"/>
      <c r="J595" s="944">
        <f t="shared" ref="J595:J596" si="256">J597+J599</f>
        <v>154</v>
      </c>
      <c r="K595" s="945"/>
      <c r="L595" s="945"/>
      <c r="M595" s="945"/>
      <c r="N595" s="945"/>
      <c r="O595" s="945"/>
      <c r="P595" s="945"/>
      <c r="Q595" s="1244"/>
      <c r="R595" s="1244"/>
      <c r="S595" s="1244"/>
      <c r="T595" s="1244"/>
      <c r="U595" s="1244"/>
      <c r="V595" s="1244"/>
      <c r="W595" s="1244"/>
      <c r="X595" s="1244"/>
      <c r="Y595" s="1244"/>
      <c r="Z595" s="1244"/>
    </row>
    <row r="596" spans="1:26" ht="18.75">
      <c r="A596" s="1267"/>
      <c r="B596" s="1268"/>
      <c r="C596" s="1268"/>
      <c r="D596" s="1268"/>
      <c r="E596" s="961"/>
      <c r="F596" s="961"/>
      <c r="G596" s="954"/>
      <c r="H596" s="730" t="s">
        <v>34</v>
      </c>
      <c r="I596" s="944"/>
      <c r="J596" s="944">
        <f t="shared" si="256"/>
        <v>16</v>
      </c>
      <c r="K596" s="945"/>
      <c r="L596" s="945"/>
      <c r="M596" s="945"/>
      <c r="N596" s="945"/>
      <c r="O596" s="945"/>
      <c r="P596" s="945"/>
      <c r="Q596" s="1244"/>
      <c r="R596" s="1244"/>
      <c r="S596" s="1244"/>
      <c r="T596" s="1244"/>
      <c r="U596" s="1244"/>
      <c r="V596" s="1244"/>
      <c r="W596" s="1244"/>
      <c r="X596" s="1244"/>
      <c r="Y596" s="1244"/>
      <c r="Z596" s="1244"/>
    </row>
    <row r="597" spans="1:26" ht="18.75">
      <c r="A597" s="1267"/>
      <c r="B597" s="1268"/>
      <c r="C597" s="1268"/>
      <c r="D597" s="1017" t="s">
        <v>254</v>
      </c>
      <c r="E597" s="961"/>
      <c r="F597" s="961"/>
      <c r="G597" s="954"/>
      <c r="H597" s="730" t="s">
        <v>46</v>
      </c>
      <c r="I597" s="944"/>
      <c r="J597" s="944"/>
      <c r="K597" s="945"/>
      <c r="L597" s="945"/>
      <c r="M597" s="945"/>
      <c r="N597" s="945"/>
      <c r="O597" s="945"/>
      <c r="P597" s="945"/>
      <c r="Q597" s="1244"/>
      <c r="R597" s="1244"/>
      <c r="S597" s="1244"/>
      <c r="T597" s="1244"/>
      <c r="U597" s="1244"/>
      <c r="V597" s="1244"/>
      <c r="W597" s="1244"/>
      <c r="X597" s="1244"/>
      <c r="Y597" s="1244"/>
      <c r="Z597" s="1244"/>
    </row>
    <row r="598" spans="1:26" ht="18.75">
      <c r="A598" s="1267"/>
      <c r="B598" s="1268"/>
      <c r="C598" s="1268"/>
      <c r="D598" s="1268"/>
      <c r="E598" s="961"/>
      <c r="F598" s="961"/>
      <c r="G598" s="954"/>
      <c r="H598" s="730" t="s">
        <v>34</v>
      </c>
      <c r="I598" s="830"/>
      <c r="J598" s="959">
        <v>16</v>
      </c>
      <c r="K598" s="945"/>
      <c r="L598" s="945"/>
      <c r="M598" s="945"/>
      <c r="N598" s="945"/>
      <c r="O598" s="945"/>
      <c r="P598" s="945"/>
      <c r="Q598" s="1244"/>
      <c r="R598" s="1244"/>
      <c r="S598" s="1244"/>
      <c r="T598" s="1244"/>
      <c r="U598" s="1244"/>
      <c r="V598" s="1244"/>
      <c r="W598" s="1244"/>
      <c r="X598" s="1244"/>
      <c r="Y598" s="1244"/>
      <c r="Z598" s="1244"/>
    </row>
    <row r="599" spans="1:26" ht="18.75">
      <c r="A599" s="1267"/>
      <c r="B599" s="1268"/>
      <c r="C599" s="1268"/>
      <c r="D599" s="1017" t="s">
        <v>255</v>
      </c>
      <c r="E599" s="961"/>
      <c r="F599" s="961"/>
      <c r="G599" s="954"/>
      <c r="H599" s="730" t="s">
        <v>46</v>
      </c>
      <c r="I599" s="830"/>
      <c r="J599" s="1481">
        <v>154</v>
      </c>
      <c r="K599" s="945"/>
      <c r="L599" s="945"/>
      <c r="M599" s="945"/>
      <c r="N599" s="945"/>
      <c r="O599" s="945"/>
      <c r="P599" s="945"/>
      <c r="Q599" s="1244"/>
      <c r="R599" s="1244"/>
      <c r="S599" s="1244"/>
      <c r="T599" s="1244"/>
      <c r="U599" s="1244"/>
      <c r="V599" s="1244"/>
      <c r="W599" s="1244"/>
      <c r="X599" s="1244"/>
      <c r="Y599" s="1244"/>
      <c r="Z599" s="1244"/>
    </row>
    <row r="600" spans="1:26" ht="18.75">
      <c r="A600" s="1267"/>
      <c r="B600" s="1268"/>
      <c r="C600" s="1268"/>
      <c r="D600" s="1268"/>
      <c r="E600" s="961"/>
      <c r="F600" s="961"/>
      <c r="G600" s="954"/>
      <c r="H600" s="730" t="s">
        <v>34</v>
      </c>
      <c r="I600" s="830"/>
      <c r="J600" s="959">
        <v>0</v>
      </c>
      <c r="K600" s="945"/>
      <c r="L600" s="945"/>
      <c r="M600" s="945"/>
      <c r="N600" s="945"/>
      <c r="O600" s="945"/>
      <c r="P600" s="945"/>
      <c r="Q600" s="1244"/>
      <c r="R600" s="1244"/>
      <c r="S600" s="1244"/>
      <c r="T600" s="1244"/>
      <c r="U600" s="1244"/>
      <c r="V600" s="1244"/>
      <c r="W600" s="1244"/>
      <c r="X600" s="1244"/>
      <c r="Y600" s="1244"/>
      <c r="Z600" s="1244"/>
    </row>
    <row r="601" spans="1:26" ht="18.75">
      <c r="A601" s="1267"/>
      <c r="B601" s="1268"/>
      <c r="C601" s="1268"/>
      <c r="D601" s="1017" t="s">
        <v>256</v>
      </c>
      <c r="E601" s="961"/>
      <c r="F601" s="961"/>
      <c r="G601" s="954"/>
      <c r="H601" s="730" t="s">
        <v>46</v>
      </c>
      <c r="I601" s="830"/>
      <c r="J601" s="959">
        <v>0</v>
      </c>
      <c r="K601" s="945"/>
      <c r="L601" s="945"/>
      <c r="M601" s="945"/>
      <c r="N601" s="945"/>
      <c r="O601" s="945"/>
      <c r="P601" s="945"/>
      <c r="Q601" s="1244"/>
      <c r="R601" s="1244"/>
      <c r="S601" s="1244"/>
      <c r="T601" s="1244"/>
      <c r="U601" s="1244"/>
      <c r="V601" s="1244"/>
      <c r="W601" s="1244"/>
      <c r="X601" s="1244"/>
      <c r="Y601" s="1244"/>
      <c r="Z601" s="1244"/>
    </row>
    <row r="602" spans="1:26" ht="18.75">
      <c r="A602" s="1267"/>
      <c r="B602" s="1268"/>
      <c r="C602" s="1268"/>
      <c r="D602" s="1268"/>
      <c r="E602" s="961"/>
      <c r="F602" s="961"/>
      <c r="G602" s="954"/>
      <c r="H602" s="730" t="s">
        <v>34</v>
      </c>
      <c r="I602" s="830"/>
      <c r="J602" s="959">
        <v>0</v>
      </c>
      <c r="K602" s="945"/>
      <c r="L602" s="945"/>
      <c r="M602" s="945"/>
      <c r="N602" s="945"/>
      <c r="O602" s="945"/>
      <c r="P602" s="945"/>
      <c r="Q602" s="1244"/>
      <c r="R602" s="1244"/>
      <c r="S602" s="1244"/>
      <c r="T602" s="1244"/>
      <c r="U602" s="1244"/>
      <c r="V602" s="1244"/>
      <c r="W602" s="1244"/>
      <c r="X602" s="1244"/>
      <c r="Y602" s="1244"/>
      <c r="Z602" s="1244"/>
    </row>
    <row r="603" spans="1:26" ht="18.75">
      <c r="A603" s="1267"/>
      <c r="B603" s="1268"/>
      <c r="C603" s="1340" t="s">
        <v>257</v>
      </c>
      <c r="D603" s="1268"/>
      <c r="E603" s="1268"/>
      <c r="F603" s="961"/>
      <c r="G603" s="954"/>
      <c r="H603" s="730" t="s">
        <v>46</v>
      </c>
      <c r="I603" s="830"/>
      <c r="J603" s="830">
        <f t="shared" ref="J603:J604" si="257">J605+J607</f>
        <v>68</v>
      </c>
      <c r="K603" s="945"/>
      <c r="L603" s="945"/>
      <c r="M603" s="945"/>
      <c r="N603" s="945"/>
      <c r="O603" s="945"/>
      <c r="P603" s="945"/>
      <c r="Q603" s="1244"/>
      <c r="R603" s="1244"/>
      <c r="S603" s="1244"/>
      <c r="T603" s="1244"/>
      <c r="U603" s="1244"/>
      <c r="V603" s="1244"/>
      <c r="W603" s="1244"/>
      <c r="X603" s="1244"/>
      <c r="Y603" s="1244"/>
      <c r="Z603" s="1244"/>
    </row>
    <row r="604" spans="1:26" ht="18.75">
      <c r="A604" s="1267"/>
      <c r="B604" s="1268"/>
      <c r="C604" s="1268"/>
      <c r="D604" s="1268"/>
      <c r="E604" s="961"/>
      <c r="F604" s="961"/>
      <c r="G604" s="954"/>
      <c r="H604" s="730" t="s">
        <v>34</v>
      </c>
      <c r="I604" s="830"/>
      <c r="J604" s="830">
        <f t="shared" si="257"/>
        <v>3</v>
      </c>
      <c r="K604" s="945"/>
      <c r="L604" s="945"/>
      <c r="M604" s="945"/>
      <c r="N604" s="945"/>
      <c r="O604" s="945"/>
      <c r="P604" s="945"/>
      <c r="Q604" s="1244"/>
      <c r="R604" s="1244"/>
      <c r="S604" s="1244"/>
      <c r="T604" s="1244"/>
      <c r="U604" s="1244"/>
      <c r="V604" s="1244"/>
      <c r="W604" s="1244"/>
      <c r="X604" s="1244"/>
      <c r="Y604" s="1244"/>
      <c r="Z604" s="1244"/>
    </row>
    <row r="605" spans="1:26" ht="18.75">
      <c r="A605" s="1267"/>
      <c r="B605" s="1268"/>
      <c r="C605" s="1268"/>
      <c r="D605" s="1340" t="s">
        <v>258</v>
      </c>
      <c r="E605" s="961"/>
      <c r="F605" s="961"/>
      <c r="G605" s="954"/>
      <c r="H605" s="730" t="s">
        <v>46</v>
      </c>
      <c r="I605" s="830"/>
      <c r="J605" s="959">
        <v>68</v>
      </c>
      <c r="K605" s="945"/>
      <c r="L605" s="945"/>
      <c r="M605" s="945"/>
      <c r="N605" s="945"/>
      <c r="O605" s="945"/>
      <c r="P605" s="945"/>
      <c r="Q605" s="1244"/>
      <c r="R605" s="1244"/>
      <c r="S605" s="1244"/>
      <c r="T605" s="1244"/>
      <c r="U605" s="1244"/>
      <c r="V605" s="1244"/>
      <c r="W605" s="1244"/>
      <c r="X605" s="1244"/>
      <c r="Y605" s="1244"/>
      <c r="Z605" s="1244"/>
    </row>
    <row r="606" spans="1:26" ht="18.75">
      <c r="A606" s="1267"/>
      <c r="B606" s="1268"/>
      <c r="C606" s="1268"/>
      <c r="D606" s="1268"/>
      <c r="E606" s="1268"/>
      <c r="F606" s="961"/>
      <c r="G606" s="954"/>
      <c r="H606" s="730" t="s">
        <v>34</v>
      </c>
      <c r="I606" s="830"/>
      <c r="J606" s="959">
        <v>3</v>
      </c>
      <c r="K606" s="945"/>
      <c r="L606" s="945"/>
      <c r="M606" s="945"/>
      <c r="N606" s="945"/>
      <c r="O606" s="945"/>
      <c r="P606" s="945"/>
      <c r="Q606" s="1244"/>
      <c r="R606" s="1244"/>
      <c r="S606" s="1244"/>
      <c r="T606" s="1244"/>
      <c r="U606" s="1244"/>
      <c r="V606" s="1244"/>
      <c r="W606" s="1244"/>
      <c r="X606" s="1244"/>
      <c r="Y606" s="1244"/>
      <c r="Z606" s="1244"/>
    </row>
    <row r="607" spans="1:26" ht="18.75">
      <c r="A607" s="1267"/>
      <c r="B607" s="1268"/>
      <c r="C607" s="1268"/>
      <c r="D607" s="1340" t="s">
        <v>259</v>
      </c>
      <c r="E607" s="1268"/>
      <c r="F607" s="961"/>
      <c r="G607" s="954"/>
      <c r="H607" s="730" t="s">
        <v>46</v>
      </c>
      <c r="I607" s="830"/>
      <c r="J607" s="959">
        <v>0</v>
      </c>
      <c r="K607" s="945"/>
      <c r="L607" s="945"/>
      <c r="M607" s="945"/>
      <c r="N607" s="945"/>
      <c r="O607" s="945"/>
      <c r="P607" s="945"/>
      <c r="Q607" s="1244"/>
      <c r="R607" s="1244"/>
      <c r="S607" s="1244"/>
      <c r="T607" s="1244"/>
      <c r="U607" s="1244"/>
      <c r="V607" s="1244"/>
      <c r="W607" s="1244"/>
      <c r="X607" s="1244"/>
      <c r="Y607" s="1244"/>
      <c r="Z607" s="1244"/>
    </row>
    <row r="608" spans="1:26" ht="18.75">
      <c r="A608" s="1267"/>
      <c r="B608" s="1268"/>
      <c r="C608" s="1268"/>
      <c r="D608" s="1268"/>
      <c r="E608" s="961"/>
      <c r="F608" s="961"/>
      <c r="G608" s="954"/>
      <c r="H608" s="730" t="s">
        <v>34</v>
      </c>
      <c r="I608" s="830"/>
      <c r="J608" s="959">
        <v>0</v>
      </c>
      <c r="K608" s="945"/>
      <c r="L608" s="945"/>
      <c r="M608" s="945"/>
      <c r="N608" s="945"/>
      <c r="O608" s="945"/>
      <c r="P608" s="945"/>
      <c r="Q608" s="1244"/>
      <c r="R608" s="1244"/>
      <c r="S608" s="1244"/>
      <c r="T608" s="1244"/>
      <c r="U608" s="1244"/>
      <c r="V608" s="1244"/>
      <c r="W608" s="1244"/>
      <c r="X608" s="1244"/>
      <c r="Y608" s="1244"/>
      <c r="Z608" s="1244"/>
    </row>
    <row r="609" spans="1:26" ht="18.75">
      <c r="A609" s="1267"/>
      <c r="B609" s="1268"/>
      <c r="C609" s="1268" t="s">
        <v>260</v>
      </c>
      <c r="D609" s="1268"/>
      <c r="E609" s="1268"/>
      <c r="F609" s="961"/>
      <c r="G609" s="954"/>
      <c r="H609" s="730" t="s">
        <v>46</v>
      </c>
      <c r="I609" s="830"/>
      <c r="J609" s="959">
        <v>0</v>
      </c>
      <c r="K609" s="945"/>
      <c r="L609" s="945"/>
      <c r="M609" s="945"/>
      <c r="N609" s="945"/>
      <c r="O609" s="945"/>
      <c r="P609" s="945"/>
      <c r="Q609" s="1244"/>
      <c r="R609" s="1244"/>
      <c r="S609" s="1244"/>
      <c r="T609" s="1244"/>
      <c r="U609" s="1244"/>
      <c r="V609" s="1244"/>
      <c r="W609" s="1244"/>
      <c r="X609" s="1244"/>
      <c r="Y609" s="1244"/>
      <c r="Z609" s="1244"/>
    </row>
    <row r="610" spans="1:26" ht="18.75">
      <c r="A610" s="1267"/>
      <c r="B610" s="1268"/>
      <c r="C610" s="1268"/>
      <c r="D610" s="1268"/>
      <c r="E610" s="961"/>
      <c r="F610" s="961"/>
      <c r="G610" s="954"/>
      <c r="H610" s="730" t="s">
        <v>34</v>
      </c>
      <c r="I610" s="830"/>
      <c r="J610" s="959">
        <v>0</v>
      </c>
      <c r="K610" s="945"/>
      <c r="L610" s="945"/>
      <c r="M610" s="945"/>
      <c r="N610" s="945"/>
      <c r="O610" s="945"/>
      <c r="P610" s="945"/>
      <c r="Q610" s="1244"/>
      <c r="R610" s="1244"/>
      <c r="S610" s="1244"/>
      <c r="T610" s="1244"/>
      <c r="U610" s="1244"/>
      <c r="V610" s="1244"/>
      <c r="W610" s="1244"/>
      <c r="X610" s="1244"/>
      <c r="Y610" s="1244"/>
      <c r="Z610" s="1244"/>
    </row>
    <row r="611" spans="1:26" ht="19.5">
      <c r="A611" s="1329"/>
      <c r="B611" s="1341" t="s">
        <v>261</v>
      </c>
      <c r="C611" s="1331"/>
      <c r="D611" s="1331"/>
      <c r="E611" s="1315"/>
      <c r="F611" s="1315"/>
      <c r="G611" s="1316"/>
      <c r="H611" s="673" t="s">
        <v>46</v>
      </c>
      <c r="I611" s="1317">
        <v>0</v>
      </c>
      <c r="J611" s="1317">
        <f>J614+J616</f>
        <v>0</v>
      </c>
      <c r="K611" s="1318">
        <f t="shared" ref="K611:K613" si="258">IF(I611&gt;0,J611*100/I611,0)</f>
        <v>0</v>
      </c>
      <c r="L611" s="1319"/>
      <c r="M611" s="1319"/>
      <c r="N611" s="1319"/>
      <c r="O611" s="1319"/>
      <c r="P611" s="1319"/>
      <c r="Q611" s="1244"/>
      <c r="R611" s="1244"/>
      <c r="S611" s="1244"/>
      <c r="T611" s="1244"/>
      <c r="U611" s="1244"/>
      <c r="V611" s="1244"/>
      <c r="W611" s="1244"/>
      <c r="X611" s="1244"/>
      <c r="Y611" s="1244"/>
      <c r="Z611" s="1244"/>
    </row>
    <row r="612" spans="1:26" ht="19.5" hidden="1">
      <c r="A612" s="1342"/>
      <c r="B612" s="1343"/>
      <c r="C612" s="1344" t="s">
        <v>262</v>
      </c>
      <c r="D612" s="1343"/>
      <c r="E612" s="1343"/>
      <c r="F612" s="1345"/>
      <c r="G612" s="1346"/>
      <c r="H612" s="680" t="s">
        <v>46</v>
      </c>
      <c r="I612" s="1347">
        <v>0</v>
      </c>
      <c r="J612" s="1347">
        <f t="shared" ref="J612:J613" si="259">J614+J616</f>
        <v>0</v>
      </c>
      <c r="K612" s="1348">
        <f t="shared" si="258"/>
        <v>0</v>
      </c>
      <c r="L612" s="1349"/>
      <c r="M612" s="1349"/>
      <c r="N612" s="1349"/>
      <c r="O612" s="1349"/>
      <c r="P612" s="1349"/>
      <c r="Q612" s="1264"/>
      <c r="R612" s="1264"/>
      <c r="S612" s="1264"/>
      <c r="T612" s="1264"/>
      <c r="U612" s="1264"/>
      <c r="V612" s="1264"/>
      <c r="W612" s="1264"/>
      <c r="X612" s="1264"/>
      <c r="Y612" s="1264"/>
      <c r="Z612" s="1264"/>
    </row>
    <row r="613" spans="1:26" ht="19.5" hidden="1">
      <c r="A613" s="1342"/>
      <c r="B613" s="1343"/>
      <c r="C613" s="1343" t="s">
        <v>263</v>
      </c>
      <c r="D613" s="1343"/>
      <c r="E613" s="1343"/>
      <c r="F613" s="1345"/>
      <c r="G613" s="1346"/>
      <c r="H613" s="680" t="s">
        <v>34</v>
      </c>
      <c r="I613" s="1347">
        <v>0</v>
      </c>
      <c r="J613" s="1347">
        <f t="shared" si="259"/>
        <v>0</v>
      </c>
      <c r="K613" s="1348">
        <f t="shared" si="258"/>
        <v>0</v>
      </c>
      <c r="L613" s="1349"/>
      <c r="M613" s="1349"/>
      <c r="N613" s="1349"/>
      <c r="O613" s="1349"/>
      <c r="P613" s="1349"/>
      <c r="Q613" s="1264"/>
      <c r="R613" s="1264"/>
      <c r="S613" s="1264"/>
      <c r="T613" s="1264"/>
      <c r="U613" s="1264"/>
      <c r="V613" s="1264"/>
      <c r="W613" s="1264"/>
      <c r="X613" s="1264"/>
      <c r="Y613" s="1264"/>
      <c r="Z613" s="1264"/>
    </row>
    <row r="614" spans="1:26" ht="18.75" hidden="1">
      <c r="A614" s="1273"/>
      <c r="B614" s="1274"/>
      <c r="C614" s="1274"/>
      <c r="D614" s="1262" t="s">
        <v>264</v>
      </c>
      <c r="E614" s="1274"/>
      <c r="F614" s="1262"/>
      <c r="G614" s="1060"/>
      <c r="H614" s="583" t="s">
        <v>46</v>
      </c>
      <c r="I614" s="836"/>
      <c r="J614" s="836">
        <v>0</v>
      </c>
      <c r="K614" s="948"/>
      <c r="L614" s="948"/>
      <c r="M614" s="948"/>
      <c r="N614" s="948"/>
      <c r="O614" s="948"/>
      <c r="P614" s="948"/>
      <c r="Q614" s="1264"/>
      <c r="R614" s="1264"/>
      <c r="S614" s="1264"/>
      <c r="T614" s="1264"/>
      <c r="U614" s="1264"/>
      <c r="V614" s="1264"/>
      <c r="W614" s="1264"/>
      <c r="X614" s="1264"/>
      <c r="Y614" s="1264"/>
      <c r="Z614" s="1264"/>
    </row>
    <row r="615" spans="1:26" ht="18.75" hidden="1">
      <c r="A615" s="1273"/>
      <c r="B615" s="1274"/>
      <c r="C615" s="1274"/>
      <c r="D615" s="1274"/>
      <c r="E615" s="1274"/>
      <c r="F615" s="1262"/>
      <c r="G615" s="1060"/>
      <c r="H615" s="583" t="s">
        <v>34</v>
      </c>
      <c r="I615" s="836"/>
      <c r="J615" s="836">
        <v>0</v>
      </c>
      <c r="K615" s="948"/>
      <c r="L615" s="948"/>
      <c r="M615" s="948"/>
      <c r="N615" s="948"/>
      <c r="O615" s="948"/>
      <c r="P615" s="948"/>
      <c r="Q615" s="1264"/>
      <c r="R615" s="1264"/>
      <c r="S615" s="1264"/>
      <c r="T615" s="1264"/>
      <c r="U615" s="1264"/>
      <c r="V615" s="1264"/>
      <c r="W615" s="1264"/>
      <c r="X615" s="1264"/>
      <c r="Y615" s="1264"/>
      <c r="Z615" s="1264"/>
    </row>
    <row r="616" spans="1:26" ht="18.75" hidden="1">
      <c r="A616" s="1273"/>
      <c r="B616" s="1274"/>
      <c r="C616" s="1274"/>
      <c r="D616" s="1350" t="s">
        <v>264</v>
      </c>
      <c r="E616" s="1262"/>
      <c r="F616" s="1262"/>
      <c r="G616" s="1060"/>
      <c r="H616" s="583" t="s">
        <v>46</v>
      </c>
      <c r="I616" s="836"/>
      <c r="J616" s="836">
        <v>0</v>
      </c>
      <c r="K616" s="948"/>
      <c r="L616" s="948"/>
      <c r="M616" s="948"/>
      <c r="N616" s="948"/>
      <c r="O616" s="948"/>
      <c r="P616" s="948"/>
      <c r="Q616" s="1264"/>
      <c r="R616" s="1264"/>
      <c r="S616" s="1264"/>
      <c r="T616" s="1264"/>
      <c r="U616" s="1264"/>
      <c r="V616" s="1264"/>
      <c r="W616" s="1264"/>
      <c r="X616" s="1264"/>
      <c r="Y616" s="1264"/>
      <c r="Z616" s="1264"/>
    </row>
    <row r="617" spans="1:26" ht="18.75" hidden="1">
      <c r="A617" s="1273"/>
      <c r="B617" s="1274"/>
      <c r="C617" s="1274"/>
      <c r="D617" s="1274"/>
      <c r="E617" s="1262"/>
      <c r="F617" s="1262"/>
      <c r="G617" s="1060"/>
      <c r="H617" s="583" t="s">
        <v>34</v>
      </c>
      <c r="I617" s="836"/>
      <c r="J617" s="836">
        <v>0</v>
      </c>
      <c r="K617" s="948"/>
      <c r="L617" s="948"/>
      <c r="M617" s="948"/>
      <c r="N617" s="948"/>
      <c r="O617" s="948"/>
      <c r="P617" s="948"/>
      <c r="Q617" s="1264"/>
      <c r="R617" s="1264"/>
      <c r="S617" s="1264"/>
      <c r="T617" s="1264"/>
      <c r="U617" s="1264"/>
      <c r="V617" s="1264"/>
      <c r="W617" s="1264"/>
      <c r="X617" s="1264"/>
      <c r="Y617" s="1264"/>
      <c r="Z617" s="1264"/>
    </row>
    <row r="618" spans="1:26" ht="18.75" hidden="1">
      <c r="A618" s="1273"/>
      <c r="B618" s="1274"/>
      <c r="C618" s="1274"/>
      <c r="D618" s="1350" t="s">
        <v>265</v>
      </c>
      <c r="E618" s="1262"/>
      <c r="F618" s="1262"/>
      <c r="G618" s="1060"/>
      <c r="H618" s="583" t="s">
        <v>46</v>
      </c>
      <c r="I618" s="836"/>
      <c r="J618" s="836">
        <v>0</v>
      </c>
      <c r="K618" s="948"/>
      <c r="L618" s="948"/>
      <c r="M618" s="948"/>
      <c r="N618" s="948"/>
      <c r="O618" s="948"/>
      <c r="P618" s="948"/>
      <c r="Q618" s="1264"/>
      <c r="R618" s="1264"/>
      <c r="S618" s="1264"/>
      <c r="T618" s="1264"/>
      <c r="U618" s="1264"/>
      <c r="V618" s="1264"/>
      <c r="W618" s="1264"/>
      <c r="X618" s="1264"/>
      <c r="Y618" s="1264"/>
      <c r="Z618" s="1264"/>
    </row>
    <row r="619" spans="1:26" ht="18.75" hidden="1">
      <c r="A619" s="1273"/>
      <c r="B619" s="1274"/>
      <c r="C619" s="1274"/>
      <c r="D619" s="1274"/>
      <c r="E619" s="1262"/>
      <c r="F619" s="1262"/>
      <c r="G619" s="1060"/>
      <c r="H619" s="583" t="s">
        <v>34</v>
      </c>
      <c r="I619" s="836"/>
      <c r="J619" s="836">
        <v>0</v>
      </c>
      <c r="K619" s="948"/>
      <c r="L619" s="948"/>
      <c r="M619" s="948"/>
      <c r="N619" s="948"/>
      <c r="O619" s="948"/>
      <c r="P619" s="948"/>
      <c r="Q619" s="1264"/>
      <c r="R619" s="1264"/>
      <c r="S619" s="1264"/>
      <c r="T619" s="1264"/>
      <c r="U619" s="1264"/>
      <c r="V619" s="1264"/>
      <c r="W619" s="1264"/>
      <c r="X619" s="1264"/>
      <c r="Y619" s="1264"/>
      <c r="Z619" s="1264"/>
    </row>
    <row r="620" spans="1:26" ht="19.5">
      <c r="A620" s="1351"/>
      <c r="B620" s="1352"/>
      <c r="C620" s="1353" t="s">
        <v>266</v>
      </c>
      <c r="D620" s="1352"/>
      <c r="E620" s="1352"/>
      <c r="F620" s="1354"/>
      <c r="G620" s="1355"/>
      <c r="H620" s="693" t="s">
        <v>46</v>
      </c>
      <c r="I620" s="1356">
        <f ca="1">IFERROR(__xludf.DUMMYFUNCTION("IMPORTRANGE(""https://docs.google.com/spreadsheets/d/1QqKyyYR6Q21VydFLVH3TRQUabQu_ym0Zz7PgGX0-kHA/edit?usp=sharing"",""แผน!HL23"")"),506)</f>
        <v>506</v>
      </c>
      <c r="J620" s="1356">
        <f t="shared" ref="J620:J621" si="260">J622+J624+J626</f>
        <v>0</v>
      </c>
      <c r="K620" s="1357">
        <f t="shared" ref="K620:K621" ca="1" si="261">IF(I620&gt;0,J620*100/I620,0)</f>
        <v>0</v>
      </c>
      <c r="L620" s="1358"/>
      <c r="M620" s="1358"/>
      <c r="N620" s="1358"/>
      <c r="O620" s="1358"/>
      <c r="P620" s="1358"/>
      <c r="Q620" s="1244"/>
      <c r="R620" s="1244"/>
      <c r="S620" s="1244"/>
      <c r="T620" s="1244"/>
      <c r="U620" s="1244"/>
      <c r="V620" s="1244"/>
      <c r="W620" s="1244"/>
      <c r="X620" s="1244"/>
      <c r="Y620" s="1244"/>
      <c r="Z620" s="1244"/>
    </row>
    <row r="621" spans="1:26" ht="19.5">
      <c r="A621" s="1351"/>
      <c r="B621" s="1352"/>
      <c r="C621" s="1352" t="s">
        <v>267</v>
      </c>
      <c r="D621" s="1352"/>
      <c r="E621" s="1352"/>
      <c r="F621" s="1354"/>
      <c r="G621" s="1355"/>
      <c r="H621" s="693" t="s">
        <v>34</v>
      </c>
      <c r="I621" s="1356">
        <f ca="1">IFERROR(__xludf.DUMMYFUNCTION("IMPORTRANGE(""https://docs.google.com/spreadsheets/d/1QqKyyYR6Q21VydFLVH3TRQUabQu_ym0Zz7PgGX0-kHA/edit?usp=sharing"",""แผน!HK23"")"),15)</f>
        <v>15</v>
      </c>
      <c r="J621" s="1356">
        <f t="shared" si="260"/>
        <v>0</v>
      </c>
      <c r="K621" s="1357">
        <f t="shared" ca="1" si="261"/>
        <v>0</v>
      </c>
      <c r="L621" s="1358"/>
      <c r="M621" s="1358"/>
      <c r="N621" s="1358"/>
      <c r="O621" s="1358"/>
      <c r="P621" s="1358"/>
      <c r="Q621" s="1244"/>
      <c r="R621" s="1244"/>
      <c r="S621" s="1244"/>
      <c r="T621" s="1244"/>
      <c r="U621" s="1244"/>
      <c r="V621" s="1244"/>
      <c r="W621" s="1244"/>
      <c r="X621" s="1244"/>
      <c r="Y621" s="1244"/>
      <c r="Z621" s="1244"/>
    </row>
    <row r="622" spans="1:26" ht="18.75">
      <c r="A622" s="1267"/>
      <c r="B622" s="1268"/>
      <c r="C622" s="1268"/>
      <c r="D622" s="1017" t="s">
        <v>268</v>
      </c>
      <c r="E622" s="961"/>
      <c r="F622" s="961"/>
      <c r="G622" s="954"/>
      <c r="H622" s="730" t="s">
        <v>46</v>
      </c>
      <c r="I622" s="830"/>
      <c r="J622" s="959">
        <v>0</v>
      </c>
      <c r="K622" s="945"/>
      <c r="L622" s="945"/>
      <c r="M622" s="945"/>
      <c r="N622" s="945"/>
      <c r="O622" s="945"/>
      <c r="P622" s="945"/>
      <c r="Q622" s="1244"/>
      <c r="R622" s="1244"/>
      <c r="S622" s="1244"/>
      <c r="T622" s="1244"/>
      <c r="U622" s="1244"/>
      <c r="V622" s="1244"/>
      <c r="W622" s="1244"/>
      <c r="X622" s="1244"/>
      <c r="Y622" s="1244"/>
      <c r="Z622" s="1244"/>
    </row>
    <row r="623" spans="1:26" ht="18.75">
      <c r="A623" s="1267"/>
      <c r="B623" s="1268"/>
      <c r="C623" s="1268"/>
      <c r="D623" s="1268"/>
      <c r="E623" s="961"/>
      <c r="F623" s="961"/>
      <c r="G623" s="954"/>
      <c r="H623" s="730" t="s">
        <v>34</v>
      </c>
      <c r="I623" s="830"/>
      <c r="J623" s="959">
        <v>0</v>
      </c>
      <c r="K623" s="945"/>
      <c r="L623" s="945"/>
      <c r="M623" s="945"/>
      <c r="N623" s="945"/>
      <c r="O623" s="945"/>
      <c r="P623" s="945"/>
      <c r="Q623" s="1244"/>
      <c r="R623" s="1244"/>
      <c r="S623" s="1244"/>
      <c r="T623" s="1244"/>
      <c r="U623" s="1244"/>
      <c r="V623" s="1244"/>
      <c r="W623" s="1244"/>
      <c r="X623" s="1244"/>
      <c r="Y623" s="1244"/>
      <c r="Z623" s="1244"/>
    </row>
    <row r="624" spans="1:26" ht="18.75">
      <c r="A624" s="1267"/>
      <c r="B624" s="1268"/>
      <c r="C624" s="1268"/>
      <c r="D624" s="1017" t="s">
        <v>264</v>
      </c>
      <c r="E624" s="961"/>
      <c r="F624" s="961"/>
      <c r="G624" s="954"/>
      <c r="H624" s="730" t="s">
        <v>46</v>
      </c>
      <c r="I624" s="830"/>
      <c r="J624" s="959">
        <v>0</v>
      </c>
      <c r="K624" s="945"/>
      <c r="L624" s="945"/>
      <c r="M624" s="945"/>
      <c r="N624" s="945"/>
      <c r="O624" s="945"/>
      <c r="P624" s="945"/>
      <c r="Q624" s="1244"/>
      <c r="R624" s="1244"/>
      <c r="S624" s="1244"/>
      <c r="T624" s="1244"/>
      <c r="U624" s="1244"/>
      <c r="V624" s="1244"/>
      <c r="W624" s="1244"/>
      <c r="X624" s="1244"/>
      <c r="Y624" s="1244"/>
      <c r="Z624" s="1244"/>
    </row>
    <row r="625" spans="1:26" ht="18.75">
      <c r="A625" s="1267"/>
      <c r="B625" s="1268"/>
      <c r="C625" s="1268"/>
      <c r="D625" s="1268"/>
      <c r="E625" s="961"/>
      <c r="F625" s="961"/>
      <c r="G625" s="954"/>
      <c r="H625" s="730" t="s">
        <v>34</v>
      </c>
      <c r="I625" s="830"/>
      <c r="J625" s="959">
        <v>0</v>
      </c>
      <c r="K625" s="945"/>
      <c r="L625" s="945"/>
      <c r="M625" s="945"/>
      <c r="N625" s="945"/>
      <c r="O625" s="945"/>
      <c r="P625" s="945"/>
      <c r="Q625" s="1244"/>
      <c r="R625" s="1244"/>
      <c r="S625" s="1244"/>
      <c r="T625" s="1244"/>
      <c r="U625" s="1244"/>
      <c r="V625" s="1244"/>
      <c r="W625" s="1244"/>
      <c r="X625" s="1244"/>
      <c r="Y625" s="1244"/>
      <c r="Z625" s="1244"/>
    </row>
    <row r="626" spans="1:26" ht="18.75">
      <c r="A626" s="1267"/>
      <c r="B626" s="1268"/>
      <c r="C626" s="1268"/>
      <c r="D626" s="1017" t="s">
        <v>269</v>
      </c>
      <c r="E626" s="961"/>
      <c r="F626" s="961"/>
      <c r="G626" s="954"/>
      <c r="H626" s="730" t="s">
        <v>46</v>
      </c>
      <c r="I626" s="830"/>
      <c r="J626" s="959">
        <v>0</v>
      </c>
      <c r="K626" s="945"/>
      <c r="L626" s="945"/>
      <c r="M626" s="945"/>
      <c r="N626" s="945"/>
      <c r="O626" s="945"/>
      <c r="P626" s="945"/>
      <c r="Q626" s="1244"/>
      <c r="R626" s="1244"/>
      <c r="S626" s="1244"/>
      <c r="T626" s="1244"/>
      <c r="U626" s="1244"/>
      <c r="V626" s="1244"/>
      <c r="W626" s="1244"/>
      <c r="X626" s="1244"/>
      <c r="Y626" s="1244"/>
      <c r="Z626" s="1244"/>
    </row>
    <row r="627" spans="1:26" ht="18.75">
      <c r="A627" s="1359"/>
      <c r="B627" s="1360"/>
      <c r="C627" s="1360"/>
      <c r="D627" s="1360"/>
      <c r="E627" s="1116"/>
      <c r="F627" s="1116"/>
      <c r="G627" s="1361"/>
      <c r="H627" s="391" t="s">
        <v>34</v>
      </c>
      <c r="I627" s="1085"/>
      <c r="J627" s="1118">
        <v>0</v>
      </c>
      <c r="K627" s="1086"/>
      <c r="L627" s="1086"/>
      <c r="M627" s="1086"/>
      <c r="N627" s="1086"/>
      <c r="O627" s="1086"/>
      <c r="P627" s="1086"/>
      <c r="Q627" s="1244"/>
      <c r="R627" s="1244"/>
      <c r="S627" s="1244"/>
      <c r="T627" s="1244"/>
      <c r="U627" s="1244"/>
      <c r="V627" s="1244"/>
      <c r="W627" s="1244"/>
      <c r="X627" s="1244"/>
      <c r="Y627" s="1244"/>
      <c r="Z627" s="1244"/>
    </row>
    <row r="628" spans="1:26" ht="19.5">
      <c r="A628" s="702">
        <v>7</v>
      </c>
      <c r="B628" s="1362" t="s">
        <v>270</v>
      </c>
      <c r="C628" s="1363"/>
      <c r="D628" s="1363"/>
      <c r="E628" s="1363"/>
      <c r="F628" s="1363"/>
      <c r="G628" s="1364"/>
      <c r="H628" s="706" t="s">
        <v>35</v>
      </c>
      <c r="I628" s="1365">
        <f t="shared" ref="I628:J628" ca="1" si="262">I651</f>
        <v>430</v>
      </c>
      <c r="J628" s="1365">
        <f t="shared" ca="1" si="262"/>
        <v>202</v>
      </c>
      <c r="K628" s="1366">
        <f ca="1">IF(I628&gt;0,J628*100/I628,0)</f>
        <v>46.97674418604651</v>
      </c>
      <c r="L628" s="1367"/>
      <c r="M628" s="1367"/>
      <c r="N628" s="1367"/>
      <c r="O628" s="1367"/>
      <c r="P628" s="1367"/>
      <c r="Q628" s="1244"/>
      <c r="R628" s="1244"/>
      <c r="S628" s="1244"/>
      <c r="T628" s="1244"/>
      <c r="U628" s="1244"/>
      <c r="V628" s="1244"/>
      <c r="W628" s="1244"/>
      <c r="X628" s="1244"/>
      <c r="Y628" s="1244"/>
      <c r="Z628" s="1244"/>
    </row>
    <row r="629" spans="1:26" ht="19.5">
      <c r="A629" s="1259"/>
      <c r="B629" s="1243"/>
      <c r="C629" s="1243" t="s">
        <v>16</v>
      </c>
      <c r="D629" s="1507" t="s">
        <v>17</v>
      </c>
      <c r="E629" s="1485"/>
      <c r="F629" s="1485"/>
      <c r="G629" s="963"/>
      <c r="H629" s="563" t="s">
        <v>12</v>
      </c>
      <c r="I629" s="830"/>
      <c r="J629" s="830"/>
      <c r="K629" s="831"/>
      <c r="L629" s="967">
        <f t="shared" ref="L629:N629" ca="1" si="263">L630+L631</f>
        <v>595365</v>
      </c>
      <c r="M629" s="967">
        <f t="shared" si="263"/>
        <v>0</v>
      </c>
      <c r="N629" s="967">
        <f t="shared" si="263"/>
        <v>197196.95</v>
      </c>
      <c r="O629" s="967">
        <f t="shared" ref="O629:O634" ca="1" si="264">IF(L629&gt;0,N629*100/L629,0)</f>
        <v>33.122025984060201</v>
      </c>
      <c r="P629" s="967">
        <f t="shared" ref="P629:P634" si="265">IF(M629&gt;0,N629*100/M629,0)</f>
        <v>0</v>
      </c>
      <c r="Q629" s="1244"/>
      <c r="R629" s="1244"/>
      <c r="S629" s="1244"/>
      <c r="T629" s="1244"/>
      <c r="U629" s="1244"/>
      <c r="V629" s="1244"/>
      <c r="W629" s="1244"/>
      <c r="X629" s="1244"/>
      <c r="Y629" s="1244"/>
      <c r="Z629" s="1244"/>
    </row>
    <row r="630" spans="1:26" ht="18.75" hidden="1">
      <c r="A630" s="1260"/>
      <c r="B630" s="1261"/>
      <c r="C630" s="1261"/>
      <c r="D630" s="1262"/>
      <c r="E630" s="1261" t="s">
        <v>184</v>
      </c>
      <c r="F630" s="1261"/>
      <c r="G630" s="1263"/>
      <c r="H630" s="165" t="s">
        <v>12</v>
      </c>
      <c r="I630" s="836"/>
      <c r="J630" s="836"/>
      <c r="K630" s="837"/>
      <c r="L630" s="837">
        <f t="shared" ref="L630:N631" si="266">L633+L640</f>
        <v>0</v>
      </c>
      <c r="M630" s="837">
        <f t="shared" si="266"/>
        <v>0</v>
      </c>
      <c r="N630" s="837">
        <f t="shared" si="266"/>
        <v>0</v>
      </c>
      <c r="O630" s="837">
        <f t="shared" si="264"/>
        <v>0</v>
      </c>
      <c r="P630" s="837">
        <f t="shared" si="265"/>
        <v>0</v>
      </c>
      <c r="Q630" s="1264"/>
      <c r="R630" s="1264"/>
      <c r="S630" s="1264"/>
      <c r="T630" s="1264"/>
      <c r="U630" s="1264"/>
      <c r="V630" s="1264"/>
      <c r="W630" s="1264"/>
      <c r="X630" s="1264"/>
      <c r="Y630" s="1264"/>
      <c r="Z630" s="1264"/>
    </row>
    <row r="631" spans="1:26" ht="18.75" hidden="1">
      <c r="A631" s="1260"/>
      <c r="B631" s="1265"/>
      <c r="C631" s="1261"/>
      <c r="D631" s="1262"/>
      <c r="E631" s="1261" t="s">
        <v>185</v>
      </c>
      <c r="F631" s="1261"/>
      <c r="G631" s="1263"/>
      <c r="H631" s="165" t="s">
        <v>12</v>
      </c>
      <c r="I631" s="836"/>
      <c r="J631" s="836"/>
      <c r="K631" s="837"/>
      <c r="L631" s="837">
        <f t="shared" ca="1" si="266"/>
        <v>595365</v>
      </c>
      <c r="M631" s="837">
        <f t="shared" si="266"/>
        <v>0</v>
      </c>
      <c r="N631" s="837">
        <f t="shared" si="266"/>
        <v>197196.95</v>
      </c>
      <c r="O631" s="837">
        <f t="shared" ca="1" si="264"/>
        <v>33.122025984060201</v>
      </c>
      <c r="P631" s="837">
        <f t="shared" si="265"/>
        <v>0</v>
      </c>
      <c r="Q631" s="1264"/>
      <c r="R631" s="1264"/>
      <c r="S631" s="1264"/>
      <c r="T631" s="1264"/>
      <c r="U631" s="1264"/>
      <c r="V631" s="1264"/>
      <c r="W631" s="1264"/>
      <c r="X631" s="1264"/>
      <c r="Y631" s="1264"/>
      <c r="Z631" s="1264"/>
    </row>
    <row r="632" spans="1:26" ht="18.75">
      <c r="A632" s="1259"/>
      <c r="B632" s="1242"/>
      <c r="C632" s="1243"/>
      <c r="D632" s="1266" t="s">
        <v>20</v>
      </c>
      <c r="E632" s="1243"/>
      <c r="F632" s="1243"/>
      <c r="G632" s="963"/>
      <c r="H632" s="778" t="s">
        <v>12</v>
      </c>
      <c r="I632" s="944"/>
      <c r="J632" s="944"/>
      <c r="K632" s="945"/>
      <c r="L632" s="831">
        <f t="shared" ref="L632:N632" ca="1" si="267">L633+L634</f>
        <v>595365</v>
      </c>
      <c r="M632" s="831">
        <f t="shared" si="267"/>
        <v>0</v>
      </c>
      <c r="N632" s="831">
        <f t="shared" si="267"/>
        <v>197196.95</v>
      </c>
      <c r="O632" s="831">
        <f t="shared" ca="1" si="264"/>
        <v>33.122025984060201</v>
      </c>
      <c r="P632" s="831">
        <f t="shared" si="265"/>
        <v>0</v>
      </c>
      <c r="Q632" s="1244"/>
      <c r="R632" s="1244"/>
      <c r="S632" s="1244"/>
      <c r="T632" s="1244"/>
      <c r="U632" s="1244"/>
      <c r="V632" s="1244"/>
      <c r="W632" s="1244"/>
      <c r="X632" s="1244"/>
      <c r="Y632" s="1244"/>
      <c r="Z632" s="1244"/>
    </row>
    <row r="633" spans="1:26" ht="18.75" hidden="1">
      <c r="A633" s="1260"/>
      <c r="B633" s="1265"/>
      <c r="C633" s="1261"/>
      <c r="D633" s="1262"/>
      <c r="E633" s="1261" t="s">
        <v>184</v>
      </c>
      <c r="F633" s="1261"/>
      <c r="G633" s="1263"/>
      <c r="H633" s="165" t="s">
        <v>12</v>
      </c>
      <c r="I633" s="836"/>
      <c r="J633" s="836"/>
      <c r="K633" s="837"/>
      <c r="L633" s="837">
        <v>0</v>
      </c>
      <c r="M633" s="837">
        <v>0</v>
      </c>
      <c r="N633" s="837">
        <v>0</v>
      </c>
      <c r="O633" s="837">
        <f t="shared" si="264"/>
        <v>0</v>
      </c>
      <c r="P633" s="837">
        <f t="shared" si="265"/>
        <v>0</v>
      </c>
      <c r="Q633" s="1264"/>
      <c r="R633" s="1264"/>
      <c r="S633" s="1264"/>
      <c r="T633" s="1264"/>
      <c r="U633" s="1264"/>
      <c r="V633" s="1264"/>
      <c r="W633" s="1264"/>
      <c r="X633" s="1264"/>
      <c r="Y633" s="1264"/>
      <c r="Z633" s="1264"/>
    </row>
    <row r="634" spans="1:26" ht="18.75" hidden="1">
      <c r="A634" s="1260"/>
      <c r="B634" s="1265"/>
      <c r="C634" s="1261"/>
      <c r="D634" s="1262"/>
      <c r="E634" s="1261" t="s">
        <v>185</v>
      </c>
      <c r="F634" s="1261"/>
      <c r="G634" s="1263"/>
      <c r="H634" s="165" t="s">
        <v>12</v>
      </c>
      <c r="I634" s="836"/>
      <c r="J634" s="836"/>
      <c r="K634" s="837"/>
      <c r="L634" s="837">
        <f ca="1">IFERROR(__xludf.DUMMYFUNCTION("IMPORTRANGE(""https://docs.google.com/spreadsheets/d/1QqKyyYR6Q21VydFLVH3TRQUabQu_ym0Zz7PgGX0-kHA/edit?usp=sharing"",""แผน!HN23"")"),595365)</f>
        <v>595365</v>
      </c>
      <c r="M634" s="837">
        <v>0</v>
      </c>
      <c r="N634" s="837">
        <f>N635+N636+N637+N638</f>
        <v>197196.95</v>
      </c>
      <c r="O634" s="837">
        <f t="shared" ca="1" si="264"/>
        <v>33.122025984060201</v>
      </c>
      <c r="P634" s="837">
        <f t="shared" si="265"/>
        <v>0</v>
      </c>
      <c r="Q634" s="1264"/>
      <c r="R634" s="1264"/>
      <c r="S634" s="1264"/>
      <c r="T634" s="1264"/>
      <c r="U634" s="1264"/>
      <c r="V634" s="1264"/>
      <c r="W634" s="1264"/>
      <c r="X634" s="1264"/>
      <c r="Y634" s="1264"/>
      <c r="Z634" s="1264"/>
    </row>
    <row r="635" spans="1:26" ht="18.75">
      <c r="A635" s="1241"/>
      <c r="B635" s="1242"/>
      <c r="C635" s="1243"/>
      <c r="D635" s="1243"/>
      <c r="E635" s="1243"/>
      <c r="F635" s="1243" t="s">
        <v>186</v>
      </c>
      <c r="G635" s="963"/>
      <c r="H635" s="778" t="s">
        <v>12</v>
      </c>
      <c r="I635" s="830"/>
      <c r="J635" s="830"/>
      <c r="K635" s="831"/>
      <c r="L635" s="831"/>
      <c r="M635" s="831"/>
      <c r="N635" s="1031">
        <v>0</v>
      </c>
      <c r="O635" s="831"/>
      <c r="P635" s="831"/>
      <c r="Q635" s="1244"/>
      <c r="R635" s="1244"/>
      <c r="S635" s="1244"/>
      <c r="T635" s="1244"/>
      <c r="U635" s="1244"/>
      <c r="V635" s="1244"/>
      <c r="W635" s="1244"/>
      <c r="X635" s="1244"/>
      <c r="Y635" s="1244"/>
      <c r="Z635" s="1244"/>
    </row>
    <row r="636" spans="1:26" ht="18.75">
      <c r="A636" s="1241"/>
      <c r="B636" s="1242"/>
      <c r="C636" s="1243"/>
      <c r="D636" s="1243"/>
      <c r="E636" s="1243"/>
      <c r="F636" s="1243" t="s">
        <v>187</v>
      </c>
      <c r="G636" s="963"/>
      <c r="H636" s="778" t="s">
        <v>12</v>
      </c>
      <c r="I636" s="830"/>
      <c r="J636" s="830"/>
      <c r="K636" s="831"/>
      <c r="L636" s="831"/>
      <c r="M636" s="831"/>
      <c r="N636" s="1031">
        <v>0</v>
      </c>
      <c r="O636" s="831"/>
      <c r="P636" s="831"/>
      <c r="Q636" s="1244"/>
      <c r="R636" s="1244"/>
      <c r="S636" s="1244"/>
      <c r="T636" s="1244"/>
      <c r="U636" s="1244"/>
      <c r="V636" s="1244"/>
      <c r="W636" s="1244"/>
      <c r="X636" s="1244"/>
      <c r="Y636" s="1244"/>
      <c r="Z636" s="1244"/>
    </row>
    <row r="637" spans="1:26" ht="18.75">
      <c r="A637" s="1241"/>
      <c r="B637" s="1242"/>
      <c r="C637" s="1243"/>
      <c r="D637" s="1243"/>
      <c r="E637" s="1243"/>
      <c r="F637" s="1243" t="s">
        <v>188</v>
      </c>
      <c r="G637" s="963"/>
      <c r="H637" s="778" t="s">
        <v>12</v>
      </c>
      <c r="I637" s="830"/>
      <c r="J637" s="830"/>
      <c r="K637" s="831"/>
      <c r="L637" s="831"/>
      <c r="M637" s="831"/>
      <c r="N637" s="1031">
        <v>52000</v>
      </c>
      <c r="O637" s="831"/>
      <c r="P637" s="831"/>
      <c r="Q637" s="1244"/>
      <c r="R637" s="1244"/>
      <c r="S637" s="1244"/>
      <c r="T637" s="1244"/>
      <c r="U637" s="1244"/>
      <c r="V637" s="1244"/>
      <c r="W637" s="1244"/>
      <c r="X637" s="1244"/>
      <c r="Y637" s="1244"/>
      <c r="Z637" s="1244"/>
    </row>
    <row r="638" spans="1:26" ht="18.75">
      <c r="A638" s="1241"/>
      <c r="B638" s="1242"/>
      <c r="C638" s="1243"/>
      <c r="D638" s="1243"/>
      <c r="E638" s="1243"/>
      <c r="F638" s="1243" t="s">
        <v>189</v>
      </c>
      <c r="G638" s="963"/>
      <c r="H638" s="778" t="s">
        <v>12</v>
      </c>
      <c r="I638" s="830"/>
      <c r="J638" s="830"/>
      <c r="K638" s="831"/>
      <c r="L638" s="831"/>
      <c r="M638" s="831"/>
      <c r="N638" s="1031">
        <v>145196.95000000001</v>
      </c>
      <c r="O638" s="831"/>
      <c r="P638" s="831"/>
      <c r="Q638" s="1244"/>
      <c r="R638" s="1244"/>
      <c r="S638" s="1244"/>
      <c r="T638" s="1244"/>
      <c r="U638" s="1244"/>
      <c r="V638" s="1244"/>
      <c r="W638" s="1244"/>
      <c r="X638" s="1244"/>
      <c r="Y638" s="1244"/>
      <c r="Z638" s="1244"/>
    </row>
    <row r="639" spans="1:26" ht="18.75">
      <c r="A639" s="1259"/>
      <c r="B639" s="1242"/>
      <c r="C639" s="1243"/>
      <c r="D639" s="1266" t="s">
        <v>21</v>
      </c>
      <c r="E639" s="1243"/>
      <c r="F639" s="1243"/>
      <c r="G639" s="963"/>
      <c r="H639" s="168" t="s">
        <v>12</v>
      </c>
      <c r="I639" s="944"/>
      <c r="J639" s="944"/>
      <c r="K639" s="945"/>
      <c r="L639" s="831">
        <f t="shared" ref="L639:N639" ca="1" si="268">L640+L641</f>
        <v>0</v>
      </c>
      <c r="M639" s="831">
        <f t="shared" si="268"/>
        <v>0</v>
      </c>
      <c r="N639" s="831">
        <f t="shared" si="268"/>
        <v>0</v>
      </c>
      <c r="O639" s="831">
        <f t="shared" ref="O639:O641" ca="1" si="269">IF(L639&gt;0,N639*100/L639,0)</f>
        <v>0</v>
      </c>
      <c r="P639" s="831">
        <f t="shared" ref="P639:P641" si="270">IF(M639&gt;0,N639*100/M639,0)</f>
        <v>0</v>
      </c>
      <c r="Q639" s="1244"/>
      <c r="R639" s="1244"/>
      <c r="S639" s="1244"/>
      <c r="T639" s="1244"/>
      <c r="U639" s="1244"/>
      <c r="V639" s="1244"/>
      <c r="W639" s="1244"/>
      <c r="X639" s="1244"/>
      <c r="Y639" s="1244"/>
      <c r="Z639" s="1244"/>
    </row>
    <row r="640" spans="1:26" ht="18.75" hidden="1">
      <c r="A640" s="1260"/>
      <c r="B640" s="1265"/>
      <c r="C640" s="1261"/>
      <c r="D640" s="1261"/>
      <c r="E640" s="1261" t="s">
        <v>18</v>
      </c>
      <c r="F640" s="1261"/>
      <c r="G640" s="1263"/>
      <c r="H640" s="165" t="s">
        <v>12</v>
      </c>
      <c r="I640" s="947"/>
      <c r="J640" s="947"/>
      <c r="K640" s="948"/>
      <c r="L640" s="837">
        <v>0</v>
      </c>
      <c r="M640" s="837">
        <v>0</v>
      </c>
      <c r="N640" s="837">
        <v>0</v>
      </c>
      <c r="O640" s="837">
        <f t="shared" si="269"/>
        <v>0</v>
      </c>
      <c r="P640" s="837">
        <f t="shared" si="270"/>
        <v>0</v>
      </c>
      <c r="Q640" s="1264"/>
      <c r="R640" s="1264"/>
      <c r="S640" s="1264"/>
      <c r="T640" s="1264"/>
      <c r="U640" s="1264"/>
      <c r="V640" s="1264"/>
      <c r="W640" s="1264"/>
      <c r="X640" s="1264"/>
      <c r="Y640" s="1264"/>
      <c r="Z640" s="1264"/>
    </row>
    <row r="641" spans="1:26" ht="18.75" hidden="1">
      <c r="A641" s="1260"/>
      <c r="B641" s="1265"/>
      <c r="C641" s="1261"/>
      <c r="D641" s="1261"/>
      <c r="E641" s="1261" t="s">
        <v>19</v>
      </c>
      <c r="F641" s="1261"/>
      <c r="G641" s="1263"/>
      <c r="H641" s="169" t="s">
        <v>12</v>
      </c>
      <c r="I641" s="947"/>
      <c r="J641" s="947"/>
      <c r="K641" s="948"/>
      <c r="L641" s="837">
        <f ca="1">IFERROR(__xludf.DUMMYFUNCTION("IMPORTRANGE(""https://docs.google.com/spreadsheets/d/1QqKyyYR6Q21VydFLVH3TRQUabQu_ym0Zz7PgGX0-kHA/edit?usp=sharing"",""แผน!HQ23"")"),0)</f>
        <v>0</v>
      </c>
      <c r="M641" s="837">
        <v>0</v>
      </c>
      <c r="N641" s="837">
        <v>0</v>
      </c>
      <c r="O641" s="837">
        <f t="shared" ca="1" si="269"/>
        <v>0</v>
      </c>
      <c r="P641" s="837">
        <f t="shared" si="270"/>
        <v>0</v>
      </c>
      <c r="Q641" s="1264"/>
      <c r="R641" s="1264"/>
      <c r="S641" s="1264"/>
      <c r="T641" s="1264"/>
      <c r="U641" s="1264"/>
      <c r="V641" s="1264"/>
      <c r="W641" s="1264"/>
      <c r="X641" s="1264"/>
      <c r="Y641" s="1264"/>
      <c r="Z641" s="1264"/>
    </row>
    <row r="642" spans="1:26" ht="19.5">
      <c r="A642" s="1267"/>
      <c r="B642" s="1268"/>
      <c r="C642" s="1243" t="s">
        <v>16</v>
      </c>
      <c r="D642" s="1320" t="s">
        <v>38</v>
      </c>
      <c r="E642" s="1271"/>
      <c r="F642" s="1271"/>
      <c r="G642" s="1272"/>
      <c r="H642" s="954"/>
      <c r="I642" s="944"/>
      <c r="J642" s="944"/>
      <c r="K642" s="945"/>
      <c r="L642" s="945"/>
      <c r="M642" s="945"/>
      <c r="N642" s="945"/>
      <c r="O642" s="945"/>
      <c r="P642" s="945"/>
      <c r="Q642" s="1244"/>
      <c r="R642" s="1244"/>
      <c r="S642" s="1244"/>
      <c r="T642" s="1244"/>
      <c r="U642" s="1244"/>
      <c r="V642" s="1244"/>
      <c r="W642" s="1244"/>
      <c r="X642" s="1244"/>
      <c r="Y642" s="1244"/>
      <c r="Z642" s="1244"/>
    </row>
    <row r="643" spans="1:26" ht="18.75">
      <c r="A643" s="1368"/>
      <c r="B643" s="1242"/>
      <c r="C643" s="1243"/>
      <c r="D643" s="961"/>
      <c r="E643" s="1017" t="s">
        <v>271</v>
      </c>
      <c r="F643" s="961"/>
      <c r="G643" s="954"/>
      <c r="H643" s="730" t="s">
        <v>272</v>
      </c>
      <c r="I643" s="830">
        <f ca="1">IFERROR(__xludf.DUMMYFUNCTION("IMPORTRANGE(""https://docs.google.com/spreadsheets/d/1QqKyyYR6Q21VydFLVH3TRQUabQu_ym0Zz7PgGX0-kHA/edit?usp=sharing"",""แผน!HR23"")"),2)</f>
        <v>2</v>
      </c>
      <c r="J643" s="959">
        <v>5</v>
      </c>
      <c r="K643" s="945">
        <f t="shared" ref="K643:K652" ca="1" si="271">IF(I643&gt;0,J643*100/I643,0)</f>
        <v>250</v>
      </c>
      <c r="L643" s="945"/>
      <c r="M643" s="945"/>
      <c r="N643" s="831"/>
      <c r="O643" s="945"/>
      <c r="P643" s="945"/>
      <c r="Q643" s="1244"/>
      <c r="R643" s="1244"/>
      <c r="S643" s="1244"/>
      <c r="T643" s="1244"/>
      <c r="U643" s="1244"/>
      <c r="V643" s="1244"/>
      <c r="W643" s="1244"/>
      <c r="X643" s="1244"/>
      <c r="Y643" s="1244"/>
      <c r="Z643" s="1244"/>
    </row>
    <row r="644" spans="1:26" ht="18.75">
      <c r="A644" s="1368"/>
      <c r="B644" s="1242"/>
      <c r="C644" s="1243"/>
      <c r="D644" s="961"/>
      <c r="E644" s="1017" t="s">
        <v>273</v>
      </c>
      <c r="F644" s="961"/>
      <c r="G644" s="954"/>
      <c r="H644" s="730" t="s">
        <v>274</v>
      </c>
      <c r="I644" s="830">
        <f ca="1">IFERROR(__xludf.DUMMYFUNCTION("IMPORTRANGE(""https://docs.google.com/spreadsheets/d/1QqKyyYR6Q21VydFLVH3TRQUabQu_ym0Zz7PgGX0-kHA/edit?usp=sharing"",""แผน!HR23"")"),2)</f>
        <v>2</v>
      </c>
      <c r="J644" s="959">
        <v>5</v>
      </c>
      <c r="K644" s="945">
        <f t="shared" ca="1" si="271"/>
        <v>250</v>
      </c>
      <c r="L644" s="945"/>
      <c r="M644" s="945"/>
      <c r="N644" s="831"/>
      <c r="O644" s="945"/>
      <c r="P644" s="945"/>
      <c r="Q644" s="1244"/>
      <c r="R644" s="1244"/>
      <c r="S644" s="1244"/>
      <c r="T644" s="1244"/>
      <c r="U644" s="1244"/>
      <c r="V644" s="1244"/>
      <c r="W644" s="1244"/>
      <c r="X644" s="1244"/>
      <c r="Y644" s="1244"/>
      <c r="Z644" s="1244"/>
    </row>
    <row r="645" spans="1:26" ht="18.75">
      <c r="A645" s="1368"/>
      <c r="B645" s="1242"/>
      <c r="C645" s="1243"/>
      <c r="D645" s="961"/>
      <c r="E645" s="1017" t="s">
        <v>275</v>
      </c>
      <c r="F645" s="961"/>
      <c r="G645" s="954"/>
      <c r="H645" s="730" t="s">
        <v>34</v>
      </c>
      <c r="I645" s="830">
        <v>0</v>
      </c>
      <c r="J645" s="830">
        <f ca="1">IFERROR(__xludf.DUMMYFUNCTION("IMPORTRANGE(""https://docs.google.com/spreadsheets/d/1XWAQStnk-4SwqDmLtmXYiTMKHgktTP8We1SCoS47DrQ/edit?usp=sharing"",""จัดที่ดิน!AS23"")"),211)</f>
        <v>211</v>
      </c>
      <c r="K645" s="945">
        <f t="shared" si="271"/>
        <v>0</v>
      </c>
      <c r="L645" s="945"/>
      <c r="M645" s="945"/>
      <c r="N645" s="831"/>
      <c r="O645" s="945"/>
      <c r="P645" s="945"/>
      <c r="Q645" s="1244"/>
      <c r="R645" s="1244"/>
      <c r="S645" s="1244"/>
      <c r="T645" s="1244"/>
      <c r="U645" s="1244"/>
      <c r="V645" s="1244"/>
      <c r="W645" s="1244"/>
      <c r="X645" s="1244"/>
      <c r="Y645" s="1244"/>
      <c r="Z645" s="1244"/>
    </row>
    <row r="646" spans="1:26" ht="18.75">
      <c r="A646" s="1368"/>
      <c r="B646" s="1242"/>
      <c r="C646" s="1243"/>
      <c r="D646" s="961"/>
      <c r="E646" s="961"/>
      <c r="F646" s="961"/>
      <c r="G646" s="954"/>
      <c r="H646" s="730" t="s">
        <v>46</v>
      </c>
      <c r="I646" s="830">
        <v>0</v>
      </c>
      <c r="J646" s="830">
        <f ca="1">IFERROR(__xludf.DUMMYFUNCTION("IMPORTRANGE(""https://docs.google.com/spreadsheets/d/1XWAQStnk-4SwqDmLtmXYiTMKHgktTP8We1SCoS47DrQ/edit?usp=sharing"",""จัดที่ดิน!AT23"")"),138.93)</f>
        <v>138.93</v>
      </c>
      <c r="K646" s="831">
        <f t="shared" si="271"/>
        <v>0</v>
      </c>
      <c r="L646" s="945"/>
      <c r="M646" s="945"/>
      <c r="N646" s="831"/>
      <c r="O646" s="945"/>
      <c r="P646" s="945"/>
      <c r="Q646" s="1244"/>
      <c r="R646" s="1244"/>
      <c r="S646" s="1244"/>
      <c r="T646" s="1244"/>
      <c r="U646" s="1244"/>
      <c r="V646" s="1244"/>
      <c r="W646" s="1244"/>
      <c r="X646" s="1244"/>
      <c r="Y646" s="1244"/>
      <c r="Z646" s="1244"/>
    </row>
    <row r="647" spans="1:26" ht="18.75">
      <c r="A647" s="1368"/>
      <c r="B647" s="1242"/>
      <c r="C647" s="1243"/>
      <c r="D647" s="961"/>
      <c r="E647" s="1017" t="s">
        <v>162</v>
      </c>
      <c r="F647" s="961"/>
      <c r="G647" s="954"/>
      <c r="H647" s="730" t="s">
        <v>35</v>
      </c>
      <c r="I647" s="830">
        <f ca="1">IFERROR(__xludf.DUMMYFUNCTION("IMPORTRANGE(""https://docs.google.com/spreadsheets/d/1QqKyyYR6Q21VydFLVH3TRQUabQu_ym0Zz7PgGX0-kHA/edit?usp=sharing"",""แผน!HS23"")"),430)</f>
        <v>430</v>
      </c>
      <c r="J647" s="830">
        <f ca="1">IFERROR(__xludf.DUMMYFUNCTION("IMPORTRANGE(""https://docs.google.com/spreadsheets/d/1XWAQStnk-4SwqDmLtmXYiTMKHgktTP8We1SCoS47DrQ/edit?usp=sharing"",""จัดที่ดิน!AU23"")"),118)</f>
        <v>118</v>
      </c>
      <c r="K647" s="945">
        <f t="shared" ca="1" si="271"/>
        <v>27.441860465116278</v>
      </c>
      <c r="L647" s="945"/>
      <c r="M647" s="945"/>
      <c r="N647" s="945"/>
      <c r="O647" s="945"/>
      <c r="P647" s="945"/>
      <c r="Q647" s="1244"/>
      <c r="R647" s="1244"/>
      <c r="S647" s="1244"/>
      <c r="T647" s="1244"/>
      <c r="U647" s="1244"/>
      <c r="V647" s="1244"/>
      <c r="W647" s="1244"/>
      <c r="X647" s="1244"/>
      <c r="Y647" s="1244"/>
      <c r="Z647" s="1244"/>
    </row>
    <row r="648" spans="1:26" ht="18.75">
      <c r="A648" s="1368"/>
      <c r="B648" s="1242"/>
      <c r="C648" s="1243"/>
      <c r="D648" s="961"/>
      <c r="E648" s="961"/>
      <c r="F648" s="961"/>
      <c r="G648" s="954"/>
      <c r="H648" s="730" t="s">
        <v>46</v>
      </c>
      <c r="I648" s="830">
        <v>0</v>
      </c>
      <c r="J648" s="830">
        <f ca="1">IFERROR(__xludf.DUMMYFUNCTION("IMPORTRANGE(""https://docs.google.com/spreadsheets/d/1XWAQStnk-4SwqDmLtmXYiTMKHgktTP8We1SCoS47DrQ/edit?usp=sharing"",""จัดที่ดิน!AV23"")"),64.5)</f>
        <v>64.5</v>
      </c>
      <c r="K648" s="831">
        <f t="shared" si="271"/>
        <v>0</v>
      </c>
      <c r="L648" s="945"/>
      <c r="M648" s="945"/>
      <c r="N648" s="945"/>
      <c r="O648" s="945"/>
      <c r="P648" s="945"/>
      <c r="Q648" s="1244"/>
      <c r="R648" s="1244"/>
      <c r="S648" s="1244"/>
      <c r="T648" s="1244"/>
      <c r="U648" s="1244"/>
      <c r="V648" s="1244"/>
      <c r="W648" s="1244"/>
      <c r="X648" s="1244"/>
      <c r="Y648" s="1244"/>
      <c r="Z648" s="1244"/>
    </row>
    <row r="649" spans="1:26" ht="18.75">
      <c r="A649" s="1368"/>
      <c r="B649" s="1242"/>
      <c r="C649" s="1243"/>
      <c r="D649" s="961"/>
      <c r="E649" s="1017" t="s">
        <v>276</v>
      </c>
      <c r="F649" s="961"/>
      <c r="G649" s="954"/>
      <c r="H649" s="730" t="s">
        <v>35</v>
      </c>
      <c r="I649" s="830">
        <f ca="1">IFERROR(__xludf.DUMMYFUNCTION("IMPORTRANGE(""https://docs.google.com/spreadsheets/d/1QqKyyYR6Q21VydFLVH3TRQUabQu_ym0Zz7PgGX0-kHA/edit?usp=sharing"",""แผน!HS23"")"),430)</f>
        <v>430</v>
      </c>
      <c r="J649" s="830">
        <f ca="1">IFERROR(__xludf.DUMMYFUNCTION("IMPORTRANGE(""https://docs.google.com/spreadsheets/d/1XWAQStnk-4SwqDmLtmXYiTMKHgktTP8We1SCoS47DrQ/edit?usp=sharing"",""จัดที่ดิน!AW23"")"),202)</f>
        <v>202</v>
      </c>
      <c r="K649" s="945">
        <f t="shared" ca="1" si="271"/>
        <v>46.97674418604651</v>
      </c>
      <c r="L649" s="945"/>
      <c r="M649" s="945"/>
      <c r="N649" s="945"/>
      <c r="O649" s="945"/>
      <c r="P649" s="945"/>
      <c r="Q649" s="1244"/>
      <c r="R649" s="1244"/>
      <c r="S649" s="1244"/>
      <c r="T649" s="1244"/>
      <c r="U649" s="1244"/>
      <c r="V649" s="1244"/>
      <c r="W649" s="1244"/>
      <c r="X649" s="1244"/>
      <c r="Y649" s="1244"/>
      <c r="Z649" s="1244"/>
    </row>
    <row r="650" spans="1:26" ht="18.75">
      <c r="A650" s="1368"/>
      <c r="B650" s="1242"/>
      <c r="C650" s="1243"/>
      <c r="D650" s="961"/>
      <c r="E650" s="961"/>
      <c r="F650" s="961"/>
      <c r="G650" s="954"/>
      <c r="H650" s="730" t="s">
        <v>46</v>
      </c>
      <c r="I650" s="830">
        <v>0</v>
      </c>
      <c r="J650" s="830">
        <f ca="1">IFERROR(__xludf.DUMMYFUNCTION("IMPORTRANGE(""https://docs.google.com/spreadsheets/d/1XWAQStnk-4SwqDmLtmXYiTMKHgktTP8We1SCoS47DrQ/edit?usp=sharing"",""จัดที่ดิน!AX23"")"),95.25)</f>
        <v>95.25</v>
      </c>
      <c r="K650" s="831">
        <f t="shared" si="271"/>
        <v>0</v>
      </c>
      <c r="L650" s="945"/>
      <c r="M650" s="945"/>
      <c r="N650" s="945"/>
      <c r="O650" s="945"/>
      <c r="P650" s="945"/>
      <c r="Q650" s="1244"/>
      <c r="R650" s="1244"/>
      <c r="S650" s="1244"/>
      <c r="T650" s="1244"/>
      <c r="U650" s="1244"/>
      <c r="V650" s="1244"/>
      <c r="W650" s="1244"/>
      <c r="X650" s="1244"/>
      <c r="Y650" s="1244"/>
      <c r="Z650" s="1244"/>
    </row>
    <row r="651" spans="1:26" ht="18.75">
      <c r="A651" s="1368"/>
      <c r="B651" s="1242"/>
      <c r="C651" s="1243"/>
      <c r="D651" s="961"/>
      <c r="E651" s="1017" t="s">
        <v>277</v>
      </c>
      <c r="F651" s="961"/>
      <c r="G651" s="954"/>
      <c r="H651" s="730" t="s">
        <v>35</v>
      </c>
      <c r="I651" s="830">
        <f ca="1">IFERROR(__xludf.DUMMYFUNCTION("IMPORTRANGE(""https://docs.google.com/spreadsheets/d/1QqKyyYR6Q21VydFLVH3TRQUabQu_ym0Zz7PgGX0-kHA/edit?usp=sharing"",""แผน!HS23"")"),430)</f>
        <v>430</v>
      </c>
      <c r="J651" s="830">
        <f ca="1">IFERROR(__xludf.DUMMYFUNCTION("IMPORTRANGE(""https://docs.google.com/spreadsheets/d/1XWAQStnk-4SwqDmLtmXYiTMKHgktTP8We1SCoS47DrQ/edit?usp=sharing"",""จัดที่ดิน!AY23"")"),202)</f>
        <v>202</v>
      </c>
      <c r="K651" s="945">
        <f t="shared" ca="1" si="271"/>
        <v>46.97674418604651</v>
      </c>
      <c r="L651" s="945"/>
      <c r="M651" s="945"/>
      <c r="N651" s="945"/>
      <c r="O651" s="945"/>
      <c r="P651" s="945"/>
      <c r="Q651" s="1244"/>
      <c r="R651" s="1244"/>
      <c r="S651" s="1244"/>
      <c r="T651" s="1244"/>
      <c r="U651" s="1244"/>
      <c r="V651" s="1244"/>
      <c r="W651" s="1244"/>
      <c r="X651" s="1244"/>
      <c r="Y651" s="1244"/>
      <c r="Z651" s="1244"/>
    </row>
    <row r="652" spans="1:26" ht="18.75">
      <c r="A652" s="1369"/>
      <c r="B652" s="1370"/>
      <c r="C652" s="1371"/>
      <c r="D652" s="1116"/>
      <c r="E652" s="1116"/>
      <c r="F652" s="1116"/>
      <c r="G652" s="1361"/>
      <c r="H652" s="468" t="s">
        <v>46</v>
      </c>
      <c r="I652" s="1085">
        <v>0</v>
      </c>
      <c r="J652" s="1085">
        <f ca="1">IFERROR(__xludf.DUMMYFUNCTION("IMPORTRANGE(""https://docs.google.com/spreadsheets/d/1XWAQStnk-4SwqDmLtmXYiTMKHgktTP8We1SCoS47DrQ/edit?usp=sharing"",""จัดที่ดิน!AZ23"")"),95.25)</f>
        <v>95.25</v>
      </c>
      <c r="K652" s="1182">
        <f t="shared" si="271"/>
        <v>0</v>
      </c>
      <c r="L652" s="1086"/>
      <c r="M652" s="1086"/>
      <c r="N652" s="1086"/>
      <c r="O652" s="1086"/>
      <c r="P652" s="1086"/>
      <c r="Q652" s="1244"/>
      <c r="R652" s="1244"/>
      <c r="S652" s="1244"/>
      <c r="T652" s="1244"/>
      <c r="U652" s="1244"/>
      <c r="V652" s="1244"/>
      <c r="W652" s="1244"/>
      <c r="X652" s="1244"/>
      <c r="Y652" s="1244"/>
      <c r="Z652" s="1244"/>
    </row>
    <row r="653" spans="1:26" ht="19.5">
      <c r="A653" s="716">
        <v>8</v>
      </c>
      <c r="B653" s="1362" t="s">
        <v>278</v>
      </c>
      <c r="C653" s="1363"/>
      <c r="D653" s="1363"/>
      <c r="E653" s="1363"/>
      <c r="F653" s="1363"/>
      <c r="G653" s="1364"/>
      <c r="H653" s="1364"/>
      <c r="I653" s="1372"/>
      <c r="J653" s="1372"/>
      <c r="K653" s="1367"/>
      <c r="L653" s="1367"/>
      <c r="M653" s="1367"/>
      <c r="N653" s="1367"/>
      <c r="O653" s="1367"/>
      <c r="P653" s="1367"/>
      <c r="Q653" s="1244"/>
      <c r="R653" s="1244"/>
      <c r="S653" s="1244"/>
      <c r="T653" s="1244"/>
      <c r="U653" s="1244"/>
      <c r="V653" s="1244"/>
      <c r="W653" s="1244"/>
      <c r="X653" s="1244"/>
      <c r="Y653" s="1244"/>
      <c r="Z653" s="1244"/>
    </row>
    <row r="654" spans="1:26" ht="19.5" hidden="1">
      <c r="A654" s="1315"/>
      <c r="B654" s="1314" t="s">
        <v>279</v>
      </c>
      <c r="C654" s="1315"/>
      <c r="D654" s="1315"/>
      <c r="E654" s="1315"/>
      <c r="F654" s="1315"/>
      <c r="G654" s="1316"/>
      <c r="H654" s="673" t="s">
        <v>46</v>
      </c>
      <c r="I654" s="1317">
        <f t="shared" ref="I654:J654" ca="1" si="272">I669</f>
        <v>0</v>
      </c>
      <c r="J654" s="1317">
        <f t="shared" si="272"/>
        <v>0</v>
      </c>
      <c r="K654" s="1318">
        <f ca="1">IF(I654&gt;0,J654*100/I654,0)</f>
        <v>0</v>
      </c>
      <c r="L654" s="1319"/>
      <c r="M654" s="1319"/>
      <c r="N654" s="1319"/>
      <c r="O654" s="1319"/>
      <c r="P654" s="1319"/>
      <c r="Q654" s="1244"/>
      <c r="R654" s="1244"/>
      <c r="S654" s="1244"/>
      <c r="T654" s="1244"/>
      <c r="U654" s="1244"/>
      <c r="V654" s="1244"/>
      <c r="W654" s="1244"/>
      <c r="X654" s="1244"/>
      <c r="Y654" s="1244"/>
      <c r="Z654" s="1244"/>
    </row>
    <row r="655" spans="1:26" ht="19.5" hidden="1">
      <c r="A655" s="1259"/>
      <c r="B655" s="1243"/>
      <c r="C655" s="1243" t="s">
        <v>16</v>
      </c>
      <c r="D655" s="1507" t="s">
        <v>17</v>
      </c>
      <c r="E655" s="1485"/>
      <c r="F655" s="1485"/>
      <c r="G655" s="963"/>
      <c r="H655" s="563" t="s">
        <v>12</v>
      </c>
      <c r="I655" s="830"/>
      <c r="J655" s="830"/>
      <c r="K655" s="831"/>
      <c r="L655" s="967">
        <f t="shared" ref="L655:N655" ca="1" si="273">L656+L657</f>
        <v>0</v>
      </c>
      <c r="M655" s="967">
        <f t="shared" si="273"/>
        <v>0</v>
      </c>
      <c r="N655" s="967">
        <f t="shared" si="273"/>
        <v>0</v>
      </c>
      <c r="O655" s="967">
        <f t="shared" ref="O655:O660" ca="1" si="274">IF(L655&gt;0,N655*100/L655,0)</f>
        <v>0</v>
      </c>
      <c r="P655" s="967">
        <f t="shared" ref="P655:P660" si="275">IF(M655&gt;0,N655*100/M655,0)</f>
        <v>0</v>
      </c>
      <c r="Q655" s="1244"/>
      <c r="R655" s="1244"/>
      <c r="S655" s="1244"/>
      <c r="T655" s="1244"/>
      <c r="U655" s="1244"/>
      <c r="V655" s="1244"/>
      <c r="W655" s="1244"/>
      <c r="X655" s="1244"/>
      <c r="Y655" s="1244"/>
      <c r="Z655" s="1244"/>
    </row>
    <row r="656" spans="1:26" ht="18.75" hidden="1">
      <c r="A656" s="1260"/>
      <c r="B656" s="1261"/>
      <c r="C656" s="1261"/>
      <c r="D656" s="1262"/>
      <c r="E656" s="1261" t="s">
        <v>184</v>
      </c>
      <c r="F656" s="1261"/>
      <c r="G656" s="1263"/>
      <c r="H656" s="165" t="s">
        <v>12</v>
      </c>
      <c r="I656" s="836"/>
      <c r="J656" s="836"/>
      <c r="K656" s="837"/>
      <c r="L656" s="837">
        <f t="shared" ref="L656:N657" si="276">L659+L666</f>
        <v>0</v>
      </c>
      <c r="M656" s="837">
        <f t="shared" si="276"/>
        <v>0</v>
      </c>
      <c r="N656" s="837">
        <f t="shared" si="276"/>
        <v>0</v>
      </c>
      <c r="O656" s="837">
        <f t="shared" si="274"/>
        <v>0</v>
      </c>
      <c r="P656" s="837">
        <f t="shared" si="275"/>
        <v>0</v>
      </c>
      <c r="Q656" s="1264"/>
      <c r="R656" s="1264"/>
      <c r="S656" s="1264"/>
      <c r="T656" s="1264"/>
      <c r="U656" s="1264"/>
      <c r="V656" s="1264"/>
      <c r="W656" s="1264"/>
      <c r="X656" s="1264"/>
      <c r="Y656" s="1264"/>
      <c r="Z656" s="1264"/>
    </row>
    <row r="657" spans="1:26" ht="18.75" hidden="1">
      <c r="A657" s="1260"/>
      <c r="B657" s="1265"/>
      <c r="C657" s="1261"/>
      <c r="D657" s="1262"/>
      <c r="E657" s="1261" t="s">
        <v>185</v>
      </c>
      <c r="F657" s="1261"/>
      <c r="G657" s="1263"/>
      <c r="H657" s="165" t="s">
        <v>12</v>
      </c>
      <c r="I657" s="836"/>
      <c r="J657" s="836"/>
      <c r="K657" s="837"/>
      <c r="L657" s="837">
        <f t="shared" ca="1" si="276"/>
        <v>0</v>
      </c>
      <c r="M657" s="837">
        <f t="shared" si="276"/>
        <v>0</v>
      </c>
      <c r="N657" s="837">
        <f t="shared" si="276"/>
        <v>0</v>
      </c>
      <c r="O657" s="837">
        <f t="shared" ca="1" si="274"/>
        <v>0</v>
      </c>
      <c r="P657" s="837">
        <f t="shared" si="275"/>
        <v>0</v>
      </c>
      <c r="Q657" s="1264"/>
      <c r="R657" s="1264"/>
      <c r="S657" s="1264"/>
      <c r="T657" s="1264"/>
      <c r="U657" s="1264"/>
      <c r="V657" s="1264"/>
      <c r="W657" s="1264"/>
      <c r="X657" s="1264"/>
      <c r="Y657" s="1264"/>
      <c r="Z657" s="1264"/>
    </row>
    <row r="658" spans="1:26" ht="18.75" hidden="1">
      <c r="A658" s="1259"/>
      <c r="B658" s="1242"/>
      <c r="C658" s="1243"/>
      <c r="D658" s="1266" t="s">
        <v>20</v>
      </c>
      <c r="E658" s="1243"/>
      <c r="F658" s="1243"/>
      <c r="G658" s="963"/>
      <c r="H658" s="778" t="s">
        <v>12</v>
      </c>
      <c r="I658" s="944"/>
      <c r="J658" s="944"/>
      <c r="K658" s="945"/>
      <c r="L658" s="831">
        <f t="shared" ref="L658:N658" ca="1" si="277">L659+L660</f>
        <v>0</v>
      </c>
      <c r="M658" s="831">
        <f t="shared" si="277"/>
        <v>0</v>
      </c>
      <c r="N658" s="831">
        <f t="shared" si="277"/>
        <v>0</v>
      </c>
      <c r="O658" s="831">
        <f t="shared" ca="1" si="274"/>
        <v>0</v>
      </c>
      <c r="P658" s="831">
        <f t="shared" si="275"/>
        <v>0</v>
      </c>
      <c r="Q658" s="1244"/>
      <c r="R658" s="1244"/>
      <c r="S658" s="1244"/>
      <c r="T658" s="1244"/>
      <c r="U658" s="1244"/>
      <c r="V658" s="1244"/>
      <c r="W658" s="1244"/>
      <c r="X658" s="1244"/>
      <c r="Y658" s="1244"/>
      <c r="Z658" s="1244"/>
    </row>
    <row r="659" spans="1:26" ht="18.75" hidden="1">
      <c r="A659" s="1260"/>
      <c r="B659" s="1265"/>
      <c r="C659" s="1261"/>
      <c r="D659" s="1262"/>
      <c r="E659" s="1261" t="s">
        <v>184</v>
      </c>
      <c r="F659" s="1261"/>
      <c r="G659" s="1263"/>
      <c r="H659" s="165" t="s">
        <v>12</v>
      </c>
      <c r="I659" s="836"/>
      <c r="J659" s="836"/>
      <c r="K659" s="837"/>
      <c r="L659" s="837">
        <v>0</v>
      </c>
      <c r="M659" s="837">
        <v>0</v>
      </c>
      <c r="N659" s="837">
        <v>0</v>
      </c>
      <c r="O659" s="837">
        <f t="shared" si="274"/>
        <v>0</v>
      </c>
      <c r="P659" s="837">
        <f t="shared" si="275"/>
        <v>0</v>
      </c>
      <c r="Q659" s="1264"/>
      <c r="R659" s="1264"/>
      <c r="S659" s="1264"/>
      <c r="T659" s="1264"/>
      <c r="U659" s="1264"/>
      <c r="V659" s="1264"/>
      <c r="W659" s="1264"/>
      <c r="X659" s="1264"/>
      <c r="Y659" s="1264"/>
      <c r="Z659" s="1264"/>
    </row>
    <row r="660" spans="1:26" ht="18.75" hidden="1">
      <c r="A660" s="1260"/>
      <c r="B660" s="1265"/>
      <c r="C660" s="1261"/>
      <c r="D660" s="1262"/>
      <c r="E660" s="1261" t="s">
        <v>185</v>
      </c>
      <c r="F660" s="1261"/>
      <c r="G660" s="1263"/>
      <c r="H660" s="165" t="s">
        <v>12</v>
      </c>
      <c r="I660" s="836"/>
      <c r="J660" s="836"/>
      <c r="K660" s="837"/>
      <c r="L660" s="837">
        <f ca="1">IFERROR(__xludf.DUMMYFUNCTION("IMPORTRANGE(""https://docs.google.com/spreadsheets/d/1QqKyyYR6Q21VydFLVH3TRQUabQu_ym0Zz7PgGX0-kHA/edit?usp=sharing"",""แผน!HV23"")"),0)</f>
        <v>0</v>
      </c>
      <c r="M660" s="837">
        <v>0</v>
      </c>
      <c r="N660" s="837">
        <f>N661+N662+N663+N664</f>
        <v>0</v>
      </c>
      <c r="O660" s="837">
        <f t="shared" ca="1" si="274"/>
        <v>0</v>
      </c>
      <c r="P660" s="837">
        <f t="shared" si="275"/>
        <v>0</v>
      </c>
      <c r="Q660" s="1264"/>
      <c r="R660" s="1264"/>
      <c r="S660" s="1264"/>
      <c r="T660" s="1264"/>
      <c r="U660" s="1264"/>
      <c r="V660" s="1264"/>
      <c r="W660" s="1264"/>
      <c r="X660" s="1264"/>
      <c r="Y660" s="1264"/>
      <c r="Z660" s="1264"/>
    </row>
    <row r="661" spans="1:26" ht="18.75" hidden="1">
      <c r="A661" s="1241"/>
      <c r="B661" s="1242"/>
      <c r="C661" s="1243"/>
      <c r="D661" s="1243"/>
      <c r="E661" s="1243"/>
      <c r="F661" s="1243" t="s">
        <v>186</v>
      </c>
      <c r="G661" s="963"/>
      <c r="H661" s="778" t="s">
        <v>12</v>
      </c>
      <c r="I661" s="830"/>
      <c r="J661" s="830"/>
      <c r="K661" s="831"/>
      <c r="L661" s="831"/>
      <c r="M661" s="831"/>
      <c r="N661" s="1031">
        <v>0</v>
      </c>
      <c r="O661" s="831"/>
      <c r="P661" s="831"/>
      <c r="Q661" s="1244"/>
      <c r="R661" s="1244"/>
      <c r="S661" s="1244"/>
      <c r="T661" s="1244"/>
      <c r="U661" s="1244"/>
      <c r="V661" s="1244"/>
      <c r="W661" s="1244"/>
      <c r="X661" s="1244"/>
      <c r="Y661" s="1244"/>
      <c r="Z661" s="1244"/>
    </row>
    <row r="662" spans="1:26" ht="18.75" hidden="1">
      <c r="A662" s="1241"/>
      <c r="B662" s="1242"/>
      <c r="C662" s="1243"/>
      <c r="D662" s="1243"/>
      <c r="E662" s="1243"/>
      <c r="F662" s="1243" t="s">
        <v>187</v>
      </c>
      <c r="G662" s="963"/>
      <c r="H662" s="778" t="s">
        <v>12</v>
      </c>
      <c r="I662" s="830"/>
      <c r="J662" s="830"/>
      <c r="K662" s="831"/>
      <c r="L662" s="831"/>
      <c r="M662" s="831"/>
      <c r="N662" s="1031">
        <v>0</v>
      </c>
      <c r="O662" s="831"/>
      <c r="P662" s="831"/>
      <c r="Q662" s="1244"/>
      <c r="R662" s="1244"/>
      <c r="S662" s="1244"/>
      <c r="T662" s="1244"/>
      <c r="U662" s="1244"/>
      <c r="V662" s="1244"/>
      <c r="W662" s="1244"/>
      <c r="X662" s="1244"/>
      <c r="Y662" s="1244"/>
      <c r="Z662" s="1244"/>
    </row>
    <row r="663" spans="1:26" ht="18.75" hidden="1">
      <c r="A663" s="1241"/>
      <c r="B663" s="1242"/>
      <c r="C663" s="1242"/>
      <c r="D663" s="1243"/>
      <c r="E663" s="1243"/>
      <c r="F663" s="1243" t="s">
        <v>188</v>
      </c>
      <c r="G663" s="963"/>
      <c r="H663" s="778" t="s">
        <v>12</v>
      </c>
      <c r="I663" s="830"/>
      <c r="J663" s="830"/>
      <c r="K663" s="831"/>
      <c r="L663" s="831"/>
      <c r="M663" s="831"/>
      <c r="N663" s="1031">
        <v>0</v>
      </c>
      <c r="O663" s="831"/>
      <c r="P663" s="831"/>
      <c r="Q663" s="1244"/>
      <c r="R663" s="1244"/>
      <c r="S663" s="1244"/>
      <c r="T663" s="1244"/>
      <c r="U663" s="1244"/>
      <c r="V663" s="1244"/>
      <c r="W663" s="1244"/>
      <c r="X663" s="1244"/>
      <c r="Y663" s="1244"/>
      <c r="Z663" s="1244"/>
    </row>
    <row r="664" spans="1:26" ht="18.75" hidden="1">
      <c r="A664" s="1241"/>
      <c r="B664" s="1242"/>
      <c r="C664" s="1242"/>
      <c r="D664" s="1242"/>
      <c r="E664" s="1243"/>
      <c r="F664" s="1243" t="s">
        <v>189</v>
      </c>
      <c r="G664" s="963"/>
      <c r="H664" s="778" t="s">
        <v>12</v>
      </c>
      <c r="I664" s="830"/>
      <c r="J664" s="830"/>
      <c r="K664" s="831"/>
      <c r="L664" s="831"/>
      <c r="M664" s="831"/>
      <c r="N664" s="1031">
        <v>0</v>
      </c>
      <c r="O664" s="831"/>
      <c r="P664" s="831"/>
      <c r="Q664" s="1244"/>
      <c r="R664" s="1244"/>
      <c r="S664" s="1244"/>
      <c r="T664" s="1244"/>
      <c r="U664" s="1244"/>
      <c r="V664" s="1244"/>
      <c r="W664" s="1244"/>
      <c r="X664" s="1244"/>
      <c r="Y664" s="1244"/>
      <c r="Z664" s="1244"/>
    </row>
    <row r="665" spans="1:26" ht="18.75" hidden="1">
      <c r="A665" s="1259"/>
      <c r="B665" s="1242"/>
      <c r="C665" s="1242"/>
      <c r="D665" s="1266" t="s">
        <v>21</v>
      </c>
      <c r="E665" s="1243"/>
      <c r="F665" s="1243"/>
      <c r="G665" s="963"/>
      <c r="H665" s="168" t="s">
        <v>12</v>
      </c>
      <c r="I665" s="944"/>
      <c r="J665" s="944"/>
      <c r="K665" s="945"/>
      <c r="L665" s="831">
        <f t="shared" ref="L665:N665" si="278">L666+L667</f>
        <v>0</v>
      </c>
      <c r="M665" s="831">
        <f t="shared" si="278"/>
        <v>0</v>
      </c>
      <c r="N665" s="831">
        <f t="shared" si="278"/>
        <v>0</v>
      </c>
      <c r="O665" s="831">
        <f t="shared" ref="O665:O667" si="279">IF(L665&gt;0,N665*100/L665,0)</f>
        <v>0</v>
      </c>
      <c r="P665" s="831">
        <f t="shared" ref="P665:P667" si="280">IF(M665&gt;0,N665*100/M665,0)</f>
        <v>0</v>
      </c>
      <c r="Q665" s="1244"/>
      <c r="R665" s="1244"/>
      <c r="S665" s="1244"/>
      <c r="T665" s="1244"/>
      <c r="U665" s="1244"/>
      <c r="V665" s="1244"/>
      <c r="W665" s="1244"/>
      <c r="X665" s="1244"/>
      <c r="Y665" s="1244"/>
      <c r="Z665" s="1244"/>
    </row>
    <row r="666" spans="1:26" ht="18.75" hidden="1">
      <c r="A666" s="1260"/>
      <c r="B666" s="1265"/>
      <c r="C666" s="1265"/>
      <c r="D666" s="1265"/>
      <c r="E666" s="1261" t="s">
        <v>18</v>
      </c>
      <c r="F666" s="1261"/>
      <c r="G666" s="1263"/>
      <c r="H666" s="165" t="s">
        <v>12</v>
      </c>
      <c r="I666" s="947"/>
      <c r="J666" s="947"/>
      <c r="K666" s="948"/>
      <c r="L666" s="837">
        <v>0</v>
      </c>
      <c r="M666" s="837">
        <v>0</v>
      </c>
      <c r="N666" s="837">
        <v>0</v>
      </c>
      <c r="O666" s="837">
        <f t="shared" si="279"/>
        <v>0</v>
      </c>
      <c r="P666" s="837">
        <f t="shared" si="280"/>
        <v>0</v>
      </c>
      <c r="Q666" s="1264"/>
      <c r="R666" s="1264"/>
      <c r="S666" s="1264"/>
      <c r="T666" s="1264"/>
      <c r="U666" s="1264"/>
      <c r="V666" s="1264"/>
      <c r="W666" s="1264"/>
      <c r="X666" s="1264"/>
      <c r="Y666" s="1264"/>
      <c r="Z666" s="1264"/>
    </row>
    <row r="667" spans="1:26" ht="18.75" hidden="1">
      <c r="A667" s="1260"/>
      <c r="B667" s="1265"/>
      <c r="C667" s="1265"/>
      <c r="D667" s="1265"/>
      <c r="E667" s="1261" t="s">
        <v>19</v>
      </c>
      <c r="F667" s="1261"/>
      <c r="G667" s="1263"/>
      <c r="H667" s="169" t="s">
        <v>12</v>
      </c>
      <c r="I667" s="947"/>
      <c r="J667" s="947"/>
      <c r="K667" s="948"/>
      <c r="L667" s="837">
        <v>0</v>
      </c>
      <c r="M667" s="837">
        <v>0</v>
      </c>
      <c r="N667" s="837">
        <v>0</v>
      </c>
      <c r="O667" s="837">
        <f t="shared" si="279"/>
        <v>0</v>
      </c>
      <c r="P667" s="837">
        <f t="shared" si="280"/>
        <v>0</v>
      </c>
      <c r="Q667" s="1264"/>
      <c r="R667" s="1264"/>
      <c r="S667" s="1264"/>
      <c r="T667" s="1264"/>
      <c r="U667" s="1264"/>
      <c r="V667" s="1264"/>
      <c r="W667" s="1264"/>
      <c r="X667" s="1264"/>
      <c r="Y667" s="1264"/>
      <c r="Z667" s="1264"/>
    </row>
    <row r="668" spans="1:26" ht="19.5" hidden="1">
      <c r="A668" s="1267"/>
      <c r="B668" s="1268"/>
      <c r="C668" s="1242" t="s">
        <v>16</v>
      </c>
      <c r="D668" s="1269" t="s">
        <v>38</v>
      </c>
      <c r="E668" s="1271"/>
      <c r="F668" s="1271"/>
      <c r="G668" s="1272"/>
      <c r="H668" s="954"/>
      <c r="I668" s="944"/>
      <c r="J668" s="944"/>
      <c r="K668" s="945"/>
      <c r="L668" s="945"/>
      <c r="M668" s="945"/>
      <c r="N668" s="945"/>
      <c r="O668" s="945"/>
      <c r="P668" s="945"/>
      <c r="Q668" s="1244"/>
      <c r="R668" s="1244"/>
      <c r="S668" s="1244"/>
      <c r="T668" s="1244"/>
      <c r="U668" s="1244"/>
      <c r="V668" s="1244"/>
      <c r="W668" s="1244"/>
      <c r="X668" s="1244"/>
      <c r="Y668" s="1244"/>
      <c r="Z668" s="1244"/>
    </row>
    <row r="669" spans="1:26" ht="19.5" hidden="1">
      <c r="A669" s="1267"/>
      <c r="B669" s="1268"/>
      <c r="C669" s="1268"/>
      <c r="D669" s="1268" t="s">
        <v>280</v>
      </c>
      <c r="E669" s="961"/>
      <c r="F669" s="961"/>
      <c r="G669" s="954"/>
      <c r="H669" s="733" t="s">
        <v>46</v>
      </c>
      <c r="I669" s="966">
        <f ca="1">IFERROR(__xludf.DUMMYFUNCTION("IMPORTRANGE(""https://docs.google.com/spreadsheets/d/1QqKyyYR6Q21VydFLVH3TRQUabQu_ym0Zz7PgGX0-kHA/edit?usp=sharing"",""แผน!IA23"")"),0)</f>
        <v>0</v>
      </c>
      <c r="J669" s="966">
        <f>J675</f>
        <v>0</v>
      </c>
      <c r="K669" s="967">
        <f ca="1">IF(I669&gt;0,J669*100/I669,0)</f>
        <v>0</v>
      </c>
      <c r="L669" s="945"/>
      <c r="M669" s="945"/>
      <c r="N669" s="945"/>
      <c r="O669" s="945"/>
      <c r="P669" s="945"/>
      <c r="Q669" s="1244"/>
      <c r="R669" s="1244"/>
      <c r="S669" s="1244"/>
      <c r="T669" s="1244"/>
      <c r="U669" s="1244"/>
      <c r="V669" s="1244"/>
      <c r="W669" s="1244"/>
      <c r="X669" s="1244"/>
      <c r="Y669" s="1244"/>
      <c r="Z669" s="1244"/>
    </row>
    <row r="670" spans="1:26" ht="18.75" hidden="1">
      <c r="A670" s="1267"/>
      <c r="B670" s="1268"/>
      <c r="C670" s="1268"/>
      <c r="D670" s="1268"/>
      <c r="E670" s="961" t="s">
        <v>281</v>
      </c>
      <c r="F670" s="961"/>
      <c r="G670" s="954"/>
      <c r="H670" s="730" t="s">
        <v>66</v>
      </c>
      <c r="I670" s="830">
        <f ca="1">IFERROR(__xludf.DUMMYFUNCTION("IMPORTRANGE(""https://docs.google.com/spreadsheets/d/1QqKyyYR6Q21VydFLVH3TRQUabQu_ym0Zz7PgGX0-kHA/edit?usp=sharing"",""แผน!HZ23"")"),0)</f>
        <v>0</v>
      </c>
      <c r="J670" s="959">
        <v>0</v>
      </c>
      <c r="K670" s="831">
        <f ca="1">IF(I670&gt;0,(J670*100)/I670,0)</f>
        <v>0</v>
      </c>
      <c r="L670" s="945"/>
      <c r="M670" s="945"/>
      <c r="N670" s="945"/>
      <c r="O670" s="945"/>
      <c r="P670" s="945"/>
      <c r="Q670" s="1244"/>
      <c r="R670" s="1244"/>
      <c r="S670" s="1244"/>
      <c r="T670" s="1244"/>
      <c r="U670" s="1244"/>
      <c r="V670" s="1244"/>
      <c r="W670" s="1244"/>
      <c r="X670" s="1244"/>
      <c r="Y670" s="1244"/>
      <c r="Z670" s="1244"/>
    </row>
    <row r="671" spans="1:26" ht="18.75" hidden="1">
      <c r="A671" s="1267"/>
      <c r="B671" s="1268"/>
      <c r="C671" s="1268"/>
      <c r="D671" s="1268"/>
      <c r="E671" s="961" t="s">
        <v>282</v>
      </c>
      <c r="F671" s="961"/>
      <c r="G671" s="954"/>
      <c r="H671" s="730" t="s">
        <v>66</v>
      </c>
      <c r="I671" s="830">
        <f ca="1">IFERROR(__xludf.DUMMYFUNCTION("IMPORTRANGE(""https://docs.google.com/spreadsheets/d/1QqKyyYR6Q21VydFLVH3TRQUabQu_ym0Zz7PgGX0-kHA/edit?usp=sharing"",""แผน!HZ23"")"),0)</f>
        <v>0</v>
      </c>
      <c r="J671" s="959">
        <v>0</v>
      </c>
      <c r="K671" s="831">
        <f ca="1">IF(I$671&gt;0,J671*100/I$671,0)</f>
        <v>0</v>
      </c>
      <c r="L671" s="945"/>
      <c r="M671" s="945"/>
      <c r="N671" s="945"/>
      <c r="O671" s="945"/>
      <c r="P671" s="945"/>
      <c r="Q671" s="1244"/>
      <c r="R671" s="1244"/>
      <c r="S671" s="1244"/>
      <c r="T671" s="1244"/>
      <c r="U671" s="1244"/>
      <c r="V671" s="1244"/>
      <c r="W671" s="1244"/>
      <c r="X671" s="1244"/>
      <c r="Y671" s="1244"/>
      <c r="Z671" s="1244"/>
    </row>
    <row r="672" spans="1:26" ht="18.75" hidden="1">
      <c r="A672" s="1267"/>
      <c r="B672" s="1268"/>
      <c r="C672" s="1268"/>
      <c r="D672" s="1268"/>
      <c r="E672" s="961" t="s">
        <v>283</v>
      </c>
      <c r="F672" s="961"/>
      <c r="G672" s="954"/>
      <c r="H672" s="730" t="s">
        <v>46</v>
      </c>
      <c r="I672" s="830"/>
      <c r="J672" s="959">
        <v>0</v>
      </c>
      <c r="K672" s="831">
        <f t="shared" ref="K672:K675" ca="1" si="281">IF(I$669&gt;0,J672*100/I$669,0)</f>
        <v>0</v>
      </c>
      <c r="L672" s="945"/>
      <c r="M672" s="945"/>
      <c r="N672" s="945"/>
      <c r="O672" s="945"/>
      <c r="P672" s="945"/>
      <c r="Q672" s="1244"/>
      <c r="R672" s="1244"/>
      <c r="S672" s="1244"/>
      <c r="T672" s="1244"/>
      <c r="U672" s="1244"/>
      <c r="V672" s="1244"/>
      <c r="W672" s="1244"/>
      <c r="X672" s="1244"/>
      <c r="Y672" s="1244"/>
      <c r="Z672" s="1244"/>
    </row>
    <row r="673" spans="1:26" ht="18.75" hidden="1">
      <c r="A673" s="1267"/>
      <c r="B673" s="1268"/>
      <c r="C673" s="1268"/>
      <c r="D673" s="1268"/>
      <c r="E673" s="961" t="s">
        <v>284</v>
      </c>
      <c r="F673" s="961"/>
      <c r="G673" s="954"/>
      <c r="H673" s="730" t="s">
        <v>46</v>
      </c>
      <c r="I673" s="830"/>
      <c r="J673" s="959">
        <v>0</v>
      </c>
      <c r="K673" s="831">
        <f t="shared" ca="1" si="281"/>
        <v>0</v>
      </c>
      <c r="L673" s="945"/>
      <c r="M673" s="945"/>
      <c r="N673" s="945"/>
      <c r="O673" s="945"/>
      <c r="P673" s="945"/>
      <c r="Q673" s="1244"/>
      <c r="R673" s="1244"/>
      <c r="S673" s="1244"/>
      <c r="T673" s="1244"/>
      <c r="U673" s="1244"/>
      <c r="V673" s="1244"/>
      <c r="W673" s="1244"/>
      <c r="X673" s="1244"/>
      <c r="Y673" s="1244"/>
      <c r="Z673" s="1244"/>
    </row>
    <row r="674" spans="1:26" ht="18.75" hidden="1">
      <c r="A674" s="1267"/>
      <c r="B674" s="1268"/>
      <c r="C674" s="1268"/>
      <c r="D674" s="1268"/>
      <c r="E674" s="961" t="s">
        <v>285</v>
      </c>
      <c r="F674" s="961"/>
      <c r="G674" s="954"/>
      <c r="H674" s="730" t="s">
        <v>46</v>
      </c>
      <c r="I674" s="830"/>
      <c r="J674" s="959">
        <v>0</v>
      </c>
      <c r="K674" s="831">
        <f t="shared" ca="1" si="281"/>
        <v>0</v>
      </c>
      <c r="L674" s="945"/>
      <c r="M674" s="945"/>
      <c r="N674" s="945"/>
      <c r="O674" s="945"/>
      <c r="P674" s="945"/>
      <c r="Q674" s="1244"/>
      <c r="R674" s="1244"/>
      <c r="S674" s="1244"/>
      <c r="T674" s="1244"/>
      <c r="U674" s="1244"/>
      <c r="V674" s="1244"/>
      <c r="W674" s="1244"/>
      <c r="X674" s="1244"/>
      <c r="Y674" s="1244"/>
      <c r="Z674" s="1244"/>
    </row>
    <row r="675" spans="1:26" ht="19.5" hidden="1">
      <c r="A675" s="1267"/>
      <c r="B675" s="1268"/>
      <c r="C675" s="1268"/>
      <c r="D675" s="1268"/>
      <c r="E675" s="961" t="s">
        <v>286</v>
      </c>
      <c r="F675" s="961"/>
      <c r="G675" s="954"/>
      <c r="H675" s="730" t="s">
        <v>46</v>
      </c>
      <c r="I675" s="830"/>
      <c r="J675" s="966">
        <f>J676+J677</f>
        <v>0</v>
      </c>
      <c r="K675" s="967">
        <f t="shared" ca="1" si="281"/>
        <v>0</v>
      </c>
      <c r="L675" s="945"/>
      <c r="M675" s="945"/>
      <c r="N675" s="945"/>
      <c r="O675" s="945"/>
      <c r="P675" s="945"/>
      <c r="Q675" s="1244"/>
      <c r="R675" s="1244"/>
      <c r="S675" s="1244"/>
      <c r="T675" s="1244"/>
      <c r="U675" s="1244"/>
      <c r="V675" s="1244"/>
      <c r="W675" s="1244"/>
      <c r="X675" s="1244"/>
      <c r="Y675" s="1244"/>
      <c r="Z675" s="1244"/>
    </row>
    <row r="676" spans="1:26" ht="18.75" hidden="1">
      <c r="A676" s="1267"/>
      <c r="B676" s="1268"/>
      <c r="C676" s="1268"/>
      <c r="D676" s="1268"/>
      <c r="E676" s="961"/>
      <c r="F676" s="961" t="s">
        <v>287</v>
      </c>
      <c r="G676" s="954"/>
      <c r="H676" s="730" t="s">
        <v>46</v>
      </c>
      <c r="I676" s="830"/>
      <c r="J676" s="959">
        <v>0</v>
      </c>
      <c r="K676" s="831"/>
      <c r="L676" s="945"/>
      <c r="M676" s="945"/>
      <c r="N676" s="945"/>
      <c r="O676" s="945"/>
      <c r="P676" s="945"/>
      <c r="Q676" s="1244"/>
      <c r="R676" s="1244"/>
      <c r="S676" s="1244"/>
      <c r="T676" s="1244"/>
      <c r="U676" s="1244"/>
      <c r="V676" s="1244"/>
      <c r="W676" s="1244"/>
      <c r="X676" s="1244"/>
      <c r="Y676" s="1244"/>
      <c r="Z676" s="1244"/>
    </row>
    <row r="677" spans="1:26" ht="18.75" hidden="1">
      <c r="A677" s="1267"/>
      <c r="B677" s="1268"/>
      <c r="C677" s="1268"/>
      <c r="D677" s="1268"/>
      <c r="E677" s="961"/>
      <c r="F677" s="961" t="s">
        <v>288</v>
      </c>
      <c r="G677" s="954"/>
      <c r="H677" s="730" t="s">
        <v>46</v>
      </c>
      <c r="I677" s="830"/>
      <c r="J677" s="959">
        <v>0</v>
      </c>
      <c r="K677" s="831"/>
      <c r="L677" s="945"/>
      <c r="M677" s="945"/>
      <c r="N677" s="945"/>
      <c r="O677" s="945"/>
      <c r="P677" s="945"/>
      <c r="Q677" s="1244"/>
      <c r="R677" s="1244"/>
      <c r="S677" s="1244"/>
      <c r="T677" s="1244"/>
      <c r="U677" s="1244"/>
      <c r="V677" s="1244"/>
      <c r="W677" s="1244"/>
      <c r="X677" s="1244"/>
      <c r="Y677" s="1244"/>
      <c r="Z677" s="1244"/>
    </row>
    <row r="678" spans="1:26" ht="19.5" hidden="1">
      <c r="A678" s="1267"/>
      <c r="B678" s="1268"/>
      <c r="C678" s="1268"/>
      <c r="D678" s="1268" t="s">
        <v>289</v>
      </c>
      <c r="E678" s="961"/>
      <c r="F678" s="961"/>
      <c r="G678" s="954"/>
      <c r="H678" s="730" t="s">
        <v>46</v>
      </c>
      <c r="I678" s="966">
        <f ca="1">IFERROR(__xludf.DUMMYFUNCTION("IMPORTRANGE(""https://docs.google.com/spreadsheets/d/1QqKyyYR6Q21VydFLVH3TRQUabQu_ym0Zz7PgGX0-kHA/edit?usp=sharing"",""แผน!IB23"")"),0)</f>
        <v>0</v>
      </c>
      <c r="J678" s="966">
        <f>J679</f>
        <v>0</v>
      </c>
      <c r="K678" s="967">
        <f ca="1">IF(I678&gt;0,J678*100/I678,0)</f>
        <v>0</v>
      </c>
      <c r="L678" s="945"/>
      <c r="M678" s="945"/>
      <c r="N678" s="945"/>
      <c r="O678" s="945"/>
      <c r="P678" s="945"/>
      <c r="Q678" s="1244"/>
      <c r="R678" s="1244"/>
      <c r="S678" s="1244"/>
      <c r="T678" s="1244"/>
      <c r="U678" s="1244"/>
      <c r="V678" s="1244"/>
      <c r="W678" s="1244"/>
      <c r="X678" s="1244"/>
      <c r="Y678" s="1244"/>
      <c r="Z678" s="1244"/>
    </row>
    <row r="679" spans="1:26" ht="18.75" hidden="1">
      <c r="A679" s="1267"/>
      <c r="B679" s="1268"/>
      <c r="C679" s="1268"/>
      <c r="D679" s="1268"/>
      <c r="E679" s="961" t="s">
        <v>290</v>
      </c>
      <c r="F679" s="961"/>
      <c r="G679" s="954"/>
      <c r="H679" s="730" t="s">
        <v>46</v>
      </c>
      <c r="I679" s="830"/>
      <c r="J679" s="830">
        <f>J680+J681</f>
        <v>0</v>
      </c>
      <c r="K679" s="831"/>
      <c r="L679" s="945"/>
      <c r="M679" s="945"/>
      <c r="N679" s="945"/>
      <c r="O679" s="945"/>
      <c r="P679" s="945"/>
      <c r="Q679" s="1244"/>
      <c r="R679" s="1244"/>
      <c r="S679" s="1244"/>
      <c r="T679" s="1244"/>
      <c r="U679" s="1244"/>
      <c r="V679" s="1244"/>
      <c r="W679" s="1244"/>
      <c r="X679" s="1244"/>
      <c r="Y679" s="1244"/>
      <c r="Z679" s="1244"/>
    </row>
    <row r="680" spans="1:26" ht="18.75" hidden="1">
      <c r="A680" s="1267"/>
      <c r="B680" s="1268"/>
      <c r="C680" s="1268"/>
      <c r="D680" s="1268"/>
      <c r="E680" s="961"/>
      <c r="F680" s="961" t="s">
        <v>287</v>
      </c>
      <c r="G680" s="954"/>
      <c r="H680" s="730" t="s">
        <v>46</v>
      </c>
      <c r="I680" s="830"/>
      <c r="J680" s="959">
        <v>0</v>
      </c>
      <c r="K680" s="831"/>
      <c r="L680" s="945"/>
      <c r="M680" s="945"/>
      <c r="N680" s="945"/>
      <c r="O680" s="945"/>
      <c r="P680" s="945"/>
      <c r="Q680" s="1244"/>
      <c r="R680" s="1244"/>
      <c r="S680" s="1244"/>
      <c r="T680" s="1244"/>
      <c r="U680" s="1244"/>
      <c r="V680" s="1244"/>
      <c r="W680" s="1244"/>
      <c r="X680" s="1244"/>
      <c r="Y680" s="1244"/>
      <c r="Z680" s="1244"/>
    </row>
    <row r="681" spans="1:26" ht="18.75" hidden="1">
      <c r="A681" s="1267"/>
      <c r="B681" s="1268"/>
      <c r="C681" s="1268"/>
      <c r="D681" s="1268"/>
      <c r="E681" s="961"/>
      <c r="F681" s="961" t="s">
        <v>288</v>
      </c>
      <c r="G681" s="954"/>
      <c r="H681" s="730" t="s">
        <v>46</v>
      </c>
      <c r="I681" s="830"/>
      <c r="J681" s="959">
        <v>0</v>
      </c>
      <c r="K681" s="831"/>
      <c r="L681" s="945"/>
      <c r="M681" s="945"/>
      <c r="N681" s="945"/>
      <c r="O681" s="945"/>
      <c r="P681" s="945"/>
      <c r="Q681" s="1244"/>
      <c r="R681" s="1244"/>
      <c r="S681" s="1244"/>
      <c r="T681" s="1244"/>
      <c r="U681" s="1244"/>
      <c r="V681" s="1244"/>
      <c r="W681" s="1244"/>
      <c r="X681" s="1244"/>
      <c r="Y681" s="1244"/>
      <c r="Z681" s="1244"/>
    </row>
    <row r="682" spans="1:26" ht="18.75" hidden="1">
      <c r="A682" s="1267"/>
      <c r="B682" s="1268"/>
      <c r="C682" s="1268"/>
      <c r="D682" s="1268"/>
      <c r="E682" s="961" t="s">
        <v>291</v>
      </c>
      <c r="F682" s="961"/>
      <c r="G682" s="954"/>
      <c r="H682" s="730" t="s">
        <v>46</v>
      </c>
      <c r="I682" s="830"/>
      <c r="J682" s="959">
        <v>0</v>
      </c>
      <c r="K682" s="831"/>
      <c r="L682" s="945"/>
      <c r="M682" s="945"/>
      <c r="N682" s="945"/>
      <c r="O682" s="945"/>
      <c r="P682" s="945"/>
      <c r="Q682" s="1244"/>
      <c r="R682" s="1244"/>
      <c r="S682" s="1244"/>
      <c r="T682" s="1244"/>
      <c r="U682" s="1244"/>
      <c r="V682" s="1244"/>
      <c r="W682" s="1244"/>
      <c r="X682" s="1244"/>
      <c r="Y682" s="1244"/>
      <c r="Z682" s="1244"/>
    </row>
    <row r="683" spans="1:26" ht="18.75" hidden="1">
      <c r="A683" s="1267"/>
      <c r="B683" s="1268"/>
      <c r="C683" s="1268"/>
      <c r="D683" s="1268"/>
      <c r="E683" s="961"/>
      <c r="F683" s="961" t="s">
        <v>292</v>
      </c>
      <c r="G683" s="954"/>
      <c r="H683" s="730" t="s">
        <v>46</v>
      </c>
      <c r="I683" s="830"/>
      <c r="J683" s="959">
        <v>0</v>
      </c>
      <c r="K683" s="831"/>
      <c r="L683" s="945"/>
      <c r="M683" s="945"/>
      <c r="N683" s="945"/>
      <c r="O683" s="945"/>
      <c r="P683" s="945"/>
      <c r="Q683" s="1244"/>
      <c r="R683" s="1244"/>
      <c r="S683" s="1244"/>
      <c r="T683" s="1244"/>
      <c r="U683" s="1244"/>
      <c r="V683" s="1244"/>
      <c r="W683" s="1244"/>
      <c r="X683" s="1244"/>
      <c r="Y683" s="1244"/>
      <c r="Z683" s="1244"/>
    </row>
    <row r="684" spans="1:26" ht="19.5">
      <c r="A684" s="1373"/>
      <c r="B684" s="1374" t="s">
        <v>293</v>
      </c>
      <c r="C684" s="1373"/>
      <c r="D684" s="1373"/>
      <c r="E684" s="1373"/>
      <c r="F684" s="1373"/>
      <c r="G684" s="1375"/>
      <c r="H684" s="1375"/>
      <c r="I684" s="1376"/>
      <c r="J684" s="1376"/>
      <c r="K684" s="1377"/>
      <c r="L684" s="1377"/>
      <c r="M684" s="1377"/>
      <c r="N684" s="1377"/>
      <c r="O684" s="1377"/>
      <c r="P684" s="1377"/>
      <c r="Q684" s="1244"/>
      <c r="R684" s="1244"/>
      <c r="S684" s="1244"/>
      <c r="T684" s="1244"/>
      <c r="U684" s="1244"/>
      <c r="V684" s="1244"/>
      <c r="W684" s="1244"/>
      <c r="X684" s="1244"/>
      <c r="Y684" s="1244"/>
      <c r="Z684" s="1244"/>
    </row>
    <row r="685" spans="1:26" ht="19.5">
      <c r="A685" s="1259"/>
      <c r="B685" s="1243"/>
      <c r="C685" s="1243" t="s">
        <v>16</v>
      </c>
      <c r="D685" s="1507" t="s">
        <v>17</v>
      </c>
      <c r="E685" s="1485"/>
      <c r="F685" s="1485"/>
      <c r="G685" s="963"/>
      <c r="H685" s="563" t="s">
        <v>12</v>
      </c>
      <c r="I685" s="830"/>
      <c r="J685" s="830"/>
      <c r="K685" s="831"/>
      <c r="L685" s="967">
        <f t="shared" ref="L685:N685" ca="1" si="282">L686+L687</f>
        <v>14880</v>
      </c>
      <c r="M685" s="967">
        <f t="shared" si="282"/>
        <v>0</v>
      </c>
      <c r="N685" s="967">
        <f t="shared" si="282"/>
        <v>0</v>
      </c>
      <c r="O685" s="967">
        <f t="shared" ref="O685:O688" ca="1" si="283">IF(L685&gt;0,N685*100/L685,0)</f>
        <v>0</v>
      </c>
      <c r="P685" s="967">
        <f t="shared" ref="P685:P688" si="284">IF(M685&gt;0,N685*100/M685,0)</f>
        <v>0</v>
      </c>
      <c r="Q685" s="1244"/>
      <c r="R685" s="1244"/>
      <c r="S685" s="1244"/>
      <c r="T685" s="1244"/>
      <c r="U685" s="1244"/>
      <c r="V685" s="1244"/>
      <c r="W685" s="1244"/>
      <c r="X685" s="1244"/>
      <c r="Y685" s="1244"/>
      <c r="Z685" s="1244"/>
    </row>
    <row r="686" spans="1:26" ht="18.75" hidden="1">
      <c r="A686" s="1260"/>
      <c r="B686" s="1261"/>
      <c r="C686" s="1261"/>
      <c r="D686" s="1262"/>
      <c r="E686" s="1261" t="s">
        <v>184</v>
      </c>
      <c r="F686" s="1261"/>
      <c r="G686" s="1263"/>
      <c r="H686" s="165" t="s">
        <v>12</v>
      </c>
      <c r="I686" s="836"/>
      <c r="J686" s="836"/>
      <c r="K686" s="837"/>
      <c r="L686" s="837">
        <f t="shared" ref="L686:N687" si="285">L689+L696</f>
        <v>0</v>
      </c>
      <c r="M686" s="837">
        <f t="shared" si="285"/>
        <v>0</v>
      </c>
      <c r="N686" s="837">
        <f t="shared" si="285"/>
        <v>0</v>
      </c>
      <c r="O686" s="837">
        <f t="shared" si="283"/>
        <v>0</v>
      </c>
      <c r="P686" s="837">
        <f t="shared" si="284"/>
        <v>0</v>
      </c>
      <c r="Q686" s="1264"/>
      <c r="R686" s="1264"/>
      <c r="S686" s="1264"/>
      <c r="T686" s="1264"/>
      <c r="U686" s="1264"/>
      <c r="V686" s="1264"/>
      <c r="W686" s="1264"/>
      <c r="X686" s="1264"/>
      <c r="Y686" s="1264"/>
      <c r="Z686" s="1264"/>
    </row>
    <row r="687" spans="1:26" ht="18.75" hidden="1">
      <c r="A687" s="1260"/>
      <c r="B687" s="1265"/>
      <c r="C687" s="1261"/>
      <c r="D687" s="1262"/>
      <c r="E687" s="1261" t="s">
        <v>185</v>
      </c>
      <c r="F687" s="1261"/>
      <c r="G687" s="1263"/>
      <c r="H687" s="165" t="s">
        <v>12</v>
      </c>
      <c r="I687" s="836"/>
      <c r="J687" s="836"/>
      <c r="K687" s="837"/>
      <c r="L687" s="837">
        <f t="shared" ca="1" si="285"/>
        <v>14880</v>
      </c>
      <c r="M687" s="837">
        <f t="shared" si="285"/>
        <v>0</v>
      </c>
      <c r="N687" s="837">
        <f t="shared" si="285"/>
        <v>0</v>
      </c>
      <c r="O687" s="837">
        <f t="shared" ca="1" si="283"/>
        <v>0</v>
      </c>
      <c r="P687" s="837">
        <f t="shared" si="284"/>
        <v>0</v>
      </c>
      <c r="Q687" s="1264"/>
      <c r="R687" s="1264"/>
      <c r="S687" s="1264"/>
      <c r="T687" s="1264"/>
      <c r="U687" s="1264"/>
      <c r="V687" s="1264"/>
      <c r="W687" s="1264"/>
      <c r="X687" s="1264"/>
      <c r="Y687" s="1264"/>
      <c r="Z687" s="1264"/>
    </row>
    <row r="688" spans="1:26" ht="18.75">
      <c r="A688" s="1259"/>
      <c r="B688" s="1242"/>
      <c r="C688" s="1243"/>
      <c r="D688" s="1266" t="s">
        <v>20</v>
      </c>
      <c r="E688" s="1243"/>
      <c r="F688" s="1243"/>
      <c r="G688" s="963"/>
      <c r="H688" s="778" t="s">
        <v>12</v>
      </c>
      <c r="I688" s="944"/>
      <c r="J688" s="944"/>
      <c r="K688" s="945"/>
      <c r="L688" s="831">
        <f t="shared" ref="L688:N688" ca="1" si="286">L689+L690</f>
        <v>14880</v>
      </c>
      <c r="M688" s="831">
        <f t="shared" si="286"/>
        <v>0</v>
      </c>
      <c r="N688" s="831">
        <f t="shared" si="286"/>
        <v>0</v>
      </c>
      <c r="O688" s="831">
        <f t="shared" ca="1" si="283"/>
        <v>0</v>
      </c>
      <c r="P688" s="831">
        <f t="shared" si="284"/>
        <v>0</v>
      </c>
      <c r="Q688" s="1244"/>
      <c r="R688" s="1244"/>
      <c r="S688" s="1244"/>
      <c r="T688" s="1244"/>
      <c r="U688" s="1244"/>
      <c r="V688" s="1244"/>
      <c r="W688" s="1244"/>
      <c r="X688" s="1244"/>
      <c r="Y688" s="1244"/>
      <c r="Z688" s="1244"/>
    </row>
    <row r="689" spans="1:26" ht="18.75" hidden="1">
      <c r="A689" s="1260"/>
      <c r="B689" s="1265"/>
      <c r="C689" s="1261"/>
      <c r="D689" s="1262"/>
      <c r="E689" s="1261" t="s">
        <v>184</v>
      </c>
      <c r="F689" s="1261"/>
      <c r="G689" s="1263"/>
      <c r="H689" s="165" t="s">
        <v>12</v>
      </c>
      <c r="I689" s="836"/>
      <c r="J689" s="836"/>
      <c r="K689" s="837"/>
      <c r="L689" s="837">
        <v>0</v>
      </c>
      <c r="M689" s="837">
        <v>0</v>
      </c>
      <c r="N689" s="837">
        <v>0</v>
      </c>
      <c r="O689" s="837"/>
      <c r="P689" s="837"/>
      <c r="Q689" s="1264"/>
      <c r="R689" s="1264"/>
      <c r="S689" s="1264"/>
      <c r="T689" s="1264"/>
      <c r="U689" s="1264"/>
      <c r="V689" s="1264"/>
      <c r="W689" s="1264"/>
      <c r="X689" s="1264"/>
      <c r="Y689" s="1264"/>
      <c r="Z689" s="1264"/>
    </row>
    <row r="690" spans="1:26" ht="18.75" hidden="1">
      <c r="A690" s="1260"/>
      <c r="B690" s="1265"/>
      <c r="C690" s="1261"/>
      <c r="D690" s="1262"/>
      <c r="E690" s="1261" t="s">
        <v>185</v>
      </c>
      <c r="F690" s="1261"/>
      <c r="G690" s="1263"/>
      <c r="H690" s="165" t="s">
        <v>12</v>
      </c>
      <c r="I690" s="836"/>
      <c r="J690" s="836"/>
      <c r="K690" s="837"/>
      <c r="L690" s="837">
        <f ca="1">IFERROR(__xludf.DUMMYFUNCTION("IMPORTRANGE(""https://docs.google.com/spreadsheets/d/1QqKyyYR6Q21VydFLVH3TRQUabQu_ym0Zz7PgGX0-kHA/edit?usp=sharing"",""แผน!HW23"")"),14880)</f>
        <v>14880</v>
      </c>
      <c r="M690" s="837">
        <v>0</v>
      </c>
      <c r="N690" s="837">
        <f>N691+N692+N693+N694</f>
        <v>0</v>
      </c>
      <c r="O690" s="837">
        <f ca="1">IF(L690&gt;0,N690*100/L690,0)</f>
        <v>0</v>
      </c>
      <c r="P690" s="837">
        <f>IF(M690&gt;0,N690*100/M690,0)</f>
        <v>0</v>
      </c>
      <c r="Q690" s="1264"/>
      <c r="R690" s="1264"/>
      <c r="S690" s="1264"/>
      <c r="T690" s="1264"/>
      <c r="U690" s="1264"/>
      <c r="V690" s="1264"/>
      <c r="W690" s="1264"/>
      <c r="X690" s="1264"/>
      <c r="Y690" s="1264"/>
      <c r="Z690" s="1264"/>
    </row>
    <row r="691" spans="1:26" ht="18.75">
      <c r="A691" s="1241"/>
      <c r="B691" s="1242"/>
      <c r="C691" s="1243"/>
      <c r="D691" s="1243"/>
      <c r="E691" s="1243"/>
      <c r="F691" s="1243" t="s">
        <v>186</v>
      </c>
      <c r="G691" s="963"/>
      <c r="H691" s="778" t="s">
        <v>12</v>
      </c>
      <c r="I691" s="830"/>
      <c r="J691" s="830"/>
      <c r="K691" s="831"/>
      <c r="L691" s="831"/>
      <c r="M691" s="831"/>
      <c r="N691" s="1031">
        <v>0</v>
      </c>
      <c r="O691" s="831"/>
      <c r="P691" s="831"/>
      <c r="Q691" s="1244"/>
      <c r="R691" s="1244"/>
      <c r="S691" s="1244"/>
      <c r="T691" s="1244"/>
      <c r="U691" s="1244"/>
      <c r="V691" s="1244"/>
      <c r="W691" s="1244"/>
      <c r="X691" s="1244"/>
      <c r="Y691" s="1244"/>
      <c r="Z691" s="1244"/>
    </row>
    <row r="692" spans="1:26" ht="18.75">
      <c r="A692" s="1241"/>
      <c r="B692" s="1242"/>
      <c r="C692" s="1243"/>
      <c r="D692" s="1243"/>
      <c r="E692" s="1243"/>
      <c r="F692" s="1243" t="s">
        <v>187</v>
      </c>
      <c r="G692" s="963"/>
      <c r="H692" s="778" t="s">
        <v>12</v>
      </c>
      <c r="I692" s="830"/>
      <c r="J692" s="830"/>
      <c r="K692" s="831"/>
      <c r="L692" s="831"/>
      <c r="M692" s="831"/>
      <c r="N692" s="1031">
        <v>0</v>
      </c>
      <c r="O692" s="831"/>
      <c r="P692" s="831"/>
      <c r="Q692" s="1244"/>
      <c r="R692" s="1244"/>
      <c r="S692" s="1244"/>
      <c r="T692" s="1244"/>
      <c r="U692" s="1244"/>
      <c r="V692" s="1244"/>
      <c r="W692" s="1244"/>
      <c r="X692" s="1244"/>
      <c r="Y692" s="1244"/>
      <c r="Z692" s="1244"/>
    </row>
    <row r="693" spans="1:26" ht="18.75">
      <c r="A693" s="1241"/>
      <c r="B693" s="1242"/>
      <c r="C693" s="1243"/>
      <c r="D693" s="1243"/>
      <c r="E693" s="1243"/>
      <c r="F693" s="1243" t="s">
        <v>188</v>
      </c>
      <c r="G693" s="963"/>
      <c r="H693" s="778" t="s">
        <v>12</v>
      </c>
      <c r="I693" s="830"/>
      <c r="J693" s="830"/>
      <c r="K693" s="831"/>
      <c r="L693" s="831"/>
      <c r="M693" s="831"/>
      <c r="N693" s="1031">
        <v>0</v>
      </c>
      <c r="O693" s="831"/>
      <c r="P693" s="831"/>
      <c r="Q693" s="1244"/>
      <c r="R693" s="1244"/>
      <c r="S693" s="1244"/>
      <c r="T693" s="1244"/>
      <c r="U693" s="1244"/>
      <c r="V693" s="1244"/>
      <c r="W693" s="1244"/>
      <c r="X693" s="1244"/>
      <c r="Y693" s="1244"/>
      <c r="Z693" s="1244"/>
    </row>
    <row r="694" spans="1:26" ht="18.75">
      <c r="A694" s="1241"/>
      <c r="B694" s="1242"/>
      <c r="C694" s="1243"/>
      <c r="D694" s="1243"/>
      <c r="E694" s="1243"/>
      <c r="F694" s="1243" t="s">
        <v>189</v>
      </c>
      <c r="G694" s="963"/>
      <c r="H694" s="778" t="s">
        <v>12</v>
      </c>
      <c r="I694" s="830"/>
      <c r="J694" s="830"/>
      <c r="K694" s="831"/>
      <c r="L694" s="831"/>
      <c r="M694" s="831"/>
      <c r="N694" s="1031">
        <v>0</v>
      </c>
      <c r="O694" s="831"/>
      <c r="P694" s="831"/>
      <c r="Q694" s="1244"/>
      <c r="R694" s="1244"/>
      <c r="S694" s="1244"/>
      <c r="T694" s="1244"/>
      <c r="U694" s="1244"/>
      <c r="V694" s="1244"/>
      <c r="W694" s="1244"/>
      <c r="X694" s="1244"/>
      <c r="Y694" s="1244"/>
      <c r="Z694" s="1244"/>
    </row>
    <row r="695" spans="1:26" ht="18.75">
      <c r="A695" s="1259"/>
      <c r="B695" s="1242"/>
      <c r="C695" s="1243"/>
      <c r="D695" s="1266" t="s">
        <v>21</v>
      </c>
      <c r="E695" s="1243"/>
      <c r="F695" s="1243"/>
      <c r="G695" s="963"/>
      <c r="H695" s="168" t="s">
        <v>12</v>
      </c>
      <c r="I695" s="944"/>
      <c r="J695" s="944"/>
      <c r="K695" s="945"/>
      <c r="L695" s="831">
        <f t="shared" ref="L695:N695" si="287">L696+L697</f>
        <v>0</v>
      </c>
      <c r="M695" s="831">
        <f t="shared" si="287"/>
        <v>0</v>
      </c>
      <c r="N695" s="831">
        <f t="shared" si="287"/>
        <v>0</v>
      </c>
      <c r="O695" s="831">
        <f t="shared" ref="O695:O697" si="288">IF(L695&gt;0,N695*100/L695,0)</f>
        <v>0</v>
      </c>
      <c r="P695" s="831">
        <f t="shared" ref="P695:P697" si="289">IF(M695&gt;0,N695*100/M695,0)</f>
        <v>0</v>
      </c>
      <c r="Q695" s="1244"/>
      <c r="R695" s="1244"/>
      <c r="S695" s="1244"/>
      <c r="T695" s="1244"/>
      <c r="U695" s="1244"/>
      <c r="V695" s="1244"/>
      <c r="W695" s="1244"/>
      <c r="X695" s="1244"/>
      <c r="Y695" s="1244"/>
      <c r="Z695" s="1244"/>
    </row>
    <row r="696" spans="1:26" ht="18.75" hidden="1">
      <c r="A696" s="1260"/>
      <c r="B696" s="1265"/>
      <c r="C696" s="1261"/>
      <c r="D696" s="1261"/>
      <c r="E696" s="1261" t="s">
        <v>18</v>
      </c>
      <c r="F696" s="1261"/>
      <c r="G696" s="1263"/>
      <c r="H696" s="165" t="s">
        <v>12</v>
      </c>
      <c r="I696" s="947"/>
      <c r="J696" s="947"/>
      <c r="K696" s="948"/>
      <c r="L696" s="837">
        <v>0</v>
      </c>
      <c r="M696" s="837">
        <v>0</v>
      </c>
      <c r="N696" s="837">
        <v>0</v>
      </c>
      <c r="O696" s="837">
        <f t="shared" si="288"/>
        <v>0</v>
      </c>
      <c r="P696" s="837">
        <f t="shared" si="289"/>
        <v>0</v>
      </c>
      <c r="Q696" s="1264"/>
      <c r="R696" s="1264"/>
      <c r="S696" s="1264"/>
      <c r="T696" s="1264"/>
      <c r="U696" s="1264"/>
      <c r="V696" s="1264"/>
      <c r="W696" s="1264"/>
      <c r="X696" s="1264"/>
      <c r="Y696" s="1264"/>
      <c r="Z696" s="1264"/>
    </row>
    <row r="697" spans="1:26" ht="18.75" hidden="1">
      <c r="A697" s="1260"/>
      <c r="B697" s="1265"/>
      <c r="C697" s="1261"/>
      <c r="D697" s="1261"/>
      <c r="E697" s="1261" t="s">
        <v>19</v>
      </c>
      <c r="F697" s="1261"/>
      <c r="G697" s="1263"/>
      <c r="H697" s="169" t="s">
        <v>12</v>
      </c>
      <c r="I697" s="947"/>
      <c r="J697" s="947"/>
      <c r="K697" s="948"/>
      <c r="L697" s="837">
        <v>0</v>
      </c>
      <c r="M697" s="837">
        <v>0</v>
      </c>
      <c r="N697" s="837">
        <v>0</v>
      </c>
      <c r="O697" s="837">
        <f t="shared" si="288"/>
        <v>0</v>
      </c>
      <c r="P697" s="837">
        <f t="shared" si="289"/>
        <v>0</v>
      </c>
      <c r="Q697" s="1264"/>
      <c r="R697" s="1264"/>
      <c r="S697" s="1264"/>
      <c r="T697" s="1264"/>
      <c r="U697" s="1264"/>
      <c r="V697" s="1264"/>
      <c r="W697" s="1264"/>
      <c r="X697" s="1264"/>
      <c r="Y697" s="1264"/>
      <c r="Z697" s="1264"/>
    </row>
    <row r="698" spans="1:26" ht="19.5">
      <c r="A698" s="1267"/>
      <c r="B698" s="1268"/>
      <c r="C698" s="1243" t="s">
        <v>16</v>
      </c>
      <c r="D698" s="1378" t="s">
        <v>38</v>
      </c>
      <c r="E698" s="1271"/>
      <c r="F698" s="1271"/>
      <c r="G698" s="1272"/>
      <c r="H698" s="954"/>
      <c r="I698" s="944"/>
      <c r="J698" s="944"/>
      <c r="K698" s="945"/>
      <c r="L698" s="945"/>
      <c r="M698" s="945"/>
      <c r="N698" s="945"/>
      <c r="O698" s="945"/>
      <c r="P698" s="945"/>
      <c r="Q698" s="1244"/>
      <c r="R698" s="1244"/>
      <c r="S698" s="1244"/>
      <c r="T698" s="1244"/>
      <c r="U698" s="1244"/>
      <c r="V698" s="1244"/>
      <c r="W698" s="1244"/>
      <c r="X698" s="1244"/>
      <c r="Y698" s="1244"/>
      <c r="Z698" s="1244"/>
    </row>
    <row r="699" spans="1:26" ht="18.75">
      <c r="A699" s="1368"/>
      <c r="B699" s="1243"/>
      <c r="C699" s="1243"/>
      <c r="D699" s="1243" t="s">
        <v>294</v>
      </c>
      <c r="E699" s="1243"/>
      <c r="F699" s="1243"/>
      <c r="G699" s="963"/>
      <c r="H699" s="730" t="s">
        <v>46</v>
      </c>
      <c r="I699" s="1379">
        <f ca="1">IFERROR(__xludf.DUMMYFUNCTION("IMPORTRANGE(""https://docs.google.com/spreadsheets/d/1QqKyyYR6Q21VydFLVH3TRQUabQu_ym0Zz7PgGX0-kHA/edit?usp=sharing"",""แผน!IC23"")"),50)</f>
        <v>50</v>
      </c>
      <c r="J699" s="830">
        <f ca="1">IFERROR(__xludf.DUMMYFUNCTION("IMPORTRANGE(""https://docs.google.com/spreadsheets/d/1XWAQStnk-4SwqDmLtmXYiTMKHgktTP8We1SCoS47DrQ/edit?usp=sharing"",""จัดที่ดิน!BB23"")"),0)</f>
        <v>0</v>
      </c>
      <c r="K699" s="831">
        <f t="shared" ref="K699:K701" ca="1" si="290">IF(I699&gt;0,J699*100/I699,0)</f>
        <v>0</v>
      </c>
      <c r="L699" s="831"/>
      <c r="M699" s="963"/>
      <c r="N699" s="1380"/>
      <c r="O699" s="831"/>
      <c r="P699" s="831"/>
      <c r="Q699" s="1244"/>
      <c r="R699" s="1244"/>
      <c r="S699" s="1244"/>
      <c r="T699" s="1244"/>
      <c r="U699" s="1244"/>
      <c r="V699" s="1244"/>
      <c r="W699" s="1244"/>
      <c r="X699" s="1244"/>
      <c r="Y699" s="1244"/>
      <c r="Z699" s="1244"/>
    </row>
    <row r="700" spans="1:26" ht="18.75">
      <c r="A700" s="1368"/>
      <c r="B700" s="1243"/>
      <c r="C700" s="1243"/>
      <c r="D700" s="1243" t="s">
        <v>295</v>
      </c>
      <c r="E700" s="1243"/>
      <c r="F700" s="1243"/>
      <c r="G700" s="963"/>
      <c r="H700" s="730" t="s">
        <v>35</v>
      </c>
      <c r="I700" s="1379">
        <f ca="1">IFERROR(__xludf.DUMMYFUNCTION("IMPORTRANGE(""https://docs.google.com/spreadsheets/d/1QqKyyYR6Q21VydFLVH3TRQUabQu_ym0Zz7PgGX0-kHA/edit?usp=sharing"",""แผน!ID23"")"),10)</f>
        <v>10</v>
      </c>
      <c r="J700" s="830">
        <f ca="1">IFERROR(__xludf.DUMMYFUNCTION("IMPORTRANGE(""https://docs.google.com/spreadsheets/d/1XWAQStnk-4SwqDmLtmXYiTMKHgktTP8We1SCoS47DrQ/edit?usp=sharing"",""จัดที่ดิน!BD23"")"),0)</f>
        <v>0</v>
      </c>
      <c r="K700" s="831">
        <f t="shared" ca="1" si="290"/>
        <v>0</v>
      </c>
      <c r="L700" s="831"/>
      <c r="M700" s="963"/>
      <c r="N700" s="1380"/>
      <c r="O700" s="831"/>
      <c r="P700" s="831"/>
      <c r="Q700" s="1244"/>
      <c r="R700" s="1244"/>
      <c r="S700" s="1244"/>
      <c r="T700" s="1244"/>
      <c r="U700" s="1244"/>
      <c r="V700" s="1244"/>
      <c r="W700" s="1244"/>
      <c r="X700" s="1244"/>
      <c r="Y700" s="1244"/>
      <c r="Z700" s="1244"/>
    </row>
    <row r="701" spans="1:26" ht="19.5">
      <c r="A701" s="1368"/>
      <c r="B701" s="1243"/>
      <c r="C701" s="1243"/>
      <c r="D701" s="1243" t="s">
        <v>296</v>
      </c>
      <c r="E701" s="1243"/>
      <c r="F701" s="1243"/>
      <c r="G701" s="963"/>
      <c r="H701" s="733" t="s">
        <v>46</v>
      </c>
      <c r="I701" s="1381">
        <f ca="1">IFERROR(__xludf.DUMMYFUNCTION("IMPORTRANGE(""https://docs.google.com/spreadsheets/d/1QqKyyYR6Q21VydFLVH3TRQUabQu_ym0Zz7PgGX0-kHA/edit?usp=sharing"",""แผน!IE23"")"),52)</f>
        <v>52</v>
      </c>
      <c r="J701" s="966">
        <f>J704+J707</f>
        <v>0</v>
      </c>
      <c r="K701" s="967">
        <f t="shared" ca="1" si="290"/>
        <v>0</v>
      </c>
      <c r="L701" s="831"/>
      <c r="M701" s="963"/>
      <c r="N701" s="1380"/>
      <c r="O701" s="831"/>
      <c r="P701" s="831"/>
      <c r="Q701" s="1244"/>
      <c r="R701" s="1244"/>
      <c r="S701" s="1244"/>
      <c r="T701" s="1244"/>
      <c r="U701" s="1244"/>
      <c r="V701" s="1244"/>
      <c r="W701" s="1244"/>
      <c r="X701" s="1244"/>
      <c r="Y701" s="1244"/>
      <c r="Z701" s="1244"/>
    </row>
    <row r="702" spans="1:26" ht="18.75">
      <c r="A702" s="1368"/>
      <c r="B702" s="1243"/>
      <c r="C702" s="1243"/>
      <c r="D702" s="1243"/>
      <c r="E702" s="1243" t="s">
        <v>297</v>
      </c>
      <c r="F702" s="1243"/>
      <c r="G702" s="963"/>
      <c r="H702" s="730" t="s">
        <v>35</v>
      </c>
      <c r="I702" s="1379"/>
      <c r="J702" s="959">
        <v>0</v>
      </c>
      <c r="K702" s="831"/>
      <c r="L702" s="831"/>
      <c r="M702" s="963"/>
      <c r="N702" s="1380"/>
      <c r="O702" s="831"/>
      <c r="P702" s="831"/>
      <c r="Q702" s="1244"/>
      <c r="R702" s="1244"/>
      <c r="S702" s="1244"/>
      <c r="T702" s="1244"/>
      <c r="U702" s="1244"/>
      <c r="V702" s="1244"/>
      <c r="W702" s="1244"/>
      <c r="X702" s="1244"/>
      <c r="Y702" s="1244"/>
      <c r="Z702" s="1244"/>
    </row>
    <row r="703" spans="1:26" ht="18.75">
      <c r="A703" s="1368"/>
      <c r="B703" s="1243"/>
      <c r="C703" s="1243"/>
      <c r="D703" s="1243"/>
      <c r="E703" s="1243"/>
      <c r="F703" s="1243"/>
      <c r="G703" s="963"/>
      <c r="H703" s="730" t="s">
        <v>34</v>
      </c>
      <c r="I703" s="1379"/>
      <c r="J703" s="959">
        <v>0</v>
      </c>
      <c r="K703" s="831"/>
      <c r="L703" s="831"/>
      <c r="M703" s="963"/>
      <c r="N703" s="1380"/>
      <c r="O703" s="831"/>
      <c r="P703" s="831"/>
      <c r="Q703" s="1244"/>
      <c r="R703" s="1244"/>
      <c r="S703" s="1244"/>
      <c r="T703" s="1244"/>
      <c r="U703" s="1244"/>
      <c r="V703" s="1244"/>
      <c r="W703" s="1244"/>
      <c r="X703" s="1244"/>
      <c r="Y703" s="1244"/>
      <c r="Z703" s="1244"/>
    </row>
    <row r="704" spans="1:26" ht="18.75">
      <c r="A704" s="1368"/>
      <c r="B704" s="1243"/>
      <c r="C704" s="1243"/>
      <c r="D704" s="1243"/>
      <c r="E704" s="1243"/>
      <c r="F704" s="1243"/>
      <c r="G704" s="963"/>
      <c r="H704" s="730" t="s">
        <v>46</v>
      </c>
      <c r="I704" s="1379">
        <f ca="1">IFERROR(__xludf.DUMMYFUNCTION("IMPORTRANGE(""https://docs.google.com/spreadsheets/d/1QqKyyYR6Q21VydFLVH3TRQUabQu_ym0Zz7PgGX0-kHA/edit?usp=sharing"",""แผน!IF23"")"),52)</f>
        <v>52</v>
      </c>
      <c r="J704" s="959">
        <v>0</v>
      </c>
      <c r="K704" s="831"/>
      <c r="L704" s="831"/>
      <c r="M704" s="963"/>
      <c r="N704" s="1380"/>
      <c r="O704" s="831"/>
      <c r="P704" s="831"/>
      <c r="Q704" s="1244"/>
      <c r="R704" s="1244"/>
      <c r="S704" s="1244"/>
      <c r="T704" s="1244"/>
      <c r="U704" s="1244"/>
      <c r="V704" s="1244"/>
      <c r="W704" s="1244"/>
      <c r="X704" s="1244"/>
      <c r="Y704" s="1244"/>
      <c r="Z704" s="1244"/>
    </row>
    <row r="705" spans="1:26" ht="18.75">
      <c r="A705" s="1368"/>
      <c r="B705" s="1243"/>
      <c r="C705" s="1243"/>
      <c r="D705" s="1243"/>
      <c r="E705" s="1243" t="s">
        <v>298</v>
      </c>
      <c r="F705" s="1243"/>
      <c r="G705" s="963"/>
      <c r="H705" s="730" t="s">
        <v>35</v>
      </c>
      <c r="I705" s="1379"/>
      <c r="J705" s="959">
        <v>0</v>
      </c>
      <c r="K705" s="831"/>
      <c r="L705" s="831"/>
      <c r="M705" s="963"/>
      <c r="N705" s="1380"/>
      <c r="O705" s="831"/>
      <c r="P705" s="831"/>
      <c r="Q705" s="1244"/>
      <c r="R705" s="1244"/>
      <c r="S705" s="1244"/>
      <c r="T705" s="1244"/>
      <c r="U705" s="1244"/>
      <c r="V705" s="1244"/>
      <c r="W705" s="1244"/>
      <c r="X705" s="1244"/>
      <c r="Y705" s="1244"/>
      <c r="Z705" s="1244"/>
    </row>
    <row r="706" spans="1:26" ht="18.75">
      <c r="A706" s="1368"/>
      <c r="B706" s="1243"/>
      <c r="C706" s="1243"/>
      <c r="D706" s="1243"/>
      <c r="E706" s="1243"/>
      <c r="F706" s="1243"/>
      <c r="G706" s="963"/>
      <c r="H706" s="730" t="s">
        <v>34</v>
      </c>
      <c r="I706" s="1379"/>
      <c r="J706" s="959">
        <v>0</v>
      </c>
      <c r="K706" s="831"/>
      <c r="L706" s="831"/>
      <c r="M706" s="963"/>
      <c r="N706" s="1380"/>
      <c r="O706" s="831"/>
      <c r="P706" s="831"/>
      <c r="Q706" s="1244"/>
      <c r="R706" s="1244"/>
      <c r="S706" s="1244"/>
      <c r="T706" s="1244"/>
      <c r="U706" s="1244"/>
      <c r="V706" s="1244"/>
      <c r="W706" s="1244"/>
      <c r="X706" s="1244"/>
      <c r="Y706" s="1244"/>
      <c r="Z706" s="1244"/>
    </row>
    <row r="707" spans="1:26" ht="18.75">
      <c r="A707" s="1368"/>
      <c r="B707" s="1243"/>
      <c r="C707" s="1243"/>
      <c r="D707" s="1243"/>
      <c r="E707" s="1243"/>
      <c r="F707" s="1243"/>
      <c r="G707" s="963"/>
      <c r="H707" s="730" t="s">
        <v>46</v>
      </c>
      <c r="I707" s="1379">
        <f ca="1">IFERROR(__xludf.DUMMYFUNCTION("IMPORTRANGE(""https://docs.google.com/spreadsheets/d/1QqKyyYR6Q21VydFLVH3TRQUabQu_ym0Zz7PgGX0-kHA/edit?usp=sharing"",""แผน!IG23"")"),0)</f>
        <v>0</v>
      </c>
      <c r="J707" s="959">
        <v>0</v>
      </c>
      <c r="K707" s="831"/>
      <c r="L707" s="831"/>
      <c r="M707" s="963"/>
      <c r="N707" s="1380"/>
      <c r="O707" s="831"/>
      <c r="P707" s="831"/>
      <c r="Q707" s="1244"/>
      <c r="R707" s="1244"/>
      <c r="S707" s="1244"/>
      <c r="T707" s="1244"/>
      <c r="U707" s="1244"/>
      <c r="V707" s="1244"/>
      <c r="W707" s="1244"/>
      <c r="X707" s="1244"/>
      <c r="Y707" s="1244"/>
      <c r="Z707" s="1244"/>
    </row>
    <row r="708" spans="1:26" ht="19.5">
      <c r="A708" s="1368"/>
      <c r="B708" s="1243"/>
      <c r="C708" s="1243"/>
      <c r="D708" s="1322" t="s">
        <v>299</v>
      </c>
      <c r="E708" s="1243"/>
      <c r="F708" s="1243"/>
      <c r="G708" s="963"/>
      <c r="H708" s="733" t="s">
        <v>46</v>
      </c>
      <c r="I708" s="1381">
        <f ca="1">IFERROR(__xludf.DUMMYFUNCTION("IMPORTRANGE(""https://docs.google.com/spreadsheets/d/1QqKyyYR6Q21VydFLVH3TRQUabQu_ym0Zz7PgGX0-kHA/edit?usp=sharing"",""แผน!IH23"")"),0)</f>
        <v>0</v>
      </c>
      <c r="J708" s="966">
        <f>J714+J717</f>
        <v>0</v>
      </c>
      <c r="K708" s="967">
        <f ca="1">IF(I708&gt;0,J708*100/I708,0)</f>
        <v>0</v>
      </c>
      <c r="L708" s="831"/>
      <c r="M708" s="963"/>
      <c r="N708" s="1380"/>
      <c r="O708" s="831"/>
      <c r="P708" s="831"/>
      <c r="Q708" s="1244"/>
      <c r="R708" s="1244"/>
      <c r="S708" s="1244"/>
      <c r="T708" s="1244"/>
      <c r="U708" s="1244"/>
      <c r="V708" s="1244"/>
      <c r="W708" s="1244"/>
      <c r="X708" s="1244"/>
      <c r="Y708" s="1244"/>
      <c r="Z708" s="1244"/>
    </row>
    <row r="709" spans="1:26" ht="18.75">
      <c r="A709" s="1368"/>
      <c r="B709" s="1243"/>
      <c r="C709" s="1243"/>
      <c r="D709" s="1243"/>
      <c r="E709" s="1243" t="s">
        <v>300</v>
      </c>
      <c r="F709" s="1243"/>
      <c r="G709" s="963"/>
      <c r="H709" s="730" t="s">
        <v>34</v>
      </c>
      <c r="I709" s="1379"/>
      <c r="J709" s="959">
        <v>0</v>
      </c>
      <c r="K709" s="831"/>
      <c r="L709" s="1380"/>
      <c r="M709" s="963"/>
      <c r="N709" s="1380"/>
      <c r="O709" s="831"/>
      <c r="P709" s="831"/>
      <c r="Q709" s="1244"/>
      <c r="R709" s="1244"/>
      <c r="S709" s="1244"/>
      <c r="T709" s="1244"/>
      <c r="U709" s="1244"/>
      <c r="V709" s="1244"/>
      <c r="W709" s="1244"/>
      <c r="X709" s="1244"/>
      <c r="Y709" s="1244"/>
      <c r="Z709" s="1244"/>
    </row>
    <row r="710" spans="1:26" ht="18.75">
      <c r="A710" s="1368"/>
      <c r="B710" s="1243"/>
      <c r="C710" s="1243"/>
      <c r="D710" s="1243"/>
      <c r="E710" s="1243"/>
      <c r="F710" s="1243"/>
      <c r="G710" s="963"/>
      <c r="H710" s="730" t="s">
        <v>46</v>
      </c>
      <c r="I710" s="1379"/>
      <c r="J710" s="959">
        <v>0</v>
      </c>
      <c r="K710" s="831"/>
      <c r="L710" s="1380"/>
      <c r="M710" s="963"/>
      <c r="N710" s="1380"/>
      <c r="O710" s="831"/>
      <c r="P710" s="831"/>
      <c r="Q710" s="1244"/>
      <c r="R710" s="1244"/>
      <c r="S710" s="1244"/>
      <c r="T710" s="1244"/>
      <c r="U710" s="1244"/>
      <c r="V710" s="1244"/>
      <c r="W710" s="1244"/>
      <c r="X710" s="1244"/>
      <c r="Y710" s="1244"/>
      <c r="Z710" s="1244"/>
    </row>
    <row r="711" spans="1:26" ht="18.75">
      <c r="A711" s="1368"/>
      <c r="B711" s="1243"/>
      <c r="C711" s="1243"/>
      <c r="D711" s="1243"/>
      <c r="E711" s="1243" t="s">
        <v>301</v>
      </c>
      <c r="F711" s="1243"/>
      <c r="G711" s="963"/>
      <c r="H711" s="954"/>
      <c r="I711" s="1379"/>
      <c r="J711" s="830"/>
      <c r="K711" s="831"/>
      <c r="L711" s="1380"/>
      <c r="M711" s="963"/>
      <c r="N711" s="1380"/>
      <c r="O711" s="831"/>
      <c r="P711" s="831"/>
      <c r="Q711" s="1244"/>
      <c r="R711" s="1244"/>
      <c r="S711" s="1244"/>
      <c r="T711" s="1244"/>
      <c r="U711" s="1244"/>
      <c r="V711" s="1244"/>
      <c r="W711" s="1244"/>
      <c r="X711" s="1244"/>
      <c r="Y711" s="1244"/>
      <c r="Z711" s="1244"/>
    </row>
    <row r="712" spans="1:26" ht="18.75">
      <c r="A712" s="1368"/>
      <c r="B712" s="1243"/>
      <c r="C712" s="1243"/>
      <c r="D712" s="1243"/>
      <c r="E712" s="1243"/>
      <c r="F712" s="1243" t="s">
        <v>302</v>
      </c>
      <c r="G712" s="963"/>
      <c r="H712" s="730" t="s">
        <v>35</v>
      </c>
      <c r="I712" s="1379"/>
      <c r="J712" s="959">
        <v>0</v>
      </c>
      <c r="K712" s="831"/>
      <c r="L712" s="1380"/>
      <c r="M712" s="963"/>
      <c r="N712" s="1380"/>
      <c r="O712" s="831"/>
      <c r="P712" s="831"/>
      <c r="Q712" s="1244"/>
      <c r="R712" s="1244"/>
      <c r="S712" s="1244"/>
      <c r="T712" s="1244"/>
      <c r="U712" s="1244"/>
      <c r="V712" s="1244"/>
      <c r="W712" s="1244"/>
      <c r="X712" s="1244"/>
      <c r="Y712" s="1244"/>
      <c r="Z712" s="1244"/>
    </row>
    <row r="713" spans="1:26" ht="18.75">
      <c r="A713" s="1368"/>
      <c r="B713" s="1243"/>
      <c r="C713" s="1243"/>
      <c r="D713" s="1243"/>
      <c r="E713" s="1243"/>
      <c r="F713" s="1243"/>
      <c r="G713" s="963"/>
      <c r="H713" s="730" t="s">
        <v>34</v>
      </c>
      <c r="I713" s="1379"/>
      <c r="J713" s="959">
        <v>0</v>
      </c>
      <c r="K713" s="831"/>
      <c r="L713" s="1380"/>
      <c r="M713" s="963"/>
      <c r="N713" s="1380"/>
      <c r="O713" s="831"/>
      <c r="P713" s="831"/>
      <c r="Q713" s="1244"/>
      <c r="R713" s="1244"/>
      <c r="S713" s="1244"/>
      <c r="T713" s="1244"/>
      <c r="U713" s="1244"/>
      <c r="V713" s="1244"/>
      <c r="W713" s="1244"/>
      <c r="X713" s="1244"/>
      <c r="Y713" s="1244"/>
      <c r="Z713" s="1244"/>
    </row>
    <row r="714" spans="1:26" ht="18.75">
      <c r="A714" s="1368"/>
      <c r="B714" s="1243"/>
      <c r="C714" s="1243"/>
      <c r="D714" s="1243"/>
      <c r="E714" s="1243"/>
      <c r="F714" s="1243"/>
      <c r="G714" s="963"/>
      <c r="H714" s="730" t="s">
        <v>46</v>
      </c>
      <c r="I714" s="1379"/>
      <c r="J714" s="959">
        <v>0</v>
      </c>
      <c r="K714" s="831"/>
      <c r="L714" s="1380"/>
      <c r="M714" s="963"/>
      <c r="N714" s="1380"/>
      <c r="O714" s="831"/>
      <c r="P714" s="831"/>
      <c r="Q714" s="1244"/>
      <c r="R714" s="1244"/>
      <c r="S714" s="1244"/>
      <c r="T714" s="1244"/>
      <c r="U714" s="1244"/>
      <c r="V714" s="1244"/>
      <c r="W714" s="1244"/>
      <c r="X714" s="1244"/>
      <c r="Y714" s="1244"/>
      <c r="Z714" s="1244"/>
    </row>
    <row r="715" spans="1:26" ht="18.75">
      <c r="A715" s="1368"/>
      <c r="B715" s="1243"/>
      <c r="C715" s="1243"/>
      <c r="D715" s="1243"/>
      <c r="E715" s="1243"/>
      <c r="F715" s="1243" t="s">
        <v>303</v>
      </c>
      <c r="G715" s="963"/>
      <c r="H715" s="730" t="s">
        <v>35</v>
      </c>
      <c r="I715" s="1379"/>
      <c r="J715" s="959">
        <v>0</v>
      </c>
      <c r="K715" s="831"/>
      <c r="L715" s="1380"/>
      <c r="M715" s="963"/>
      <c r="N715" s="1380"/>
      <c r="O715" s="831"/>
      <c r="P715" s="831"/>
      <c r="Q715" s="1244"/>
      <c r="R715" s="1244"/>
      <c r="S715" s="1244"/>
      <c r="T715" s="1244"/>
      <c r="U715" s="1244"/>
      <c r="V715" s="1244"/>
      <c r="W715" s="1244"/>
      <c r="X715" s="1244"/>
      <c r="Y715" s="1244"/>
      <c r="Z715" s="1244"/>
    </row>
    <row r="716" spans="1:26" ht="18.75">
      <c r="A716" s="1368"/>
      <c r="B716" s="1243"/>
      <c r="C716" s="1243"/>
      <c r="D716" s="1243"/>
      <c r="E716" s="1243"/>
      <c r="F716" s="1243"/>
      <c r="G716" s="963"/>
      <c r="H716" s="730" t="s">
        <v>34</v>
      </c>
      <c r="I716" s="1379"/>
      <c r="J716" s="959">
        <v>0</v>
      </c>
      <c r="K716" s="831"/>
      <c r="L716" s="1380"/>
      <c r="M716" s="963"/>
      <c r="N716" s="1380"/>
      <c r="O716" s="831"/>
      <c r="P716" s="831"/>
      <c r="Q716" s="1244"/>
      <c r="R716" s="1244"/>
      <c r="S716" s="1244"/>
      <c r="T716" s="1244"/>
      <c r="U716" s="1244"/>
      <c r="V716" s="1244"/>
      <c r="W716" s="1244"/>
      <c r="X716" s="1244"/>
      <c r="Y716" s="1244"/>
      <c r="Z716" s="1244"/>
    </row>
    <row r="717" spans="1:26" ht="18.75">
      <c r="A717" s="1368"/>
      <c r="B717" s="1243"/>
      <c r="C717" s="1243"/>
      <c r="D717" s="1243"/>
      <c r="E717" s="1243"/>
      <c r="F717" s="1243"/>
      <c r="G717" s="963"/>
      <c r="H717" s="730" t="s">
        <v>46</v>
      </c>
      <c r="I717" s="1379"/>
      <c r="J717" s="959">
        <v>0</v>
      </c>
      <c r="K717" s="831"/>
      <c r="L717" s="1380"/>
      <c r="M717" s="963"/>
      <c r="N717" s="1380"/>
      <c r="O717" s="831"/>
      <c r="P717" s="831"/>
      <c r="Q717" s="1244"/>
      <c r="R717" s="1244"/>
      <c r="S717" s="1244"/>
      <c r="T717" s="1244"/>
      <c r="U717" s="1244"/>
      <c r="V717" s="1244"/>
      <c r="W717" s="1244"/>
      <c r="X717" s="1244"/>
      <c r="Y717" s="1244"/>
      <c r="Z717" s="1244"/>
    </row>
    <row r="718" spans="1:26" ht="18.75">
      <c r="A718" s="1368"/>
      <c r="B718" s="1243"/>
      <c r="C718" s="1243"/>
      <c r="D718" s="1243" t="s">
        <v>304</v>
      </c>
      <c r="E718" s="1243"/>
      <c r="F718" s="1243"/>
      <c r="G718" s="963"/>
      <c r="H718" s="730" t="s">
        <v>35</v>
      </c>
      <c r="I718" s="1379"/>
      <c r="J718" s="830">
        <f ca="1">IFERROR(__xludf.DUMMYFUNCTION("IMPORTRANGE(""https://docs.google.com/spreadsheets/d/1XWAQStnk-4SwqDmLtmXYiTMKHgktTP8We1SCoS47DrQ/edit?usp=sharing"",""จัดที่ดิน!BF23"")"),0)</f>
        <v>0</v>
      </c>
      <c r="K718" s="831"/>
      <c r="L718" s="831"/>
      <c r="M718" s="963"/>
      <c r="N718" s="1380"/>
      <c r="O718" s="831"/>
      <c r="P718" s="831"/>
      <c r="Q718" s="1244"/>
      <c r="R718" s="1244"/>
      <c r="S718" s="1244"/>
      <c r="T718" s="1244"/>
      <c r="U718" s="1244"/>
      <c r="V718" s="1244"/>
      <c r="W718" s="1244"/>
      <c r="X718" s="1244"/>
      <c r="Y718" s="1244"/>
      <c r="Z718" s="1244"/>
    </row>
    <row r="719" spans="1:26" ht="18.75">
      <c r="A719" s="1368"/>
      <c r="B719" s="1243"/>
      <c r="C719" s="1243"/>
      <c r="D719" s="1243"/>
      <c r="E719" s="1243"/>
      <c r="F719" s="1243"/>
      <c r="G719" s="963"/>
      <c r="H719" s="730" t="s">
        <v>34</v>
      </c>
      <c r="I719" s="1379"/>
      <c r="J719" s="830">
        <f ca="1">IFERROR(__xludf.DUMMYFUNCTION("IMPORTRANGE(""https://docs.google.com/spreadsheets/d/1XWAQStnk-4SwqDmLtmXYiTMKHgktTP8We1SCoS47DrQ/edit?usp=sharing"",""จัดที่ดิน!BG23"")"),0)</f>
        <v>0</v>
      </c>
      <c r="K719" s="831"/>
      <c r="L719" s="1380"/>
      <c r="M719" s="963"/>
      <c r="N719" s="1380"/>
      <c r="O719" s="831"/>
      <c r="P719" s="831"/>
      <c r="Q719" s="1244"/>
      <c r="R719" s="1244"/>
      <c r="S719" s="1244"/>
      <c r="T719" s="1244"/>
      <c r="U719" s="1244"/>
      <c r="V719" s="1244"/>
      <c r="W719" s="1244"/>
      <c r="X719" s="1244"/>
      <c r="Y719" s="1244"/>
      <c r="Z719" s="1244"/>
    </row>
    <row r="720" spans="1:26" ht="18.75">
      <c r="A720" s="1368"/>
      <c r="B720" s="1243"/>
      <c r="C720" s="1243"/>
      <c r="D720" s="1243"/>
      <c r="E720" s="1243"/>
      <c r="F720" s="1243"/>
      <c r="G720" s="963"/>
      <c r="H720" s="730" t="s">
        <v>46</v>
      </c>
      <c r="I720" s="1379">
        <f ca="1">IFERROR(__xludf.DUMMYFUNCTION("IMPORTRANGE(""https://docs.google.com/spreadsheets/d/1QqKyyYR6Q21VydFLVH3TRQUabQu_ym0Zz7PgGX0-kHA/edit?usp=sharing"",""แผน!II23"")"),0)</f>
        <v>0</v>
      </c>
      <c r="J720" s="830">
        <f ca="1">IFERROR(__xludf.DUMMYFUNCTION("IMPORTRANGE(""https://docs.google.com/spreadsheets/d/1XWAQStnk-4SwqDmLtmXYiTMKHgktTP8We1SCoS47DrQ/edit?usp=sharing"",""จัดที่ดิน!BH23"")"),0)</f>
        <v>0</v>
      </c>
      <c r="K720" s="831">
        <f t="shared" ref="K720:K723" ca="1" si="291">IF(I720&gt;0,J720*100/I720,0)</f>
        <v>0</v>
      </c>
      <c r="L720" s="1380"/>
      <c r="M720" s="963"/>
      <c r="N720" s="1380"/>
      <c r="O720" s="831"/>
      <c r="P720" s="831"/>
      <c r="Q720" s="1244"/>
      <c r="R720" s="1244"/>
      <c r="S720" s="1244"/>
      <c r="T720" s="1244"/>
      <c r="U720" s="1244"/>
      <c r="V720" s="1244"/>
      <c r="W720" s="1244"/>
      <c r="X720" s="1244"/>
      <c r="Y720" s="1244"/>
      <c r="Z720" s="1244"/>
    </row>
    <row r="721" spans="1:26" ht="19.5">
      <c r="A721" s="1368"/>
      <c r="B721" s="1243"/>
      <c r="C721" s="1243"/>
      <c r="D721" s="1243" t="s">
        <v>305</v>
      </c>
      <c r="E721" s="1243"/>
      <c r="F721" s="1243"/>
      <c r="G721" s="963"/>
      <c r="H721" s="733" t="s">
        <v>35</v>
      </c>
      <c r="I721" s="1381">
        <f ca="1">IFERROR(__xludf.DUMMYFUNCTION("IMPORTRANGE(""https://docs.google.com/spreadsheets/d/1QqKyyYR6Q21VydFLVH3TRQUabQu_ym0Zz7PgGX0-kHA/edit?usp=sharing"",""แผน!IJ23"")"),12)</f>
        <v>12</v>
      </c>
      <c r="J721" s="966">
        <f ca="1">J723+J726</f>
        <v>0</v>
      </c>
      <c r="K721" s="967">
        <f t="shared" ca="1" si="291"/>
        <v>0</v>
      </c>
      <c r="L721" s="1380"/>
      <c r="M721" s="963"/>
      <c r="N721" s="1380"/>
      <c r="O721" s="831"/>
      <c r="P721" s="831"/>
      <c r="Q721" s="1244"/>
      <c r="R721" s="1244"/>
      <c r="S721" s="1244"/>
      <c r="T721" s="1244"/>
      <c r="U721" s="1244"/>
      <c r="V721" s="1244"/>
      <c r="W721" s="1244"/>
      <c r="X721" s="1244"/>
      <c r="Y721" s="1244"/>
      <c r="Z721" s="1244"/>
    </row>
    <row r="722" spans="1:26" ht="19.5">
      <c r="A722" s="1368"/>
      <c r="B722" s="1243"/>
      <c r="C722" s="1243"/>
      <c r="D722" s="1243"/>
      <c r="E722" s="1243"/>
      <c r="F722" s="1243"/>
      <c r="G722" s="963"/>
      <c r="H722" s="733" t="s">
        <v>46</v>
      </c>
      <c r="I722" s="1381">
        <f ca="1">IFERROR(__xludf.DUMMYFUNCTION("IMPORTRANGE(""https://docs.google.com/spreadsheets/d/1QqKyyYR6Q21VydFLVH3TRQUabQu_ym0Zz7PgGX0-kHA/edit?usp=sharing"",""แผน!IK23"")"),52)</f>
        <v>52</v>
      </c>
      <c r="J722" s="966">
        <f ca="1">J725+J728</f>
        <v>0</v>
      </c>
      <c r="K722" s="967">
        <f t="shared" ca="1" si="291"/>
        <v>0</v>
      </c>
      <c r="L722" s="831"/>
      <c r="M722" s="963"/>
      <c r="N722" s="1380"/>
      <c r="O722" s="831"/>
      <c r="P722" s="831"/>
      <c r="Q722" s="1244"/>
      <c r="R722" s="1244"/>
      <c r="S722" s="1244"/>
      <c r="T722" s="1244"/>
      <c r="U722" s="1244"/>
      <c r="V722" s="1244"/>
      <c r="W722" s="1244"/>
      <c r="X722" s="1244"/>
      <c r="Y722" s="1244"/>
      <c r="Z722" s="1244"/>
    </row>
    <row r="723" spans="1:26" ht="18.75">
      <c r="A723" s="1368"/>
      <c r="B723" s="1243"/>
      <c r="C723" s="1243"/>
      <c r="D723" s="1243"/>
      <c r="E723" s="1243" t="s">
        <v>306</v>
      </c>
      <c r="F723" s="1243"/>
      <c r="G723" s="963"/>
      <c r="H723" s="730" t="s">
        <v>35</v>
      </c>
      <c r="I723" s="1379">
        <f ca="1">IFERROR(__xludf.DUMMYFUNCTION("IMPORTRANGE(""https://docs.google.com/spreadsheets/d/1QqKyyYR6Q21VydFLVH3TRQUabQu_ym0Zz7PgGX0-kHA/edit?usp=sharing"",""แผน!IL23"")"),0)</f>
        <v>0</v>
      </c>
      <c r="J723" s="830">
        <f ca="1">IFERROR(__xludf.DUMMYFUNCTION("IMPORTRANGE(""https://docs.google.com/spreadsheets/d/1XWAQStnk-4SwqDmLtmXYiTMKHgktTP8We1SCoS47DrQ/edit?usp=sharing"",""จัดที่ดิน!BM23"")"),0)</f>
        <v>0</v>
      </c>
      <c r="K723" s="831">
        <f t="shared" ca="1" si="291"/>
        <v>0</v>
      </c>
      <c r="L723" s="831"/>
      <c r="M723" s="963"/>
      <c r="N723" s="1380"/>
      <c r="O723" s="831"/>
      <c r="P723" s="831"/>
      <c r="Q723" s="1244"/>
      <c r="R723" s="1244"/>
      <c r="S723" s="1244"/>
      <c r="T723" s="1244"/>
      <c r="U723" s="1244"/>
      <c r="V723" s="1244"/>
      <c r="W723" s="1244"/>
      <c r="X723" s="1244"/>
      <c r="Y723" s="1244"/>
      <c r="Z723" s="1244"/>
    </row>
    <row r="724" spans="1:26" ht="18.75">
      <c r="A724" s="1368"/>
      <c r="B724" s="1243"/>
      <c r="C724" s="1243"/>
      <c r="D724" s="1243"/>
      <c r="E724" s="1243"/>
      <c r="F724" s="1243"/>
      <c r="G724" s="963"/>
      <c r="H724" s="730" t="s">
        <v>34</v>
      </c>
      <c r="I724" s="1379"/>
      <c r="J724" s="830">
        <f ca="1">IFERROR(__xludf.DUMMYFUNCTION("IMPORTRANGE(""https://docs.google.com/spreadsheets/d/1XWAQStnk-4SwqDmLtmXYiTMKHgktTP8We1SCoS47DrQ/edit?usp=sharing"",""จัดที่ดิน!BN23"")"),0)</f>
        <v>0</v>
      </c>
      <c r="K724" s="831"/>
      <c r="L724" s="1380"/>
      <c r="M724" s="963"/>
      <c r="N724" s="1380"/>
      <c r="O724" s="831"/>
      <c r="P724" s="831"/>
      <c r="Q724" s="1244"/>
      <c r="R724" s="1244"/>
      <c r="S724" s="1244"/>
      <c r="T724" s="1244"/>
      <c r="U724" s="1244"/>
      <c r="V724" s="1244"/>
      <c r="W724" s="1244"/>
      <c r="X724" s="1244"/>
      <c r="Y724" s="1244"/>
      <c r="Z724" s="1244"/>
    </row>
    <row r="725" spans="1:26" ht="18.75">
      <c r="A725" s="1368"/>
      <c r="B725" s="1243"/>
      <c r="C725" s="1243"/>
      <c r="D725" s="1243"/>
      <c r="E725" s="1243"/>
      <c r="F725" s="1243"/>
      <c r="G725" s="963"/>
      <c r="H725" s="730" t="s">
        <v>46</v>
      </c>
      <c r="I725" s="1379">
        <f ca="1">IFERROR(__xludf.DUMMYFUNCTION("IMPORTRANGE(""https://docs.google.com/spreadsheets/d/1QqKyyYR6Q21VydFLVH3TRQUabQu_ym0Zz7PgGX0-kHA/edit?usp=sharing"",""แผน!IM23"")"),0)</f>
        <v>0</v>
      </c>
      <c r="J725" s="830">
        <f ca="1">IFERROR(__xludf.DUMMYFUNCTION("IMPORTRANGE(""https://docs.google.com/spreadsheets/d/1XWAQStnk-4SwqDmLtmXYiTMKHgktTP8We1SCoS47DrQ/edit?usp=sharing"",""จัดที่ดิน!BO23"")"),0)</f>
        <v>0</v>
      </c>
      <c r="K725" s="831">
        <f t="shared" ref="K725:K726" ca="1" si="292">IF(I725&gt;0,J725*100/I725,0)</f>
        <v>0</v>
      </c>
      <c r="L725" s="1380"/>
      <c r="M725" s="963"/>
      <c r="N725" s="1380"/>
      <c r="O725" s="831"/>
      <c r="P725" s="831"/>
      <c r="Q725" s="1244"/>
      <c r="R725" s="1244"/>
      <c r="S725" s="1244"/>
      <c r="T725" s="1244"/>
      <c r="U725" s="1244"/>
      <c r="V725" s="1244"/>
      <c r="W725" s="1244"/>
      <c r="X725" s="1244"/>
      <c r="Y725" s="1244"/>
      <c r="Z725" s="1244"/>
    </row>
    <row r="726" spans="1:26" ht="18.75">
      <c r="A726" s="1368"/>
      <c r="B726" s="1243"/>
      <c r="C726" s="1243"/>
      <c r="D726" s="1243"/>
      <c r="E726" s="1243" t="s">
        <v>307</v>
      </c>
      <c r="F726" s="1243"/>
      <c r="G726" s="963"/>
      <c r="H726" s="730" t="s">
        <v>35</v>
      </c>
      <c r="I726" s="1379">
        <f ca="1">IFERROR(__xludf.DUMMYFUNCTION("IMPORTRANGE(""https://docs.google.com/spreadsheets/d/1QqKyyYR6Q21VydFLVH3TRQUabQu_ym0Zz7PgGX0-kHA/edit?usp=sharing"",""แผน!IN23"")"),12)</f>
        <v>12</v>
      </c>
      <c r="J726" s="830">
        <f ca="1">IFERROR(__xludf.DUMMYFUNCTION("IMPORTRANGE(""https://docs.google.com/spreadsheets/d/1XWAQStnk-4SwqDmLtmXYiTMKHgktTP8We1SCoS47DrQ/edit?usp=sharing"",""จัดที่ดิน!BR23"")"),0)</f>
        <v>0</v>
      </c>
      <c r="K726" s="831">
        <f t="shared" ca="1" si="292"/>
        <v>0</v>
      </c>
      <c r="L726" s="831"/>
      <c r="M726" s="963"/>
      <c r="N726" s="1380"/>
      <c r="O726" s="831"/>
      <c r="P726" s="831"/>
      <c r="Q726" s="1244"/>
      <c r="R726" s="1244"/>
      <c r="S726" s="1244"/>
      <c r="T726" s="1244"/>
      <c r="U726" s="1244"/>
      <c r="V726" s="1244"/>
      <c r="W726" s="1244"/>
      <c r="X726" s="1244"/>
      <c r="Y726" s="1244"/>
      <c r="Z726" s="1244"/>
    </row>
    <row r="727" spans="1:26" ht="18.75">
      <c r="A727" s="1368"/>
      <c r="B727" s="1243"/>
      <c r="C727" s="1243"/>
      <c r="D727" s="1243"/>
      <c r="E727" s="1243"/>
      <c r="F727" s="1243"/>
      <c r="G727" s="963"/>
      <c r="H727" s="730" t="s">
        <v>34</v>
      </c>
      <c r="I727" s="1379"/>
      <c r="J727" s="830">
        <f ca="1">IFERROR(__xludf.DUMMYFUNCTION("IMPORTRANGE(""https://docs.google.com/spreadsheets/d/1XWAQStnk-4SwqDmLtmXYiTMKHgktTP8We1SCoS47DrQ/edit?usp=sharing"",""จัดที่ดิน!BS23"")"),0)</f>
        <v>0</v>
      </c>
      <c r="K727" s="831"/>
      <c r="L727" s="1380"/>
      <c r="M727" s="963"/>
      <c r="N727" s="1380"/>
      <c r="O727" s="831"/>
      <c r="P727" s="831"/>
      <c r="Q727" s="1244"/>
      <c r="R727" s="1244"/>
      <c r="S727" s="1244"/>
      <c r="T727" s="1244"/>
      <c r="U727" s="1244"/>
      <c r="V727" s="1244"/>
      <c r="W727" s="1244"/>
      <c r="X727" s="1244"/>
      <c r="Y727" s="1244"/>
      <c r="Z727" s="1244"/>
    </row>
    <row r="728" spans="1:26" ht="18.75">
      <c r="A728" s="1368"/>
      <c r="B728" s="1243"/>
      <c r="C728" s="1243"/>
      <c r="D728" s="1243"/>
      <c r="E728" s="1243"/>
      <c r="F728" s="1243"/>
      <c r="G728" s="963"/>
      <c r="H728" s="730" t="s">
        <v>46</v>
      </c>
      <c r="I728" s="1379">
        <f ca="1">IFERROR(__xludf.DUMMYFUNCTION("IMPORTRANGE(""https://docs.google.com/spreadsheets/d/1QqKyyYR6Q21VydFLVH3TRQUabQu_ym0Zz7PgGX0-kHA/edit?usp=sharing"",""แผน!IO23"")"),52)</f>
        <v>52</v>
      </c>
      <c r="J728" s="830">
        <f ca="1">IFERROR(__xludf.DUMMYFUNCTION("IMPORTRANGE(""https://docs.google.com/spreadsheets/d/1XWAQStnk-4SwqDmLtmXYiTMKHgktTP8We1SCoS47DrQ/edit?usp=sharing"",""จัดที่ดิน!BT23"")"),0)</f>
        <v>0</v>
      </c>
      <c r="K728" s="831">
        <f t="shared" ref="K728:K729" ca="1" si="293">IF(I728&gt;0,J728*100/I728,0)</f>
        <v>0</v>
      </c>
      <c r="L728" s="1380"/>
      <c r="M728" s="963"/>
      <c r="N728" s="1380"/>
      <c r="O728" s="831"/>
      <c r="P728" s="831"/>
      <c r="Q728" s="1244"/>
      <c r="R728" s="1244"/>
      <c r="S728" s="1244"/>
      <c r="T728" s="1244"/>
      <c r="U728" s="1244"/>
      <c r="V728" s="1244"/>
      <c r="W728" s="1244"/>
      <c r="X728" s="1244"/>
      <c r="Y728" s="1244"/>
      <c r="Z728" s="1244"/>
    </row>
    <row r="729" spans="1:26" ht="19.5">
      <c r="A729" s="1368"/>
      <c r="B729" s="1243"/>
      <c r="C729" s="1243"/>
      <c r="D729" s="1243" t="s">
        <v>308</v>
      </c>
      <c r="E729" s="1243"/>
      <c r="F729" s="1243"/>
      <c r="G729" s="963"/>
      <c r="H729" s="733" t="s">
        <v>46</v>
      </c>
      <c r="I729" s="1381">
        <f ca="1">IFERROR(__xludf.DUMMYFUNCTION("IMPORTRANGE(""https://docs.google.com/spreadsheets/d/1QqKyyYR6Q21VydFLVH3TRQUabQu_ym0Zz7PgGX0-kHA/edit?usp=sharing"",""แผน!IP23"")"),0)</f>
        <v>0</v>
      </c>
      <c r="J729" s="966">
        <f>J732+J735</f>
        <v>0</v>
      </c>
      <c r="K729" s="967">
        <f t="shared" ca="1" si="293"/>
        <v>0</v>
      </c>
      <c r="L729" s="831"/>
      <c r="M729" s="963"/>
      <c r="N729" s="1380"/>
      <c r="O729" s="831"/>
      <c r="P729" s="831"/>
      <c r="Q729" s="1244"/>
      <c r="R729" s="1244"/>
      <c r="S729" s="1244"/>
      <c r="T729" s="1244"/>
      <c r="U729" s="1244"/>
      <c r="V729" s="1244"/>
      <c r="W729" s="1244"/>
      <c r="X729" s="1244"/>
      <c r="Y729" s="1244"/>
      <c r="Z729" s="1244"/>
    </row>
    <row r="730" spans="1:26" ht="18.75">
      <c r="A730" s="1368"/>
      <c r="B730" s="1243"/>
      <c r="C730" s="1243"/>
      <c r="D730" s="1243"/>
      <c r="E730" s="1243" t="s">
        <v>309</v>
      </c>
      <c r="F730" s="1243"/>
      <c r="G730" s="963"/>
      <c r="H730" s="730" t="s">
        <v>35</v>
      </c>
      <c r="I730" s="1379"/>
      <c r="J730" s="959">
        <v>0</v>
      </c>
      <c r="K730" s="831"/>
      <c r="L730" s="1380"/>
      <c r="M730" s="831"/>
      <c r="N730" s="1380"/>
      <c r="O730" s="831"/>
      <c r="P730" s="831"/>
      <c r="Q730" s="1244"/>
      <c r="R730" s="1244"/>
      <c r="S730" s="1244"/>
      <c r="T730" s="1244"/>
      <c r="U730" s="1244"/>
      <c r="V730" s="1244"/>
      <c r="W730" s="1244"/>
      <c r="X730" s="1244"/>
      <c r="Y730" s="1244"/>
      <c r="Z730" s="1244"/>
    </row>
    <row r="731" spans="1:26" ht="18.75">
      <c r="A731" s="1368"/>
      <c r="B731" s="1243"/>
      <c r="C731" s="1243"/>
      <c r="D731" s="1243"/>
      <c r="E731" s="1243"/>
      <c r="F731" s="1243"/>
      <c r="G731" s="963"/>
      <c r="H731" s="730" t="s">
        <v>34</v>
      </c>
      <c r="I731" s="1379"/>
      <c r="J731" s="959">
        <v>0</v>
      </c>
      <c r="K731" s="831"/>
      <c r="L731" s="1380"/>
      <c r="M731" s="831"/>
      <c r="N731" s="1380"/>
      <c r="O731" s="831"/>
      <c r="P731" s="831"/>
      <c r="Q731" s="1244"/>
      <c r="R731" s="1244"/>
      <c r="S731" s="1244"/>
      <c r="T731" s="1244"/>
      <c r="U731" s="1244"/>
      <c r="V731" s="1244"/>
      <c r="W731" s="1244"/>
      <c r="X731" s="1244"/>
      <c r="Y731" s="1244"/>
      <c r="Z731" s="1244"/>
    </row>
    <row r="732" spans="1:26" ht="18.75">
      <c r="A732" s="1368"/>
      <c r="B732" s="1243"/>
      <c r="C732" s="1243"/>
      <c r="D732" s="1243"/>
      <c r="E732" s="1243"/>
      <c r="F732" s="1243"/>
      <c r="G732" s="963"/>
      <c r="H732" s="730" t="s">
        <v>46</v>
      </c>
      <c r="I732" s="1379"/>
      <c r="J732" s="959">
        <v>0</v>
      </c>
      <c r="K732" s="831"/>
      <c r="L732" s="1380"/>
      <c r="M732" s="831"/>
      <c r="N732" s="1380"/>
      <c r="O732" s="831"/>
      <c r="P732" s="831"/>
      <c r="Q732" s="1244"/>
      <c r="R732" s="1244"/>
      <c r="S732" s="1244"/>
      <c r="T732" s="1244"/>
      <c r="U732" s="1244"/>
      <c r="V732" s="1244"/>
      <c r="W732" s="1244"/>
      <c r="X732" s="1244"/>
      <c r="Y732" s="1244"/>
      <c r="Z732" s="1244"/>
    </row>
    <row r="733" spans="1:26" ht="18.75">
      <c r="A733" s="1368"/>
      <c r="B733" s="1243"/>
      <c r="C733" s="1243"/>
      <c r="D733" s="1243"/>
      <c r="E733" s="1243" t="s">
        <v>310</v>
      </c>
      <c r="F733" s="1243"/>
      <c r="G733" s="963"/>
      <c r="H733" s="730" t="s">
        <v>35</v>
      </c>
      <c r="I733" s="1379"/>
      <c r="J733" s="959">
        <v>0</v>
      </c>
      <c r="K733" s="831"/>
      <c r="L733" s="1380"/>
      <c r="M733" s="831"/>
      <c r="N733" s="1380"/>
      <c r="O733" s="831"/>
      <c r="P733" s="831"/>
      <c r="Q733" s="1244"/>
      <c r="R733" s="1244"/>
      <c r="S733" s="1244"/>
      <c r="T733" s="1244"/>
      <c r="U733" s="1244"/>
      <c r="V733" s="1244"/>
      <c r="W733" s="1244"/>
      <c r="X733" s="1244"/>
      <c r="Y733" s="1244"/>
      <c r="Z733" s="1244"/>
    </row>
    <row r="734" spans="1:26" ht="18.75">
      <c r="A734" s="1368"/>
      <c r="B734" s="1243"/>
      <c r="C734" s="1243"/>
      <c r="D734" s="1243"/>
      <c r="E734" s="1243"/>
      <c r="F734" s="1243"/>
      <c r="G734" s="963"/>
      <c r="H734" s="730" t="s">
        <v>34</v>
      </c>
      <c r="I734" s="1379"/>
      <c r="J734" s="959">
        <v>0</v>
      </c>
      <c r="K734" s="831"/>
      <c r="L734" s="1380"/>
      <c r="M734" s="831"/>
      <c r="N734" s="1380"/>
      <c r="O734" s="831"/>
      <c r="P734" s="831"/>
      <c r="Q734" s="1244"/>
      <c r="R734" s="1244"/>
      <c r="S734" s="1244"/>
      <c r="T734" s="1244"/>
      <c r="U734" s="1244"/>
      <c r="V734" s="1244"/>
      <c r="W734" s="1244"/>
      <c r="X734" s="1244"/>
      <c r="Y734" s="1244"/>
      <c r="Z734" s="1244"/>
    </row>
    <row r="735" spans="1:26" ht="19.5">
      <c r="A735" s="1382"/>
      <c r="B735" s="1383" t="s">
        <v>311</v>
      </c>
      <c r="C735" s="1116"/>
      <c r="D735" s="1116"/>
      <c r="E735" s="1116"/>
      <c r="F735" s="1116"/>
      <c r="G735" s="1361"/>
      <c r="H735" s="391" t="s">
        <v>46</v>
      </c>
      <c r="I735" s="1384"/>
      <c r="J735" s="1118">
        <v>0</v>
      </c>
      <c r="K735" s="1182"/>
      <c r="L735" s="1385"/>
      <c r="M735" s="1182"/>
      <c r="N735" s="1385"/>
      <c r="O735" s="1182"/>
      <c r="P735" s="1182"/>
      <c r="Q735" s="1244"/>
      <c r="R735" s="1244"/>
      <c r="S735" s="1244"/>
      <c r="T735" s="1244"/>
      <c r="U735" s="1244"/>
      <c r="V735" s="1244"/>
      <c r="W735" s="1244"/>
      <c r="X735" s="1244"/>
      <c r="Y735" s="1244"/>
      <c r="Z735" s="1244"/>
    </row>
    <row r="736" spans="1:26" ht="19.5" hidden="1">
      <c r="A736" s="740">
        <v>9</v>
      </c>
      <c r="B736" s="1386" t="s">
        <v>312</v>
      </c>
      <c r="C736" s="1387"/>
      <c r="D736" s="1387"/>
      <c r="E736" s="1387"/>
      <c r="F736" s="1387"/>
      <c r="G736" s="1388"/>
      <c r="H736" s="744" t="s">
        <v>46</v>
      </c>
      <c r="I736" s="1389"/>
      <c r="J736" s="1389">
        <f>J751</f>
        <v>0</v>
      </c>
      <c r="K736" s="1390">
        <f>IF(I736&gt;0,J736*100/I736,0)</f>
        <v>0</v>
      </c>
      <c r="L736" s="1391"/>
      <c r="M736" s="1391"/>
      <c r="N736" s="1391"/>
      <c r="O736" s="1391"/>
      <c r="P736" s="1391"/>
      <c r="Q736" s="1264"/>
      <c r="R736" s="1264"/>
      <c r="S736" s="1264"/>
      <c r="T736" s="1264"/>
      <c r="U736" s="1264"/>
      <c r="V736" s="1264"/>
      <c r="W736" s="1264"/>
      <c r="X736" s="1264"/>
      <c r="Y736" s="1264"/>
      <c r="Z736" s="1264"/>
    </row>
    <row r="737" spans="1:26" ht="19.5" hidden="1">
      <c r="A737" s="1260"/>
      <c r="B737" s="1261"/>
      <c r="C737" s="1261" t="s">
        <v>16</v>
      </c>
      <c r="D737" s="1508" t="s">
        <v>17</v>
      </c>
      <c r="E737" s="1485"/>
      <c r="F737" s="1485"/>
      <c r="G737" s="1263"/>
      <c r="H737" s="612" t="s">
        <v>12</v>
      </c>
      <c r="I737" s="836"/>
      <c r="J737" s="836"/>
      <c r="K737" s="837"/>
      <c r="L737" s="1292">
        <f t="shared" ref="L737:N737" si="294">L738+L739</f>
        <v>0</v>
      </c>
      <c r="M737" s="1292">
        <f t="shared" si="294"/>
        <v>0</v>
      </c>
      <c r="N737" s="1292">
        <f t="shared" si="294"/>
        <v>0</v>
      </c>
      <c r="O737" s="1292">
        <f t="shared" ref="O737:O742" si="295">IF(L737&gt;0,N737*100/L737,0)</f>
        <v>0</v>
      </c>
      <c r="P737" s="1292">
        <f t="shared" ref="P737:P742" si="296">IF(M737&gt;0,N737*100/M737,0)</f>
        <v>0</v>
      </c>
      <c r="Q737" s="1264"/>
      <c r="R737" s="1264"/>
      <c r="S737" s="1264"/>
      <c r="T737" s="1264"/>
      <c r="U737" s="1264"/>
      <c r="V737" s="1264"/>
      <c r="W737" s="1264"/>
      <c r="X737" s="1264"/>
      <c r="Y737" s="1264"/>
      <c r="Z737" s="1264"/>
    </row>
    <row r="738" spans="1:26" ht="18.75" hidden="1">
      <c r="A738" s="1260"/>
      <c r="B738" s="1261"/>
      <c r="C738" s="1261"/>
      <c r="D738" s="1262"/>
      <c r="E738" s="1261" t="s">
        <v>184</v>
      </c>
      <c r="F738" s="1261"/>
      <c r="G738" s="1263"/>
      <c r="H738" s="165" t="s">
        <v>12</v>
      </c>
      <c r="I738" s="836"/>
      <c r="J738" s="836"/>
      <c r="K738" s="837"/>
      <c r="L738" s="837">
        <f t="shared" ref="L738:N739" si="297">L741+L748</f>
        <v>0</v>
      </c>
      <c r="M738" s="837">
        <f t="shared" si="297"/>
        <v>0</v>
      </c>
      <c r="N738" s="837">
        <f t="shared" si="297"/>
        <v>0</v>
      </c>
      <c r="O738" s="837">
        <f t="shared" si="295"/>
        <v>0</v>
      </c>
      <c r="P738" s="837">
        <f t="shared" si="296"/>
        <v>0</v>
      </c>
      <c r="Q738" s="1264"/>
      <c r="R738" s="1264"/>
      <c r="S738" s="1264"/>
      <c r="T738" s="1264"/>
      <c r="U738" s="1264"/>
      <c r="V738" s="1264"/>
      <c r="W738" s="1264"/>
      <c r="X738" s="1264"/>
      <c r="Y738" s="1264"/>
      <c r="Z738" s="1264"/>
    </row>
    <row r="739" spans="1:26" ht="18.75" hidden="1">
      <c r="A739" s="1260"/>
      <c r="B739" s="1265"/>
      <c r="C739" s="1261"/>
      <c r="D739" s="1262"/>
      <c r="E739" s="1261" t="s">
        <v>185</v>
      </c>
      <c r="F739" s="1261"/>
      <c r="G739" s="1263"/>
      <c r="H739" s="165" t="s">
        <v>12</v>
      </c>
      <c r="I739" s="836"/>
      <c r="J739" s="836"/>
      <c r="K739" s="837"/>
      <c r="L739" s="837">
        <f t="shared" si="297"/>
        <v>0</v>
      </c>
      <c r="M739" s="837">
        <f t="shared" si="297"/>
        <v>0</v>
      </c>
      <c r="N739" s="837">
        <f t="shared" si="297"/>
        <v>0</v>
      </c>
      <c r="O739" s="837">
        <f t="shared" si="295"/>
        <v>0</v>
      </c>
      <c r="P739" s="837">
        <f t="shared" si="296"/>
        <v>0</v>
      </c>
      <c r="Q739" s="1264"/>
      <c r="R739" s="1264"/>
      <c r="S739" s="1264"/>
      <c r="T739" s="1264"/>
      <c r="U739" s="1264"/>
      <c r="V739" s="1264"/>
      <c r="W739" s="1264"/>
      <c r="X739" s="1264"/>
      <c r="Y739" s="1264"/>
      <c r="Z739" s="1264"/>
    </row>
    <row r="740" spans="1:26" ht="19.5" hidden="1">
      <c r="A740" s="1260"/>
      <c r="B740" s="1265"/>
      <c r="C740" s="1261"/>
      <c r="D740" s="1392" t="s">
        <v>20</v>
      </c>
      <c r="E740" s="1261"/>
      <c r="F740" s="1261"/>
      <c r="G740" s="1263"/>
      <c r="H740" s="612" t="s">
        <v>12</v>
      </c>
      <c r="I740" s="947"/>
      <c r="J740" s="947"/>
      <c r="K740" s="948"/>
      <c r="L740" s="1292">
        <f t="shared" ref="L740:N740" si="298">L741+L742</f>
        <v>0</v>
      </c>
      <c r="M740" s="1292">
        <f t="shared" si="298"/>
        <v>0</v>
      </c>
      <c r="N740" s="1292">
        <f t="shared" si="298"/>
        <v>0</v>
      </c>
      <c r="O740" s="1292">
        <f t="shared" si="295"/>
        <v>0</v>
      </c>
      <c r="P740" s="1292">
        <f t="shared" si="296"/>
        <v>0</v>
      </c>
      <c r="Q740" s="1264"/>
      <c r="R740" s="1264"/>
      <c r="S740" s="1264"/>
      <c r="T740" s="1264"/>
      <c r="U740" s="1264"/>
      <c r="V740" s="1264"/>
      <c r="W740" s="1264"/>
      <c r="X740" s="1264"/>
      <c r="Y740" s="1264"/>
      <c r="Z740" s="1264"/>
    </row>
    <row r="741" spans="1:26" ht="18.75" hidden="1">
      <c r="A741" s="1260"/>
      <c r="B741" s="1265"/>
      <c r="C741" s="1261"/>
      <c r="D741" s="1262"/>
      <c r="E741" s="1261" t="s">
        <v>184</v>
      </c>
      <c r="F741" s="1261"/>
      <c r="G741" s="1263"/>
      <c r="H741" s="165" t="s">
        <v>12</v>
      </c>
      <c r="I741" s="836"/>
      <c r="J741" s="836"/>
      <c r="K741" s="837"/>
      <c r="L741" s="837">
        <v>0</v>
      </c>
      <c r="M741" s="837">
        <v>0</v>
      </c>
      <c r="N741" s="837">
        <v>0</v>
      </c>
      <c r="O741" s="837">
        <f t="shared" si="295"/>
        <v>0</v>
      </c>
      <c r="P741" s="837">
        <f t="shared" si="296"/>
        <v>0</v>
      </c>
      <c r="Q741" s="1264"/>
      <c r="R741" s="1264"/>
      <c r="S741" s="1264"/>
      <c r="T741" s="1264"/>
      <c r="U741" s="1264"/>
      <c r="V741" s="1264"/>
      <c r="W741" s="1264"/>
      <c r="X741" s="1264"/>
      <c r="Y741" s="1264"/>
      <c r="Z741" s="1264"/>
    </row>
    <row r="742" spans="1:26" ht="18.75" hidden="1">
      <c r="A742" s="1260"/>
      <c r="B742" s="1265"/>
      <c r="C742" s="1261"/>
      <c r="D742" s="1262"/>
      <c r="E742" s="1261" t="s">
        <v>185</v>
      </c>
      <c r="F742" s="1261"/>
      <c r="G742" s="1263"/>
      <c r="H742" s="165" t="s">
        <v>12</v>
      </c>
      <c r="I742" s="836"/>
      <c r="J742" s="836"/>
      <c r="K742" s="837"/>
      <c r="L742" s="837">
        <v>0</v>
      </c>
      <c r="M742" s="837">
        <v>0</v>
      </c>
      <c r="N742" s="837">
        <f>N743+N744+N745+N746</f>
        <v>0</v>
      </c>
      <c r="O742" s="837">
        <f t="shared" si="295"/>
        <v>0</v>
      </c>
      <c r="P742" s="837">
        <f t="shared" si="296"/>
        <v>0</v>
      </c>
      <c r="Q742" s="1264"/>
      <c r="R742" s="1264"/>
      <c r="S742" s="1264"/>
      <c r="T742" s="1264"/>
      <c r="U742" s="1264"/>
      <c r="V742" s="1264"/>
      <c r="W742" s="1264"/>
      <c r="X742" s="1264"/>
      <c r="Y742" s="1264"/>
      <c r="Z742" s="1264"/>
    </row>
    <row r="743" spans="1:26" ht="18.75" hidden="1">
      <c r="A743" s="1294"/>
      <c r="B743" s="1265"/>
      <c r="C743" s="1261"/>
      <c r="D743" s="1261"/>
      <c r="E743" s="1261"/>
      <c r="F743" s="1261" t="s">
        <v>186</v>
      </c>
      <c r="G743" s="1263"/>
      <c r="H743" s="165" t="s">
        <v>12</v>
      </c>
      <c r="I743" s="836"/>
      <c r="J743" s="836"/>
      <c r="K743" s="837"/>
      <c r="L743" s="837"/>
      <c r="M743" s="837"/>
      <c r="N743" s="837"/>
      <c r="O743" s="837"/>
      <c r="P743" s="837"/>
      <c r="Q743" s="1264"/>
      <c r="R743" s="1264"/>
      <c r="S743" s="1264"/>
      <c r="T743" s="1264"/>
      <c r="U743" s="1264"/>
      <c r="V743" s="1264"/>
      <c r="W743" s="1264"/>
      <c r="X743" s="1264"/>
      <c r="Y743" s="1264"/>
      <c r="Z743" s="1264"/>
    </row>
    <row r="744" spans="1:26" ht="18.75" hidden="1">
      <c r="A744" s="1294"/>
      <c r="B744" s="1265"/>
      <c r="C744" s="1261"/>
      <c r="D744" s="1261"/>
      <c r="E744" s="1261"/>
      <c r="F744" s="1261" t="s">
        <v>187</v>
      </c>
      <c r="G744" s="1263"/>
      <c r="H744" s="165" t="s">
        <v>12</v>
      </c>
      <c r="I744" s="836"/>
      <c r="J744" s="836"/>
      <c r="K744" s="837"/>
      <c r="L744" s="837"/>
      <c r="M744" s="837"/>
      <c r="N744" s="837"/>
      <c r="O744" s="837"/>
      <c r="P744" s="837"/>
      <c r="Q744" s="1264"/>
      <c r="R744" s="1264"/>
      <c r="S744" s="1264"/>
      <c r="T744" s="1264"/>
      <c r="U744" s="1264"/>
      <c r="V744" s="1264"/>
      <c r="W744" s="1264"/>
      <c r="X744" s="1264"/>
      <c r="Y744" s="1264"/>
      <c r="Z744" s="1264"/>
    </row>
    <row r="745" spans="1:26" ht="18.75" hidden="1">
      <c r="A745" s="1294"/>
      <c r="B745" s="1265"/>
      <c r="C745" s="1261"/>
      <c r="D745" s="1261"/>
      <c r="E745" s="1261"/>
      <c r="F745" s="1261" t="s">
        <v>188</v>
      </c>
      <c r="G745" s="1263"/>
      <c r="H745" s="165" t="s">
        <v>12</v>
      </c>
      <c r="I745" s="836"/>
      <c r="J745" s="836"/>
      <c r="K745" s="837"/>
      <c r="L745" s="837"/>
      <c r="M745" s="837"/>
      <c r="N745" s="837"/>
      <c r="O745" s="837"/>
      <c r="P745" s="837"/>
      <c r="Q745" s="1264"/>
      <c r="R745" s="1264"/>
      <c r="S745" s="1264"/>
      <c r="T745" s="1264"/>
      <c r="U745" s="1264"/>
      <c r="V745" s="1264"/>
      <c r="W745" s="1264"/>
      <c r="X745" s="1264"/>
      <c r="Y745" s="1264"/>
      <c r="Z745" s="1264"/>
    </row>
    <row r="746" spans="1:26" ht="18.75" hidden="1">
      <c r="A746" s="1294"/>
      <c r="B746" s="1265"/>
      <c r="C746" s="1261"/>
      <c r="D746" s="1261"/>
      <c r="E746" s="1261"/>
      <c r="F746" s="1261" t="s">
        <v>189</v>
      </c>
      <c r="G746" s="1263"/>
      <c r="H746" s="165" t="s">
        <v>12</v>
      </c>
      <c r="I746" s="836"/>
      <c r="J746" s="836"/>
      <c r="K746" s="837"/>
      <c r="L746" s="837"/>
      <c r="M746" s="837"/>
      <c r="N746" s="837"/>
      <c r="O746" s="837"/>
      <c r="P746" s="837"/>
      <c r="Q746" s="1264"/>
      <c r="R746" s="1264"/>
      <c r="S746" s="1264"/>
      <c r="T746" s="1264"/>
      <c r="U746" s="1264"/>
      <c r="V746" s="1264"/>
      <c r="W746" s="1264"/>
      <c r="X746" s="1264"/>
      <c r="Y746" s="1264"/>
      <c r="Z746" s="1264"/>
    </row>
    <row r="747" spans="1:26" ht="19.5" hidden="1">
      <c r="A747" s="1260"/>
      <c r="B747" s="1265"/>
      <c r="C747" s="1261"/>
      <c r="D747" s="1392" t="s">
        <v>21</v>
      </c>
      <c r="E747" s="1261"/>
      <c r="F747" s="1261"/>
      <c r="G747" s="1263"/>
      <c r="H747" s="749" t="s">
        <v>12</v>
      </c>
      <c r="I747" s="947"/>
      <c r="J747" s="947"/>
      <c r="K747" s="948"/>
      <c r="L747" s="1292">
        <f t="shared" ref="L747:N747" si="299">L748+L749</f>
        <v>0</v>
      </c>
      <c r="M747" s="1292">
        <f t="shared" si="299"/>
        <v>0</v>
      </c>
      <c r="N747" s="1292">
        <f t="shared" si="299"/>
        <v>0</v>
      </c>
      <c r="O747" s="1292">
        <f t="shared" ref="O747:O749" si="300">IF(L747&gt;0,N747*100/L747,0)</f>
        <v>0</v>
      </c>
      <c r="P747" s="1292">
        <f t="shared" ref="P747:P749" si="301">IF(M747&gt;0,N747*100/M747,0)</f>
        <v>0</v>
      </c>
      <c r="Q747" s="1264"/>
      <c r="R747" s="1264"/>
      <c r="S747" s="1264"/>
      <c r="T747" s="1264"/>
      <c r="U747" s="1264"/>
      <c r="V747" s="1264"/>
      <c r="W747" s="1264"/>
      <c r="X747" s="1264"/>
      <c r="Y747" s="1264"/>
      <c r="Z747" s="1264"/>
    </row>
    <row r="748" spans="1:26" ht="18.75" hidden="1">
      <c r="A748" s="1260"/>
      <c r="B748" s="1265"/>
      <c r="C748" s="1261"/>
      <c r="D748" s="1261"/>
      <c r="E748" s="1261" t="s">
        <v>18</v>
      </c>
      <c r="F748" s="1261"/>
      <c r="G748" s="1263"/>
      <c r="H748" s="165" t="s">
        <v>12</v>
      </c>
      <c r="I748" s="947"/>
      <c r="J748" s="947"/>
      <c r="K748" s="948"/>
      <c r="L748" s="837">
        <v>0</v>
      </c>
      <c r="M748" s="837">
        <v>0</v>
      </c>
      <c r="N748" s="837">
        <v>0</v>
      </c>
      <c r="O748" s="837">
        <f t="shared" si="300"/>
        <v>0</v>
      </c>
      <c r="P748" s="837">
        <f t="shared" si="301"/>
        <v>0</v>
      </c>
      <c r="Q748" s="1264"/>
      <c r="R748" s="1264"/>
      <c r="S748" s="1264"/>
      <c r="T748" s="1264"/>
      <c r="U748" s="1264"/>
      <c r="V748" s="1264"/>
      <c r="W748" s="1264"/>
      <c r="X748" s="1264"/>
      <c r="Y748" s="1264"/>
      <c r="Z748" s="1264"/>
    </row>
    <row r="749" spans="1:26" ht="18.75" hidden="1">
      <c r="A749" s="1260"/>
      <c r="B749" s="1265"/>
      <c r="C749" s="1261"/>
      <c r="D749" s="1261"/>
      <c r="E749" s="1261" t="s">
        <v>19</v>
      </c>
      <c r="F749" s="1261"/>
      <c r="G749" s="1263"/>
      <c r="H749" s="169" t="s">
        <v>12</v>
      </c>
      <c r="I749" s="947"/>
      <c r="J749" s="947"/>
      <c r="K749" s="948"/>
      <c r="L749" s="837">
        <v>0</v>
      </c>
      <c r="M749" s="837">
        <v>0</v>
      </c>
      <c r="N749" s="837">
        <v>0</v>
      </c>
      <c r="O749" s="837">
        <f t="shared" si="300"/>
        <v>0</v>
      </c>
      <c r="P749" s="837">
        <f t="shared" si="301"/>
        <v>0</v>
      </c>
      <c r="Q749" s="1264"/>
      <c r="R749" s="1264"/>
      <c r="S749" s="1264"/>
      <c r="T749" s="1264"/>
      <c r="U749" s="1264"/>
      <c r="V749" s="1264"/>
      <c r="W749" s="1264"/>
      <c r="X749" s="1264"/>
      <c r="Y749" s="1264"/>
      <c r="Z749" s="1264"/>
    </row>
    <row r="750" spans="1:26" ht="19.5" hidden="1">
      <c r="A750" s="1273"/>
      <c r="B750" s="1274"/>
      <c r="C750" s="1261" t="s">
        <v>16</v>
      </c>
      <c r="D750" s="1393" t="s">
        <v>38</v>
      </c>
      <c r="E750" s="1296"/>
      <c r="F750" s="1296"/>
      <c r="G750" s="1297"/>
      <c r="H750" s="1060"/>
      <c r="I750" s="947"/>
      <c r="J750" s="947"/>
      <c r="K750" s="948"/>
      <c r="L750" s="948"/>
      <c r="M750" s="948"/>
      <c r="N750" s="948"/>
      <c r="O750" s="948"/>
      <c r="P750" s="948"/>
      <c r="Q750" s="1264"/>
      <c r="R750" s="1264"/>
      <c r="S750" s="1264"/>
      <c r="T750" s="1264"/>
      <c r="U750" s="1264"/>
      <c r="V750" s="1264"/>
      <c r="W750" s="1264"/>
      <c r="X750" s="1264"/>
      <c r="Y750" s="1264"/>
      <c r="Z750" s="1264"/>
    </row>
    <row r="751" spans="1:26" ht="18.75" hidden="1">
      <c r="A751" s="1294"/>
      <c r="B751" s="1265"/>
      <c r="C751" s="1261"/>
      <c r="D751" s="1261"/>
      <c r="E751" s="1261" t="s">
        <v>313</v>
      </c>
      <c r="F751" s="1261"/>
      <c r="G751" s="1263"/>
      <c r="H751" s="165" t="s">
        <v>46</v>
      </c>
      <c r="I751" s="836"/>
      <c r="J751" s="836"/>
      <c r="K751" s="837"/>
      <c r="L751" s="837"/>
      <c r="M751" s="837"/>
      <c r="N751" s="837"/>
      <c r="O751" s="837"/>
      <c r="P751" s="837"/>
      <c r="Q751" s="1264"/>
      <c r="R751" s="1264"/>
      <c r="S751" s="1264"/>
      <c r="T751" s="1264"/>
      <c r="U751" s="1264"/>
      <c r="V751" s="1264"/>
      <c r="W751" s="1264"/>
      <c r="X751" s="1264"/>
      <c r="Y751" s="1264"/>
      <c r="Z751" s="1264"/>
    </row>
    <row r="752" spans="1:26" ht="18.75" hidden="1">
      <c r="A752" s="1294"/>
      <c r="B752" s="1265"/>
      <c r="C752" s="1261"/>
      <c r="D752" s="1261"/>
      <c r="E752" s="1261"/>
      <c r="F752" s="1261"/>
      <c r="G752" s="1263"/>
      <c r="H752" s="165" t="s">
        <v>314</v>
      </c>
      <c r="I752" s="836"/>
      <c r="J752" s="836"/>
      <c r="K752" s="837"/>
      <c r="L752" s="837"/>
      <c r="M752" s="837"/>
      <c r="N752" s="837"/>
      <c r="O752" s="837"/>
      <c r="P752" s="837"/>
      <c r="Q752" s="1264"/>
      <c r="R752" s="1264"/>
      <c r="S752" s="1264"/>
      <c r="T752" s="1264"/>
      <c r="U752" s="1264"/>
      <c r="V752" s="1264"/>
      <c r="W752" s="1264"/>
      <c r="X752" s="1264"/>
      <c r="Y752" s="1264"/>
      <c r="Z752" s="1264"/>
    </row>
    <row r="753" spans="1:26" ht="19.5" hidden="1">
      <c r="A753" s="751">
        <v>10</v>
      </c>
      <c r="B753" s="1394" t="s">
        <v>315</v>
      </c>
      <c r="C753" s="1395"/>
      <c r="D753" s="1395"/>
      <c r="E753" s="1395"/>
      <c r="F753" s="1395"/>
      <c r="G753" s="1396"/>
      <c r="H753" s="755" t="s">
        <v>46</v>
      </c>
      <c r="I753" s="1397"/>
      <c r="J753" s="1397">
        <f>J768</f>
        <v>0</v>
      </c>
      <c r="K753" s="1398">
        <f>IF(I753&gt;0,J753*100/I753,0)</f>
        <v>0</v>
      </c>
      <c r="L753" s="1399"/>
      <c r="M753" s="1399"/>
      <c r="N753" s="1399"/>
      <c r="O753" s="1399"/>
      <c r="P753" s="1399"/>
      <c r="Q753" s="1264"/>
      <c r="R753" s="1264"/>
      <c r="S753" s="1264"/>
      <c r="T753" s="1264"/>
      <c r="U753" s="1264"/>
      <c r="V753" s="1264"/>
      <c r="W753" s="1264"/>
      <c r="X753" s="1264"/>
      <c r="Y753" s="1264"/>
      <c r="Z753" s="1264"/>
    </row>
    <row r="754" spans="1:26" ht="19.5" hidden="1">
      <c r="A754" s="1260"/>
      <c r="B754" s="1261"/>
      <c r="C754" s="1261" t="s">
        <v>16</v>
      </c>
      <c r="D754" s="1508" t="s">
        <v>17</v>
      </c>
      <c r="E754" s="1485"/>
      <c r="F754" s="1485"/>
      <c r="G754" s="1263"/>
      <c r="H754" s="612" t="s">
        <v>12</v>
      </c>
      <c r="I754" s="836"/>
      <c r="J754" s="836"/>
      <c r="K754" s="837"/>
      <c r="L754" s="1292">
        <f t="shared" ref="L754:N754" si="302">L755+L756</f>
        <v>0</v>
      </c>
      <c r="M754" s="1292">
        <f t="shared" si="302"/>
        <v>0</v>
      </c>
      <c r="N754" s="1292">
        <f t="shared" si="302"/>
        <v>0</v>
      </c>
      <c r="O754" s="1292">
        <f t="shared" ref="O754:O759" si="303">IF(L754&gt;0,N754*100/L754,0)</f>
        <v>0</v>
      </c>
      <c r="P754" s="1292">
        <f t="shared" ref="P754:P759" si="304">IF(M754&gt;0,N754*100/M754,0)</f>
        <v>0</v>
      </c>
      <c r="Q754" s="1264"/>
      <c r="R754" s="1264"/>
      <c r="S754" s="1264"/>
      <c r="T754" s="1264"/>
      <c r="U754" s="1264"/>
      <c r="V754" s="1264"/>
      <c r="W754" s="1264"/>
      <c r="X754" s="1264"/>
      <c r="Y754" s="1264"/>
      <c r="Z754" s="1264"/>
    </row>
    <row r="755" spans="1:26" ht="18.75" hidden="1">
      <c r="A755" s="1260"/>
      <c r="B755" s="1261"/>
      <c r="C755" s="1261"/>
      <c r="D755" s="1262"/>
      <c r="E755" s="1261" t="s">
        <v>184</v>
      </c>
      <c r="F755" s="1261"/>
      <c r="G755" s="1263"/>
      <c r="H755" s="165" t="s">
        <v>12</v>
      </c>
      <c r="I755" s="836"/>
      <c r="J755" s="836"/>
      <c r="K755" s="837"/>
      <c r="L755" s="837">
        <f t="shared" ref="L755:N756" si="305">L758+L765</f>
        <v>0</v>
      </c>
      <c r="M755" s="837">
        <f t="shared" si="305"/>
        <v>0</v>
      </c>
      <c r="N755" s="837">
        <f t="shared" si="305"/>
        <v>0</v>
      </c>
      <c r="O755" s="837">
        <f t="shared" si="303"/>
        <v>0</v>
      </c>
      <c r="P755" s="837">
        <f t="shared" si="304"/>
        <v>0</v>
      </c>
      <c r="Q755" s="1264"/>
      <c r="R755" s="1264"/>
      <c r="S755" s="1264"/>
      <c r="T755" s="1264"/>
      <c r="U755" s="1264"/>
      <c r="V755" s="1264"/>
      <c r="W755" s="1264"/>
      <c r="X755" s="1264"/>
      <c r="Y755" s="1264"/>
      <c r="Z755" s="1264"/>
    </row>
    <row r="756" spans="1:26" ht="18.75" hidden="1">
      <c r="A756" s="1260"/>
      <c r="B756" s="1265"/>
      <c r="C756" s="1261"/>
      <c r="D756" s="1262"/>
      <c r="E756" s="1261" t="s">
        <v>185</v>
      </c>
      <c r="F756" s="1261"/>
      <c r="G756" s="1263"/>
      <c r="H756" s="165" t="s">
        <v>12</v>
      </c>
      <c r="I756" s="836"/>
      <c r="J756" s="836"/>
      <c r="K756" s="837"/>
      <c r="L756" s="837">
        <f t="shared" si="305"/>
        <v>0</v>
      </c>
      <c r="M756" s="837">
        <f t="shared" si="305"/>
        <v>0</v>
      </c>
      <c r="N756" s="837">
        <f t="shared" si="305"/>
        <v>0</v>
      </c>
      <c r="O756" s="837">
        <f t="shared" si="303"/>
        <v>0</v>
      </c>
      <c r="P756" s="837">
        <f t="shared" si="304"/>
        <v>0</v>
      </c>
      <c r="Q756" s="1264"/>
      <c r="R756" s="1264"/>
      <c r="S756" s="1264"/>
      <c r="T756" s="1264"/>
      <c r="U756" s="1264"/>
      <c r="V756" s="1264"/>
      <c r="W756" s="1264"/>
      <c r="X756" s="1264"/>
      <c r="Y756" s="1264"/>
      <c r="Z756" s="1264"/>
    </row>
    <row r="757" spans="1:26" ht="19.5" hidden="1">
      <c r="A757" s="1260"/>
      <c r="B757" s="1265"/>
      <c r="C757" s="1261"/>
      <c r="D757" s="1392" t="s">
        <v>20</v>
      </c>
      <c r="E757" s="1261"/>
      <c r="F757" s="1261"/>
      <c r="G757" s="1263"/>
      <c r="H757" s="612" t="s">
        <v>12</v>
      </c>
      <c r="I757" s="947"/>
      <c r="J757" s="947"/>
      <c r="K757" s="948"/>
      <c r="L757" s="1292">
        <f t="shared" ref="L757:N757" si="306">L758+L759</f>
        <v>0</v>
      </c>
      <c r="M757" s="1292">
        <f t="shared" si="306"/>
        <v>0</v>
      </c>
      <c r="N757" s="1292">
        <f t="shared" si="306"/>
        <v>0</v>
      </c>
      <c r="O757" s="1292">
        <f t="shared" si="303"/>
        <v>0</v>
      </c>
      <c r="P757" s="1292">
        <f t="shared" si="304"/>
        <v>0</v>
      </c>
      <c r="Q757" s="1264"/>
      <c r="R757" s="1264"/>
      <c r="S757" s="1264"/>
      <c r="T757" s="1264"/>
      <c r="U757" s="1264"/>
      <c r="V757" s="1264"/>
      <c r="W757" s="1264"/>
      <c r="X757" s="1264"/>
      <c r="Y757" s="1264"/>
      <c r="Z757" s="1264"/>
    </row>
    <row r="758" spans="1:26" ht="18.75" hidden="1">
      <c r="A758" s="1260"/>
      <c r="B758" s="1265"/>
      <c r="C758" s="1261"/>
      <c r="D758" s="1262"/>
      <c r="E758" s="1261" t="s">
        <v>184</v>
      </c>
      <c r="F758" s="1261"/>
      <c r="G758" s="1263"/>
      <c r="H758" s="165" t="s">
        <v>12</v>
      </c>
      <c r="I758" s="836"/>
      <c r="J758" s="836"/>
      <c r="K758" s="837"/>
      <c r="L758" s="837">
        <v>0</v>
      </c>
      <c r="M758" s="837">
        <v>0</v>
      </c>
      <c r="N758" s="837">
        <v>0</v>
      </c>
      <c r="O758" s="837">
        <f t="shared" si="303"/>
        <v>0</v>
      </c>
      <c r="P758" s="837">
        <f t="shared" si="304"/>
        <v>0</v>
      </c>
      <c r="Q758" s="1264"/>
      <c r="R758" s="1264"/>
      <c r="S758" s="1264"/>
      <c r="T758" s="1264"/>
      <c r="U758" s="1264"/>
      <c r="V758" s="1264"/>
      <c r="W758" s="1264"/>
      <c r="X758" s="1264"/>
      <c r="Y758" s="1264"/>
      <c r="Z758" s="1264"/>
    </row>
    <row r="759" spans="1:26" ht="18.75" hidden="1">
      <c r="A759" s="1260"/>
      <c r="B759" s="1265"/>
      <c r="C759" s="1261"/>
      <c r="D759" s="1262"/>
      <c r="E759" s="1261" t="s">
        <v>185</v>
      </c>
      <c r="F759" s="1261"/>
      <c r="G759" s="1263"/>
      <c r="H759" s="165" t="s">
        <v>12</v>
      </c>
      <c r="I759" s="836"/>
      <c r="J759" s="836"/>
      <c r="K759" s="837"/>
      <c r="L759" s="837">
        <v>0</v>
      </c>
      <c r="M759" s="837">
        <v>0</v>
      </c>
      <c r="N759" s="837">
        <f>N760+N761+N762+N763</f>
        <v>0</v>
      </c>
      <c r="O759" s="837">
        <f t="shared" si="303"/>
        <v>0</v>
      </c>
      <c r="P759" s="837">
        <f t="shared" si="304"/>
        <v>0</v>
      </c>
      <c r="Q759" s="1264"/>
      <c r="R759" s="1264"/>
      <c r="S759" s="1264"/>
      <c r="T759" s="1264"/>
      <c r="U759" s="1264"/>
      <c r="V759" s="1264"/>
      <c r="W759" s="1264"/>
      <c r="X759" s="1264"/>
      <c r="Y759" s="1264"/>
      <c r="Z759" s="1264"/>
    </row>
    <row r="760" spans="1:26" ht="18.75" hidden="1">
      <c r="A760" s="1294"/>
      <c r="B760" s="1265"/>
      <c r="C760" s="1261"/>
      <c r="D760" s="1261"/>
      <c r="E760" s="1261"/>
      <c r="F760" s="1261" t="s">
        <v>186</v>
      </c>
      <c r="G760" s="1263"/>
      <c r="H760" s="165" t="s">
        <v>12</v>
      </c>
      <c r="I760" s="836"/>
      <c r="J760" s="836"/>
      <c r="K760" s="837"/>
      <c r="L760" s="837"/>
      <c r="M760" s="837"/>
      <c r="N760" s="837"/>
      <c r="O760" s="837"/>
      <c r="P760" s="837"/>
      <c r="Q760" s="1264"/>
      <c r="R760" s="1264"/>
      <c r="S760" s="1264"/>
      <c r="T760" s="1264"/>
      <c r="U760" s="1264"/>
      <c r="V760" s="1264"/>
      <c r="W760" s="1264"/>
      <c r="X760" s="1264"/>
      <c r="Y760" s="1264"/>
      <c r="Z760" s="1264"/>
    </row>
    <row r="761" spans="1:26" ht="18.75" hidden="1">
      <c r="A761" s="1294"/>
      <c r="B761" s="1265"/>
      <c r="C761" s="1261"/>
      <c r="D761" s="1261"/>
      <c r="E761" s="1261"/>
      <c r="F761" s="1261" t="s">
        <v>187</v>
      </c>
      <c r="G761" s="1263"/>
      <c r="H761" s="165" t="s">
        <v>12</v>
      </c>
      <c r="I761" s="836"/>
      <c r="J761" s="836"/>
      <c r="K761" s="837"/>
      <c r="L761" s="837"/>
      <c r="M761" s="837"/>
      <c r="N761" s="837"/>
      <c r="O761" s="837"/>
      <c r="P761" s="837"/>
      <c r="Q761" s="1264"/>
      <c r="R761" s="1264"/>
      <c r="S761" s="1264"/>
      <c r="T761" s="1264"/>
      <c r="U761" s="1264"/>
      <c r="V761" s="1264"/>
      <c r="W761" s="1264"/>
      <c r="X761" s="1264"/>
      <c r="Y761" s="1264"/>
      <c r="Z761" s="1264"/>
    </row>
    <row r="762" spans="1:26" ht="18.75" hidden="1">
      <c r="A762" s="1294"/>
      <c r="B762" s="1265"/>
      <c r="C762" s="1261"/>
      <c r="D762" s="1261"/>
      <c r="E762" s="1261"/>
      <c r="F762" s="1261" t="s">
        <v>188</v>
      </c>
      <c r="G762" s="1263"/>
      <c r="H762" s="165" t="s">
        <v>12</v>
      </c>
      <c r="I762" s="836"/>
      <c r="J762" s="836"/>
      <c r="K762" s="837"/>
      <c r="L762" s="837"/>
      <c r="M762" s="837"/>
      <c r="N762" s="837"/>
      <c r="O762" s="837"/>
      <c r="P762" s="837"/>
      <c r="Q762" s="1264"/>
      <c r="R762" s="1264"/>
      <c r="S762" s="1264"/>
      <c r="T762" s="1264"/>
      <c r="U762" s="1264"/>
      <c r="V762" s="1264"/>
      <c r="W762" s="1264"/>
      <c r="X762" s="1264"/>
      <c r="Y762" s="1264"/>
      <c r="Z762" s="1264"/>
    </row>
    <row r="763" spans="1:26" ht="18.75" hidden="1">
      <c r="A763" s="1294"/>
      <c r="B763" s="1265"/>
      <c r="C763" s="1261"/>
      <c r="D763" s="1261"/>
      <c r="E763" s="1261"/>
      <c r="F763" s="1261" t="s">
        <v>189</v>
      </c>
      <c r="G763" s="1263"/>
      <c r="H763" s="165" t="s">
        <v>12</v>
      </c>
      <c r="I763" s="836"/>
      <c r="J763" s="836"/>
      <c r="K763" s="837"/>
      <c r="L763" s="837"/>
      <c r="M763" s="837"/>
      <c r="N763" s="837"/>
      <c r="O763" s="837"/>
      <c r="P763" s="837"/>
      <c r="Q763" s="1264"/>
      <c r="R763" s="1264"/>
      <c r="S763" s="1264"/>
      <c r="T763" s="1264"/>
      <c r="U763" s="1264"/>
      <c r="V763" s="1264"/>
      <c r="W763" s="1264"/>
      <c r="X763" s="1264"/>
      <c r="Y763" s="1264"/>
      <c r="Z763" s="1264"/>
    </row>
    <row r="764" spans="1:26" ht="19.5" hidden="1">
      <c r="A764" s="1260"/>
      <c r="B764" s="1265"/>
      <c r="C764" s="1261"/>
      <c r="D764" s="1392" t="s">
        <v>21</v>
      </c>
      <c r="E764" s="1261"/>
      <c r="F764" s="1261"/>
      <c r="G764" s="1263"/>
      <c r="H764" s="749" t="s">
        <v>12</v>
      </c>
      <c r="I764" s="947"/>
      <c r="J764" s="947"/>
      <c r="K764" s="948"/>
      <c r="L764" s="1292">
        <f t="shared" ref="L764:N764" si="307">L765+L766</f>
        <v>0</v>
      </c>
      <c r="M764" s="1292">
        <f t="shared" si="307"/>
        <v>0</v>
      </c>
      <c r="N764" s="1292">
        <f t="shared" si="307"/>
        <v>0</v>
      </c>
      <c r="O764" s="1292">
        <f t="shared" ref="O764:O766" si="308">IF(L764&gt;0,N764*100/L764,0)</f>
        <v>0</v>
      </c>
      <c r="P764" s="1292">
        <f t="shared" ref="P764:P766" si="309">IF(M764&gt;0,N764*100/M764,0)</f>
        <v>0</v>
      </c>
      <c r="Q764" s="1264"/>
      <c r="R764" s="1264"/>
      <c r="S764" s="1264"/>
      <c r="T764" s="1264"/>
      <c r="U764" s="1264"/>
      <c r="V764" s="1264"/>
      <c r="W764" s="1264"/>
      <c r="X764" s="1264"/>
      <c r="Y764" s="1264"/>
      <c r="Z764" s="1264"/>
    </row>
    <row r="765" spans="1:26" ht="18.75" hidden="1">
      <c r="A765" s="1260"/>
      <c r="B765" s="1265"/>
      <c r="C765" s="1261"/>
      <c r="D765" s="1261"/>
      <c r="E765" s="1261" t="s">
        <v>18</v>
      </c>
      <c r="F765" s="1261"/>
      <c r="G765" s="1263"/>
      <c r="H765" s="165" t="s">
        <v>12</v>
      </c>
      <c r="I765" s="947"/>
      <c r="J765" s="947"/>
      <c r="K765" s="948"/>
      <c r="L765" s="837">
        <v>0</v>
      </c>
      <c r="M765" s="837">
        <v>0</v>
      </c>
      <c r="N765" s="837">
        <v>0</v>
      </c>
      <c r="O765" s="837">
        <f t="shared" si="308"/>
        <v>0</v>
      </c>
      <c r="P765" s="837">
        <f t="shared" si="309"/>
        <v>0</v>
      </c>
      <c r="Q765" s="1264"/>
      <c r="R765" s="1264"/>
      <c r="S765" s="1264"/>
      <c r="T765" s="1264"/>
      <c r="U765" s="1264"/>
      <c r="V765" s="1264"/>
      <c r="W765" s="1264"/>
      <c r="X765" s="1264"/>
      <c r="Y765" s="1264"/>
      <c r="Z765" s="1264"/>
    </row>
    <row r="766" spans="1:26" ht="18.75" hidden="1">
      <c r="A766" s="1260"/>
      <c r="B766" s="1265"/>
      <c r="C766" s="1261"/>
      <c r="D766" s="1261"/>
      <c r="E766" s="1261" t="s">
        <v>19</v>
      </c>
      <c r="F766" s="1261"/>
      <c r="G766" s="1263"/>
      <c r="H766" s="169" t="s">
        <v>12</v>
      </c>
      <c r="I766" s="947"/>
      <c r="J766" s="947"/>
      <c r="K766" s="948"/>
      <c r="L766" s="837">
        <v>0</v>
      </c>
      <c r="M766" s="837">
        <v>0</v>
      </c>
      <c r="N766" s="837">
        <v>0</v>
      </c>
      <c r="O766" s="837">
        <f t="shared" si="308"/>
        <v>0</v>
      </c>
      <c r="P766" s="837">
        <f t="shared" si="309"/>
        <v>0</v>
      </c>
      <c r="Q766" s="1264"/>
      <c r="R766" s="1264"/>
      <c r="S766" s="1264"/>
      <c r="T766" s="1264"/>
      <c r="U766" s="1264"/>
      <c r="V766" s="1264"/>
      <c r="W766" s="1264"/>
      <c r="X766" s="1264"/>
      <c r="Y766" s="1264"/>
      <c r="Z766" s="1264"/>
    </row>
    <row r="767" spans="1:26" ht="19.5" hidden="1">
      <c r="A767" s="1273"/>
      <c r="B767" s="1274"/>
      <c r="C767" s="1261" t="s">
        <v>16</v>
      </c>
      <c r="D767" s="1393" t="s">
        <v>38</v>
      </c>
      <c r="E767" s="1296"/>
      <c r="F767" s="1296"/>
      <c r="G767" s="1297"/>
      <c r="H767" s="1060"/>
      <c r="I767" s="947"/>
      <c r="J767" s="947"/>
      <c r="K767" s="948"/>
      <c r="L767" s="948"/>
      <c r="M767" s="948"/>
      <c r="N767" s="948"/>
      <c r="O767" s="948"/>
      <c r="P767" s="948"/>
      <c r="Q767" s="1264"/>
      <c r="R767" s="1264"/>
      <c r="S767" s="1264"/>
      <c r="T767" s="1264"/>
      <c r="U767" s="1264"/>
      <c r="V767" s="1264"/>
      <c r="W767" s="1264"/>
      <c r="X767" s="1264"/>
      <c r="Y767" s="1264"/>
      <c r="Z767" s="1264"/>
    </row>
    <row r="768" spans="1:26" ht="18.75" hidden="1">
      <c r="A768" s="1294"/>
      <c r="B768" s="1265"/>
      <c r="C768" s="1261"/>
      <c r="D768" s="1261"/>
      <c r="E768" s="1261" t="s">
        <v>316</v>
      </c>
      <c r="F768" s="1261"/>
      <c r="G768" s="1263"/>
      <c r="H768" s="165" t="s">
        <v>46</v>
      </c>
      <c r="I768" s="836"/>
      <c r="J768" s="836"/>
      <c r="K768" s="837"/>
      <c r="L768" s="837"/>
      <c r="M768" s="837"/>
      <c r="N768" s="837"/>
      <c r="O768" s="837"/>
      <c r="P768" s="837"/>
      <c r="Q768" s="1264"/>
      <c r="R768" s="1264"/>
      <c r="S768" s="1264"/>
      <c r="T768" s="1264"/>
      <c r="U768" s="1264"/>
      <c r="V768" s="1264"/>
      <c r="W768" s="1264"/>
      <c r="X768" s="1264"/>
      <c r="Y768" s="1264"/>
      <c r="Z768" s="1264"/>
    </row>
    <row r="769" spans="1:26" ht="19.5" hidden="1">
      <c r="A769" s="759">
        <v>11</v>
      </c>
      <c r="B769" s="1400" t="s">
        <v>317</v>
      </c>
      <c r="C769" s="1401"/>
      <c r="D769" s="1401"/>
      <c r="E769" s="1401"/>
      <c r="F769" s="1401"/>
      <c r="G769" s="1402"/>
      <c r="H769" s="763" t="s">
        <v>46</v>
      </c>
      <c r="I769" s="1403"/>
      <c r="J769" s="1403">
        <f>J784</f>
        <v>0</v>
      </c>
      <c r="K769" s="1404">
        <f>IF(I769&gt;0,J769*100/I769,0)</f>
        <v>0</v>
      </c>
      <c r="L769" s="1405"/>
      <c r="M769" s="1405"/>
      <c r="N769" s="1405"/>
      <c r="O769" s="1405"/>
      <c r="P769" s="1405"/>
      <c r="Q769" s="1264"/>
      <c r="R769" s="1264"/>
      <c r="S769" s="1264"/>
      <c r="T769" s="1264"/>
      <c r="U769" s="1264"/>
      <c r="V769" s="1264"/>
      <c r="W769" s="1264"/>
      <c r="X769" s="1264"/>
      <c r="Y769" s="1264"/>
      <c r="Z769" s="1264"/>
    </row>
    <row r="770" spans="1:26" ht="19.5" hidden="1">
      <c r="A770" s="1260"/>
      <c r="B770" s="1261"/>
      <c r="C770" s="1261" t="s">
        <v>16</v>
      </c>
      <c r="D770" s="1508" t="s">
        <v>17</v>
      </c>
      <c r="E770" s="1485"/>
      <c r="F770" s="1485"/>
      <c r="G770" s="1263"/>
      <c r="H770" s="612" t="s">
        <v>12</v>
      </c>
      <c r="I770" s="836"/>
      <c r="J770" s="836"/>
      <c r="K770" s="837"/>
      <c r="L770" s="1292">
        <f t="shared" ref="L770:N770" si="310">L771+L772</f>
        <v>0</v>
      </c>
      <c r="M770" s="1292">
        <f t="shared" si="310"/>
        <v>0</v>
      </c>
      <c r="N770" s="1292">
        <f t="shared" si="310"/>
        <v>0</v>
      </c>
      <c r="O770" s="1292">
        <f t="shared" ref="O770:O775" si="311">IF(L770&gt;0,N770*100/L770,0)</f>
        <v>0</v>
      </c>
      <c r="P770" s="1292">
        <f t="shared" ref="P770:P775" si="312">IF(M770&gt;0,N770*100/M770,0)</f>
        <v>0</v>
      </c>
      <c r="Q770" s="1264"/>
      <c r="R770" s="1264"/>
      <c r="S770" s="1264"/>
      <c r="T770" s="1264"/>
      <c r="U770" s="1264"/>
      <c r="V770" s="1264"/>
      <c r="W770" s="1264"/>
      <c r="X770" s="1264"/>
      <c r="Y770" s="1264"/>
      <c r="Z770" s="1264"/>
    </row>
    <row r="771" spans="1:26" ht="18.75" hidden="1">
      <c r="A771" s="1260"/>
      <c r="B771" s="1261"/>
      <c r="C771" s="1261"/>
      <c r="D771" s="1262"/>
      <c r="E771" s="1261" t="s">
        <v>184</v>
      </c>
      <c r="F771" s="1261"/>
      <c r="G771" s="1263"/>
      <c r="H771" s="165" t="s">
        <v>12</v>
      </c>
      <c r="I771" s="836"/>
      <c r="J771" s="836"/>
      <c r="K771" s="837"/>
      <c r="L771" s="837">
        <f t="shared" ref="L771:N772" si="313">L774+L781</f>
        <v>0</v>
      </c>
      <c r="M771" s="837">
        <f t="shared" si="313"/>
        <v>0</v>
      </c>
      <c r="N771" s="837">
        <f t="shared" si="313"/>
        <v>0</v>
      </c>
      <c r="O771" s="837">
        <f t="shared" si="311"/>
        <v>0</v>
      </c>
      <c r="P771" s="837">
        <f t="shared" si="312"/>
        <v>0</v>
      </c>
      <c r="Q771" s="1264"/>
      <c r="R771" s="1264"/>
      <c r="S771" s="1264"/>
      <c r="T771" s="1264"/>
      <c r="U771" s="1264"/>
      <c r="V771" s="1264"/>
      <c r="W771" s="1264"/>
      <c r="X771" s="1264"/>
      <c r="Y771" s="1264"/>
      <c r="Z771" s="1264"/>
    </row>
    <row r="772" spans="1:26" ht="18.75" hidden="1">
      <c r="A772" s="1260"/>
      <c r="B772" s="1265"/>
      <c r="C772" s="1261"/>
      <c r="D772" s="1262"/>
      <c r="E772" s="1261" t="s">
        <v>185</v>
      </c>
      <c r="F772" s="1261"/>
      <c r="G772" s="1263"/>
      <c r="H772" s="165" t="s">
        <v>12</v>
      </c>
      <c r="I772" s="836"/>
      <c r="J772" s="836"/>
      <c r="K772" s="837"/>
      <c r="L772" s="837">
        <f t="shared" si="313"/>
        <v>0</v>
      </c>
      <c r="M772" s="837">
        <f t="shared" si="313"/>
        <v>0</v>
      </c>
      <c r="N772" s="837">
        <f t="shared" si="313"/>
        <v>0</v>
      </c>
      <c r="O772" s="837">
        <f t="shared" si="311"/>
        <v>0</v>
      </c>
      <c r="P772" s="837">
        <f t="shared" si="312"/>
        <v>0</v>
      </c>
      <c r="Q772" s="1264"/>
      <c r="R772" s="1264"/>
      <c r="S772" s="1264"/>
      <c r="T772" s="1264"/>
      <c r="U772" s="1264"/>
      <c r="V772" s="1264"/>
      <c r="W772" s="1264"/>
      <c r="X772" s="1264"/>
      <c r="Y772" s="1264"/>
      <c r="Z772" s="1264"/>
    </row>
    <row r="773" spans="1:26" ht="19.5" hidden="1">
      <c r="A773" s="1260"/>
      <c r="B773" s="1265"/>
      <c r="C773" s="1261"/>
      <c r="D773" s="1392" t="s">
        <v>20</v>
      </c>
      <c r="E773" s="1261"/>
      <c r="F773" s="1261"/>
      <c r="G773" s="1263"/>
      <c r="H773" s="612" t="s">
        <v>12</v>
      </c>
      <c r="I773" s="947"/>
      <c r="J773" s="947"/>
      <c r="K773" s="948"/>
      <c r="L773" s="1292">
        <f t="shared" ref="L773:N773" si="314">L774+L775</f>
        <v>0</v>
      </c>
      <c r="M773" s="1292">
        <f t="shared" si="314"/>
        <v>0</v>
      </c>
      <c r="N773" s="1292">
        <f t="shared" si="314"/>
        <v>0</v>
      </c>
      <c r="O773" s="1292">
        <f t="shared" si="311"/>
        <v>0</v>
      </c>
      <c r="P773" s="1292">
        <f t="shared" si="312"/>
        <v>0</v>
      </c>
      <c r="Q773" s="1264"/>
      <c r="R773" s="1264"/>
      <c r="S773" s="1264"/>
      <c r="T773" s="1264"/>
      <c r="U773" s="1264"/>
      <c r="V773" s="1264"/>
      <c r="W773" s="1264"/>
      <c r="X773" s="1264"/>
      <c r="Y773" s="1264"/>
      <c r="Z773" s="1264"/>
    </row>
    <row r="774" spans="1:26" ht="18.75" hidden="1">
      <c r="A774" s="1260"/>
      <c r="B774" s="1265"/>
      <c r="C774" s="1261"/>
      <c r="D774" s="1262"/>
      <c r="E774" s="1261" t="s">
        <v>184</v>
      </c>
      <c r="F774" s="1261"/>
      <c r="G774" s="1263"/>
      <c r="H774" s="165" t="s">
        <v>12</v>
      </c>
      <c r="I774" s="836"/>
      <c r="J774" s="836"/>
      <c r="K774" s="837"/>
      <c r="L774" s="837">
        <v>0</v>
      </c>
      <c r="M774" s="837">
        <v>0</v>
      </c>
      <c r="N774" s="837">
        <v>0</v>
      </c>
      <c r="O774" s="837">
        <f t="shared" si="311"/>
        <v>0</v>
      </c>
      <c r="P774" s="837">
        <f t="shared" si="312"/>
        <v>0</v>
      </c>
      <c r="Q774" s="1264"/>
      <c r="R774" s="1264"/>
      <c r="S774" s="1264"/>
      <c r="T774" s="1264"/>
      <c r="U774" s="1264"/>
      <c r="V774" s="1264"/>
      <c r="W774" s="1264"/>
      <c r="X774" s="1264"/>
      <c r="Y774" s="1264"/>
      <c r="Z774" s="1264"/>
    </row>
    <row r="775" spans="1:26" ht="18.75" hidden="1">
      <c r="A775" s="1260"/>
      <c r="B775" s="1265"/>
      <c r="C775" s="1261"/>
      <c r="D775" s="1262"/>
      <c r="E775" s="1261" t="s">
        <v>185</v>
      </c>
      <c r="F775" s="1261"/>
      <c r="G775" s="1263"/>
      <c r="H775" s="165" t="s">
        <v>12</v>
      </c>
      <c r="I775" s="836"/>
      <c r="J775" s="836"/>
      <c r="K775" s="837"/>
      <c r="L775" s="837">
        <v>0</v>
      </c>
      <c r="M775" s="837">
        <v>0</v>
      </c>
      <c r="N775" s="837">
        <f>N776+N777+N778+N779</f>
        <v>0</v>
      </c>
      <c r="O775" s="837">
        <f t="shared" si="311"/>
        <v>0</v>
      </c>
      <c r="P775" s="837">
        <f t="shared" si="312"/>
        <v>0</v>
      </c>
      <c r="Q775" s="1264"/>
      <c r="R775" s="1264"/>
      <c r="S775" s="1264"/>
      <c r="T775" s="1264"/>
      <c r="U775" s="1264"/>
      <c r="V775" s="1264"/>
      <c r="W775" s="1264"/>
      <c r="X775" s="1264"/>
      <c r="Y775" s="1264"/>
      <c r="Z775" s="1264"/>
    </row>
    <row r="776" spans="1:26" ht="18.75" hidden="1">
      <c r="A776" s="1294"/>
      <c r="B776" s="1265"/>
      <c r="C776" s="1261"/>
      <c r="D776" s="1261"/>
      <c r="E776" s="1261"/>
      <c r="F776" s="1261" t="s">
        <v>186</v>
      </c>
      <c r="G776" s="1263"/>
      <c r="H776" s="165" t="s">
        <v>12</v>
      </c>
      <c r="I776" s="836"/>
      <c r="J776" s="836"/>
      <c r="K776" s="837"/>
      <c r="L776" s="837"/>
      <c r="M776" s="837"/>
      <c r="N776" s="837"/>
      <c r="O776" s="837"/>
      <c r="P776" s="837"/>
      <c r="Q776" s="1264"/>
      <c r="R776" s="1264"/>
      <c r="S776" s="1264"/>
      <c r="T776" s="1264"/>
      <c r="U776" s="1264"/>
      <c r="V776" s="1264"/>
      <c r="W776" s="1264"/>
      <c r="X776" s="1264"/>
      <c r="Y776" s="1264"/>
      <c r="Z776" s="1264"/>
    </row>
    <row r="777" spans="1:26" ht="18.75" hidden="1">
      <c r="A777" s="1294"/>
      <c r="B777" s="1265"/>
      <c r="C777" s="1261"/>
      <c r="D777" s="1261"/>
      <c r="E777" s="1261"/>
      <c r="F777" s="1261" t="s">
        <v>187</v>
      </c>
      <c r="G777" s="1263"/>
      <c r="H777" s="165" t="s">
        <v>12</v>
      </c>
      <c r="I777" s="836"/>
      <c r="J777" s="836"/>
      <c r="K777" s="837"/>
      <c r="L777" s="837"/>
      <c r="M777" s="837"/>
      <c r="N777" s="837"/>
      <c r="O777" s="837"/>
      <c r="P777" s="837"/>
      <c r="Q777" s="1264"/>
      <c r="R777" s="1264"/>
      <c r="S777" s="1264"/>
      <c r="T777" s="1264"/>
      <c r="U777" s="1264"/>
      <c r="V777" s="1264"/>
      <c r="W777" s="1264"/>
      <c r="X777" s="1264"/>
      <c r="Y777" s="1264"/>
      <c r="Z777" s="1264"/>
    </row>
    <row r="778" spans="1:26" ht="18.75" hidden="1">
      <c r="A778" s="1294"/>
      <c r="B778" s="1265"/>
      <c r="C778" s="1261"/>
      <c r="D778" s="1261"/>
      <c r="E778" s="1261"/>
      <c r="F778" s="1261" t="s">
        <v>188</v>
      </c>
      <c r="G778" s="1263"/>
      <c r="H778" s="165" t="s">
        <v>12</v>
      </c>
      <c r="I778" s="836"/>
      <c r="J778" s="836"/>
      <c r="K778" s="837"/>
      <c r="L778" s="837"/>
      <c r="M778" s="837"/>
      <c r="N778" s="837"/>
      <c r="O778" s="837"/>
      <c r="P778" s="837"/>
      <c r="Q778" s="1264"/>
      <c r="R778" s="1264"/>
      <c r="S778" s="1264"/>
      <c r="T778" s="1264"/>
      <c r="U778" s="1264"/>
      <c r="V778" s="1264"/>
      <c r="W778" s="1264"/>
      <c r="X778" s="1264"/>
      <c r="Y778" s="1264"/>
      <c r="Z778" s="1264"/>
    </row>
    <row r="779" spans="1:26" ht="18.75" hidden="1">
      <c r="A779" s="1294"/>
      <c r="B779" s="1265"/>
      <c r="C779" s="1261"/>
      <c r="D779" s="1261"/>
      <c r="E779" s="1261"/>
      <c r="F779" s="1261" t="s">
        <v>189</v>
      </c>
      <c r="G779" s="1263"/>
      <c r="H779" s="165" t="s">
        <v>12</v>
      </c>
      <c r="I779" s="836"/>
      <c r="J779" s="836"/>
      <c r="K779" s="837"/>
      <c r="L779" s="837"/>
      <c r="M779" s="837"/>
      <c r="N779" s="837"/>
      <c r="O779" s="837"/>
      <c r="P779" s="837"/>
      <c r="Q779" s="1264"/>
      <c r="R779" s="1264"/>
      <c r="S779" s="1264"/>
      <c r="T779" s="1264"/>
      <c r="U779" s="1264"/>
      <c r="V779" s="1264"/>
      <c r="W779" s="1264"/>
      <c r="X779" s="1264"/>
      <c r="Y779" s="1264"/>
      <c r="Z779" s="1264"/>
    </row>
    <row r="780" spans="1:26" ht="19.5" hidden="1">
      <c r="A780" s="1260"/>
      <c r="B780" s="1265"/>
      <c r="C780" s="1261"/>
      <c r="D780" s="1392" t="s">
        <v>21</v>
      </c>
      <c r="E780" s="1261"/>
      <c r="F780" s="1261"/>
      <c r="G780" s="1263"/>
      <c r="H780" s="749" t="s">
        <v>12</v>
      </c>
      <c r="I780" s="947"/>
      <c r="J780" s="947"/>
      <c r="K780" s="948"/>
      <c r="L780" s="1292">
        <f t="shared" ref="L780:N780" si="315">L781+L782</f>
        <v>0</v>
      </c>
      <c r="M780" s="1292">
        <f t="shared" si="315"/>
        <v>0</v>
      </c>
      <c r="N780" s="1292">
        <f t="shared" si="315"/>
        <v>0</v>
      </c>
      <c r="O780" s="1292">
        <f t="shared" ref="O780:O782" si="316">IF(L780&gt;0,N780*100/L780,0)</f>
        <v>0</v>
      </c>
      <c r="P780" s="1292">
        <f t="shared" ref="P780:P782" si="317">IF(M780&gt;0,N780*100/M780,0)</f>
        <v>0</v>
      </c>
      <c r="Q780" s="1264"/>
      <c r="R780" s="1264"/>
      <c r="S780" s="1264"/>
      <c r="T780" s="1264"/>
      <c r="U780" s="1264"/>
      <c r="V780" s="1264"/>
      <c r="W780" s="1264"/>
      <c r="X780" s="1264"/>
      <c r="Y780" s="1264"/>
      <c r="Z780" s="1264"/>
    </row>
    <row r="781" spans="1:26" ht="18.75" hidden="1">
      <c r="A781" s="1260"/>
      <c r="B781" s="1265"/>
      <c r="C781" s="1261"/>
      <c r="D781" s="1261"/>
      <c r="E781" s="1261" t="s">
        <v>18</v>
      </c>
      <c r="F781" s="1261"/>
      <c r="G781" s="1263"/>
      <c r="H781" s="165" t="s">
        <v>12</v>
      </c>
      <c r="I781" s="947"/>
      <c r="J781" s="947"/>
      <c r="K781" s="948"/>
      <c r="L781" s="837">
        <v>0</v>
      </c>
      <c r="M781" s="837">
        <v>0</v>
      </c>
      <c r="N781" s="837">
        <v>0</v>
      </c>
      <c r="O781" s="837">
        <f t="shared" si="316"/>
        <v>0</v>
      </c>
      <c r="P781" s="837">
        <f t="shared" si="317"/>
        <v>0</v>
      </c>
      <c r="Q781" s="1264"/>
      <c r="R781" s="1264"/>
      <c r="S781" s="1264"/>
      <c r="T781" s="1264"/>
      <c r="U781" s="1264"/>
      <c r="V781" s="1264"/>
      <c r="W781" s="1264"/>
      <c r="X781" s="1264"/>
      <c r="Y781" s="1264"/>
      <c r="Z781" s="1264"/>
    </row>
    <row r="782" spans="1:26" ht="18.75" hidden="1">
      <c r="A782" s="1260"/>
      <c r="B782" s="1265"/>
      <c r="C782" s="1261"/>
      <c r="D782" s="1261"/>
      <c r="E782" s="1261" t="s">
        <v>19</v>
      </c>
      <c r="F782" s="1261"/>
      <c r="G782" s="1263"/>
      <c r="H782" s="169" t="s">
        <v>12</v>
      </c>
      <c r="I782" s="947"/>
      <c r="J782" s="947"/>
      <c r="K782" s="948"/>
      <c r="L782" s="837">
        <v>0</v>
      </c>
      <c r="M782" s="837">
        <v>0</v>
      </c>
      <c r="N782" s="837">
        <v>0</v>
      </c>
      <c r="O782" s="837">
        <f t="shared" si="316"/>
        <v>0</v>
      </c>
      <c r="P782" s="837">
        <f t="shared" si="317"/>
        <v>0</v>
      </c>
      <c r="Q782" s="1264"/>
      <c r="R782" s="1264"/>
      <c r="S782" s="1264"/>
      <c r="T782" s="1264"/>
      <c r="U782" s="1264"/>
      <c r="V782" s="1264"/>
      <c r="W782" s="1264"/>
      <c r="X782" s="1264"/>
      <c r="Y782" s="1264"/>
      <c r="Z782" s="1264"/>
    </row>
    <row r="783" spans="1:26" ht="19.5" hidden="1">
      <c r="A783" s="1273"/>
      <c r="B783" s="1274"/>
      <c r="C783" s="1261" t="s">
        <v>16</v>
      </c>
      <c r="D783" s="1393" t="s">
        <v>38</v>
      </c>
      <c r="E783" s="1296"/>
      <c r="F783" s="1296"/>
      <c r="G783" s="1297"/>
      <c r="H783" s="1406"/>
      <c r="I783" s="947"/>
      <c r="J783" s="947"/>
      <c r="K783" s="948"/>
      <c r="L783" s="948"/>
      <c r="M783" s="948"/>
      <c r="N783" s="948"/>
      <c r="O783" s="948"/>
      <c r="P783" s="948"/>
      <c r="Q783" s="1264"/>
      <c r="R783" s="1264"/>
      <c r="S783" s="1264"/>
      <c r="T783" s="1264"/>
      <c r="U783" s="1264"/>
      <c r="V783" s="1264"/>
      <c r="W783" s="1264"/>
      <c r="X783" s="1264"/>
      <c r="Y783" s="1264"/>
      <c r="Z783" s="1264"/>
    </row>
    <row r="784" spans="1:26" ht="18.75" hidden="1">
      <c r="A784" s="1294"/>
      <c r="B784" s="1265"/>
      <c r="C784" s="1261"/>
      <c r="D784" s="1261"/>
      <c r="E784" s="1261" t="s">
        <v>318</v>
      </c>
      <c r="F784" s="1261"/>
      <c r="G784" s="1263"/>
      <c r="H784" s="165" t="s">
        <v>46</v>
      </c>
      <c r="I784" s="836"/>
      <c r="J784" s="836"/>
      <c r="K784" s="837"/>
      <c r="L784" s="837"/>
      <c r="M784" s="837"/>
      <c r="N784" s="837"/>
      <c r="O784" s="837"/>
      <c r="P784" s="837"/>
      <c r="Q784" s="1264"/>
      <c r="R784" s="1264"/>
      <c r="S784" s="1264"/>
      <c r="T784" s="1264"/>
      <c r="U784" s="1264"/>
      <c r="V784" s="1264"/>
      <c r="W784" s="1264"/>
      <c r="X784" s="1264"/>
      <c r="Y784" s="1264"/>
      <c r="Z784" s="1264"/>
    </row>
    <row r="785" spans="1:26" ht="19.5">
      <c r="A785" s="768">
        <v>12</v>
      </c>
      <c r="B785" s="1407" t="s">
        <v>319</v>
      </c>
      <c r="C785" s="1408"/>
      <c r="D785" s="1408"/>
      <c r="E785" s="1408"/>
      <c r="F785" s="1408"/>
      <c r="G785" s="1409"/>
      <c r="H785" s="1444" t="s">
        <v>46</v>
      </c>
      <c r="I785" s="1445">
        <f t="shared" ref="I785:J785" ca="1" si="318">I801+I803</f>
        <v>38000</v>
      </c>
      <c r="J785" s="1445">
        <f t="shared" ca="1" si="318"/>
        <v>11281</v>
      </c>
      <c r="K785" s="1446">
        <f ca="1">IF(I785&gt;0,J785*100/I785,0)</f>
        <v>29.686842105263157</v>
      </c>
      <c r="L785" s="1412"/>
      <c r="M785" s="1412"/>
      <c r="N785" s="1412"/>
      <c r="O785" s="1412"/>
      <c r="P785" s="1412"/>
      <c r="Q785" s="1244"/>
      <c r="R785" s="1244"/>
      <c r="S785" s="1244"/>
      <c r="T785" s="1244"/>
      <c r="U785" s="1244"/>
      <c r="V785" s="1244"/>
      <c r="W785" s="1244"/>
      <c r="X785" s="1244"/>
      <c r="Y785" s="1244"/>
      <c r="Z785" s="1244"/>
    </row>
    <row r="786" spans="1:26" ht="19.5">
      <c r="A786" s="1259"/>
      <c r="B786" s="1242"/>
      <c r="C786" s="1243" t="s">
        <v>16</v>
      </c>
      <c r="D786" s="1507" t="s">
        <v>17</v>
      </c>
      <c r="E786" s="1485"/>
      <c r="F786" s="1485"/>
      <c r="G786" s="963"/>
      <c r="H786" s="1447" t="s">
        <v>12</v>
      </c>
      <c r="I786" s="1448"/>
      <c r="J786" s="1448"/>
      <c r="K786" s="1449"/>
      <c r="L786" s="967">
        <f t="shared" ref="L786:N786" ca="1" si="319">L787+L788</f>
        <v>274560</v>
      </c>
      <c r="M786" s="967">
        <f t="shared" si="319"/>
        <v>0</v>
      </c>
      <c r="N786" s="967">
        <f t="shared" si="319"/>
        <v>31840</v>
      </c>
      <c r="O786" s="967">
        <f t="shared" ref="O786:O791" ca="1" si="320">IF(L786&gt;0,N786*100/L786,0)</f>
        <v>11.596736596736596</v>
      </c>
      <c r="P786" s="967">
        <f t="shared" ref="P786:P791" si="321">IF(M786&gt;0,N786*100/M786,0)</f>
        <v>0</v>
      </c>
      <c r="Q786" s="1244"/>
      <c r="R786" s="1244"/>
      <c r="S786" s="1244"/>
      <c r="T786" s="1244"/>
      <c r="U786" s="1244"/>
      <c r="V786" s="1244"/>
      <c r="W786" s="1244"/>
      <c r="X786" s="1244"/>
      <c r="Y786" s="1244"/>
      <c r="Z786" s="1244"/>
    </row>
    <row r="787" spans="1:26" ht="18.75" hidden="1">
      <c r="A787" s="1260"/>
      <c r="B787" s="1265"/>
      <c r="C787" s="1261"/>
      <c r="D787" s="1262"/>
      <c r="E787" s="1261" t="s">
        <v>184</v>
      </c>
      <c r="F787" s="1261"/>
      <c r="G787" s="1263"/>
      <c r="H787" s="1450" t="s">
        <v>12</v>
      </c>
      <c r="I787" s="1448"/>
      <c r="J787" s="1448"/>
      <c r="K787" s="1449"/>
      <c r="L787" s="837">
        <f t="shared" ref="L787:N788" si="322">L790+L797</f>
        <v>0</v>
      </c>
      <c r="M787" s="837">
        <f t="shared" si="322"/>
        <v>0</v>
      </c>
      <c r="N787" s="837">
        <f t="shared" si="322"/>
        <v>0</v>
      </c>
      <c r="O787" s="837">
        <f t="shared" si="320"/>
        <v>0</v>
      </c>
      <c r="P787" s="837">
        <f t="shared" si="321"/>
        <v>0</v>
      </c>
      <c r="Q787" s="1264"/>
      <c r="R787" s="1264"/>
      <c r="S787" s="1264"/>
      <c r="T787" s="1264"/>
      <c r="U787" s="1264"/>
      <c r="V787" s="1264"/>
      <c r="W787" s="1264"/>
      <c r="X787" s="1264"/>
      <c r="Y787" s="1264"/>
      <c r="Z787" s="1264"/>
    </row>
    <row r="788" spans="1:26" ht="18.75" hidden="1">
      <c r="A788" s="1260"/>
      <c r="B788" s="1265"/>
      <c r="C788" s="1265"/>
      <c r="D788" s="1274"/>
      <c r="E788" s="1261" t="s">
        <v>185</v>
      </c>
      <c r="F788" s="1261"/>
      <c r="G788" s="1263"/>
      <c r="H788" s="1450" t="s">
        <v>12</v>
      </c>
      <c r="I788" s="1448"/>
      <c r="J788" s="1448"/>
      <c r="K788" s="1449"/>
      <c r="L788" s="837">
        <f t="shared" ca="1" si="322"/>
        <v>274560</v>
      </c>
      <c r="M788" s="837">
        <f t="shared" si="322"/>
        <v>0</v>
      </c>
      <c r="N788" s="837">
        <f t="shared" si="322"/>
        <v>31840</v>
      </c>
      <c r="O788" s="837">
        <f t="shared" ca="1" si="320"/>
        <v>11.596736596736596</v>
      </c>
      <c r="P788" s="837">
        <f t="shared" si="321"/>
        <v>0</v>
      </c>
      <c r="Q788" s="1264"/>
      <c r="R788" s="1264"/>
      <c r="S788" s="1264"/>
      <c r="T788" s="1264"/>
      <c r="U788" s="1264"/>
      <c r="V788" s="1264"/>
      <c r="W788" s="1264"/>
      <c r="X788" s="1264"/>
      <c r="Y788" s="1264"/>
      <c r="Z788" s="1264"/>
    </row>
    <row r="789" spans="1:26" ht="18.75">
      <c r="A789" s="1259"/>
      <c r="B789" s="1242"/>
      <c r="C789" s="1242"/>
      <c r="D789" s="1266" t="s">
        <v>20</v>
      </c>
      <c r="E789" s="1243"/>
      <c r="F789" s="1243"/>
      <c r="G789" s="963"/>
      <c r="H789" s="1451" t="s">
        <v>12</v>
      </c>
      <c r="I789" s="1452"/>
      <c r="J789" s="1452"/>
      <c r="K789" s="1453"/>
      <c r="L789" s="831">
        <f t="shared" ref="L789:N789" ca="1" si="323">L790+L791</f>
        <v>274560</v>
      </c>
      <c r="M789" s="831">
        <f t="shared" si="323"/>
        <v>0</v>
      </c>
      <c r="N789" s="831">
        <f t="shared" si="323"/>
        <v>31840</v>
      </c>
      <c r="O789" s="831">
        <f t="shared" ca="1" si="320"/>
        <v>11.596736596736596</v>
      </c>
      <c r="P789" s="831">
        <f t="shared" si="321"/>
        <v>0</v>
      </c>
      <c r="Q789" s="1244"/>
      <c r="R789" s="1244"/>
      <c r="S789" s="1244"/>
      <c r="T789" s="1244"/>
      <c r="U789" s="1244"/>
      <c r="V789" s="1244"/>
      <c r="W789" s="1244"/>
      <c r="X789" s="1244"/>
      <c r="Y789" s="1244"/>
      <c r="Z789" s="1244"/>
    </row>
    <row r="790" spans="1:26" ht="18.75" hidden="1">
      <c r="A790" s="1260"/>
      <c r="B790" s="1265"/>
      <c r="C790" s="1265"/>
      <c r="D790" s="1274"/>
      <c r="E790" s="1261" t="s">
        <v>184</v>
      </c>
      <c r="F790" s="1261"/>
      <c r="G790" s="1263"/>
      <c r="H790" s="1450" t="s">
        <v>12</v>
      </c>
      <c r="I790" s="1448"/>
      <c r="J790" s="1448"/>
      <c r="K790" s="1449"/>
      <c r="L790" s="837">
        <v>0</v>
      </c>
      <c r="M790" s="837">
        <v>0</v>
      </c>
      <c r="N790" s="837">
        <v>0</v>
      </c>
      <c r="O790" s="837">
        <f t="shared" si="320"/>
        <v>0</v>
      </c>
      <c r="P790" s="837">
        <f t="shared" si="321"/>
        <v>0</v>
      </c>
      <c r="Q790" s="1264"/>
      <c r="R790" s="1264"/>
      <c r="S790" s="1264"/>
      <c r="T790" s="1264"/>
      <c r="U790" s="1264"/>
      <c r="V790" s="1264"/>
      <c r="W790" s="1264"/>
      <c r="X790" s="1264"/>
      <c r="Y790" s="1264"/>
      <c r="Z790" s="1264"/>
    </row>
    <row r="791" spans="1:26" ht="18.75" hidden="1">
      <c r="A791" s="1260"/>
      <c r="B791" s="1265"/>
      <c r="C791" s="1265"/>
      <c r="D791" s="1274"/>
      <c r="E791" s="1261" t="s">
        <v>185</v>
      </c>
      <c r="F791" s="1261"/>
      <c r="G791" s="1263"/>
      <c r="H791" s="1450" t="s">
        <v>12</v>
      </c>
      <c r="I791" s="1448"/>
      <c r="J791" s="1448"/>
      <c r="K791" s="1449"/>
      <c r="L791" s="837">
        <f ca="1">IFERROR(__xludf.DUMMYFUNCTION("IMPORTRANGE(""https://docs.google.com/spreadsheets/d/1QqKyyYR6Q21VydFLVH3TRQUabQu_ym0Zz7PgGX0-kHA/edit?usp=sharing"",""แผน!JJ23"")"),274560)</f>
        <v>274560</v>
      </c>
      <c r="M791" s="837">
        <v>0</v>
      </c>
      <c r="N791" s="837">
        <f>N792+N793+N794+N795</f>
        <v>31840</v>
      </c>
      <c r="O791" s="837">
        <f t="shared" ca="1" si="320"/>
        <v>11.596736596736596</v>
      </c>
      <c r="P791" s="837">
        <f t="shared" si="321"/>
        <v>0</v>
      </c>
      <c r="Q791" s="1264"/>
      <c r="R791" s="1264"/>
      <c r="S791" s="1264"/>
      <c r="T791" s="1264"/>
      <c r="U791" s="1264"/>
      <c r="V791" s="1264"/>
      <c r="W791" s="1264"/>
      <c r="X791" s="1264"/>
      <c r="Y791" s="1264"/>
      <c r="Z791" s="1264"/>
    </row>
    <row r="792" spans="1:26" ht="18.75">
      <c r="A792" s="1241"/>
      <c r="B792" s="1242"/>
      <c r="C792" s="1243"/>
      <c r="D792" s="1243"/>
      <c r="E792" s="1243"/>
      <c r="F792" s="1243" t="s">
        <v>186</v>
      </c>
      <c r="G792" s="963"/>
      <c r="H792" s="1451" t="s">
        <v>12</v>
      </c>
      <c r="I792" s="1448"/>
      <c r="J792" s="1448"/>
      <c r="K792" s="1449"/>
      <c r="L792" s="831"/>
      <c r="M792" s="831"/>
      <c r="N792" s="1031">
        <v>0</v>
      </c>
      <c r="O792" s="831"/>
      <c r="P792" s="831"/>
      <c r="Q792" s="1244"/>
      <c r="R792" s="1244"/>
      <c r="S792" s="1244"/>
      <c r="T792" s="1244"/>
      <c r="U792" s="1244"/>
      <c r="V792" s="1244"/>
      <c r="W792" s="1244"/>
      <c r="X792" s="1244"/>
      <c r="Y792" s="1244"/>
      <c r="Z792" s="1244"/>
    </row>
    <row r="793" spans="1:26" ht="18.75">
      <c r="A793" s="1241"/>
      <c r="B793" s="1242"/>
      <c r="C793" s="1243"/>
      <c r="D793" s="1243"/>
      <c r="E793" s="1243"/>
      <c r="F793" s="1243" t="s">
        <v>187</v>
      </c>
      <c r="G793" s="963"/>
      <c r="H793" s="1451" t="s">
        <v>12</v>
      </c>
      <c r="I793" s="1448"/>
      <c r="J793" s="1448"/>
      <c r="K793" s="1449"/>
      <c r="L793" s="831"/>
      <c r="M793" s="831"/>
      <c r="N793" s="1031">
        <v>31840</v>
      </c>
      <c r="O793" s="831"/>
      <c r="P793" s="831"/>
      <c r="Q793" s="1244"/>
      <c r="R793" s="1244"/>
      <c r="S793" s="1244"/>
      <c r="T793" s="1244"/>
      <c r="U793" s="1244"/>
      <c r="V793" s="1244"/>
      <c r="W793" s="1244"/>
      <c r="X793" s="1244"/>
      <c r="Y793" s="1244"/>
      <c r="Z793" s="1244"/>
    </row>
    <row r="794" spans="1:26" ht="18.75">
      <c r="A794" s="1241"/>
      <c r="B794" s="1242"/>
      <c r="C794" s="1243"/>
      <c r="D794" s="1243"/>
      <c r="E794" s="1243"/>
      <c r="F794" s="1243" t="s">
        <v>188</v>
      </c>
      <c r="G794" s="963"/>
      <c r="H794" s="1451" t="s">
        <v>12</v>
      </c>
      <c r="I794" s="1448"/>
      <c r="J794" s="1448"/>
      <c r="K794" s="1449"/>
      <c r="L794" s="831"/>
      <c r="M794" s="831"/>
      <c r="N794" s="1031">
        <v>0</v>
      </c>
      <c r="O794" s="831"/>
      <c r="P794" s="831"/>
      <c r="Q794" s="1244"/>
      <c r="R794" s="1244"/>
      <c r="S794" s="1244"/>
      <c r="T794" s="1244"/>
      <c r="U794" s="1244"/>
      <c r="V794" s="1244"/>
      <c r="W794" s="1244"/>
      <c r="X794" s="1244"/>
      <c r="Y794" s="1244"/>
      <c r="Z794" s="1244"/>
    </row>
    <row r="795" spans="1:26" ht="18.75">
      <c r="A795" s="1241"/>
      <c r="B795" s="1242"/>
      <c r="C795" s="1243"/>
      <c r="D795" s="1243"/>
      <c r="E795" s="1243"/>
      <c r="F795" s="1243" t="s">
        <v>189</v>
      </c>
      <c r="G795" s="963"/>
      <c r="H795" s="1451" t="s">
        <v>12</v>
      </c>
      <c r="I795" s="1448"/>
      <c r="J795" s="1448"/>
      <c r="K795" s="1449"/>
      <c r="L795" s="831"/>
      <c r="M795" s="831"/>
      <c r="N795" s="1031">
        <v>0</v>
      </c>
      <c r="O795" s="831"/>
      <c r="P795" s="831"/>
      <c r="Q795" s="1244"/>
      <c r="R795" s="1244"/>
      <c r="S795" s="1244"/>
      <c r="T795" s="1244"/>
      <c r="U795" s="1244"/>
      <c r="V795" s="1244"/>
      <c r="W795" s="1244"/>
      <c r="X795" s="1244"/>
      <c r="Y795" s="1244"/>
      <c r="Z795" s="1244"/>
    </row>
    <row r="796" spans="1:26" ht="18.75">
      <c r="A796" s="1259"/>
      <c r="B796" s="1242"/>
      <c r="C796" s="1243"/>
      <c r="D796" s="1266" t="s">
        <v>21</v>
      </c>
      <c r="E796" s="1243"/>
      <c r="F796" s="1243"/>
      <c r="G796" s="963"/>
      <c r="H796" s="1454" t="s">
        <v>12</v>
      </c>
      <c r="I796" s="1452"/>
      <c r="J796" s="1452"/>
      <c r="K796" s="1453"/>
      <c r="L796" s="831">
        <f t="shared" ref="L796:N796" si="324">L797+L798</f>
        <v>0</v>
      </c>
      <c r="M796" s="831">
        <f t="shared" si="324"/>
        <v>0</v>
      </c>
      <c r="N796" s="831">
        <f t="shared" si="324"/>
        <v>0</v>
      </c>
      <c r="O796" s="831">
        <f t="shared" ref="O796:O798" si="325">IF(L796&gt;0,N796*100/L796,0)</f>
        <v>0</v>
      </c>
      <c r="P796" s="831">
        <f t="shared" ref="P796:P798" si="326">IF(M796&gt;0,N796*100/M796,0)</f>
        <v>0</v>
      </c>
      <c r="Q796" s="1244"/>
      <c r="R796" s="1244"/>
      <c r="S796" s="1244"/>
      <c r="T796" s="1244"/>
      <c r="U796" s="1244"/>
      <c r="V796" s="1244"/>
      <c r="W796" s="1244"/>
      <c r="X796" s="1244"/>
      <c r="Y796" s="1244"/>
      <c r="Z796" s="1244"/>
    </row>
    <row r="797" spans="1:26" ht="18.75" hidden="1">
      <c r="A797" s="1260"/>
      <c r="B797" s="1265"/>
      <c r="C797" s="1261"/>
      <c r="D797" s="1261"/>
      <c r="E797" s="1261" t="s">
        <v>18</v>
      </c>
      <c r="F797" s="1261"/>
      <c r="G797" s="1263"/>
      <c r="H797" s="1450" t="s">
        <v>12</v>
      </c>
      <c r="I797" s="1452"/>
      <c r="J797" s="1452"/>
      <c r="K797" s="1453"/>
      <c r="L797" s="837">
        <v>0</v>
      </c>
      <c r="M797" s="837">
        <v>0</v>
      </c>
      <c r="N797" s="837">
        <v>0</v>
      </c>
      <c r="O797" s="837">
        <f t="shared" si="325"/>
        <v>0</v>
      </c>
      <c r="P797" s="837">
        <f t="shared" si="326"/>
        <v>0</v>
      </c>
      <c r="Q797" s="1264"/>
      <c r="R797" s="1264"/>
      <c r="S797" s="1264"/>
      <c r="T797" s="1264"/>
      <c r="U797" s="1264"/>
      <c r="V797" s="1264"/>
      <c r="W797" s="1264"/>
      <c r="X797" s="1264"/>
      <c r="Y797" s="1264"/>
      <c r="Z797" s="1264"/>
    </row>
    <row r="798" spans="1:26" ht="18.75" hidden="1">
      <c r="A798" s="1260"/>
      <c r="B798" s="1265"/>
      <c r="C798" s="1261"/>
      <c r="D798" s="1261"/>
      <c r="E798" s="1261" t="s">
        <v>19</v>
      </c>
      <c r="F798" s="1261"/>
      <c r="G798" s="1263"/>
      <c r="H798" s="1455" t="s">
        <v>12</v>
      </c>
      <c r="I798" s="1452"/>
      <c r="J798" s="1452"/>
      <c r="K798" s="1453"/>
      <c r="L798" s="837">
        <v>0</v>
      </c>
      <c r="M798" s="837">
        <v>0</v>
      </c>
      <c r="N798" s="837">
        <v>0</v>
      </c>
      <c r="O798" s="837">
        <f t="shared" si="325"/>
        <v>0</v>
      </c>
      <c r="P798" s="837">
        <f t="shared" si="326"/>
        <v>0</v>
      </c>
      <c r="Q798" s="1264"/>
      <c r="R798" s="1264"/>
      <c r="S798" s="1264"/>
      <c r="T798" s="1264"/>
      <c r="U798" s="1264"/>
      <c r="V798" s="1264"/>
      <c r="W798" s="1264"/>
      <c r="X798" s="1264"/>
      <c r="Y798" s="1264"/>
      <c r="Z798" s="1264"/>
    </row>
    <row r="799" spans="1:26" ht="19.5">
      <c r="A799" s="1267"/>
      <c r="B799" s="1268"/>
      <c r="C799" s="1243" t="s">
        <v>16</v>
      </c>
      <c r="D799" s="1378" t="s">
        <v>38</v>
      </c>
      <c r="E799" s="1271"/>
      <c r="F799" s="1271"/>
      <c r="G799" s="1272"/>
      <c r="H799" s="1456"/>
      <c r="I799" s="1452"/>
      <c r="J799" s="1452"/>
      <c r="K799" s="1453"/>
      <c r="L799" s="945"/>
      <c r="M799" s="945"/>
      <c r="N799" s="945"/>
      <c r="O799" s="945"/>
      <c r="P799" s="945"/>
      <c r="Q799" s="1244"/>
      <c r="R799" s="1244"/>
      <c r="S799" s="1244"/>
      <c r="T799" s="1244"/>
      <c r="U799" s="1244"/>
      <c r="V799" s="1244"/>
      <c r="W799" s="1244"/>
      <c r="X799" s="1244"/>
      <c r="Y799" s="1244"/>
      <c r="Z799" s="1244"/>
    </row>
    <row r="800" spans="1:26" ht="18.75">
      <c r="A800" s="1267"/>
      <c r="B800" s="1268"/>
      <c r="C800" s="1268"/>
      <c r="D800" s="1268"/>
      <c r="E800" s="961"/>
      <c r="F800" s="961" t="s">
        <v>320</v>
      </c>
      <c r="G800" s="954"/>
      <c r="H800" s="1457" t="s">
        <v>34</v>
      </c>
      <c r="I800" s="1452"/>
      <c r="J800" s="1458">
        <f ca="1">IFERROR(__xludf.DUMMYFUNCTION("IMPORTRANGE(""https://docs.google.com/spreadsheets/d/1MaWodYyGHDf7siQLGxnXhG4mBNTNIuy296niS2xXulU/edit?usp=sharing"",""RTK!H23"")"),1)</f>
        <v>1</v>
      </c>
      <c r="K800" s="1449"/>
      <c r="L800" s="831"/>
      <c r="M800" s="831"/>
      <c r="N800" s="831"/>
      <c r="O800" s="945"/>
      <c r="P800" s="945"/>
      <c r="Q800" s="1244"/>
      <c r="R800" s="1244"/>
      <c r="S800" s="1244"/>
      <c r="T800" s="1244"/>
      <c r="U800" s="1244"/>
      <c r="V800" s="1244"/>
      <c r="W800" s="1244"/>
      <c r="X800" s="1244"/>
      <c r="Y800" s="1244"/>
      <c r="Z800" s="1244"/>
    </row>
    <row r="801" spans="1:26" ht="18.75">
      <c r="A801" s="1267"/>
      <c r="B801" s="1268"/>
      <c r="C801" s="1268"/>
      <c r="D801" s="1268"/>
      <c r="E801" s="961"/>
      <c r="F801" s="961"/>
      <c r="G801" s="954"/>
      <c r="H801" s="1451" t="s">
        <v>46</v>
      </c>
      <c r="I801" s="1458">
        <f ca="1">IFERROR(__xludf.DUMMYFUNCTION("IMPORTRANGE(""https://docs.google.com/spreadsheets/d/1MaWodYyGHDf7siQLGxnXhG4mBNTNIuy296niS2xXulU/edit?usp=sharing"",""RTK!G23"")"),4000)</f>
        <v>4000</v>
      </c>
      <c r="J801" s="1459">
        <f ca="1">IFERROR(__xludf.DUMMYFUNCTION("IMPORTRANGE(""https://docs.google.com/spreadsheets/d/1MaWodYyGHDf7siQLGxnXhG4mBNTNIuy296niS2xXulU/edit?usp=sharing"",""RTK!I23"")"),11)</f>
        <v>11</v>
      </c>
      <c r="K801" s="1460">
        <f ca="1">IF(I801&gt;0,J801*100/I801,0)</f>
        <v>0.27500000000000002</v>
      </c>
      <c r="L801" s="831"/>
      <c r="M801" s="831"/>
      <c r="N801" s="831"/>
      <c r="O801" s="945"/>
      <c r="P801" s="945"/>
      <c r="Q801" s="1244"/>
      <c r="R801" s="1244"/>
      <c r="S801" s="1244"/>
      <c r="T801" s="1244"/>
      <c r="U801" s="1244"/>
      <c r="V801" s="1244"/>
      <c r="W801" s="1244"/>
      <c r="X801" s="1244"/>
      <c r="Y801" s="1244"/>
      <c r="Z801" s="1244"/>
    </row>
    <row r="802" spans="1:26" ht="18.75">
      <c r="A802" s="1273"/>
      <c r="B802" s="1274"/>
      <c r="C802" s="1274"/>
      <c r="D802" s="1274"/>
      <c r="E802" s="1262"/>
      <c r="F802" s="1416" t="s">
        <v>321</v>
      </c>
      <c r="G802" s="1060"/>
      <c r="H802" s="1457" t="s">
        <v>34</v>
      </c>
      <c r="I802" s="1452"/>
      <c r="J802" s="1458">
        <f ca="1">IFERROR(__xludf.DUMMYFUNCTION("IMPORTRANGE(""https://docs.google.com/spreadsheets/d/1MaWodYyGHDf7siQLGxnXhG4mBNTNIuy296niS2xXulU/edit?usp=sharing"",""RTK!L23"")"),589)</f>
        <v>589</v>
      </c>
      <c r="K802" s="1449"/>
      <c r="L802" s="948"/>
      <c r="M802" s="948"/>
      <c r="N802" s="948"/>
      <c r="O802" s="948"/>
      <c r="P802" s="948"/>
      <c r="Q802" s="1264"/>
      <c r="R802" s="1264"/>
      <c r="S802" s="1264"/>
      <c r="T802" s="1264"/>
      <c r="U802" s="1264"/>
      <c r="V802" s="1264"/>
      <c r="W802" s="1264"/>
      <c r="X802" s="1264"/>
      <c r="Y802" s="1264"/>
      <c r="Z802" s="1264"/>
    </row>
    <row r="803" spans="1:26" ht="18.75">
      <c r="A803" s="1273"/>
      <c r="B803" s="1274"/>
      <c r="C803" s="1274"/>
      <c r="D803" s="1274"/>
      <c r="E803" s="1262"/>
      <c r="F803" s="1262"/>
      <c r="G803" s="1060"/>
      <c r="H803" s="1457" t="s">
        <v>46</v>
      </c>
      <c r="I803" s="1458">
        <f ca="1">IFERROR(__xludf.DUMMYFUNCTION("IMPORTRANGE(""https://docs.google.com/spreadsheets/d/1MaWodYyGHDf7siQLGxnXhG4mBNTNIuy296niS2xXulU/edit?usp=sharing"",""RTK!K23"")"),34000)</f>
        <v>34000</v>
      </c>
      <c r="J803" s="1459">
        <f ca="1">IFERROR(__xludf.DUMMYFUNCTION("IMPORTRANGE(""https://docs.google.com/spreadsheets/d/1MaWodYyGHDf7siQLGxnXhG4mBNTNIuy296niS2xXulU/edit?usp=sharing"",""RTK!M23"")"),11270)</f>
        <v>11270</v>
      </c>
      <c r="K803" s="1460">
        <f t="shared" ref="K803:K804" ca="1" si="327">IF(I803&gt;0,J803*100/I803,0)</f>
        <v>33.147058823529413</v>
      </c>
      <c r="L803" s="948"/>
      <c r="M803" s="948"/>
      <c r="N803" s="948"/>
      <c r="O803" s="948"/>
      <c r="P803" s="948"/>
      <c r="Q803" s="1264"/>
      <c r="R803" s="1264"/>
      <c r="S803" s="1264"/>
      <c r="T803" s="1264"/>
      <c r="U803" s="1264"/>
      <c r="V803" s="1264"/>
      <c r="W803" s="1264"/>
      <c r="X803" s="1264"/>
      <c r="Y803" s="1264"/>
      <c r="Z803" s="1264"/>
    </row>
    <row r="804" spans="1:26" ht="19.5" hidden="1">
      <c r="A804" s="759">
        <v>13</v>
      </c>
      <c r="B804" s="1400" t="s">
        <v>322</v>
      </c>
      <c r="C804" s="1401"/>
      <c r="D804" s="1419"/>
      <c r="E804" s="1401"/>
      <c r="F804" s="1401"/>
      <c r="G804" s="1402"/>
      <c r="H804" s="763" t="s">
        <v>46</v>
      </c>
      <c r="I804" s="1403"/>
      <c r="J804" s="1403">
        <f>J819</f>
        <v>0</v>
      </c>
      <c r="K804" s="1404">
        <f t="shared" si="327"/>
        <v>0</v>
      </c>
      <c r="L804" s="1405"/>
      <c r="M804" s="1405"/>
      <c r="N804" s="1405"/>
      <c r="O804" s="1405"/>
      <c r="P804" s="1405"/>
      <c r="Q804" s="1264"/>
      <c r="R804" s="1264"/>
      <c r="S804" s="1264"/>
      <c r="T804" s="1264"/>
      <c r="U804" s="1264"/>
      <c r="V804" s="1264"/>
      <c r="W804" s="1264"/>
      <c r="X804" s="1264"/>
      <c r="Y804" s="1264"/>
      <c r="Z804" s="1264"/>
    </row>
    <row r="805" spans="1:26" ht="19.5" hidden="1">
      <c r="A805" s="1260"/>
      <c r="B805" s="1261"/>
      <c r="C805" s="1261" t="s">
        <v>16</v>
      </c>
      <c r="D805" s="1508" t="s">
        <v>17</v>
      </c>
      <c r="E805" s="1485"/>
      <c r="F805" s="1485"/>
      <c r="G805" s="1263"/>
      <c r="H805" s="612" t="s">
        <v>12</v>
      </c>
      <c r="I805" s="836"/>
      <c r="J805" s="836"/>
      <c r="K805" s="837"/>
      <c r="L805" s="1292">
        <f t="shared" ref="L805:N805" si="328">L806+L807</f>
        <v>0</v>
      </c>
      <c r="M805" s="1292">
        <f t="shared" si="328"/>
        <v>0</v>
      </c>
      <c r="N805" s="1292">
        <f t="shared" si="328"/>
        <v>0</v>
      </c>
      <c r="O805" s="1292">
        <f t="shared" ref="O805:O810" si="329">IF(L805&gt;0,N805*100/L805,0)</f>
        <v>0</v>
      </c>
      <c r="P805" s="1292">
        <f t="shared" ref="P805:P810" si="330">IF(M805&gt;0,N805*100/M805,0)</f>
        <v>0</v>
      </c>
      <c r="Q805" s="1264"/>
      <c r="R805" s="1264"/>
      <c r="S805" s="1264"/>
      <c r="T805" s="1264"/>
      <c r="U805" s="1264"/>
      <c r="V805" s="1264"/>
      <c r="W805" s="1264"/>
      <c r="X805" s="1264"/>
      <c r="Y805" s="1264"/>
      <c r="Z805" s="1264"/>
    </row>
    <row r="806" spans="1:26" ht="18.75" hidden="1">
      <c r="A806" s="1260"/>
      <c r="B806" s="1261"/>
      <c r="C806" s="1261"/>
      <c r="D806" s="1274"/>
      <c r="E806" s="1261" t="s">
        <v>184</v>
      </c>
      <c r="F806" s="1261"/>
      <c r="G806" s="1263"/>
      <c r="H806" s="165" t="s">
        <v>12</v>
      </c>
      <c r="I806" s="836"/>
      <c r="J806" s="836"/>
      <c r="K806" s="837"/>
      <c r="L806" s="837">
        <f t="shared" ref="L806:N807" si="331">L809+L816</f>
        <v>0</v>
      </c>
      <c r="M806" s="837">
        <f t="shared" si="331"/>
        <v>0</v>
      </c>
      <c r="N806" s="837">
        <f t="shared" si="331"/>
        <v>0</v>
      </c>
      <c r="O806" s="837">
        <f t="shared" si="329"/>
        <v>0</v>
      </c>
      <c r="P806" s="837">
        <f t="shared" si="330"/>
        <v>0</v>
      </c>
      <c r="Q806" s="1264"/>
      <c r="R806" s="1264"/>
      <c r="S806" s="1264"/>
      <c r="T806" s="1264"/>
      <c r="U806" s="1264"/>
      <c r="V806" s="1264"/>
      <c r="W806" s="1264"/>
      <c r="X806" s="1264"/>
      <c r="Y806" s="1264"/>
      <c r="Z806" s="1264"/>
    </row>
    <row r="807" spans="1:26" ht="18.75" hidden="1">
      <c r="A807" s="1260"/>
      <c r="B807" s="1261"/>
      <c r="C807" s="1261"/>
      <c r="D807" s="1274"/>
      <c r="E807" s="1261" t="s">
        <v>185</v>
      </c>
      <c r="F807" s="1261"/>
      <c r="G807" s="1263"/>
      <c r="H807" s="165" t="s">
        <v>12</v>
      </c>
      <c r="I807" s="836"/>
      <c r="J807" s="836"/>
      <c r="K807" s="837"/>
      <c r="L807" s="837">
        <f t="shared" si="331"/>
        <v>0</v>
      </c>
      <c r="M807" s="837">
        <f t="shared" si="331"/>
        <v>0</v>
      </c>
      <c r="N807" s="837">
        <f t="shared" si="331"/>
        <v>0</v>
      </c>
      <c r="O807" s="837">
        <f t="shared" si="329"/>
        <v>0</v>
      </c>
      <c r="P807" s="837">
        <f t="shared" si="330"/>
        <v>0</v>
      </c>
      <c r="Q807" s="1264"/>
      <c r="R807" s="1264"/>
      <c r="S807" s="1264"/>
      <c r="T807" s="1264"/>
      <c r="U807" s="1264"/>
      <c r="V807" s="1264"/>
      <c r="W807" s="1264"/>
      <c r="X807" s="1264"/>
      <c r="Y807" s="1264"/>
      <c r="Z807" s="1264"/>
    </row>
    <row r="808" spans="1:26" ht="19.5" hidden="1">
      <c r="A808" s="1260"/>
      <c r="B808" s="1265"/>
      <c r="C808" s="1261"/>
      <c r="D808" s="1509" t="s">
        <v>20</v>
      </c>
      <c r="E808" s="1485"/>
      <c r="F808" s="1485"/>
      <c r="G808" s="1263"/>
      <c r="H808" s="612" t="s">
        <v>12</v>
      </c>
      <c r="I808" s="947"/>
      <c r="J808" s="947"/>
      <c r="K808" s="948"/>
      <c r="L808" s="1292">
        <f t="shared" ref="L808:N808" si="332">L809+L810</f>
        <v>0</v>
      </c>
      <c r="M808" s="1292">
        <f t="shared" si="332"/>
        <v>0</v>
      </c>
      <c r="N808" s="1292">
        <f t="shared" si="332"/>
        <v>0</v>
      </c>
      <c r="O808" s="1292">
        <f t="shared" si="329"/>
        <v>0</v>
      </c>
      <c r="P808" s="1292">
        <f t="shared" si="330"/>
        <v>0</v>
      </c>
      <c r="Q808" s="1264"/>
      <c r="R808" s="1264"/>
      <c r="S808" s="1264"/>
      <c r="T808" s="1264"/>
      <c r="U808" s="1264"/>
      <c r="V808" s="1264"/>
      <c r="W808" s="1264"/>
      <c r="X808" s="1264"/>
      <c r="Y808" s="1264"/>
      <c r="Z808" s="1264"/>
    </row>
    <row r="809" spans="1:26" ht="18.75" hidden="1">
      <c r="A809" s="1260"/>
      <c r="B809" s="1261"/>
      <c r="C809" s="1261"/>
      <c r="D809" s="1274"/>
      <c r="E809" s="1261" t="s">
        <v>184</v>
      </c>
      <c r="F809" s="1261"/>
      <c r="G809" s="1263"/>
      <c r="H809" s="165" t="s">
        <v>12</v>
      </c>
      <c r="I809" s="836"/>
      <c r="J809" s="836"/>
      <c r="K809" s="837"/>
      <c r="L809" s="837">
        <v>0</v>
      </c>
      <c r="M809" s="837">
        <v>0</v>
      </c>
      <c r="N809" s="837">
        <v>0</v>
      </c>
      <c r="O809" s="837">
        <f t="shared" si="329"/>
        <v>0</v>
      </c>
      <c r="P809" s="837">
        <f t="shared" si="330"/>
        <v>0</v>
      </c>
      <c r="Q809" s="1264"/>
      <c r="R809" s="1264"/>
      <c r="S809" s="1264"/>
      <c r="T809" s="1264"/>
      <c r="U809" s="1264"/>
      <c r="V809" s="1264"/>
      <c r="W809" s="1264"/>
      <c r="X809" s="1264"/>
      <c r="Y809" s="1264"/>
      <c r="Z809" s="1264"/>
    </row>
    <row r="810" spans="1:26" ht="18.75" hidden="1">
      <c r="A810" s="1260"/>
      <c r="B810" s="1261"/>
      <c r="C810" s="1261"/>
      <c r="D810" s="1274"/>
      <c r="E810" s="1261" t="s">
        <v>185</v>
      </c>
      <c r="F810" s="1261"/>
      <c r="G810" s="1263"/>
      <c r="H810" s="165" t="s">
        <v>12</v>
      </c>
      <c r="I810" s="836"/>
      <c r="J810" s="836"/>
      <c r="K810" s="837"/>
      <c r="L810" s="837">
        <v>0</v>
      </c>
      <c r="M810" s="837">
        <v>0</v>
      </c>
      <c r="N810" s="837">
        <f>N811+N812+N813+N814</f>
        <v>0</v>
      </c>
      <c r="O810" s="837">
        <f t="shared" si="329"/>
        <v>0</v>
      </c>
      <c r="P810" s="837">
        <f t="shared" si="330"/>
        <v>0</v>
      </c>
      <c r="Q810" s="1264"/>
      <c r="R810" s="1264"/>
      <c r="S810" s="1264"/>
      <c r="T810" s="1264"/>
      <c r="U810" s="1264"/>
      <c r="V810" s="1264"/>
      <c r="W810" s="1264"/>
      <c r="X810" s="1264"/>
      <c r="Y810" s="1264"/>
      <c r="Z810" s="1264"/>
    </row>
    <row r="811" spans="1:26" ht="18.75" hidden="1">
      <c r="A811" s="1294"/>
      <c r="B811" s="1265"/>
      <c r="C811" s="1261"/>
      <c r="D811" s="1265"/>
      <c r="E811" s="1261"/>
      <c r="F811" s="1261" t="s">
        <v>186</v>
      </c>
      <c r="G811" s="1263"/>
      <c r="H811" s="165" t="s">
        <v>12</v>
      </c>
      <c r="I811" s="836"/>
      <c r="J811" s="836"/>
      <c r="K811" s="837"/>
      <c r="L811" s="837"/>
      <c r="M811" s="837"/>
      <c r="N811" s="837"/>
      <c r="O811" s="837"/>
      <c r="P811" s="837"/>
      <c r="Q811" s="1264"/>
      <c r="R811" s="1264"/>
      <c r="S811" s="1264"/>
      <c r="T811" s="1264"/>
      <c r="U811" s="1264"/>
      <c r="V811" s="1264"/>
      <c r="W811" s="1264"/>
      <c r="X811" s="1264"/>
      <c r="Y811" s="1264"/>
      <c r="Z811" s="1264"/>
    </row>
    <row r="812" spans="1:26" ht="18.75" hidden="1">
      <c r="A812" s="1294"/>
      <c r="B812" s="1265"/>
      <c r="C812" s="1261"/>
      <c r="D812" s="1265"/>
      <c r="E812" s="1261"/>
      <c r="F812" s="1261" t="s">
        <v>187</v>
      </c>
      <c r="G812" s="1263"/>
      <c r="H812" s="165" t="s">
        <v>12</v>
      </c>
      <c r="I812" s="836"/>
      <c r="J812" s="836"/>
      <c r="K812" s="837"/>
      <c r="L812" s="837"/>
      <c r="M812" s="837"/>
      <c r="N812" s="837"/>
      <c r="O812" s="837"/>
      <c r="P812" s="837"/>
      <c r="Q812" s="1264"/>
      <c r="R812" s="1264"/>
      <c r="S812" s="1264"/>
      <c r="T812" s="1264"/>
      <c r="U812" s="1264"/>
      <c r="V812" s="1264"/>
      <c r="W812" s="1264"/>
      <c r="X812" s="1264"/>
      <c r="Y812" s="1264"/>
      <c r="Z812" s="1264"/>
    </row>
    <row r="813" spans="1:26" ht="18.75" hidden="1">
      <c r="A813" s="1294"/>
      <c r="B813" s="1265"/>
      <c r="C813" s="1261"/>
      <c r="D813" s="1265"/>
      <c r="E813" s="1261"/>
      <c r="F813" s="1261" t="s">
        <v>188</v>
      </c>
      <c r="G813" s="1263"/>
      <c r="H813" s="165" t="s">
        <v>12</v>
      </c>
      <c r="I813" s="836"/>
      <c r="J813" s="836"/>
      <c r="K813" s="837"/>
      <c r="L813" s="837"/>
      <c r="M813" s="837"/>
      <c r="N813" s="837"/>
      <c r="O813" s="837"/>
      <c r="P813" s="837"/>
      <c r="Q813" s="1264"/>
      <c r="R813" s="1264"/>
      <c r="S813" s="1264"/>
      <c r="T813" s="1264"/>
      <c r="U813" s="1264"/>
      <c r="V813" s="1264"/>
      <c r="W813" s="1264"/>
      <c r="X813" s="1264"/>
      <c r="Y813" s="1264"/>
      <c r="Z813" s="1264"/>
    </row>
    <row r="814" spans="1:26" ht="18.75" hidden="1">
      <c r="A814" s="1294"/>
      <c r="B814" s="1265"/>
      <c r="C814" s="1261"/>
      <c r="D814" s="1265"/>
      <c r="E814" s="1261"/>
      <c r="F814" s="1261" t="s">
        <v>189</v>
      </c>
      <c r="G814" s="1263"/>
      <c r="H814" s="165" t="s">
        <v>12</v>
      </c>
      <c r="I814" s="836"/>
      <c r="J814" s="836"/>
      <c r="K814" s="837"/>
      <c r="L814" s="837"/>
      <c r="M814" s="837"/>
      <c r="N814" s="837"/>
      <c r="O814" s="837"/>
      <c r="P814" s="837"/>
      <c r="Q814" s="1264"/>
      <c r="R814" s="1264"/>
      <c r="S814" s="1264"/>
      <c r="T814" s="1264"/>
      <c r="U814" s="1264"/>
      <c r="V814" s="1264"/>
      <c r="W814" s="1264"/>
      <c r="X814" s="1264"/>
      <c r="Y814" s="1264"/>
      <c r="Z814" s="1264"/>
    </row>
    <row r="815" spans="1:26" ht="19.5" hidden="1">
      <c r="A815" s="1260"/>
      <c r="B815" s="1265"/>
      <c r="C815" s="1261"/>
      <c r="D815" s="1509" t="s">
        <v>21</v>
      </c>
      <c r="E815" s="1485"/>
      <c r="F815" s="1485"/>
      <c r="G815" s="1263"/>
      <c r="H815" s="749" t="s">
        <v>12</v>
      </c>
      <c r="I815" s="947"/>
      <c r="J815" s="947"/>
      <c r="K815" s="948"/>
      <c r="L815" s="1292">
        <f t="shared" ref="L815:N815" si="333">L816+L817</f>
        <v>0</v>
      </c>
      <c r="M815" s="1292">
        <f t="shared" si="333"/>
        <v>0</v>
      </c>
      <c r="N815" s="1292">
        <f t="shared" si="333"/>
        <v>0</v>
      </c>
      <c r="O815" s="1292">
        <f t="shared" ref="O815:O817" si="334">IF(L815&gt;0,N815*100/L815,0)</f>
        <v>0</v>
      </c>
      <c r="P815" s="1292">
        <f t="shared" ref="P815:P817" si="335">IF(M815&gt;0,N815*100/M815,0)</f>
        <v>0</v>
      </c>
      <c r="Q815" s="1264"/>
      <c r="R815" s="1264"/>
      <c r="S815" s="1264"/>
      <c r="T815" s="1264"/>
      <c r="U815" s="1264"/>
      <c r="V815" s="1264"/>
      <c r="W815" s="1264"/>
      <c r="X815" s="1264"/>
      <c r="Y815" s="1264"/>
      <c r="Z815" s="1264"/>
    </row>
    <row r="816" spans="1:26" ht="18.75" hidden="1">
      <c r="A816" s="1260"/>
      <c r="B816" s="1265"/>
      <c r="C816" s="1261"/>
      <c r="D816" s="1265"/>
      <c r="E816" s="1261" t="s">
        <v>18</v>
      </c>
      <c r="F816" s="1261"/>
      <c r="G816" s="1263"/>
      <c r="H816" s="165" t="s">
        <v>12</v>
      </c>
      <c r="I816" s="947"/>
      <c r="J816" s="947"/>
      <c r="K816" s="948"/>
      <c r="L816" s="837">
        <v>0</v>
      </c>
      <c r="M816" s="837">
        <v>0</v>
      </c>
      <c r="N816" s="837">
        <v>0</v>
      </c>
      <c r="O816" s="837">
        <f t="shared" si="334"/>
        <v>0</v>
      </c>
      <c r="P816" s="837">
        <f t="shared" si="335"/>
        <v>0</v>
      </c>
      <c r="Q816" s="1264"/>
      <c r="R816" s="1264"/>
      <c r="S816" s="1264"/>
      <c r="T816" s="1264"/>
      <c r="U816" s="1264"/>
      <c r="V816" s="1264"/>
      <c r="W816" s="1264"/>
      <c r="X816" s="1264"/>
      <c r="Y816" s="1264"/>
      <c r="Z816" s="1264"/>
    </row>
    <row r="817" spans="1:26" ht="18.75" hidden="1">
      <c r="A817" s="1260"/>
      <c r="B817" s="1265"/>
      <c r="C817" s="1261"/>
      <c r="D817" s="1265"/>
      <c r="E817" s="1261" t="s">
        <v>19</v>
      </c>
      <c r="F817" s="1261"/>
      <c r="G817" s="1263"/>
      <c r="H817" s="169" t="s">
        <v>12</v>
      </c>
      <c r="I817" s="947"/>
      <c r="J817" s="947"/>
      <c r="K817" s="948"/>
      <c r="L817" s="837">
        <v>0</v>
      </c>
      <c r="M817" s="837">
        <v>0</v>
      </c>
      <c r="N817" s="837">
        <v>0</v>
      </c>
      <c r="O817" s="837">
        <f t="shared" si="334"/>
        <v>0</v>
      </c>
      <c r="P817" s="837">
        <f t="shared" si="335"/>
        <v>0</v>
      </c>
      <c r="Q817" s="1264"/>
      <c r="R817" s="1264"/>
      <c r="S817" s="1264"/>
      <c r="T817" s="1264"/>
      <c r="U817" s="1264"/>
      <c r="V817" s="1264"/>
      <c r="W817" s="1264"/>
      <c r="X817" s="1264"/>
      <c r="Y817" s="1264"/>
      <c r="Z817" s="1264"/>
    </row>
    <row r="818" spans="1:26" ht="19.5" hidden="1">
      <c r="A818" s="1273"/>
      <c r="B818" s="1274"/>
      <c r="C818" s="1261" t="s">
        <v>16</v>
      </c>
      <c r="D818" s="1420" t="s">
        <v>38</v>
      </c>
      <c r="E818" s="1296"/>
      <c r="F818" s="1296"/>
      <c r="G818" s="1297"/>
      <c r="H818" s="1060"/>
      <c r="I818" s="947"/>
      <c r="J818" s="947"/>
      <c r="K818" s="948"/>
      <c r="L818" s="948"/>
      <c r="M818" s="948"/>
      <c r="N818" s="948"/>
      <c r="O818" s="948"/>
      <c r="P818" s="948"/>
      <c r="Q818" s="1264"/>
      <c r="R818" s="1264"/>
      <c r="S818" s="1264"/>
      <c r="T818" s="1264"/>
      <c r="U818" s="1264"/>
      <c r="V818" s="1264"/>
      <c r="W818" s="1264"/>
      <c r="X818" s="1264"/>
      <c r="Y818" s="1264"/>
      <c r="Z818" s="1264"/>
    </row>
    <row r="819" spans="1:26" ht="19.5" hidden="1" thickBot="1">
      <c r="A819" s="1421"/>
      <c r="B819" s="1422"/>
      <c r="C819" s="1423"/>
      <c r="D819" s="1422"/>
      <c r="E819" s="1423" t="s">
        <v>323</v>
      </c>
      <c r="F819" s="1423"/>
      <c r="G819" s="1424"/>
      <c r="H819" s="792" t="s">
        <v>46</v>
      </c>
      <c r="I819" s="1425"/>
      <c r="J819" s="1425"/>
      <c r="K819" s="1426"/>
      <c r="L819" s="1426"/>
      <c r="M819" s="1426"/>
      <c r="N819" s="1426"/>
      <c r="O819" s="1426"/>
      <c r="P819" s="1426"/>
      <c r="Q819" s="1264"/>
      <c r="R819" s="1264"/>
      <c r="S819" s="1264"/>
      <c r="T819" s="1264"/>
      <c r="U819" s="1264"/>
      <c r="V819" s="1264"/>
      <c r="W819" s="1264"/>
      <c r="X819" s="1264"/>
      <c r="Y819" s="1264"/>
      <c r="Z819" s="1264"/>
    </row>
    <row r="820" spans="1:26" ht="19.5">
      <c r="A820" s="1427" t="s">
        <v>333</v>
      </c>
      <c r="B820" s="1428"/>
      <c r="C820" s="1428"/>
      <c r="D820" s="1429"/>
      <c r="E820" s="1428"/>
      <c r="F820" s="1428"/>
      <c r="G820" s="1430"/>
      <c r="H820" s="143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32"/>
      <c r="J820" s="1432"/>
      <c r="K820" s="1433"/>
      <c r="L820" s="1433"/>
      <c r="M820" s="1433"/>
      <c r="N820" s="1433"/>
      <c r="O820" s="1433"/>
      <c r="P820" s="1433"/>
      <c r="Q820" s="1244"/>
      <c r="R820" s="1244"/>
      <c r="S820" s="1244"/>
      <c r="T820" s="1244"/>
      <c r="U820" s="1244"/>
      <c r="V820" s="1244"/>
      <c r="W820" s="1244"/>
      <c r="X820" s="1244"/>
      <c r="Y820" s="1244"/>
      <c r="Z820" s="1244"/>
    </row>
    <row r="821" spans="1:26" ht="18.75">
      <c r="A821" s="1368"/>
      <c r="B821" s="1243" t="s">
        <v>325</v>
      </c>
      <c r="C821" s="1243"/>
      <c r="D821" s="1242"/>
      <c r="E821" s="1243"/>
      <c r="F821" s="1243"/>
      <c r="G821" s="963"/>
      <c r="H821" s="590" t="s">
        <v>12</v>
      </c>
      <c r="I821" s="830">
        <f ca="1">IFERROR(__xludf.DUMMYFUNCTION("IMPORTRANGE(""https://docs.google.com/spreadsheets/d/19vJNZY_5yjcGF2XGBMNZRCAIB0Kwfpjp8YEOfu-bneM/edit?usp=sharing"",""งานกองทุน!D23"")"),13428453.99)</f>
        <v>13428453.99</v>
      </c>
      <c r="J821" s="830">
        <f ca="1">IFERROR(__xludf.DUMMYFUNCTION("IMPORTRANGE(""https://docs.google.com/spreadsheets/d/19vJNZY_5yjcGF2XGBMNZRCAIB0Kwfpjp8YEOfu-bneM/edit?usp=sharing"",""งานกองทุน!F23"")"),4138494.45)</f>
        <v>4138494.45</v>
      </c>
      <c r="K821" s="831">
        <f t="shared" ref="K821:K828" ca="1" si="336">IF(I821&gt;0,J821*100/I821,0)</f>
        <v>30.818845215405172</v>
      </c>
      <c r="L821" s="831"/>
      <c r="M821" s="831"/>
      <c r="N821" s="831"/>
      <c r="O821" s="831"/>
      <c r="P821" s="831"/>
      <c r="Q821" s="1244"/>
      <c r="R821" s="1244"/>
      <c r="S821" s="1244"/>
      <c r="T821" s="1244"/>
      <c r="U821" s="1244"/>
      <c r="V821" s="1244"/>
      <c r="W821" s="1244"/>
      <c r="X821" s="1244"/>
      <c r="Y821" s="1244"/>
      <c r="Z821" s="1244"/>
    </row>
    <row r="822" spans="1:26" ht="18.75">
      <c r="A822" s="1368"/>
      <c r="B822" s="1243"/>
      <c r="C822" s="1243"/>
      <c r="D822" s="1242"/>
      <c r="E822" s="1243"/>
      <c r="F822" s="1243"/>
      <c r="G822" s="963"/>
      <c r="H822" s="590" t="s">
        <v>35</v>
      </c>
      <c r="I822" s="830">
        <f ca="1">IFERROR(__xludf.DUMMYFUNCTION("IMPORTRANGE(""https://docs.google.com/spreadsheets/d/19vJNZY_5yjcGF2XGBMNZRCAIB0Kwfpjp8YEOfu-bneM/edit?usp=sharing"",""งานกองทุน!C23"")"),488)</f>
        <v>488</v>
      </c>
      <c r="J822" s="830">
        <f ca="1">IFERROR(__xludf.DUMMYFUNCTION("IMPORTRANGE(""https://docs.google.com/spreadsheets/d/19vJNZY_5yjcGF2XGBMNZRCAIB0Kwfpjp8YEOfu-bneM/edit?usp=sharing"",""งานกองทุน!E23"")"),137)</f>
        <v>137</v>
      </c>
      <c r="K822" s="831">
        <f t="shared" ca="1" si="336"/>
        <v>28.07377049180328</v>
      </c>
      <c r="L822" s="831"/>
      <c r="M822" s="831"/>
      <c r="N822" s="831"/>
      <c r="O822" s="831"/>
      <c r="P822" s="831"/>
      <c r="Q822" s="1244"/>
      <c r="R822" s="1244"/>
      <c r="S822" s="1244"/>
      <c r="T822" s="1244"/>
      <c r="U822" s="1244"/>
      <c r="V822" s="1244"/>
      <c r="W822" s="1244"/>
      <c r="X822" s="1244"/>
      <c r="Y822" s="1244"/>
      <c r="Z822" s="1244"/>
    </row>
    <row r="823" spans="1:26" ht="18.75">
      <c r="A823" s="1368"/>
      <c r="B823" s="1243" t="s">
        <v>326</v>
      </c>
      <c r="C823" s="1243"/>
      <c r="D823" s="1242"/>
      <c r="E823" s="1243"/>
      <c r="F823" s="1243"/>
      <c r="G823" s="963"/>
      <c r="H823" s="590" t="s">
        <v>12</v>
      </c>
      <c r="I823" s="830">
        <f ca="1">IFERROR(__xludf.DUMMYFUNCTION("IMPORTRANGE(""https://docs.google.com/spreadsheets/d/19vJNZY_5yjcGF2XGBMNZRCAIB0Kwfpjp8YEOfu-bneM/edit?usp=sharing"",""งานกองทุน!I23"")"),30873324.14)</f>
        <v>30873324.140000001</v>
      </c>
      <c r="J823" s="830">
        <f ca="1">IFERROR(__xludf.DUMMYFUNCTION("IMPORTRANGE(""https://docs.google.com/spreadsheets/d/19vJNZY_5yjcGF2XGBMNZRCAIB0Kwfpjp8YEOfu-bneM/edit?usp=sharing"",""งานกองทุน!K23"")"),1643076.45)</f>
        <v>1643076.45</v>
      </c>
      <c r="K823" s="831">
        <f t="shared" ca="1" si="336"/>
        <v>5.3219939730144006</v>
      </c>
      <c r="L823" s="831"/>
      <c r="M823" s="831"/>
      <c r="N823" s="831"/>
      <c r="O823" s="831"/>
      <c r="P823" s="831"/>
      <c r="Q823" s="1244"/>
      <c r="R823" s="1244"/>
      <c r="S823" s="1244"/>
      <c r="T823" s="1244"/>
      <c r="U823" s="1244"/>
      <c r="V823" s="1244"/>
      <c r="W823" s="1244"/>
      <c r="X823" s="1244"/>
      <c r="Y823" s="1244"/>
      <c r="Z823" s="1244"/>
    </row>
    <row r="824" spans="1:26" ht="18.75">
      <c r="A824" s="1368"/>
      <c r="B824" s="1243"/>
      <c r="C824" s="1243"/>
      <c r="D824" s="1242"/>
      <c r="E824" s="1243"/>
      <c r="F824" s="1243"/>
      <c r="G824" s="963"/>
      <c r="H824" s="590" t="s">
        <v>35</v>
      </c>
      <c r="I824" s="830">
        <f ca="1">IFERROR(__xludf.DUMMYFUNCTION("IMPORTRANGE(""https://docs.google.com/spreadsheets/d/19vJNZY_5yjcGF2XGBMNZRCAIB0Kwfpjp8YEOfu-bneM/edit?usp=sharing"",""งานกองทุน!H23"")"),1118)</f>
        <v>1118</v>
      </c>
      <c r="J824" s="830">
        <f ca="1">IFERROR(__xludf.DUMMYFUNCTION("IMPORTRANGE(""https://docs.google.com/spreadsheets/d/19vJNZY_5yjcGF2XGBMNZRCAIB0Kwfpjp8YEOfu-bneM/edit?usp=sharing"",""งานกองทุน!J23"")"),251)</f>
        <v>251</v>
      </c>
      <c r="K824" s="831">
        <f t="shared" ca="1" si="336"/>
        <v>22.450805008944545</v>
      </c>
      <c r="L824" s="831"/>
      <c r="M824" s="831"/>
      <c r="N824" s="831"/>
      <c r="O824" s="831"/>
      <c r="P824" s="831"/>
      <c r="Q824" s="1244"/>
      <c r="R824" s="1244"/>
      <c r="S824" s="1244"/>
      <c r="T824" s="1244"/>
      <c r="U824" s="1244"/>
      <c r="V824" s="1244"/>
      <c r="W824" s="1244"/>
      <c r="X824" s="1244"/>
      <c r="Y824" s="1244"/>
      <c r="Z824" s="1244"/>
    </row>
    <row r="825" spans="1:26" ht="18.75">
      <c r="A825" s="1368"/>
      <c r="B825" s="1243" t="s">
        <v>327</v>
      </c>
      <c r="C825" s="1243"/>
      <c r="D825" s="1242"/>
      <c r="E825" s="1243"/>
      <c r="F825" s="1243"/>
      <c r="G825" s="963"/>
      <c r="H825" s="590" t="s">
        <v>12</v>
      </c>
      <c r="I825" s="830">
        <f ca="1">IFERROR(__xludf.DUMMYFUNCTION("IMPORTRANGE(""https://docs.google.com/spreadsheets/d/19vJNZY_5yjcGF2XGBMNZRCAIB0Kwfpjp8YEOfu-bneM/edit?usp=sharing"",""งานกองทุน!N23"")"),2645733.66)</f>
        <v>2645733.66</v>
      </c>
      <c r="J825" s="830">
        <f ca="1">IFERROR(__xludf.DUMMYFUNCTION("IMPORTRANGE(""https://docs.google.com/spreadsheets/d/19vJNZY_5yjcGF2XGBMNZRCAIB0Kwfpjp8YEOfu-bneM/edit?usp=sharing"",""งานกองทุน!P23"")"),162761.71)</f>
        <v>162761.71</v>
      </c>
      <c r="K825" s="831">
        <f t="shared" ca="1" si="336"/>
        <v>6.151855436574821</v>
      </c>
      <c r="L825" s="831"/>
      <c r="M825" s="831"/>
      <c r="N825" s="831"/>
      <c r="O825" s="831"/>
      <c r="P825" s="831"/>
      <c r="Q825" s="1244"/>
      <c r="R825" s="1244"/>
      <c r="S825" s="1244"/>
      <c r="T825" s="1244"/>
      <c r="U825" s="1244"/>
      <c r="V825" s="1244"/>
      <c r="W825" s="1244"/>
      <c r="X825" s="1244"/>
      <c r="Y825" s="1244"/>
      <c r="Z825" s="1244"/>
    </row>
    <row r="826" spans="1:26" ht="18.75">
      <c r="A826" s="1368"/>
      <c r="B826" s="1243"/>
      <c r="C826" s="1243"/>
      <c r="D826" s="1242"/>
      <c r="E826" s="1243"/>
      <c r="F826" s="1243"/>
      <c r="G826" s="963"/>
      <c r="H826" s="590" t="s">
        <v>35</v>
      </c>
      <c r="I826" s="830">
        <f ca="1">IFERROR(__xludf.DUMMYFUNCTION("IMPORTRANGE(""https://docs.google.com/spreadsheets/d/19vJNZY_5yjcGF2XGBMNZRCAIB0Kwfpjp8YEOfu-bneM/edit?usp=sharing"",""งานกองทุน!M23"")"),132)</f>
        <v>132</v>
      </c>
      <c r="J826" s="830">
        <f ca="1">IFERROR(__xludf.DUMMYFUNCTION("IMPORTRANGE(""https://docs.google.com/spreadsheets/d/19vJNZY_5yjcGF2XGBMNZRCAIB0Kwfpjp8YEOfu-bneM/edit?usp=sharing"",""งานกองทุน!O23"")"),42)</f>
        <v>42</v>
      </c>
      <c r="K826" s="831">
        <f t="shared" ca="1" si="336"/>
        <v>31.818181818181817</v>
      </c>
      <c r="L826" s="831"/>
      <c r="M826" s="831"/>
      <c r="N826" s="831"/>
      <c r="O826" s="831"/>
      <c r="P826" s="831"/>
      <c r="Q826" s="1244"/>
      <c r="R826" s="1244"/>
      <c r="S826" s="1244"/>
      <c r="T826" s="1244"/>
      <c r="U826" s="1244"/>
      <c r="V826" s="1244"/>
      <c r="W826" s="1244"/>
      <c r="X826" s="1244"/>
      <c r="Y826" s="1244"/>
      <c r="Z826" s="1244"/>
    </row>
    <row r="827" spans="1:26" ht="18.75">
      <c r="A827" s="1368"/>
      <c r="B827" s="1243" t="s">
        <v>328</v>
      </c>
      <c r="C827" s="1243"/>
      <c r="D827" s="1242"/>
      <c r="E827" s="1243"/>
      <c r="F827" s="1243"/>
      <c r="G827" s="963"/>
      <c r="H827" s="590" t="s">
        <v>12</v>
      </c>
      <c r="I827" s="830">
        <f ca="1">IFERROR(__xludf.DUMMYFUNCTION("IMPORTRANGE(""https://docs.google.com/spreadsheets/d/19vJNZY_5yjcGF2XGBMNZRCAIB0Kwfpjp8YEOfu-bneM/edit?usp=sharing"",""งานกองทุน!S23"")"),13050000)</f>
        <v>13050000</v>
      </c>
      <c r="J827" s="830">
        <f ca="1">IFERROR(__xludf.DUMMYFUNCTION("IMPORTRANGE(""https://docs.google.com/spreadsheets/d/19vJNZY_5yjcGF2XGBMNZRCAIB0Kwfpjp8YEOfu-bneM/edit?usp=sharing"",""งานกองทุน!U23"")"),3940000)</f>
        <v>3940000</v>
      </c>
      <c r="K827" s="831">
        <f t="shared" ca="1" si="336"/>
        <v>30.191570881226053</v>
      </c>
      <c r="L827" s="831"/>
      <c r="M827" s="831"/>
      <c r="N827" s="831"/>
      <c r="O827" s="831"/>
      <c r="P827" s="831"/>
      <c r="Q827" s="1244"/>
      <c r="R827" s="1244"/>
      <c r="S827" s="1244"/>
      <c r="T827" s="1244"/>
      <c r="U827" s="1244"/>
      <c r="V827" s="1244"/>
      <c r="W827" s="1244"/>
      <c r="X827" s="1244"/>
      <c r="Y827" s="1244"/>
      <c r="Z827" s="1244"/>
    </row>
    <row r="828" spans="1:26" ht="18.75">
      <c r="A828" s="1369"/>
      <c r="B828" s="1371"/>
      <c r="C828" s="1371"/>
      <c r="D828" s="1370"/>
      <c r="E828" s="1371"/>
      <c r="F828" s="1371"/>
      <c r="G828" s="1434"/>
      <c r="H828" s="802" t="s">
        <v>35</v>
      </c>
      <c r="I828" s="1085">
        <f ca="1">IFERROR(__xludf.DUMMYFUNCTION("IMPORTRANGE(""https://docs.google.com/spreadsheets/d/19vJNZY_5yjcGF2XGBMNZRCAIB0Kwfpjp8YEOfu-bneM/edit?usp=sharing"",""งานกองทุน!R23"")"),522)</f>
        <v>522</v>
      </c>
      <c r="J828" s="1085">
        <f ca="1">IFERROR(__xludf.DUMMYFUNCTION("IMPORTRANGE(""https://docs.google.com/spreadsheets/d/19vJNZY_5yjcGF2XGBMNZRCAIB0Kwfpjp8YEOfu-bneM/edit?usp=sharing"",""งานกองทุน!T23"")"),134)</f>
        <v>134</v>
      </c>
      <c r="K828" s="1182">
        <f t="shared" ca="1" si="336"/>
        <v>25.670498084291189</v>
      </c>
      <c r="L828" s="1182"/>
      <c r="M828" s="1182"/>
      <c r="N828" s="1182"/>
      <c r="O828" s="1182"/>
      <c r="P828" s="1182"/>
      <c r="Q828" s="1244"/>
      <c r="R828" s="1244"/>
      <c r="S828" s="1244"/>
      <c r="T828" s="1244"/>
      <c r="U828" s="1244"/>
      <c r="V828" s="1244"/>
      <c r="W828" s="1244"/>
      <c r="X828" s="1244"/>
      <c r="Y828" s="1244"/>
      <c r="Z828" s="124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86875-DDDC-4EF5-BFFD-D68C5C4DAC9E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Q24" sqref="Q24"/>
      <selection pane="bottomLeft" activeCell="Q24" sqref="Q24"/>
    </sheetView>
  </sheetViews>
  <sheetFormatPr defaultColWidth="12.5703125" defaultRowHeight="15.75" customHeight="1"/>
  <cols>
    <col min="1" max="3" width="3.28515625" style="803" customWidth="1"/>
    <col min="4" max="6" width="5.85546875" style="803" customWidth="1"/>
    <col min="7" max="7" width="56.42578125" style="803" customWidth="1"/>
    <col min="8" max="8" width="9.42578125" style="803" customWidth="1"/>
    <col min="9" max="10" width="16.85546875" style="803" bestFit="1" customWidth="1"/>
    <col min="11" max="11" width="12.5703125" style="803" bestFit="1" customWidth="1"/>
    <col min="12" max="14" width="21.28515625" style="803" bestFit="1" customWidth="1"/>
    <col min="15" max="15" width="20.140625" style="803" bestFit="1" customWidth="1"/>
    <col min="16" max="16" width="22" style="803" bestFit="1" customWidth="1"/>
    <col min="17" max="16384" width="12.5703125" style="803"/>
  </cols>
  <sheetData>
    <row r="1" spans="1:26" ht="19.5">
      <c r="A1" s="1498" t="s">
        <v>0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</row>
    <row r="2" spans="1:26" ht="19.5">
      <c r="A2" s="1498" t="s">
        <v>347</v>
      </c>
      <c r="B2" s="1516"/>
      <c r="C2" s="1516"/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  <c r="O2" s="1516"/>
      <c r="P2" s="1516"/>
    </row>
    <row r="3" spans="1:26" ht="19.5">
      <c r="A3" s="1498" t="s">
        <v>329</v>
      </c>
      <c r="B3" s="1516"/>
      <c r="C3" s="1516"/>
      <c r="D3" s="1516"/>
      <c r="E3" s="1516"/>
      <c r="F3" s="1516"/>
      <c r="G3" s="1516"/>
      <c r="H3" s="1516"/>
      <c r="I3" s="1516"/>
      <c r="J3" s="1516"/>
      <c r="K3" s="1516"/>
      <c r="L3" s="1516"/>
      <c r="M3" s="1516"/>
      <c r="N3" s="1516"/>
      <c r="O3" s="1516"/>
      <c r="P3" s="1516"/>
    </row>
    <row r="4" spans="1:26" ht="12.75">
      <c r="A4" s="804"/>
      <c r="B4" s="804"/>
      <c r="C4" s="804"/>
      <c r="D4" s="804"/>
      <c r="E4" s="804"/>
      <c r="F4" s="804"/>
      <c r="G4" s="804"/>
      <c r="H4" s="804"/>
      <c r="I4" s="804"/>
      <c r="J4" s="805"/>
      <c r="K4" s="806"/>
      <c r="L4" s="805"/>
      <c r="M4" s="805"/>
      <c r="N4" s="805"/>
      <c r="O4" s="804"/>
      <c r="P4" s="804"/>
    </row>
    <row r="5" spans="1:26" ht="19.5">
      <c r="A5" s="1504" t="s">
        <v>2</v>
      </c>
      <c r="B5" s="1516"/>
      <c r="C5" s="1516"/>
      <c r="D5" s="1516"/>
      <c r="E5" s="1516"/>
      <c r="F5" s="1516"/>
      <c r="G5" s="1505"/>
      <c r="H5" s="1500" t="s">
        <v>3</v>
      </c>
      <c r="I5" s="1501" t="s">
        <v>4</v>
      </c>
      <c r="J5" s="1494"/>
      <c r="K5" s="1495"/>
      <c r="L5" s="1502" t="s">
        <v>5</v>
      </c>
      <c r="M5" s="1495"/>
      <c r="N5" s="1503" t="s">
        <v>6</v>
      </c>
      <c r="O5" s="1494"/>
      <c r="P5" s="1495"/>
    </row>
    <row r="6" spans="1:26" ht="19.5">
      <c r="A6" s="1506"/>
      <c r="B6" s="1494"/>
      <c r="C6" s="1494"/>
      <c r="D6" s="1494"/>
      <c r="E6" s="1494"/>
      <c r="F6" s="1494"/>
      <c r="G6" s="1495"/>
      <c r="H6" s="14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12" t="s">
        <v>15</v>
      </c>
      <c r="B7" s="1494"/>
      <c r="C7" s="1494"/>
      <c r="D7" s="1494"/>
      <c r="E7" s="1494"/>
      <c r="F7" s="1494"/>
      <c r="G7" s="1495"/>
      <c r="H7" s="807"/>
      <c r="I7" s="808"/>
      <c r="J7" s="808"/>
      <c r="K7" s="809"/>
      <c r="L7" s="809"/>
      <c r="M7" s="809"/>
      <c r="N7" s="809"/>
      <c r="O7" s="809"/>
      <c r="P7" s="809"/>
    </row>
    <row r="8" spans="1:26" ht="19.5">
      <c r="A8" s="810"/>
      <c r="B8" s="811"/>
      <c r="C8" s="812" t="s">
        <v>16</v>
      </c>
      <c r="D8" s="813" t="s">
        <v>17</v>
      </c>
      <c r="E8" s="811"/>
      <c r="F8" s="811"/>
      <c r="G8" s="814"/>
      <c r="H8" s="19" t="s">
        <v>12</v>
      </c>
      <c r="I8" s="815"/>
      <c r="J8" s="815"/>
      <c r="K8" s="816"/>
      <c r="L8" s="817">
        <f t="shared" ref="L8:N8" ca="1" si="0">L9+L10</f>
        <v>5509492</v>
      </c>
      <c r="M8" s="817">
        <f t="shared" ca="1" si="0"/>
        <v>2770645</v>
      </c>
      <c r="N8" s="817">
        <f t="shared" ca="1" si="0"/>
        <v>2104541.1</v>
      </c>
      <c r="O8" s="817">
        <f t="shared" ref="O8:O16" ca="1" si="1">IF(L8&gt;0,N8*100/L8,0)</f>
        <v>38.198460039509996</v>
      </c>
      <c r="P8" s="817">
        <f t="shared" ref="P8:P16" ca="1" si="2">IF(M8&gt;0,N8*100/M8,0)</f>
        <v>75.95852590281325</v>
      </c>
      <c r="Q8" s="818"/>
      <c r="R8" s="818"/>
      <c r="S8" s="818"/>
      <c r="T8" s="818"/>
      <c r="U8" s="818"/>
      <c r="V8" s="818"/>
      <c r="W8" s="818"/>
      <c r="X8" s="818"/>
      <c r="Y8" s="818"/>
      <c r="Z8" s="818"/>
    </row>
    <row r="9" spans="1:26" ht="18.75" hidden="1">
      <c r="A9" s="819"/>
      <c r="B9" s="820"/>
      <c r="C9" s="820"/>
      <c r="D9" s="820"/>
      <c r="E9" s="821" t="s">
        <v>18</v>
      </c>
      <c r="F9" s="820"/>
      <c r="G9" s="822"/>
      <c r="H9" s="28" t="s">
        <v>12</v>
      </c>
      <c r="I9" s="823"/>
      <c r="J9" s="823"/>
      <c r="K9" s="824"/>
      <c r="L9" s="824">
        <f t="shared" ref="L9:N10" si="3">L12+L15</f>
        <v>0</v>
      </c>
      <c r="M9" s="824">
        <f t="shared" si="3"/>
        <v>0</v>
      </c>
      <c r="N9" s="824">
        <f t="shared" si="3"/>
        <v>0</v>
      </c>
      <c r="O9" s="824">
        <f t="shared" si="1"/>
        <v>0</v>
      </c>
      <c r="P9" s="824">
        <f t="shared" si="2"/>
        <v>0</v>
      </c>
      <c r="Q9" s="825"/>
      <c r="R9" s="825"/>
      <c r="S9" s="825"/>
      <c r="T9" s="825"/>
      <c r="U9" s="825"/>
      <c r="V9" s="825"/>
      <c r="W9" s="825"/>
      <c r="X9" s="825"/>
      <c r="Y9" s="825"/>
      <c r="Z9" s="825"/>
    </row>
    <row r="10" spans="1:26" ht="18.75" hidden="1">
      <c r="A10" s="819"/>
      <c r="B10" s="820"/>
      <c r="C10" s="820"/>
      <c r="D10" s="820"/>
      <c r="E10" s="821" t="s">
        <v>19</v>
      </c>
      <c r="F10" s="820"/>
      <c r="G10" s="822"/>
      <c r="H10" s="28" t="s">
        <v>12</v>
      </c>
      <c r="I10" s="823"/>
      <c r="J10" s="823"/>
      <c r="K10" s="824"/>
      <c r="L10" s="824">
        <f t="shared" ca="1" si="3"/>
        <v>5509492</v>
      </c>
      <c r="M10" s="824">
        <f t="shared" ca="1" si="3"/>
        <v>2770645</v>
      </c>
      <c r="N10" s="824">
        <f t="shared" ca="1" si="3"/>
        <v>2104541.1</v>
      </c>
      <c r="O10" s="824">
        <f t="shared" ca="1" si="1"/>
        <v>38.198460039509996</v>
      </c>
      <c r="P10" s="824">
        <f t="shared" ca="1" si="2"/>
        <v>75.95852590281325</v>
      </c>
      <c r="Q10" s="825"/>
      <c r="R10" s="825"/>
      <c r="S10" s="825"/>
      <c r="T10" s="825"/>
      <c r="U10" s="825"/>
      <c r="V10" s="825"/>
      <c r="W10" s="825"/>
      <c r="X10" s="825"/>
      <c r="Y10" s="825"/>
      <c r="Z10" s="825"/>
    </row>
    <row r="11" spans="1:26" ht="18.75">
      <c r="A11" s="826"/>
      <c r="B11" s="827"/>
      <c r="C11" s="827"/>
      <c r="D11" s="828" t="s">
        <v>20</v>
      </c>
      <c r="E11" s="827"/>
      <c r="F11" s="827"/>
      <c r="G11" s="829"/>
      <c r="H11" s="590" t="s">
        <v>12</v>
      </c>
      <c r="I11" s="830"/>
      <c r="J11" s="830"/>
      <c r="K11" s="831"/>
      <c r="L11" s="831">
        <f t="shared" ref="L11:N11" ca="1" si="4">L12+L13</f>
        <v>5072892</v>
      </c>
      <c r="M11" s="831">
        <f t="shared" ca="1" si="4"/>
        <v>2335845</v>
      </c>
      <c r="N11" s="831">
        <f t="shared" ca="1" si="4"/>
        <v>1669741.1</v>
      </c>
      <c r="O11" s="831">
        <f t="shared" ca="1" si="1"/>
        <v>32.91497433810931</v>
      </c>
      <c r="P11" s="831">
        <f t="shared" ca="1" si="2"/>
        <v>71.483386097964555</v>
      </c>
      <c r="Q11" s="818"/>
      <c r="R11" s="818"/>
      <c r="S11" s="818"/>
      <c r="T11" s="818"/>
      <c r="U11" s="818"/>
      <c r="V11" s="818"/>
      <c r="W11" s="818"/>
      <c r="X11" s="818"/>
      <c r="Y11" s="818"/>
      <c r="Z11" s="818"/>
    </row>
    <row r="12" spans="1:26" ht="18.75" hidden="1">
      <c r="A12" s="832"/>
      <c r="B12" s="833"/>
      <c r="C12" s="833"/>
      <c r="D12" s="833"/>
      <c r="E12" s="834" t="s">
        <v>18</v>
      </c>
      <c r="F12" s="833"/>
      <c r="G12" s="835"/>
      <c r="H12" s="43" t="s">
        <v>12</v>
      </c>
      <c r="I12" s="836"/>
      <c r="J12" s="836"/>
      <c r="K12" s="837"/>
      <c r="L12" s="837">
        <f t="shared" ref="L12:N13" si="5">L22+L32</f>
        <v>0</v>
      </c>
      <c r="M12" s="837">
        <f t="shared" si="5"/>
        <v>0</v>
      </c>
      <c r="N12" s="837">
        <f t="shared" si="5"/>
        <v>0</v>
      </c>
      <c r="O12" s="837">
        <f t="shared" si="1"/>
        <v>0</v>
      </c>
      <c r="P12" s="837">
        <f t="shared" si="2"/>
        <v>0</v>
      </c>
      <c r="Q12" s="825"/>
      <c r="R12" s="825"/>
      <c r="S12" s="825"/>
      <c r="T12" s="825"/>
      <c r="U12" s="825"/>
      <c r="V12" s="825"/>
      <c r="W12" s="825"/>
      <c r="X12" s="825"/>
      <c r="Y12" s="825"/>
      <c r="Z12" s="825"/>
    </row>
    <row r="13" spans="1:26" ht="18.75" hidden="1">
      <c r="A13" s="832"/>
      <c r="B13" s="833"/>
      <c r="C13" s="833"/>
      <c r="D13" s="833"/>
      <c r="E13" s="834" t="s">
        <v>19</v>
      </c>
      <c r="F13" s="833"/>
      <c r="G13" s="835"/>
      <c r="H13" s="43" t="s">
        <v>12</v>
      </c>
      <c r="I13" s="836"/>
      <c r="J13" s="836"/>
      <c r="K13" s="837"/>
      <c r="L13" s="837">
        <f t="shared" ca="1" si="5"/>
        <v>5072892</v>
      </c>
      <c r="M13" s="837">
        <f t="shared" ca="1" si="5"/>
        <v>2335845</v>
      </c>
      <c r="N13" s="837">
        <f t="shared" ca="1" si="5"/>
        <v>1669741.1</v>
      </c>
      <c r="O13" s="837">
        <f t="shared" ca="1" si="1"/>
        <v>32.91497433810931</v>
      </c>
      <c r="P13" s="837">
        <f t="shared" ca="1" si="2"/>
        <v>71.483386097964555</v>
      </c>
      <c r="Q13" s="825"/>
      <c r="R13" s="825"/>
      <c r="S13" s="825"/>
      <c r="T13" s="825"/>
      <c r="U13" s="825"/>
      <c r="V13" s="825"/>
      <c r="W13" s="825"/>
      <c r="X13" s="825"/>
      <c r="Y13" s="825"/>
      <c r="Z13" s="825"/>
    </row>
    <row r="14" spans="1:26" ht="18.75">
      <c r="A14" s="826"/>
      <c r="B14" s="827"/>
      <c r="C14" s="827"/>
      <c r="D14" s="828" t="s">
        <v>21</v>
      </c>
      <c r="E14" s="827"/>
      <c r="F14" s="827"/>
      <c r="G14" s="829"/>
      <c r="H14" s="590" t="s">
        <v>12</v>
      </c>
      <c r="I14" s="830"/>
      <c r="J14" s="830"/>
      <c r="K14" s="831"/>
      <c r="L14" s="831">
        <f t="shared" ref="L14:N14" ca="1" si="6">L15+L16</f>
        <v>436600</v>
      </c>
      <c r="M14" s="831">
        <f t="shared" ca="1" si="6"/>
        <v>434800</v>
      </c>
      <c r="N14" s="831">
        <f t="shared" ca="1" si="6"/>
        <v>434800</v>
      </c>
      <c r="O14" s="831">
        <f t="shared" ca="1" si="1"/>
        <v>99.587723316536881</v>
      </c>
      <c r="P14" s="831">
        <f t="shared" ca="1" si="2"/>
        <v>100</v>
      </c>
      <c r="Q14" s="818"/>
      <c r="R14" s="818"/>
      <c r="S14" s="818"/>
      <c r="T14" s="818"/>
      <c r="U14" s="818"/>
      <c r="V14" s="818"/>
      <c r="W14" s="818"/>
      <c r="X14" s="818"/>
      <c r="Y14" s="818"/>
      <c r="Z14" s="818"/>
    </row>
    <row r="15" spans="1:26" ht="18.75" hidden="1">
      <c r="A15" s="832"/>
      <c r="B15" s="833"/>
      <c r="C15" s="833"/>
      <c r="D15" s="833"/>
      <c r="E15" s="834" t="s">
        <v>18</v>
      </c>
      <c r="F15" s="833"/>
      <c r="G15" s="835"/>
      <c r="H15" s="43" t="s">
        <v>12</v>
      </c>
      <c r="I15" s="836"/>
      <c r="J15" s="836"/>
      <c r="K15" s="837"/>
      <c r="L15" s="837">
        <f t="shared" ref="L15:N16" si="7">L25+L35</f>
        <v>0</v>
      </c>
      <c r="M15" s="837">
        <f t="shared" si="7"/>
        <v>0</v>
      </c>
      <c r="N15" s="837">
        <f t="shared" si="7"/>
        <v>0</v>
      </c>
      <c r="O15" s="837">
        <f t="shared" si="1"/>
        <v>0</v>
      </c>
      <c r="P15" s="837">
        <f t="shared" si="2"/>
        <v>0</v>
      </c>
      <c r="Q15" s="825"/>
      <c r="R15" s="825"/>
      <c r="S15" s="825"/>
      <c r="T15" s="825"/>
      <c r="U15" s="825"/>
      <c r="V15" s="825"/>
      <c r="W15" s="825"/>
      <c r="X15" s="825"/>
      <c r="Y15" s="825"/>
      <c r="Z15" s="825"/>
    </row>
    <row r="16" spans="1:26" ht="18.75" hidden="1">
      <c r="A16" s="838"/>
      <c r="B16" s="839"/>
      <c r="C16" s="839"/>
      <c r="D16" s="839"/>
      <c r="E16" s="840" t="s">
        <v>19</v>
      </c>
      <c r="F16" s="839"/>
      <c r="G16" s="841"/>
      <c r="H16" s="50" t="s">
        <v>12</v>
      </c>
      <c r="I16" s="842"/>
      <c r="J16" s="842"/>
      <c r="K16" s="843"/>
      <c r="L16" s="843">
        <f t="shared" ca="1" si="7"/>
        <v>436600</v>
      </c>
      <c r="M16" s="843">
        <f t="shared" ca="1" si="7"/>
        <v>434800</v>
      </c>
      <c r="N16" s="843">
        <f t="shared" ca="1" si="7"/>
        <v>434800</v>
      </c>
      <c r="O16" s="843">
        <f t="shared" ca="1" si="1"/>
        <v>99.587723316536881</v>
      </c>
      <c r="P16" s="843">
        <f t="shared" ca="1" si="2"/>
        <v>100</v>
      </c>
      <c r="Q16" s="825"/>
      <c r="R16" s="825"/>
      <c r="S16" s="825"/>
      <c r="T16" s="825"/>
      <c r="U16" s="825"/>
      <c r="V16" s="825"/>
      <c r="W16" s="825"/>
      <c r="X16" s="825"/>
      <c r="Y16" s="825"/>
      <c r="Z16" s="825"/>
    </row>
    <row r="17" spans="1:26" ht="19.5">
      <c r="A17" s="1512" t="s">
        <v>22</v>
      </c>
      <c r="B17" s="1494"/>
      <c r="C17" s="1494"/>
      <c r="D17" s="1494"/>
      <c r="E17" s="1494"/>
      <c r="F17" s="1494"/>
      <c r="G17" s="1495"/>
      <c r="H17" s="807"/>
      <c r="I17" s="808"/>
      <c r="J17" s="808"/>
      <c r="K17" s="809"/>
      <c r="L17" s="809"/>
      <c r="M17" s="809"/>
      <c r="N17" s="809"/>
      <c r="O17" s="809"/>
      <c r="P17" s="809"/>
    </row>
    <row r="18" spans="1:26" ht="19.5">
      <c r="A18" s="810"/>
      <c r="B18" s="811"/>
      <c r="C18" s="812" t="s">
        <v>16</v>
      </c>
      <c r="D18" s="813" t="s">
        <v>17</v>
      </c>
      <c r="E18" s="811"/>
      <c r="F18" s="811"/>
      <c r="G18" s="814"/>
      <c r="H18" s="19" t="s">
        <v>12</v>
      </c>
      <c r="I18" s="815"/>
      <c r="J18" s="815"/>
      <c r="K18" s="816"/>
      <c r="L18" s="817">
        <f t="shared" ref="L18:N18" ca="1" si="8">L19+L20</f>
        <v>3242795</v>
      </c>
      <c r="M18" s="817">
        <f t="shared" ca="1" si="8"/>
        <v>2770645</v>
      </c>
      <c r="N18" s="817">
        <f t="shared" ca="1" si="8"/>
        <v>1684593.6300000001</v>
      </c>
      <c r="O18" s="817">
        <f t="shared" ref="O18:O26" ca="1" si="9">IF(L18&gt;0,N18*100/L18,0)</f>
        <v>51.948816684372588</v>
      </c>
      <c r="P18" s="817">
        <f t="shared" ref="P18:P26" ca="1" si="10">IF(M18&gt;0,N18*100/M18,0)</f>
        <v>60.801496763389032</v>
      </c>
      <c r="Q18" s="818"/>
      <c r="R18" s="818"/>
      <c r="S18" s="818"/>
      <c r="T18" s="818"/>
      <c r="U18" s="818"/>
      <c r="V18" s="818"/>
      <c r="W18" s="818"/>
      <c r="X18" s="818"/>
      <c r="Y18" s="818"/>
      <c r="Z18" s="818"/>
    </row>
    <row r="19" spans="1:26" ht="18.75" hidden="1">
      <c r="A19" s="819"/>
      <c r="B19" s="820"/>
      <c r="C19" s="820"/>
      <c r="D19" s="820"/>
      <c r="E19" s="821" t="s">
        <v>18</v>
      </c>
      <c r="F19" s="820"/>
      <c r="G19" s="822"/>
      <c r="H19" s="28" t="s">
        <v>12</v>
      </c>
      <c r="I19" s="823"/>
      <c r="J19" s="823"/>
      <c r="K19" s="824"/>
      <c r="L19" s="824">
        <f t="shared" ref="L19:N20" si="11">L22+L25</f>
        <v>0</v>
      </c>
      <c r="M19" s="824">
        <f t="shared" si="11"/>
        <v>0</v>
      </c>
      <c r="N19" s="824">
        <f t="shared" si="11"/>
        <v>0</v>
      </c>
      <c r="O19" s="824">
        <f t="shared" si="9"/>
        <v>0</v>
      </c>
      <c r="P19" s="824">
        <f t="shared" si="10"/>
        <v>0</v>
      </c>
      <c r="Q19" s="825"/>
      <c r="R19" s="825"/>
      <c r="S19" s="825"/>
      <c r="T19" s="825"/>
      <c r="U19" s="825"/>
      <c r="V19" s="825"/>
      <c r="W19" s="825"/>
      <c r="X19" s="825"/>
      <c r="Y19" s="825"/>
      <c r="Z19" s="825"/>
    </row>
    <row r="20" spans="1:26" ht="18.75" hidden="1">
      <c r="A20" s="819"/>
      <c r="B20" s="820"/>
      <c r="C20" s="820"/>
      <c r="D20" s="820"/>
      <c r="E20" s="821" t="s">
        <v>19</v>
      </c>
      <c r="F20" s="820"/>
      <c r="G20" s="822"/>
      <c r="H20" s="28" t="s">
        <v>12</v>
      </c>
      <c r="I20" s="823"/>
      <c r="J20" s="823"/>
      <c r="K20" s="824"/>
      <c r="L20" s="824">
        <f t="shared" ca="1" si="11"/>
        <v>3242795</v>
      </c>
      <c r="M20" s="824">
        <f t="shared" ca="1" si="11"/>
        <v>2770645</v>
      </c>
      <c r="N20" s="824">
        <f t="shared" ca="1" si="11"/>
        <v>1684593.6300000001</v>
      </c>
      <c r="O20" s="824">
        <f t="shared" ca="1" si="9"/>
        <v>51.948816684372588</v>
      </c>
      <c r="P20" s="824">
        <f t="shared" ca="1" si="10"/>
        <v>60.801496763389032</v>
      </c>
      <c r="Q20" s="825"/>
      <c r="R20" s="825"/>
      <c r="S20" s="825"/>
      <c r="T20" s="825"/>
      <c r="U20" s="825"/>
      <c r="V20" s="825"/>
      <c r="W20" s="825"/>
      <c r="X20" s="825"/>
      <c r="Y20" s="825"/>
      <c r="Z20" s="825"/>
    </row>
    <row r="21" spans="1:26" ht="18.75">
      <c r="A21" s="826"/>
      <c r="B21" s="827"/>
      <c r="C21" s="827"/>
      <c r="D21" s="828" t="s">
        <v>20</v>
      </c>
      <c r="E21" s="827"/>
      <c r="F21" s="827"/>
      <c r="G21" s="829"/>
      <c r="H21" s="590" t="s">
        <v>12</v>
      </c>
      <c r="I21" s="830"/>
      <c r="J21" s="830"/>
      <c r="K21" s="831"/>
      <c r="L21" s="831">
        <f t="shared" ref="L21:N21" ca="1" si="12">L22+L23</f>
        <v>2806195</v>
      </c>
      <c r="M21" s="831">
        <f t="shared" ca="1" si="12"/>
        <v>2335845</v>
      </c>
      <c r="N21" s="831">
        <f t="shared" ca="1" si="12"/>
        <v>1249793.6300000001</v>
      </c>
      <c r="O21" s="831">
        <f t="shared" ca="1" si="9"/>
        <v>44.536948786524107</v>
      </c>
      <c r="P21" s="831">
        <f t="shared" ca="1" si="10"/>
        <v>53.504989843076068</v>
      </c>
      <c r="Q21" s="818"/>
      <c r="R21" s="818"/>
      <c r="S21" s="818"/>
      <c r="T21" s="818"/>
      <c r="U21" s="818"/>
      <c r="V21" s="818"/>
      <c r="W21" s="818"/>
      <c r="X21" s="818"/>
      <c r="Y21" s="818"/>
      <c r="Z21" s="818"/>
    </row>
    <row r="22" spans="1:26" ht="18.75" hidden="1">
      <c r="A22" s="832"/>
      <c r="B22" s="833"/>
      <c r="C22" s="833"/>
      <c r="D22" s="833"/>
      <c r="E22" s="834" t="s">
        <v>18</v>
      </c>
      <c r="F22" s="833"/>
      <c r="G22" s="835"/>
      <c r="H22" s="43" t="s">
        <v>12</v>
      </c>
      <c r="I22" s="836"/>
      <c r="J22" s="836"/>
      <c r="K22" s="837"/>
      <c r="L22" s="837">
        <f t="shared" ref="L22:N23" si="13">L45+L57+L70+L92+L123+L136+L153+L185+L169+L265+L281+L302+L319+L332+L349+L393+L406</f>
        <v>0</v>
      </c>
      <c r="M22" s="837">
        <f t="shared" si="13"/>
        <v>0</v>
      </c>
      <c r="N22" s="837">
        <f t="shared" si="13"/>
        <v>0</v>
      </c>
      <c r="O22" s="837">
        <f t="shared" si="9"/>
        <v>0</v>
      </c>
      <c r="P22" s="837">
        <f t="shared" si="10"/>
        <v>0</v>
      </c>
      <c r="Q22" s="825"/>
      <c r="R22" s="825"/>
      <c r="S22" s="825"/>
      <c r="T22" s="825"/>
      <c r="U22" s="825"/>
      <c r="V22" s="825"/>
      <c r="W22" s="825"/>
      <c r="X22" s="825"/>
      <c r="Y22" s="825"/>
      <c r="Z22" s="825"/>
    </row>
    <row r="23" spans="1:26" ht="18.75" hidden="1">
      <c r="A23" s="832"/>
      <c r="B23" s="833"/>
      <c r="C23" s="833"/>
      <c r="D23" s="833"/>
      <c r="E23" s="834" t="s">
        <v>19</v>
      </c>
      <c r="F23" s="833"/>
      <c r="G23" s="835"/>
      <c r="H23" s="43" t="s">
        <v>12</v>
      </c>
      <c r="I23" s="836"/>
      <c r="J23" s="836"/>
      <c r="K23" s="837"/>
      <c r="L23" s="837">
        <f t="shared" ca="1" si="13"/>
        <v>2806195</v>
      </c>
      <c r="M23" s="837">
        <f t="shared" ca="1" si="13"/>
        <v>2335845</v>
      </c>
      <c r="N23" s="837">
        <f t="shared" ca="1" si="13"/>
        <v>1249793.6300000001</v>
      </c>
      <c r="O23" s="837">
        <f t="shared" ca="1" si="9"/>
        <v>44.536948786524107</v>
      </c>
      <c r="P23" s="837">
        <f t="shared" ca="1" si="10"/>
        <v>53.504989843076068</v>
      </c>
      <c r="Q23" s="825"/>
      <c r="R23" s="825"/>
      <c r="S23" s="825"/>
      <c r="T23" s="825"/>
      <c r="U23" s="825"/>
      <c r="V23" s="825"/>
      <c r="W23" s="825"/>
      <c r="X23" s="825"/>
      <c r="Y23" s="825"/>
      <c r="Z23" s="825"/>
    </row>
    <row r="24" spans="1:26" ht="18.75">
      <c r="A24" s="826"/>
      <c r="B24" s="827"/>
      <c r="C24" s="827"/>
      <c r="D24" s="828" t="s">
        <v>21</v>
      </c>
      <c r="E24" s="827"/>
      <c r="F24" s="827"/>
      <c r="G24" s="829"/>
      <c r="H24" s="590" t="s">
        <v>12</v>
      </c>
      <c r="I24" s="830"/>
      <c r="J24" s="830"/>
      <c r="K24" s="831"/>
      <c r="L24" s="831">
        <f t="shared" ref="L24:N24" ca="1" si="14">L25+L26</f>
        <v>436600</v>
      </c>
      <c r="M24" s="831">
        <f t="shared" ca="1" si="14"/>
        <v>434800</v>
      </c>
      <c r="N24" s="831">
        <f t="shared" ca="1" si="14"/>
        <v>434800</v>
      </c>
      <c r="O24" s="831">
        <f t="shared" ca="1" si="9"/>
        <v>99.587723316536881</v>
      </c>
      <c r="P24" s="831">
        <f t="shared" ca="1" si="10"/>
        <v>100</v>
      </c>
      <c r="Q24" s="818"/>
      <c r="R24" s="818"/>
      <c r="S24" s="818"/>
      <c r="T24" s="818"/>
      <c r="U24" s="818"/>
      <c r="V24" s="818"/>
      <c r="W24" s="818"/>
      <c r="X24" s="818"/>
      <c r="Y24" s="818"/>
      <c r="Z24" s="818"/>
    </row>
    <row r="25" spans="1:26" ht="18.75" hidden="1">
      <c r="A25" s="832"/>
      <c r="B25" s="833"/>
      <c r="C25" s="833"/>
      <c r="D25" s="833"/>
      <c r="E25" s="834" t="s">
        <v>18</v>
      </c>
      <c r="F25" s="833"/>
      <c r="G25" s="835"/>
      <c r="H25" s="43" t="s">
        <v>12</v>
      </c>
      <c r="I25" s="836"/>
      <c r="J25" s="836"/>
      <c r="K25" s="837"/>
      <c r="L25" s="837">
        <f t="shared" ref="L25:N26" si="15">L48+L60+L73+L95+L126+L139+L156+L188+L172+L268+L284+L305+L322+L335+L352+L396+L409</f>
        <v>0</v>
      </c>
      <c r="M25" s="837">
        <f t="shared" si="15"/>
        <v>0</v>
      </c>
      <c r="N25" s="837">
        <f t="shared" si="15"/>
        <v>0</v>
      </c>
      <c r="O25" s="837">
        <f t="shared" si="9"/>
        <v>0</v>
      </c>
      <c r="P25" s="837">
        <f t="shared" si="10"/>
        <v>0</v>
      </c>
      <c r="Q25" s="825"/>
      <c r="R25" s="825"/>
      <c r="S25" s="825"/>
      <c r="T25" s="825"/>
      <c r="U25" s="825"/>
      <c r="V25" s="825"/>
      <c r="W25" s="825"/>
      <c r="X25" s="825"/>
      <c r="Y25" s="825"/>
      <c r="Z25" s="825"/>
    </row>
    <row r="26" spans="1:26" ht="18.75" hidden="1">
      <c r="A26" s="838"/>
      <c r="B26" s="839"/>
      <c r="C26" s="839"/>
      <c r="D26" s="839"/>
      <c r="E26" s="840" t="s">
        <v>19</v>
      </c>
      <c r="F26" s="839"/>
      <c r="G26" s="841"/>
      <c r="H26" s="50" t="s">
        <v>12</v>
      </c>
      <c r="I26" s="842"/>
      <c r="J26" s="842"/>
      <c r="K26" s="843"/>
      <c r="L26" s="843">
        <f t="shared" ca="1" si="15"/>
        <v>436600</v>
      </c>
      <c r="M26" s="843">
        <f t="shared" ca="1" si="15"/>
        <v>434800</v>
      </c>
      <c r="N26" s="843">
        <f t="shared" ca="1" si="15"/>
        <v>434800</v>
      </c>
      <c r="O26" s="843">
        <f t="shared" ca="1" si="9"/>
        <v>99.587723316536881</v>
      </c>
      <c r="P26" s="843">
        <f t="shared" ca="1" si="10"/>
        <v>100</v>
      </c>
      <c r="Q26" s="825"/>
      <c r="R26" s="825"/>
      <c r="S26" s="825"/>
      <c r="T26" s="825"/>
      <c r="U26" s="825"/>
      <c r="V26" s="825"/>
      <c r="W26" s="825"/>
      <c r="X26" s="825"/>
      <c r="Y26" s="825"/>
      <c r="Z26" s="825"/>
    </row>
    <row r="27" spans="1:26" ht="19.5">
      <c r="A27" s="1512" t="s">
        <v>23</v>
      </c>
      <c r="B27" s="1494"/>
      <c r="C27" s="1494"/>
      <c r="D27" s="1494"/>
      <c r="E27" s="1494"/>
      <c r="F27" s="1494"/>
      <c r="G27" s="1495"/>
      <c r="H27" s="807"/>
      <c r="I27" s="808"/>
      <c r="J27" s="808"/>
      <c r="K27" s="809"/>
      <c r="L27" s="809"/>
      <c r="M27" s="809"/>
      <c r="N27" s="809"/>
      <c r="O27" s="809"/>
      <c r="P27" s="809"/>
    </row>
    <row r="28" spans="1:26" ht="19.5">
      <c r="A28" s="810"/>
      <c r="B28" s="811"/>
      <c r="C28" s="812" t="s">
        <v>16</v>
      </c>
      <c r="D28" s="813" t="s">
        <v>17</v>
      </c>
      <c r="E28" s="811"/>
      <c r="F28" s="811"/>
      <c r="G28" s="814"/>
      <c r="H28" s="19" t="s">
        <v>12</v>
      </c>
      <c r="I28" s="815"/>
      <c r="J28" s="815"/>
      <c r="K28" s="816"/>
      <c r="L28" s="817">
        <f t="shared" ref="L28:N28" ca="1" si="16">L29+L30</f>
        <v>2266697</v>
      </c>
      <c r="M28" s="817">
        <f t="shared" si="16"/>
        <v>0</v>
      </c>
      <c r="N28" s="817">
        <f t="shared" si="16"/>
        <v>419947.47</v>
      </c>
      <c r="O28" s="817">
        <f t="shared" ref="O28:O37" ca="1" si="17">IF(L28&gt;0,N28*100/L28,0)</f>
        <v>18.526846331909383</v>
      </c>
      <c r="P28" s="817">
        <f t="shared" ref="P28:P37" si="18">IF(M28&gt;0,N28*100/M28,0)</f>
        <v>0</v>
      </c>
      <c r="Q28" s="818"/>
      <c r="R28" s="818"/>
      <c r="S28" s="818"/>
      <c r="T28" s="818"/>
      <c r="U28" s="818"/>
      <c r="V28" s="818"/>
      <c r="W28" s="818"/>
      <c r="X28" s="818"/>
      <c r="Y28" s="818"/>
      <c r="Z28" s="818"/>
    </row>
    <row r="29" spans="1:26" ht="18.75" hidden="1">
      <c r="A29" s="819"/>
      <c r="B29" s="820"/>
      <c r="C29" s="820"/>
      <c r="D29" s="820"/>
      <c r="E29" s="821" t="s">
        <v>18</v>
      </c>
      <c r="F29" s="820"/>
      <c r="G29" s="822"/>
      <c r="H29" s="28" t="s">
        <v>12</v>
      </c>
      <c r="I29" s="823"/>
      <c r="J29" s="823"/>
      <c r="K29" s="824"/>
      <c r="L29" s="824">
        <f t="shared" ref="L29:N30" si="19">L32+L35</f>
        <v>0</v>
      </c>
      <c r="M29" s="824">
        <f t="shared" si="19"/>
        <v>0</v>
      </c>
      <c r="N29" s="824">
        <f t="shared" si="19"/>
        <v>0</v>
      </c>
      <c r="O29" s="824">
        <f t="shared" si="17"/>
        <v>0</v>
      </c>
      <c r="P29" s="824">
        <f t="shared" si="18"/>
        <v>0</v>
      </c>
      <c r="Q29" s="825"/>
      <c r="R29" s="825"/>
      <c r="S29" s="825"/>
      <c r="T29" s="825"/>
      <c r="U29" s="825"/>
      <c r="V29" s="825"/>
      <c r="W29" s="825"/>
      <c r="X29" s="825"/>
      <c r="Y29" s="825"/>
      <c r="Z29" s="825"/>
    </row>
    <row r="30" spans="1:26" ht="18.75" hidden="1">
      <c r="A30" s="819"/>
      <c r="B30" s="820"/>
      <c r="C30" s="820"/>
      <c r="D30" s="820"/>
      <c r="E30" s="821" t="s">
        <v>19</v>
      </c>
      <c r="F30" s="820"/>
      <c r="G30" s="822"/>
      <c r="H30" s="28" t="s">
        <v>12</v>
      </c>
      <c r="I30" s="823"/>
      <c r="J30" s="823"/>
      <c r="K30" s="824"/>
      <c r="L30" s="824">
        <f t="shared" ca="1" si="19"/>
        <v>2266697</v>
      </c>
      <c r="M30" s="824">
        <f t="shared" si="19"/>
        <v>0</v>
      </c>
      <c r="N30" s="824">
        <f t="shared" si="19"/>
        <v>419947.47</v>
      </c>
      <c r="O30" s="824">
        <f t="shared" ca="1" si="17"/>
        <v>18.526846331909383</v>
      </c>
      <c r="P30" s="824">
        <f t="shared" si="18"/>
        <v>0</v>
      </c>
      <c r="Q30" s="825"/>
      <c r="R30" s="825"/>
      <c r="S30" s="825"/>
      <c r="T30" s="825"/>
      <c r="U30" s="825"/>
      <c r="V30" s="825"/>
      <c r="W30" s="825"/>
      <c r="X30" s="825"/>
      <c r="Y30" s="825"/>
      <c r="Z30" s="825"/>
    </row>
    <row r="31" spans="1:26" ht="18.75">
      <c r="A31" s="826"/>
      <c r="B31" s="827"/>
      <c r="C31" s="827"/>
      <c r="D31" s="828" t="s">
        <v>20</v>
      </c>
      <c r="E31" s="827"/>
      <c r="F31" s="827"/>
      <c r="G31" s="829"/>
      <c r="H31" s="590" t="s">
        <v>12</v>
      </c>
      <c r="I31" s="830"/>
      <c r="J31" s="830"/>
      <c r="K31" s="831"/>
      <c r="L31" s="831">
        <f t="shared" ref="L31:N31" ca="1" si="20">L32+L33</f>
        <v>2266697</v>
      </c>
      <c r="M31" s="831">
        <f t="shared" si="20"/>
        <v>0</v>
      </c>
      <c r="N31" s="831">
        <f t="shared" si="20"/>
        <v>419947.47</v>
      </c>
      <c r="O31" s="831">
        <f t="shared" ca="1" si="17"/>
        <v>18.526846331909383</v>
      </c>
      <c r="P31" s="831">
        <f t="shared" si="18"/>
        <v>0</v>
      </c>
      <c r="Q31" s="818"/>
      <c r="R31" s="818"/>
      <c r="S31" s="818"/>
      <c r="T31" s="818"/>
      <c r="U31" s="818"/>
      <c r="V31" s="818"/>
      <c r="W31" s="818"/>
      <c r="X31" s="818"/>
      <c r="Y31" s="818"/>
      <c r="Z31" s="818"/>
    </row>
    <row r="32" spans="1:26" ht="18.75" hidden="1">
      <c r="A32" s="832"/>
      <c r="B32" s="833"/>
      <c r="C32" s="833"/>
      <c r="D32" s="833"/>
      <c r="E32" s="834" t="s">
        <v>18</v>
      </c>
      <c r="F32" s="833"/>
      <c r="G32" s="835"/>
      <c r="H32" s="43" t="s">
        <v>12</v>
      </c>
      <c r="I32" s="836"/>
      <c r="J32" s="836"/>
      <c r="K32" s="837"/>
      <c r="L32" s="837">
        <f t="shared" ref="L32:N33" si="21">L423+L448+L471+L506+L527+L548+L633+L659+L689+L741+L758+L774+L790+L809</f>
        <v>0</v>
      </c>
      <c r="M32" s="837">
        <f t="shared" si="21"/>
        <v>0</v>
      </c>
      <c r="N32" s="837">
        <f t="shared" si="21"/>
        <v>0</v>
      </c>
      <c r="O32" s="837">
        <f t="shared" si="17"/>
        <v>0</v>
      </c>
      <c r="P32" s="837">
        <f t="shared" si="18"/>
        <v>0</v>
      </c>
      <c r="Q32" s="825"/>
      <c r="R32" s="825"/>
      <c r="S32" s="825"/>
      <c r="T32" s="825"/>
      <c r="U32" s="825"/>
      <c r="V32" s="825"/>
      <c r="W32" s="825"/>
      <c r="X32" s="825"/>
      <c r="Y32" s="825"/>
      <c r="Z32" s="825"/>
    </row>
    <row r="33" spans="1:26" ht="18.75" hidden="1">
      <c r="A33" s="832"/>
      <c r="B33" s="833"/>
      <c r="C33" s="833"/>
      <c r="D33" s="833"/>
      <c r="E33" s="834" t="s">
        <v>19</v>
      </c>
      <c r="F33" s="833"/>
      <c r="G33" s="835"/>
      <c r="H33" s="43" t="s">
        <v>12</v>
      </c>
      <c r="I33" s="836"/>
      <c r="J33" s="836"/>
      <c r="K33" s="837"/>
      <c r="L33" s="837">
        <f t="shared" ca="1" si="21"/>
        <v>2266697</v>
      </c>
      <c r="M33" s="837">
        <f t="shared" si="21"/>
        <v>0</v>
      </c>
      <c r="N33" s="837">
        <f t="shared" si="21"/>
        <v>419947.47</v>
      </c>
      <c r="O33" s="837">
        <f t="shared" ca="1" si="17"/>
        <v>18.526846331909383</v>
      </c>
      <c r="P33" s="837">
        <f t="shared" si="18"/>
        <v>0</v>
      </c>
      <c r="Q33" s="825"/>
      <c r="R33" s="825"/>
      <c r="S33" s="825"/>
      <c r="T33" s="825"/>
      <c r="U33" s="825"/>
      <c r="V33" s="825"/>
      <c r="W33" s="825"/>
      <c r="X33" s="825"/>
      <c r="Y33" s="825"/>
      <c r="Z33" s="825"/>
    </row>
    <row r="34" spans="1:26" ht="18.75">
      <c r="A34" s="826"/>
      <c r="B34" s="827"/>
      <c r="C34" s="827"/>
      <c r="D34" s="828" t="s">
        <v>21</v>
      </c>
      <c r="E34" s="827"/>
      <c r="F34" s="827"/>
      <c r="G34" s="829"/>
      <c r="H34" s="590" t="s">
        <v>12</v>
      </c>
      <c r="I34" s="830"/>
      <c r="J34" s="830"/>
      <c r="K34" s="831"/>
      <c r="L34" s="831">
        <f t="shared" ref="L34:N34" ca="1" si="22">L35+L36</f>
        <v>0</v>
      </c>
      <c r="M34" s="831">
        <f t="shared" si="22"/>
        <v>0</v>
      </c>
      <c r="N34" s="831">
        <f t="shared" si="22"/>
        <v>0</v>
      </c>
      <c r="O34" s="831">
        <f t="shared" ca="1" si="17"/>
        <v>0</v>
      </c>
      <c r="P34" s="831">
        <f t="shared" si="18"/>
        <v>0</v>
      </c>
      <c r="Q34" s="818"/>
      <c r="R34" s="818"/>
      <c r="S34" s="818"/>
      <c r="T34" s="818"/>
      <c r="U34" s="818"/>
      <c r="V34" s="818"/>
      <c r="W34" s="818"/>
      <c r="X34" s="818"/>
      <c r="Y34" s="818"/>
      <c r="Z34" s="818"/>
    </row>
    <row r="35" spans="1:26" ht="18.75" hidden="1">
      <c r="A35" s="832"/>
      <c r="B35" s="833"/>
      <c r="C35" s="833"/>
      <c r="D35" s="833"/>
      <c r="E35" s="834" t="s">
        <v>18</v>
      </c>
      <c r="F35" s="833"/>
      <c r="G35" s="835"/>
      <c r="H35" s="43" t="s">
        <v>12</v>
      </c>
      <c r="I35" s="836"/>
      <c r="J35" s="836"/>
      <c r="K35" s="837"/>
      <c r="L35" s="837">
        <f t="shared" ref="L35:N36" si="23">L430+L455+L478+L513+L534+L556+L640+L666+L696+L748+L765+L781+L797+L816</f>
        <v>0</v>
      </c>
      <c r="M35" s="837">
        <f t="shared" si="23"/>
        <v>0</v>
      </c>
      <c r="N35" s="837">
        <f t="shared" si="23"/>
        <v>0</v>
      </c>
      <c r="O35" s="837">
        <f t="shared" si="17"/>
        <v>0</v>
      </c>
      <c r="P35" s="837">
        <f t="shared" si="18"/>
        <v>0</v>
      </c>
      <c r="Q35" s="825"/>
      <c r="R35" s="825"/>
      <c r="S35" s="825"/>
      <c r="T35" s="825"/>
      <c r="U35" s="825"/>
      <c r="V35" s="825"/>
      <c r="W35" s="825"/>
      <c r="X35" s="825"/>
      <c r="Y35" s="825"/>
      <c r="Z35" s="825"/>
    </row>
    <row r="36" spans="1:26" ht="18.75" hidden="1">
      <c r="A36" s="838"/>
      <c r="B36" s="839"/>
      <c r="C36" s="839"/>
      <c r="D36" s="839"/>
      <c r="E36" s="840" t="s">
        <v>19</v>
      </c>
      <c r="F36" s="839"/>
      <c r="G36" s="841"/>
      <c r="H36" s="50" t="s">
        <v>12</v>
      </c>
      <c r="I36" s="842"/>
      <c r="J36" s="842"/>
      <c r="K36" s="843"/>
      <c r="L36" s="843">
        <f t="shared" ca="1" si="23"/>
        <v>0</v>
      </c>
      <c r="M36" s="843">
        <f t="shared" si="23"/>
        <v>0</v>
      </c>
      <c r="N36" s="843">
        <f t="shared" si="23"/>
        <v>0</v>
      </c>
      <c r="O36" s="843">
        <f t="shared" ca="1" si="17"/>
        <v>0</v>
      </c>
      <c r="P36" s="843">
        <f t="shared" si="18"/>
        <v>0</v>
      </c>
      <c r="Q36" s="825"/>
      <c r="R36" s="825"/>
      <c r="S36" s="825"/>
      <c r="T36" s="825"/>
      <c r="U36" s="825"/>
      <c r="V36" s="825"/>
      <c r="W36" s="825"/>
      <c r="X36" s="825"/>
      <c r="Y36" s="825"/>
      <c r="Z36" s="825"/>
    </row>
    <row r="37" spans="1:26" ht="19.5">
      <c r="A37" s="844" t="s">
        <v>24</v>
      </c>
      <c r="B37" s="845"/>
      <c r="C37" s="845"/>
      <c r="D37" s="845"/>
      <c r="E37" s="845"/>
      <c r="F37" s="845"/>
      <c r="G37" s="846"/>
      <c r="H37" s="847"/>
      <c r="I37" s="848"/>
      <c r="J37" s="848"/>
      <c r="K37" s="849"/>
      <c r="L37" s="850">
        <f t="shared" ref="L37:N37" ca="1" si="24">L41+L53+L66+L88+L119+L132+L149+L165+L181+L261+L277+L298+L315+L328+L345+L389+L402</f>
        <v>3242795</v>
      </c>
      <c r="M37" s="850">
        <f t="shared" ca="1" si="24"/>
        <v>2770645</v>
      </c>
      <c r="N37" s="850">
        <f t="shared" ca="1" si="24"/>
        <v>1684593.6300000001</v>
      </c>
      <c r="O37" s="850">
        <f t="shared" ca="1" si="17"/>
        <v>51.948816684372588</v>
      </c>
      <c r="P37" s="850">
        <f t="shared" ca="1" si="18"/>
        <v>60.801496763389032</v>
      </c>
    </row>
    <row r="38" spans="1:26" ht="19.5">
      <c r="A38" s="851" t="s">
        <v>25</v>
      </c>
      <c r="B38" s="852"/>
      <c r="C38" s="852"/>
      <c r="D38" s="852"/>
      <c r="E38" s="852"/>
      <c r="F38" s="852"/>
      <c r="G38" s="853"/>
      <c r="H38" s="854"/>
      <c r="I38" s="855"/>
      <c r="J38" s="855"/>
      <c r="K38" s="856"/>
      <c r="L38" s="856"/>
      <c r="M38" s="856"/>
      <c r="N38" s="856"/>
      <c r="O38" s="856"/>
      <c r="P38" s="856"/>
    </row>
    <row r="39" spans="1:26" ht="19.5">
      <c r="A39" s="857"/>
      <c r="B39" s="858" t="s">
        <v>26</v>
      </c>
      <c r="C39" s="859"/>
      <c r="D39" s="859"/>
      <c r="E39" s="859"/>
      <c r="F39" s="859"/>
      <c r="G39" s="860"/>
      <c r="H39" s="861"/>
      <c r="I39" s="862"/>
      <c r="J39" s="862"/>
      <c r="K39" s="863"/>
      <c r="L39" s="863"/>
      <c r="M39" s="863"/>
      <c r="N39" s="863"/>
      <c r="O39" s="863"/>
      <c r="P39" s="863"/>
    </row>
    <row r="40" spans="1:26" ht="19.5">
      <c r="A40" s="864"/>
      <c r="B40" s="1513" t="s">
        <v>27</v>
      </c>
      <c r="C40" s="1485"/>
      <c r="D40" s="1485"/>
      <c r="E40" s="1485"/>
      <c r="F40" s="1485"/>
      <c r="G40" s="1491"/>
      <c r="H40" s="865"/>
      <c r="I40" s="866"/>
      <c r="J40" s="866"/>
      <c r="K40" s="867"/>
      <c r="L40" s="867"/>
      <c r="M40" s="867"/>
      <c r="N40" s="867"/>
      <c r="O40" s="867"/>
      <c r="P40" s="867"/>
    </row>
    <row r="41" spans="1:26" ht="19.5">
      <c r="A41" s="868"/>
      <c r="B41" s="869"/>
      <c r="C41" s="870" t="s">
        <v>16</v>
      </c>
      <c r="D41" s="871" t="s">
        <v>17</v>
      </c>
      <c r="E41" s="869"/>
      <c r="F41" s="869"/>
      <c r="G41" s="872"/>
      <c r="H41" s="82" t="s">
        <v>12</v>
      </c>
      <c r="I41" s="873"/>
      <c r="J41" s="873"/>
      <c r="K41" s="874"/>
      <c r="L41" s="875">
        <f t="shared" ref="L41:N41" ca="1" si="25">L42+L43</f>
        <v>637200</v>
      </c>
      <c r="M41" s="875">
        <f t="shared" ca="1" si="25"/>
        <v>637200</v>
      </c>
      <c r="N41" s="875">
        <f t="shared" ca="1" si="25"/>
        <v>265000</v>
      </c>
      <c r="O41" s="875">
        <f t="shared" ref="O41:O49" ca="1" si="26">IF(L41&gt;0,N41*100/L41,0)</f>
        <v>41.588198367859384</v>
      </c>
      <c r="P41" s="875">
        <f t="shared" ref="P41:P49" ca="1" si="27">IF(M41&gt;0,N41*100/M41,0)</f>
        <v>41.588198367859384</v>
      </c>
      <c r="Q41" s="818"/>
      <c r="R41" s="818"/>
      <c r="S41" s="818"/>
      <c r="T41" s="818"/>
      <c r="U41" s="818"/>
      <c r="V41" s="818"/>
      <c r="W41" s="818"/>
      <c r="X41" s="818"/>
      <c r="Y41" s="818"/>
      <c r="Z41" s="818"/>
    </row>
    <row r="42" spans="1:26" ht="18.75" hidden="1">
      <c r="A42" s="876"/>
      <c r="B42" s="877"/>
      <c r="C42" s="877"/>
      <c r="D42" s="877"/>
      <c r="E42" s="878" t="s">
        <v>18</v>
      </c>
      <c r="F42" s="877"/>
      <c r="G42" s="879"/>
      <c r="H42" s="90" t="s">
        <v>12</v>
      </c>
      <c r="I42" s="880"/>
      <c r="J42" s="880"/>
      <c r="K42" s="881"/>
      <c r="L42" s="881">
        <f t="shared" ref="L42:N43" si="28">L45+L48</f>
        <v>0</v>
      </c>
      <c r="M42" s="881">
        <f t="shared" si="28"/>
        <v>0</v>
      </c>
      <c r="N42" s="881">
        <f t="shared" si="28"/>
        <v>0</v>
      </c>
      <c r="O42" s="881">
        <f t="shared" si="26"/>
        <v>0</v>
      </c>
      <c r="P42" s="881">
        <f t="shared" si="27"/>
        <v>0</v>
      </c>
      <c r="Q42" s="825"/>
      <c r="R42" s="825"/>
      <c r="S42" s="825"/>
      <c r="T42" s="825"/>
      <c r="U42" s="825"/>
      <c r="V42" s="825"/>
      <c r="W42" s="825"/>
      <c r="X42" s="825"/>
      <c r="Y42" s="825"/>
      <c r="Z42" s="825"/>
    </row>
    <row r="43" spans="1:26" ht="18.75" hidden="1">
      <c r="A43" s="876"/>
      <c r="B43" s="877"/>
      <c r="C43" s="877"/>
      <c r="D43" s="877"/>
      <c r="E43" s="878" t="s">
        <v>19</v>
      </c>
      <c r="F43" s="877"/>
      <c r="G43" s="879"/>
      <c r="H43" s="90" t="s">
        <v>12</v>
      </c>
      <c r="I43" s="880"/>
      <c r="J43" s="880"/>
      <c r="K43" s="881"/>
      <c r="L43" s="881">
        <f t="shared" ca="1" si="28"/>
        <v>637200</v>
      </c>
      <c r="M43" s="881">
        <f t="shared" ca="1" si="28"/>
        <v>637200</v>
      </c>
      <c r="N43" s="881">
        <f t="shared" ca="1" si="28"/>
        <v>265000</v>
      </c>
      <c r="O43" s="881">
        <f t="shared" ca="1" si="26"/>
        <v>41.588198367859384</v>
      </c>
      <c r="P43" s="881">
        <f t="shared" ca="1" si="27"/>
        <v>41.588198367859384</v>
      </c>
      <c r="Q43" s="825"/>
      <c r="R43" s="825"/>
      <c r="S43" s="825"/>
      <c r="T43" s="825"/>
      <c r="U43" s="825"/>
      <c r="V43" s="825"/>
      <c r="W43" s="825"/>
      <c r="X43" s="825"/>
      <c r="Y43" s="825"/>
      <c r="Z43" s="825"/>
    </row>
    <row r="44" spans="1:26" ht="18.75">
      <c r="A44" s="826"/>
      <c r="B44" s="827"/>
      <c r="C44" s="827"/>
      <c r="D44" s="828" t="s">
        <v>20</v>
      </c>
      <c r="E44" s="827"/>
      <c r="F44" s="827"/>
      <c r="G44" s="829"/>
      <c r="H44" s="590" t="s">
        <v>12</v>
      </c>
      <c r="I44" s="830"/>
      <c r="J44" s="830"/>
      <c r="K44" s="831"/>
      <c r="L44" s="831">
        <f t="shared" ref="L44:N44" ca="1" si="29">L45+L46</f>
        <v>637200</v>
      </c>
      <c r="M44" s="831">
        <f t="shared" ca="1" si="29"/>
        <v>637200</v>
      </c>
      <c r="N44" s="831">
        <f t="shared" ca="1" si="29"/>
        <v>265000</v>
      </c>
      <c r="O44" s="831">
        <f t="shared" ca="1" si="26"/>
        <v>41.588198367859384</v>
      </c>
      <c r="P44" s="831">
        <f t="shared" ca="1" si="27"/>
        <v>41.588198367859384</v>
      </c>
      <c r="Q44" s="818"/>
      <c r="R44" s="818"/>
      <c r="S44" s="818"/>
      <c r="T44" s="818"/>
      <c r="U44" s="818"/>
      <c r="V44" s="818"/>
      <c r="W44" s="818"/>
      <c r="X44" s="818"/>
      <c r="Y44" s="818"/>
      <c r="Z44" s="818"/>
    </row>
    <row r="45" spans="1:26" ht="18.75" hidden="1">
      <c r="A45" s="832"/>
      <c r="B45" s="833"/>
      <c r="C45" s="833"/>
      <c r="D45" s="833"/>
      <c r="E45" s="834" t="s">
        <v>18</v>
      </c>
      <c r="F45" s="833"/>
      <c r="G45" s="835"/>
      <c r="H45" s="43" t="s">
        <v>12</v>
      </c>
      <c r="I45" s="836"/>
      <c r="J45" s="836"/>
      <c r="K45" s="837"/>
      <c r="L45" s="837">
        <v>0</v>
      </c>
      <c r="M45" s="837">
        <v>0</v>
      </c>
      <c r="N45" s="837">
        <v>0</v>
      </c>
      <c r="O45" s="837">
        <f t="shared" si="26"/>
        <v>0</v>
      </c>
      <c r="P45" s="837">
        <f t="shared" si="27"/>
        <v>0</v>
      </c>
      <c r="Q45" s="825"/>
      <c r="R45" s="825"/>
      <c r="S45" s="825"/>
      <c r="T45" s="825"/>
      <c r="U45" s="825"/>
      <c r="V45" s="825"/>
      <c r="W45" s="825"/>
      <c r="X45" s="825"/>
      <c r="Y45" s="825"/>
      <c r="Z45" s="825"/>
    </row>
    <row r="46" spans="1:26" ht="18.75" hidden="1">
      <c r="A46" s="832"/>
      <c r="B46" s="833"/>
      <c r="C46" s="833"/>
      <c r="D46" s="833"/>
      <c r="E46" s="834" t="s">
        <v>19</v>
      </c>
      <c r="F46" s="833"/>
      <c r="G46" s="835"/>
      <c r="H46" s="43" t="s">
        <v>12</v>
      </c>
      <c r="I46" s="836"/>
      <c r="J46" s="836"/>
      <c r="K46" s="837"/>
      <c r="L46" s="837">
        <f ca="1">IFERROR(__xludf.DUMMYFUNCTION("IMPORTRANGE(""https://docs.google.com/spreadsheets/d/1MeEWN-I1oV_STSDYn1IFDPWt_1FKiwhDph83XaGc0o0/edit?usp=sharing"",""งบพรบ!M24"")"),637200)</f>
        <v>637200</v>
      </c>
      <c r="M46" s="837">
        <f ca="1">IFERROR(__xludf.DUMMYFUNCTION("IMPORTRANGE(""https://docs.google.com/spreadsheets/d/1MeEWN-I1oV_STSDYn1IFDPWt_1FKiwhDph83XaGc0o0/edit?usp=sharing"",""งบพรบ!R24"")"),637200)</f>
        <v>637200</v>
      </c>
      <c r="N46" s="837">
        <f ca="1">IFERROR(__xludf.DUMMYFUNCTION("IMPORTRANGE(""https://docs.google.com/spreadsheets/d/1MeEWN-I1oV_STSDYn1IFDPWt_1FKiwhDph83XaGc0o0/edit?usp=sharing"",""งบพรบ!T24"")"),265000)</f>
        <v>265000</v>
      </c>
      <c r="O46" s="837">
        <f t="shared" ca="1" si="26"/>
        <v>41.588198367859384</v>
      </c>
      <c r="P46" s="837">
        <f t="shared" ca="1" si="27"/>
        <v>41.588198367859384</v>
      </c>
      <c r="Q46" s="825"/>
      <c r="R46" s="825"/>
      <c r="S46" s="825"/>
      <c r="T46" s="825"/>
      <c r="U46" s="825"/>
      <c r="V46" s="825"/>
      <c r="W46" s="825"/>
      <c r="X46" s="825"/>
      <c r="Y46" s="825"/>
      <c r="Z46" s="825"/>
    </row>
    <row r="47" spans="1:26" ht="18.75">
      <c r="A47" s="826"/>
      <c r="B47" s="827"/>
      <c r="C47" s="827"/>
      <c r="D47" s="828" t="s">
        <v>21</v>
      </c>
      <c r="E47" s="827"/>
      <c r="F47" s="827"/>
      <c r="G47" s="829"/>
      <c r="H47" s="590" t="s">
        <v>12</v>
      </c>
      <c r="I47" s="830"/>
      <c r="J47" s="830"/>
      <c r="K47" s="831"/>
      <c r="L47" s="831">
        <f t="shared" ref="L47:N47" ca="1" si="30">L48+L49</f>
        <v>0</v>
      </c>
      <c r="M47" s="831">
        <f t="shared" ca="1" si="30"/>
        <v>0</v>
      </c>
      <c r="N47" s="831">
        <f t="shared" ca="1" si="30"/>
        <v>0</v>
      </c>
      <c r="O47" s="831">
        <f t="shared" ca="1" si="26"/>
        <v>0</v>
      </c>
      <c r="P47" s="831">
        <f t="shared" ca="1" si="27"/>
        <v>0</v>
      </c>
      <c r="Q47" s="818"/>
      <c r="R47" s="818"/>
      <c r="S47" s="818"/>
      <c r="T47" s="818"/>
      <c r="U47" s="818"/>
      <c r="V47" s="818"/>
      <c r="W47" s="818"/>
      <c r="X47" s="818"/>
      <c r="Y47" s="818"/>
      <c r="Z47" s="818"/>
    </row>
    <row r="48" spans="1:26" ht="18.75" hidden="1">
      <c r="A48" s="832"/>
      <c r="B48" s="833"/>
      <c r="C48" s="833"/>
      <c r="D48" s="833"/>
      <c r="E48" s="834" t="s">
        <v>18</v>
      </c>
      <c r="F48" s="833"/>
      <c r="G48" s="835"/>
      <c r="H48" s="43" t="s">
        <v>12</v>
      </c>
      <c r="I48" s="836"/>
      <c r="J48" s="836"/>
      <c r="K48" s="837"/>
      <c r="L48" s="837">
        <v>0</v>
      </c>
      <c r="M48" s="837">
        <v>0</v>
      </c>
      <c r="N48" s="837">
        <v>0</v>
      </c>
      <c r="O48" s="837">
        <f t="shared" si="26"/>
        <v>0</v>
      </c>
      <c r="P48" s="837">
        <f t="shared" si="27"/>
        <v>0</v>
      </c>
      <c r="Q48" s="825"/>
      <c r="R48" s="825"/>
      <c r="S48" s="825"/>
      <c r="T48" s="825"/>
      <c r="U48" s="825"/>
      <c r="V48" s="825"/>
      <c r="W48" s="825"/>
      <c r="X48" s="825"/>
      <c r="Y48" s="825"/>
      <c r="Z48" s="825"/>
    </row>
    <row r="49" spans="1:26" ht="18.75" hidden="1">
      <c r="A49" s="838"/>
      <c r="B49" s="839"/>
      <c r="C49" s="839"/>
      <c r="D49" s="839"/>
      <c r="E49" s="840" t="s">
        <v>19</v>
      </c>
      <c r="F49" s="839"/>
      <c r="G49" s="841"/>
      <c r="H49" s="50" t="s">
        <v>12</v>
      </c>
      <c r="I49" s="842"/>
      <c r="J49" s="842"/>
      <c r="K49" s="843"/>
      <c r="L49" s="843">
        <f ca="1">IFERROR(__xludf.DUMMYFUNCTION("IMPORTRANGE(""https://docs.google.com/spreadsheets/d/1MeEWN-I1oV_STSDYn1IFDPWt_1FKiwhDph83XaGc0o0/edit?usp=sharing"",""งบพรบ!P24"")"),0)</f>
        <v>0</v>
      </c>
      <c r="M49" s="843">
        <f ca="1">IFERROR(__xludf.DUMMYFUNCTION("IMPORTRANGE(""https://docs.google.com/spreadsheets/d/1MeEWN-I1oV_STSDYn1IFDPWt_1FKiwhDph83XaGc0o0/edit?usp=sharing"",""งบพรบ!S24"")"),0)</f>
        <v>0</v>
      </c>
      <c r="N49" s="843">
        <f ca="1">IFERROR(__xludf.DUMMYFUNCTION("IMPORTRANGE(""https://docs.google.com/spreadsheets/d/1MeEWN-I1oV_STSDYn1IFDPWt_1FKiwhDph83XaGc0o0/edit?usp=sharing"",""งบพรบ!U24"")"),0)</f>
        <v>0</v>
      </c>
      <c r="O49" s="843">
        <f t="shared" ca="1" si="26"/>
        <v>0</v>
      </c>
      <c r="P49" s="843">
        <f t="shared" ca="1" si="27"/>
        <v>0</v>
      </c>
      <c r="Q49" s="825"/>
      <c r="R49" s="825"/>
      <c r="S49" s="825"/>
      <c r="T49" s="825"/>
      <c r="U49" s="825"/>
      <c r="V49" s="825"/>
      <c r="W49" s="825"/>
      <c r="X49" s="825"/>
      <c r="Y49" s="825"/>
      <c r="Z49" s="825"/>
    </row>
    <row r="50" spans="1:26" ht="19.5">
      <c r="A50" s="1514" t="s">
        <v>28</v>
      </c>
      <c r="B50" s="1494"/>
      <c r="C50" s="1494"/>
      <c r="D50" s="1494"/>
      <c r="E50" s="1494"/>
      <c r="F50" s="1494"/>
      <c r="G50" s="1495"/>
      <c r="H50" s="882"/>
      <c r="I50" s="883"/>
      <c r="J50" s="883"/>
      <c r="K50" s="884"/>
      <c r="L50" s="884"/>
      <c r="M50" s="884"/>
      <c r="N50" s="884"/>
      <c r="O50" s="884"/>
      <c r="P50" s="884"/>
    </row>
    <row r="51" spans="1:26" ht="19.5">
      <c r="A51" s="885"/>
      <c r="B51" s="1515" t="s">
        <v>29</v>
      </c>
      <c r="C51" s="1485"/>
      <c r="D51" s="1485"/>
      <c r="E51" s="1485"/>
      <c r="F51" s="1485"/>
      <c r="G51" s="1491"/>
      <c r="H51" s="886"/>
      <c r="I51" s="887"/>
      <c r="J51" s="887"/>
      <c r="K51" s="888"/>
      <c r="L51" s="888"/>
      <c r="M51" s="888"/>
      <c r="N51" s="888"/>
      <c r="O51" s="888"/>
      <c r="P51" s="888"/>
    </row>
    <row r="52" spans="1:26" ht="19.5">
      <c r="A52" s="889"/>
      <c r="B52" s="890" t="s">
        <v>30</v>
      </c>
      <c r="C52" s="891"/>
      <c r="D52" s="891"/>
      <c r="E52" s="891"/>
      <c r="F52" s="891"/>
      <c r="G52" s="892"/>
      <c r="H52" s="893"/>
      <c r="I52" s="894"/>
      <c r="J52" s="894"/>
      <c r="K52" s="895"/>
      <c r="L52" s="895"/>
      <c r="M52" s="895"/>
      <c r="N52" s="895"/>
      <c r="O52" s="895"/>
      <c r="P52" s="895"/>
    </row>
    <row r="53" spans="1:26" ht="19.5">
      <c r="A53" s="896"/>
      <c r="B53" s="897"/>
      <c r="C53" s="898" t="s">
        <v>16</v>
      </c>
      <c r="D53" s="899" t="s">
        <v>17</v>
      </c>
      <c r="E53" s="897"/>
      <c r="F53" s="897"/>
      <c r="G53" s="900"/>
      <c r="H53" s="113" t="s">
        <v>12</v>
      </c>
      <c r="I53" s="901"/>
      <c r="J53" s="901"/>
      <c r="K53" s="902"/>
      <c r="L53" s="903">
        <f t="shared" ref="L53:N53" ca="1" si="31">L54+L55</f>
        <v>672700</v>
      </c>
      <c r="M53" s="903">
        <f t="shared" ca="1" si="31"/>
        <v>519225</v>
      </c>
      <c r="N53" s="903">
        <f t="shared" ca="1" si="31"/>
        <v>373545.35</v>
      </c>
      <c r="O53" s="903">
        <f t="shared" ref="O53:O61" ca="1" si="32">IF(L53&gt;0,N53*100/L53,0)</f>
        <v>55.529262672811058</v>
      </c>
      <c r="P53" s="903">
        <f t="shared" ref="P53:P61" ca="1" si="33">IF(M53&gt;0,N53*100/M53,0)</f>
        <v>71.942866772593774</v>
      </c>
      <c r="Q53" s="818"/>
      <c r="R53" s="818"/>
      <c r="S53" s="818"/>
      <c r="T53" s="818"/>
      <c r="U53" s="818"/>
      <c r="V53" s="818"/>
      <c r="W53" s="818"/>
      <c r="X53" s="818"/>
      <c r="Y53" s="818"/>
      <c r="Z53" s="818"/>
    </row>
    <row r="54" spans="1:26" ht="18.75" hidden="1">
      <c r="A54" s="904"/>
      <c r="B54" s="905"/>
      <c r="C54" s="905"/>
      <c r="D54" s="905"/>
      <c r="E54" s="906" t="s">
        <v>18</v>
      </c>
      <c r="F54" s="905"/>
      <c r="G54" s="907"/>
      <c r="H54" s="121" t="s">
        <v>12</v>
      </c>
      <c r="I54" s="908"/>
      <c r="J54" s="908"/>
      <c r="K54" s="909"/>
      <c r="L54" s="909">
        <f t="shared" ref="L54:N55" si="34">L57+L60</f>
        <v>0</v>
      </c>
      <c r="M54" s="909">
        <f t="shared" si="34"/>
        <v>0</v>
      </c>
      <c r="N54" s="909">
        <f t="shared" si="34"/>
        <v>0</v>
      </c>
      <c r="O54" s="909">
        <f t="shared" si="32"/>
        <v>0</v>
      </c>
      <c r="P54" s="909">
        <f t="shared" si="33"/>
        <v>0</v>
      </c>
      <c r="Q54" s="825"/>
      <c r="R54" s="825"/>
      <c r="S54" s="825"/>
      <c r="T54" s="825"/>
      <c r="U54" s="825"/>
      <c r="V54" s="825"/>
      <c r="W54" s="825"/>
      <c r="X54" s="825"/>
      <c r="Y54" s="825"/>
      <c r="Z54" s="825"/>
    </row>
    <row r="55" spans="1:26" ht="18.75" hidden="1">
      <c r="A55" s="904"/>
      <c r="B55" s="905"/>
      <c r="C55" s="905"/>
      <c r="D55" s="905"/>
      <c r="E55" s="906" t="s">
        <v>19</v>
      </c>
      <c r="F55" s="905"/>
      <c r="G55" s="907"/>
      <c r="H55" s="121" t="s">
        <v>12</v>
      </c>
      <c r="I55" s="908"/>
      <c r="J55" s="908"/>
      <c r="K55" s="909"/>
      <c r="L55" s="909">
        <f t="shared" ca="1" si="34"/>
        <v>672700</v>
      </c>
      <c r="M55" s="909">
        <f t="shared" ca="1" si="34"/>
        <v>519225</v>
      </c>
      <c r="N55" s="909">
        <f t="shared" ca="1" si="34"/>
        <v>373545.35</v>
      </c>
      <c r="O55" s="909">
        <f t="shared" ca="1" si="32"/>
        <v>55.529262672811058</v>
      </c>
      <c r="P55" s="909">
        <f t="shared" ca="1" si="33"/>
        <v>71.942866772593774</v>
      </c>
      <c r="Q55" s="825"/>
      <c r="R55" s="825"/>
      <c r="S55" s="825"/>
      <c r="T55" s="825"/>
      <c r="U55" s="825"/>
      <c r="V55" s="825"/>
      <c r="W55" s="825"/>
      <c r="X55" s="825"/>
      <c r="Y55" s="825"/>
      <c r="Z55" s="825"/>
    </row>
    <row r="56" spans="1:26" ht="18.75">
      <c r="A56" s="826"/>
      <c r="B56" s="827"/>
      <c r="C56" s="827"/>
      <c r="D56" s="828" t="s">
        <v>20</v>
      </c>
      <c r="E56" s="827"/>
      <c r="F56" s="827"/>
      <c r="G56" s="829"/>
      <c r="H56" s="590" t="s">
        <v>12</v>
      </c>
      <c r="I56" s="830"/>
      <c r="J56" s="830"/>
      <c r="K56" s="831"/>
      <c r="L56" s="831">
        <f t="shared" ref="L56:N56" ca="1" si="35">L57+L58</f>
        <v>613900</v>
      </c>
      <c r="M56" s="831">
        <f t="shared" ca="1" si="35"/>
        <v>460425</v>
      </c>
      <c r="N56" s="831">
        <f t="shared" ca="1" si="35"/>
        <v>314745.34999999998</v>
      </c>
      <c r="O56" s="831">
        <f t="shared" ca="1" si="32"/>
        <v>51.269807786284403</v>
      </c>
      <c r="P56" s="831">
        <f t="shared" ca="1" si="33"/>
        <v>68.35974371504588</v>
      </c>
      <c r="Q56" s="818"/>
      <c r="R56" s="818"/>
      <c r="S56" s="818"/>
      <c r="T56" s="818"/>
      <c r="U56" s="818"/>
      <c r="V56" s="818"/>
      <c r="W56" s="818"/>
      <c r="X56" s="818"/>
      <c r="Y56" s="818"/>
      <c r="Z56" s="818"/>
    </row>
    <row r="57" spans="1:26" ht="18.75" hidden="1">
      <c r="A57" s="832"/>
      <c r="B57" s="833"/>
      <c r="C57" s="833"/>
      <c r="D57" s="833"/>
      <c r="E57" s="834" t="s">
        <v>18</v>
      </c>
      <c r="F57" s="833"/>
      <c r="G57" s="835"/>
      <c r="H57" s="43" t="s">
        <v>12</v>
      </c>
      <c r="I57" s="836"/>
      <c r="J57" s="836"/>
      <c r="K57" s="837"/>
      <c r="L57" s="837">
        <v>0</v>
      </c>
      <c r="M57" s="837">
        <v>0</v>
      </c>
      <c r="N57" s="837">
        <v>0</v>
      </c>
      <c r="O57" s="837">
        <f t="shared" si="32"/>
        <v>0</v>
      </c>
      <c r="P57" s="837">
        <f t="shared" si="33"/>
        <v>0</v>
      </c>
      <c r="Q57" s="825"/>
      <c r="R57" s="825"/>
      <c r="S57" s="825"/>
      <c r="T57" s="825"/>
      <c r="U57" s="825"/>
      <c r="V57" s="825"/>
      <c r="W57" s="825"/>
      <c r="X57" s="825"/>
      <c r="Y57" s="825"/>
      <c r="Z57" s="825"/>
    </row>
    <row r="58" spans="1:26" ht="18.75" hidden="1">
      <c r="A58" s="832"/>
      <c r="B58" s="833"/>
      <c r="C58" s="833"/>
      <c r="D58" s="833"/>
      <c r="E58" s="834" t="s">
        <v>19</v>
      </c>
      <c r="F58" s="833"/>
      <c r="G58" s="835"/>
      <c r="H58" s="43" t="s">
        <v>12</v>
      </c>
      <c r="I58" s="836"/>
      <c r="J58" s="836"/>
      <c r="K58" s="837"/>
      <c r="L58" s="837">
        <f ca="1">IFERROR(__xludf.DUMMYFUNCTION("IMPORTRANGE(""https://docs.google.com/spreadsheets/d/1MeEWN-I1oV_STSDYn1IFDPWt_1FKiwhDph83XaGc0o0/edit?usp=sharing"",""งบพรบ!W24"")"),613900)</f>
        <v>613900</v>
      </c>
      <c r="M58" s="837">
        <f ca="1">IFERROR(__xludf.DUMMYFUNCTION("IMPORTRANGE(""https://docs.google.com/spreadsheets/d/1MeEWN-I1oV_STSDYn1IFDPWt_1FKiwhDph83XaGc0o0/edit?usp=sharing"",""งบพรบ!AB24"")"),460425)</f>
        <v>460425</v>
      </c>
      <c r="N58" s="837">
        <f ca="1">IFERROR(__xludf.DUMMYFUNCTION("IMPORTRANGE(""https://docs.google.com/spreadsheets/d/1MeEWN-I1oV_STSDYn1IFDPWt_1FKiwhDph83XaGc0o0/edit?usp=sharing"",""งบพรบ!AD24"")"),314745.35)</f>
        <v>314745.34999999998</v>
      </c>
      <c r="O58" s="837">
        <f t="shared" ca="1" si="32"/>
        <v>51.269807786284403</v>
      </c>
      <c r="P58" s="837">
        <f t="shared" ca="1" si="33"/>
        <v>68.35974371504588</v>
      </c>
      <c r="Q58" s="825"/>
      <c r="R58" s="825"/>
      <c r="S58" s="825"/>
      <c r="T58" s="825"/>
      <c r="U58" s="825"/>
      <c r="V58" s="825"/>
      <c r="W58" s="825"/>
      <c r="X58" s="825"/>
      <c r="Y58" s="825"/>
      <c r="Z58" s="825"/>
    </row>
    <row r="59" spans="1:26" ht="18.75">
      <c r="A59" s="826"/>
      <c r="B59" s="827"/>
      <c r="C59" s="827"/>
      <c r="D59" s="828" t="s">
        <v>21</v>
      </c>
      <c r="E59" s="827"/>
      <c r="F59" s="827"/>
      <c r="G59" s="829"/>
      <c r="H59" s="590" t="s">
        <v>12</v>
      </c>
      <c r="I59" s="830"/>
      <c r="J59" s="830"/>
      <c r="K59" s="831"/>
      <c r="L59" s="831">
        <f t="shared" ref="L59:N59" ca="1" si="36">L60+L61</f>
        <v>58800</v>
      </c>
      <c r="M59" s="831">
        <f t="shared" ca="1" si="36"/>
        <v>58800</v>
      </c>
      <c r="N59" s="831">
        <f t="shared" ca="1" si="36"/>
        <v>58800</v>
      </c>
      <c r="O59" s="831">
        <f t="shared" ca="1" si="32"/>
        <v>100</v>
      </c>
      <c r="P59" s="831">
        <f t="shared" ca="1" si="33"/>
        <v>100</v>
      </c>
      <c r="Q59" s="818"/>
      <c r="R59" s="818"/>
      <c r="S59" s="818"/>
      <c r="T59" s="818"/>
      <c r="U59" s="818"/>
      <c r="V59" s="818"/>
      <c r="W59" s="818"/>
      <c r="X59" s="818"/>
      <c r="Y59" s="818"/>
      <c r="Z59" s="818"/>
    </row>
    <row r="60" spans="1:26" ht="18.75" hidden="1">
      <c r="A60" s="832"/>
      <c r="B60" s="833"/>
      <c r="C60" s="833"/>
      <c r="D60" s="833"/>
      <c r="E60" s="834" t="s">
        <v>18</v>
      </c>
      <c r="F60" s="833"/>
      <c r="G60" s="835"/>
      <c r="H60" s="43" t="s">
        <v>12</v>
      </c>
      <c r="I60" s="836"/>
      <c r="J60" s="836"/>
      <c r="K60" s="837"/>
      <c r="L60" s="837">
        <v>0</v>
      </c>
      <c r="M60" s="837">
        <v>0</v>
      </c>
      <c r="N60" s="837">
        <v>0</v>
      </c>
      <c r="O60" s="837">
        <f t="shared" si="32"/>
        <v>0</v>
      </c>
      <c r="P60" s="837">
        <f t="shared" si="33"/>
        <v>0</v>
      </c>
      <c r="Q60" s="825"/>
      <c r="R60" s="825"/>
      <c r="S60" s="825"/>
      <c r="T60" s="825"/>
      <c r="U60" s="825"/>
      <c r="V60" s="825"/>
      <c r="W60" s="825"/>
      <c r="X60" s="825"/>
      <c r="Y60" s="825"/>
      <c r="Z60" s="825"/>
    </row>
    <row r="61" spans="1:26" ht="18.75" hidden="1">
      <c r="A61" s="838"/>
      <c r="B61" s="839"/>
      <c r="C61" s="839"/>
      <c r="D61" s="839"/>
      <c r="E61" s="840" t="s">
        <v>19</v>
      </c>
      <c r="F61" s="839"/>
      <c r="G61" s="841"/>
      <c r="H61" s="50" t="s">
        <v>12</v>
      </c>
      <c r="I61" s="842"/>
      <c r="J61" s="842"/>
      <c r="K61" s="843"/>
      <c r="L61" s="843">
        <f ca="1">IFERROR(__xludf.DUMMYFUNCTION("IMPORTRANGE(""https://docs.google.com/spreadsheets/d/1MeEWN-I1oV_STSDYn1IFDPWt_1FKiwhDph83XaGc0o0/edit?usp=sharing"",""งบพรบ!Z24"")"),58800)</f>
        <v>58800</v>
      </c>
      <c r="M61" s="843">
        <f ca="1">IFERROR(__xludf.DUMMYFUNCTION("IMPORTRANGE(""https://docs.google.com/spreadsheets/d/1MeEWN-I1oV_STSDYn1IFDPWt_1FKiwhDph83XaGc0o0/edit?usp=sharing"",""งบพรบ!AC24"")"),58800)</f>
        <v>58800</v>
      </c>
      <c r="N61" s="843">
        <f ca="1">IFERROR(__xludf.DUMMYFUNCTION("IMPORTRANGE(""https://docs.google.com/spreadsheets/d/1MeEWN-I1oV_STSDYn1IFDPWt_1FKiwhDph83XaGc0o0/edit?usp=sharing"",""งบพรบ!AE24"")"),58800)</f>
        <v>58800</v>
      </c>
      <c r="O61" s="843">
        <f t="shared" ca="1" si="32"/>
        <v>100</v>
      </c>
      <c r="P61" s="843">
        <f t="shared" ca="1" si="33"/>
        <v>100</v>
      </c>
      <c r="Q61" s="825"/>
      <c r="R61" s="825"/>
      <c r="S61" s="825"/>
      <c r="T61" s="825"/>
      <c r="U61" s="825"/>
      <c r="V61" s="825"/>
      <c r="W61" s="825"/>
      <c r="X61" s="825"/>
      <c r="Y61" s="825"/>
      <c r="Z61" s="825"/>
    </row>
    <row r="62" spans="1:26" ht="19.5">
      <c r="A62" s="910" t="s">
        <v>31</v>
      </c>
      <c r="B62" s="911"/>
      <c r="C62" s="911"/>
      <c r="D62" s="911"/>
      <c r="E62" s="912"/>
      <c r="F62" s="912"/>
      <c r="G62" s="913"/>
      <c r="H62" s="914"/>
      <c r="I62" s="915"/>
      <c r="J62" s="915"/>
      <c r="K62" s="916"/>
      <c r="L62" s="916"/>
      <c r="M62" s="916"/>
      <c r="N62" s="916"/>
      <c r="O62" s="916"/>
      <c r="P62" s="916"/>
    </row>
    <row r="63" spans="1:26" ht="19.5" hidden="1">
      <c r="A63" s="917" t="s">
        <v>32</v>
      </c>
      <c r="B63" s="918"/>
      <c r="C63" s="919"/>
      <c r="D63" s="918"/>
      <c r="E63" s="918"/>
      <c r="F63" s="918"/>
      <c r="G63" s="920"/>
      <c r="H63" s="921"/>
      <c r="I63" s="922"/>
      <c r="J63" s="922"/>
      <c r="K63" s="923"/>
      <c r="L63" s="923"/>
      <c r="M63" s="923"/>
      <c r="N63" s="923"/>
      <c r="O63" s="923"/>
      <c r="P63" s="923"/>
    </row>
    <row r="64" spans="1:26" ht="19.5" hidden="1">
      <c r="A64" s="924"/>
      <c r="B64" s="925" t="s">
        <v>33</v>
      </c>
      <c r="C64" s="926"/>
      <c r="D64" s="927"/>
      <c r="E64" s="926"/>
      <c r="F64" s="926"/>
      <c r="G64" s="928"/>
      <c r="H64" s="205" t="s">
        <v>34</v>
      </c>
      <c r="I64" s="929">
        <f t="shared" ref="I64:J65" ca="1" si="37">I76</f>
        <v>0</v>
      </c>
      <c r="J64" s="929">
        <f t="shared" si="37"/>
        <v>0</v>
      </c>
      <c r="K64" s="930">
        <f t="shared" ref="K64:K65" ca="1" si="38">IF(I64&gt;0,J64*100/I64,0)</f>
        <v>0</v>
      </c>
      <c r="L64" s="931"/>
      <c r="M64" s="931"/>
      <c r="N64" s="931"/>
      <c r="O64" s="931"/>
      <c r="P64" s="931"/>
    </row>
    <row r="65" spans="1:26" ht="19.5" hidden="1">
      <c r="A65" s="924"/>
      <c r="B65" s="926"/>
      <c r="C65" s="926"/>
      <c r="D65" s="927"/>
      <c r="E65" s="926"/>
      <c r="F65" s="926"/>
      <c r="G65" s="928"/>
      <c r="H65" s="205" t="s">
        <v>35</v>
      </c>
      <c r="I65" s="929">
        <f t="shared" ca="1" si="37"/>
        <v>0</v>
      </c>
      <c r="J65" s="929">
        <f t="shared" si="37"/>
        <v>0</v>
      </c>
      <c r="K65" s="930">
        <f t="shared" ca="1" si="38"/>
        <v>0</v>
      </c>
      <c r="L65" s="931"/>
      <c r="M65" s="931"/>
      <c r="N65" s="931"/>
      <c r="O65" s="931"/>
      <c r="P65" s="931"/>
    </row>
    <row r="66" spans="1:26" ht="19.5" hidden="1">
      <c r="A66" s="932"/>
      <c r="B66" s="933"/>
      <c r="C66" s="934" t="s">
        <v>16</v>
      </c>
      <c r="D66" s="935" t="s">
        <v>17</v>
      </c>
      <c r="E66" s="933"/>
      <c r="F66" s="933"/>
      <c r="G66" s="936"/>
      <c r="H66" s="152" t="s">
        <v>12</v>
      </c>
      <c r="I66" s="937"/>
      <c r="J66" s="937"/>
      <c r="K66" s="938"/>
      <c r="L66" s="939">
        <f t="shared" ref="L66:N66" ca="1" si="39">L67+L68</f>
        <v>0</v>
      </c>
      <c r="M66" s="939">
        <f t="shared" ca="1" si="39"/>
        <v>0</v>
      </c>
      <c r="N66" s="939">
        <f t="shared" ca="1" si="39"/>
        <v>0</v>
      </c>
      <c r="O66" s="939">
        <f t="shared" ref="O66:O74" ca="1" si="40">IF(L66&gt;0,N66*100/L66,0)</f>
        <v>0</v>
      </c>
      <c r="P66" s="939">
        <f t="shared" ref="P66:P74" ca="1" si="41">IF(M66&gt;0,N66*100/M66,0)</f>
        <v>0</v>
      </c>
      <c r="Q66" s="818"/>
      <c r="R66" s="818"/>
      <c r="S66" s="818"/>
      <c r="T66" s="818"/>
      <c r="U66" s="818"/>
      <c r="V66" s="818"/>
      <c r="W66" s="818"/>
      <c r="X66" s="818"/>
      <c r="Y66" s="818"/>
      <c r="Z66" s="818"/>
    </row>
    <row r="67" spans="1:26" ht="18.75" hidden="1">
      <c r="A67" s="940"/>
      <c r="B67" s="833"/>
      <c r="C67" s="833"/>
      <c r="D67" s="833"/>
      <c r="E67" s="834" t="s">
        <v>18</v>
      </c>
      <c r="F67" s="833"/>
      <c r="G67" s="941"/>
      <c r="H67" s="158" t="s">
        <v>12</v>
      </c>
      <c r="I67" s="836"/>
      <c r="J67" s="836"/>
      <c r="K67" s="837"/>
      <c r="L67" s="837">
        <f t="shared" ref="L67:N68" si="42">L70+L73</f>
        <v>0</v>
      </c>
      <c r="M67" s="837">
        <f t="shared" si="42"/>
        <v>0</v>
      </c>
      <c r="N67" s="837">
        <f t="shared" si="42"/>
        <v>0</v>
      </c>
      <c r="O67" s="837">
        <f t="shared" si="40"/>
        <v>0</v>
      </c>
      <c r="P67" s="837">
        <f t="shared" si="41"/>
        <v>0</v>
      </c>
      <c r="Q67" s="825"/>
      <c r="R67" s="825"/>
      <c r="S67" s="825"/>
      <c r="T67" s="825"/>
      <c r="U67" s="825"/>
      <c r="V67" s="825"/>
      <c r="W67" s="825"/>
      <c r="X67" s="825"/>
      <c r="Y67" s="825"/>
      <c r="Z67" s="825"/>
    </row>
    <row r="68" spans="1:26" ht="18.75" hidden="1">
      <c r="A68" s="940"/>
      <c r="B68" s="833"/>
      <c r="C68" s="833"/>
      <c r="D68" s="833"/>
      <c r="E68" s="834" t="s">
        <v>19</v>
      </c>
      <c r="F68" s="833"/>
      <c r="G68" s="941"/>
      <c r="H68" s="158" t="s">
        <v>12</v>
      </c>
      <c r="I68" s="836"/>
      <c r="J68" s="836"/>
      <c r="K68" s="837"/>
      <c r="L68" s="837">
        <f t="shared" ca="1" si="42"/>
        <v>0</v>
      </c>
      <c r="M68" s="837">
        <f t="shared" ca="1" si="42"/>
        <v>0</v>
      </c>
      <c r="N68" s="837">
        <f t="shared" ca="1" si="42"/>
        <v>0</v>
      </c>
      <c r="O68" s="837">
        <f t="shared" ca="1" si="40"/>
        <v>0</v>
      </c>
      <c r="P68" s="837">
        <f t="shared" ca="1" si="41"/>
        <v>0</v>
      </c>
      <c r="Q68" s="825"/>
      <c r="R68" s="825"/>
      <c r="S68" s="825"/>
      <c r="T68" s="825"/>
      <c r="U68" s="825"/>
      <c r="V68" s="825"/>
      <c r="W68" s="825"/>
      <c r="X68" s="825"/>
      <c r="Y68" s="825"/>
      <c r="Z68" s="825"/>
    </row>
    <row r="69" spans="1:26" ht="18.75" hidden="1">
      <c r="A69" s="942"/>
      <c r="B69" s="827"/>
      <c r="C69" s="943"/>
      <c r="D69" s="828" t="s">
        <v>20</v>
      </c>
      <c r="E69" s="827"/>
      <c r="F69" s="827"/>
      <c r="G69" s="829"/>
      <c r="H69" s="778" t="s">
        <v>12</v>
      </c>
      <c r="I69" s="944"/>
      <c r="J69" s="944"/>
      <c r="K69" s="945"/>
      <c r="L69" s="831">
        <f t="shared" ref="L69:N69" ca="1" si="43">L70+L71</f>
        <v>0</v>
      </c>
      <c r="M69" s="831">
        <f t="shared" ca="1" si="43"/>
        <v>0</v>
      </c>
      <c r="N69" s="831">
        <f t="shared" ca="1" si="43"/>
        <v>0</v>
      </c>
      <c r="O69" s="831">
        <f t="shared" ca="1" si="40"/>
        <v>0</v>
      </c>
      <c r="P69" s="831">
        <f t="shared" ca="1" si="41"/>
        <v>0</v>
      </c>
      <c r="Q69" s="818"/>
      <c r="R69" s="818"/>
      <c r="S69" s="818"/>
      <c r="T69" s="818"/>
      <c r="U69" s="818"/>
      <c r="V69" s="818"/>
      <c r="W69" s="818"/>
      <c r="X69" s="818"/>
      <c r="Y69" s="818"/>
      <c r="Z69" s="818"/>
    </row>
    <row r="70" spans="1:26" ht="19.5" hidden="1">
      <c r="A70" s="940"/>
      <c r="B70" s="833"/>
      <c r="C70" s="946"/>
      <c r="D70" s="833"/>
      <c r="E70" s="834" t="s">
        <v>36</v>
      </c>
      <c r="F70" s="833"/>
      <c r="G70" s="941"/>
      <c r="H70" s="165" t="s">
        <v>12</v>
      </c>
      <c r="I70" s="947"/>
      <c r="J70" s="947"/>
      <c r="K70" s="948"/>
      <c r="L70" s="837">
        <v>0</v>
      </c>
      <c r="M70" s="837">
        <v>0</v>
      </c>
      <c r="N70" s="837">
        <v>0</v>
      </c>
      <c r="O70" s="837">
        <f t="shared" si="40"/>
        <v>0</v>
      </c>
      <c r="P70" s="837">
        <f t="shared" si="41"/>
        <v>0</v>
      </c>
      <c r="Q70" s="825"/>
      <c r="R70" s="825"/>
      <c r="S70" s="825"/>
      <c r="T70" s="825"/>
      <c r="U70" s="825"/>
      <c r="V70" s="825"/>
      <c r="W70" s="825"/>
      <c r="X70" s="825"/>
      <c r="Y70" s="825"/>
      <c r="Z70" s="825"/>
    </row>
    <row r="71" spans="1:26" ht="19.5" hidden="1">
      <c r="A71" s="940"/>
      <c r="B71" s="833"/>
      <c r="C71" s="946"/>
      <c r="D71" s="833"/>
      <c r="E71" s="834" t="s">
        <v>37</v>
      </c>
      <c r="F71" s="833"/>
      <c r="G71" s="941"/>
      <c r="H71" s="165" t="s">
        <v>12</v>
      </c>
      <c r="I71" s="947"/>
      <c r="J71" s="947"/>
      <c r="K71" s="948"/>
      <c r="L71" s="837">
        <f ca="1">IFERROR(__xludf.DUMMYFUNCTION("IMPORTRANGE(""https://docs.google.com/spreadsheets/d/1MeEWN-I1oV_STSDYn1IFDPWt_1FKiwhDph83XaGc0o0/edit?usp=sharing"",""งบพรบ!AG24"")"),0)</f>
        <v>0</v>
      </c>
      <c r="M71" s="837">
        <f ca="1">IFERROR(__xludf.DUMMYFUNCTION("IMPORTRANGE(""https://docs.google.com/spreadsheets/d/1MeEWN-I1oV_STSDYn1IFDPWt_1FKiwhDph83XaGc0o0/edit?usp=sharing"",""งบพรบ!AL24"")"),0)</f>
        <v>0</v>
      </c>
      <c r="N71" s="837">
        <f ca="1">IFERROR(__xludf.DUMMYFUNCTION("IMPORTRANGE(""https://docs.google.com/spreadsheets/d/1MeEWN-I1oV_STSDYn1IFDPWt_1FKiwhDph83XaGc0o0/edit?usp=sharing"",""งบพรบ!AN24"")"),0)</f>
        <v>0</v>
      </c>
      <c r="O71" s="837">
        <f t="shared" ca="1" si="40"/>
        <v>0</v>
      </c>
      <c r="P71" s="837">
        <f t="shared" ca="1" si="41"/>
        <v>0</v>
      </c>
      <c r="Q71" s="825"/>
      <c r="R71" s="825"/>
      <c r="S71" s="825"/>
      <c r="T71" s="825"/>
      <c r="U71" s="825"/>
      <c r="V71" s="825"/>
      <c r="W71" s="825"/>
      <c r="X71" s="825"/>
      <c r="Y71" s="825"/>
      <c r="Z71" s="825"/>
    </row>
    <row r="72" spans="1:26" ht="18.75" hidden="1">
      <c r="A72" s="942"/>
      <c r="B72" s="827"/>
      <c r="C72" s="943"/>
      <c r="D72" s="828" t="s">
        <v>21</v>
      </c>
      <c r="E72" s="827"/>
      <c r="F72" s="827"/>
      <c r="G72" s="829"/>
      <c r="H72" s="168" t="s">
        <v>12</v>
      </c>
      <c r="I72" s="944"/>
      <c r="J72" s="944"/>
      <c r="K72" s="945"/>
      <c r="L72" s="831">
        <f t="shared" ref="L72:N72" ca="1" si="44">L73+L74</f>
        <v>0</v>
      </c>
      <c r="M72" s="831">
        <f t="shared" ca="1" si="44"/>
        <v>0</v>
      </c>
      <c r="N72" s="831">
        <f t="shared" ca="1" si="44"/>
        <v>0</v>
      </c>
      <c r="O72" s="831">
        <f t="shared" ca="1" si="40"/>
        <v>0</v>
      </c>
      <c r="P72" s="831">
        <f t="shared" ca="1" si="41"/>
        <v>0</v>
      </c>
      <c r="Q72" s="818"/>
      <c r="R72" s="818"/>
      <c r="S72" s="818"/>
      <c r="T72" s="818"/>
      <c r="U72" s="818"/>
      <c r="V72" s="818"/>
      <c r="W72" s="818"/>
      <c r="X72" s="818"/>
      <c r="Y72" s="818"/>
      <c r="Z72" s="818"/>
    </row>
    <row r="73" spans="1:26" ht="19.5" hidden="1">
      <c r="A73" s="940"/>
      <c r="B73" s="833"/>
      <c r="C73" s="946"/>
      <c r="D73" s="833"/>
      <c r="E73" s="834" t="s">
        <v>18</v>
      </c>
      <c r="F73" s="833"/>
      <c r="G73" s="941"/>
      <c r="H73" s="165" t="s">
        <v>12</v>
      </c>
      <c r="I73" s="947"/>
      <c r="J73" s="947"/>
      <c r="K73" s="948"/>
      <c r="L73" s="837">
        <v>0</v>
      </c>
      <c r="M73" s="837"/>
      <c r="N73" s="837"/>
      <c r="O73" s="837">
        <f t="shared" si="40"/>
        <v>0</v>
      </c>
      <c r="P73" s="837">
        <f t="shared" si="41"/>
        <v>0</v>
      </c>
      <c r="Q73" s="825"/>
      <c r="R73" s="825"/>
      <c r="S73" s="825"/>
      <c r="T73" s="825"/>
      <c r="U73" s="825"/>
      <c r="V73" s="825"/>
      <c r="W73" s="825"/>
      <c r="X73" s="825"/>
      <c r="Y73" s="825"/>
      <c r="Z73" s="825"/>
    </row>
    <row r="74" spans="1:26" ht="19.5" hidden="1">
      <c r="A74" s="940"/>
      <c r="B74" s="833"/>
      <c r="C74" s="946"/>
      <c r="D74" s="833"/>
      <c r="E74" s="834" t="s">
        <v>19</v>
      </c>
      <c r="F74" s="833"/>
      <c r="G74" s="941"/>
      <c r="H74" s="169" t="s">
        <v>12</v>
      </c>
      <c r="I74" s="947"/>
      <c r="J74" s="947"/>
      <c r="K74" s="948"/>
      <c r="L74" s="837">
        <f ca="1">IFERROR(__xludf.DUMMYFUNCTION("IMPORTRANGE(""https://docs.google.com/spreadsheets/d/1MeEWN-I1oV_STSDYn1IFDPWt_1FKiwhDph83XaGc0o0/edit?usp=sharing"",""งบพรบ!AJ24"")"),0)</f>
        <v>0</v>
      </c>
      <c r="M74" s="837">
        <f ca="1">IFERROR(__xludf.DUMMYFUNCTION("IMPORTRANGE(""https://docs.google.com/spreadsheets/d/1MeEWN-I1oV_STSDYn1IFDPWt_1FKiwhDph83XaGc0o0/edit?usp=sharing"",""งบพรบ!AM24"")"),0)</f>
        <v>0</v>
      </c>
      <c r="N74" s="837">
        <f ca="1">IFERROR(__xludf.DUMMYFUNCTION("IMPORTRANGE(""https://docs.google.com/spreadsheets/d/1MeEWN-I1oV_STSDYn1IFDPWt_1FKiwhDph83XaGc0o0/edit?usp=sharing"",""งบพรบ!AO24"")"),0)</f>
        <v>0</v>
      </c>
      <c r="O74" s="837">
        <f t="shared" ca="1" si="40"/>
        <v>0</v>
      </c>
      <c r="P74" s="837">
        <f t="shared" ca="1" si="41"/>
        <v>0</v>
      </c>
      <c r="Q74" s="825"/>
      <c r="R74" s="825"/>
      <c r="S74" s="825"/>
      <c r="T74" s="825"/>
      <c r="U74" s="825"/>
      <c r="V74" s="825"/>
      <c r="W74" s="825"/>
      <c r="X74" s="825"/>
      <c r="Y74" s="825"/>
      <c r="Z74" s="825"/>
    </row>
    <row r="75" spans="1:26" ht="19.5" hidden="1">
      <c r="A75" s="949"/>
      <c r="B75" s="950"/>
      <c r="C75" s="946" t="s">
        <v>16</v>
      </c>
      <c r="D75" s="951" t="s">
        <v>38</v>
      </c>
      <c r="E75" s="952"/>
      <c r="F75" s="952"/>
      <c r="G75" s="953"/>
      <c r="H75" s="954"/>
      <c r="I75" s="944"/>
      <c r="J75" s="944"/>
      <c r="K75" s="945"/>
      <c r="L75" s="945"/>
      <c r="M75" s="945"/>
      <c r="N75" s="945"/>
      <c r="O75" s="945"/>
      <c r="P75" s="945"/>
    </row>
    <row r="76" spans="1:26" ht="19.5" hidden="1">
      <c r="A76" s="949"/>
      <c r="B76" s="950"/>
      <c r="C76" s="950"/>
      <c r="D76" s="955" t="s">
        <v>39</v>
      </c>
      <c r="E76" s="956"/>
      <c r="F76" s="957"/>
      <c r="G76" s="958"/>
      <c r="H76" s="180" t="s">
        <v>34</v>
      </c>
      <c r="I76" s="830">
        <f t="shared" ref="I76:J77" ca="1" si="45">I78+I80+I82</f>
        <v>0</v>
      </c>
      <c r="J76" s="830">
        <f t="shared" si="45"/>
        <v>0</v>
      </c>
      <c r="K76" s="945">
        <f t="shared" ref="K76:K84" ca="1" si="46">IF(I76&gt;0,J76*100/I76,0)</f>
        <v>0</v>
      </c>
      <c r="L76" s="945"/>
      <c r="M76" s="945"/>
      <c r="N76" s="945"/>
      <c r="O76" s="945"/>
      <c r="P76" s="945"/>
    </row>
    <row r="77" spans="1:26" ht="19.5" hidden="1">
      <c r="A77" s="949"/>
      <c r="B77" s="950"/>
      <c r="C77" s="950"/>
      <c r="D77" s="950"/>
      <c r="E77" s="957"/>
      <c r="F77" s="957"/>
      <c r="G77" s="958"/>
      <c r="H77" s="180" t="s">
        <v>35</v>
      </c>
      <c r="I77" s="830">
        <f t="shared" ca="1" si="45"/>
        <v>0</v>
      </c>
      <c r="J77" s="830">
        <f t="shared" si="45"/>
        <v>0</v>
      </c>
      <c r="K77" s="945">
        <f t="shared" ca="1" si="46"/>
        <v>0</v>
      </c>
      <c r="L77" s="945"/>
      <c r="M77" s="945"/>
      <c r="N77" s="945"/>
      <c r="O77" s="945"/>
      <c r="P77" s="945"/>
    </row>
    <row r="78" spans="1:26" ht="18.75" hidden="1">
      <c r="A78" s="949"/>
      <c r="B78" s="950"/>
      <c r="C78" s="950"/>
      <c r="D78" s="950"/>
      <c r="E78" s="956" t="s">
        <v>40</v>
      </c>
      <c r="F78" s="956"/>
      <c r="G78" s="958"/>
      <c r="H78" s="730" t="s">
        <v>34</v>
      </c>
      <c r="I78" s="944">
        <f ca="1">IFERROR(__xludf.DUMMYFUNCTION("IMPORTRANGE(""https://docs.google.com/spreadsheets/d/1QqKyyYR6Q21VydFLVH3TRQUabQu_ym0Zz7PgGX0-kHA/edit?usp=sharing"",""แผน!H24"")"),0)</f>
        <v>0</v>
      </c>
      <c r="J78" s="959">
        <v>0</v>
      </c>
      <c r="K78" s="945">
        <f t="shared" ca="1" si="46"/>
        <v>0</v>
      </c>
      <c r="L78" s="945"/>
      <c r="M78" s="945"/>
      <c r="N78" s="945"/>
      <c r="O78" s="945"/>
      <c r="P78" s="945"/>
    </row>
    <row r="79" spans="1:26" ht="18.75" hidden="1">
      <c r="A79" s="949"/>
      <c r="B79" s="950"/>
      <c r="C79" s="950"/>
      <c r="D79" s="950"/>
      <c r="E79" s="957"/>
      <c r="F79" s="957"/>
      <c r="G79" s="958"/>
      <c r="H79" s="730" t="s">
        <v>35</v>
      </c>
      <c r="I79" s="944">
        <f ca="1">IFERROR(__xludf.DUMMYFUNCTION("IMPORTRANGE(""https://docs.google.com/spreadsheets/d/1QqKyyYR6Q21VydFLVH3TRQUabQu_ym0Zz7PgGX0-kHA/edit?usp=sharing"",""แผน!I24"")"),0)</f>
        <v>0</v>
      </c>
      <c r="J79" s="959">
        <v>0</v>
      </c>
      <c r="K79" s="945">
        <f t="shared" ca="1" si="46"/>
        <v>0</v>
      </c>
      <c r="L79" s="945"/>
      <c r="M79" s="945"/>
      <c r="N79" s="945"/>
      <c r="O79" s="945"/>
      <c r="P79" s="945"/>
    </row>
    <row r="80" spans="1:26" ht="18.75" hidden="1">
      <c r="A80" s="949"/>
      <c r="B80" s="950"/>
      <c r="C80" s="950"/>
      <c r="D80" s="950"/>
      <c r="E80" s="956" t="s">
        <v>41</v>
      </c>
      <c r="F80" s="956"/>
      <c r="G80" s="958"/>
      <c r="H80" s="730" t="s">
        <v>34</v>
      </c>
      <c r="I80" s="944">
        <f ca="1">IFERROR(__xludf.DUMMYFUNCTION("IMPORTRANGE(""https://docs.google.com/spreadsheets/d/1QqKyyYR6Q21VydFLVH3TRQUabQu_ym0Zz7PgGX0-kHA/edit?usp=sharing"",""แผน!F24"")"),0)</f>
        <v>0</v>
      </c>
      <c r="J80" s="959">
        <v>0</v>
      </c>
      <c r="K80" s="945">
        <f t="shared" ca="1" si="46"/>
        <v>0</v>
      </c>
      <c r="L80" s="945"/>
      <c r="M80" s="945"/>
      <c r="N80" s="945"/>
      <c r="O80" s="945"/>
      <c r="P80" s="945"/>
    </row>
    <row r="81" spans="1:26" ht="18.75" hidden="1">
      <c r="A81" s="949"/>
      <c r="B81" s="950"/>
      <c r="C81" s="950"/>
      <c r="D81" s="950"/>
      <c r="E81" s="957"/>
      <c r="F81" s="957"/>
      <c r="G81" s="958"/>
      <c r="H81" s="730" t="s">
        <v>35</v>
      </c>
      <c r="I81" s="944">
        <f ca="1">IFERROR(__xludf.DUMMYFUNCTION("IMPORTRANGE(""https://docs.google.com/spreadsheets/d/1QqKyyYR6Q21VydFLVH3TRQUabQu_ym0Zz7PgGX0-kHA/edit?usp=sharing"",""แผน!G24"")"),0)</f>
        <v>0</v>
      </c>
      <c r="J81" s="959">
        <v>0</v>
      </c>
      <c r="K81" s="945">
        <f t="shared" ca="1" si="46"/>
        <v>0</v>
      </c>
      <c r="L81" s="945"/>
      <c r="M81" s="945"/>
      <c r="N81" s="945"/>
      <c r="O81" s="945"/>
      <c r="P81" s="945"/>
    </row>
    <row r="82" spans="1:26" ht="18.75" hidden="1">
      <c r="A82" s="949"/>
      <c r="B82" s="950"/>
      <c r="C82" s="950"/>
      <c r="D82" s="950"/>
      <c r="E82" s="956" t="s">
        <v>42</v>
      </c>
      <c r="F82" s="956"/>
      <c r="G82" s="958"/>
      <c r="H82" s="730" t="s">
        <v>34</v>
      </c>
      <c r="I82" s="944">
        <f ca="1">IFERROR(__xludf.DUMMYFUNCTION("IMPORTRANGE(""https://docs.google.com/spreadsheets/d/1QqKyyYR6Q21VydFLVH3TRQUabQu_ym0Zz7PgGX0-kHA/edit?usp=sharing"",""แผน!D24"")"),0)</f>
        <v>0</v>
      </c>
      <c r="J82" s="959">
        <v>0</v>
      </c>
      <c r="K82" s="945">
        <f t="shared" ca="1" si="46"/>
        <v>0</v>
      </c>
      <c r="L82" s="945"/>
      <c r="M82" s="945"/>
      <c r="N82" s="945"/>
      <c r="O82" s="945"/>
      <c r="P82" s="945"/>
    </row>
    <row r="83" spans="1:26" ht="18.75" hidden="1">
      <c r="A83" s="949"/>
      <c r="B83" s="950"/>
      <c r="C83" s="950"/>
      <c r="D83" s="950"/>
      <c r="E83" s="957"/>
      <c r="F83" s="957"/>
      <c r="G83" s="958"/>
      <c r="H83" s="730" t="s">
        <v>35</v>
      </c>
      <c r="I83" s="944">
        <f ca="1">IFERROR(__xludf.DUMMYFUNCTION("IMPORTRANGE(""https://docs.google.com/spreadsheets/d/1QqKyyYR6Q21VydFLVH3TRQUabQu_ym0Zz7PgGX0-kHA/edit?usp=sharing"",""แผน!E24"")"),0)</f>
        <v>0</v>
      </c>
      <c r="J83" s="959">
        <v>0</v>
      </c>
      <c r="K83" s="945">
        <f t="shared" ca="1" si="46"/>
        <v>0</v>
      </c>
      <c r="L83" s="945"/>
      <c r="M83" s="945"/>
      <c r="N83" s="945"/>
      <c r="O83" s="945"/>
      <c r="P83" s="945"/>
    </row>
    <row r="84" spans="1:26" ht="18.75" hidden="1">
      <c r="A84" s="949"/>
      <c r="B84" s="950"/>
      <c r="C84" s="950"/>
      <c r="D84" s="955" t="s">
        <v>43</v>
      </c>
      <c r="E84" s="956"/>
      <c r="F84" s="957"/>
      <c r="G84" s="958"/>
      <c r="H84" s="777" t="s">
        <v>34</v>
      </c>
      <c r="I84" s="944">
        <f ca="1">IFERROR(__xludf.DUMMYFUNCTION("IMPORTRANGE(""https://docs.google.com/spreadsheets/d/1QqKyyYR6Q21VydFLVH3TRQUabQu_ym0Zz7PgGX0-kHA/edit?usp=sharing"",""แผน!J24"")"),0)</f>
        <v>0</v>
      </c>
      <c r="J84" s="959">
        <v>0</v>
      </c>
      <c r="K84" s="945">
        <f t="shared" ca="1" si="46"/>
        <v>0</v>
      </c>
      <c r="L84" s="945"/>
      <c r="M84" s="945"/>
      <c r="N84" s="945"/>
      <c r="O84" s="945"/>
      <c r="P84" s="945"/>
    </row>
    <row r="85" spans="1:26" ht="19.5">
      <c r="A85" s="917" t="s">
        <v>44</v>
      </c>
      <c r="B85" s="918"/>
      <c r="C85" s="919"/>
      <c r="D85" s="918"/>
      <c r="E85" s="918"/>
      <c r="F85" s="918"/>
      <c r="G85" s="920"/>
      <c r="H85" s="921"/>
      <c r="I85" s="922"/>
      <c r="J85" s="922"/>
      <c r="K85" s="923"/>
      <c r="L85" s="923"/>
      <c r="M85" s="923"/>
      <c r="N85" s="923"/>
      <c r="O85" s="923"/>
      <c r="P85" s="923"/>
    </row>
    <row r="86" spans="1:26" ht="19.5">
      <c r="A86" s="924"/>
      <c r="B86" s="925" t="s">
        <v>45</v>
      </c>
      <c r="C86" s="926"/>
      <c r="D86" s="927"/>
      <c r="E86" s="926"/>
      <c r="F86" s="926"/>
      <c r="G86" s="928"/>
      <c r="H86" s="205" t="s">
        <v>46</v>
      </c>
      <c r="I86" s="929">
        <f t="shared" ref="I86:J87" ca="1" si="47">I98</f>
        <v>30</v>
      </c>
      <c r="J86" s="929">
        <f t="shared" si="47"/>
        <v>30</v>
      </c>
      <c r="K86" s="930">
        <f t="shared" ref="K86:K87" ca="1" si="48">IF(I86&gt;0,J86*100/I86,0)</f>
        <v>100</v>
      </c>
      <c r="L86" s="931"/>
      <c r="M86" s="931"/>
      <c r="N86" s="931"/>
      <c r="O86" s="931"/>
      <c r="P86" s="931"/>
    </row>
    <row r="87" spans="1:26" ht="19.5">
      <c r="A87" s="924"/>
      <c r="B87" s="926"/>
      <c r="C87" s="926"/>
      <c r="D87" s="927"/>
      <c r="E87" s="926"/>
      <c r="F87" s="926"/>
      <c r="G87" s="928"/>
      <c r="H87" s="205" t="s">
        <v>35</v>
      </c>
      <c r="I87" s="929">
        <f t="shared" ca="1" si="47"/>
        <v>10</v>
      </c>
      <c r="J87" s="929">
        <f t="shared" si="47"/>
        <v>10</v>
      </c>
      <c r="K87" s="930">
        <f t="shared" ca="1" si="48"/>
        <v>100</v>
      </c>
      <c r="L87" s="931"/>
      <c r="M87" s="931"/>
      <c r="N87" s="931"/>
      <c r="O87" s="931"/>
      <c r="P87" s="931"/>
    </row>
    <row r="88" spans="1:26" ht="19.5">
      <c r="A88" s="932"/>
      <c r="B88" s="933"/>
      <c r="C88" s="934" t="s">
        <v>16</v>
      </c>
      <c r="D88" s="935" t="s">
        <v>17</v>
      </c>
      <c r="E88" s="933"/>
      <c r="F88" s="933"/>
      <c r="G88" s="936"/>
      <c r="H88" s="152" t="s">
        <v>12</v>
      </c>
      <c r="I88" s="937"/>
      <c r="J88" s="937"/>
      <c r="K88" s="938"/>
      <c r="L88" s="939">
        <f t="shared" ref="L88:N88" ca="1" si="49">L89+L90</f>
        <v>86040</v>
      </c>
      <c r="M88" s="939">
        <f t="shared" ca="1" si="49"/>
        <v>79340</v>
      </c>
      <c r="N88" s="939">
        <f t="shared" ca="1" si="49"/>
        <v>18340</v>
      </c>
      <c r="O88" s="939">
        <f t="shared" ref="O88:O96" ca="1" si="50">IF(L88&gt;0,N88*100/L88,0)</f>
        <v>21.315667131566713</v>
      </c>
      <c r="P88" s="939">
        <f t="shared" ref="P88:P96" ca="1" si="51">IF(M88&gt;0,N88*100/M88,0)</f>
        <v>23.115704562641795</v>
      </c>
      <c r="Q88" s="818"/>
      <c r="R88" s="818"/>
      <c r="S88" s="818"/>
      <c r="T88" s="818"/>
      <c r="U88" s="818"/>
      <c r="V88" s="818"/>
      <c r="W88" s="818"/>
      <c r="X88" s="818"/>
      <c r="Y88" s="818"/>
      <c r="Z88" s="818"/>
    </row>
    <row r="89" spans="1:26" ht="18.75" hidden="1">
      <c r="A89" s="940"/>
      <c r="B89" s="833"/>
      <c r="C89" s="833"/>
      <c r="D89" s="833"/>
      <c r="E89" s="834" t="s">
        <v>18</v>
      </c>
      <c r="F89" s="833"/>
      <c r="G89" s="941"/>
      <c r="H89" s="158" t="s">
        <v>12</v>
      </c>
      <c r="I89" s="836"/>
      <c r="J89" s="836"/>
      <c r="K89" s="837"/>
      <c r="L89" s="837">
        <f t="shared" ref="L89:N90" si="52">L92+L95</f>
        <v>0</v>
      </c>
      <c r="M89" s="837">
        <f t="shared" si="52"/>
        <v>0</v>
      </c>
      <c r="N89" s="837">
        <f t="shared" si="52"/>
        <v>0</v>
      </c>
      <c r="O89" s="837">
        <f t="shared" si="50"/>
        <v>0</v>
      </c>
      <c r="P89" s="837">
        <f t="shared" si="51"/>
        <v>0</v>
      </c>
      <c r="Q89" s="825"/>
      <c r="R89" s="825"/>
      <c r="S89" s="825"/>
      <c r="T89" s="825"/>
      <c r="U89" s="825"/>
      <c r="V89" s="825"/>
      <c r="W89" s="825"/>
      <c r="X89" s="825"/>
      <c r="Y89" s="825"/>
      <c r="Z89" s="825"/>
    </row>
    <row r="90" spans="1:26" ht="18.75" hidden="1">
      <c r="A90" s="940"/>
      <c r="B90" s="833"/>
      <c r="C90" s="833"/>
      <c r="D90" s="833"/>
      <c r="E90" s="834" t="s">
        <v>19</v>
      </c>
      <c r="F90" s="833"/>
      <c r="G90" s="941"/>
      <c r="H90" s="158" t="s">
        <v>12</v>
      </c>
      <c r="I90" s="836"/>
      <c r="J90" s="836"/>
      <c r="K90" s="837"/>
      <c r="L90" s="837">
        <f t="shared" ca="1" si="52"/>
        <v>86040</v>
      </c>
      <c r="M90" s="837">
        <f t="shared" ca="1" si="52"/>
        <v>79340</v>
      </c>
      <c r="N90" s="837">
        <f t="shared" ca="1" si="52"/>
        <v>18340</v>
      </c>
      <c r="O90" s="837">
        <f t="shared" ca="1" si="50"/>
        <v>21.315667131566713</v>
      </c>
      <c r="P90" s="837">
        <f t="shared" ca="1" si="51"/>
        <v>23.115704562641795</v>
      </c>
      <c r="Q90" s="825"/>
      <c r="R90" s="825"/>
      <c r="S90" s="825"/>
      <c r="T90" s="825"/>
      <c r="U90" s="825"/>
      <c r="V90" s="825"/>
      <c r="W90" s="825"/>
      <c r="X90" s="825"/>
      <c r="Y90" s="825"/>
      <c r="Z90" s="825"/>
    </row>
    <row r="91" spans="1:26" ht="18.75">
      <c r="A91" s="942"/>
      <c r="B91" s="827"/>
      <c r="C91" s="943"/>
      <c r="D91" s="828" t="s">
        <v>20</v>
      </c>
      <c r="E91" s="827"/>
      <c r="F91" s="827"/>
      <c r="G91" s="829"/>
      <c r="H91" s="778" t="s">
        <v>12</v>
      </c>
      <c r="I91" s="944"/>
      <c r="J91" s="944"/>
      <c r="K91" s="945"/>
      <c r="L91" s="831">
        <f t="shared" ref="L91:N91" ca="1" si="53">L92+L93</f>
        <v>86040</v>
      </c>
      <c r="M91" s="831">
        <f t="shared" ca="1" si="53"/>
        <v>79340</v>
      </c>
      <c r="N91" s="831">
        <f t="shared" ca="1" si="53"/>
        <v>18340</v>
      </c>
      <c r="O91" s="831">
        <f t="shared" ca="1" si="50"/>
        <v>21.315667131566713</v>
      </c>
      <c r="P91" s="831">
        <f t="shared" ca="1" si="51"/>
        <v>23.115704562641795</v>
      </c>
      <c r="Q91" s="818"/>
      <c r="R91" s="818"/>
      <c r="S91" s="818"/>
      <c r="T91" s="818"/>
      <c r="U91" s="818"/>
      <c r="V91" s="818"/>
      <c r="W91" s="818"/>
      <c r="X91" s="818"/>
      <c r="Y91" s="818"/>
      <c r="Z91" s="818"/>
    </row>
    <row r="92" spans="1:26" ht="19.5" hidden="1">
      <c r="A92" s="940"/>
      <c r="B92" s="833"/>
      <c r="C92" s="946"/>
      <c r="D92" s="833"/>
      <c r="E92" s="834" t="s">
        <v>36</v>
      </c>
      <c r="F92" s="833"/>
      <c r="G92" s="941"/>
      <c r="H92" s="165" t="s">
        <v>12</v>
      </c>
      <c r="I92" s="947"/>
      <c r="J92" s="947"/>
      <c r="K92" s="948"/>
      <c r="L92" s="837">
        <v>0</v>
      </c>
      <c r="M92" s="837">
        <v>0</v>
      </c>
      <c r="N92" s="837">
        <v>0</v>
      </c>
      <c r="O92" s="837">
        <f t="shared" si="50"/>
        <v>0</v>
      </c>
      <c r="P92" s="837">
        <f t="shared" si="51"/>
        <v>0</v>
      </c>
      <c r="Q92" s="825"/>
      <c r="R92" s="825"/>
      <c r="S92" s="825"/>
      <c r="T92" s="825"/>
      <c r="U92" s="825"/>
      <c r="V92" s="825"/>
      <c r="W92" s="825"/>
      <c r="X92" s="825"/>
      <c r="Y92" s="825"/>
      <c r="Z92" s="825"/>
    </row>
    <row r="93" spans="1:26" ht="19.5" hidden="1">
      <c r="A93" s="940"/>
      <c r="B93" s="833"/>
      <c r="C93" s="946"/>
      <c r="D93" s="833"/>
      <c r="E93" s="834" t="s">
        <v>37</v>
      </c>
      <c r="F93" s="833"/>
      <c r="G93" s="941"/>
      <c r="H93" s="165" t="s">
        <v>12</v>
      </c>
      <c r="I93" s="947"/>
      <c r="J93" s="947"/>
      <c r="K93" s="948"/>
      <c r="L93" s="837">
        <f ca="1">IFERROR(__xludf.DUMMYFUNCTION("IMPORTRANGE(""https://docs.google.com/spreadsheets/d/1MeEWN-I1oV_STSDYn1IFDPWt_1FKiwhDph83XaGc0o0/edit?usp=sharing"",""งบพรบ!AQ24"")"),86040)</f>
        <v>86040</v>
      </c>
      <c r="M93" s="837">
        <f ca="1">IFERROR(__xludf.DUMMYFUNCTION("IMPORTRANGE(""https://docs.google.com/spreadsheets/d/1MeEWN-I1oV_STSDYn1IFDPWt_1FKiwhDph83XaGc0o0/edit?usp=sharing"",""งบพรบ!AV24"")"),79340)</f>
        <v>79340</v>
      </c>
      <c r="N93" s="837">
        <f ca="1">IFERROR(__xludf.DUMMYFUNCTION("IMPORTRANGE(""https://docs.google.com/spreadsheets/d/1MeEWN-I1oV_STSDYn1IFDPWt_1FKiwhDph83XaGc0o0/edit?usp=sharing"",""งบพรบ!AX24"")"),18340)</f>
        <v>18340</v>
      </c>
      <c r="O93" s="837">
        <f t="shared" ca="1" si="50"/>
        <v>21.315667131566713</v>
      </c>
      <c r="P93" s="837">
        <f t="shared" ca="1" si="51"/>
        <v>23.115704562641795</v>
      </c>
      <c r="Q93" s="825"/>
      <c r="R93" s="825"/>
      <c r="S93" s="825"/>
      <c r="T93" s="825"/>
      <c r="U93" s="825"/>
      <c r="V93" s="825"/>
      <c r="W93" s="825"/>
      <c r="X93" s="825"/>
      <c r="Y93" s="825"/>
      <c r="Z93" s="825"/>
    </row>
    <row r="94" spans="1:26" ht="18.75">
      <c r="A94" s="942"/>
      <c r="B94" s="827"/>
      <c r="C94" s="943"/>
      <c r="D94" s="828" t="s">
        <v>21</v>
      </c>
      <c r="E94" s="827"/>
      <c r="F94" s="827"/>
      <c r="G94" s="829"/>
      <c r="H94" s="168" t="s">
        <v>12</v>
      </c>
      <c r="I94" s="944"/>
      <c r="J94" s="944"/>
      <c r="K94" s="945"/>
      <c r="L94" s="831">
        <f t="shared" ref="L94:N94" ca="1" si="54">L95+L96</f>
        <v>0</v>
      </c>
      <c r="M94" s="831">
        <f t="shared" ca="1" si="54"/>
        <v>0</v>
      </c>
      <c r="N94" s="831">
        <f t="shared" ca="1" si="54"/>
        <v>0</v>
      </c>
      <c r="O94" s="831">
        <f t="shared" ca="1" si="50"/>
        <v>0</v>
      </c>
      <c r="P94" s="831">
        <f t="shared" ca="1" si="51"/>
        <v>0</v>
      </c>
      <c r="Q94" s="818"/>
      <c r="R94" s="818"/>
      <c r="S94" s="818"/>
      <c r="T94" s="818"/>
      <c r="U94" s="818"/>
      <c r="V94" s="818"/>
      <c r="W94" s="818"/>
      <c r="X94" s="818"/>
      <c r="Y94" s="818"/>
      <c r="Z94" s="818"/>
    </row>
    <row r="95" spans="1:26" ht="19.5" hidden="1">
      <c r="A95" s="940"/>
      <c r="B95" s="833"/>
      <c r="C95" s="946"/>
      <c r="D95" s="833"/>
      <c r="E95" s="834" t="s">
        <v>18</v>
      </c>
      <c r="F95" s="833"/>
      <c r="G95" s="941"/>
      <c r="H95" s="165" t="s">
        <v>12</v>
      </c>
      <c r="I95" s="947"/>
      <c r="J95" s="947"/>
      <c r="K95" s="948"/>
      <c r="L95" s="837">
        <v>0</v>
      </c>
      <c r="M95" s="837">
        <v>0</v>
      </c>
      <c r="N95" s="837">
        <v>0</v>
      </c>
      <c r="O95" s="837">
        <f t="shared" si="50"/>
        <v>0</v>
      </c>
      <c r="P95" s="837">
        <f t="shared" si="51"/>
        <v>0</v>
      </c>
      <c r="Q95" s="825"/>
      <c r="R95" s="825"/>
      <c r="S95" s="825"/>
      <c r="T95" s="825"/>
      <c r="U95" s="825"/>
      <c r="V95" s="825"/>
      <c r="W95" s="825"/>
      <c r="X95" s="825"/>
      <c r="Y95" s="825"/>
      <c r="Z95" s="825"/>
    </row>
    <row r="96" spans="1:26" ht="19.5" hidden="1">
      <c r="A96" s="940"/>
      <c r="B96" s="833"/>
      <c r="C96" s="946"/>
      <c r="D96" s="833"/>
      <c r="E96" s="834" t="s">
        <v>19</v>
      </c>
      <c r="F96" s="833"/>
      <c r="G96" s="941"/>
      <c r="H96" s="169" t="s">
        <v>12</v>
      </c>
      <c r="I96" s="947"/>
      <c r="J96" s="947"/>
      <c r="K96" s="948"/>
      <c r="L96" s="837">
        <f ca="1">IFERROR(__xludf.DUMMYFUNCTION("IMPORTRANGE(""https://docs.google.com/spreadsheets/d/1MeEWN-I1oV_STSDYn1IFDPWt_1FKiwhDph83XaGc0o0/edit?usp=sharing"",""งบพรบ!AT24"")"),0)</f>
        <v>0</v>
      </c>
      <c r="M96" s="837">
        <f ca="1">IFERROR(__xludf.DUMMYFUNCTION("IMPORTRANGE(""https://docs.google.com/spreadsheets/d/1MeEWN-I1oV_STSDYn1IFDPWt_1FKiwhDph83XaGc0o0/edit?usp=sharing"",""งบพรบ!AW24"")"),0)</f>
        <v>0</v>
      </c>
      <c r="N96" s="837">
        <f ca="1">IFERROR(__xludf.DUMMYFUNCTION("IMPORTRANGE(""https://docs.google.com/spreadsheets/d/1MeEWN-I1oV_STSDYn1IFDPWt_1FKiwhDph83XaGc0o0/edit?usp=sharing"",""งบพรบ!AY24"")"),0)</f>
        <v>0</v>
      </c>
      <c r="O96" s="837">
        <f t="shared" ca="1" si="50"/>
        <v>0</v>
      </c>
      <c r="P96" s="837">
        <f t="shared" ca="1" si="51"/>
        <v>0</v>
      </c>
      <c r="Q96" s="825"/>
      <c r="R96" s="825"/>
      <c r="S96" s="825"/>
      <c r="T96" s="825"/>
      <c r="U96" s="825"/>
      <c r="V96" s="825"/>
      <c r="W96" s="825"/>
      <c r="X96" s="825"/>
      <c r="Y96" s="825"/>
      <c r="Z96" s="825"/>
    </row>
    <row r="97" spans="1:16" ht="19.5">
      <c r="A97" s="949"/>
      <c r="B97" s="950"/>
      <c r="C97" s="946" t="s">
        <v>16</v>
      </c>
      <c r="D97" s="951" t="s">
        <v>38</v>
      </c>
      <c r="E97" s="952"/>
      <c r="F97" s="952"/>
      <c r="G97" s="953"/>
      <c r="H97" s="954"/>
      <c r="I97" s="944"/>
      <c r="J97" s="830"/>
      <c r="K97" s="831"/>
      <c r="L97" s="831"/>
      <c r="M97" s="831"/>
      <c r="N97" s="831"/>
      <c r="O97" s="945"/>
      <c r="P97" s="945"/>
    </row>
    <row r="98" spans="1:16" ht="18.75">
      <c r="A98" s="949"/>
      <c r="B98" s="950"/>
      <c r="C98" s="950"/>
      <c r="D98" s="956" t="s">
        <v>47</v>
      </c>
      <c r="E98" s="956"/>
      <c r="F98" s="957"/>
      <c r="G98" s="958"/>
      <c r="H98" s="590" t="s">
        <v>46</v>
      </c>
      <c r="I98" s="830">
        <f ca="1">IFERROR(__xludf.DUMMYFUNCTION("IMPORTRANGE(""https://docs.google.com/spreadsheets/d/1QqKyyYR6Q21VydFLVH3TRQUabQu_ym0Zz7PgGX0-kHA/edit?usp=sharing"",""แผน!K24"")"),30)</f>
        <v>30</v>
      </c>
      <c r="J98" s="830">
        <f>J102</f>
        <v>30</v>
      </c>
      <c r="K98" s="831">
        <f t="shared" ref="K98:K100" ca="1" si="55">IF(I98&gt;0,J98*100/I98,0)</f>
        <v>100</v>
      </c>
      <c r="L98" s="831"/>
      <c r="M98" s="831"/>
      <c r="N98" s="831"/>
      <c r="O98" s="945"/>
      <c r="P98" s="945"/>
    </row>
    <row r="99" spans="1:16" ht="18.75">
      <c r="A99" s="949"/>
      <c r="B99" s="950"/>
      <c r="C99" s="950"/>
      <c r="D99" s="956" t="s">
        <v>48</v>
      </c>
      <c r="E99" s="956"/>
      <c r="F99" s="957"/>
      <c r="G99" s="958"/>
      <c r="H99" s="590" t="s">
        <v>35</v>
      </c>
      <c r="I99" s="830">
        <f ca="1">IFERROR(__xludf.DUMMYFUNCTION("IMPORTRANGE(""https://docs.google.com/spreadsheets/d/1QqKyyYR6Q21VydFLVH3TRQUabQu_ym0Zz7PgGX0-kHA/edit?usp=sharing"",""แผน!L24"")"),10)</f>
        <v>10</v>
      </c>
      <c r="J99" s="830">
        <f>J104</f>
        <v>10</v>
      </c>
      <c r="K99" s="831">
        <f t="shared" ca="1" si="55"/>
        <v>100</v>
      </c>
      <c r="L99" s="831"/>
      <c r="M99" s="831"/>
      <c r="N99" s="831"/>
      <c r="O99" s="945"/>
      <c r="P99" s="945"/>
    </row>
    <row r="100" spans="1:16" ht="18.75">
      <c r="A100" s="949"/>
      <c r="B100" s="950"/>
      <c r="C100" s="950"/>
      <c r="D100" s="950"/>
      <c r="E100" s="957"/>
      <c r="F100" s="957"/>
      <c r="G100" s="958"/>
      <c r="H100" s="590" t="s">
        <v>49</v>
      </c>
      <c r="I100" s="830">
        <f ca="1">IFERROR(__xludf.DUMMYFUNCTION("IMPORTRANGE(""https://docs.google.com/spreadsheets/d/1QqKyyYR6Q21VydFLVH3TRQUabQu_ym0Zz7PgGX0-kHA/edit?usp=sharing"",""แผน!M24"")"),2)</f>
        <v>2</v>
      </c>
      <c r="J100" s="830">
        <f>J107+J110</f>
        <v>0</v>
      </c>
      <c r="K100" s="831">
        <f t="shared" ca="1" si="55"/>
        <v>0</v>
      </c>
      <c r="L100" s="831"/>
      <c r="M100" s="831"/>
      <c r="N100" s="831"/>
      <c r="O100" s="945"/>
      <c r="P100" s="945"/>
    </row>
    <row r="101" spans="1:16" ht="19.5">
      <c r="A101" s="949"/>
      <c r="B101" s="950"/>
      <c r="C101" s="950"/>
      <c r="D101" s="957"/>
      <c r="E101" s="960" t="s">
        <v>50</v>
      </c>
      <c r="F101" s="957"/>
      <c r="G101" s="958"/>
      <c r="H101" s="590"/>
      <c r="I101" s="830"/>
      <c r="J101" s="830"/>
      <c r="K101" s="831"/>
      <c r="L101" s="831"/>
      <c r="M101" s="831"/>
      <c r="N101" s="831"/>
      <c r="O101" s="945"/>
      <c r="P101" s="945"/>
    </row>
    <row r="102" spans="1:16" ht="18.75">
      <c r="A102" s="949"/>
      <c r="B102" s="950"/>
      <c r="C102" s="950"/>
      <c r="D102" s="957"/>
      <c r="E102" s="961" t="s">
        <v>47</v>
      </c>
      <c r="F102" s="957"/>
      <c r="G102" s="958"/>
      <c r="H102" s="590" t="s">
        <v>46</v>
      </c>
      <c r="I102" s="830">
        <f ca="1">IFERROR(__xludf.DUMMYFUNCTION("IMPORTRANGE(""https://docs.google.com/spreadsheets/d/1QqKyyYR6Q21VydFLVH3TRQUabQu_ym0Zz7PgGX0-kHA/edit?usp=sharing"",""แผน!N24"")"),30)</f>
        <v>30</v>
      </c>
      <c r="J102" s="959">
        <v>30</v>
      </c>
      <c r="K102" s="831">
        <f t="shared" ref="K102:K104" ca="1" si="56">IF(I102&gt;0,J102*100/I102,0)</f>
        <v>100</v>
      </c>
      <c r="L102" s="831"/>
      <c r="M102" s="831"/>
      <c r="N102" s="831"/>
      <c r="O102" s="945"/>
      <c r="P102" s="945"/>
    </row>
    <row r="103" spans="1:16" ht="19.5">
      <c r="A103" s="949"/>
      <c r="B103" s="950"/>
      <c r="C103" s="950"/>
      <c r="D103" s="957"/>
      <c r="E103" s="956" t="s">
        <v>51</v>
      </c>
      <c r="F103" s="957"/>
      <c r="G103" s="958"/>
      <c r="H103" s="590" t="s">
        <v>35</v>
      </c>
      <c r="I103" s="830">
        <f ca="1">IFERROR(__xludf.DUMMYFUNCTION("IMPORTRANGE(""https://docs.google.com/spreadsheets/d/1QqKyyYR6Q21VydFLVH3TRQUabQu_ym0Zz7PgGX0-kHA/edit?usp=sharing"",""แผน!O24"")"),10)</f>
        <v>10</v>
      </c>
      <c r="J103" s="959">
        <v>10</v>
      </c>
      <c r="K103" s="831">
        <f t="shared" ca="1" si="56"/>
        <v>100</v>
      </c>
      <c r="L103" s="831"/>
      <c r="M103" s="831"/>
      <c r="N103" s="831"/>
      <c r="O103" s="945"/>
      <c r="P103" s="945"/>
    </row>
    <row r="104" spans="1:16" ht="18.75">
      <c r="A104" s="949"/>
      <c r="B104" s="950"/>
      <c r="C104" s="950"/>
      <c r="D104" s="957"/>
      <c r="E104" s="962" t="s">
        <v>52</v>
      </c>
      <c r="F104" s="957"/>
      <c r="G104" s="958"/>
      <c r="H104" s="590" t="s">
        <v>35</v>
      </c>
      <c r="I104" s="830">
        <f ca="1">IFERROR(__xludf.DUMMYFUNCTION("IMPORTRANGE(""https://docs.google.com/spreadsheets/d/1QqKyyYR6Q21VydFLVH3TRQUabQu_ym0Zz7PgGX0-kHA/edit?usp=sharing"",""แผน!O24"")"),10)</f>
        <v>10</v>
      </c>
      <c r="J104" s="959">
        <v>10</v>
      </c>
      <c r="K104" s="831">
        <f t="shared" ca="1" si="56"/>
        <v>100</v>
      </c>
      <c r="L104" s="831"/>
      <c r="M104" s="831"/>
      <c r="N104" s="831"/>
      <c r="O104" s="945"/>
      <c r="P104" s="945"/>
    </row>
    <row r="105" spans="1:16" ht="19.5">
      <c r="A105" s="949"/>
      <c r="B105" s="950"/>
      <c r="C105" s="950"/>
      <c r="D105" s="957"/>
      <c r="E105" s="960" t="s">
        <v>53</v>
      </c>
      <c r="F105" s="957"/>
      <c r="G105" s="958"/>
      <c r="H105" s="963"/>
      <c r="I105" s="830"/>
      <c r="J105" s="830"/>
      <c r="K105" s="831"/>
      <c r="L105" s="831"/>
      <c r="M105" s="831"/>
      <c r="N105" s="831"/>
      <c r="O105" s="945"/>
      <c r="P105" s="945"/>
    </row>
    <row r="106" spans="1:16" ht="19.5">
      <c r="A106" s="949"/>
      <c r="B106" s="950"/>
      <c r="C106" s="950"/>
      <c r="D106" s="957"/>
      <c r="E106" s="956" t="s">
        <v>54</v>
      </c>
      <c r="F106" s="957"/>
      <c r="G106" s="958"/>
      <c r="H106" s="590" t="s">
        <v>49</v>
      </c>
      <c r="I106" s="830">
        <f ca="1">IFERROR(__xludf.DUMMYFUNCTION("IMPORTRANGE(""https://docs.google.com/spreadsheets/d/1QqKyyYR6Q21VydFLVH3TRQUabQu_ym0Zz7PgGX0-kHA/edit?usp=sharing"",""แผน!P24"")"),1)</f>
        <v>1</v>
      </c>
      <c r="J106" s="959">
        <v>0</v>
      </c>
      <c r="K106" s="831">
        <f t="shared" ref="K106:K107" ca="1" si="57">IF(I106&gt;0,J106*100/I106,0)</f>
        <v>0</v>
      </c>
      <c r="L106" s="831"/>
      <c r="M106" s="831"/>
      <c r="N106" s="831"/>
      <c r="O106" s="945"/>
      <c r="P106" s="945"/>
    </row>
    <row r="107" spans="1:16" ht="18.75">
      <c r="A107" s="949"/>
      <c r="B107" s="950"/>
      <c r="C107" s="950"/>
      <c r="D107" s="957"/>
      <c r="E107" s="962" t="s">
        <v>55</v>
      </c>
      <c r="F107" s="957"/>
      <c r="G107" s="958"/>
      <c r="H107" s="590" t="s">
        <v>49</v>
      </c>
      <c r="I107" s="830">
        <f ca="1">IFERROR(__xludf.DUMMYFUNCTION("IMPORTRANGE(""https://docs.google.com/spreadsheets/d/1QqKyyYR6Q21VydFLVH3TRQUabQu_ym0Zz7PgGX0-kHA/edit?usp=sharing"",""แผน!P24"")"),1)</f>
        <v>1</v>
      </c>
      <c r="J107" s="959">
        <v>0</v>
      </c>
      <c r="K107" s="831">
        <f t="shared" ca="1" si="57"/>
        <v>0</v>
      </c>
      <c r="L107" s="831"/>
      <c r="M107" s="831"/>
      <c r="N107" s="831"/>
      <c r="O107" s="945"/>
      <c r="P107" s="945"/>
    </row>
    <row r="108" spans="1:16" ht="19.5">
      <c r="A108" s="949"/>
      <c r="B108" s="950"/>
      <c r="C108" s="950"/>
      <c r="D108" s="957"/>
      <c r="E108" s="960" t="s">
        <v>56</v>
      </c>
      <c r="F108" s="957"/>
      <c r="G108" s="958"/>
      <c r="H108" s="963"/>
      <c r="I108" s="830"/>
      <c r="J108" s="830"/>
      <c r="K108" s="831"/>
      <c r="L108" s="831"/>
      <c r="M108" s="831"/>
      <c r="N108" s="831"/>
      <c r="O108" s="945"/>
      <c r="P108" s="945"/>
    </row>
    <row r="109" spans="1:16" ht="19.5">
      <c r="A109" s="949"/>
      <c r="B109" s="950"/>
      <c r="C109" s="950"/>
      <c r="D109" s="957"/>
      <c r="E109" s="956" t="s">
        <v>57</v>
      </c>
      <c r="F109" s="957"/>
      <c r="G109" s="958"/>
      <c r="H109" s="590" t="s">
        <v>49</v>
      </c>
      <c r="I109" s="830">
        <f ca="1">IFERROR(__xludf.DUMMYFUNCTION("IMPORTRANGE(""https://docs.google.com/spreadsheets/d/1QqKyyYR6Q21VydFLVH3TRQUabQu_ym0Zz7PgGX0-kHA/edit?usp=sharing"",""แผน!Q24"")"),1)</f>
        <v>1</v>
      </c>
      <c r="J109" s="959">
        <v>0</v>
      </c>
      <c r="K109" s="831">
        <f t="shared" ref="K109:K116" ca="1" si="58">IF(I109&gt;0,J109*100/I109,0)</f>
        <v>0</v>
      </c>
      <c r="L109" s="831"/>
      <c r="M109" s="831"/>
      <c r="N109" s="831"/>
      <c r="O109" s="945"/>
      <c r="P109" s="945"/>
    </row>
    <row r="110" spans="1:16" ht="18.75">
      <c r="A110" s="949"/>
      <c r="B110" s="950"/>
      <c r="C110" s="950"/>
      <c r="D110" s="957"/>
      <c r="E110" s="964" t="s">
        <v>58</v>
      </c>
      <c r="F110" s="957"/>
      <c r="G110" s="958"/>
      <c r="H110" s="590" t="s">
        <v>49</v>
      </c>
      <c r="I110" s="830">
        <f ca="1">IFERROR(__xludf.DUMMYFUNCTION("IMPORTRANGE(""https://docs.google.com/spreadsheets/d/1QqKyyYR6Q21VydFLVH3TRQUabQu_ym0Zz7PgGX0-kHA/edit?usp=sharing"",""แผน!Q24"")"),1)</f>
        <v>1</v>
      </c>
      <c r="J110" s="959">
        <v>0</v>
      </c>
      <c r="K110" s="831">
        <f t="shared" ca="1" si="58"/>
        <v>0</v>
      </c>
      <c r="L110" s="831"/>
      <c r="M110" s="831"/>
      <c r="N110" s="831"/>
      <c r="O110" s="945"/>
      <c r="P110" s="945"/>
    </row>
    <row r="111" spans="1:16" ht="19.5">
      <c r="A111" s="949"/>
      <c r="B111" s="950"/>
      <c r="C111" s="950"/>
      <c r="D111" s="960" t="s">
        <v>59</v>
      </c>
      <c r="E111" s="960"/>
      <c r="F111" s="957"/>
      <c r="G111" s="958"/>
      <c r="H111" s="733" t="s">
        <v>35</v>
      </c>
      <c r="I111" s="965">
        <f ca="1">IFERROR(__xludf.DUMMYFUNCTION("IMPORTRANGE(""https://docs.google.com/spreadsheets/d/1QqKyyYR6Q21VydFLVH3TRQUabQu_ym0Zz7PgGX0-kHA/edit?usp=sharing"",""แผน!R24"")"),10)</f>
        <v>10</v>
      </c>
      <c r="J111" s="966">
        <f>J114</f>
        <v>0</v>
      </c>
      <c r="K111" s="967">
        <f t="shared" ca="1" si="58"/>
        <v>0</v>
      </c>
      <c r="L111" s="831"/>
      <c r="M111" s="831"/>
      <c r="N111" s="831"/>
      <c r="O111" s="945"/>
      <c r="P111" s="945"/>
    </row>
    <row r="112" spans="1:16" ht="19.5">
      <c r="A112" s="949"/>
      <c r="B112" s="950"/>
      <c r="C112" s="950"/>
      <c r="D112" s="950"/>
      <c r="E112" s="957"/>
      <c r="F112" s="957"/>
      <c r="G112" s="958"/>
      <c r="H112" s="196" t="s">
        <v>49</v>
      </c>
      <c r="I112" s="965">
        <f t="shared" ref="I112:J112" ca="1" si="59">I115+I116</f>
        <v>2</v>
      </c>
      <c r="J112" s="966">
        <f t="shared" si="59"/>
        <v>0</v>
      </c>
      <c r="K112" s="967">
        <f t="shared" ca="1" si="58"/>
        <v>0</v>
      </c>
      <c r="L112" s="831"/>
      <c r="M112" s="831"/>
      <c r="N112" s="831"/>
      <c r="O112" s="945"/>
      <c r="P112" s="945"/>
    </row>
    <row r="113" spans="1:26" ht="19.5">
      <c r="A113" s="949"/>
      <c r="B113" s="950"/>
      <c r="C113" s="950"/>
      <c r="D113" s="950"/>
      <c r="E113" s="968" t="s">
        <v>60</v>
      </c>
      <c r="F113" s="957"/>
      <c r="G113" s="958"/>
      <c r="H113" s="198" t="s">
        <v>35</v>
      </c>
      <c r="I113" s="944">
        <f ca="1">IFERROR(__xludf.DUMMYFUNCTION("IMPORTRANGE(""https://docs.google.com/spreadsheets/d/1QqKyyYR6Q21VydFLVH3TRQUabQu_ym0Zz7PgGX0-kHA/edit?usp=sharing"",""แผน!R24"")"),10)</f>
        <v>10</v>
      </c>
      <c r="J113" s="959">
        <v>0</v>
      </c>
      <c r="K113" s="831">
        <f t="shared" ca="1" si="58"/>
        <v>0</v>
      </c>
      <c r="L113" s="831"/>
      <c r="M113" s="831"/>
      <c r="N113" s="831"/>
      <c r="O113" s="945"/>
      <c r="P113" s="945"/>
    </row>
    <row r="114" spans="1:26" ht="19.5">
      <c r="A114" s="949"/>
      <c r="B114" s="950"/>
      <c r="C114" s="950"/>
      <c r="D114" s="950"/>
      <c r="E114" s="956" t="s">
        <v>61</v>
      </c>
      <c r="F114" s="957"/>
      <c r="G114" s="958"/>
      <c r="H114" s="199" t="s">
        <v>35</v>
      </c>
      <c r="I114" s="944">
        <f ca="1">IFERROR(__xludf.DUMMYFUNCTION("IMPORTRANGE(""https://docs.google.com/spreadsheets/d/1QqKyyYR6Q21VydFLVH3TRQUabQu_ym0Zz7PgGX0-kHA/edit?usp=sharing"",""แผน!R24"")"),10)</f>
        <v>10</v>
      </c>
      <c r="J114" s="959">
        <v>0</v>
      </c>
      <c r="K114" s="831">
        <f t="shared" ca="1" si="58"/>
        <v>0</v>
      </c>
      <c r="L114" s="831"/>
      <c r="M114" s="831"/>
      <c r="N114" s="831"/>
      <c r="O114" s="945"/>
      <c r="P114" s="945"/>
    </row>
    <row r="115" spans="1:26" ht="18.75">
      <c r="A115" s="949"/>
      <c r="B115" s="950"/>
      <c r="C115" s="950"/>
      <c r="D115" s="950"/>
      <c r="E115" s="956" t="s">
        <v>62</v>
      </c>
      <c r="F115" s="957"/>
      <c r="G115" s="958"/>
      <c r="H115" s="199" t="s">
        <v>49</v>
      </c>
      <c r="I115" s="944">
        <f ca="1">IFERROR(__xludf.DUMMYFUNCTION("IMPORTRANGE(""https://docs.google.com/spreadsheets/d/1QqKyyYR6Q21VydFLVH3TRQUabQu_ym0Zz7PgGX0-kHA/edit?usp=sharing"",""แผน!S24"")"),1)</f>
        <v>1</v>
      </c>
      <c r="J115" s="959">
        <v>0</v>
      </c>
      <c r="K115" s="831">
        <f t="shared" ca="1" si="58"/>
        <v>0</v>
      </c>
      <c r="L115" s="831"/>
      <c r="M115" s="831"/>
      <c r="N115" s="831"/>
      <c r="O115" s="945"/>
      <c r="P115" s="945"/>
    </row>
    <row r="116" spans="1:26" ht="18.75">
      <c r="A116" s="949"/>
      <c r="B116" s="950"/>
      <c r="C116" s="950"/>
      <c r="D116" s="950"/>
      <c r="E116" s="956" t="s">
        <v>63</v>
      </c>
      <c r="F116" s="957"/>
      <c r="G116" s="958"/>
      <c r="H116" s="199" t="s">
        <v>49</v>
      </c>
      <c r="I116" s="944">
        <f ca="1">IFERROR(__xludf.DUMMYFUNCTION("IMPORTRANGE(""https://docs.google.com/spreadsheets/d/1QqKyyYR6Q21VydFLVH3TRQUabQu_ym0Zz7PgGX0-kHA/edit?usp=sharing"",""แผน!T24"")"),1)</f>
        <v>1</v>
      </c>
      <c r="J116" s="959">
        <v>0</v>
      </c>
      <c r="K116" s="831">
        <f t="shared" ca="1" si="58"/>
        <v>0</v>
      </c>
      <c r="L116" s="831"/>
      <c r="M116" s="831"/>
      <c r="N116" s="831"/>
      <c r="O116" s="945"/>
      <c r="P116" s="945"/>
    </row>
    <row r="117" spans="1:26" ht="19.5" hidden="1">
      <c r="A117" s="917" t="s">
        <v>64</v>
      </c>
      <c r="B117" s="918"/>
      <c r="C117" s="969"/>
      <c r="D117" s="918"/>
      <c r="E117" s="918"/>
      <c r="F117" s="918"/>
      <c r="G117" s="918"/>
      <c r="H117" s="970"/>
      <c r="I117" s="971"/>
      <c r="J117" s="971"/>
      <c r="K117" s="972"/>
      <c r="L117" s="923"/>
      <c r="M117" s="923"/>
      <c r="N117" s="923"/>
      <c r="O117" s="923"/>
      <c r="P117" s="923"/>
    </row>
    <row r="118" spans="1:26" ht="19.5" hidden="1">
      <c r="A118" s="924"/>
      <c r="B118" s="925" t="s">
        <v>65</v>
      </c>
      <c r="C118" s="973"/>
      <c r="D118" s="927"/>
      <c r="E118" s="926"/>
      <c r="F118" s="926"/>
      <c r="G118" s="928"/>
      <c r="H118" s="205"/>
      <c r="I118" s="974"/>
      <c r="J118" s="974"/>
      <c r="K118" s="931"/>
      <c r="L118" s="931"/>
      <c r="M118" s="931"/>
      <c r="N118" s="931"/>
      <c r="O118" s="931"/>
      <c r="P118" s="931"/>
    </row>
    <row r="119" spans="1:26" ht="19.5" hidden="1">
      <c r="A119" s="932"/>
      <c r="B119" s="933"/>
      <c r="C119" s="934" t="s">
        <v>16</v>
      </c>
      <c r="D119" s="935" t="s">
        <v>17</v>
      </c>
      <c r="E119" s="933"/>
      <c r="F119" s="933"/>
      <c r="G119" s="936"/>
      <c r="H119" s="152" t="s">
        <v>12</v>
      </c>
      <c r="I119" s="937"/>
      <c r="J119" s="937"/>
      <c r="K119" s="938"/>
      <c r="L119" s="939">
        <f t="shared" ref="L119:N119" ca="1" si="60">L120+L121</f>
        <v>0</v>
      </c>
      <c r="M119" s="939">
        <f t="shared" ca="1" si="60"/>
        <v>0</v>
      </c>
      <c r="N119" s="939">
        <f t="shared" ca="1" si="60"/>
        <v>0</v>
      </c>
      <c r="O119" s="939">
        <f t="shared" ref="O119:O127" ca="1" si="61">IF(L119&gt;0,N119*100/L119,0)</f>
        <v>0</v>
      </c>
      <c r="P119" s="939">
        <f t="shared" ref="P119:P127" ca="1" si="62">IF(M119&gt;0,N119*100/M119,0)</f>
        <v>0</v>
      </c>
      <c r="Q119" s="818"/>
      <c r="R119" s="818"/>
      <c r="S119" s="818"/>
      <c r="T119" s="818"/>
      <c r="U119" s="818"/>
      <c r="V119" s="818"/>
      <c r="W119" s="818"/>
      <c r="X119" s="818"/>
      <c r="Y119" s="818"/>
      <c r="Z119" s="818"/>
    </row>
    <row r="120" spans="1:26" ht="18.75" hidden="1">
      <c r="A120" s="940"/>
      <c r="B120" s="833"/>
      <c r="C120" s="833"/>
      <c r="D120" s="833"/>
      <c r="E120" s="834" t="s">
        <v>18</v>
      </c>
      <c r="F120" s="833"/>
      <c r="G120" s="941"/>
      <c r="H120" s="158" t="s">
        <v>12</v>
      </c>
      <c r="I120" s="836"/>
      <c r="J120" s="836"/>
      <c r="K120" s="837"/>
      <c r="L120" s="837">
        <f t="shared" ref="L120:N121" si="63">L123+L126</f>
        <v>0</v>
      </c>
      <c r="M120" s="837">
        <f t="shared" si="63"/>
        <v>0</v>
      </c>
      <c r="N120" s="837">
        <f t="shared" si="63"/>
        <v>0</v>
      </c>
      <c r="O120" s="837">
        <f t="shared" si="61"/>
        <v>0</v>
      </c>
      <c r="P120" s="837">
        <f t="shared" si="62"/>
        <v>0</v>
      </c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</row>
    <row r="121" spans="1:26" ht="18.75" hidden="1">
      <c r="A121" s="940"/>
      <c r="B121" s="833"/>
      <c r="C121" s="833"/>
      <c r="D121" s="833"/>
      <c r="E121" s="834" t="s">
        <v>19</v>
      </c>
      <c r="F121" s="833"/>
      <c r="G121" s="941"/>
      <c r="H121" s="158" t="s">
        <v>12</v>
      </c>
      <c r="I121" s="836"/>
      <c r="J121" s="836"/>
      <c r="K121" s="837"/>
      <c r="L121" s="837">
        <f t="shared" ca="1" si="63"/>
        <v>0</v>
      </c>
      <c r="M121" s="837">
        <f t="shared" ca="1" si="63"/>
        <v>0</v>
      </c>
      <c r="N121" s="837">
        <f t="shared" ca="1" si="63"/>
        <v>0</v>
      </c>
      <c r="O121" s="837">
        <f t="shared" ca="1" si="61"/>
        <v>0</v>
      </c>
      <c r="P121" s="837">
        <f t="shared" ca="1" si="62"/>
        <v>0</v>
      </c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</row>
    <row r="122" spans="1:26" ht="18.75" hidden="1">
      <c r="A122" s="942"/>
      <c r="B122" s="827"/>
      <c r="C122" s="943"/>
      <c r="D122" s="828" t="s">
        <v>20</v>
      </c>
      <c r="E122" s="827"/>
      <c r="F122" s="827"/>
      <c r="G122" s="829"/>
      <c r="H122" s="778" t="s">
        <v>12</v>
      </c>
      <c r="I122" s="944"/>
      <c r="J122" s="944"/>
      <c r="K122" s="945"/>
      <c r="L122" s="831">
        <f t="shared" ref="L122:N122" ca="1" si="64">L123+L124</f>
        <v>0</v>
      </c>
      <c r="M122" s="831">
        <f t="shared" ca="1" si="64"/>
        <v>0</v>
      </c>
      <c r="N122" s="831">
        <f t="shared" ca="1" si="64"/>
        <v>0</v>
      </c>
      <c r="O122" s="831">
        <f t="shared" ca="1" si="61"/>
        <v>0</v>
      </c>
      <c r="P122" s="831">
        <f t="shared" ca="1" si="62"/>
        <v>0</v>
      </c>
      <c r="Q122" s="818"/>
      <c r="R122" s="818"/>
      <c r="S122" s="818"/>
      <c r="T122" s="818"/>
      <c r="U122" s="818"/>
      <c r="V122" s="818"/>
      <c r="W122" s="818"/>
      <c r="X122" s="818"/>
      <c r="Y122" s="818"/>
      <c r="Z122" s="818"/>
    </row>
    <row r="123" spans="1:26" ht="18.75" hidden="1">
      <c r="A123" s="940"/>
      <c r="B123" s="833"/>
      <c r="C123" s="834"/>
      <c r="D123" s="833"/>
      <c r="E123" s="834" t="s">
        <v>36</v>
      </c>
      <c r="F123" s="833"/>
      <c r="G123" s="941"/>
      <c r="H123" s="165" t="s">
        <v>12</v>
      </c>
      <c r="I123" s="947"/>
      <c r="J123" s="947"/>
      <c r="K123" s="948"/>
      <c r="L123" s="837">
        <v>0</v>
      </c>
      <c r="M123" s="837">
        <v>0</v>
      </c>
      <c r="N123" s="837">
        <v>0</v>
      </c>
      <c r="O123" s="837">
        <f t="shared" si="61"/>
        <v>0</v>
      </c>
      <c r="P123" s="837">
        <f t="shared" si="62"/>
        <v>0</v>
      </c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</row>
    <row r="124" spans="1:26" ht="18.75" hidden="1">
      <c r="A124" s="940"/>
      <c r="B124" s="833"/>
      <c r="C124" s="834"/>
      <c r="D124" s="833"/>
      <c r="E124" s="834" t="s">
        <v>37</v>
      </c>
      <c r="F124" s="833"/>
      <c r="G124" s="941"/>
      <c r="H124" s="165" t="s">
        <v>12</v>
      </c>
      <c r="I124" s="947"/>
      <c r="J124" s="947"/>
      <c r="K124" s="948"/>
      <c r="L124" s="837">
        <f ca="1">IFERROR(__xludf.DUMMYFUNCTION("IMPORTRANGE(""https://docs.google.com/spreadsheets/d/1MeEWN-I1oV_STSDYn1IFDPWt_1FKiwhDph83XaGc0o0/edit?usp=sharing"",""งบพรบ!BA24"")"),0)</f>
        <v>0</v>
      </c>
      <c r="M124" s="837">
        <f ca="1">IFERROR(__xludf.DUMMYFUNCTION("IMPORTRANGE(""https://docs.google.com/spreadsheets/d/1MeEWN-I1oV_STSDYn1IFDPWt_1FKiwhDph83XaGc0o0/edit?usp=sharing"",""งบพรบ!BF24"")"),0)</f>
        <v>0</v>
      </c>
      <c r="N124" s="837">
        <f ca="1">IFERROR(__xludf.DUMMYFUNCTION("IMPORTRANGE(""https://docs.google.com/spreadsheets/d/1MeEWN-I1oV_STSDYn1IFDPWt_1FKiwhDph83XaGc0o0/edit?usp=sharing"",""งบพรบ!BH24"")"),0)</f>
        <v>0</v>
      </c>
      <c r="O124" s="837">
        <f t="shared" ca="1" si="61"/>
        <v>0</v>
      </c>
      <c r="P124" s="837">
        <f t="shared" ca="1" si="62"/>
        <v>0</v>
      </c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</row>
    <row r="125" spans="1:26" ht="18.75" hidden="1">
      <c r="A125" s="942"/>
      <c r="B125" s="827"/>
      <c r="C125" s="943"/>
      <c r="D125" s="828" t="s">
        <v>21</v>
      </c>
      <c r="E125" s="827"/>
      <c r="F125" s="827"/>
      <c r="G125" s="829"/>
      <c r="H125" s="168" t="s">
        <v>12</v>
      </c>
      <c r="I125" s="944"/>
      <c r="J125" s="944"/>
      <c r="K125" s="945"/>
      <c r="L125" s="831">
        <f t="shared" ref="L125:N125" ca="1" si="65">L126+L127</f>
        <v>0</v>
      </c>
      <c r="M125" s="831">
        <f t="shared" ca="1" si="65"/>
        <v>0</v>
      </c>
      <c r="N125" s="831">
        <f t="shared" ca="1" si="65"/>
        <v>0</v>
      </c>
      <c r="O125" s="831">
        <f t="shared" ca="1" si="61"/>
        <v>0</v>
      </c>
      <c r="P125" s="831">
        <f t="shared" ca="1" si="62"/>
        <v>0</v>
      </c>
      <c r="Q125" s="818"/>
      <c r="R125" s="818"/>
      <c r="S125" s="818"/>
      <c r="T125" s="818"/>
      <c r="U125" s="818"/>
      <c r="V125" s="818"/>
      <c r="W125" s="818"/>
      <c r="X125" s="818"/>
      <c r="Y125" s="818"/>
      <c r="Z125" s="818"/>
    </row>
    <row r="126" spans="1:26" ht="19.5" hidden="1">
      <c r="A126" s="940"/>
      <c r="B126" s="833"/>
      <c r="C126" s="946"/>
      <c r="D126" s="833"/>
      <c r="E126" s="834" t="s">
        <v>18</v>
      </c>
      <c r="F126" s="833"/>
      <c r="G126" s="941"/>
      <c r="H126" s="165" t="s">
        <v>12</v>
      </c>
      <c r="I126" s="947"/>
      <c r="J126" s="947"/>
      <c r="K126" s="948"/>
      <c r="L126" s="837">
        <v>0</v>
      </c>
      <c r="M126" s="837">
        <v>0</v>
      </c>
      <c r="N126" s="837">
        <v>0</v>
      </c>
      <c r="O126" s="837">
        <f t="shared" si="61"/>
        <v>0</v>
      </c>
      <c r="P126" s="837">
        <f t="shared" si="62"/>
        <v>0</v>
      </c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</row>
    <row r="127" spans="1:26" ht="19.5" hidden="1">
      <c r="A127" s="940"/>
      <c r="B127" s="833"/>
      <c r="C127" s="946"/>
      <c r="D127" s="833"/>
      <c r="E127" s="834" t="s">
        <v>19</v>
      </c>
      <c r="F127" s="833"/>
      <c r="G127" s="941"/>
      <c r="H127" s="169" t="s">
        <v>12</v>
      </c>
      <c r="I127" s="947"/>
      <c r="J127" s="947"/>
      <c r="K127" s="948"/>
      <c r="L127" s="837">
        <f ca="1">IFERROR(__xludf.DUMMYFUNCTION("IMPORTRANGE(""https://docs.google.com/spreadsheets/d/1MeEWN-I1oV_STSDYn1IFDPWt_1FKiwhDph83XaGc0o0/edit?usp=sharing"",""งบพรบ!BD24"")"),0)</f>
        <v>0</v>
      </c>
      <c r="M127" s="837">
        <f ca="1">IFERROR(__xludf.DUMMYFUNCTION("IMPORTRANGE(""https://docs.google.com/spreadsheets/d/1MeEWN-I1oV_STSDYn1IFDPWt_1FKiwhDph83XaGc0o0/edit?usp=sharing"",""งบพรบ!BG24"")"),0)</f>
        <v>0</v>
      </c>
      <c r="N127" s="837">
        <f ca="1">IFERROR(__xludf.DUMMYFUNCTION("IMPORTRANGE(""https://docs.google.com/spreadsheets/d/1MeEWN-I1oV_STSDYn1IFDPWt_1FKiwhDph83XaGc0o0/edit?usp=sharing"",""งบพรบ!BI24"")"),0)</f>
        <v>0</v>
      </c>
      <c r="O127" s="837">
        <f t="shared" ca="1" si="61"/>
        <v>0</v>
      </c>
      <c r="P127" s="837">
        <f t="shared" ca="1" si="62"/>
        <v>0</v>
      </c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</row>
    <row r="128" spans="1:26" ht="19.5">
      <c r="A128" s="917" t="s">
        <v>67</v>
      </c>
      <c r="B128" s="918"/>
      <c r="C128" s="969"/>
      <c r="D128" s="918"/>
      <c r="E128" s="918"/>
      <c r="F128" s="918"/>
      <c r="G128" s="918"/>
      <c r="H128" s="970"/>
      <c r="I128" s="971"/>
      <c r="J128" s="971"/>
      <c r="K128" s="972"/>
      <c r="L128" s="923"/>
      <c r="M128" s="923"/>
      <c r="N128" s="923"/>
      <c r="O128" s="923"/>
      <c r="P128" s="923"/>
    </row>
    <row r="129" spans="1:26" ht="19.5">
      <c r="A129" s="924"/>
      <c r="B129" s="925" t="s">
        <v>68</v>
      </c>
      <c r="C129" s="973"/>
      <c r="D129" s="927"/>
      <c r="E129" s="926"/>
      <c r="F129" s="926"/>
      <c r="G129" s="926"/>
      <c r="H129" s="207"/>
      <c r="I129" s="974"/>
      <c r="J129" s="974"/>
      <c r="K129" s="931"/>
      <c r="L129" s="931"/>
      <c r="M129" s="931"/>
      <c r="N129" s="931"/>
      <c r="O129" s="931"/>
      <c r="P129" s="931"/>
    </row>
    <row r="130" spans="1:26" ht="19.5">
      <c r="A130" s="924"/>
      <c r="B130" s="925"/>
      <c r="C130" s="975" t="s">
        <v>69</v>
      </c>
      <c r="D130" s="927"/>
      <c r="E130" s="926"/>
      <c r="F130" s="926"/>
      <c r="G130" s="928"/>
      <c r="H130" s="205" t="s">
        <v>66</v>
      </c>
      <c r="I130" s="929">
        <f t="shared" ref="I130:J130" ca="1" si="66">I146</f>
        <v>3</v>
      </c>
      <c r="J130" s="929">
        <f t="shared" si="66"/>
        <v>3</v>
      </c>
      <c r="K130" s="930">
        <f t="shared" ref="K130:K131" ca="1" si="67">IF(I130&gt;0,J130*100/I130,0)</f>
        <v>100</v>
      </c>
      <c r="L130" s="931"/>
      <c r="M130" s="931"/>
      <c r="N130" s="931"/>
      <c r="O130" s="931"/>
      <c r="P130" s="931"/>
    </row>
    <row r="131" spans="1:26" ht="19.5">
      <c r="A131" s="924"/>
      <c r="B131" s="925"/>
      <c r="C131" s="975" t="s">
        <v>70</v>
      </c>
      <c r="D131" s="927"/>
      <c r="E131" s="926"/>
      <c r="F131" s="926"/>
      <c r="G131" s="928"/>
      <c r="H131" s="205" t="s">
        <v>35</v>
      </c>
      <c r="I131" s="929">
        <f t="shared" ref="I131:J131" ca="1" si="68">I143</f>
        <v>30</v>
      </c>
      <c r="J131" s="929">
        <f t="shared" ca="1" si="68"/>
        <v>30</v>
      </c>
      <c r="K131" s="930">
        <f t="shared" ca="1" si="67"/>
        <v>100</v>
      </c>
      <c r="L131" s="931"/>
      <c r="M131" s="931"/>
      <c r="N131" s="931"/>
      <c r="O131" s="931"/>
      <c r="P131" s="931"/>
    </row>
    <row r="132" spans="1:26" ht="19.5">
      <c r="A132" s="932"/>
      <c r="B132" s="933"/>
      <c r="C132" s="934" t="s">
        <v>16</v>
      </c>
      <c r="D132" s="935" t="s">
        <v>17</v>
      </c>
      <c r="E132" s="933"/>
      <c r="F132" s="933"/>
      <c r="G132" s="936"/>
      <c r="H132" s="152" t="s">
        <v>12</v>
      </c>
      <c r="I132" s="937"/>
      <c r="J132" s="937"/>
      <c r="K132" s="938"/>
      <c r="L132" s="939">
        <f t="shared" ref="L132:N132" ca="1" si="69">L133+L134</f>
        <v>542565</v>
      </c>
      <c r="M132" s="939">
        <f t="shared" ca="1" si="69"/>
        <v>504800</v>
      </c>
      <c r="N132" s="939">
        <f t="shared" ca="1" si="69"/>
        <v>428150</v>
      </c>
      <c r="O132" s="939">
        <f t="shared" ref="O132:O140" ca="1" si="70">IF(L132&gt;0,N132*100/L132,0)</f>
        <v>78.912204067715393</v>
      </c>
      <c r="P132" s="939">
        <f t="shared" ref="P132:P140" ca="1" si="71">IF(M132&gt;0,N132*100/M132,0)</f>
        <v>84.815768621236131</v>
      </c>
      <c r="Q132" s="818"/>
      <c r="R132" s="818"/>
      <c r="S132" s="818"/>
      <c r="T132" s="818"/>
      <c r="U132" s="818"/>
      <c r="V132" s="818"/>
      <c r="W132" s="818"/>
      <c r="X132" s="818"/>
      <c r="Y132" s="818"/>
      <c r="Z132" s="818"/>
    </row>
    <row r="133" spans="1:26" ht="18.75" hidden="1">
      <c r="A133" s="940"/>
      <c r="B133" s="833"/>
      <c r="C133" s="833"/>
      <c r="D133" s="833"/>
      <c r="E133" s="834" t="s">
        <v>18</v>
      </c>
      <c r="F133" s="833"/>
      <c r="G133" s="941"/>
      <c r="H133" s="158" t="s">
        <v>12</v>
      </c>
      <c r="I133" s="836"/>
      <c r="J133" s="836"/>
      <c r="K133" s="837"/>
      <c r="L133" s="837">
        <f t="shared" ref="L133:N134" si="72">L136+L139</f>
        <v>0</v>
      </c>
      <c r="M133" s="837">
        <f t="shared" si="72"/>
        <v>0</v>
      </c>
      <c r="N133" s="837">
        <f t="shared" si="72"/>
        <v>0</v>
      </c>
      <c r="O133" s="837">
        <f t="shared" si="70"/>
        <v>0</v>
      </c>
      <c r="P133" s="837">
        <f t="shared" si="71"/>
        <v>0</v>
      </c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</row>
    <row r="134" spans="1:26" ht="18.75" hidden="1">
      <c r="A134" s="940"/>
      <c r="B134" s="833"/>
      <c r="C134" s="833"/>
      <c r="D134" s="833"/>
      <c r="E134" s="834" t="s">
        <v>19</v>
      </c>
      <c r="F134" s="833"/>
      <c r="G134" s="941"/>
      <c r="H134" s="158" t="s">
        <v>12</v>
      </c>
      <c r="I134" s="836"/>
      <c r="J134" s="836"/>
      <c r="K134" s="837"/>
      <c r="L134" s="837">
        <f t="shared" ca="1" si="72"/>
        <v>542565</v>
      </c>
      <c r="M134" s="837">
        <f t="shared" ca="1" si="72"/>
        <v>504800</v>
      </c>
      <c r="N134" s="837">
        <f t="shared" ca="1" si="72"/>
        <v>428150</v>
      </c>
      <c r="O134" s="837">
        <f t="shared" ca="1" si="70"/>
        <v>78.912204067715393</v>
      </c>
      <c r="P134" s="837">
        <f t="shared" ca="1" si="71"/>
        <v>84.815768621236131</v>
      </c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</row>
    <row r="135" spans="1:26" ht="18.75">
      <c r="A135" s="942"/>
      <c r="B135" s="827"/>
      <c r="C135" s="943"/>
      <c r="D135" s="828" t="s">
        <v>20</v>
      </c>
      <c r="E135" s="827"/>
      <c r="F135" s="827"/>
      <c r="G135" s="829"/>
      <c r="H135" s="778" t="s">
        <v>12</v>
      </c>
      <c r="I135" s="944"/>
      <c r="J135" s="944"/>
      <c r="K135" s="945"/>
      <c r="L135" s="831">
        <f t="shared" ref="L135:N135" ca="1" si="73">L136+L137</f>
        <v>233565</v>
      </c>
      <c r="M135" s="831">
        <f t="shared" ca="1" si="73"/>
        <v>197300</v>
      </c>
      <c r="N135" s="831">
        <f t="shared" ca="1" si="73"/>
        <v>120650</v>
      </c>
      <c r="O135" s="831">
        <f t="shared" ca="1" si="70"/>
        <v>51.655855971571086</v>
      </c>
      <c r="P135" s="831">
        <f t="shared" ca="1" si="71"/>
        <v>61.150532184490622</v>
      </c>
      <c r="Q135" s="818"/>
      <c r="R135" s="818"/>
      <c r="S135" s="818"/>
      <c r="T135" s="818"/>
      <c r="U135" s="818"/>
      <c r="V135" s="818"/>
      <c r="W135" s="818"/>
      <c r="X135" s="818"/>
      <c r="Y135" s="818"/>
      <c r="Z135" s="818"/>
    </row>
    <row r="136" spans="1:26" ht="19.5" hidden="1">
      <c r="A136" s="940"/>
      <c r="B136" s="833"/>
      <c r="C136" s="946"/>
      <c r="D136" s="833"/>
      <c r="E136" s="834" t="s">
        <v>36</v>
      </c>
      <c r="F136" s="833"/>
      <c r="G136" s="941"/>
      <c r="H136" s="165" t="s">
        <v>12</v>
      </c>
      <c r="I136" s="947"/>
      <c r="J136" s="947"/>
      <c r="K136" s="948"/>
      <c r="L136" s="837">
        <v>0</v>
      </c>
      <c r="M136" s="837">
        <v>0</v>
      </c>
      <c r="N136" s="837">
        <v>0</v>
      </c>
      <c r="O136" s="837">
        <f t="shared" si="70"/>
        <v>0</v>
      </c>
      <c r="P136" s="837">
        <f t="shared" si="71"/>
        <v>0</v>
      </c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</row>
    <row r="137" spans="1:26" ht="19.5" hidden="1">
      <c r="A137" s="940"/>
      <c r="B137" s="833"/>
      <c r="C137" s="946"/>
      <c r="D137" s="833"/>
      <c r="E137" s="834" t="s">
        <v>37</v>
      </c>
      <c r="F137" s="833"/>
      <c r="G137" s="941"/>
      <c r="H137" s="165" t="s">
        <v>12</v>
      </c>
      <c r="I137" s="947"/>
      <c r="J137" s="947"/>
      <c r="K137" s="948"/>
      <c r="L137" s="837">
        <f ca="1">IFERROR(__xludf.DUMMYFUNCTION("IMPORTRANGE(""https://docs.google.com/spreadsheets/d/1MeEWN-I1oV_STSDYn1IFDPWt_1FKiwhDph83XaGc0o0/edit?usp=sharing"",""งบพรบ!BK24"")"),233565)</f>
        <v>233565</v>
      </c>
      <c r="M137" s="837">
        <f ca="1">IFERROR(__xludf.DUMMYFUNCTION("IMPORTRANGE(""https://docs.google.com/spreadsheets/d/1MeEWN-I1oV_STSDYn1IFDPWt_1FKiwhDph83XaGc0o0/edit?usp=sharing"",""งบพรบ!BP24"")"),197300)</f>
        <v>197300</v>
      </c>
      <c r="N137" s="837">
        <f ca="1">IFERROR(__xludf.DUMMYFUNCTION("IMPORTRANGE(""https://docs.google.com/spreadsheets/d/1MeEWN-I1oV_STSDYn1IFDPWt_1FKiwhDph83XaGc0o0/edit?usp=sharing"",""งบพรบ!BR24"")"),120650)</f>
        <v>120650</v>
      </c>
      <c r="O137" s="837">
        <f t="shared" ca="1" si="70"/>
        <v>51.655855971571086</v>
      </c>
      <c r="P137" s="837">
        <f t="shared" ca="1" si="71"/>
        <v>61.150532184490622</v>
      </c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</row>
    <row r="138" spans="1:26" ht="18.75">
      <c r="A138" s="942"/>
      <c r="B138" s="827"/>
      <c r="C138" s="943"/>
      <c r="D138" s="828" t="s">
        <v>21</v>
      </c>
      <c r="E138" s="827"/>
      <c r="F138" s="827"/>
      <c r="G138" s="829"/>
      <c r="H138" s="168" t="s">
        <v>12</v>
      </c>
      <c r="I138" s="944"/>
      <c r="J138" s="944"/>
      <c r="K138" s="945"/>
      <c r="L138" s="831">
        <f t="shared" ref="L138:N138" ca="1" si="74">L139+L140</f>
        <v>309000</v>
      </c>
      <c r="M138" s="831">
        <f t="shared" ca="1" si="74"/>
        <v>307500</v>
      </c>
      <c r="N138" s="831">
        <f t="shared" ca="1" si="74"/>
        <v>307500</v>
      </c>
      <c r="O138" s="831">
        <f t="shared" ca="1" si="70"/>
        <v>99.514563106796118</v>
      </c>
      <c r="P138" s="831">
        <f t="shared" ca="1" si="71"/>
        <v>100</v>
      </c>
      <c r="Q138" s="818"/>
      <c r="R138" s="818"/>
      <c r="S138" s="818"/>
      <c r="T138" s="818"/>
      <c r="U138" s="818"/>
      <c r="V138" s="818"/>
      <c r="W138" s="818"/>
      <c r="X138" s="818"/>
      <c r="Y138" s="818"/>
      <c r="Z138" s="818"/>
    </row>
    <row r="139" spans="1:26" ht="19.5" hidden="1">
      <c r="A139" s="940"/>
      <c r="B139" s="833"/>
      <c r="C139" s="946"/>
      <c r="D139" s="833"/>
      <c r="E139" s="834" t="s">
        <v>18</v>
      </c>
      <c r="F139" s="833"/>
      <c r="G139" s="941"/>
      <c r="H139" s="165" t="s">
        <v>12</v>
      </c>
      <c r="I139" s="947"/>
      <c r="J139" s="947"/>
      <c r="K139" s="948"/>
      <c r="L139" s="837">
        <v>0</v>
      </c>
      <c r="M139" s="837">
        <v>0</v>
      </c>
      <c r="N139" s="837">
        <v>0</v>
      </c>
      <c r="O139" s="837">
        <f t="shared" si="70"/>
        <v>0</v>
      </c>
      <c r="P139" s="837">
        <f t="shared" si="71"/>
        <v>0</v>
      </c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</row>
    <row r="140" spans="1:26" ht="19.5" hidden="1">
      <c r="A140" s="940"/>
      <c r="B140" s="833"/>
      <c r="C140" s="946"/>
      <c r="D140" s="833"/>
      <c r="E140" s="834" t="s">
        <v>19</v>
      </c>
      <c r="F140" s="833"/>
      <c r="G140" s="941"/>
      <c r="H140" s="169" t="s">
        <v>12</v>
      </c>
      <c r="I140" s="947"/>
      <c r="J140" s="947"/>
      <c r="K140" s="948"/>
      <c r="L140" s="837">
        <f ca="1">IFERROR(__xludf.DUMMYFUNCTION("IMPORTRANGE(""https://docs.google.com/spreadsheets/d/1MeEWN-I1oV_STSDYn1IFDPWt_1FKiwhDph83XaGc0o0/edit?usp=sharing"",""งบพรบ!BN24"")"),309000)</f>
        <v>309000</v>
      </c>
      <c r="M140" s="837">
        <f ca="1">IFERROR(__xludf.DUMMYFUNCTION("IMPORTRANGE(""https://docs.google.com/spreadsheets/d/1MeEWN-I1oV_STSDYn1IFDPWt_1FKiwhDph83XaGc0o0/edit?usp=sharing"",""งบพรบ!BQ24"")"),307500)</f>
        <v>307500</v>
      </c>
      <c r="N140" s="837">
        <f ca="1">IFERROR(__xludf.DUMMYFUNCTION("IMPORTRANGE(""https://docs.google.com/spreadsheets/d/1MeEWN-I1oV_STSDYn1IFDPWt_1FKiwhDph83XaGc0o0/edit?usp=sharing"",""งบพรบ!BS24"")"),307500)</f>
        <v>307500</v>
      </c>
      <c r="O140" s="837">
        <f t="shared" ca="1" si="70"/>
        <v>99.514563106796118</v>
      </c>
      <c r="P140" s="837">
        <f t="shared" ca="1" si="71"/>
        <v>100</v>
      </c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</row>
    <row r="141" spans="1:26" ht="19.5">
      <c r="A141" s="949"/>
      <c r="B141" s="950"/>
      <c r="C141" s="934" t="s">
        <v>16</v>
      </c>
      <c r="D141" s="951" t="s">
        <v>38</v>
      </c>
      <c r="E141" s="952"/>
      <c r="F141" s="952"/>
      <c r="G141" s="953"/>
      <c r="H141" s="168"/>
      <c r="I141" s="830"/>
      <c r="J141" s="830"/>
      <c r="K141" s="831"/>
      <c r="L141" s="831"/>
      <c r="M141" s="831"/>
      <c r="N141" s="831"/>
      <c r="O141" s="831"/>
      <c r="P141" s="831"/>
    </row>
    <row r="142" spans="1:26" ht="19.5">
      <c r="A142" s="942"/>
      <c r="B142" s="827"/>
      <c r="C142" s="976"/>
      <c r="D142" s="943" t="s">
        <v>71</v>
      </c>
      <c r="E142" s="828"/>
      <c r="F142" s="827"/>
      <c r="G142" s="977"/>
      <c r="H142" s="168"/>
      <c r="I142" s="830"/>
      <c r="J142" s="959">
        <v>30</v>
      </c>
      <c r="K142" s="831"/>
      <c r="L142" s="831"/>
      <c r="M142" s="831"/>
      <c r="N142" s="831"/>
      <c r="O142" s="831"/>
      <c r="P142" s="831"/>
    </row>
    <row r="143" spans="1:26" ht="19.5">
      <c r="A143" s="942"/>
      <c r="B143" s="827"/>
      <c r="C143" s="976"/>
      <c r="D143" s="943" t="s">
        <v>72</v>
      </c>
      <c r="E143" s="828"/>
      <c r="F143" s="827"/>
      <c r="G143" s="977"/>
      <c r="H143" s="168" t="s">
        <v>35</v>
      </c>
      <c r="I143" s="830">
        <f ca="1">I145</f>
        <v>30</v>
      </c>
      <c r="J143" s="830">
        <f ca="1">IF(AND(J144&gt;=I144,J145&gt;=I145),J145,0)</f>
        <v>30</v>
      </c>
      <c r="K143" s="831">
        <f t="shared" ref="K143:K146" ca="1" si="75">IF(I143&gt;0,J143*100/I143,0)</f>
        <v>100</v>
      </c>
      <c r="L143" s="831"/>
      <c r="M143" s="831"/>
      <c r="N143" s="831"/>
      <c r="O143" s="831"/>
      <c r="P143" s="831"/>
    </row>
    <row r="144" spans="1:26" ht="19.5">
      <c r="A144" s="942"/>
      <c r="B144" s="827"/>
      <c r="C144" s="976"/>
      <c r="D144" s="957"/>
      <c r="E144" s="943" t="s">
        <v>73</v>
      </c>
      <c r="F144" s="827"/>
      <c r="G144" s="977"/>
      <c r="H144" s="168" t="s">
        <v>35</v>
      </c>
      <c r="I144" s="830">
        <f ca="1">IFERROR(__xludf.DUMMYFUNCTION("IMPORTRANGE(""https://docs.google.com/spreadsheets/d/1QqKyyYR6Q21VydFLVH3TRQUabQu_ym0Zz7PgGX0-kHA/edit?usp=sharing"",""แผน!U24"")"),15)</f>
        <v>15</v>
      </c>
      <c r="J144" s="959">
        <v>30</v>
      </c>
      <c r="K144" s="831">
        <f t="shared" ca="1" si="75"/>
        <v>200</v>
      </c>
      <c r="L144" s="831"/>
      <c r="M144" s="831"/>
      <c r="N144" s="831"/>
      <c r="O144" s="831"/>
      <c r="P144" s="831"/>
    </row>
    <row r="145" spans="1:26" ht="19.5">
      <c r="A145" s="942"/>
      <c r="B145" s="827"/>
      <c r="C145" s="976"/>
      <c r="D145" s="957"/>
      <c r="E145" s="943" t="s">
        <v>74</v>
      </c>
      <c r="F145" s="827"/>
      <c r="G145" s="977"/>
      <c r="H145" s="168" t="s">
        <v>35</v>
      </c>
      <c r="I145" s="830">
        <f ca="1">IFERROR(__xludf.DUMMYFUNCTION("IMPORTRANGE(""https://docs.google.com/spreadsheets/d/1QqKyyYR6Q21VydFLVH3TRQUabQu_ym0Zz7PgGX0-kHA/edit?usp=sharing"",""แผน!V24"")"),30)</f>
        <v>30</v>
      </c>
      <c r="J145" s="959">
        <v>30</v>
      </c>
      <c r="K145" s="831">
        <f t="shared" ca="1" si="75"/>
        <v>100</v>
      </c>
      <c r="L145" s="831"/>
      <c r="M145" s="831"/>
      <c r="N145" s="831"/>
      <c r="O145" s="831"/>
      <c r="P145" s="831"/>
    </row>
    <row r="146" spans="1:26" ht="19.5">
      <c r="A146" s="942"/>
      <c r="B146" s="827"/>
      <c r="C146" s="976"/>
      <c r="D146" s="943" t="s">
        <v>75</v>
      </c>
      <c r="E146" s="828"/>
      <c r="F146" s="827"/>
      <c r="G146" s="977"/>
      <c r="H146" s="168" t="s">
        <v>66</v>
      </c>
      <c r="I146" s="830">
        <f ca="1">IFERROR(__xludf.DUMMYFUNCTION("IMPORTRANGE(""https://docs.google.com/spreadsheets/d/1QqKyyYR6Q21VydFLVH3TRQUabQu_ym0Zz7PgGX0-kHA/edit?usp=sharing"",""แผน!W24"")"),3)</f>
        <v>3</v>
      </c>
      <c r="J146" s="959">
        <v>3</v>
      </c>
      <c r="K146" s="831">
        <f t="shared" ca="1" si="75"/>
        <v>100</v>
      </c>
      <c r="L146" s="831"/>
      <c r="M146" s="831"/>
      <c r="N146" s="831"/>
      <c r="O146" s="831"/>
      <c r="P146" s="831"/>
    </row>
    <row r="147" spans="1:26" ht="19.5" hidden="1">
      <c r="A147" s="917" t="s">
        <v>76</v>
      </c>
      <c r="B147" s="918"/>
      <c r="C147" s="969"/>
      <c r="D147" s="918"/>
      <c r="E147" s="918"/>
      <c r="F147" s="918"/>
      <c r="G147" s="918"/>
      <c r="H147" s="970"/>
      <c r="I147" s="971"/>
      <c r="J147" s="971"/>
      <c r="K147" s="972"/>
      <c r="L147" s="923"/>
      <c r="M147" s="923"/>
      <c r="N147" s="923"/>
      <c r="O147" s="923"/>
      <c r="P147" s="923"/>
    </row>
    <row r="148" spans="1:26" ht="19.5" hidden="1">
      <c r="A148" s="978"/>
      <c r="B148" s="925" t="s">
        <v>77</v>
      </c>
      <c r="C148" s="925"/>
      <c r="D148" s="925"/>
      <c r="E148" s="979"/>
      <c r="F148" s="980"/>
      <c r="G148" s="981"/>
      <c r="H148" s="221" t="s">
        <v>35</v>
      </c>
      <c r="I148" s="929">
        <f t="shared" ref="I148:J148" ca="1" si="76">I159</f>
        <v>0</v>
      </c>
      <c r="J148" s="929">
        <f t="shared" si="76"/>
        <v>0</v>
      </c>
      <c r="K148" s="930">
        <f ca="1">IF(I148&gt;0,J148*100/I148,0)</f>
        <v>0</v>
      </c>
      <c r="L148" s="930"/>
      <c r="M148" s="930"/>
      <c r="N148" s="930"/>
      <c r="O148" s="930"/>
      <c r="P148" s="930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32"/>
      <c r="B149" s="933"/>
      <c r="C149" s="934" t="s">
        <v>16</v>
      </c>
      <c r="D149" s="935" t="s">
        <v>17</v>
      </c>
      <c r="E149" s="933"/>
      <c r="F149" s="933"/>
      <c r="G149" s="936"/>
      <c r="H149" s="152" t="s">
        <v>12</v>
      </c>
      <c r="I149" s="937"/>
      <c r="J149" s="937"/>
      <c r="K149" s="938"/>
      <c r="L149" s="939">
        <f t="shared" ref="L149:N149" ca="1" si="77">L150+L151</f>
        <v>0</v>
      </c>
      <c r="M149" s="939">
        <f t="shared" ca="1" si="77"/>
        <v>720</v>
      </c>
      <c r="N149" s="939">
        <f t="shared" ca="1" si="77"/>
        <v>720</v>
      </c>
      <c r="O149" s="939">
        <f t="shared" ref="O149:O157" ca="1" si="78">IF(L149&gt;0,N149*100/L149,0)</f>
        <v>0</v>
      </c>
      <c r="P149" s="939">
        <f t="shared" ref="P149:P157" ca="1" si="79">IF(M149&gt;0,N149*100/M149,0)</f>
        <v>100</v>
      </c>
      <c r="Q149" s="818"/>
      <c r="R149" s="818"/>
      <c r="S149" s="818"/>
      <c r="T149" s="818"/>
      <c r="U149" s="818"/>
      <c r="V149" s="818"/>
      <c r="W149" s="818"/>
      <c r="X149" s="818"/>
      <c r="Y149" s="818"/>
      <c r="Z149" s="818"/>
    </row>
    <row r="150" spans="1:26" ht="18.75" hidden="1">
      <c r="A150" s="940"/>
      <c r="B150" s="833"/>
      <c r="C150" s="833"/>
      <c r="D150" s="833"/>
      <c r="E150" s="834" t="s">
        <v>18</v>
      </c>
      <c r="F150" s="833"/>
      <c r="G150" s="941"/>
      <c r="H150" s="158" t="s">
        <v>12</v>
      </c>
      <c r="I150" s="836"/>
      <c r="J150" s="836"/>
      <c r="K150" s="837"/>
      <c r="L150" s="837">
        <f t="shared" ref="L150:N151" si="80">L153+L156</f>
        <v>0</v>
      </c>
      <c r="M150" s="837">
        <f t="shared" si="80"/>
        <v>0</v>
      </c>
      <c r="N150" s="837">
        <f t="shared" si="80"/>
        <v>0</v>
      </c>
      <c r="O150" s="837">
        <f t="shared" si="78"/>
        <v>0</v>
      </c>
      <c r="P150" s="837">
        <f t="shared" si="79"/>
        <v>0</v>
      </c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</row>
    <row r="151" spans="1:26" ht="18.75" hidden="1">
      <c r="A151" s="940"/>
      <c r="B151" s="833"/>
      <c r="C151" s="833"/>
      <c r="D151" s="833"/>
      <c r="E151" s="834" t="s">
        <v>19</v>
      </c>
      <c r="F151" s="833"/>
      <c r="G151" s="941"/>
      <c r="H151" s="158" t="s">
        <v>12</v>
      </c>
      <c r="I151" s="836"/>
      <c r="J151" s="836"/>
      <c r="K151" s="837"/>
      <c r="L151" s="837">
        <f t="shared" ca="1" si="80"/>
        <v>0</v>
      </c>
      <c r="M151" s="837">
        <f t="shared" ca="1" si="80"/>
        <v>720</v>
      </c>
      <c r="N151" s="837">
        <f t="shared" ca="1" si="80"/>
        <v>720</v>
      </c>
      <c r="O151" s="837">
        <f t="shared" ca="1" si="78"/>
        <v>0</v>
      </c>
      <c r="P151" s="837">
        <f t="shared" ca="1" si="79"/>
        <v>100</v>
      </c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</row>
    <row r="152" spans="1:26" ht="18.75" hidden="1">
      <c r="A152" s="942"/>
      <c r="B152" s="827"/>
      <c r="C152" s="943"/>
      <c r="D152" s="828" t="s">
        <v>20</v>
      </c>
      <c r="E152" s="827"/>
      <c r="F152" s="827"/>
      <c r="G152" s="829"/>
      <c r="H152" s="778" t="s">
        <v>12</v>
      </c>
      <c r="I152" s="944"/>
      <c r="J152" s="944"/>
      <c r="K152" s="945"/>
      <c r="L152" s="831">
        <f t="shared" ref="L152:N152" ca="1" si="81">L153+L154</f>
        <v>0</v>
      </c>
      <c r="M152" s="831">
        <f t="shared" ca="1" si="81"/>
        <v>720</v>
      </c>
      <c r="N152" s="831">
        <f t="shared" ca="1" si="81"/>
        <v>720</v>
      </c>
      <c r="O152" s="831">
        <f t="shared" ca="1" si="78"/>
        <v>0</v>
      </c>
      <c r="P152" s="831">
        <f t="shared" ca="1" si="79"/>
        <v>100</v>
      </c>
      <c r="Q152" s="818"/>
      <c r="R152" s="818"/>
      <c r="S152" s="818"/>
      <c r="T152" s="818"/>
      <c r="U152" s="818"/>
      <c r="V152" s="818"/>
      <c r="W152" s="818"/>
      <c r="X152" s="818"/>
      <c r="Y152" s="818"/>
      <c r="Z152" s="818"/>
    </row>
    <row r="153" spans="1:26" ht="19.5" hidden="1">
      <c r="A153" s="940"/>
      <c r="B153" s="833"/>
      <c r="C153" s="946"/>
      <c r="D153" s="833"/>
      <c r="E153" s="834" t="s">
        <v>36</v>
      </c>
      <c r="F153" s="833"/>
      <c r="G153" s="941"/>
      <c r="H153" s="165" t="s">
        <v>12</v>
      </c>
      <c r="I153" s="947"/>
      <c r="J153" s="947"/>
      <c r="K153" s="948"/>
      <c r="L153" s="837">
        <v>0</v>
      </c>
      <c r="M153" s="837">
        <v>0</v>
      </c>
      <c r="N153" s="837">
        <v>0</v>
      </c>
      <c r="O153" s="837">
        <f t="shared" si="78"/>
        <v>0</v>
      </c>
      <c r="P153" s="837">
        <f t="shared" si="79"/>
        <v>0</v>
      </c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</row>
    <row r="154" spans="1:26" ht="19.5" hidden="1">
      <c r="A154" s="940"/>
      <c r="B154" s="833"/>
      <c r="C154" s="946"/>
      <c r="D154" s="833"/>
      <c r="E154" s="834" t="s">
        <v>37</v>
      </c>
      <c r="F154" s="833"/>
      <c r="G154" s="941"/>
      <c r="H154" s="165" t="s">
        <v>12</v>
      </c>
      <c r="I154" s="947"/>
      <c r="J154" s="947"/>
      <c r="K154" s="948"/>
      <c r="L154" s="837">
        <f ca="1">IFERROR(__xludf.DUMMYFUNCTION("IMPORTRANGE(""https://docs.google.com/spreadsheets/d/1MeEWN-I1oV_STSDYn1IFDPWt_1FKiwhDph83XaGc0o0/edit?usp=sharing"",""งบพรบ!BU24"")"),0)</f>
        <v>0</v>
      </c>
      <c r="M154" s="837">
        <f ca="1">IFERROR(__xludf.DUMMYFUNCTION("IMPORTRANGE(""https://docs.google.com/spreadsheets/d/1MeEWN-I1oV_STSDYn1IFDPWt_1FKiwhDph83XaGc0o0/edit?usp=sharing"",""งบพรบ!BZ24"")"),720)</f>
        <v>720</v>
      </c>
      <c r="N154" s="837">
        <f ca="1">IFERROR(__xludf.DUMMYFUNCTION("IMPORTRANGE(""https://docs.google.com/spreadsheets/d/1MeEWN-I1oV_STSDYn1IFDPWt_1FKiwhDph83XaGc0o0/edit?usp=sharing"",""งบพรบ!CB24"")"),720)</f>
        <v>720</v>
      </c>
      <c r="O154" s="837">
        <f t="shared" ca="1" si="78"/>
        <v>0</v>
      </c>
      <c r="P154" s="837">
        <f t="shared" ca="1" si="79"/>
        <v>100</v>
      </c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</row>
    <row r="155" spans="1:26" ht="18.75" hidden="1">
      <c r="A155" s="942"/>
      <c r="B155" s="827"/>
      <c r="C155" s="943"/>
      <c r="D155" s="828" t="s">
        <v>21</v>
      </c>
      <c r="E155" s="827"/>
      <c r="F155" s="827"/>
      <c r="G155" s="829"/>
      <c r="H155" s="168" t="s">
        <v>12</v>
      </c>
      <c r="I155" s="944"/>
      <c r="J155" s="944"/>
      <c r="K155" s="945"/>
      <c r="L155" s="831">
        <f t="shared" ref="L155:N155" ca="1" si="82">L156+L157</f>
        <v>0</v>
      </c>
      <c r="M155" s="831">
        <f t="shared" ca="1" si="82"/>
        <v>0</v>
      </c>
      <c r="N155" s="831">
        <f t="shared" ca="1" si="82"/>
        <v>0</v>
      </c>
      <c r="O155" s="831">
        <f t="shared" ca="1" si="78"/>
        <v>0</v>
      </c>
      <c r="P155" s="831">
        <f t="shared" ca="1" si="79"/>
        <v>0</v>
      </c>
      <c r="Q155" s="818"/>
      <c r="R155" s="818"/>
      <c r="S155" s="818"/>
      <c r="T155" s="818"/>
      <c r="U155" s="818"/>
      <c r="V155" s="818"/>
      <c r="W155" s="818"/>
      <c r="X155" s="818"/>
      <c r="Y155" s="818"/>
      <c r="Z155" s="818"/>
    </row>
    <row r="156" spans="1:26" ht="19.5" hidden="1">
      <c r="A156" s="940"/>
      <c r="B156" s="833"/>
      <c r="C156" s="946"/>
      <c r="D156" s="833"/>
      <c r="E156" s="834" t="s">
        <v>18</v>
      </c>
      <c r="F156" s="833"/>
      <c r="G156" s="941"/>
      <c r="H156" s="165" t="s">
        <v>12</v>
      </c>
      <c r="I156" s="947"/>
      <c r="J156" s="947"/>
      <c r="K156" s="948"/>
      <c r="L156" s="837">
        <v>0</v>
      </c>
      <c r="M156" s="837">
        <v>0</v>
      </c>
      <c r="N156" s="837">
        <v>0</v>
      </c>
      <c r="O156" s="837">
        <f t="shared" si="78"/>
        <v>0</v>
      </c>
      <c r="P156" s="837">
        <f t="shared" si="79"/>
        <v>0</v>
      </c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</row>
    <row r="157" spans="1:26" ht="19.5" hidden="1">
      <c r="A157" s="940"/>
      <c r="B157" s="833"/>
      <c r="C157" s="946"/>
      <c r="D157" s="833"/>
      <c r="E157" s="834" t="s">
        <v>19</v>
      </c>
      <c r="F157" s="833"/>
      <c r="G157" s="941"/>
      <c r="H157" s="169" t="s">
        <v>12</v>
      </c>
      <c r="I157" s="947"/>
      <c r="J157" s="947"/>
      <c r="K157" s="948"/>
      <c r="L157" s="837">
        <f ca="1">IFERROR(__xludf.DUMMYFUNCTION("IMPORTRANGE(""https://docs.google.com/spreadsheets/d/1MeEWN-I1oV_STSDYn1IFDPWt_1FKiwhDph83XaGc0o0/edit?usp=sharing"",""งบพรบ!BX24"")"),0)</f>
        <v>0</v>
      </c>
      <c r="M157" s="837">
        <f ca="1">IFERROR(__xludf.DUMMYFUNCTION("IMPORTRANGE(""https://docs.google.com/spreadsheets/d/1MeEWN-I1oV_STSDYn1IFDPWt_1FKiwhDph83XaGc0o0/edit?usp=sharing"",""งบพรบ!CA24"")"),0)</f>
        <v>0</v>
      </c>
      <c r="N157" s="837">
        <f ca="1">IFERROR(__xludf.DUMMYFUNCTION("IMPORTRANGE(""https://docs.google.com/spreadsheets/d/1MeEWN-I1oV_STSDYn1IFDPWt_1FKiwhDph83XaGc0o0/edit?usp=sharing"",""งบพรบ!CC24"")"),0)</f>
        <v>0</v>
      </c>
      <c r="O157" s="837">
        <f t="shared" ca="1" si="78"/>
        <v>0</v>
      </c>
      <c r="P157" s="837">
        <f t="shared" ca="1" si="79"/>
        <v>0</v>
      </c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</row>
    <row r="158" spans="1:26" ht="19.5" hidden="1">
      <c r="A158" s="949"/>
      <c r="B158" s="950"/>
      <c r="C158" s="946" t="s">
        <v>16</v>
      </c>
      <c r="D158" s="951" t="s">
        <v>38</v>
      </c>
      <c r="E158" s="952"/>
      <c r="F158" s="952"/>
      <c r="G158" s="953"/>
      <c r="H158" s="168"/>
      <c r="I158" s="830"/>
      <c r="J158" s="830"/>
      <c r="K158" s="831"/>
      <c r="L158" s="831"/>
      <c r="M158" s="831"/>
      <c r="N158" s="831"/>
      <c r="O158" s="831"/>
      <c r="P158" s="831"/>
    </row>
    <row r="159" spans="1:26" ht="19.5" hidden="1">
      <c r="A159" s="942"/>
      <c r="B159" s="827"/>
      <c r="C159" s="976"/>
      <c r="D159" s="943" t="s">
        <v>78</v>
      </c>
      <c r="E159" s="828"/>
      <c r="F159" s="827"/>
      <c r="G159" s="977"/>
      <c r="H159" s="168" t="s">
        <v>35</v>
      </c>
      <c r="I159" s="830">
        <f ca="1">IFERROR(__xludf.DUMMYFUNCTION("IMPORTRANGE(""https://docs.google.com/spreadsheets/d/1QqKyyYR6Q21VydFLVH3TRQUabQu_ym0Zz7PgGX0-kHA/edit?usp=sharing"",""แผน!X24"")"),0)</f>
        <v>0</v>
      </c>
      <c r="J159" s="959">
        <v>0</v>
      </c>
      <c r="K159" s="831">
        <f ca="1">IF(I159&gt;0,J159*100/I159,0)</f>
        <v>0</v>
      </c>
      <c r="L159" s="831"/>
      <c r="M159" s="831"/>
      <c r="N159" s="831"/>
      <c r="O159" s="831"/>
      <c r="P159" s="831"/>
    </row>
    <row r="160" spans="1:26" ht="19.5" hidden="1">
      <c r="A160" s="940"/>
      <c r="B160" s="833"/>
      <c r="C160" s="946"/>
      <c r="D160" s="834" t="s">
        <v>79</v>
      </c>
      <c r="E160" s="982"/>
      <c r="F160" s="833"/>
      <c r="G160" s="941"/>
      <c r="H160" s="169" t="s">
        <v>35</v>
      </c>
      <c r="I160" s="836"/>
      <c r="J160" s="836"/>
      <c r="K160" s="837"/>
      <c r="L160" s="837"/>
      <c r="M160" s="837"/>
      <c r="N160" s="837"/>
      <c r="O160" s="837"/>
      <c r="P160" s="83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983"/>
      <c r="B161" s="984"/>
      <c r="C161" s="985"/>
      <c r="D161" s="986" t="s">
        <v>80</v>
      </c>
      <c r="E161" s="987"/>
      <c r="F161" s="984"/>
      <c r="G161" s="988"/>
      <c r="H161" s="232" t="s">
        <v>35</v>
      </c>
      <c r="I161" s="989"/>
      <c r="J161" s="989"/>
      <c r="K161" s="990"/>
      <c r="L161" s="990"/>
      <c r="M161" s="990"/>
      <c r="N161" s="990"/>
      <c r="O161" s="990"/>
      <c r="P161" s="990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991" t="s">
        <v>81</v>
      </c>
      <c r="B162" s="992"/>
      <c r="C162" s="992"/>
      <c r="D162" s="992"/>
      <c r="E162" s="993"/>
      <c r="F162" s="993"/>
      <c r="G162" s="994"/>
      <c r="H162" s="995"/>
      <c r="I162" s="996"/>
      <c r="J162" s="996"/>
      <c r="K162" s="997"/>
      <c r="L162" s="997"/>
      <c r="M162" s="997"/>
      <c r="N162" s="997"/>
      <c r="O162" s="997"/>
      <c r="P162" s="997"/>
    </row>
    <row r="163" spans="1:26" ht="19.5">
      <c r="A163" s="998" t="s">
        <v>82</v>
      </c>
      <c r="B163" s="999"/>
      <c r="C163" s="999"/>
      <c r="D163" s="1000"/>
      <c r="E163" s="1000"/>
      <c r="F163" s="1000"/>
      <c r="G163" s="1001"/>
      <c r="H163" s="1002"/>
      <c r="I163" s="1003"/>
      <c r="J163" s="1003"/>
      <c r="K163" s="1004"/>
      <c r="L163" s="1004"/>
      <c r="M163" s="1004"/>
      <c r="N163" s="1004"/>
      <c r="O163" s="1004"/>
      <c r="P163" s="1004"/>
    </row>
    <row r="164" spans="1:26" ht="19.5">
      <c r="A164" s="1005"/>
      <c r="B164" s="1006" t="s">
        <v>83</v>
      </c>
      <c r="C164" s="1007"/>
      <c r="D164" s="952"/>
      <c r="E164" s="952"/>
      <c r="F164" s="952"/>
      <c r="G164" s="953"/>
      <c r="H164" s="252" t="s">
        <v>35</v>
      </c>
      <c r="I164" s="1008">
        <f t="shared" ref="I164:J164" ca="1" si="83">I174+I177</f>
        <v>10</v>
      </c>
      <c r="J164" s="1008">
        <f t="shared" si="83"/>
        <v>10</v>
      </c>
      <c r="K164" s="1009">
        <f ca="1">IF(I164&gt;0,J164*100/I164,0)</f>
        <v>100</v>
      </c>
      <c r="L164" s="1010"/>
      <c r="M164" s="1010"/>
      <c r="N164" s="1010"/>
      <c r="O164" s="1010"/>
      <c r="P164" s="1010"/>
    </row>
    <row r="165" spans="1:26" ht="19.5">
      <c r="A165" s="932"/>
      <c r="B165" s="933"/>
      <c r="C165" s="934" t="s">
        <v>16</v>
      </c>
      <c r="D165" s="935" t="s">
        <v>17</v>
      </c>
      <c r="E165" s="933"/>
      <c r="F165" s="933"/>
      <c r="G165" s="936"/>
      <c r="H165" s="152" t="s">
        <v>12</v>
      </c>
      <c r="I165" s="937"/>
      <c r="J165" s="937"/>
      <c r="K165" s="938"/>
      <c r="L165" s="939">
        <f t="shared" ref="L165:N165" ca="1" si="84">L166+L167</f>
        <v>21050</v>
      </c>
      <c r="M165" s="939">
        <f t="shared" ca="1" si="84"/>
        <v>40500</v>
      </c>
      <c r="N165" s="939">
        <f t="shared" ca="1" si="84"/>
        <v>40500</v>
      </c>
      <c r="O165" s="939">
        <f t="shared" ref="O165:O173" ca="1" si="85">IF(L165&gt;0,N165*100/L165,0)</f>
        <v>192.39904988123516</v>
      </c>
      <c r="P165" s="939">
        <f t="shared" ref="P165:P173" ca="1" si="86">IF(M165&gt;0,N165*100/M165,0)</f>
        <v>100</v>
      </c>
      <c r="Q165" s="818"/>
      <c r="R165" s="818"/>
      <c r="S165" s="818"/>
      <c r="T165" s="818"/>
      <c r="U165" s="818"/>
      <c r="V165" s="818"/>
      <c r="W165" s="818"/>
      <c r="X165" s="818"/>
      <c r="Y165" s="818"/>
      <c r="Z165" s="818"/>
    </row>
    <row r="166" spans="1:26" ht="18.75" hidden="1">
      <c r="A166" s="940"/>
      <c r="B166" s="833"/>
      <c r="C166" s="833"/>
      <c r="D166" s="833"/>
      <c r="E166" s="834" t="s">
        <v>18</v>
      </c>
      <c r="F166" s="833"/>
      <c r="G166" s="941"/>
      <c r="H166" s="158" t="s">
        <v>12</v>
      </c>
      <c r="I166" s="836"/>
      <c r="J166" s="836"/>
      <c r="K166" s="837"/>
      <c r="L166" s="837">
        <f t="shared" ref="L166:N167" si="87">L169+L172</f>
        <v>0</v>
      </c>
      <c r="M166" s="837">
        <f t="shared" si="87"/>
        <v>0</v>
      </c>
      <c r="N166" s="837">
        <f t="shared" si="87"/>
        <v>0</v>
      </c>
      <c r="O166" s="837">
        <f t="shared" si="85"/>
        <v>0</v>
      </c>
      <c r="P166" s="837">
        <f t="shared" si="86"/>
        <v>0</v>
      </c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</row>
    <row r="167" spans="1:26" ht="18.75" hidden="1">
      <c r="A167" s="940"/>
      <c r="B167" s="833"/>
      <c r="C167" s="833"/>
      <c r="D167" s="833"/>
      <c r="E167" s="834" t="s">
        <v>19</v>
      </c>
      <c r="F167" s="833"/>
      <c r="G167" s="941"/>
      <c r="H167" s="158" t="s">
        <v>12</v>
      </c>
      <c r="I167" s="836"/>
      <c r="J167" s="836"/>
      <c r="K167" s="837"/>
      <c r="L167" s="837">
        <f t="shared" ca="1" si="87"/>
        <v>21050</v>
      </c>
      <c r="M167" s="837">
        <f t="shared" ca="1" si="87"/>
        <v>40500</v>
      </c>
      <c r="N167" s="837">
        <f t="shared" ca="1" si="87"/>
        <v>40500</v>
      </c>
      <c r="O167" s="837">
        <f t="shared" ca="1" si="85"/>
        <v>192.39904988123516</v>
      </c>
      <c r="P167" s="837">
        <f t="shared" ca="1" si="86"/>
        <v>100</v>
      </c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</row>
    <row r="168" spans="1:26" ht="18.75">
      <c r="A168" s="942"/>
      <c r="B168" s="827"/>
      <c r="C168" s="943"/>
      <c r="D168" s="828" t="s">
        <v>20</v>
      </c>
      <c r="E168" s="827"/>
      <c r="F168" s="827"/>
      <c r="G168" s="829"/>
      <c r="H168" s="778" t="s">
        <v>12</v>
      </c>
      <c r="I168" s="944"/>
      <c r="J168" s="944"/>
      <c r="K168" s="945"/>
      <c r="L168" s="831">
        <f t="shared" ref="L168:N168" ca="1" si="88">L169+L170</f>
        <v>21050</v>
      </c>
      <c r="M168" s="831">
        <f t="shared" ca="1" si="88"/>
        <v>40500</v>
      </c>
      <c r="N168" s="831">
        <f t="shared" ca="1" si="88"/>
        <v>40500</v>
      </c>
      <c r="O168" s="831">
        <f t="shared" ca="1" si="85"/>
        <v>192.39904988123516</v>
      </c>
      <c r="P168" s="831">
        <f t="shared" ca="1" si="86"/>
        <v>100</v>
      </c>
      <c r="Q168" s="818"/>
      <c r="R168" s="818"/>
      <c r="S168" s="818"/>
      <c r="T168" s="818"/>
      <c r="U168" s="818"/>
      <c r="V168" s="818"/>
      <c r="W168" s="818"/>
      <c r="X168" s="818"/>
      <c r="Y168" s="818"/>
      <c r="Z168" s="818"/>
    </row>
    <row r="169" spans="1:26" ht="19.5" hidden="1">
      <c r="A169" s="940"/>
      <c r="B169" s="833"/>
      <c r="C169" s="946"/>
      <c r="D169" s="833"/>
      <c r="E169" s="834" t="s">
        <v>36</v>
      </c>
      <c r="F169" s="833"/>
      <c r="G169" s="941"/>
      <c r="H169" s="165" t="s">
        <v>12</v>
      </c>
      <c r="I169" s="947"/>
      <c r="J169" s="947"/>
      <c r="K169" s="948"/>
      <c r="L169" s="837">
        <v>0</v>
      </c>
      <c r="M169" s="837">
        <v>0</v>
      </c>
      <c r="N169" s="837">
        <v>0</v>
      </c>
      <c r="O169" s="837">
        <f t="shared" si="85"/>
        <v>0</v>
      </c>
      <c r="P169" s="837">
        <f t="shared" si="86"/>
        <v>0</v>
      </c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</row>
    <row r="170" spans="1:26" ht="19.5" hidden="1">
      <c r="A170" s="940"/>
      <c r="B170" s="833"/>
      <c r="C170" s="946"/>
      <c r="D170" s="833"/>
      <c r="E170" s="834" t="s">
        <v>37</v>
      </c>
      <c r="F170" s="833"/>
      <c r="G170" s="941"/>
      <c r="H170" s="165" t="s">
        <v>12</v>
      </c>
      <c r="I170" s="947"/>
      <c r="J170" s="947"/>
      <c r="K170" s="948"/>
      <c r="L170" s="837">
        <f ca="1">IFERROR(__xludf.DUMMYFUNCTION("IMPORTRANGE(""https://docs.google.com/spreadsheets/d/1MeEWN-I1oV_STSDYn1IFDPWt_1FKiwhDph83XaGc0o0/edit?usp=sharing"",""งบพรบ!CE24"")"),21050)</f>
        <v>21050</v>
      </c>
      <c r="M170" s="837">
        <f ca="1">IFERROR(__xludf.DUMMYFUNCTION("IMPORTRANGE(""https://docs.google.com/spreadsheets/d/1MeEWN-I1oV_STSDYn1IFDPWt_1FKiwhDph83XaGc0o0/edit?usp=sharing"",""งบพรบ!CJ24"")"),40500)</f>
        <v>40500</v>
      </c>
      <c r="N170" s="837">
        <f ca="1">IFERROR(__xludf.DUMMYFUNCTION("IMPORTRANGE(""https://docs.google.com/spreadsheets/d/1MeEWN-I1oV_STSDYn1IFDPWt_1FKiwhDph83XaGc0o0/edit?usp=sharing"",""งบพรบ!CL24"")"),40500)</f>
        <v>40500</v>
      </c>
      <c r="O170" s="837">
        <f t="shared" ca="1" si="85"/>
        <v>192.39904988123516</v>
      </c>
      <c r="P170" s="837">
        <f t="shared" ca="1" si="86"/>
        <v>100</v>
      </c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</row>
    <row r="171" spans="1:26" ht="18.75">
      <c r="A171" s="942"/>
      <c r="B171" s="827"/>
      <c r="C171" s="943"/>
      <c r="D171" s="828" t="s">
        <v>21</v>
      </c>
      <c r="E171" s="827"/>
      <c r="F171" s="827"/>
      <c r="G171" s="829"/>
      <c r="H171" s="168" t="s">
        <v>12</v>
      </c>
      <c r="I171" s="944"/>
      <c r="J171" s="944"/>
      <c r="K171" s="945"/>
      <c r="L171" s="831">
        <f t="shared" ref="L171:N171" ca="1" si="89">L172+L173</f>
        <v>0</v>
      </c>
      <c r="M171" s="831">
        <f t="shared" ca="1" si="89"/>
        <v>0</v>
      </c>
      <c r="N171" s="831">
        <f t="shared" ca="1" si="89"/>
        <v>0</v>
      </c>
      <c r="O171" s="831">
        <f t="shared" ca="1" si="85"/>
        <v>0</v>
      </c>
      <c r="P171" s="831">
        <f t="shared" ca="1" si="86"/>
        <v>0</v>
      </c>
      <c r="Q171" s="818"/>
      <c r="R171" s="818"/>
      <c r="S171" s="818"/>
      <c r="T171" s="818"/>
      <c r="U171" s="818"/>
      <c r="V171" s="818"/>
      <c r="W171" s="818"/>
      <c r="X171" s="818"/>
      <c r="Y171" s="818"/>
      <c r="Z171" s="818"/>
    </row>
    <row r="172" spans="1:26" ht="19.5" hidden="1">
      <c r="A172" s="940"/>
      <c r="B172" s="833"/>
      <c r="C172" s="946"/>
      <c r="D172" s="833"/>
      <c r="E172" s="834" t="s">
        <v>18</v>
      </c>
      <c r="F172" s="833"/>
      <c r="G172" s="941"/>
      <c r="H172" s="165" t="s">
        <v>12</v>
      </c>
      <c r="I172" s="947"/>
      <c r="J172" s="947"/>
      <c r="K172" s="948"/>
      <c r="L172" s="837">
        <v>0</v>
      </c>
      <c r="M172" s="837">
        <v>0</v>
      </c>
      <c r="N172" s="837">
        <v>0</v>
      </c>
      <c r="O172" s="837">
        <f t="shared" si="85"/>
        <v>0</v>
      </c>
      <c r="P172" s="837">
        <f t="shared" si="86"/>
        <v>0</v>
      </c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</row>
    <row r="173" spans="1:26" ht="19.5" hidden="1">
      <c r="A173" s="940"/>
      <c r="B173" s="833"/>
      <c r="C173" s="946"/>
      <c r="D173" s="833"/>
      <c r="E173" s="834" t="s">
        <v>19</v>
      </c>
      <c r="F173" s="833"/>
      <c r="G173" s="941"/>
      <c r="H173" s="169" t="s">
        <v>12</v>
      </c>
      <c r="I173" s="947"/>
      <c r="J173" s="947"/>
      <c r="K173" s="948"/>
      <c r="L173" s="837">
        <f ca="1">IFERROR(__xludf.DUMMYFUNCTION("IMPORTRANGE(""https://docs.google.com/spreadsheets/d/1MeEWN-I1oV_STSDYn1IFDPWt_1FKiwhDph83XaGc0o0/edit?usp=sharing"",""งบพรบ!CH24"")"),0)</f>
        <v>0</v>
      </c>
      <c r="M173" s="837">
        <f ca="1">IFERROR(__xludf.DUMMYFUNCTION("IMPORTRANGE(""https://docs.google.com/spreadsheets/d/1MeEWN-I1oV_STSDYn1IFDPWt_1FKiwhDph83XaGc0o0/edit?usp=sharing"",""งบพรบ!CK24"")"),0)</f>
        <v>0</v>
      </c>
      <c r="N173" s="837">
        <f ca="1">IFERROR(__xludf.DUMMYFUNCTION("IMPORTRANGE(""https://docs.google.com/spreadsheets/d/1MeEWN-I1oV_STSDYn1IFDPWt_1FKiwhDph83XaGc0o0/edit?usp=sharing"",""งบพรบ!CM24"")"),0)</f>
        <v>0</v>
      </c>
      <c r="O173" s="837">
        <f t="shared" ca="1" si="85"/>
        <v>0</v>
      </c>
      <c r="P173" s="837">
        <f t="shared" ca="1" si="86"/>
        <v>0</v>
      </c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</row>
    <row r="174" spans="1:26" ht="19.5">
      <c r="A174" s="1011"/>
      <c r="B174" s="1012"/>
      <c r="C174" s="1013" t="s">
        <v>84</v>
      </c>
      <c r="D174" s="1012"/>
      <c r="E174" s="1012"/>
      <c r="F174" s="1012"/>
      <c r="G174" s="1014"/>
      <c r="H174" s="260" t="s">
        <v>35</v>
      </c>
      <c r="I174" s="1015">
        <f t="shared" ref="I174:J174" ca="1" si="90">I176</f>
        <v>10</v>
      </c>
      <c r="J174" s="1015">
        <f t="shared" si="90"/>
        <v>10</v>
      </c>
      <c r="K174" s="1016">
        <f ca="1">IF(I174&gt;0,J174*100/I174,0)</f>
        <v>100</v>
      </c>
      <c r="L174" s="1016"/>
      <c r="M174" s="1016"/>
      <c r="N174" s="1016"/>
      <c r="O174" s="1016"/>
      <c r="P174" s="1016"/>
    </row>
    <row r="175" spans="1:26" ht="19.5">
      <c r="A175" s="949"/>
      <c r="B175" s="950"/>
      <c r="C175" s="946" t="s">
        <v>16</v>
      </c>
      <c r="D175" s="951" t="s">
        <v>38</v>
      </c>
      <c r="E175" s="952"/>
      <c r="F175" s="952"/>
      <c r="G175" s="953"/>
      <c r="H175" s="954"/>
      <c r="I175" s="944"/>
      <c r="J175" s="944"/>
      <c r="K175" s="945"/>
      <c r="L175" s="945"/>
      <c r="M175" s="945"/>
      <c r="N175" s="945"/>
      <c r="O175" s="945"/>
      <c r="P175" s="945"/>
    </row>
    <row r="176" spans="1:26" ht="18.75">
      <c r="A176" s="949"/>
      <c r="B176" s="950"/>
      <c r="C176" s="950"/>
      <c r="D176" s="1017" t="s">
        <v>85</v>
      </c>
      <c r="E176" s="957"/>
      <c r="F176" s="957"/>
      <c r="G176" s="958"/>
      <c r="H176" s="590" t="s">
        <v>35</v>
      </c>
      <c r="I176" s="830">
        <f ca="1">IFERROR(__xludf.DUMMYFUNCTION("IMPORTRANGE(""https://docs.google.com/spreadsheets/d/1QqKyyYR6Q21VydFLVH3TRQUabQu_ym0Zz7PgGX0-kHA/edit?usp=sharing"",""แผน!Y24"")"),10)</f>
        <v>10</v>
      </c>
      <c r="J176" s="959">
        <v>10</v>
      </c>
      <c r="K176" s="945">
        <f ca="1">IF(I176&gt;0,J176*100/I176,0)</f>
        <v>100</v>
      </c>
      <c r="L176" s="945"/>
      <c r="M176" s="945"/>
      <c r="N176" s="945"/>
      <c r="O176" s="945"/>
      <c r="P176" s="945"/>
    </row>
    <row r="177" spans="1:26" ht="19.5" hidden="1">
      <c r="A177" s="1011"/>
      <c r="B177" s="1018"/>
      <c r="C177" s="1019" t="s">
        <v>86</v>
      </c>
      <c r="D177" s="1018"/>
      <c r="E177" s="1012"/>
      <c r="F177" s="1012"/>
      <c r="G177" s="1014"/>
      <c r="H177" s="266" t="s">
        <v>35</v>
      </c>
      <c r="I177" s="1015"/>
      <c r="J177" s="1015">
        <f>J179</f>
        <v>0</v>
      </c>
      <c r="K177" s="1016"/>
      <c r="L177" s="1016"/>
      <c r="M177" s="1016"/>
      <c r="N177" s="1016"/>
      <c r="O177" s="1016"/>
      <c r="P177" s="1016"/>
    </row>
    <row r="178" spans="1:26" ht="19.5" hidden="1">
      <c r="A178" s="949"/>
      <c r="B178" s="950"/>
      <c r="C178" s="946" t="s">
        <v>16</v>
      </c>
      <c r="D178" s="1020" t="s">
        <v>38</v>
      </c>
      <c r="E178" s="952"/>
      <c r="F178" s="952"/>
      <c r="G178" s="953"/>
      <c r="H178" s="954"/>
      <c r="I178" s="944"/>
      <c r="J178" s="944"/>
      <c r="K178" s="945"/>
      <c r="L178" s="945"/>
      <c r="M178" s="945"/>
      <c r="N178" s="945"/>
      <c r="O178" s="945"/>
      <c r="P178" s="945"/>
    </row>
    <row r="179" spans="1:26" ht="18.75" hidden="1">
      <c r="A179" s="949"/>
      <c r="B179" s="950"/>
      <c r="C179" s="950"/>
      <c r="D179" s="1021" t="s">
        <v>87</v>
      </c>
      <c r="E179" s="957"/>
      <c r="F179" s="1022"/>
      <c r="G179" s="958"/>
      <c r="H179" s="43" t="s">
        <v>35</v>
      </c>
      <c r="I179" s="830"/>
      <c r="J179" s="830"/>
      <c r="K179" s="945"/>
      <c r="L179" s="945"/>
      <c r="M179" s="945"/>
      <c r="N179" s="945"/>
      <c r="O179" s="945"/>
      <c r="P179" s="945"/>
    </row>
    <row r="180" spans="1:26" ht="19.5">
      <c r="A180" s="1005"/>
      <c r="B180" s="1006" t="s">
        <v>88</v>
      </c>
      <c r="C180" s="1007"/>
      <c r="D180" s="952"/>
      <c r="E180" s="952"/>
      <c r="F180" s="952"/>
      <c r="G180" s="953"/>
      <c r="H180" s="252" t="s">
        <v>35</v>
      </c>
      <c r="I180" s="1008">
        <f t="shared" ref="I180:J180" ca="1" si="91">I225+I226</f>
        <v>0</v>
      </c>
      <c r="J180" s="1008">
        <f t="shared" si="91"/>
        <v>0</v>
      </c>
      <c r="K180" s="1009">
        <f ca="1">IF(I180&gt;0,J180*100/I180,0)</f>
        <v>0</v>
      </c>
      <c r="L180" s="1010"/>
      <c r="M180" s="1010"/>
      <c r="N180" s="1010"/>
      <c r="O180" s="1010"/>
      <c r="P180" s="1010"/>
    </row>
    <row r="181" spans="1:26" ht="19.5">
      <c r="A181" s="932"/>
      <c r="B181" s="933"/>
      <c r="C181" s="934" t="s">
        <v>16</v>
      </c>
      <c r="D181" s="935" t="s">
        <v>17</v>
      </c>
      <c r="E181" s="933"/>
      <c r="F181" s="933"/>
      <c r="G181" s="936"/>
      <c r="H181" s="152" t="s">
        <v>12</v>
      </c>
      <c r="I181" s="937"/>
      <c r="J181" s="937"/>
      <c r="K181" s="938"/>
      <c r="L181" s="939">
        <f t="shared" ref="L181:N181" ca="1" si="92">L182+L183</f>
        <v>47000</v>
      </c>
      <c r="M181" s="939">
        <f t="shared" ca="1" si="92"/>
        <v>35500</v>
      </c>
      <c r="N181" s="939">
        <f t="shared" ca="1" si="92"/>
        <v>20976.44</v>
      </c>
      <c r="O181" s="939">
        <f t="shared" ref="O181:O189" ca="1" si="93">IF(L181&gt;0,N181*100/L181,0)</f>
        <v>44.63072340425532</v>
      </c>
      <c r="P181" s="939">
        <f t="shared" ref="P181:P189" ca="1" si="94">IF(M181&gt;0,N181*100/M181,0)</f>
        <v>59.088563380281691</v>
      </c>
      <c r="Q181" s="818"/>
      <c r="R181" s="818"/>
      <c r="S181" s="818"/>
      <c r="T181" s="818"/>
      <c r="U181" s="818"/>
      <c r="V181" s="818"/>
      <c r="W181" s="818"/>
      <c r="X181" s="818"/>
      <c r="Y181" s="818"/>
      <c r="Z181" s="818"/>
    </row>
    <row r="182" spans="1:26" ht="18.75" hidden="1">
      <c r="A182" s="940"/>
      <c r="B182" s="833"/>
      <c r="C182" s="833"/>
      <c r="D182" s="833"/>
      <c r="E182" s="834" t="s">
        <v>18</v>
      </c>
      <c r="F182" s="833"/>
      <c r="G182" s="941"/>
      <c r="H182" s="158" t="s">
        <v>12</v>
      </c>
      <c r="I182" s="836"/>
      <c r="J182" s="836"/>
      <c r="K182" s="837"/>
      <c r="L182" s="837">
        <f t="shared" ref="L182:N183" si="95">L185+L188</f>
        <v>0</v>
      </c>
      <c r="M182" s="837">
        <f t="shared" si="95"/>
        <v>0</v>
      </c>
      <c r="N182" s="837">
        <f t="shared" si="95"/>
        <v>0</v>
      </c>
      <c r="O182" s="837">
        <f t="shared" si="93"/>
        <v>0</v>
      </c>
      <c r="P182" s="837">
        <f t="shared" si="94"/>
        <v>0</v>
      </c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</row>
    <row r="183" spans="1:26" ht="18.75" hidden="1">
      <c r="A183" s="940"/>
      <c r="B183" s="833"/>
      <c r="C183" s="833"/>
      <c r="D183" s="833"/>
      <c r="E183" s="834" t="s">
        <v>19</v>
      </c>
      <c r="F183" s="833"/>
      <c r="G183" s="941"/>
      <c r="H183" s="158" t="s">
        <v>12</v>
      </c>
      <c r="I183" s="836"/>
      <c r="J183" s="836"/>
      <c r="K183" s="837"/>
      <c r="L183" s="837">
        <f t="shared" ca="1" si="95"/>
        <v>47000</v>
      </c>
      <c r="M183" s="837">
        <f t="shared" ca="1" si="95"/>
        <v>35500</v>
      </c>
      <c r="N183" s="837">
        <f t="shared" ca="1" si="95"/>
        <v>20976.44</v>
      </c>
      <c r="O183" s="837">
        <f t="shared" ca="1" si="93"/>
        <v>44.63072340425532</v>
      </c>
      <c r="P183" s="837">
        <f t="shared" ca="1" si="94"/>
        <v>59.088563380281691</v>
      </c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</row>
    <row r="184" spans="1:26" ht="18.75">
      <c r="A184" s="942"/>
      <c r="B184" s="827"/>
      <c r="C184" s="943"/>
      <c r="D184" s="828" t="s">
        <v>20</v>
      </c>
      <c r="E184" s="827"/>
      <c r="F184" s="827"/>
      <c r="G184" s="829"/>
      <c r="H184" s="778" t="s">
        <v>12</v>
      </c>
      <c r="I184" s="944"/>
      <c r="J184" s="944"/>
      <c r="K184" s="945"/>
      <c r="L184" s="831">
        <f t="shared" ref="L184:N184" ca="1" si="96">L185+L186</f>
        <v>47000</v>
      </c>
      <c r="M184" s="831">
        <f t="shared" ca="1" si="96"/>
        <v>35500</v>
      </c>
      <c r="N184" s="831">
        <f t="shared" ca="1" si="96"/>
        <v>20976.44</v>
      </c>
      <c r="O184" s="831">
        <f t="shared" ca="1" si="93"/>
        <v>44.63072340425532</v>
      </c>
      <c r="P184" s="831">
        <f t="shared" ca="1" si="94"/>
        <v>59.088563380281691</v>
      </c>
      <c r="Q184" s="818"/>
      <c r="R184" s="818"/>
      <c r="S184" s="818"/>
      <c r="T184" s="818"/>
      <c r="U184" s="818"/>
      <c r="V184" s="818"/>
      <c r="W184" s="818"/>
      <c r="X184" s="818"/>
      <c r="Y184" s="818"/>
      <c r="Z184" s="818"/>
    </row>
    <row r="185" spans="1:26" ht="19.5" hidden="1">
      <c r="A185" s="940"/>
      <c r="B185" s="833"/>
      <c r="C185" s="946"/>
      <c r="D185" s="833"/>
      <c r="E185" s="834" t="s">
        <v>36</v>
      </c>
      <c r="F185" s="833"/>
      <c r="G185" s="941"/>
      <c r="H185" s="165" t="s">
        <v>12</v>
      </c>
      <c r="I185" s="947"/>
      <c r="J185" s="947"/>
      <c r="K185" s="948"/>
      <c r="L185" s="837">
        <v>0</v>
      </c>
      <c r="M185" s="837">
        <v>0</v>
      </c>
      <c r="N185" s="837">
        <v>0</v>
      </c>
      <c r="O185" s="837">
        <f t="shared" si="93"/>
        <v>0</v>
      </c>
      <c r="P185" s="837">
        <f t="shared" si="94"/>
        <v>0</v>
      </c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</row>
    <row r="186" spans="1:26" ht="19.5" hidden="1">
      <c r="A186" s="940"/>
      <c r="B186" s="833"/>
      <c r="C186" s="946"/>
      <c r="D186" s="833"/>
      <c r="E186" s="834" t="s">
        <v>37</v>
      </c>
      <c r="F186" s="833"/>
      <c r="G186" s="941"/>
      <c r="H186" s="165" t="s">
        <v>12</v>
      </c>
      <c r="I186" s="947"/>
      <c r="J186" s="947"/>
      <c r="K186" s="948"/>
      <c r="L186" s="837">
        <f ca="1">IFERROR(__xludf.DUMMYFUNCTION("IMPORTRANGE(""https://docs.google.com/spreadsheets/d/1MeEWN-I1oV_STSDYn1IFDPWt_1FKiwhDph83XaGc0o0/edit?usp=sharing"",""งบพรบ!CO24"")"),47000)</f>
        <v>47000</v>
      </c>
      <c r="M186" s="837">
        <f ca="1">IFERROR(__xludf.DUMMYFUNCTION("IMPORTRANGE(""https://docs.google.com/spreadsheets/d/1MeEWN-I1oV_STSDYn1IFDPWt_1FKiwhDph83XaGc0o0/edit?usp=sharing"",""งบพรบ!CT24"")"),35500)</f>
        <v>35500</v>
      </c>
      <c r="N186" s="837">
        <f ca="1">IFERROR(__xludf.DUMMYFUNCTION("IMPORTRANGE(""https://docs.google.com/spreadsheets/d/1MeEWN-I1oV_STSDYn1IFDPWt_1FKiwhDph83XaGc0o0/edit?usp=sharing"",""งบพรบ!CV24"")"),20976.44)</f>
        <v>20976.44</v>
      </c>
      <c r="O186" s="837">
        <f t="shared" ca="1" si="93"/>
        <v>44.63072340425532</v>
      </c>
      <c r="P186" s="837">
        <f t="shared" ca="1" si="94"/>
        <v>59.088563380281691</v>
      </c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</row>
    <row r="187" spans="1:26" ht="18.75">
      <c r="A187" s="942"/>
      <c r="B187" s="827"/>
      <c r="C187" s="943"/>
      <c r="D187" s="828" t="s">
        <v>21</v>
      </c>
      <c r="E187" s="827"/>
      <c r="F187" s="827"/>
      <c r="G187" s="829"/>
      <c r="H187" s="168" t="s">
        <v>12</v>
      </c>
      <c r="I187" s="944"/>
      <c r="J187" s="944"/>
      <c r="K187" s="945"/>
      <c r="L187" s="831">
        <f t="shared" ref="L187:N187" ca="1" si="97">L188+L189</f>
        <v>0</v>
      </c>
      <c r="M187" s="831">
        <f t="shared" ca="1" si="97"/>
        <v>0</v>
      </c>
      <c r="N187" s="831">
        <f t="shared" ca="1" si="97"/>
        <v>0</v>
      </c>
      <c r="O187" s="831">
        <f t="shared" ca="1" si="93"/>
        <v>0</v>
      </c>
      <c r="P187" s="831">
        <f t="shared" ca="1" si="94"/>
        <v>0</v>
      </c>
      <c r="Q187" s="818"/>
      <c r="R187" s="818"/>
      <c r="S187" s="818"/>
      <c r="T187" s="818"/>
      <c r="U187" s="818"/>
      <c r="V187" s="818"/>
      <c r="W187" s="818"/>
      <c r="X187" s="818"/>
      <c r="Y187" s="818"/>
      <c r="Z187" s="818"/>
    </row>
    <row r="188" spans="1:26" ht="19.5" hidden="1">
      <c r="A188" s="940"/>
      <c r="B188" s="833"/>
      <c r="C188" s="946"/>
      <c r="D188" s="833"/>
      <c r="E188" s="834" t="s">
        <v>18</v>
      </c>
      <c r="F188" s="833"/>
      <c r="G188" s="941"/>
      <c r="H188" s="165" t="s">
        <v>12</v>
      </c>
      <c r="I188" s="947"/>
      <c r="J188" s="947"/>
      <c r="K188" s="948"/>
      <c r="L188" s="837">
        <v>0</v>
      </c>
      <c r="M188" s="837">
        <v>0</v>
      </c>
      <c r="N188" s="837">
        <v>0</v>
      </c>
      <c r="O188" s="837">
        <f t="shared" si="93"/>
        <v>0</v>
      </c>
      <c r="P188" s="837">
        <f t="shared" si="94"/>
        <v>0</v>
      </c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</row>
    <row r="189" spans="1:26" ht="19.5" hidden="1">
      <c r="A189" s="940"/>
      <c r="B189" s="833"/>
      <c r="C189" s="946"/>
      <c r="D189" s="833"/>
      <c r="E189" s="834" t="s">
        <v>19</v>
      </c>
      <c r="F189" s="833"/>
      <c r="G189" s="941"/>
      <c r="H189" s="169" t="s">
        <v>12</v>
      </c>
      <c r="I189" s="947"/>
      <c r="J189" s="947"/>
      <c r="K189" s="948"/>
      <c r="L189" s="837">
        <f ca="1">IFERROR(__xludf.DUMMYFUNCTION("IMPORTRANGE(""https://docs.google.com/spreadsheets/d/1MeEWN-I1oV_STSDYn1IFDPWt_1FKiwhDph83XaGc0o0/edit?usp=sharing"",""งบพรบ!CR24"")"),0)</f>
        <v>0</v>
      </c>
      <c r="M189" s="837">
        <f ca="1">IFERROR(__xludf.DUMMYFUNCTION("IMPORTRANGE(""https://docs.google.com/spreadsheets/d/1MeEWN-I1oV_STSDYn1IFDPWt_1FKiwhDph83XaGc0o0/edit?usp=sharing"",""งบพรบ!CU24"")"),0)</f>
        <v>0</v>
      </c>
      <c r="N189" s="837">
        <f ca="1">IFERROR(__xludf.DUMMYFUNCTION("IMPORTRANGE(""https://docs.google.com/spreadsheets/d/1MeEWN-I1oV_STSDYn1IFDPWt_1FKiwhDph83XaGc0o0/edit?usp=sharing"",""งบพรบ!CW24"")"),0)</f>
        <v>0</v>
      </c>
      <c r="O189" s="837">
        <f t="shared" ca="1" si="93"/>
        <v>0</v>
      </c>
      <c r="P189" s="837">
        <f t="shared" ca="1" si="94"/>
        <v>0</v>
      </c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</row>
    <row r="190" spans="1:26" ht="19.5">
      <c r="A190" s="1011"/>
      <c r="B190" s="1018"/>
      <c r="C190" s="1023" t="s">
        <v>89</v>
      </c>
      <c r="D190" s="1012"/>
      <c r="E190" s="1012"/>
      <c r="F190" s="1012"/>
      <c r="G190" s="1014"/>
      <c r="H190" s="260" t="s">
        <v>90</v>
      </c>
      <c r="I190" s="1024">
        <f t="shared" ref="I190:J190" ca="1" si="98">I193</f>
        <v>4</v>
      </c>
      <c r="J190" s="1024">
        <f t="shared" si="98"/>
        <v>2</v>
      </c>
      <c r="K190" s="1025">
        <f ca="1">IF(I190&gt;0,J190*100/I190,0)</f>
        <v>50</v>
      </c>
      <c r="L190" s="1016"/>
      <c r="M190" s="1016"/>
      <c r="N190" s="1016"/>
      <c r="O190" s="1016"/>
      <c r="P190" s="1016"/>
    </row>
    <row r="191" spans="1:26" ht="19.5">
      <c r="A191" s="932"/>
      <c r="B191" s="933"/>
      <c r="C191" s="934" t="s">
        <v>16</v>
      </c>
      <c r="D191" s="1026" t="s">
        <v>17</v>
      </c>
      <c r="E191" s="933"/>
      <c r="F191" s="933"/>
      <c r="G191" s="936"/>
      <c r="H191" s="275" t="s">
        <v>12</v>
      </c>
      <c r="I191" s="937"/>
      <c r="J191" s="937"/>
      <c r="K191" s="938"/>
      <c r="L191" s="939">
        <f ca="1">IFERROR(__xludf.DUMMYFUNCTION("IMPORTRANGE(""https://docs.google.com/spreadsheets/d/1QqKyyYR6Q21VydFLVH3TRQUabQu_ym0Zz7PgGX0-kHA/edit?usp=sharing"",""แผน!Z24"")"),6000)</f>
        <v>6000</v>
      </c>
      <c r="M191" s="939"/>
      <c r="N191" s="1027">
        <v>3832.44</v>
      </c>
      <c r="O191" s="939">
        <f ca="1">IF(L191&gt;0,N191*100/L191,0)</f>
        <v>63.874000000000002</v>
      </c>
      <c r="P191" s="939">
        <f>IF(M191&gt;0,N191*100/M191,0)</f>
        <v>0</v>
      </c>
      <c r="Q191" s="818"/>
      <c r="R191" s="818"/>
      <c r="S191" s="818"/>
      <c r="T191" s="818"/>
      <c r="U191" s="818"/>
      <c r="V191" s="818"/>
      <c r="W191" s="818"/>
      <c r="X191" s="818"/>
      <c r="Y191" s="818"/>
      <c r="Z191" s="818"/>
    </row>
    <row r="192" spans="1:26" ht="19.5">
      <c r="A192" s="949"/>
      <c r="B192" s="950"/>
      <c r="C192" s="976" t="s">
        <v>16</v>
      </c>
      <c r="D192" s="951" t="s">
        <v>38</v>
      </c>
      <c r="E192" s="952"/>
      <c r="F192" s="952"/>
      <c r="G192" s="953"/>
      <c r="H192" s="954"/>
      <c r="I192" s="830"/>
      <c r="J192" s="830"/>
      <c r="K192" s="831"/>
      <c r="L192" s="831"/>
      <c r="M192" s="831"/>
      <c r="N192" s="831"/>
      <c r="O192" s="831"/>
      <c r="P192" s="831"/>
      <c r="Q192" s="818"/>
      <c r="R192" s="818"/>
      <c r="S192" s="818"/>
      <c r="T192" s="818"/>
      <c r="U192" s="818"/>
      <c r="V192" s="818"/>
      <c r="W192" s="818"/>
      <c r="X192" s="818"/>
      <c r="Y192" s="818"/>
      <c r="Z192" s="818"/>
    </row>
    <row r="193" spans="1:26" ht="18.75">
      <c r="A193" s="949"/>
      <c r="B193" s="950"/>
      <c r="C193" s="950"/>
      <c r="D193" s="956" t="s">
        <v>91</v>
      </c>
      <c r="E193" s="957"/>
      <c r="F193" s="957"/>
      <c r="G193" s="958"/>
      <c r="H193" s="730" t="s">
        <v>90</v>
      </c>
      <c r="I193" s="830">
        <f ca="1">IFERROR(__xludf.DUMMYFUNCTION("IMPORTRANGE(""https://docs.google.com/spreadsheets/d/1QqKyyYR6Q21VydFLVH3TRQUabQu_ym0Zz7PgGX0-kHA/edit?usp=sharing"",""แผน!AC24"")"),4)</f>
        <v>4</v>
      </c>
      <c r="J193" s="959">
        <v>2</v>
      </c>
      <c r="K193" s="831">
        <f ca="1">IF(I193&gt;0,J193*100/I193,0)</f>
        <v>50</v>
      </c>
      <c r="L193" s="831"/>
      <c r="M193" s="831"/>
      <c r="N193" s="831"/>
      <c r="O193" s="831"/>
      <c r="P193" s="831"/>
      <c r="Q193" s="818"/>
      <c r="R193" s="818"/>
      <c r="S193" s="818"/>
      <c r="T193" s="818"/>
      <c r="U193" s="818"/>
      <c r="V193" s="818"/>
      <c r="W193" s="818"/>
      <c r="X193" s="818"/>
      <c r="Y193" s="818"/>
      <c r="Z193" s="818"/>
    </row>
    <row r="194" spans="1:26" ht="18.75">
      <c r="A194" s="949"/>
      <c r="B194" s="950"/>
      <c r="C194" s="950"/>
      <c r="D194" s="956" t="s">
        <v>92</v>
      </c>
      <c r="E194" s="957"/>
      <c r="F194" s="957"/>
      <c r="G194" s="958"/>
      <c r="H194" s="277" t="s">
        <v>35</v>
      </c>
      <c r="I194" s="830"/>
      <c r="J194" s="830">
        <f>J195+J196</f>
        <v>0</v>
      </c>
      <c r="K194" s="831"/>
      <c r="L194" s="831"/>
      <c r="M194" s="831"/>
      <c r="N194" s="831"/>
      <c r="O194" s="831"/>
      <c r="P194" s="831"/>
      <c r="Q194" s="818"/>
      <c r="R194" s="818"/>
      <c r="S194" s="818"/>
      <c r="T194" s="818"/>
      <c r="U194" s="818"/>
      <c r="V194" s="818"/>
      <c r="W194" s="818"/>
      <c r="X194" s="818"/>
      <c r="Y194" s="818"/>
      <c r="Z194" s="818"/>
    </row>
    <row r="195" spans="1:26" ht="18.75">
      <c r="A195" s="949"/>
      <c r="B195" s="950"/>
      <c r="C195" s="950"/>
      <c r="D195" s="950"/>
      <c r="E195" s="956" t="s">
        <v>93</v>
      </c>
      <c r="F195" s="957"/>
      <c r="G195" s="958"/>
      <c r="H195" s="277" t="s">
        <v>35</v>
      </c>
      <c r="I195" s="830"/>
      <c r="J195" s="959">
        <v>0</v>
      </c>
      <c r="K195" s="831"/>
      <c r="L195" s="831"/>
      <c r="M195" s="831"/>
      <c r="N195" s="831"/>
      <c r="O195" s="831"/>
      <c r="P195" s="831"/>
      <c r="Q195" s="818"/>
      <c r="R195" s="818"/>
      <c r="S195" s="818"/>
      <c r="T195" s="818"/>
      <c r="U195" s="818"/>
      <c r="V195" s="818"/>
      <c r="W195" s="818"/>
      <c r="X195" s="818"/>
      <c r="Y195" s="818"/>
      <c r="Z195" s="818"/>
    </row>
    <row r="196" spans="1:26" ht="18.75">
      <c r="A196" s="949"/>
      <c r="B196" s="950"/>
      <c r="C196" s="950"/>
      <c r="D196" s="950"/>
      <c r="E196" s="956" t="s">
        <v>94</v>
      </c>
      <c r="F196" s="957"/>
      <c r="G196" s="958"/>
      <c r="H196" s="277" t="s">
        <v>35</v>
      </c>
      <c r="I196" s="830"/>
      <c r="J196" s="959">
        <v>0</v>
      </c>
      <c r="K196" s="831"/>
      <c r="L196" s="831"/>
      <c r="M196" s="831"/>
      <c r="N196" s="831"/>
      <c r="O196" s="831"/>
      <c r="P196" s="831"/>
      <c r="Q196" s="818"/>
      <c r="R196" s="818"/>
      <c r="S196" s="818"/>
      <c r="T196" s="818"/>
      <c r="U196" s="818"/>
      <c r="V196" s="818"/>
      <c r="W196" s="818"/>
      <c r="X196" s="818"/>
      <c r="Y196" s="818"/>
      <c r="Z196" s="818"/>
    </row>
    <row r="197" spans="1:26" ht="19.5">
      <c r="A197" s="1011"/>
      <c r="B197" s="1018"/>
      <c r="C197" s="1023" t="s">
        <v>95</v>
      </c>
      <c r="D197" s="1012"/>
      <c r="E197" s="1012"/>
      <c r="F197" s="1012"/>
      <c r="G197" s="1014"/>
      <c r="H197" s="278" t="s">
        <v>96</v>
      </c>
      <c r="I197" s="1024">
        <f t="shared" ref="I197:J197" ca="1" si="99">I204</f>
        <v>2</v>
      </c>
      <c r="J197" s="1024">
        <f t="shared" si="99"/>
        <v>2</v>
      </c>
      <c r="K197" s="1025">
        <f ca="1">IF(I197&gt;0,J197*100/I197,0)</f>
        <v>100</v>
      </c>
      <c r="L197" s="1016"/>
      <c r="M197" s="1016"/>
      <c r="N197" s="1016"/>
      <c r="O197" s="1016"/>
      <c r="P197" s="1016"/>
    </row>
    <row r="198" spans="1:26" ht="19.5">
      <c r="A198" s="932"/>
      <c r="B198" s="933"/>
      <c r="C198" s="934" t="s">
        <v>16</v>
      </c>
      <c r="D198" s="1026" t="s">
        <v>17</v>
      </c>
      <c r="E198" s="933"/>
      <c r="F198" s="933"/>
      <c r="G198" s="936"/>
      <c r="H198" s="275" t="s">
        <v>12</v>
      </c>
      <c r="I198" s="1028"/>
      <c r="J198" s="1028"/>
      <c r="K198" s="1029"/>
      <c r="L198" s="939">
        <f ca="1">L199+L200+L201+L202</f>
        <v>26000</v>
      </c>
      <c r="M198" s="939"/>
      <c r="N198" s="939">
        <f>N199+N200+N201+N202</f>
        <v>8840</v>
      </c>
      <c r="O198" s="939">
        <f ca="1">IF(L198&gt;0,N198*100/L198,0)</f>
        <v>34</v>
      </c>
      <c r="P198" s="939">
        <f>IF(M198&gt;0,N198*100/M198,0)</f>
        <v>0</v>
      </c>
      <c r="Q198" s="818"/>
      <c r="R198" s="818"/>
      <c r="S198" s="818"/>
      <c r="T198" s="818"/>
      <c r="U198" s="818"/>
      <c r="V198" s="818"/>
      <c r="W198" s="818"/>
      <c r="X198" s="818"/>
      <c r="Y198" s="818"/>
      <c r="Z198" s="818"/>
    </row>
    <row r="199" spans="1:26" ht="18.75">
      <c r="A199" s="942"/>
      <c r="B199" s="1030"/>
      <c r="C199" s="827"/>
      <c r="D199" s="943" t="s">
        <v>97</v>
      </c>
      <c r="E199" s="827"/>
      <c r="F199" s="827"/>
      <c r="G199" s="829"/>
      <c r="H199" s="778" t="s">
        <v>12</v>
      </c>
      <c r="I199" s="944"/>
      <c r="J199" s="944"/>
      <c r="K199" s="945"/>
      <c r="L199" s="831">
        <f ca="1">IFERROR(__xludf.DUMMYFUNCTION("IMPORTRANGE(""https://docs.google.com/spreadsheets/d/1QqKyyYR6Q21VydFLVH3TRQUabQu_ym0Zz7PgGX0-kHA/edit?usp=sharing"",""แผน!AE24"")"),2000)</f>
        <v>2000</v>
      </c>
      <c r="M199" s="831"/>
      <c r="N199" s="1031">
        <v>0</v>
      </c>
      <c r="O199" s="831"/>
      <c r="P199" s="831"/>
      <c r="Q199" s="818"/>
      <c r="R199" s="818"/>
      <c r="S199" s="818"/>
      <c r="T199" s="818"/>
      <c r="U199" s="818"/>
      <c r="V199" s="818"/>
      <c r="W199" s="818"/>
      <c r="X199" s="818"/>
      <c r="Y199" s="818"/>
      <c r="Z199" s="818"/>
    </row>
    <row r="200" spans="1:26" ht="19.5">
      <c r="A200" s="1032"/>
      <c r="B200" s="1030"/>
      <c r="C200" s="976"/>
      <c r="D200" s="943" t="s">
        <v>98</v>
      </c>
      <c r="E200" s="827"/>
      <c r="F200" s="827"/>
      <c r="G200" s="829"/>
      <c r="H200" s="590" t="s">
        <v>12</v>
      </c>
      <c r="I200" s="830"/>
      <c r="J200" s="830"/>
      <c r="K200" s="831"/>
      <c r="L200" s="831">
        <f ca="1">IFERROR(__xludf.DUMMYFUNCTION("IMPORTRANGE(""https://docs.google.com/spreadsheets/d/1QqKyyYR6Q21VydFLVH3TRQUabQu_ym0Zz7PgGX0-kHA/edit?usp=sharing"",""แผน!AF24"")"),16000)</f>
        <v>16000</v>
      </c>
      <c r="M200" s="831"/>
      <c r="N200" s="1031">
        <v>8840</v>
      </c>
      <c r="O200" s="831"/>
      <c r="P200" s="831"/>
      <c r="Q200" s="1033"/>
      <c r="R200" s="1033"/>
      <c r="S200" s="1033"/>
      <c r="T200" s="1033"/>
      <c r="U200" s="1033"/>
      <c r="V200" s="1033"/>
      <c r="W200" s="1033"/>
      <c r="X200" s="1033"/>
      <c r="Y200" s="1033"/>
      <c r="Z200" s="1033"/>
    </row>
    <row r="201" spans="1:26" ht="19.5">
      <c r="A201" s="1032"/>
      <c r="B201" s="1030"/>
      <c r="C201" s="976"/>
      <c r="D201" s="943" t="s">
        <v>99</v>
      </c>
      <c r="E201" s="827"/>
      <c r="F201" s="827"/>
      <c r="G201" s="829"/>
      <c r="H201" s="590" t="s">
        <v>12</v>
      </c>
      <c r="I201" s="830"/>
      <c r="J201" s="830"/>
      <c r="K201" s="831"/>
      <c r="L201" s="831">
        <f ca="1">IFERROR(__xludf.DUMMYFUNCTION("IMPORTRANGE(""https://docs.google.com/spreadsheets/d/1QqKyyYR6Q21VydFLVH3TRQUabQu_ym0Zz7PgGX0-kHA/edit?usp=sharing"",""แผน!AG24"")"),8000)</f>
        <v>8000</v>
      </c>
      <c r="M201" s="831"/>
      <c r="N201" s="1031">
        <v>0</v>
      </c>
      <c r="O201" s="831"/>
      <c r="P201" s="831"/>
      <c r="Q201" s="1033"/>
      <c r="R201" s="1033"/>
      <c r="S201" s="1033"/>
      <c r="T201" s="1033"/>
      <c r="U201" s="1033"/>
      <c r="V201" s="1033"/>
      <c r="W201" s="1033"/>
      <c r="X201" s="1033"/>
      <c r="Y201" s="1033"/>
      <c r="Z201" s="1033"/>
    </row>
    <row r="202" spans="1:26" ht="19.5">
      <c r="A202" s="1032"/>
      <c r="B202" s="1030"/>
      <c r="C202" s="976"/>
      <c r="D202" s="943" t="s">
        <v>100</v>
      </c>
      <c r="E202" s="827"/>
      <c r="F202" s="827"/>
      <c r="G202" s="829"/>
      <c r="H202" s="590" t="s">
        <v>12</v>
      </c>
      <c r="I202" s="830"/>
      <c r="J202" s="830"/>
      <c r="K202" s="831"/>
      <c r="L202" s="831">
        <f ca="1">IFERROR(__xludf.DUMMYFUNCTION("IMPORTRANGE(""https://docs.google.com/spreadsheets/d/1QqKyyYR6Q21VydFLVH3TRQUabQu_ym0Zz7PgGX0-kHA/edit?usp=sharing"",""แผน!AH24"")"),0)</f>
        <v>0</v>
      </c>
      <c r="M202" s="831"/>
      <c r="N202" s="1031">
        <v>0</v>
      </c>
      <c r="O202" s="831"/>
      <c r="P202" s="831"/>
      <c r="Q202" s="1033"/>
      <c r="R202" s="1033"/>
      <c r="S202" s="1033"/>
      <c r="T202" s="1033"/>
      <c r="U202" s="1033"/>
      <c r="V202" s="1033"/>
      <c r="W202" s="1033"/>
      <c r="X202" s="1033"/>
      <c r="Y202" s="1033"/>
      <c r="Z202" s="1033"/>
    </row>
    <row r="203" spans="1:26" ht="19.5">
      <c r="A203" s="949"/>
      <c r="B203" s="950"/>
      <c r="C203" s="976" t="s">
        <v>16</v>
      </c>
      <c r="D203" s="951" t="s">
        <v>38</v>
      </c>
      <c r="E203" s="952"/>
      <c r="F203" s="952"/>
      <c r="G203" s="953"/>
      <c r="H203" s="954"/>
      <c r="I203" s="944"/>
      <c r="J203" s="944"/>
      <c r="K203" s="945"/>
      <c r="L203" s="945"/>
      <c r="M203" s="945"/>
      <c r="N203" s="945"/>
      <c r="O203" s="945"/>
      <c r="P203" s="945"/>
      <c r="Q203" s="818"/>
      <c r="R203" s="818"/>
      <c r="S203" s="818"/>
      <c r="T203" s="818"/>
      <c r="U203" s="818"/>
      <c r="V203" s="818"/>
      <c r="W203" s="818"/>
      <c r="X203" s="818"/>
      <c r="Y203" s="818"/>
      <c r="Z203" s="818"/>
    </row>
    <row r="204" spans="1:26" ht="18.75">
      <c r="A204" s="949"/>
      <c r="B204" s="950"/>
      <c r="C204" s="950"/>
      <c r="D204" s="955" t="s">
        <v>101</v>
      </c>
      <c r="E204" s="957"/>
      <c r="F204" s="957"/>
      <c r="G204" s="958"/>
      <c r="H204" s="954" t="s">
        <v>96</v>
      </c>
      <c r="I204" s="830">
        <f ca="1">IFERROR(__xludf.DUMMYFUNCTION("IMPORTRANGE(""https://docs.google.com/spreadsheets/d/1QqKyyYR6Q21VydFLVH3TRQUabQu_ym0Zz7PgGX0-kHA/edit?usp=sharing"",""แผน!AI24"")"),2)</f>
        <v>2</v>
      </c>
      <c r="J204" s="959">
        <v>2</v>
      </c>
      <c r="K204" s="945">
        <f ca="1">IF(I204&gt;0,J204*100/I204,0)</f>
        <v>100</v>
      </c>
      <c r="L204" s="831"/>
      <c r="M204" s="831"/>
      <c r="N204" s="831"/>
      <c r="O204" s="831"/>
      <c r="P204" s="831"/>
      <c r="Q204" s="818"/>
      <c r="R204" s="818"/>
      <c r="S204" s="818"/>
      <c r="T204" s="818"/>
      <c r="U204" s="818"/>
      <c r="V204" s="818"/>
      <c r="W204" s="818"/>
      <c r="X204" s="818"/>
      <c r="Y204" s="818"/>
      <c r="Z204" s="818"/>
    </row>
    <row r="205" spans="1:26" ht="18.75">
      <c r="A205" s="949"/>
      <c r="B205" s="950"/>
      <c r="C205" s="950"/>
      <c r="D205" s="956" t="s">
        <v>59</v>
      </c>
      <c r="E205" s="957"/>
      <c r="F205" s="957"/>
      <c r="G205" s="958"/>
      <c r="H205" s="954"/>
      <c r="I205" s="830"/>
      <c r="J205" s="830"/>
      <c r="K205" s="945"/>
      <c r="L205" s="831"/>
      <c r="M205" s="831"/>
      <c r="N205" s="831"/>
      <c r="O205" s="831"/>
      <c r="P205" s="831"/>
      <c r="Q205" s="818"/>
      <c r="R205" s="818"/>
      <c r="S205" s="818"/>
      <c r="T205" s="818"/>
      <c r="U205" s="818"/>
      <c r="V205" s="818"/>
      <c r="W205" s="818"/>
      <c r="X205" s="818"/>
      <c r="Y205" s="818"/>
      <c r="Z205" s="818"/>
    </row>
    <row r="206" spans="1:26" ht="18.75">
      <c r="A206" s="949"/>
      <c r="B206" s="950"/>
      <c r="C206" s="950"/>
      <c r="D206" s="957"/>
      <c r="E206" s="968" t="s">
        <v>102</v>
      </c>
      <c r="F206" s="1034"/>
      <c r="G206" s="1035"/>
      <c r="H206" s="1036" t="s">
        <v>96</v>
      </c>
      <c r="I206" s="830">
        <v>2</v>
      </c>
      <c r="J206" s="959">
        <v>0</v>
      </c>
      <c r="K206" s="945">
        <f t="shared" ref="K206:K208" si="100">IF(I206&gt;0,J206*100/I206,0)</f>
        <v>0</v>
      </c>
      <c r="L206" s="831"/>
      <c r="M206" s="831"/>
      <c r="N206" s="831"/>
      <c r="O206" s="831"/>
      <c r="P206" s="831"/>
      <c r="Q206" s="818"/>
      <c r="R206" s="818"/>
      <c r="S206" s="818"/>
      <c r="T206" s="818"/>
      <c r="U206" s="818"/>
      <c r="V206" s="818"/>
      <c r="W206" s="818"/>
      <c r="X206" s="818"/>
      <c r="Y206" s="818"/>
      <c r="Z206" s="818"/>
    </row>
    <row r="207" spans="1:26" ht="18.75">
      <c r="A207" s="949"/>
      <c r="B207" s="950"/>
      <c r="C207" s="950"/>
      <c r="D207" s="956"/>
      <c r="E207" s="956" t="s">
        <v>103</v>
      </c>
      <c r="F207" s="957"/>
      <c r="G207" s="957"/>
      <c r="H207" s="290" t="s">
        <v>104</v>
      </c>
      <c r="I207" s="830">
        <v>0</v>
      </c>
      <c r="J207" s="959">
        <v>0</v>
      </c>
      <c r="K207" s="945">
        <f t="shared" si="100"/>
        <v>0</v>
      </c>
      <c r="L207" s="831"/>
      <c r="M207" s="831"/>
      <c r="N207" s="831"/>
      <c r="O207" s="831"/>
      <c r="P207" s="831"/>
      <c r="Q207" s="818"/>
      <c r="R207" s="818"/>
      <c r="S207" s="818"/>
      <c r="T207" s="818"/>
      <c r="U207" s="818"/>
      <c r="V207" s="818"/>
      <c r="W207" s="818"/>
      <c r="X207" s="818"/>
      <c r="Y207" s="818"/>
      <c r="Z207" s="818"/>
    </row>
    <row r="208" spans="1:26" ht="19.5" hidden="1">
      <c r="A208" s="1011"/>
      <c r="B208" s="1018"/>
      <c r="C208" s="1023" t="s">
        <v>105</v>
      </c>
      <c r="D208" s="1012"/>
      <c r="E208" s="1012"/>
      <c r="F208" s="1037"/>
      <c r="G208" s="1014"/>
      <c r="H208" s="278" t="s">
        <v>96</v>
      </c>
      <c r="I208" s="1024">
        <f t="shared" ref="I208:J208" ca="1" si="101">I215</f>
        <v>0</v>
      </c>
      <c r="J208" s="1024">
        <f t="shared" si="101"/>
        <v>0</v>
      </c>
      <c r="K208" s="1025">
        <f t="shared" ca="1" si="100"/>
        <v>0</v>
      </c>
      <c r="L208" s="1016"/>
      <c r="M208" s="1016"/>
      <c r="N208" s="1016"/>
      <c r="O208" s="1016"/>
      <c r="P208" s="1016"/>
    </row>
    <row r="209" spans="1:26" ht="19.5" hidden="1">
      <c r="A209" s="932"/>
      <c r="B209" s="933"/>
      <c r="C209" s="934" t="s">
        <v>16</v>
      </c>
      <c r="D209" s="1026" t="s">
        <v>17</v>
      </c>
      <c r="E209" s="933"/>
      <c r="F209" s="933"/>
      <c r="G209" s="936"/>
      <c r="H209" s="275" t="s">
        <v>12</v>
      </c>
      <c r="I209" s="1028"/>
      <c r="J209" s="1028"/>
      <c r="K209" s="1029"/>
      <c r="L209" s="939">
        <f ca="1">L210+L211+L212</f>
        <v>0</v>
      </c>
      <c r="M209" s="939"/>
      <c r="N209" s="939">
        <f>N210+N211+N212</f>
        <v>0</v>
      </c>
      <c r="O209" s="939">
        <f ca="1">IF(L209&gt;0,N209*100/L209,0)</f>
        <v>0</v>
      </c>
      <c r="P209" s="939">
        <f>IF(M209&gt;0,N209*100/M209,0)</f>
        <v>0</v>
      </c>
      <c r="Q209" s="818"/>
      <c r="R209" s="818"/>
      <c r="S209" s="818"/>
      <c r="T209" s="818"/>
      <c r="U209" s="818"/>
      <c r="V209" s="818"/>
      <c r="W209" s="818"/>
      <c r="X209" s="818"/>
      <c r="Y209" s="818"/>
      <c r="Z209" s="818"/>
    </row>
    <row r="210" spans="1:26" ht="18.75" hidden="1">
      <c r="A210" s="942"/>
      <c r="B210" s="1030"/>
      <c r="C210" s="827"/>
      <c r="D210" s="943" t="s">
        <v>97</v>
      </c>
      <c r="E210" s="827"/>
      <c r="F210" s="827"/>
      <c r="G210" s="829"/>
      <c r="H210" s="778" t="s">
        <v>12</v>
      </c>
      <c r="I210" s="944"/>
      <c r="J210" s="944"/>
      <c r="K210" s="945"/>
      <c r="L210" s="831">
        <f ca="1">IFERROR(__xludf.DUMMYFUNCTION("IMPORTRANGE(""https://docs.google.com/spreadsheets/d/1QqKyyYR6Q21VydFLVH3TRQUabQu_ym0Zz7PgGX0-kHA/edit?usp=sharing"",""แผน!AK24"")"),0)</f>
        <v>0</v>
      </c>
      <c r="M210" s="831"/>
      <c r="N210" s="1031">
        <v>0</v>
      </c>
      <c r="O210" s="831"/>
      <c r="P210" s="831"/>
      <c r="Q210" s="818"/>
      <c r="R210" s="818"/>
      <c r="S210" s="818"/>
      <c r="T210" s="818"/>
      <c r="U210" s="818"/>
      <c r="V210" s="818"/>
      <c r="W210" s="818"/>
      <c r="X210" s="818"/>
      <c r="Y210" s="818"/>
      <c r="Z210" s="818"/>
    </row>
    <row r="211" spans="1:26" ht="19.5" hidden="1">
      <c r="A211" s="1032"/>
      <c r="B211" s="1030"/>
      <c r="C211" s="1038"/>
      <c r="D211" s="943" t="s">
        <v>99</v>
      </c>
      <c r="E211" s="827"/>
      <c r="F211" s="827"/>
      <c r="G211" s="829"/>
      <c r="H211" s="778" t="s">
        <v>12</v>
      </c>
      <c r="I211" s="830"/>
      <c r="J211" s="830"/>
      <c r="K211" s="831"/>
      <c r="L211" s="831">
        <f ca="1">IFERROR(__xludf.DUMMYFUNCTION("IMPORTRANGE(""https://docs.google.com/spreadsheets/d/1QqKyyYR6Q21VydFLVH3TRQUabQu_ym0Zz7PgGX0-kHA/edit?usp=sharing"",""แผน!AL24"")"),0)</f>
        <v>0</v>
      </c>
      <c r="M211" s="831"/>
      <c r="N211" s="1031">
        <v>0</v>
      </c>
      <c r="O211" s="831"/>
      <c r="P211" s="831"/>
      <c r="Q211" s="1033"/>
      <c r="R211" s="1033"/>
      <c r="S211" s="1033"/>
      <c r="T211" s="1033"/>
      <c r="U211" s="1033"/>
      <c r="V211" s="1033"/>
      <c r="W211" s="1033"/>
      <c r="X211" s="1033"/>
      <c r="Y211" s="1033"/>
      <c r="Z211" s="1033"/>
    </row>
    <row r="212" spans="1:26" ht="19.5" hidden="1">
      <c r="A212" s="1032"/>
      <c r="B212" s="1030"/>
      <c r="C212" s="1038"/>
      <c r="D212" s="943" t="s">
        <v>98</v>
      </c>
      <c r="E212" s="827"/>
      <c r="F212" s="827"/>
      <c r="G212" s="829"/>
      <c r="H212" s="778" t="s">
        <v>12</v>
      </c>
      <c r="I212" s="830"/>
      <c r="J212" s="830"/>
      <c r="K212" s="831"/>
      <c r="L212" s="831">
        <f ca="1">IFERROR(__xludf.DUMMYFUNCTION("IMPORTRANGE(""https://docs.google.com/spreadsheets/d/1QqKyyYR6Q21VydFLVH3TRQUabQu_ym0Zz7PgGX0-kHA/edit?usp=sharing"",""แผน!AM24"")"),0)</f>
        <v>0</v>
      </c>
      <c r="M212" s="831"/>
      <c r="N212" s="1031">
        <v>0</v>
      </c>
      <c r="O212" s="831"/>
      <c r="P212" s="831"/>
      <c r="Q212" s="1033"/>
      <c r="R212" s="1033"/>
      <c r="S212" s="1033"/>
      <c r="T212" s="1033"/>
      <c r="U212" s="1033"/>
      <c r="V212" s="1033"/>
      <c r="W212" s="1033"/>
      <c r="X212" s="1033"/>
      <c r="Y212" s="1033"/>
      <c r="Z212" s="1033"/>
    </row>
    <row r="213" spans="1:26" ht="19.5" hidden="1">
      <c r="A213" s="949"/>
      <c r="B213" s="950"/>
      <c r="C213" s="1038" t="s">
        <v>16</v>
      </c>
      <c r="D213" s="951" t="s">
        <v>38</v>
      </c>
      <c r="E213" s="952"/>
      <c r="F213" s="952"/>
      <c r="G213" s="953"/>
      <c r="H213" s="954"/>
      <c r="I213" s="944"/>
      <c r="J213" s="830"/>
      <c r="K213" s="831"/>
      <c r="L213" s="831"/>
      <c r="M213" s="831"/>
      <c r="N213" s="831"/>
      <c r="O213" s="945"/>
      <c r="P213" s="945"/>
      <c r="Q213" s="818"/>
      <c r="R213" s="818"/>
      <c r="S213" s="818"/>
      <c r="T213" s="818"/>
      <c r="U213" s="818"/>
      <c r="V213" s="818"/>
      <c r="W213" s="818"/>
      <c r="X213" s="818"/>
      <c r="Y213" s="818"/>
      <c r="Z213" s="818"/>
    </row>
    <row r="214" spans="1:26" ht="18.75" hidden="1">
      <c r="A214" s="949"/>
      <c r="B214" s="950"/>
      <c r="C214" s="950"/>
      <c r="D214" s="955" t="s">
        <v>106</v>
      </c>
      <c r="E214" s="957"/>
      <c r="F214" s="957"/>
      <c r="G214" s="958"/>
      <c r="H214" s="954" t="s">
        <v>96</v>
      </c>
      <c r="I214" s="830">
        <f ca="1">IFERROR(__xludf.DUMMYFUNCTION("IMPORTRANGE(""https://docs.google.com/spreadsheets/d/1QqKyyYR6Q21VydFLVH3TRQUabQu_ym0Zz7PgGX0-kHA/edit?usp=sharing"",""แผน!AN24"")"),0)</f>
        <v>0</v>
      </c>
      <c r="J214" s="959">
        <v>0</v>
      </c>
      <c r="K214" s="831">
        <f t="shared" ref="K214:K216" ca="1" si="102">IF(I214&gt;0,J214*100/I214,0)</f>
        <v>0</v>
      </c>
      <c r="L214" s="831"/>
      <c r="M214" s="831"/>
      <c r="N214" s="831"/>
      <c r="O214" s="831"/>
      <c r="P214" s="831"/>
      <c r="Q214" s="818"/>
      <c r="R214" s="818"/>
      <c r="S214" s="818"/>
      <c r="T214" s="818"/>
      <c r="U214" s="818"/>
      <c r="V214" s="818"/>
      <c r="W214" s="818"/>
      <c r="X214" s="818"/>
      <c r="Y214" s="818"/>
      <c r="Z214" s="818"/>
    </row>
    <row r="215" spans="1:26" ht="18.75" hidden="1">
      <c r="A215" s="949"/>
      <c r="B215" s="950"/>
      <c r="C215" s="950"/>
      <c r="D215" s="955" t="s">
        <v>107</v>
      </c>
      <c r="E215" s="957"/>
      <c r="F215" s="957"/>
      <c r="G215" s="958"/>
      <c r="H215" s="954" t="s">
        <v>96</v>
      </c>
      <c r="I215" s="830">
        <f ca="1">IFERROR(__xludf.DUMMYFUNCTION("IMPORTRANGE(""https://docs.google.com/spreadsheets/d/1QqKyyYR6Q21VydFLVH3TRQUabQu_ym0Zz7PgGX0-kHA/edit?usp=sharing"",""แผน!AN24"")"),0)</f>
        <v>0</v>
      </c>
      <c r="J215" s="959">
        <v>0</v>
      </c>
      <c r="K215" s="831">
        <f t="shared" ca="1" si="102"/>
        <v>0</v>
      </c>
      <c r="L215" s="831"/>
      <c r="M215" s="831"/>
      <c r="N215" s="831"/>
      <c r="O215" s="831"/>
      <c r="P215" s="831"/>
      <c r="Q215" s="818"/>
      <c r="R215" s="818"/>
      <c r="S215" s="818"/>
      <c r="T215" s="818"/>
      <c r="U215" s="818"/>
      <c r="V215" s="818"/>
      <c r="W215" s="818"/>
      <c r="X215" s="818"/>
      <c r="Y215" s="818"/>
      <c r="Z215" s="818"/>
    </row>
    <row r="216" spans="1:26" ht="19.5">
      <c r="A216" s="1011"/>
      <c r="B216" s="1018"/>
      <c r="C216" s="1023" t="s">
        <v>108</v>
      </c>
      <c r="D216" s="1012"/>
      <c r="E216" s="1012"/>
      <c r="F216" s="1037"/>
      <c r="G216" s="1014"/>
      <c r="H216" s="260" t="s">
        <v>109</v>
      </c>
      <c r="I216" s="1024">
        <f t="shared" ref="I216:J216" ca="1" si="103">I224</f>
        <v>40000</v>
      </c>
      <c r="J216" s="1024">
        <f t="shared" si="103"/>
        <v>0</v>
      </c>
      <c r="K216" s="1025">
        <f t="shared" ca="1" si="102"/>
        <v>0</v>
      </c>
      <c r="L216" s="1016"/>
      <c r="M216" s="1016"/>
      <c r="N216" s="1016"/>
      <c r="O216" s="1016"/>
      <c r="P216" s="1016"/>
    </row>
    <row r="217" spans="1:26" ht="19.5">
      <c r="A217" s="932"/>
      <c r="B217" s="933"/>
      <c r="C217" s="934" t="s">
        <v>16</v>
      </c>
      <c r="D217" s="1026" t="s">
        <v>17</v>
      </c>
      <c r="E217" s="933"/>
      <c r="F217" s="933"/>
      <c r="G217" s="936"/>
      <c r="H217" s="275" t="s">
        <v>12</v>
      </c>
      <c r="I217" s="1028"/>
      <c r="J217" s="1028"/>
      <c r="K217" s="1029"/>
      <c r="L217" s="939">
        <f ca="1">L218+L219+L220</f>
        <v>15000</v>
      </c>
      <c r="M217" s="939"/>
      <c r="N217" s="939">
        <f>N218+N219+N220</f>
        <v>0</v>
      </c>
      <c r="O217" s="939">
        <f ca="1">IF(L217&gt;0,N217*100/L217,0)</f>
        <v>0</v>
      </c>
      <c r="P217" s="939">
        <f>IF(M217&gt;0,N217*100/M217,0)</f>
        <v>0</v>
      </c>
      <c r="Q217" s="818"/>
      <c r="R217" s="818"/>
      <c r="S217" s="818"/>
      <c r="T217" s="818"/>
      <c r="U217" s="818"/>
      <c r="V217" s="818"/>
      <c r="W217" s="818"/>
      <c r="X217" s="818"/>
      <c r="Y217" s="818"/>
      <c r="Z217" s="818"/>
    </row>
    <row r="218" spans="1:26" ht="18.75">
      <c r="A218" s="942"/>
      <c r="B218" s="1030"/>
      <c r="C218" s="827"/>
      <c r="D218" s="943" t="s">
        <v>97</v>
      </c>
      <c r="E218" s="827"/>
      <c r="F218" s="827"/>
      <c r="G218" s="829"/>
      <c r="H218" s="778" t="s">
        <v>12</v>
      </c>
      <c r="I218" s="944"/>
      <c r="J218" s="944"/>
      <c r="K218" s="945"/>
      <c r="L218" s="831">
        <f ca="1">IFERROR(__xludf.DUMMYFUNCTION("IMPORTRANGE(""https://docs.google.com/spreadsheets/d/1QqKyyYR6Q21VydFLVH3TRQUabQu_ym0Zz7PgGX0-kHA/edit?usp=sharing"",""แผน!AP24"")"),5000)</f>
        <v>5000</v>
      </c>
      <c r="M218" s="831"/>
      <c r="N218" s="1031">
        <v>0</v>
      </c>
      <c r="O218" s="831"/>
      <c r="P218" s="831"/>
      <c r="Q218" s="818"/>
      <c r="R218" s="818"/>
      <c r="S218" s="818"/>
      <c r="T218" s="818"/>
      <c r="U218" s="818"/>
      <c r="V218" s="818"/>
      <c r="W218" s="818"/>
      <c r="X218" s="818"/>
      <c r="Y218" s="818"/>
      <c r="Z218" s="818"/>
    </row>
    <row r="219" spans="1:26" ht="19.5">
      <c r="A219" s="1032"/>
      <c r="B219" s="1030"/>
      <c r="C219" s="1038"/>
      <c r="D219" s="943" t="s">
        <v>110</v>
      </c>
      <c r="E219" s="827"/>
      <c r="F219" s="827"/>
      <c r="G219" s="829"/>
      <c r="H219" s="778" t="s">
        <v>12</v>
      </c>
      <c r="I219" s="830"/>
      <c r="J219" s="830"/>
      <c r="K219" s="831"/>
      <c r="L219" s="831">
        <f ca="1">IFERROR(__xludf.DUMMYFUNCTION("IMPORTRANGE(""https://docs.google.com/spreadsheets/d/1QqKyyYR6Q21VydFLVH3TRQUabQu_ym0Zz7PgGX0-kHA/edit?usp=sharing"",""แผน!AQ24"")"),10000)</f>
        <v>10000</v>
      </c>
      <c r="M219" s="831"/>
      <c r="N219" s="1031">
        <v>0</v>
      </c>
      <c r="O219" s="831"/>
      <c r="P219" s="831"/>
      <c r="Q219" s="1033"/>
      <c r="R219" s="1033"/>
      <c r="S219" s="1033"/>
      <c r="T219" s="1033"/>
      <c r="U219" s="1033"/>
      <c r="V219" s="1033"/>
      <c r="W219" s="1033"/>
      <c r="X219" s="1033"/>
      <c r="Y219" s="1033"/>
      <c r="Z219" s="1033"/>
    </row>
    <row r="220" spans="1:26" ht="19.5">
      <c r="A220" s="1032"/>
      <c r="B220" s="1030"/>
      <c r="C220" s="1038"/>
      <c r="D220" s="943" t="s">
        <v>98</v>
      </c>
      <c r="E220" s="827"/>
      <c r="F220" s="827"/>
      <c r="G220" s="829"/>
      <c r="H220" s="778" t="s">
        <v>12</v>
      </c>
      <c r="I220" s="830"/>
      <c r="J220" s="830"/>
      <c r="K220" s="831"/>
      <c r="L220" s="831">
        <f ca="1">IFERROR(__xludf.DUMMYFUNCTION("IMPORTRANGE(""https://docs.google.com/spreadsheets/d/1QqKyyYR6Q21VydFLVH3TRQUabQu_ym0Zz7PgGX0-kHA/edit?usp=sharing"",""แผน!AR24"")"),0)</f>
        <v>0</v>
      </c>
      <c r="M220" s="831"/>
      <c r="N220" s="1031">
        <v>0</v>
      </c>
      <c r="O220" s="831"/>
      <c r="P220" s="831"/>
      <c r="Q220" s="1033"/>
      <c r="R220" s="1033"/>
      <c r="S220" s="1033"/>
      <c r="T220" s="1033"/>
      <c r="U220" s="1033"/>
      <c r="V220" s="1033"/>
      <c r="W220" s="1033"/>
      <c r="X220" s="1033"/>
      <c r="Y220" s="1033"/>
      <c r="Z220" s="1033"/>
    </row>
    <row r="221" spans="1:26" ht="19.5">
      <c r="A221" s="949"/>
      <c r="B221" s="950"/>
      <c r="C221" s="1038" t="s">
        <v>16</v>
      </c>
      <c r="D221" s="951" t="s">
        <v>38</v>
      </c>
      <c r="E221" s="952"/>
      <c r="F221" s="952"/>
      <c r="G221" s="953"/>
      <c r="H221" s="954"/>
      <c r="I221" s="944"/>
      <c r="J221" s="944"/>
      <c r="K221" s="945"/>
      <c r="L221" s="945"/>
      <c r="M221" s="945"/>
      <c r="N221" s="945"/>
      <c r="O221" s="945"/>
      <c r="P221" s="945"/>
      <c r="Q221" s="818"/>
      <c r="R221" s="818"/>
      <c r="S221" s="818"/>
      <c r="T221" s="818"/>
      <c r="U221" s="818"/>
      <c r="V221" s="818"/>
      <c r="W221" s="818"/>
      <c r="X221" s="818"/>
      <c r="Y221" s="818"/>
      <c r="Z221" s="818"/>
    </row>
    <row r="222" spans="1:26" ht="18.75">
      <c r="A222" s="949"/>
      <c r="B222" s="950"/>
      <c r="C222" s="950"/>
      <c r="D222" s="943" t="s">
        <v>111</v>
      </c>
      <c r="E222" s="957"/>
      <c r="F222" s="957"/>
      <c r="G222" s="958"/>
      <c r="H222" s="954"/>
      <c r="I222" s="830"/>
      <c r="J222" s="830"/>
      <c r="K222" s="945"/>
      <c r="L222" s="945"/>
      <c r="M222" s="945"/>
      <c r="N222" s="945"/>
      <c r="O222" s="945"/>
      <c r="P222" s="945"/>
      <c r="Q222" s="818"/>
      <c r="R222" s="818"/>
      <c r="S222" s="818"/>
      <c r="T222" s="818"/>
      <c r="U222" s="818"/>
      <c r="V222" s="818"/>
      <c r="W222" s="818"/>
      <c r="X222" s="818"/>
      <c r="Y222" s="818"/>
      <c r="Z222" s="818"/>
    </row>
    <row r="223" spans="1:26" ht="18.75">
      <c r="A223" s="949"/>
      <c r="B223" s="950"/>
      <c r="C223" s="950"/>
      <c r="D223" s="950"/>
      <c r="E223" s="955" t="s">
        <v>112</v>
      </c>
      <c r="F223" s="957"/>
      <c r="G223" s="958"/>
      <c r="H223" s="730" t="s">
        <v>109</v>
      </c>
      <c r="I223" s="830">
        <f ca="1">IFERROR(__xludf.DUMMYFUNCTION("IMPORTRANGE(""https://docs.google.com/spreadsheets/d/1QqKyyYR6Q21VydFLVH3TRQUabQu_ym0Zz7PgGX0-kHA/edit?usp=sharing"",""แผน!AT24"")"),40000)</f>
        <v>40000</v>
      </c>
      <c r="J223" s="959">
        <v>0</v>
      </c>
      <c r="K223" s="945">
        <f t="shared" ref="K223:K226" ca="1" si="104">IF(I223&gt;0,J223*100/I223,0)</f>
        <v>0</v>
      </c>
      <c r="L223" s="945"/>
      <c r="M223" s="945"/>
      <c r="N223" s="945"/>
      <c r="O223" s="945"/>
      <c r="P223" s="945"/>
      <c r="Q223" s="818"/>
      <c r="R223" s="818"/>
      <c r="S223" s="818"/>
      <c r="T223" s="818"/>
      <c r="U223" s="818"/>
      <c r="V223" s="818"/>
      <c r="W223" s="818"/>
      <c r="X223" s="818"/>
      <c r="Y223" s="818"/>
      <c r="Z223" s="818"/>
    </row>
    <row r="224" spans="1:26" ht="18.75">
      <c r="A224" s="949"/>
      <c r="B224" s="950"/>
      <c r="C224" s="950"/>
      <c r="D224" s="950"/>
      <c r="E224" s="955" t="s">
        <v>113</v>
      </c>
      <c r="F224" s="957"/>
      <c r="G224" s="958"/>
      <c r="H224" s="730" t="s">
        <v>109</v>
      </c>
      <c r="I224" s="830">
        <f ca="1">IFERROR(__xludf.DUMMYFUNCTION("IMPORTRANGE(""https://docs.google.com/spreadsheets/d/1QqKyyYR6Q21VydFLVH3TRQUabQu_ym0Zz7PgGX0-kHA/edit?usp=sharing"",""แผน!AT24"")"),40000)</f>
        <v>40000</v>
      </c>
      <c r="J224" s="959">
        <v>0</v>
      </c>
      <c r="K224" s="945">
        <f t="shared" ca="1" si="104"/>
        <v>0</v>
      </c>
      <c r="L224" s="831"/>
      <c r="M224" s="831"/>
      <c r="N224" s="831"/>
      <c r="O224" s="831"/>
      <c r="P224" s="831"/>
      <c r="Q224" s="818"/>
      <c r="R224" s="818"/>
      <c r="S224" s="818"/>
      <c r="T224" s="818"/>
      <c r="U224" s="818"/>
      <c r="V224" s="818"/>
      <c r="W224" s="818"/>
      <c r="X224" s="818"/>
      <c r="Y224" s="818"/>
      <c r="Z224" s="818"/>
    </row>
    <row r="225" spans="1:26" ht="18.75">
      <c r="A225" s="949"/>
      <c r="B225" s="950"/>
      <c r="C225" s="950"/>
      <c r="D225" s="943" t="s">
        <v>114</v>
      </c>
      <c r="E225" s="957"/>
      <c r="F225" s="957"/>
      <c r="G225" s="958"/>
      <c r="H225" s="730" t="s">
        <v>35</v>
      </c>
      <c r="I225" s="830">
        <f ca="1">IFERROR(__xludf.DUMMYFUNCTION("IMPORTRANGE(""https://docs.google.com/spreadsheets/d/1QqKyyYR6Q21VydFLVH3TRQUabQu_ym0Zz7PgGX0-kHA/edit?usp=sharing"",""แผน!AS24"")"),0)</f>
        <v>0</v>
      </c>
      <c r="J225" s="959">
        <v>0</v>
      </c>
      <c r="K225" s="945">
        <f t="shared" ca="1" si="104"/>
        <v>0</v>
      </c>
      <c r="L225" s="831"/>
      <c r="M225" s="831"/>
      <c r="N225" s="831"/>
      <c r="O225" s="831"/>
      <c r="P225" s="831"/>
      <c r="Q225" s="818"/>
      <c r="R225" s="818"/>
      <c r="S225" s="818"/>
      <c r="T225" s="818"/>
      <c r="U225" s="818"/>
      <c r="V225" s="818"/>
      <c r="W225" s="818"/>
      <c r="X225" s="818"/>
      <c r="Y225" s="818"/>
      <c r="Z225" s="818"/>
    </row>
    <row r="226" spans="1:26" ht="19.5" hidden="1">
      <c r="A226" s="1011"/>
      <c r="B226" s="1018"/>
      <c r="C226" s="1039" t="s">
        <v>115</v>
      </c>
      <c r="D226" s="1012"/>
      <c r="E226" s="1012"/>
      <c r="F226" s="1012"/>
      <c r="G226" s="1014"/>
      <c r="H226" s="266" t="s">
        <v>35</v>
      </c>
      <c r="I226" s="1040">
        <f t="shared" ref="I226:J226" ca="1" si="105">I237+I248</f>
        <v>0</v>
      </c>
      <c r="J226" s="1040">
        <f t="shared" si="105"/>
        <v>0</v>
      </c>
      <c r="K226" s="1041">
        <f t="shared" ca="1" si="104"/>
        <v>0</v>
      </c>
      <c r="L226" s="1016"/>
      <c r="M226" s="1016"/>
      <c r="N226" s="1016"/>
      <c r="O226" s="1016"/>
      <c r="P226" s="1016"/>
    </row>
    <row r="227" spans="1:26" ht="19.5" hidden="1">
      <c r="A227" s="1042"/>
      <c r="B227" s="1043"/>
      <c r="C227" s="1044" t="s">
        <v>16</v>
      </c>
      <c r="D227" s="1045" t="s">
        <v>17</v>
      </c>
      <c r="E227" s="1043"/>
      <c r="F227" s="1043"/>
      <c r="G227" s="1046"/>
      <c r="H227" s="1047" t="s">
        <v>12</v>
      </c>
      <c r="I227" s="1048"/>
      <c r="J227" s="1048"/>
      <c r="K227" s="1049"/>
      <c r="L227" s="1050">
        <f t="shared" ref="L227:L231" ca="1" si="106">L238+L249</f>
        <v>0</v>
      </c>
      <c r="M227" s="1050"/>
      <c r="N227" s="1050">
        <f t="shared" ref="N227:N231" si="107">N238+N249</f>
        <v>0</v>
      </c>
      <c r="O227" s="1051"/>
      <c r="P227" s="1051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</row>
    <row r="228" spans="1:26" ht="18.75" hidden="1">
      <c r="A228" s="940"/>
      <c r="B228" s="1052"/>
      <c r="C228" s="833"/>
      <c r="D228" s="834" t="s">
        <v>97</v>
      </c>
      <c r="E228" s="833"/>
      <c r="F228" s="833"/>
      <c r="G228" s="835"/>
      <c r="H228" s="165" t="s">
        <v>12</v>
      </c>
      <c r="I228" s="947"/>
      <c r="J228" s="947"/>
      <c r="K228" s="948"/>
      <c r="L228" s="837">
        <f t="shared" ca="1" si="106"/>
        <v>0</v>
      </c>
      <c r="M228" s="837"/>
      <c r="N228" s="837">
        <f t="shared" si="107"/>
        <v>0</v>
      </c>
      <c r="O228" s="837"/>
      <c r="P228" s="837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</row>
    <row r="229" spans="1:26" ht="19.5" hidden="1">
      <c r="A229" s="1053"/>
      <c r="B229" s="1052"/>
      <c r="C229" s="1054"/>
      <c r="D229" s="834" t="s">
        <v>98</v>
      </c>
      <c r="E229" s="833"/>
      <c r="F229" s="833"/>
      <c r="G229" s="835"/>
      <c r="H229" s="165" t="s">
        <v>12</v>
      </c>
      <c r="I229" s="836"/>
      <c r="J229" s="836"/>
      <c r="K229" s="837"/>
      <c r="L229" s="837">
        <f t="shared" ca="1" si="106"/>
        <v>0</v>
      </c>
      <c r="M229" s="837"/>
      <c r="N229" s="837">
        <f t="shared" si="107"/>
        <v>0</v>
      </c>
      <c r="O229" s="837"/>
      <c r="P229" s="837"/>
      <c r="Q229" s="1055"/>
      <c r="R229" s="1055"/>
      <c r="S229" s="1055"/>
      <c r="T229" s="1055"/>
      <c r="U229" s="1055"/>
      <c r="V229" s="1055"/>
      <c r="W229" s="1055"/>
      <c r="X229" s="1055"/>
      <c r="Y229" s="1055"/>
      <c r="Z229" s="1055"/>
    </row>
    <row r="230" spans="1:26" ht="19.5" hidden="1">
      <c r="A230" s="1053"/>
      <c r="B230" s="1052"/>
      <c r="C230" s="1054"/>
      <c r="D230" s="834" t="s">
        <v>116</v>
      </c>
      <c r="E230" s="833"/>
      <c r="F230" s="833"/>
      <c r="G230" s="835"/>
      <c r="H230" s="165" t="s">
        <v>12</v>
      </c>
      <c r="I230" s="836"/>
      <c r="J230" s="836"/>
      <c r="K230" s="837"/>
      <c r="L230" s="837">
        <f t="shared" ca="1" si="106"/>
        <v>0</v>
      </c>
      <c r="M230" s="837"/>
      <c r="N230" s="837">
        <f t="shared" si="107"/>
        <v>0</v>
      </c>
      <c r="O230" s="837"/>
      <c r="P230" s="837"/>
      <c r="Q230" s="1055"/>
      <c r="R230" s="1055"/>
      <c r="S230" s="1055"/>
      <c r="T230" s="1055"/>
      <c r="U230" s="1055"/>
      <c r="V230" s="1055"/>
      <c r="W230" s="1055"/>
      <c r="X230" s="1055"/>
      <c r="Y230" s="1055"/>
      <c r="Z230" s="1055"/>
    </row>
    <row r="231" spans="1:26" ht="19.5" hidden="1">
      <c r="A231" s="1053"/>
      <c r="B231" s="1052"/>
      <c r="C231" s="1054"/>
      <c r="D231" s="834" t="s">
        <v>100</v>
      </c>
      <c r="E231" s="833"/>
      <c r="F231" s="833"/>
      <c r="G231" s="835"/>
      <c r="H231" s="165" t="s">
        <v>12</v>
      </c>
      <c r="I231" s="836"/>
      <c r="J231" s="836"/>
      <c r="K231" s="837"/>
      <c r="L231" s="837">
        <f t="shared" ca="1" si="106"/>
        <v>0</v>
      </c>
      <c r="M231" s="837"/>
      <c r="N231" s="837">
        <f t="shared" si="107"/>
        <v>0</v>
      </c>
      <c r="O231" s="837"/>
      <c r="P231" s="837"/>
      <c r="Q231" s="1055"/>
      <c r="R231" s="1055"/>
      <c r="S231" s="1055"/>
      <c r="T231" s="1055"/>
      <c r="U231" s="1055"/>
      <c r="V231" s="1055"/>
      <c r="W231" s="1055"/>
      <c r="X231" s="1055"/>
      <c r="Y231" s="1055"/>
      <c r="Z231" s="1055"/>
    </row>
    <row r="232" spans="1:26" ht="19.5" hidden="1">
      <c r="A232" s="1056"/>
      <c r="B232" s="1057"/>
      <c r="C232" s="1054" t="s">
        <v>16</v>
      </c>
      <c r="D232" s="1020" t="s">
        <v>38</v>
      </c>
      <c r="E232" s="1058"/>
      <c r="F232" s="1058"/>
      <c r="G232" s="1059"/>
      <c r="H232" s="1060"/>
      <c r="I232" s="947"/>
      <c r="J232" s="836"/>
      <c r="K232" s="837"/>
      <c r="L232" s="837"/>
      <c r="M232" s="837"/>
      <c r="N232" s="837"/>
      <c r="O232" s="948"/>
      <c r="P232" s="948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</row>
    <row r="233" spans="1:26" ht="18.75" hidden="1">
      <c r="A233" s="1056"/>
      <c r="B233" s="1057"/>
      <c r="C233" s="1057"/>
      <c r="D233" s="1022" t="s">
        <v>117</v>
      </c>
      <c r="E233" s="1061"/>
      <c r="F233" s="1061"/>
      <c r="G233" s="1062"/>
      <c r="H233" s="583" t="s">
        <v>35</v>
      </c>
      <c r="I233" s="836">
        <f t="shared" ref="I233:J233" ca="1" si="108">I244+I255</f>
        <v>0</v>
      </c>
      <c r="J233" s="836">
        <f t="shared" si="108"/>
        <v>0</v>
      </c>
      <c r="K233" s="837">
        <f ca="1">IF(I233&gt;0,J233*100/I233,0)</f>
        <v>0</v>
      </c>
      <c r="L233" s="837"/>
      <c r="M233" s="837"/>
      <c r="N233" s="837"/>
      <c r="O233" s="837"/>
      <c r="P233" s="837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</row>
    <row r="234" spans="1:26" ht="18.75" hidden="1">
      <c r="A234" s="1056"/>
      <c r="B234" s="1057"/>
      <c r="C234" s="1057"/>
      <c r="D234" s="1063" t="s">
        <v>43</v>
      </c>
      <c r="E234" s="1061"/>
      <c r="F234" s="1061"/>
      <c r="G234" s="1062"/>
      <c r="H234" s="583"/>
      <c r="I234" s="836"/>
      <c r="J234" s="836"/>
      <c r="K234" s="837"/>
      <c r="L234" s="837"/>
      <c r="M234" s="837"/>
      <c r="N234" s="837"/>
      <c r="O234" s="948"/>
      <c r="P234" s="948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</row>
    <row r="235" spans="1:26" ht="18.75" hidden="1">
      <c r="A235" s="1056"/>
      <c r="B235" s="1057"/>
      <c r="C235" s="1057"/>
      <c r="D235" s="1057"/>
      <c r="E235" s="1021" t="s">
        <v>118</v>
      </c>
      <c r="F235" s="1061"/>
      <c r="G235" s="1062"/>
      <c r="H235" s="583" t="s">
        <v>35</v>
      </c>
      <c r="I235" s="836">
        <f t="shared" ref="I235:J236" si="109">I246+I257</f>
        <v>0</v>
      </c>
      <c r="J235" s="836">
        <f t="shared" si="109"/>
        <v>0</v>
      </c>
      <c r="K235" s="837">
        <f t="shared" ref="K235:K237" si="110">IF(I235&gt;0,J235*100/I235,0)</f>
        <v>0</v>
      </c>
      <c r="L235" s="837"/>
      <c r="M235" s="837"/>
      <c r="N235" s="837"/>
      <c r="O235" s="837"/>
      <c r="P235" s="837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</row>
    <row r="236" spans="1:26" ht="18.75" hidden="1">
      <c r="A236" s="1056"/>
      <c r="B236" s="1057"/>
      <c r="C236" s="1057"/>
      <c r="D236" s="1057"/>
      <c r="E236" s="1021" t="s">
        <v>119</v>
      </c>
      <c r="F236" s="1061"/>
      <c r="G236" s="1062"/>
      <c r="H236" s="583" t="s">
        <v>66</v>
      </c>
      <c r="I236" s="836">
        <f t="shared" si="109"/>
        <v>0</v>
      </c>
      <c r="J236" s="836">
        <f t="shared" si="109"/>
        <v>0</v>
      </c>
      <c r="K236" s="837">
        <f t="shared" si="110"/>
        <v>0</v>
      </c>
      <c r="L236" s="837"/>
      <c r="M236" s="837"/>
      <c r="N236" s="837"/>
      <c r="O236" s="837"/>
      <c r="P236" s="837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</row>
    <row r="237" spans="1:26" ht="19.5" hidden="1">
      <c r="A237" s="1011"/>
      <c r="B237" s="1018"/>
      <c r="C237" s="1023" t="s">
        <v>331</v>
      </c>
      <c r="D237" s="1012"/>
      <c r="E237" s="1012"/>
      <c r="F237" s="1012"/>
      <c r="G237" s="1014"/>
      <c r="H237" s="260" t="s">
        <v>35</v>
      </c>
      <c r="I237" s="1024">
        <f t="shared" ref="I237:J237" ca="1" si="111">I244</f>
        <v>0</v>
      </c>
      <c r="J237" s="1024">
        <f t="shared" si="111"/>
        <v>0</v>
      </c>
      <c r="K237" s="1025">
        <f t="shared" ca="1" si="110"/>
        <v>0</v>
      </c>
      <c r="L237" s="1016"/>
      <c r="M237" s="1016"/>
      <c r="N237" s="1016"/>
      <c r="O237" s="1016"/>
      <c r="P237" s="1016"/>
    </row>
    <row r="238" spans="1:26" ht="19.5" hidden="1">
      <c r="A238" s="932"/>
      <c r="B238" s="933"/>
      <c r="C238" s="934" t="s">
        <v>16</v>
      </c>
      <c r="D238" s="935" t="s">
        <v>17</v>
      </c>
      <c r="E238" s="933"/>
      <c r="F238" s="933"/>
      <c r="G238" s="936"/>
      <c r="H238" s="275" t="s">
        <v>12</v>
      </c>
      <c r="I238" s="1028"/>
      <c r="J238" s="1028"/>
      <c r="K238" s="1029"/>
      <c r="L238" s="939">
        <f ca="1">L239+L240+L241+L242</f>
        <v>0</v>
      </c>
      <c r="M238" s="939"/>
      <c r="N238" s="939">
        <f>N239+N240+N241+N242</f>
        <v>0</v>
      </c>
      <c r="O238" s="939">
        <f ca="1">IF(L238&gt;0,N238*100/L238,0)</f>
        <v>0</v>
      </c>
      <c r="P238" s="939">
        <f>IF(M238&gt;0,N238*100/M238,0)</f>
        <v>0</v>
      </c>
      <c r="Q238" s="818"/>
      <c r="R238" s="818"/>
      <c r="S238" s="818"/>
      <c r="T238" s="818"/>
      <c r="U238" s="818"/>
      <c r="V238" s="818"/>
      <c r="W238" s="818"/>
      <c r="X238" s="818"/>
      <c r="Y238" s="818"/>
      <c r="Z238" s="818"/>
    </row>
    <row r="239" spans="1:26" ht="18.75" hidden="1">
      <c r="A239" s="1064"/>
      <c r="B239" s="1065"/>
      <c r="C239" s="1066"/>
      <c r="D239" s="1067" t="s">
        <v>97</v>
      </c>
      <c r="E239" s="1066"/>
      <c r="F239" s="1066"/>
      <c r="G239" s="1068"/>
      <c r="H239" s="319" t="s">
        <v>12</v>
      </c>
      <c r="I239" s="1069"/>
      <c r="J239" s="1069"/>
      <c r="K239" s="1070"/>
      <c r="L239" s="1071">
        <f ca="1">IFERROR(__xludf.DUMMYFUNCTION("IMPORTRANGE(""https://docs.google.com/spreadsheets/d/1QqKyyYR6Q21VydFLVH3TRQUabQu_ym0Zz7PgGX0-kHA/edit?usp=sharing"",""แผน!AV24"")"),0)</f>
        <v>0</v>
      </c>
      <c r="M239" s="1071"/>
      <c r="N239" s="1072">
        <v>0</v>
      </c>
      <c r="O239" s="1071"/>
      <c r="P239" s="1071"/>
      <c r="Q239" s="1073"/>
      <c r="R239" s="1073"/>
      <c r="S239" s="1073"/>
      <c r="T239" s="1073"/>
      <c r="U239" s="1073"/>
      <c r="V239" s="1073"/>
      <c r="W239" s="1073"/>
      <c r="X239" s="1073"/>
      <c r="Y239" s="1073"/>
      <c r="Z239" s="1073"/>
    </row>
    <row r="240" spans="1:26" ht="19.5" hidden="1">
      <c r="A240" s="1074"/>
      <c r="B240" s="1065"/>
      <c r="C240" s="1075"/>
      <c r="D240" s="1067" t="s">
        <v>98</v>
      </c>
      <c r="E240" s="1066"/>
      <c r="F240" s="1066"/>
      <c r="G240" s="1068"/>
      <c r="H240" s="319" t="s">
        <v>12</v>
      </c>
      <c r="I240" s="1076"/>
      <c r="J240" s="1076"/>
      <c r="K240" s="1071"/>
      <c r="L240" s="1071">
        <f ca="1">IFERROR(__xludf.DUMMYFUNCTION("IMPORTRANGE(""https://docs.google.com/spreadsheets/d/1QqKyyYR6Q21VydFLVH3TRQUabQu_ym0Zz7PgGX0-kHA/edit?usp=sharing"",""แผน!AW24"")"),0)</f>
        <v>0</v>
      </c>
      <c r="M240" s="1071"/>
      <c r="N240" s="1072">
        <v>0</v>
      </c>
      <c r="O240" s="1071"/>
      <c r="P240" s="1071"/>
      <c r="Q240" s="1077"/>
      <c r="R240" s="1077"/>
      <c r="S240" s="1077"/>
      <c r="T240" s="1077"/>
      <c r="U240" s="1077"/>
      <c r="V240" s="1077"/>
      <c r="W240" s="1077"/>
      <c r="X240" s="1077"/>
      <c r="Y240" s="1077"/>
      <c r="Z240" s="1077"/>
    </row>
    <row r="241" spans="1:26" ht="19.5" hidden="1">
      <c r="A241" s="1074"/>
      <c r="B241" s="1065"/>
      <c r="C241" s="1075"/>
      <c r="D241" s="1067" t="s">
        <v>116</v>
      </c>
      <c r="E241" s="1066"/>
      <c r="F241" s="1066"/>
      <c r="G241" s="1068"/>
      <c r="H241" s="319" t="s">
        <v>12</v>
      </c>
      <c r="I241" s="1076"/>
      <c r="J241" s="1076"/>
      <c r="K241" s="1071"/>
      <c r="L241" s="1071">
        <f ca="1">IFERROR(__xludf.DUMMYFUNCTION("IMPORTRANGE(""https://docs.google.com/spreadsheets/d/1QqKyyYR6Q21VydFLVH3TRQUabQu_ym0Zz7PgGX0-kHA/edit?usp=sharing"",""แผน!AX24"")"),0)</f>
        <v>0</v>
      </c>
      <c r="M241" s="1071"/>
      <c r="N241" s="1072">
        <v>0</v>
      </c>
      <c r="O241" s="1071"/>
      <c r="P241" s="1071"/>
      <c r="Q241" s="1077"/>
      <c r="R241" s="1077"/>
      <c r="S241" s="1077"/>
      <c r="T241" s="1077"/>
      <c r="U241" s="1077"/>
      <c r="V241" s="1077"/>
      <c r="W241" s="1077"/>
      <c r="X241" s="1077"/>
      <c r="Y241" s="1077"/>
      <c r="Z241" s="1077"/>
    </row>
    <row r="242" spans="1:26" ht="19.5" hidden="1">
      <c r="A242" s="1074"/>
      <c r="B242" s="1065"/>
      <c r="C242" s="1075"/>
      <c r="D242" s="1067" t="s">
        <v>100</v>
      </c>
      <c r="E242" s="1066"/>
      <c r="F242" s="1066"/>
      <c r="G242" s="1068"/>
      <c r="H242" s="319" t="s">
        <v>12</v>
      </c>
      <c r="I242" s="1076"/>
      <c r="J242" s="1076"/>
      <c r="K242" s="1071"/>
      <c r="L242" s="1071">
        <f ca="1">IFERROR(__xludf.DUMMYFUNCTION("IMPORTRANGE(""https://docs.google.com/spreadsheets/d/1QqKyyYR6Q21VydFLVH3TRQUabQu_ym0Zz7PgGX0-kHA/edit?usp=sharing"",""แผน!AY24"")"),0)</f>
        <v>0</v>
      </c>
      <c r="M242" s="1071"/>
      <c r="N242" s="1072">
        <v>0</v>
      </c>
      <c r="O242" s="1071"/>
      <c r="P242" s="1071"/>
      <c r="Q242" s="1077"/>
      <c r="R242" s="1077"/>
      <c r="S242" s="1077"/>
      <c r="T242" s="1077"/>
      <c r="U242" s="1077"/>
      <c r="V242" s="1077"/>
      <c r="W242" s="1077"/>
      <c r="X242" s="1077"/>
      <c r="Y242" s="1077"/>
      <c r="Z242" s="1077"/>
    </row>
    <row r="243" spans="1:26" ht="19.5" hidden="1">
      <c r="A243" s="949"/>
      <c r="B243" s="950"/>
      <c r="C243" s="1038" t="s">
        <v>16</v>
      </c>
      <c r="D243" s="951" t="s">
        <v>38</v>
      </c>
      <c r="E243" s="952"/>
      <c r="F243" s="952"/>
      <c r="G243" s="953"/>
      <c r="H243" s="954"/>
      <c r="I243" s="944"/>
      <c r="J243" s="830"/>
      <c r="K243" s="831"/>
      <c r="L243" s="831"/>
      <c r="M243" s="831"/>
      <c r="N243" s="831"/>
      <c r="O243" s="945"/>
      <c r="P243" s="945"/>
      <c r="Q243" s="818"/>
      <c r="R243" s="818"/>
      <c r="S243" s="818"/>
      <c r="T243" s="818"/>
      <c r="U243" s="818"/>
      <c r="V243" s="818"/>
      <c r="W243" s="818"/>
      <c r="X243" s="818"/>
      <c r="Y243" s="818"/>
      <c r="Z243" s="818"/>
    </row>
    <row r="244" spans="1:26" ht="18.75" hidden="1">
      <c r="A244" s="949"/>
      <c r="B244" s="950"/>
      <c r="C244" s="950"/>
      <c r="D244" s="956" t="s">
        <v>117</v>
      </c>
      <c r="E244" s="957"/>
      <c r="F244" s="957"/>
      <c r="G244" s="958"/>
      <c r="H244" s="730" t="s">
        <v>35</v>
      </c>
      <c r="I244" s="830">
        <f ca="1">IFERROR(__xludf.DUMMYFUNCTION("IMPORTRANGE(""https://docs.google.com/spreadsheets/d/1QqKyyYR6Q21VydFLVH3TRQUabQu_ym0Zz7PgGX0-kHA/edit?usp=sharing"",""แผน!BE24"")"),0)</f>
        <v>0</v>
      </c>
      <c r="J244" s="959">
        <v>0</v>
      </c>
      <c r="K244" s="831">
        <f ca="1">IF(I244&gt;0,J244*100/I244,0)</f>
        <v>0</v>
      </c>
      <c r="L244" s="831"/>
      <c r="M244" s="831"/>
      <c r="N244" s="831"/>
      <c r="O244" s="831"/>
      <c r="P244" s="831"/>
      <c r="Q244" s="818"/>
      <c r="R244" s="818"/>
      <c r="S244" s="818"/>
      <c r="T244" s="818"/>
      <c r="U244" s="818"/>
      <c r="V244" s="818"/>
      <c r="W244" s="818"/>
      <c r="X244" s="818"/>
      <c r="Y244" s="818"/>
      <c r="Z244" s="818"/>
    </row>
    <row r="245" spans="1:26" ht="18.75" hidden="1">
      <c r="A245" s="949"/>
      <c r="B245" s="950"/>
      <c r="C245" s="950"/>
      <c r="D245" s="1078" t="s">
        <v>43</v>
      </c>
      <c r="E245" s="957"/>
      <c r="F245" s="957"/>
      <c r="G245" s="958"/>
      <c r="H245" s="730"/>
      <c r="I245" s="830"/>
      <c r="J245" s="830"/>
      <c r="K245" s="831"/>
      <c r="L245" s="831"/>
      <c r="M245" s="831"/>
      <c r="N245" s="831"/>
      <c r="O245" s="945"/>
      <c r="P245" s="945"/>
      <c r="Q245" s="818"/>
      <c r="R245" s="818"/>
      <c r="S245" s="818"/>
      <c r="T245" s="818"/>
      <c r="U245" s="818"/>
      <c r="V245" s="818"/>
      <c r="W245" s="818"/>
      <c r="X245" s="818"/>
      <c r="Y245" s="818"/>
      <c r="Z245" s="818"/>
    </row>
    <row r="246" spans="1:26" ht="18.75" hidden="1">
      <c r="A246" s="949"/>
      <c r="B246" s="950"/>
      <c r="C246" s="950"/>
      <c r="D246" s="950"/>
      <c r="E246" s="955" t="s">
        <v>118</v>
      </c>
      <c r="F246" s="957"/>
      <c r="G246" s="958"/>
      <c r="H246" s="730" t="s">
        <v>35</v>
      </c>
      <c r="I246" s="830"/>
      <c r="J246" s="959">
        <v>0</v>
      </c>
      <c r="K246" s="831">
        <f t="shared" ref="K246:K248" si="112">IF(I246&gt;0,J246*100/I246,0)</f>
        <v>0</v>
      </c>
      <c r="L246" s="831"/>
      <c r="M246" s="831"/>
      <c r="N246" s="831"/>
      <c r="O246" s="831"/>
      <c r="P246" s="831"/>
      <c r="Q246" s="818"/>
      <c r="R246" s="818"/>
      <c r="S246" s="818"/>
      <c r="T246" s="818"/>
      <c r="U246" s="818"/>
      <c r="V246" s="818"/>
      <c r="W246" s="818"/>
      <c r="X246" s="818"/>
      <c r="Y246" s="818"/>
      <c r="Z246" s="818"/>
    </row>
    <row r="247" spans="1:26" ht="18.75" hidden="1">
      <c r="A247" s="949"/>
      <c r="B247" s="950"/>
      <c r="C247" s="950"/>
      <c r="D247" s="950"/>
      <c r="E247" s="955" t="s">
        <v>119</v>
      </c>
      <c r="F247" s="957"/>
      <c r="G247" s="958"/>
      <c r="H247" s="730" t="s">
        <v>66</v>
      </c>
      <c r="I247" s="830"/>
      <c r="J247" s="959">
        <v>0</v>
      </c>
      <c r="K247" s="831">
        <f t="shared" si="112"/>
        <v>0</v>
      </c>
      <c r="L247" s="831"/>
      <c r="M247" s="831"/>
      <c r="N247" s="831"/>
      <c r="O247" s="831"/>
      <c r="P247" s="831"/>
      <c r="Q247" s="818"/>
      <c r="R247" s="818"/>
      <c r="S247" s="818"/>
      <c r="T247" s="818"/>
      <c r="U247" s="818"/>
      <c r="V247" s="818"/>
      <c r="W247" s="818"/>
      <c r="X247" s="818"/>
      <c r="Y247" s="818"/>
      <c r="Z247" s="818"/>
    </row>
    <row r="248" spans="1:26" ht="19.5" hidden="1">
      <c r="A248" s="1011"/>
      <c r="B248" s="1018"/>
      <c r="C248" s="1023" t="s">
        <v>332</v>
      </c>
      <c r="D248" s="1012"/>
      <c r="E248" s="1012"/>
      <c r="F248" s="1012"/>
      <c r="G248" s="1014"/>
      <c r="H248" s="260" t="s">
        <v>35</v>
      </c>
      <c r="I248" s="1024">
        <f t="shared" ref="I248:J248" ca="1" si="113">I255</f>
        <v>0</v>
      </c>
      <c r="J248" s="1024">
        <f t="shared" si="113"/>
        <v>0</v>
      </c>
      <c r="K248" s="1025">
        <f t="shared" ca="1" si="112"/>
        <v>0</v>
      </c>
      <c r="L248" s="1016"/>
      <c r="M248" s="1016"/>
      <c r="N248" s="1016"/>
      <c r="O248" s="1016"/>
      <c r="P248" s="1016"/>
    </row>
    <row r="249" spans="1:26" ht="19.5" hidden="1">
      <c r="A249" s="932"/>
      <c r="B249" s="933"/>
      <c r="C249" s="934" t="s">
        <v>16</v>
      </c>
      <c r="D249" s="1026" t="s">
        <v>17</v>
      </c>
      <c r="E249" s="933"/>
      <c r="F249" s="933"/>
      <c r="G249" s="936"/>
      <c r="H249" s="275" t="s">
        <v>12</v>
      </c>
      <c r="I249" s="1028"/>
      <c r="J249" s="1028"/>
      <c r="K249" s="1029"/>
      <c r="L249" s="939">
        <f ca="1">L250+L251+L252+L253</f>
        <v>0</v>
      </c>
      <c r="M249" s="939"/>
      <c r="N249" s="939">
        <f>N250+N251+N252+N253</f>
        <v>0</v>
      </c>
      <c r="O249" s="939">
        <f ca="1">IF(L249&gt;0,N249*100/L249,0)</f>
        <v>0</v>
      </c>
      <c r="P249" s="939">
        <f>IF(M249&gt;0,N249*100/M249,0)</f>
        <v>0</v>
      </c>
      <c r="Q249" s="818"/>
      <c r="R249" s="818"/>
      <c r="S249" s="818"/>
      <c r="T249" s="818"/>
      <c r="U249" s="818"/>
      <c r="V249" s="818"/>
      <c r="W249" s="818"/>
      <c r="X249" s="818"/>
      <c r="Y249" s="818"/>
      <c r="Z249" s="818"/>
    </row>
    <row r="250" spans="1:26" ht="18.75" hidden="1">
      <c r="A250" s="1064"/>
      <c r="B250" s="1065"/>
      <c r="C250" s="1066"/>
      <c r="D250" s="1067" t="s">
        <v>97</v>
      </c>
      <c r="E250" s="1066"/>
      <c r="F250" s="1066"/>
      <c r="G250" s="1068"/>
      <c r="H250" s="319" t="s">
        <v>12</v>
      </c>
      <c r="I250" s="1069"/>
      <c r="J250" s="1069"/>
      <c r="K250" s="1070"/>
      <c r="L250" s="1071">
        <f ca="1">IFERROR(__xludf.DUMMYFUNCTION("IMPORTRANGE(""https://docs.google.com/spreadsheets/d/1QqKyyYR6Q21VydFLVH3TRQUabQu_ym0Zz7PgGX0-kHA/edit?usp=sharing"",""แผน!AZ24"")"),0)</f>
        <v>0</v>
      </c>
      <c r="M250" s="1071"/>
      <c r="N250" s="1072">
        <v>0</v>
      </c>
      <c r="O250" s="1071"/>
      <c r="P250" s="1071"/>
      <c r="Q250" s="1073"/>
      <c r="R250" s="1073"/>
      <c r="S250" s="1073"/>
      <c r="T250" s="1073"/>
      <c r="U250" s="1073"/>
      <c r="V250" s="1073"/>
      <c r="W250" s="1073"/>
      <c r="X250" s="1073"/>
      <c r="Y250" s="1073"/>
      <c r="Z250" s="1073"/>
    </row>
    <row r="251" spans="1:26" ht="19.5" hidden="1">
      <c r="A251" s="1074"/>
      <c r="B251" s="1065"/>
      <c r="C251" s="1075"/>
      <c r="D251" s="1067" t="s">
        <v>98</v>
      </c>
      <c r="E251" s="1066"/>
      <c r="F251" s="1066"/>
      <c r="G251" s="1068"/>
      <c r="H251" s="319" t="s">
        <v>12</v>
      </c>
      <c r="I251" s="1076"/>
      <c r="J251" s="1076"/>
      <c r="K251" s="1071"/>
      <c r="L251" s="1071">
        <f ca="1">IFERROR(__xludf.DUMMYFUNCTION("IMPORTRANGE(""https://docs.google.com/spreadsheets/d/1QqKyyYR6Q21VydFLVH3TRQUabQu_ym0Zz7PgGX0-kHA/edit?usp=sharing"",""แผน!BA24"")"),0)</f>
        <v>0</v>
      </c>
      <c r="M251" s="1071"/>
      <c r="N251" s="1072">
        <v>0</v>
      </c>
      <c r="O251" s="1071"/>
      <c r="P251" s="1071"/>
      <c r="Q251" s="1077"/>
      <c r="R251" s="1077"/>
      <c r="S251" s="1077"/>
      <c r="T251" s="1077"/>
      <c r="U251" s="1077"/>
      <c r="V251" s="1077"/>
      <c r="W251" s="1077"/>
      <c r="X251" s="1077"/>
      <c r="Y251" s="1077"/>
      <c r="Z251" s="1077"/>
    </row>
    <row r="252" spans="1:26" ht="19.5" hidden="1">
      <c r="A252" s="1074"/>
      <c r="B252" s="1065"/>
      <c r="C252" s="1075"/>
      <c r="D252" s="1067" t="s">
        <v>116</v>
      </c>
      <c r="E252" s="1066"/>
      <c r="F252" s="1066"/>
      <c r="G252" s="1068"/>
      <c r="H252" s="319" t="s">
        <v>12</v>
      </c>
      <c r="I252" s="1076"/>
      <c r="J252" s="1076"/>
      <c r="K252" s="1071"/>
      <c r="L252" s="1071">
        <f ca="1">IFERROR(__xludf.DUMMYFUNCTION("IMPORTRANGE(""https://docs.google.com/spreadsheets/d/1QqKyyYR6Q21VydFLVH3TRQUabQu_ym0Zz7PgGX0-kHA/edit?usp=sharing"",""แผน!BB24"")"),0)</f>
        <v>0</v>
      </c>
      <c r="M252" s="1071"/>
      <c r="N252" s="1072">
        <v>0</v>
      </c>
      <c r="O252" s="1071"/>
      <c r="P252" s="1071"/>
      <c r="Q252" s="1077"/>
      <c r="R252" s="1077"/>
      <c r="S252" s="1077"/>
      <c r="T252" s="1077"/>
      <c r="U252" s="1077"/>
      <c r="V252" s="1077"/>
      <c r="W252" s="1077"/>
      <c r="X252" s="1077"/>
      <c r="Y252" s="1077"/>
      <c r="Z252" s="1077"/>
    </row>
    <row r="253" spans="1:26" ht="19.5" hidden="1">
      <c r="A253" s="1074"/>
      <c r="B253" s="1065"/>
      <c r="C253" s="1075"/>
      <c r="D253" s="1067" t="s">
        <v>100</v>
      </c>
      <c r="E253" s="1066"/>
      <c r="F253" s="1066"/>
      <c r="G253" s="1068"/>
      <c r="H253" s="319" t="s">
        <v>12</v>
      </c>
      <c r="I253" s="1076"/>
      <c r="J253" s="1076"/>
      <c r="K253" s="1071"/>
      <c r="L253" s="1071">
        <f ca="1">IFERROR(__xludf.DUMMYFUNCTION("IMPORTRANGE(""https://docs.google.com/spreadsheets/d/1QqKyyYR6Q21VydFLVH3TRQUabQu_ym0Zz7PgGX0-kHA/edit?usp=sharing"",""แผน!BC24"")"),0)</f>
        <v>0</v>
      </c>
      <c r="M253" s="1071"/>
      <c r="N253" s="1072">
        <v>0</v>
      </c>
      <c r="O253" s="1071"/>
      <c r="P253" s="1071"/>
      <c r="Q253" s="1077"/>
      <c r="R253" s="1077"/>
      <c r="S253" s="1077"/>
      <c r="T253" s="1077"/>
      <c r="U253" s="1077"/>
      <c r="V253" s="1077"/>
      <c r="W253" s="1077"/>
      <c r="X253" s="1077"/>
      <c r="Y253" s="1077"/>
      <c r="Z253" s="1077"/>
    </row>
    <row r="254" spans="1:26" ht="19.5" hidden="1">
      <c r="A254" s="949"/>
      <c r="B254" s="950"/>
      <c r="C254" s="1038" t="s">
        <v>16</v>
      </c>
      <c r="D254" s="951" t="s">
        <v>38</v>
      </c>
      <c r="E254" s="952"/>
      <c r="F254" s="952"/>
      <c r="G254" s="953"/>
      <c r="H254" s="954"/>
      <c r="I254" s="944"/>
      <c r="J254" s="830"/>
      <c r="K254" s="831"/>
      <c r="L254" s="831"/>
      <c r="M254" s="831"/>
      <c r="N254" s="831"/>
      <c r="O254" s="945"/>
      <c r="P254" s="945"/>
      <c r="Q254" s="818"/>
      <c r="R254" s="818"/>
      <c r="S254" s="818"/>
      <c r="T254" s="818"/>
      <c r="U254" s="818"/>
      <c r="V254" s="818"/>
      <c r="W254" s="818"/>
      <c r="X254" s="818"/>
      <c r="Y254" s="818"/>
      <c r="Z254" s="818"/>
    </row>
    <row r="255" spans="1:26" ht="18.75" hidden="1">
      <c r="A255" s="949"/>
      <c r="B255" s="950"/>
      <c r="C255" s="950"/>
      <c r="D255" s="956" t="s">
        <v>117</v>
      </c>
      <c r="E255" s="957"/>
      <c r="F255" s="957"/>
      <c r="G255" s="958"/>
      <c r="H255" s="730" t="s">
        <v>35</v>
      </c>
      <c r="I255" s="830">
        <f ca="1">IFERROR(__xludf.DUMMYFUNCTION("IMPORTRANGE(""https://docs.google.com/spreadsheets/d/1QqKyyYR6Q21VydFLVH3TRQUabQu_ym0Zz7PgGX0-kHA/edit?usp=sharing"",""แผน!BF24"")"),0)</f>
        <v>0</v>
      </c>
      <c r="J255" s="959">
        <v>0</v>
      </c>
      <c r="K255" s="831">
        <f ca="1">IF(I255&gt;0,J255*100/I255,0)</f>
        <v>0</v>
      </c>
      <c r="L255" s="831"/>
      <c r="M255" s="831"/>
      <c r="N255" s="831"/>
      <c r="O255" s="831"/>
      <c r="P255" s="831"/>
      <c r="Q255" s="818"/>
      <c r="R255" s="818"/>
      <c r="S255" s="818"/>
      <c r="T255" s="818"/>
      <c r="U255" s="818"/>
      <c r="V255" s="818"/>
      <c r="W255" s="818"/>
      <c r="X255" s="818"/>
      <c r="Y255" s="818"/>
      <c r="Z255" s="818"/>
    </row>
    <row r="256" spans="1:26" ht="18.75" hidden="1">
      <c r="A256" s="949"/>
      <c r="B256" s="950"/>
      <c r="C256" s="950"/>
      <c r="D256" s="1078" t="s">
        <v>43</v>
      </c>
      <c r="E256" s="957"/>
      <c r="F256" s="957"/>
      <c r="G256" s="958"/>
      <c r="H256" s="730"/>
      <c r="I256" s="830"/>
      <c r="J256" s="830"/>
      <c r="K256" s="831"/>
      <c r="L256" s="831"/>
      <c r="M256" s="831"/>
      <c r="N256" s="831"/>
      <c r="O256" s="945"/>
      <c r="P256" s="945"/>
      <c r="Q256" s="818"/>
      <c r="R256" s="818"/>
      <c r="S256" s="818"/>
      <c r="T256" s="818"/>
      <c r="U256" s="818"/>
      <c r="V256" s="818"/>
      <c r="W256" s="818"/>
      <c r="X256" s="818"/>
      <c r="Y256" s="818"/>
      <c r="Z256" s="818"/>
    </row>
    <row r="257" spans="1:26" ht="18.75" hidden="1">
      <c r="A257" s="949"/>
      <c r="B257" s="950"/>
      <c r="C257" s="950"/>
      <c r="D257" s="950"/>
      <c r="E257" s="955" t="s">
        <v>118</v>
      </c>
      <c r="F257" s="957"/>
      <c r="G257" s="958"/>
      <c r="H257" s="730" t="s">
        <v>35</v>
      </c>
      <c r="I257" s="830"/>
      <c r="J257" s="959">
        <v>0</v>
      </c>
      <c r="K257" s="831">
        <f t="shared" ref="K257:K258" si="114">IF(I257&gt;0,J257*100/I257,0)</f>
        <v>0</v>
      </c>
      <c r="L257" s="831"/>
      <c r="M257" s="831"/>
      <c r="N257" s="831"/>
      <c r="O257" s="831"/>
      <c r="P257" s="831"/>
      <c r="Q257" s="818"/>
      <c r="R257" s="818"/>
      <c r="S257" s="818"/>
      <c r="T257" s="818"/>
      <c r="U257" s="818"/>
      <c r="V257" s="818"/>
      <c r="W257" s="818"/>
      <c r="X257" s="818"/>
      <c r="Y257" s="818"/>
      <c r="Z257" s="818"/>
    </row>
    <row r="258" spans="1:26" ht="18.75" hidden="1">
      <c r="A258" s="949"/>
      <c r="B258" s="950"/>
      <c r="C258" s="950"/>
      <c r="D258" s="950"/>
      <c r="E258" s="955" t="s">
        <v>119</v>
      </c>
      <c r="F258" s="957"/>
      <c r="G258" s="958"/>
      <c r="H258" s="730" t="s">
        <v>66</v>
      </c>
      <c r="I258" s="830"/>
      <c r="J258" s="959">
        <v>0</v>
      </c>
      <c r="K258" s="831">
        <f t="shared" si="114"/>
        <v>0</v>
      </c>
      <c r="L258" s="831"/>
      <c r="M258" s="831"/>
      <c r="N258" s="831"/>
      <c r="O258" s="831"/>
      <c r="P258" s="831"/>
      <c r="Q258" s="818"/>
      <c r="R258" s="818"/>
      <c r="S258" s="818"/>
      <c r="T258" s="818"/>
      <c r="U258" s="818"/>
      <c r="V258" s="818"/>
      <c r="W258" s="818"/>
      <c r="X258" s="818"/>
      <c r="Y258" s="818"/>
      <c r="Z258" s="818"/>
    </row>
    <row r="259" spans="1:26" ht="19.5">
      <c r="A259" s="998" t="s">
        <v>122</v>
      </c>
      <c r="B259" s="999"/>
      <c r="C259" s="999"/>
      <c r="D259" s="1000"/>
      <c r="E259" s="1000"/>
      <c r="F259" s="1000"/>
      <c r="G259" s="1001"/>
      <c r="H259" s="1002"/>
      <c r="I259" s="1003"/>
      <c r="J259" s="1003"/>
      <c r="K259" s="1004"/>
      <c r="L259" s="1004"/>
      <c r="M259" s="1004"/>
      <c r="N259" s="1004"/>
      <c r="O259" s="1004"/>
      <c r="P259" s="1004"/>
    </row>
    <row r="260" spans="1:26" ht="19.5">
      <c r="A260" s="1005"/>
      <c r="B260" s="1006" t="s">
        <v>123</v>
      </c>
      <c r="C260" s="1007"/>
      <c r="D260" s="952"/>
      <c r="E260" s="952"/>
      <c r="F260" s="952"/>
      <c r="G260" s="953"/>
      <c r="H260" s="252" t="s">
        <v>35</v>
      </c>
      <c r="I260" s="1008">
        <f t="shared" ref="I260:J260" ca="1" si="115">I271</f>
        <v>22</v>
      </c>
      <c r="J260" s="1008">
        <f t="shared" si="115"/>
        <v>24</v>
      </c>
      <c r="K260" s="1009">
        <f ca="1">IF(I260&gt;0,J260*100/I260,0)</f>
        <v>109.09090909090909</v>
      </c>
      <c r="L260" s="1010"/>
      <c r="M260" s="1010"/>
      <c r="N260" s="1010"/>
      <c r="O260" s="1010"/>
      <c r="P260" s="1010"/>
    </row>
    <row r="261" spans="1:26" ht="19.5">
      <c r="A261" s="932"/>
      <c r="B261" s="933"/>
      <c r="C261" s="934" t="s">
        <v>16</v>
      </c>
      <c r="D261" s="935" t="s">
        <v>17</v>
      </c>
      <c r="E261" s="933"/>
      <c r="F261" s="933"/>
      <c r="G261" s="936"/>
      <c r="H261" s="152" t="s">
        <v>12</v>
      </c>
      <c r="I261" s="937"/>
      <c r="J261" s="937"/>
      <c r="K261" s="938"/>
      <c r="L261" s="939">
        <f t="shared" ref="L261:N261" ca="1" si="116">L262+L263</f>
        <v>26900</v>
      </c>
      <c r="M261" s="939">
        <f t="shared" ca="1" si="116"/>
        <v>23900</v>
      </c>
      <c r="N261" s="939">
        <f t="shared" ca="1" si="116"/>
        <v>21020</v>
      </c>
      <c r="O261" s="939">
        <f t="shared" ref="O261:O269" ca="1" si="117">IF(L261&gt;0,N261*100/L261,0)</f>
        <v>78.141263940520446</v>
      </c>
      <c r="P261" s="939">
        <f t="shared" ref="P261:P269" ca="1" si="118">IF(M261&gt;0,N261*100/M261,0)</f>
        <v>87.94979079497908</v>
      </c>
      <c r="Q261" s="818"/>
      <c r="R261" s="818"/>
      <c r="S261" s="818"/>
      <c r="T261" s="818"/>
      <c r="U261" s="818"/>
      <c r="V261" s="818"/>
      <c r="W261" s="818"/>
      <c r="X261" s="818"/>
      <c r="Y261" s="818"/>
      <c r="Z261" s="818"/>
    </row>
    <row r="262" spans="1:26" ht="18.75" hidden="1">
      <c r="A262" s="940"/>
      <c r="B262" s="833"/>
      <c r="C262" s="833"/>
      <c r="D262" s="833"/>
      <c r="E262" s="834" t="s">
        <v>18</v>
      </c>
      <c r="F262" s="833"/>
      <c r="G262" s="941"/>
      <c r="H262" s="158" t="s">
        <v>12</v>
      </c>
      <c r="I262" s="836"/>
      <c r="J262" s="836"/>
      <c r="K262" s="837"/>
      <c r="L262" s="837">
        <f t="shared" ref="L262:N263" si="119">L265+L268</f>
        <v>0</v>
      </c>
      <c r="M262" s="837">
        <f t="shared" si="119"/>
        <v>0</v>
      </c>
      <c r="N262" s="837">
        <f t="shared" si="119"/>
        <v>0</v>
      </c>
      <c r="O262" s="837">
        <f t="shared" si="117"/>
        <v>0</v>
      </c>
      <c r="P262" s="837">
        <f t="shared" si="118"/>
        <v>0</v>
      </c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</row>
    <row r="263" spans="1:26" ht="18.75" hidden="1">
      <c r="A263" s="940"/>
      <c r="B263" s="833"/>
      <c r="C263" s="833"/>
      <c r="D263" s="833"/>
      <c r="E263" s="834" t="s">
        <v>19</v>
      </c>
      <c r="F263" s="833"/>
      <c r="G263" s="941"/>
      <c r="H263" s="158" t="s">
        <v>12</v>
      </c>
      <c r="I263" s="836"/>
      <c r="J263" s="836"/>
      <c r="K263" s="837"/>
      <c r="L263" s="837">
        <f t="shared" ca="1" si="119"/>
        <v>26900</v>
      </c>
      <c r="M263" s="837">
        <f t="shared" ca="1" si="119"/>
        <v>23900</v>
      </c>
      <c r="N263" s="837">
        <f t="shared" ca="1" si="119"/>
        <v>21020</v>
      </c>
      <c r="O263" s="837">
        <f t="shared" ca="1" si="117"/>
        <v>78.141263940520446</v>
      </c>
      <c r="P263" s="837">
        <f t="shared" ca="1" si="118"/>
        <v>87.94979079497908</v>
      </c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</row>
    <row r="264" spans="1:26" ht="18.75">
      <c r="A264" s="942"/>
      <c r="B264" s="827"/>
      <c r="C264" s="943"/>
      <c r="D264" s="828" t="s">
        <v>20</v>
      </c>
      <c r="E264" s="827"/>
      <c r="F264" s="827"/>
      <c r="G264" s="829"/>
      <c r="H264" s="778" t="s">
        <v>12</v>
      </c>
      <c r="I264" s="944"/>
      <c r="J264" s="944"/>
      <c r="K264" s="945"/>
      <c r="L264" s="831">
        <f t="shared" ref="L264:N264" ca="1" si="120">L265+L266</f>
        <v>26900</v>
      </c>
      <c r="M264" s="831">
        <f t="shared" ca="1" si="120"/>
        <v>23900</v>
      </c>
      <c r="N264" s="831">
        <f t="shared" ca="1" si="120"/>
        <v>21020</v>
      </c>
      <c r="O264" s="831">
        <f t="shared" ca="1" si="117"/>
        <v>78.141263940520446</v>
      </c>
      <c r="P264" s="831">
        <f t="shared" ca="1" si="118"/>
        <v>87.94979079497908</v>
      </c>
      <c r="Q264" s="818"/>
      <c r="R264" s="818"/>
      <c r="S264" s="818"/>
      <c r="T264" s="818"/>
      <c r="U264" s="818"/>
      <c r="V264" s="818"/>
      <c r="W264" s="818"/>
      <c r="X264" s="818"/>
      <c r="Y264" s="818"/>
      <c r="Z264" s="818"/>
    </row>
    <row r="265" spans="1:26" ht="19.5" hidden="1">
      <c r="A265" s="940"/>
      <c r="B265" s="833"/>
      <c r="C265" s="946"/>
      <c r="D265" s="833"/>
      <c r="E265" s="834" t="s">
        <v>36</v>
      </c>
      <c r="F265" s="833"/>
      <c r="G265" s="941"/>
      <c r="H265" s="165" t="s">
        <v>12</v>
      </c>
      <c r="I265" s="947"/>
      <c r="J265" s="947"/>
      <c r="K265" s="948"/>
      <c r="L265" s="837">
        <v>0</v>
      </c>
      <c r="M265" s="837">
        <v>0</v>
      </c>
      <c r="N265" s="837">
        <v>0</v>
      </c>
      <c r="O265" s="837">
        <f t="shared" si="117"/>
        <v>0</v>
      </c>
      <c r="P265" s="837">
        <f t="shared" si="118"/>
        <v>0</v>
      </c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</row>
    <row r="266" spans="1:26" ht="19.5" hidden="1">
      <c r="A266" s="940"/>
      <c r="B266" s="833"/>
      <c r="C266" s="946"/>
      <c r="D266" s="833"/>
      <c r="E266" s="834" t="s">
        <v>37</v>
      </c>
      <c r="F266" s="833"/>
      <c r="G266" s="941"/>
      <c r="H266" s="165" t="s">
        <v>12</v>
      </c>
      <c r="I266" s="947"/>
      <c r="J266" s="947"/>
      <c r="K266" s="948"/>
      <c r="L266" s="837">
        <f ca="1">IFERROR(__xludf.DUMMYFUNCTION("IMPORTRANGE(""https://docs.google.com/spreadsheets/d/1MeEWN-I1oV_STSDYn1IFDPWt_1FKiwhDph83XaGc0o0/edit?usp=sharing"",""งบพรบ!CY24"")"),26900)</f>
        <v>26900</v>
      </c>
      <c r="M266" s="837">
        <f ca="1">IFERROR(__xludf.DUMMYFUNCTION("IMPORTRANGE(""https://docs.google.com/spreadsheets/d/1MeEWN-I1oV_STSDYn1IFDPWt_1FKiwhDph83XaGc0o0/edit?usp=sharing"",""งบพรบ!DD24"")"),23900)</f>
        <v>23900</v>
      </c>
      <c r="N266" s="837">
        <f ca="1">IFERROR(__xludf.DUMMYFUNCTION("IMPORTRANGE(""https://docs.google.com/spreadsheets/d/1MeEWN-I1oV_STSDYn1IFDPWt_1FKiwhDph83XaGc0o0/edit?usp=sharing"",""งบพรบ!DF24"")"),21020)</f>
        <v>21020</v>
      </c>
      <c r="O266" s="837">
        <f t="shared" ca="1" si="117"/>
        <v>78.141263940520446</v>
      </c>
      <c r="P266" s="837">
        <f t="shared" ca="1" si="118"/>
        <v>87.94979079497908</v>
      </c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</row>
    <row r="267" spans="1:26" ht="18.75">
      <c r="A267" s="942"/>
      <c r="B267" s="827"/>
      <c r="C267" s="943"/>
      <c r="D267" s="828" t="s">
        <v>21</v>
      </c>
      <c r="E267" s="827"/>
      <c r="F267" s="827"/>
      <c r="G267" s="829"/>
      <c r="H267" s="168" t="s">
        <v>12</v>
      </c>
      <c r="I267" s="944"/>
      <c r="J267" s="944"/>
      <c r="K267" s="945"/>
      <c r="L267" s="831">
        <f t="shared" ref="L267:N267" ca="1" si="121">L268+L269</f>
        <v>0</v>
      </c>
      <c r="M267" s="831">
        <f t="shared" ca="1" si="121"/>
        <v>0</v>
      </c>
      <c r="N267" s="831">
        <f t="shared" ca="1" si="121"/>
        <v>0</v>
      </c>
      <c r="O267" s="831">
        <f t="shared" ca="1" si="117"/>
        <v>0</v>
      </c>
      <c r="P267" s="831">
        <f t="shared" ca="1" si="118"/>
        <v>0</v>
      </c>
      <c r="Q267" s="818"/>
      <c r="R267" s="818"/>
      <c r="S267" s="818"/>
      <c r="T267" s="818"/>
      <c r="U267" s="818"/>
      <c r="V267" s="818"/>
      <c r="W267" s="818"/>
      <c r="X267" s="818"/>
      <c r="Y267" s="818"/>
      <c r="Z267" s="818"/>
    </row>
    <row r="268" spans="1:26" ht="19.5" hidden="1">
      <c r="A268" s="940"/>
      <c r="B268" s="833"/>
      <c r="C268" s="946"/>
      <c r="D268" s="833"/>
      <c r="E268" s="834" t="s">
        <v>18</v>
      </c>
      <c r="F268" s="833"/>
      <c r="G268" s="941"/>
      <c r="H268" s="165" t="s">
        <v>12</v>
      </c>
      <c r="I268" s="947"/>
      <c r="J268" s="947"/>
      <c r="K268" s="948"/>
      <c r="L268" s="837">
        <v>0</v>
      </c>
      <c r="M268" s="837">
        <v>0</v>
      </c>
      <c r="N268" s="837">
        <v>0</v>
      </c>
      <c r="O268" s="837">
        <f t="shared" si="117"/>
        <v>0</v>
      </c>
      <c r="P268" s="837">
        <f t="shared" si="118"/>
        <v>0</v>
      </c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</row>
    <row r="269" spans="1:26" ht="19.5" hidden="1">
      <c r="A269" s="940"/>
      <c r="B269" s="833"/>
      <c r="C269" s="946"/>
      <c r="D269" s="833"/>
      <c r="E269" s="834" t="s">
        <v>19</v>
      </c>
      <c r="F269" s="833"/>
      <c r="G269" s="941"/>
      <c r="H269" s="169" t="s">
        <v>12</v>
      </c>
      <c r="I269" s="947"/>
      <c r="J269" s="947"/>
      <c r="K269" s="948"/>
      <c r="L269" s="837">
        <f ca="1">IFERROR(__xludf.DUMMYFUNCTION("IMPORTRANGE(""https://docs.google.com/spreadsheets/d/1MeEWN-I1oV_STSDYn1IFDPWt_1FKiwhDph83XaGc0o0/edit?usp=sharing"",""งบพรบ!DB24"")"),0)</f>
        <v>0</v>
      </c>
      <c r="M269" s="837">
        <f ca="1">IFERROR(__xludf.DUMMYFUNCTION("IMPORTRANGE(""https://docs.google.com/spreadsheets/d/1MeEWN-I1oV_STSDYn1IFDPWt_1FKiwhDph83XaGc0o0/edit?usp=sharing"",""งบพรบ!DE24"")"),0)</f>
        <v>0</v>
      </c>
      <c r="N269" s="837">
        <f ca="1">IFERROR(__xludf.DUMMYFUNCTION("IMPORTRANGE(""https://docs.google.com/spreadsheets/d/1MeEWN-I1oV_STSDYn1IFDPWt_1FKiwhDph83XaGc0o0/edit?usp=sharing"",""งบพรบ!DG24"")"),0)</f>
        <v>0</v>
      </c>
      <c r="O269" s="837">
        <f t="shared" ca="1" si="117"/>
        <v>0</v>
      </c>
      <c r="P269" s="837">
        <f t="shared" ca="1" si="118"/>
        <v>0</v>
      </c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</row>
    <row r="270" spans="1:26" ht="19.5">
      <c r="A270" s="949"/>
      <c r="B270" s="950"/>
      <c r="C270" s="943" t="s">
        <v>16</v>
      </c>
      <c r="D270" s="951" t="s">
        <v>38</v>
      </c>
      <c r="E270" s="952"/>
      <c r="F270" s="952"/>
      <c r="G270" s="953"/>
      <c r="H270" s="954"/>
      <c r="I270" s="944"/>
      <c r="J270" s="944"/>
      <c r="K270" s="945"/>
      <c r="L270" s="945"/>
      <c r="M270" s="945"/>
      <c r="N270" s="945"/>
      <c r="O270" s="945"/>
      <c r="P270" s="945"/>
    </row>
    <row r="271" spans="1:26" ht="18.75">
      <c r="A271" s="949"/>
      <c r="B271" s="950"/>
      <c r="C271" s="950"/>
      <c r="D271" s="1079" t="s">
        <v>124</v>
      </c>
      <c r="E271" s="957"/>
      <c r="F271" s="1022"/>
      <c r="G271" s="958"/>
      <c r="H271" s="346" t="s">
        <v>35</v>
      </c>
      <c r="I271" s="830">
        <f ca="1">IFERROR(__xludf.DUMMYFUNCTION("IMPORTRANGE(""https://docs.google.com/spreadsheets/d/1QqKyyYR6Q21VydFLVH3TRQUabQu_ym0Zz7PgGX0-kHA/edit?usp=sharing"",""แผน!EA24"")"),22)</f>
        <v>22</v>
      </c>
      <c r="J271" s="959">
        <v>24</v>
      </c>
      <c r="K271" s="945">
        <f ca="1">IF(I271&gt;0,J271*100/I271,0)</f>
        <v>109.09090909090909</v>
      </c>
      <c r="L271" s="945"/>
      <c r="M271" s="945"/>
      <c r="N271" s="945"/>
      <c r="O271" s="945"/>
      <c r="P271" s="945"/>
    </row>
    <row r="272" spans="1:26" ht="18.75" hidden="1">
      <c r="A272" s="1080"/>
      <c r="B272" s="1081"/>
      <c r="C272" s="1081"/>
      <c r="D272" s="1082" t="s">
        <v>125</v>
      </c>
      <c r="E272" s="1083"/>
      <c r="F272" s="1083"/>
      <c r="G272" s="1084"/>
      <c r="H272" s="50" t="s">
        <v>35</v>
      </c>
      <c r="I272" s="1085">
        <v>0</v>
      </c>
      <c r="J272" s="1085">
        <v>0</v>
      </c>
      <c r="K272" s="1086">
        <v>0</v>
      </c>
      <c r="L272" s="1086"/>
      <c r="M272" s="1086"/>
      <c r="N272" s="1086"/>
      <c r="O272" s="1086"/>
      <c r="P272" s="1086"/>
    </row>
    <row r="273" spans="1:26" ht="19.5">
      <c r="A273" s="1087" t="s">
        <v>126</v>
      </c>
      <c r="B273" s="1088"/>
      <c r="C273" s="1088"/>
      <c r="D273" s="1088"/>
      <c r="E273" s="1089"/>
      <c r="F273" s="1089"/>
      <c r="G273" s="1090"/>
      <c r="H273" s="1091"/>
      <c r="I273" s="1092"/>
      <c r="J273" s="1092"/>
      <c r="K273" s="1093"/>
      <c r="L273" s="1093"/>
      <c r="M273" s="1093"/>
      <c r="N273" s="1093"/>
      <c r="O273" s="1093"/>
      <c r="P273" s="1093"/>
    </row>
    <row r="274" spans="1:26" ht="19.5">
      <c r="A274" s="1094" t="s">
        <v>127</v>
      </c>
      <c r="B274" s="1095"/>
      <c r="C274" s="1096"/>
      <c r="D274" s="1095"/>
      <c r="E274" s="1095"/>
      <c r="F274" s="1095"/>
      <c r="G274" s="1095"/>
      <c r="H274" s="1097"/>
      <c r="I274" s="1098"/>
      <c r="J274" s="1099"/>
      <c r="K274" s="1100"/>
      <c r="L274" s="1100"/>
      <c r="M274" s="1100"/>
      <c r="N274" s="1100"/>
      <c r="O274" s="1100"/>
      <c r="P274" s="1100"/>
    </row>
    <row r="275" spans="1:26" ht="19.5">
      <c r="A275" s="1101"/>
      <c r="B275" s="1102" t="s">
        <v>128</v>
      </c>
      <c r="C275" s="1103"/>
      <c r="D275" s="1104"/>
      <c r="E275" s="1103"/>
      <c r="F275" s="1103"/>
      <c r="G275" s="1105"/>
      <c r="H275" s="374" t="s">
        <v>35</v>
      </c>
      <c r="I275" s="1106">
        <f t="shared" ref="I275:J275" ca="1" si="122">I288</f>
        <v>10</v>
      </c>
      <c r="J275" s="1106">
        <f t="shared" ca="1" si="122"/>
        <v>0</v>
      </c>
      <c r="K275" s="1107">
        <f t="shared" ref="K275:K276" ca="1" si="123">IF(I275&gt;0,J275*100/I275,0)</f>
        <v>0</v>
      </c>
      <c r="L275" s="1108"/>
      <c r="M275" s="1108"/>
      <c r="N275" s="1108"/>
      <c r="O275" s="1108"/>
      <c r="P275" s="1108"/>
    </row>
    <row r="276" spans="1:26" ht="19.5">
      <c r="A276" s="1101"/>
      <c r="B276" s="1102"/>
      <c r="C276" s="1103"/>
      <c r="D276" s="1104"/>
      <c r="E276" s="1103"/>
      <c r="F276" s="1103"/>
      <c r="G276" s="1105"/>
      <c r="H276" s="374" t="s">
        <v>46</v>
      </c>
      <c r="I276" s="1106">
        <f t="shared" ref="I276:J276" ca="1" si="124">I287</f>
        <v>100</v>
      </c>
      <c r="J276" s="1106">
        <f t="shared" si="124"/>
        <v>0</v>
      </c>
      <c r="K276" s="1107">
        <f t="shared" ca="1" si="123"/>
        <v>0</v>
      </c>
      <c r="L276" s="1108"/>
      <c r="M276" s="1108"/>
      <c r="N276" s="1108"/>
      <c r="O276" s="1108"/>
      <c r="P276" s="1108"/>
    </row>
    <row r="277" spans="1:26" ht="19.5">
      <c r="A277" s="932"/>
      <c r="B277" s="933"/>
      <c r="C277" s="934" t="s">
        <v>16</v>
      </c>
      <c r="D277" s="935" t="s">
        <v>17</v>
      </c>
      <c r="E277" s="933"/>
      <c r="F277" s="933"/>
      <c r="G277" s="936"/>
      <c r="H277" s="152" t="s">
        <v>12</v>
      </c>
      <c r="I277" s="937"/>
      <c r="J277" s="937"/>
      <c r="K277" s="938"/>
      <c r="L277" s="939">
        <f t="shared" ref="L277:N277" ca="1" si="125">L278+L279</f>
        <v>199610</v>
      </c>
      <c r="M277" s="939">
        <f t="shared" ca="1" si="125"/>
        <v>140900</v>
      </c>
      <c r="N277" s="939">
        <f t="shared" ca="1" si="125"/>
        <v>79302</v>
      </c>
      <c r="O277" s="939">
        <f t="shared" ref="O277:O285" ca="1" si="126">IF(L277&gt;0,N277*100/L277,0)</f>
        <v>39.728470517509145</v>
      </c>
      <c r="P277" s="939">
        <f t="shared" ref="P277:P285" ca="1" si="127">IF(M277&gt;0,N277*100/M277,0)</f>
        <v>56.28246983676366</v>
      </c>
      <c r="Q277" s="818"/>
      <c r="R277" s="818"/>
      <c r="S277" s="818"/>
      <c r="T277" s="818"/>
      <c r="U277" s="818"/>
      <c r="V277" s="818"/>
      <c r="W277" s="818"/>
      <c r="X277" s="818"/>
      <c r="Y277" s="818"/>
      <c r="Z277" s="818"/>
    </row>
    <row r="278" spans="1:26" ht="18.75" hidden="1">
      <c r="A278" s="940"/>
      <c r="B278" s="833"/>
      <c r="C278" s="833"/>
      <c r="D278" s="833"/>
      <c r="E278" s="834" t="s">
        <v>18</v>
      </c>
      <c r="F278" s="833"/>
      <c r="G278" s="941"/>
      <c r="H278" s="158" t="s">
        <v>12</v>
      </c>
      <c r="I278" s="836"/>
      <c r="J278" s="836"/>
      <c r="K278" s="837"/>
      <c r="L278" s="837">
        <f t="shared" ref="L278:N279" si="128">L281+L284</f>
        <v>0</v>
      </c>
      <c r="M278" s="837">
        <f t="shared" si="128"/>
        <v>0</v>
      </c>
      <c r="N278" s="837">
        <f t="shared" si="128"/>
        <v>0</v>
      </c>
      <c r="O278" s="837">
        <f t="shared" si="126"/>
        <v>0</v>
      </c>
      <c r="P278" s="837">
        <f t="shared" si="127"/>
        <v>0</v>
      </c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</row>
    <row r="279" spans="1:26" ht="18.75" hidden="1">
      <c r="A279" s="940"/>
      <c r="B279" s="833"/>
      <c r="C279" s="833"/>
      <c r="D279" s="833"/>
      <c r="E279" s="834" t="s">
        <v>19</v>
      </c>
      <c r="F279" s="833"/>
      <c r="G279" s="941"/>
      <c r="H279" s="158" t="s">
        <v>12</v>
      </c>
      <c r="I279" s="836"/>
      <c r="J279" s="836"/>
      <c r="K279" s="837"/>
      <c r="L279" s="837">
        <f t="shared" ca="1" si="128"/>
        <v>199610</v>
      </c>
      <c r="M279" s="837">
        <f t="shared" ca="1" si="128"/>
        <v>140900</v>
      </c>
      <c r="N279" s="837">
        <f t="shared" ca="1" si="128"/>
        <v>79302</v>
      </c>
      <c r="O279" s="837">
        <f t="shared" ca="1" si="126"/>
        <v>39.728470517509145</v>
      </c>
      <c r="P279" s="837">
        <f t="shared" ca="1" si="127"/>
        <v>56.28246983676366</v>
      </c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</row>
    <row r="280" spans="1:26" ht="18.75">
      <c r="A280" s="942"/>
      <c r="B280" s="827"/>
      <c r="C280" s="943"/>
      <c r="D280" s="828" t="s">
        <v>20</v>
      </c>
      <c r="E280" s="827"/>
      <c r="F280" s="827"/>
      <c r="G280" s="829"/>
      <c r="H280" s="778" t="s">
        <v>12</v>
      </c>
      <c r="I280" s="944"/>
      <c r="J280" s="944"/>
      <c r="K280" s="945"/>
      <c r="L280" s="831">
        <f t="shared" ref="L280:N280" ca="1" si="129">L281+L282</f>
        <v>199610</v>
      </c>
      <c r="M280" s="831">
        <f t="shared" ca="1" si="129"/>
        <v>140900</v>
      </c>
      <c r="N280" s="831">
        <f t="shared" ca="1" si="129"/>
        <v>79302</v>
      </c>
      <c r="O280" s="831">
        <f t="shared" ca="1" si="126"/>
        <v>39.728470517509145</v>
      </c>
      <c r="P280" s="831">
        <f t="shared" ca="1" si="127"/>
        <v>56.28246983676366</v>
      </c>
      <c r="Q280" s="818"/>
      <c r="R280" s="818"/>
      <c r="S280" s="818"/>
      <c r="T280" s="818"/>
      <c r="U280" s="818"/>
      <c r="V280" s="818"/>
      <c r="W280" s="818"/>
      <c r="X280" s="818"/>
      <c r="Y280" s="818"/>
      <c r="Z280" s="818"/>
    </row>
    <row r="281" spans="1:26" ht="19.5" hidden="1">
      <c r="A281" s="940"/>
      <c r="B281" s="833"/>
      <c r="C281" s="946"/>
      <c r="D281" s="833"/>
      <c r="E281" s="834" t="s">
        <v>36</v>
      </c>
      <c r="F281" s="833"/>
      <c r="G281" s="941"/>
      <c r="H281" s="165" t="s">
        <v>12</v>
      </c>
      <c r="I281" s="947"/>
      <c r="J281" s="947"/>
      <c r="K281" s="948"/>
      <c r="L281" s="837">
        <v>0</v>
      </c>
      <c r="M281" s="837">
        <v>0</v>
      </c>
      <c r="N281" s="837">
        <v>0</v>
      </c>
      <c r="O281" s="837">
        <f t="shared" si="126"/>
        <v>0</v>
      </c>
      <c r="P281" s="837">
        <f t="shared" si="127"/>
        <v>0</v>
      </c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</row>
    <row r="282" spans="1:26" ht="19.5" hidden="1">
      <c r="A282" s="940"/>
      <c r="B282" s="833"/>
      <c r="C282" s="946"/>
      <c r="D282" s="833"/>
      <c r="E282" s="834" t="s">
        <v>37</v>
      </c>
      <c r="F282" s="833"/>
      <c r="G282" s="941"/>
      <c r="H282" s="165" t="s">
        <v>12</v>
      </c>
      <c r="I282" s="947"/>
      <c r="J282" s="947"/>
      <c r="K282" s="948"/>
      <c r="L282" s="837">
        <f ca="1">IFERROR(__xludf.DUMMYFUNCTION("IMPORTRANGE(""https://docs.google.com/spreadsheets/d/1MeEWN-I1oV_STSDYn1IFDPWt_1FKiwhDph83XaGc0o0/edit?usp=sharing"",""งบพรบ!DI24"")"),199610)</f>
        <v>199610</v>
      </c>
      <c r="M282" s="837">
        <f ca="1">IFERROR(__xludf.DUMMYFUNCTION("IMPORTRANGE(""https://docs.google.com/spreadsheets/d/1MeEWN-I1oV_STSDYn1IFDPWt_1FKiwhDph83XaGc0o0/edit?usp=sharing"",""งบพรบ!DN24"")"),140900)</f>
        <v>140900</v>
      </c>
      <c r="N282" s="837">
        <f ca="1">IFERROR(__xludf.DUMMYFUNCTION("IMPORTRANGE(""https://docs.google.com/spreadsheets/d/1MeEWN-I1oV_STSDYn1IFDPWt_1FKiwhDph83XaGc0o0/edit?usp=sharing"",""งบพรบ!DP24"")"),79302)</f>
        <v>79302</v>
      </c>
      <c r="O282" s="837">
        <f t="shared" ca="1" si="126"/>
        <v>39.728470517509145</v>
      </c>
      <c r="P282" s="837">
        <f t="shared" ca="1" si="127"/>
        <v>56.28246983676366</v>
      </c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</row>
    <row r="283" spans="1:26" ht="18.75">
      <c r="A283" s="942"/>
      <c r="B283" s="827"/>
      <c r="C283" s="943"/>
      <c r="D283" s="828" t="s">
        <v>21</v>
      </c>
      <c r="E283" s="827"/>
      <c r="F283" s="827"/>
      <c r="G283" s="829"/>
      <c r="H283" s="168" t="s">
        <v>12</v>
      </c>
      <c r="I283" s="944"/>
      <c r="J283" s="944"/>
      <c r="K283" s="945"/>
      <c r="L283" s="831">
        <f t="shared" ref="L283:N283" ca="1" si="130">L284+L285</f>
        <v>0</v>
      </c>
      <c r="M283" s="831">
        <f t="shared" ca="1" si="130"/>
        <v>0</v>
      </c>
      <c r="N283" s="831">
        <f t="shared" ca="1" si="130"/>
        <v>0</v>
      </c>
      <c r="O283" s="831">
        <f t="shared" ca="1" si="126"/>
        <v>0</v>
      </c>
      <c r="P283" s="831">
        <f t="shared" ca="1" si="127"/>
        <v>0</v>
      </c>
      <c r="Q283" s="818"/>
      <c r="R283" s="818"/>
      <c r="S283" s="818"/>
      <c r="T283" s="818"/>
      <c r="U283" s="818"/>
      <c r="V283" s="818"/>
      <c r="W283" s="818"/>
      <c r="X283" s="818"/>
      <c r="Y283" s="818"/>
      <c r="Z283" s="818"/>
    </row>
    <row r="284" spans="1:26" ht="19.5" hidden="1">
      <c r="A284" s="940"/>
      <c r="B284" s="833"/>
      <c r="C284" s="946"/>
      <c r="D284" s="833"/>
      <c r="E284" s="834" t="s">
        <v>18</v>
      </c>
      <c r="F284" s="833"/>
      <c r="G284" s="941"/>
      <c r="H284" s="165" t="s">
        <v>12</v>
      </c>
      <c r="I284" s="947"/>
      <c r="J284" s="947"/>
      <c r="K284" s="948"/>
      <c r="L284" s="837">
        <v>0</v>
      </c>
      <c r="M284" s="837">
        <v>0</v>
      </c>
      <c r="N284" s="837">
        <v>0</v>
      </c>
      <c r="O284" s="837">
        <f t="shared" si="126"/>
        <v>0</v>
      </c>
      <c r="P284" s="837">
        <f t="shared" si="127"/>
        <v>0</v>
      </c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</row>
    <row r="285" spans="1:26" ht="19.5" hidden="1">
      <c r="A285" s="940"/>
      <c r="B285" s="833"/>
      <c r="C285" s="946"/>
      <c r="D285" s="833"/>
      <c r="E285" s="834" t="s">
        <v>19</v>
      </c>
      <c r="F285" s="833"/>
      <c r="G285" s="941"/>
      <c r="H285" s="169" t="s">
        <v>12</v>
      </c>
      <c r="I285" s="947"/>
      <c r="J285" s="947"/>
      <c r="K285" s="948"/>
      <c r="L285" s="837">
        <f ca="1">IFERROR(__xludf.DUMMYFUNCTION("IMPORTRANGE(""https://docs.google.com/spreadsheets/d/1MeEWN-I1oV_STSDYn1IFDPWt_1FKiwhDph83XaGc0o0/edit?usp=sharing"",""งบพรบ!DL24"")"),0)</f>
        <v>0</v>
      </c>
      <c r="M285" s="837">
        <f ca="1">IFERROR(__xludf.DUMMYFUNCTION("IMPORTRANGE(""https://docs.google.com/spreadsheets/d/1MeEWN-I1oV_STSDYn1IFDPWt_1FKiwhDph83XaGc0o0/edit?usp=sharing"",""งบพรบ!DO24"")"),0)</f>
        <v>0</v>
      </c>
      <c r="N285" s="837">
        <f ca="1">IFERROR(__xludf.DUMMYFUNCTION("IMPORTRANGE(""https://docs.google.com/spreadsheets/d/1MeEWN-I1oV_STSDYn1IFDPWt_1FKiwhDph83XaGc0o0/edit?usp=sharing"",""งบพรบ!DQ24"")"),0)</f>
        <v>0</v>
      </c>
      <c r="O285" s="837">
        <f t="shared" ca="1" si="126"/>
        <v>0</v>
      </c>
      <c r="P285" s="837">
        <f t="shared" ca="1" si="127"/>
        <v>0</v>
      </c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</row>
    <row r="286" spans="1:26" ht="19.5">
      <c r="A286" s="949"/>
      <c r="B286" s="950"/>
      <c r="C286" s="946" t="s">
        <v>16</v>
      </c>
      <c r="D286" s="951" t="s">
        <v>38</v>
      </c>
      <c r="E286" s="952"/>
      <c r="F286" s="952"/>
      <c r="G286" s="953"/>
      <c r="H286" s="954"/>
      <c r="I286" s="944"/>
      <c r="J286" s="944"/>
      <c r="K286" s="945"/>
      <c r="L286" s="945"/>
      <c r="M286" s="945"/>
      <c r="N286" s="945"/>
      <c r="O286" s="945"/>
      <c r="P286" s="945"/>
    </row>
    <row r="287" spans="1:26" ht="18.75">
      <c r="A287" s="949"/>
      <c r="B287" s="950"/>
      <c r="C287" s="950"/>
      <c r="D287" s="961" t="s">
        <v>129</v>
      </c>
      <c r="E287" s="950"/>
      <c r="F287" s="957"/>
      <c r="G287" s="958"/>
      <c r="H287" s="777" t="s">
        <v>46</v>
      </c>
      <c r="I287" s="830">
        <f ca="1">IFERROR(__xludf.DUMMYFUNCTION("IMPORTRANGE(""https://docs.google.com/spreadsheets/d/1QqKyyYR6Q21VydFLVH3TRQUabQu_ym0Zz7PgGX0-kHA/edit?usp=sharing"",""แผน!EC24"")"),100)</f>
        <v>100</v>
      </c>
      <c r="J287" s="959">
        <v>0</v>
      </c>
      <c r="K287" s="945">
        <f t="shared" ref="K287:K288" ca="1" si="131">IF(I287&gt;0,J287*100/I287,0)</f>
        <v>0</v>
      </c>
      <c r="L287" s="945"/>
      <c r="M287" s="945"/>
      <c r="N287" s="945"/>
      <c r="O287" s="945"/>
      <c r="P287" s="945"/>
    </row>
    <row r="288" spans="1:26" ht="19.5">
      <c r="A288" s="949"/>
      <c r="B288" s="950"/>
      <c r="C288" s="950"/>
      <c r="D288" s="961" t="s">
        <v>130</v>
      </c>
      <c r="E288" s="950"/>
      <c r="F288" s="957"/>
      <c r="G288" s="958"/>
      <c r="H288" s="180" t="s">
        <v>35</v>
      </c>
      <c r="I288" s="966">
        <f ca="1">IFERROR(__xludf.DUMMYFUNCTION("IMPORTRANGE(""https://docs.google.com/spreadsheets/d/1QqKyyYR6Q21VydFLVH3TRQUabQu_ym0Zz7PgGX0-kHA/edit?usp=sharing"",""แผน!EB24"")"),10)</f>
        <v>10</v>
      </c>
      <c r="J288" s="966">
        <f ca="1">IF(AND(J291&gt;=I288,J294&gt;=I288),J294,0)</f>
        <v>0</v>
      </c>
      <c r="K288" s="1109">
        <f t="shared" ca="1" si="131"/>
        <v>0</v>
      </c>
      <c r="L288" s="945"/>
      <c r="M288" s="945"/>
      <c r="N288" s="945"/>
      <c r="O288" s="945"/>
      <c r="P288" s="945"/>
    </row>
    <row r="289" spans="1:26" ht="19.5">
      <c r="A289" s="949"/>
      <c r="B289" s="950"/>
      <c r="C289" s="950"/>
      <c r="D289" s="1110"/>
      <c r="E289" s="1111" t="s">
        <v>131</v>
      </c>
      <c r="F289" s="957"/>
      <c r="G289" s="958"/>
      <c r="H289" s="730"/>
      <c r="I289" s="944"/>
      <c r="J289" s="830"/>
      <c r="K289" s="945"/>
      <c r="L289" s="945"/>
      <c r="M289" s="945"/>
      <c r="N289" s="945"/>
      <c r="O289" s="945"/>
      <c r="P289" s="945"/>
    </row>
    <row r="290" spans="1:26" ht="19.5">
      <c r="A290" s="949"/>
      <c r="B290" s="950"/>
      <c r="C290" s="950"/>
      <c r="D290" s="1110"/>
      <c r="E290" s="961" t="s">
        <v>132</v>
      </c>
      <c r="F290" s="957"/>
      <c r="G290" s="958"/>
      <c r="H290" s="730" t="s">
        <v>35</v>
      </c>
      <c r="I290" s="944">
        <f ca="1">IFERROR(__xludf.DUMMYFUNCTION("IMPORTRANGE(""https://docs.google.com/spreadsheets/d/1QqKyyYR6Q21VydFLVH3TRQUabQu_ym0Zz7PgGX0-kHA/edit?usp=sharing"",""แผน!EB24"")"),10)</f>
        <v>10</v>
      </c>
      <c r="J290" s="959">
        <v>10</v>
      </c>
      <c r="K290" s="945">
        <f t="shared" ref="K290:K291" ca="1" si="132">IF(I290&gt;0,J290*100/I290,0)</f>
        <v>100</v>
      </c>
      <c r="L290" s="945"/>
      <c r="M290" s="945"/>
      <c r="N290" s="945"/>
      <c r="O290" s="945"/>
      <c r="P290" s="945"/>
    </row>
    <row r="291" spans="1:26" ht="19.5">
      <c r="A291" s="949"/>
      <c r="B291" s="950"/>
      <c r="C291" s="950"/>
      <c r="D291" s="957"/>
      <c r="E291" s="961" t="s">
        <v>133</v>
      </c>
      <c r="F291" s="957"/>
      <c r="G291" s="958"/>
      <c r="H291" s="730" t="s">
        <v>35</v>
      </c>
      <c r="I291" s="944">
        <f ca="1">IFERROR(__xludf.DUMMYFUNCTION("IMPORTRANGE(""https://docs.google.com/spreadsheets/d/1QqKyyYR6Q21VydFLVH3TRQUabQu_ym0Zz7PgGX0-kHA/edit?usp=sharing"",""แผน!EB24"")"),10)</f>
        <v>10</v>
      </c>
      <c r="J291" s="959">
        <v>10</v>
      </c>
      <c r="K291" s="945">
        <f t="shared" ca="1" si="132"/>
        <v>100</v>
      </c>
      <c r="L291" s="945"/>
      <c r="M291" s="945"/>
      <c r="N291" s="945"/>
      <c r="O291" s="945"/>
      <c r="P291" s="945"/>
    </row>
    <row r="292" spans="1:26" ht="19.5">
      <c r="A292" s="1112"/>
      <c r="B292" s="1113"/>
      <c r="C292" s="1113"/>
      <c r="D292" s="1114"/>
      <c r="E292" s="1115" t="s">
        <v>134</v>
      </c>
      <c r="F292" s="1034"/>
      <c r="G292" s="1035"/>
      <c r="H292" s="387"/>
      <c r="I292" s="1028"/>
      <c r="J292" s="937"/>
      <c r="K292" s="1029"/>
      <c r="L292" s="1029"/>
      <c r="M292" s="1029"/>
      <c r="N292" s="1029"/>
      <c r="O292" s="1029"/>
      <c r="P292" s="1029"/>
    </row>
    <row r="293" spans="1:26" ht="19.5">
      <c r="A293" s="949"/>
      <c r="B293" s="950"/>
      <c r="C293" s="950"/>
      <c r="D293" s="1110"/>
      <c r="E293" s="961" t="s">
        <v>132</v>
      </c>
      <c r="F293" s="957"/>
      <c r="G293" s="958"/>
      <c r="H293" s="730" t="s">
        <v>35</v>
      </c>
      <c r="I293" s="944">
        <f ca="1">IFERROR(__xludf.DUMMYFUNCTION("IMPORTRANGE(""https://docs.google.com/spreadsheets/d/1QqKyyYR6Q21VydFLVH3TRQUabQu_ym0Zz7PgGX0-kHA/edit?usp=sharing"",""แผน!EB24"")"),10)</f>
        <v>10</v>
      </c>
      <c r="J293" s="959">
        <v>0</v>
      </c>
      <c r="K293" s="945">
        <f t="shared" ref="K293:K294" ca="1" si="133">IF(I293&gt;0,J293*100/I293,0)</f>
        <v>0</v>
      </c>
      <c r="L293" s="945"/>
      <c r="M293" s="945"/>
      <c r="N293" s="945"/>
      <c r="O293" s="945"/>
      <c r="P293" s="945"/>
    </row>
    <row r="294" spans="1:26" ht="19.5">
      <c r="A294" s="1080"/>
      <c r="B294" s="1081"/>
      <c r="C294" s="1081"/>
      <c r="D294" s="1083"/>
      <c r="E294" s="1116" t="s">
        <v>136</v>
      </c>
      <c r="F294" s="1083"/>
      <c r="G294" s="1084"/>
      <c r="H294" s="391" t="s">
        <v>35</v>
      </c>
      <c r="I294" s="1117">
        <f ca="1">IFERROR(__xludf.DUMMYFUNCTION("IMPORTRANGE(""https://docs.google.com/spreadsheets/d/1QqKyyYR6Q21VydFLVH3TRQUabQu_ym0Zz7PgGX0-kHA/edit?usp=sharing"",""แผน!EB24"")"),10)</f>
        <v>10</v>
      </c>
      <c r="J294" s="1118">
        <v>0</v>
      </c>
      <c r="K294" s="1086">
        <f t="shared" ca="1" si="133"/>
        <v>0</v>
      </c>
      <c r="L294" s="1086"/>
      <c r="M294" s="1086"/>
      <c r="N294" s="1086"/>
      <c r="O294" s="1086"/>
      <c r="P294" s="1086"/>
    </row>
    <row r="295" spans="1:26" ht="19.5">
      <c r="A295" s="1119" t="s">
        <v>137</v>
      </c>
      <c r="B295" s="1120"/>
      <c r="C295" s="1120"/>
      <c r="D295" s="1120"/>
      <c r="E295" s="1121"/>
      <c r="F295" s="1121"/>
      <c r="G295" s="1122"/>
      <c r="H295" s="1123"/>
      <c r="I295" s="1124"/>
      <c r="J295" s="1124"/>
      <c r="K295" s="1125"/>
      <c r="L295" s="1125"/>
      <c r="M295" s="1125"/>
      <c r="N295" s="1125"/>
      <c r="O295" s="1125"/>
      <c r="P295" s="1125"/>
    </row>
    <row r="296" spans="1:26" ht="19.5">
      <c r="A296" s="1126" t="s">
        <v>138</v>
      </c>
      <c r="B296" s="1127"/>
      <c r="C296" s="1127"/>
      <c r="D296" s="1128"/>
      <c r="E296" s="1128"/>
      <c r="F296" s="1128"/>
      <c r="G296" s="1129"/>
      <c r="H296" s="1130"/>
      <c r="I296" s="1131"/>
      <c r="J296" s="1131"/>
      <c r="K296" s="1132"/>
      <c r="L296" s="1132"/>
      <c r="M296" s="1132"/>
      <c r="N296" s="1132"/>
      <c r="O296" s="1132"/>
      <c r="P296" s="1132"/>
    </row>
    <row r="297" spans="1:26" ht="19.5">
      <c r="A297" s="1133"/>
      <c r="B297" s="1134" t="s">
        <v>139</v>
      </c>
      <c r="C297" s="1135"/>
      <c r="D297" s="1135"/>
      <c r="E297" s="1135"/>
      <c r="F297" s="1135"/>
      <c r="G297" s="1136"/>
      <c r="H297" s="412" t="s">
        <v>35</v>
      </c>
      <c r="I297" s="1137">
        <f t="shared" ref="I297:J297" ca="1" si="134">I309</f>
        <v>20</v>
      </c>
      <c r="J297" s="1137">
        <f t="shared" si="134"/>
        <v>20</v>
      </c>
      <c r="K297" s="1138">
        <f ca="1">IF(I297&gt;0,J297*100/I297,0)</f>
        <v>100</v>
      </c>
      <c r="L297" s="1139"/>
      <c r="M297" s="1139"/>
      <c r="N297" s="1139"/>
      <c r="O297" s="1139"/>
      <c r="P297" s="1139"/>
    </row>
    <row r="298" spans="1:26" ht="19.5">
      <c r="A298" s="932"/>
      <c r="B298" s="933"/>
      <c r="C298" s="934" t="s">
        <v>16</v>
      </c>
      <c r="D298" s="935" t="s">
        <v>17</v>
      </c>
      <c r="E298" s="933"/>
      <c r="F298" s="933"/>
      <c r="G298" s="936"/>
      <c r="H298" s="152" t="s">
        <v>12</v>
      </c>
      <c r="I298" s="937"/>
      <c r="J298" s="937"/>
      <c r="K298" s="938"/>
      <c r="L298" s="939">
        <f t="shared" ref="L298:N298" ca="1" si="135">L299+L300</f>
        <v>225400</v>
      </c>
      <c r="M298" s="939">
        <f t="shared" ca="1" si="135"/>
        <v>168400</v>
      </c>
      <c r="N298" s="939">
        <f t="shared" ca="1" si="135"/>
        <v>109480</v>
      </c>
      <c r="O298" s="939">
        <f t="shared" ref="O298:O306" ca="1" si="136">IF(L298&gt;0,N298*100/L298,0)</f>
        <v>48.571428571428569</v>
      </c>
      <c r="P298" s="939">
        <f t="shared" ref="P298:P306" ca="1" si="137">IF(M298&gt;0,N298*100/M298,0)</f>
        <v>65.011876484560574</v>
      </c>
      <c r="Q298" s="818"/>
      <c r="R298" s="818"/>
      <c r="S298" s="818"/>
      <c r="T298" s="818"/>
      <c r="U298" s="818"/>
      <c r="V298" s="818"/>
      <c r="W298" s="818"/>
      <c r="X298" s="818"/>
      <c r="Y298" s="818"/>
      <c r="Z298" s="818"/>
    </row>
    <row r="299" spans="1:26" ht="18.75" hidden="1">
      <c r="A299" s="940"/>
      <c r="B299" s="833"/>
      <c r="C299" s="833"/>
      <c r="D299" s="833"/>
      <c r="E299" s="834" t="s">
        <v>18</v>
      </c>
      <c r="F299" s="833"/>
      <c r="G299" s="941"/>
      <c r="H299" s="158" t="s">
        <v>12</v>
      </c>
      <c r="I299" s="836"/>
      <c r="J299" s="836"/>
      <c r="K299" s="837"/>
      <c r="L299" s="837">
        <f t="shared" ref="L299:N300" si="138">L302+L305</f>
        <v>0</v>
      </c>
      <c r="M299" s="837">
        <f t="shared" si="138"/>
        <v>0</v>
      </c>
      <c r="N299" s="837">
        <f t="shared" si="138"/>
        <v>0</v>
      </c>
      <c r="O299" s="837">
        <f t="shared" si="136"/>
        <v>0</v>
      </c>
      <c r="P299" s="837">
        <f t="shared" si="137"/>
        <v>0</v>
      </c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</row>
    <row r="300" spans="1:26" ht="18.75" hidden="1">
      <c r="A300" s="940"/>
      <c r="B300" s="833"/>
      <c r="C300" s="833"/>
      <c r="D300" s="833"/>
      <c r="E300" s="834" t="s">
        <v>19</v>
      </c>
      <c r="F300" s="833"/>
      <c r="G300" s="941"/>
      <c r="H300" s="158" t="s">
        <v>12</v>
      </c>
      <c r="I300" s="836"/>
      <c r="J300" s="836"/>
      <c r="K300" s="837"/>
      <c r="L300" s="837">
        <f t="shared" ca="1" si="138"/>
        <v>225400</v>
      </c>
      <c r="M300" s="837">
        <f t="shared" ca="1" si="138"/>
        <v>168400</v>
      </c>
      <c r="N300" s="837">
        <f t="shared" ca="1" si="138"/>
        <v>109480</v>
      </c>
      <c r="O300" s="837">
        <f t="shared" ca="1" si="136"/>
        <v>48.571428571428569</v>
      </c>
      <c r="P300" s="837">
        <f t="shared" ca="1" si="137"/>
        <v>65.011876484560574</v>
      </c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</row>
    <row r="301" spans="1:26" ht="18.75">
      <c r="A301" s="942"/>
      <c r="B301" s="827"/>
      <c r="C301" s="943"/>
      <c r="D301" s="828" t="s">
        <v>20</v>
      </c>
      <c r="E301" s="827"/>
      <c r="F301" s="827"/>
      <c r="G301" s="829"/>
      <c r="H301" s="778" t="s">
        <v>12</v>
      </c>
      <c r="I301" s="944"/>
      <c r="J301" s="944"/>
      <c r="K301" s="945"/>
      <c r="L301" s="831">
        <f t="shared" ref="L301:N301" ca="1" si="139">L302+L303</f>
        <v>225400</v>
      </c>
      <c r="M301" s="831">
        <f t="shared" ca="1" si="139"/>
        <v>168400</v>
      </c>
      <c r="N301" s="831">
        <f t="shared" ca="1" si="139"/>
        <v>109480</v>
      </c>
      <c r="O301" s="831">
        <f t="shared" ca="1" si="136"/>
        <v>48.571428571428569</v>
      </c>
      <c r="P301" s="831">
        <f t="shared" ca="1" si="137"/>
        <v>65.011876484560574</v>
      </c>
      <c r="Q301" s="818"/>
      <c r="R301" s="818"/>
      <c r="S301" s="818"/>
      <c r="T301" s="818"/>
      <c r="U301" s="818"/>
      <c r="V301" s="818"/>
      <c r="W301" s="818"/>
      <c r="X301" s="818"/>
      <c r="Y301" s="818"/>
      <c r="Z301" s="818"/>
    </row>
    <row r="302" spans="1:26" ht="19.5" hidden="1">
      <c r="A302" s="940"/>
      <c r="B302" s="833"/>
      <c r="C302" s="946"/>
      <c r="D302" s="833"/>
      <c r="E302" s="834" t="s">
        <v>36</v>
      </c>
      <c r="F302" s="833"/>
      <c r="G302" s="941"/>
      <c r="H302" s="165" t="s">
        <v>12</v>
      </c>
      <c r="I302" s="947"/>
      <c r="J302" s="947"/>
      <c r="K302" s="948"/>
      <c r="L302" s="837">
        <v>0</v>
      </c>
      <c r="M302" s="837">
        <v>0</v>
      </c>
      <c r="N302" s="837">
        <v>0</v>
      </c>
      <c r="O302" s="837">
        <f t="shared" si="136"/>
        <v>0</v>
      </c>
      <c r="P302" s="837">
        <f t="shared" si="137"/>
        <v>0</v>
      </c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</row>
    <row r="303" spans="1:26" ht="19.5" hidden="1">
      <c r="A303" s="940"/>
      <c r="B303" s="833"/>
      <c r="C303" s="946"/>
      <c r="D303" s="833"/>
      <c r="E303" s="834" t="s">
        <v>37</v>
      </c>
      <c r="F303" s="833"/>
      <c r="G303" s="941"/>
      <c r="H303" s="165" t="s">
        <v>12</v>
      </c>
      <c r="I303" s="947"/>
      <c r="J303" s="947"/>
      <c r="K303" s="948"/>
      <c r="L303" s="837">
        <f ca="1">IFERROR(__xludf.DUMMYFUNCTION("IMPORTRANGE(""https://docs.google.com/spreadsheets/d/1MeEWN-I1oV_STSDYn1IFDPWt_1FKiwhDph83XaGc0o0/edit?usp=sharing"",""งบพรบ!DS24"")"),225400)</f>
        <v>225400</v>
      </c>
      <c r="M303" s="837">
        <f ca="1">IFERROR(__xludf.DUMMYFUNCTION("IMPORTRANGE(""https://docs.google.com/spreadsheets/d/1MeEWN-I1oV_STSDYn1IFDPWt_1FKiwhDph83XaGc0o0/edit?usp=sharing"",""งบพรบ!DX24"")"),168400)</f>
        <v>168400</v>
      </c>
      <c r="N303" s="837">
        <f ca="1">IFERROR(__xludf.DUMMYFUNCTION("IMPORTRANGE(""https://docs.google.com/spreadsheets/d/1MeEWN-I1oV_STSDYn1IFDPWt_1FKiwhDph83XaGc0o0/edit?usp=sharing"",""งบพรบ!DZ24"")"),109480)</f>
        <v>109480</v>
      </c>
      <c r="O303" s="837">
        <f t="shared" ca="1" si="136"/>
        <v>48.571428571428569</v>
      </c>
      <c r="P303" s="837">
        <f t="shared" ca="1" si="137"/>
        <v>65.011876484560574</v>
      </c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</row>
    <row r="304" spans="1:26" ht="18.75">
      <c r="A304" s="942"/>
      <c r="B304" s="827"/>
      <c r="C304" s="943"/>
      <c r="D304" s="828" t="s">
        <v>21</v>
      </c>
      <c r="E304" s="827"/>
      <c r="F304" s="827"/>
      <c r="G304" s="829"/>
      <c r="H304" s="168" t="s">
        <v>12</v>
      </c>
      <c r="I304" s="944"/>
      <c r="J304" s="944"/>
      <c r="K304" s="945"/>
      <c r="L304" s="831">
        <f t="shared" ref="L304:N304" ca="1" si="140">L305+L306</f>
        <v>0</v>
      </c>
      <c r="M304" s="831">
        <f t="shared" ca="1" si="140"/>
        <v>0</v>
      </c>
      <c r="N304" s="831">
        <f t="shared" ca="1" si="140"/>
        <v>0</v>
      </c>
      <c r="O304" s="831">
        <f t="shared" ca="1" si="136"/>
        <v>0</v>
      </c>
      <c r="P304" s="831">
        <f t="shared" ca="1" si="137"/>
        <v>0</v>
      </c>
      <c r="Q304" s="818"/>
      <c r="R304" s="818"/>
      <c r="S304" s="818"/>
      <c r="T304" s="818"/>
      <c r="U304" s="818"/>
      <c r="V304" s="818"/>
      <c r="W304" s="818"/>
      <c r="X304" s="818"/>
      <c r="Y304" s="818"/>
      <c r="Z304" s="818"/>
    </row>
    <row r="305" spans="1:26" ht="19.5" hidden="1">
      <c r="A305" s="940"/>
      <c r="B305" s="833"/>
      <c r="C305" s="946"/>
      <c r="D305" s="833"/>
      <c r="E305" s="834" t="s">
        <v>18</v>
      </c>
      <c r="F305" s="833"/>
      <c r="G305" s="941"/>
      <c r="H305" s="165" t="s">
        <v>12</v>
      </c>
      <c r="I305" s="947"/>
      <c r="J305" s="947"/>
      <c r="K305" s="948"/>
      <c r="L305" s="837">
        <v>0</v>
      </c>
      <c r="M305" s="837">
        <v>0</v>
      </c>
      <c r="N305" s="837">
        <v>0</v>
      </c>
      <c r="O305" s="837">
        <f t="shared" si="136"/>
        <v>0</v>
      </c>
      <c r="P305" s="837">
        <f t="shared" si="137"/>
        <v>0</v>
      </c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</row>
    <row r="306" spans="1:26" ht="19.5" hidden="1">
      <c r="A306" s="940"/>
      <c r="B306" s="833"/>
      <c r="C306" s="946"/>
      <c r="D306" s="833"/>
      <c r="E306" s="834" t="s">
        <v>19</v>
      </c>
      <c r="F306" s="833"/>
      <c r="G306" s="941"/>
      <c r="H306" s="169" t="s">
        <v>12</v>
      </c>
      <c r="I306" s="947"/>
      <c r="J306" s="947"/>
      <c r="K306" s="948"/>
      <c r="L306" s="837">
        <f ca="1">IFERROR(__xludf.DUMMYFUNCTION("IMPORTRANGE(""https://docs.google.com/spreadsheets/d/1MeEWN-I1oV_STSDYn1IFDPWt_1FKiwhDph83XaGc0o0/edit?usp=sharing"",""งบพรบ!DV24"")"),0)</f>
        <v>0</v>
      </c>
      <c r="M306" s="837">
        <f ca="1">IFERROR(__xludf.DUMMYFUNCTION("IMPORTRANGE(""https://docs.google.com/spreadsheets/d/1MeEWN-I1oV_STSDYn1IFDPWt_1FKiwhDph83XaGc0o0/edit?usp=sharing"",""งบพรบ!DY24"")"),0)</f>
        <v>0</v>
      </c>
      <c r="N306" s="837">
        <f ca="1">IFERROR(__xludf.DUMMYFUNCTION("IMPORTRANGE(""https://docs.google.com/spreadsheets/d/1MeEWN-I1oV_STSDYn1IFDPWt_1FKiwhDph83XaGc0o0/edit?usp=sharing"",""งบพรบ!EA24"")"),0)</f>
        <v>0</v>
      </c>
      <c r="O306" s="837">
        <f t="shared" ca="1" si="136"/>
        <v>0</v>
      </c>
      <c r="P306" s="837">
        <f t="shared" ca="1" si="137"/>
        <v>0</v>
      </c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</row>
    <row r="307" spans="1:26" ht="19.5">
      <c r="A307" s="949"/>
      <c r="B307" s="950"/>
      <c r="C307" s="946" t="s">
        <v>16</v>
      </c>
      <c r="D307" s="951" t="s">
        <v>38</v>
      </c>
      <c r="E307" s="952"/>
      <c r="F307" s="952"/>
      <c r="G307" s="953"/>
      <c r="H307" s="954"/>
      <c r="I307" s="830"/>
      <c r="J307" s="830"/>
      <c r="K307" s="831"/>
      <c r="L307" s="831"/>
      <c r="M307" s="831"/>
      <c r="N307" s="831"/>
      <c r="O307" s="831"/>
      <c r="P307" s="831"/>
    </row>
    <row r="308" spans="1:26" ht="18.75">
      <c r="A308" s="949"/>
      <c r="B308" s="950"/>
      <c r="C308" s="950"/>
      <c r="D308" s="956" t="s">
        <v>140</v>
      </c>
      <c r="E308" s="956"/>
      <c r="F308" s="956"/>
      <c r="G308" s="958"/>
      <c r="H308" s="730"/>
      <c r="I308" s="830"/>
      <c r="J308" s="959"/>
      <c r="K308" s="831"/>
      <c r="L308" s="831"/>
      <c r="M308" s="831"/>
      <c r="N308" s="831"/>
      <c r="O308" s="831"/>
      <c r="P308" s="831"/>
    </row>
    <row r="309" spans="1:26" ht="18.75">
      <c r="A309" s="949"/>
      <c r="B309" s="950"/>
      <c r="C309" s="950"/>
      <c r="D309" s="956" t="s">
        <v>141</v>
      </c>
      <c r="E309" s="956"/>
      <c r="F309" s="956"/>
      <c r="G309" s="958"/>
      <c r="H309" s="730" t="s">
        <v>35</v>
      </c>
      <c r="I309" s="830">
        <f ca="1">IFERROR(__xludf.DUMMYFUNCTION("IMPORTRANGE(""https://docs.google.com/spreadsheets/d/1QqKyyYR6Q21VydFLVH3TRQUabQu_ym0Zz7PgGX0-kHA/edit?usp=sharing"",""แผน!ED24"")"),20)</f>
        <v>20</v>
      </c>
      <c r="J309" s="959">
        <v>20</v>
      </c>
      <c r="K309" s="831">
        <f t="shared" ref="K309:K312" ca="1" si="141">IF(I309&gt;0,J309*100/I309,0)</f>
        <v>100</v>
      </c>
      <c r="L309" s="831"/>
      <c r="M309" s="831"/>
      <c r="N309" s="831"/>
      <c r="O309" s="831"/>
      <c r="P309" s="831"/>
    </row>
    <row r="310" spans="1:26" ht="18.75">
      <c r="A310" s="949"/>
      <c r="B310" s="950"/>
      <c r="C310" s="950"/>
      <c r="D310" s="956" t="s">
        <v>142</v>
      </c>
      <c r="E310" s="956"/>
      <c r="F310" s="956"/>
      <c r="G310" s="958"/>
      <c r="H310" s="730" t="s">
        <v>35</v>
      </c>
      <c r="I310" s="830">
        <f ca="1">IFERROR(__xludf.DUMMYFUNCTION("IMPORTRANGE(""https://docs.google.com/spreadsheets/d/1QqKyyYR6Q21VydFLVH3TRQUabQu_ym0Zz7PgGX0-kHA/edit?usp=sharing"",""แผน!ED24"")"),20)</f>
        <v>20</v>
      </c>
      <c r="J310" s="959">
        <v>20</v>
      </c>
      <c r="K310" s="831">
        <f t="shared" ca="1" si="141"/>
        <v>100</v>
      </c>
      <c r="L310" s="831"/>
      <c r="M310" s="831"/>
      <c r="N310" s="831"/>
      <c r="O310" s="831"/>
      <c r="P310" s="831"/>
    </row>
    <row r="311" spans="1:26" ht="18.75">
      <c r="A311" s="949"/>
      <c r="B311" s="950"/>
      <c r="C311" s="950"/>
      <c r="D311" s="956" t="s">
        <v>59</v>
      </c>
      <c r="E311" s="956"/>
      <c r="F311" s="956"/>
      <c r="G311" s="958"/>
      <c r="H311" s="730" t="s">
        <v>35</v>
      </c>
      <c r="I311" s="830">
        <f ca="1">IFERROR(__xludf.DUMMYFUNCTION("IMPORTRANGE(""https://docs.google.com/spreadsheets/d/1QqKyyYR6Q21VydFLVH3TRQUabQu_ym0Zz7PgGX0-kHA/edit?usp=sharing"",""แผน!ED24"")"),20)</f>
        <v>20</v>
      </c>
      <c r="J311" s="959">
        <v>0</v>
      </c>
      <c r="K311" s="831">
        <f t="shared" ca="1" si="141"/>
        <v>0</v>
      </c>
      <c r="L311" s="831"/>
      <c r="M311" s="831"/>
      <c r="N311" s="831"/>
      <c r="O311" s="831"/>
      <c r="P311" s="831"/>
    </row>
    <row r="312" spans="1:26" ht="18.75">
      <c r="A312" s="949"/>
      <c r="B312" s="950"/>
      <c r="C312" s="950"/>
      <c r="D312" s="956" t="s">
        <v>143</v>
      </c>
      <c r="E312" s="956"/>
      <c r="F312" s="956"/>
      <c r="G312" s="958"/>
      <c r="H312" s="730" t="s">
        <v>35</v>
      </c>
      <c r="I312" s="830">
        <f ca="1">IFERROR(__xludf.DUMMYFUNCTION("IMPORTRANGE(""https://docs.google.com/spreadsheets/d/1QqKyyYR6Q21VydFLVH3TRQUabQu_ym0Zz7PgGX0-kHA/edit?usp=sharing"",""แผน!EE24"")"),4)</f>
        <v>4</v>
      </c>
      <c r="J312" s="959">
        <v>0</v>
      </c>
      <c r="K312" s="831">
        <f t="shared" ca="1" si="141"/>
        <v>0</v>
      </c>
      <c r="L312" s="831"/>
      <c r="M312" s="831"/>
      <c r="N312" s="831"/>
      <c r="O312" s="831"/>
      <c r="P312" s="831"/>
    </row>
    <row r="313" spans="1:26" ht="19.5" hidden="1">
      <c r="A313" s="1126" t="s">
        <v>144</v>
      </c>
      <c r="B313" s="1127"/>
      <c r="C313" s="1127"/>
      <c r="D313" s="1128"/>
      <c r="E313" s="1127"/>
      <c r="F313" s="1127"/>
      <c r="G313" s="1127"/>
      <c r="H313" s="1140"/>
      <c r="I313" s="1131"/>
      <c r="J313" s="1131"/>
      <c r="K313" s="1132"/>
      <c r="L313" s="1132"/>
      <c r="M313" s="1132"/>
      <c r="N313" s="1132"/>
      <c r="O313" s="1132"/>
      <c r="P313" s="1132"/>
    </row>
    <row r="314" spans="1:26" ht="19.5" hidden="1">
      <c r="A314" s="1141"/>
      <c r="B314" s="1134" t="s">
        <v>145</v>
      </c>
      <c r="C314" s="1142"/>
      <c r="D314" s="1143"/>
      <c r="E314" s="1135"/>
      <c r="F314" s="1135"/>
      <c r="G314" s="1136"/>
      <c r="H314" s="412" t="s">
        <v>146</v>
      </c>
      <c r="I314" s="1137">
        <f t="shared" ref="I314:J314" ca="1" si="142">I325</f>
        <v>0</v>
      </c>
      <c r="J314" s="1137">
        <f t="shared" si="142"/>
        <v>0</v>
      </c>
      <c r="K314" s="1138">
        <f ca="1">IF(I314&gt;0,J314*100/I314,0)</f>
        <v>0</v>
      </c>
      <c r="L314" s="1139"/>
      <c r="M314" s="1139"/>
      <c r="N314" s="1139"/>
      <c r="O314" s="1139"/>
      <c r="P314" s="1139"/>
    </row>
    <row r="315" spans="1:26" ht="19.5" hidden="1">
      <c r="A315" s="932"/>
      <c r="B315" s="933"/>
      <c r="C315" s="934" t="s">
        <v>16</v>
      </c>
      <c r="D315" s="935" t="s">
        <v>17</v>
      </c>
      <c r="E315" s="933"/>
      <c r="F315" s="933"/>
      <c r="G315" s="936"/>
      <c r="H315" s="152" t="s">
        <v>12</v>
      </c>
      <c r="I315" s="937"/>
      <c r="J315" s="937"/>
      <c r="K315" s="938"/>
      <c r="L315" s="939">
        <f t="shared" ref="L315:N315" ca="1" si="143">L316+L317</f>
        <v>0</v>
      </c>
      <c r="M315" s="939">
        <f t="shared" ca="1" si="143"/>
        <v>0</v>
      </c>
      <c r="N315" s="939">
        <f t="shared" ca="1" si="143"/>
        <v>0</v>
      </c>
      <c r="O315" s="939">
        <f t="shared" ref="O315:O323" ca="1" si="144">IF(L315&gt;0,N315*100/L315,0)</f>
        <v>0</v>
      </c>
      <c r="P315" s="939">
        <f t="shared" ref="P315:P323" ca="1" si="145">IF(M315&gt;0,N315*100/M315,0)</f>
        <v>0</v>
      </c>
      <c r="Q315" s="818"/>
      <c r="R315" s="818"/>
      <c r="S315" s="818"/>
      <c r="T315" s="818"/>
      <c r="U315" s="818"/>
      <c r="V315" s="818"/>
      <c r="W315" s="818"/>
      <c r="X315" s="818"/>
      <c r="Y315" s="818"/>
      <c r="Z315" s="818"/>
    </row>
    <row r="316" spans="1:26" ht="18.75" hidden="1">
      <c r="A316" s="940"/>
      <c r="B316" s="833"/>
      <c r="C316" s="833"/>
      <c r="D316" s="833"/>
      <c r="E316" s="834" t="s">
        <v>18</v>
      </c>
      <c r="F316" s="833"/>
      <c r="G316" s="941"/>
      <c r="H316" s="158" t="s">
        <v>12</v>
      </c>
      <c r="I316" s="836"/>
      <c r="J316" s="836"/>
      <c r="K316" s="837"/>
      <c r="L316" s="837">
        <f t="shared" ref="L316:N317" si="146">L319+L322</f>
        <v>0</v>
      </c>
      <c r="M316" s="837">
        <f t="shared" si="146"/>
        <v>0</v>
      </c>
      <c r="N316" s="837">
        <f t="shared" si="146"/>
        <v>0</v>
      </c>
      <c r="O316" s="837">
        <f t="shared" si="144"/>
        <v>0</v>
      </c>
      <c r="P316" s="837">
        <f t="shared" si="145"/>
        <v>0</v>
      </c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</row>
    <row r="317" spans="1:26" ht="18.75" hidden="1">
      <c r="A317" s="940"/>
      <c r="B317" s="833"/>
      <c r="C317" s="833"/>
      <c r="D317" s="833"/>
      <c r="E317" s="834" t="s">
        <v>19</v>
      </c>
      <c r="F317" s="833"/>
      <c r="G317" s="941"/>
      <c r="H317" s="158" t="s">
        <v>12</v>
      </c>
      <c r="I317" s="836"/>
      <c r="J317" s="836"/>
      <c r="K317" s="837"/>
      <c r="L317" s="837">
        <f t="shared" ca="1" si="146"/>
        <v>0</v>
      </c>
      <c r="M317" s="837">
        <f t="shared" ca="1" si="146"/>
        <v>0</v>
      </c>
      <c r="N317" s="837">
        <f t="shared" ca="1" si="146"/>
        <v>0</v>
      </c>
      <c r="O317" s="837">
        <f t="shared" ca="1" si="144"/>
        <v>0</v>
      </c>
      <c r="P317" s="837">
        <f t="shared" ca="1" si="145"/>
        <v>0</v>
      </c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</row>
    <row r="318" spans="1:26" ht="18.75" hidden="1">
      <c r="A318" s="942"/>
      <c r="B318" s="827"/>
      <c r="C318" s="943"/>
      <c r="D318" s="828" t="s">
        <v>20</v>
      </c>
      <c r="E318" s="827"/>
      <c r="F318" s="827"/>
      <c r="G318" s="829"/>
      <c r="H318" s="778" t="s">
        <v>12</v>
      </c>
      <c r="I318" s="944"/>
      <c r="J318" s="944"/>
      <c r="K318" s="945"/>
      <c r="L318" s="831">
        <f t="shared" ref="L318:N318" ca="1" si="147">L319+L320</f>
        <v>0</v>
      </c>
      <c r="M318" s="831">
        <f t="shared" ca="1" si="147"/>
        <v>0</v>
      </c>
      <c r="N318" s="831">
        <f t="shared" ca="1" si="147"/>
        <v>0</v>
      </c>
      <c r="O318" s="831">
        <f t="shared" ca="1" si="144"/>
        <v>0</v>
      </c>
      <c r="P318" s="831">
        <f t="shared" ca="1" si="145"/>
        <v>0</v>
      </c>
      <c r="Q318" s="818"/>
      <c r="R318" s="818"/>
      <c r="S318" s="818"/>
      <c r="T318" s="818"/>
      <c r="U318" s="818"/>
      <c r="V318" s="818"/>
      <c r="W318" s="818"/>
      <c r="X318" s="818"/>
      <c r="Y318" s="818"/>
      <c r="Z318" s="818"/>
    </row>
    <row r="319" spans="1:26" ht="19.5" hidden="1">
      <c r="A319" s="940"/>
      <c r="B319" s="833"/>
      <c r="C319" s="946"/>
      <c r="D319" s="833"/>
      <c r="E319" s="834" t="s">
        <v>36</v>
      </c>
      <c r="F319" s="833"/>
      <c r="G319" s="941"/>
      <c r="H319" s="165" t="s">
        <v>12</v>
      </c>
      <c r="I319" s="947"/>
      <c r="J319" s="947"/>
      <c r="K319" s="948"/>
      <c r="L319" s="837">
        <v>0</v>
      </c>
      <c r="M319" s="837">
        <v>0</v>
      </c>
      <c r="N319" s="837">
        <v>0</v>
      </c>
      <c r="O319" s="837">
        <f t="shared" si="144"/>
        <v>0</v>
      </c>
      <c r="P319" s="837">
        <f t="shared" si="145"/>
        <v>0</v>
      </c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</row>
    <row r="320" spans="1:26" ht="19.5" hidden="1">
      <c r="A320" s="940"/>
      <c r="B320" s="833"/>
      <c r="C320" s="946"/>
      <c r="D320" s="833"/>
      <c r="E320" s="834" t="s">
        <v>37</v>
      </c>
      <c r="F320" s="833"/>
      <c r="G320" s="941"/>
      <c r="H320" s="165" t="s">
        <v>12</v>
      </c>
      <c r="I320" s="947"/>
      <c r="J320" s="947"/>
      <c r="K320" s="948"/>
      <c r="L320" s="837">
        <f ca="1">IFERROR(__xludf.DUMMYFUNCTION("IMPORTRANGE(""https://docs.google.com/spreadsheets/d/1MeEWN-I1oV_STSDYn1IFDPWt_1FKiwhDph83XaGc0o0/edit?usp=sharing"",""งบพรบ!EC24"")"),0)</f>
        <v>0</v>
      </c>
      <c r="M320" s="837">
        <f ca="1">IFERROR(__xludf.DUMMYFUNCTION("IMPORTRANGE(""https://docs.google.com/spreadsheets/d/1MeEWN-I1oV_STSDYn1IFDPWt_1FKiwhDph83XaGc0o0/edit?usp=sharing"",""งบพรบ!EH24"")"),0)</f>
        <v>0</v>
      </c>
      <c r="N320" s="837">
        <f ca="1">IFERROR(__xludf.DUMMYFUNCTION("IMPORTRANGE(""https://docs.google.com/spreadsheets/d/1MeEWN-I1oV_STSDYn1IFDPWt_1FKiwhDph83XaGc0o0/edit?usp=sharing"",""งบพรบ!EJ24"")"),0)</f>
        <v>0</v>
      </c>
      <c r="O320" s="837">
        <f t="shared" ca="1" si="144"/>
        <v>0</v>
      </c>
      <c r="P320" s="837">
        <f t="shared" ca="1" si="145"/>
        <v>0</v>
      </c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</row>
    <row r="321" spans="1:26" ht="18.75" hidden="1">
      <c r="A321" s="942"/>
      <c r="B321" s="827"/>
      <c r="C321" s="943"/>
      <c r="D321" s="828" t="s">
        <v>21</v>
      </c>
      <c r="E321" s="827"/>
      <c r="F321" s="827"/>
      <c r="G321" s="829"/>
      <c r="H321" s="168" t="s">
        <v>12</v>
      </c>
      <c r="I321" s="944"/>
      <c r="J321" s="944"/>
      <c r="K321" s="945"/>
      <c r="L321" s="831">
        <f t="shared" ref="L321:N321" ca="1" si="148">L322+L323</f>
        <v>0</v>
      </c>
      <c r="M321" s="831">
        <f t="shared" ca="1" si="148"/>
        <v>0</v>
      </c>
      <c r="N321" s="831">
        <f t="shared" ca="1" si="148"/>
        <v>0</v>
      </c>
      <c r="O321" s="831">
        <f t="shared" ca="1" si="144"/>
        <v>0</v>
      </c>
      <c r="P321" s="831">
        <f t="shared" ca="1" si="145"/>
        <v>0</v>
      </c>
      <c r="Q321" s="818"/>
      <c r="R321" s="818"/>
      <c r="S321" s="818"/>
      <c r="T321" s="818"/>
      <c r="U321" s="818"/>
      <c r="V321" s="818"/>
      <c r="W321" s="818"/>
      <c r="X321" s="818"/>
      <c r="Y321" s="818"/>
      <c r="Z321" s="818"/>
    </row>
    <row r="322" spans="1:26" ht="19.5" hidden="1">
      <c r="A322" s="940"/>
      <c r="B322" s="833"/>
      <c r="C322" s="946"/>
      <c r="D322" s="833"/>
      <c r="E322" s="834" t="s">
        <v>18</v>
      </c>
      <c r="F322" s="833"/>
      <c r="G322" s="941"/>
      <c r="H322" s="165" t="s">
        <v>12</v>
      </c>
      <c r="I322" s="947"/>
      <c r="J322" s="947"/>
      <c r="K322" s="948"/>
      <c r="L322" s="837">
        <v>0</v>
      </c>
      <c r="M322" s="837">
        <v>0</v>
      </c>
      <c r="N322" s="837">
        <v>0</v>
      </c>
      <c r="O322" s="837">
        <f t="shared" si="144"/>
        <v>0</v>
      </c>
      <c r="P322" s="837">
        <f t="shared" si="145"/>
        <v>0</v>
      </c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</row>
    <row r="323" spans="1:26" ht="19.5" hidden="1">
      <c r="A323" s="940"/>
      <c r="B323" s="833"/>
      <c r="C323" s="946"/>
      <c r="D323" s="833"/>
      <c r="E323" s="834" t="s">
        <v>19</v>
      </c>
      <c r="F323" s="833"/>
      <c r="G323" s="941"/>
      <c r="H323" s="169" t="s">
        <v>12</v>
      </c>
      <c r="I323" s="947"/>
      <c r="J323" s="947"/>
      <c r="K323" s="948"/>
      <c r="L323" s="837">
        <f ca="1">IFERROR(__xludf.DUMMYFUNCTION("IMPORTRANGE(""https://docs.google.com/spreadsheets/d/1MeEWN-I1oV_STSDYn1IFDPWt_1FKiwhDph83XaGc0o0/edit?usp=sharing"",""งบพรบ!EF24"")"),0)</f>
        <v>0</v>
      </c>
      <c r="M323" s="837">
        <f ca="1">IFERROR(__xludf.DUMMYFUNCTION("IMPORTRANGE(""https://docs.google.com/spreadsheets/d/1MeEWN-I1oV_STSDYn1IFDPWt_1FKiwhDph83XaGc0o0/edit?usp=sharing"",""งบพรบ!EI24"")"),0)</f>
        <v>0</v>
      </c>
      <c r="N323" s="837">
        <f ca="1">IFERROR(__xludf.DUMMYFUNCTION("IMPORTRANGE(""https://docs.google.com/spreadsheets/d/1MeEWN-I1oV_STSDYn1IFDPWt_1FKiwhDph83XaGc0o0/edit?usp=sharing"",""งบพรบ!EK24"")"),0)</f>
        <v>0</v>
      </c>
      <c r="O323" s="837">
        <f t="shared" ca="1" si="144"/>
        <v>0</v>
      </c>
      <c r="P323" s="837">
        <f t="shared" ca="1" si="145"/>
        <v>0</v>
      </c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</row>
    <row r="324" spans="1:26" ht="19.5" hidden="1">
      <c r="A324" s="949"/>
      <c r="B324" s="950"/>
      <c r="C324" s="946" t="s">
        <v>16</v>
      </c>
      <c r="D324" s="951" t="s">
        <v>38</v>
      </c>
      <c r="E324" s="952"/>
      <c r="F324" s="952"/>
      <c r="G324" s="953"/>
      <c r="H324" s="954"/>
      <c r="I324" s="944"/>
      <c r="J324" s="830"/>
      <c r="K324" s="831"/>
      <c r="L324" s="831"/>
      <c r="M324" s="831"/>
      <c r="N324" s="831"/>
      <c r="O324" s="945"/>
      <c r="P324" s="945"/>
    </row>
    <row r="325" spans="1:26" ht="18.75" hidden="1">
      <c r="A325" s="949"/>
      <c r="B325" s="950"/>
      <c r="C325" s="950"/>
      <c r="D325" s="955" t="s">
        <v>147</v>
      </c>
      <c r="E325" s="957"/>
      <c r="F325" s="956"/>
      <c r="G325" s="958"/>
      <c r="H325" s="590" t="s">
        <v>146</v>
      </c>
      <c r="I325" s="830">
        <f ca="1">IFERROR(__xludf.DUMMYFUNCTION("IMPORTRANGE(""https://docs.google.com/spreadsheets/d/1QqKyyYR6Q21VydFLVH3TRQUabQu_ym0Zz7PgGX0-kHA/edit?usp=sharing"",""แผน!EF24"")"),0)</f>
        <v>0</v>
      </c>
      <c r="J325" s="959">
        <v>0</v>
      </c>
      <c r="K325" s="831">
        <f ca="1">IF(I325&gt;0,J325*100/I325,0)</f>
        <v>0</v>
      </c>
      <c r="L325" s="831"/>
      <c r="M325" s="831"/>
      <c r="N325" s="831"/>
      <c r="O325" s="945"/>
      <c r="P325" s="945"/>
    </row>
    <row r="326" spans="1:26" ht="19.5">
      <c r="A326" s="1126" t="s">
        <v>148</v>
      </c>
      <c r="B326" s="1127"/>
      <c r="C326" s="1127"/>
      <c r="D326" s="1128"/>
      <c r="E326" s="1127"/>
      <c r="F326" s="1127"/>
      <c r="G326" s="1127"/>
      <c r="H326" s="1140"/>
      <c r="I326" s="1131"/>
      <c r="J326" s="1131"/>
      <c r="K326" s="1132"/>
      <c r="L326" s="1132"/>
      <c r="M326" s="1132"/>
      <c r="N326" s="1132"/>
      <c r="O326" s="1132"/>
      <c r="P326" s="1132"/>
    </row>
    <row r="327" spans="1:26" ht="19.5">
      <c r="A327" s="1133"/>
      <c r="B327" s="1134" t="s">
        <v>149</v>
      </c>
      <c r="C327" s="1143"/>
      <c r="D327" s="1135"/>
      <c r="E327" s="1135"/>
      <c r="F327" s="1135"/>
      <c r="G327" s="1136"/>
      <c r="H327" s="412" t="s">
        <v>35</v>
      </c>
      <c r="I327" s="1137">
        <f ca="1">IFERROR(__xludf.DUMMYFUNCTION("IMPORTRANGE(""https://docs.google.com/spreadsheets/d/1QqKyyYR6Q21VydFLVH3TRQUabQu_ym0Zz7PgGX0-kHA/edit?usp=sharing"",""แผน!EG24"")"),1700)</f>
        <v>1700</v>
      </c>
      <c r="J327" s="1137">
        <f ca="1">J338+J341+J342+J343</f>
        <v>1201</v>
      </c>
      <c r="K327" s="1138">
        <f ca="1">IF(I327&gt;0,J327*100/I327,0)</f>
        <v>70.647058823529406</v>
      </c>
      <c r="L327" s="1139"/>
      <c r="M327" s="1139"/>
      <c r="N327" s="1139"/>
      <c r="O327" s="1139"/>
      <c r="P327" s="1139"/>
    </row>
    <row r="328" spans="1:26" ht="19.5">
      <c r="A328" s="932"/>
      <c r="B328" s="933"/>
      <c r="C328" s="934" t="s">
        <v>16</v>
      </c>
      <c r="D328" s="935" t="s">
        <v>17</v>
      </c>
      <c r="E328" s="933"/>
      <c r="F328" s="933"/>
      <c r="G328" s="936"/>
      <c r="H328" s="152" t="s">
        <v>12</v>
      </c>
      <c r="I328" s="937"/>
      <c r="J328" s="937"/>
      <c r="K328" s="938"/>
      <c r="L328" s="939">
        <f t="shared" ref="L328:N328" ca="1" si="149">L329+L330</f>
        <v>170000</v>
      </c>
      <c r="M328" s="939">
        <f t="shared" ca="1" si="149"/>
        <v>130000</v>
      </c>
      <c r="N328" s="939">
        <f t="shared" ca="1" si="149"/>
        <v>73780</v>
      </c>
      <c r="O328" s="939">
        <f t="shared" ref="O328:O336" ca="1" si="150">IF(L328&gt;0,N328*100/L328,0)</f>
        <v>43.4</v>
      </c>
      <c r="P328" s="939">
        <f t="shared" ref="P328:P336" ca="1" si="151">IF(M328&gt;0,N328*100/M328,0)</f>
        <v>56.753846153846155</v>
      </c>
      <c r="Q328" s="818"/>
      <c r="R328" s="818"/>
      <c r="S328" s="818"/>
      <c r="T328" s="818"/>
      <c r="U328" s="818"/>
      <c r="V328" s="818"/>
      <c r="W328" s="818"/>
      <c r="X328" s="818"/>
      <c r="Y328" s="818"/>
      <c r="Z328" s="818"/>
    </row>
    <row r="329" spans="1:26" ht="18.75" hidden="1">
      <c r="A329" s="940"/>
      <c r="B329" s="833"/>
      <c r="C329" s="833"/>
      <c r="D329" s="833"/>
      <c r="E329" s="834" t="s">
        <v>18</v>
      </c>
      <c r="F329" s="833"/>
      <c r="G329" s="941"/>
      <c r="H329" s="158" t="s">
        <v>12</v>
      </c>
      <c r="I329" s="836"/>
      <c r="J329" s="836"/>
      <c r="K329" s="837"/>
      <c r="L329" s="837">
        <f t="shared" ref="L329:N330" si="152">L332+L335</f>
        <v>0</v>
      </c>
      <c r="M329" s="837">
        <f t="shared" si="152"/>
        <v>0</v>
      </c>
      <c r="N329" s="837">
        <f t="shared" si="152"/>
        <v>0</v>
      </c>
      <c r="O329" s="837">
        <f t="shared" si="150"/>
        <v>0</v>
      </c>
      <c r="P329" s="837">
        <f t="shared" si="151"/>
        <v>0</v>
      </c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</row>
    <row r="330" spans="1:26" ht="18.75" hidden="1">
      <c r="A330" s="940"/>
      <c r="B330" s="833"/>
      <c r="C330" s="833"/>
      <c r="D330" s="833"/>
      <c r="E330" s="834" t="s">
        <v>19</v>
      </c>
      <c r="F330" s="833"/>
      <c r="G330" s="941"/>
      <c r="H330" s="158" t="s">
        <v>12</v>
      </c>
      <c r="I330" s="836"/>
      <c r="J330" s="836"/>
      <c r="K330" s="837"/>
      <c r="L330" s="837">
        <f t="shared" ca="1" si="152"/>
        <v>170000</v>
      </c>
      <c r="M330" s="837">
        <f t="shared" ca="1" si="152"/>
        <v>130000</v>
      </c>
      <c r="N330" s="837">
        <f t="shared" ca="1" si="152"/>
        <v>73780</v>
      </c>
      <c r="O330" s="837">
        <f t="shared" ca="1" si="150"/>
        <v>43.4</v>
      </c>
      <c r="P330" s="837">
        <f t="shared" ca="1" si="151"/>
        <v>56.753846153846155</v>
      </c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</row>
    <row r="331" spans="1:26" ht="18.75">
      <c r="A331" s="942"/>
      <c r="B331" s="827"/>
      <c r="C331" s="943"/>
      <c r="D331" s="828" t="s">
        <v>20</v>
      </c>
      <c r="E331" s="827"/>
      <c r="F331" s="827"/>
      <c r="G331" s="829"/>
      <c r="H331" s="778" t="s">
        <v>12</v>
      </c>
      <c r="I331" s="944"/>
      <c r="J331" s="944"/>
      <c r="K331" s="945"/>
      <c r="L331" s="831">
        <f t="shared" ref="L331:N331" ca="1" si="153">L332+L333</f>
        <v>170000</v>
      </c>
      <c r="M331" s="831">
        <f t="shared" ca="1" si="153"/>
        <v>130000</v>
      </c>
      <c r="N331" s="831">
        <f t="shared" ca="1" si="153"/>
        <v>73780</v>
      </c>
      <c r="O331" s="831">
        <f t="shared" ca="1" si="150"/>
        <v>43.4</v>
      </c>
      <c r="P331" s="831">
        <f t="shared" ca="1" si="151"/>
        <v>56.753846153846155</v>
      </c>
      <c r="Q331" s="818"/>
      <c r="R331" s="818"/>
      <c r="S331" s="818"/>
      <c r="T331" s="818"/>
      <c r="U331" s="818"/>
      <c r="V331" s="818"/>
      <c r="W331" s="818"/>
      <c r="X331" s="818"/>
      <c r="Y331" s="818"/>
      <c r="Z331" s="818"/>
    </row>
    <row r="332" spans="1:26" ht="19.5" hidden="1">
      <c r="A332" s="940"/>
      <c r="B332" s="833"/>
      <c r="C332" s="946"/>
      <c r="D332" s="833"/>
      <c r="E332" s="834" t="s">
        <v>36</v>
      </c>
      <c r="F332" s="833"/>
      <c r="G332" s="941"/>
      <c r="H332" s="165" t="s">
        <v>12</v>
      </c>
      <c r="I332" s="947"/>
      <c r="J332" s="947"/>
      <c r="K332" s="948"/>
      <c r="L332" s="837">
        <v>0</v>
      </c>
      <c r="M332" s="837">
        <v>0</v>
      </c>
      <c r="N332" s="837">
        <v>0</v>
      </c>
      <c r="O332" s="837">
        <f t="shared" si="150"/>
        <v>0</v>
      </c>
      <c r="P332" s="837">
        <f t="shared" si="151"/>
        <v>0</v>
      </c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</row>
    <row r="333" spans="1:26" ht="19.5" hidden="1">
      <c r="A333" s="940"/>
      <c r="B333" s="833"/>
      <c r="C333" s="946"/>
      <c r="D333" s="833"/>
      <c r="E333" s="834" t="s">
        <v>37</v>
      </c>
      <c r="F333" s="833"/>
      <c r="G333" s="941"/>
      <c r="H333" s="165" t="s">
        <v>12</v>
      </c>
      <c r="I333" s="947"/>
      <c r="J333" s="947"/>
      <c r="K333" s="948"/>
      <c r="L333" s="837">
        <f ca="1">IFERROR(__xludf.DUMMYFUNCTION("IMPORTRANGE(""https://docs.google.com/spreadsheets/d/1MeEWN-I1oV_STSDYn1IFDPWt_1FKiwhDph83XaGc0o0/edit?usp=sharing"",""งบพรบ!EM24"")"),170000)</f>
        <v>170000</v>
      </c>
      <c r="M333" s="837">
        <f ca="1">IFERROR(__xludf.DUMMYFUNCTION("IMPORTRANGE(""https://docs.google.com/spreadsheets/d/1MeEWN-I1oV_STSDYn1IFDPWt_1FKiwhDph83XaGc0o0/edit?usp=sharing"",""งบพรบ!ER24"")"),130000)</f>
        <v>130000</v>
      </c>
      <c r="N333" s="837">
        <f ca="1">IFERROR(__xludf.DUMMYFUNCTION("IMPORTRANGE(""https://docs.google.com/spreadsheets/d/1MeEWN-I1oV_STSDYn1IFDPWt_1FKiwhDph83XaGc0o0/edit?usp=sharing"",""งบพรบ!ET24"")"),73780)</f>
        <v>73780</v>
      </c>
      <c r="O333" s="837">
        <f t="shared" ca="1" si="150"/>
        <v>43.4</v>
      </c>
      <c r="P333" s="837">
        <f t="shared" ca="1" si="151"/>
        <v>56.753846153846155</v>
      </c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</row>
    <row r="334" spans="1:26" ht="18.75">
      <c r="A334" s="942"/>
      <c r="B334" s="827"/>
      <c r="C334" s="943"/>
      <c r="D334" s="828" t="s">
        <v>21</v>
      </c>
      <c r="E334" s="827"/>
      <c r="F334" s="827"/>
      <c r="G334" s="829"/>
      <c r="H334" s="168" t="s">
        <v>12</v>
      </c>
      <c r="I334" s="944"/>
      <c r="J334" s="944"/>
      <c r="K334" s="945"/>
      <c r="L334" s="831">
        <f t="shared" ref="L334:N334" ca="1" si="154">L335+L336</f>
        <v>0</v>
      </c>
      <c r="M334" s="831">
        <f t="shared" ca="1" si="154"/>
        <v>0</v>
      </c>
      <c r="N334" s="831">
        <f t="shared" ca="1" si="154"/>
        <v>0</v>
      </c>
      <c r="O334" s="831">
        <f t="shared" ca="1" si="150"/>
        <v>0</v>
      </c>
      <c r="P334" s="831">
        <f t="shared" ca="1" si="151"/>
        <v>0</v>
      </c>
      <c r="Q334" s="818"/>
      <c r="R334" s="818"/>
      <c r="S334" s="818"/>
      <c r="T334" s="818"/>
      <c r="U334" s="818"/>
      <c r="V334" s="818"/>
      <c r="W334" s="818"/>
      <c r="X334" s="818"/>
      <c r="Y334" s="818"/>
      <c r="Z334" s="818"/>
    </row>
    <row r="335" spans="1:26" ht="19.5" hidden="1">
      <c r="A335" s="940"/>
      <c r="B335" s="833"/>
      <c r="C335" s="946"/>
      <c r="D335" s="833"/>
      <c r="E335" s="834" t="s">
        <v>18</v>
      </c>
      <c r="F335" s="833"/>
      <c r="G335" s="941"/>
      <c r="H335" s="165" t="s">
        <v>12</v>
      </c>
      <c r="I335" s="947"/>
      <c r="J335" s="947"/>
      <c r="K335" s="948"/>
      <c r="L335" s="837">
        <v>0</v>
      </c>
      <c r="M335" s="837">
        <v>0</v>
      </c>
      <c r="N335" s="837">
        <v>0</v>
      </c>
      <c r="O335" s="837">
        <f t="shared" si="150"/>
        <v>0</v>
      </c>
      <c r="P335" s="837">
        <f t="shared" si="151"/>
        <v>0</v>
      </c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</row>
    <row r="336" spans="1:26" ht="19.5" hidden="1">
      <c r="A336" s="940"/>
      <c r="B336" s="833"/>
      <c r="C336" s="946"/>
      <c r="D336" s="833"/>
      <c r="E336" s="834" t="s">
        <v>19</v>
      </c>
      <c r="F336" s="833"/>
      <c r="G336" s="941"/>
      <c r="H336" s="169" t="s">
        <v>12</v>
      </c>
      <c r="I336" s="947"/>
      <c r="J336" s="947"/>
      <c r="K336" s="948"/>
      <c r="L336" s="837">
        <f ca="1">IFERROR(__xludf.DUMMYFUNCTION("IMPORTRANGE(""https://docs.google.com/spreadsheets/d/1MeEWN-I1oV_STSDYn1IFDPWt_1FKiwhDph83XaGc0o0/edit?usp=sharing"",""งบพรบ!EP24"")"),0)</f>
        <v>0</v>
      </c>
      <c r="M336" s="837">
        <f ca="1">IFERROR(__xludf.DUMMYFUNCTION("IMPORTRANGE(""https://docs.google.com/spreadsheets/d/1MeEWN-I1oV_STSDYn1IFDPWt_1FKiwhDph83XaGc0o0/edit?usp=sharing"",""งบพรบ!ES24"")"),0)</f>
        <v>0</v>
      </c>
      <c r="N336" s="837">
        <f ca="1">IFERROR(__xludf.DUMMYFUNCTION("IMPORTRANGE(""https://docs.google.com/spreadsheets/d/1MeEWN-I1oV_STSDYn1IFDPWt_1FKiwhDph83XaGc0o0/edit?usp=sharing"",""งบพรบ!EU24"")"),0)</f>
        <v>0</v>
      </c>
      <c r="O336" s="837">
        <f t="shared" ca="1" si="150"/>
        <v>0</v>
      </c>
      <c r="P336" s="837">
        <f t="shared" ca="1" si="151"/>
        <v>0</v>
      </c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</row>
    <row r="337" spans="1:26" ht="19.5">
      <c r="A337" s="949"/>
      <c r="B337" s="950"/>
      <c r="C337" s="946" t="s">
        <v>16</v>
      </c>
      <c r="D337" s="951" t="s">
        <v>38</v>
      </c>
      <c r="E337" s="952"/>
      <c r="F337" s="952"/>
      <c r="G337" s="953"/>
      <c r="H337" s="954"/>
      <c r="I337" s="944"/>
      <c r="J337" s="830"/>
      <c r="K337" s="831"/>
      <c r="L337" s="831"/>
      <c r="M337" s="831"/>
      <c r="N337" s="831"/>
      <c r="O337" s="945"/>
      <c r="P337" s="945"/>
    </row>
    <row r="338" spans="1:26" ht="18.75">
      <c r="A338" s="1032"/>
      <c r="B338" s="827"/>
      <c r="C338" s="1030"/>
      <c r="D338" s="956" t="s">
        <v>150</v>
      </c>
      <c r="E338" s="950"/>
      <c r="F338" s="827"/>
      <c r="G338" s="829"/>
      <c r="H338" s="277" t="s">
        <v>35</v>
      </c>
      <c r="I338" s="830">
        <f ca="1">IFERROR(__xludf.DUMMYFUNCTION("IMPORTRANGE(""https://docs.google.com/spreadsheets/d/1QqKyyYR6Q21VydFLVH3TRQUabQu_ym0Zz7PgGX0-kHA/edit?usp=sharing"",""แผน!EG24"")"),1700)</f>
        <v>1700</v>
      </c>
      <c r="J338" s="830">
        <f ca="1">IFERROR(__xludf.DUMMYFUNCTION("IMPORTRANGE(""https://docs.google.com/spreadsheets/d/1kVcqe37tkHyjCSG3S0O1AXqVkqjo8mSIZil3BcpIysc/edit?usp=sharing"",""ศูนย์!D24"")"),1018)</f>
        <v>1018</v>
      </c>
      <c r="K338" s="831">
        <f ca="1">IF(I338&gt;0,J338*100/I338,0)</f>
        <v>59.882352941176471</v>
      </c>
      <c r="L338" s="831"/>
      <c r="M338" s="831"/>
      <c r="N338" s="831"/>
      <c r="O338" s="831"/>
      <c r="P338" s="831"/>
    </row>
    <row r="339" spans="1:26" ht="18.75">
      <c r="A339" s="1032"/>
      <c r="B339" s="827"/>
      <c r="C339" s="1030"/>
      <c r="D339" s="956" t="s">
        <v>151</v>
      </c>
      <c r="E339" s="950"/>
      <c r="F339" s="827"/>
      <c r="G339" s="829"/>
      <c r="H339" s="277"/>
      <c r="I339" s="830"/>
      <c r="J339" s="830"/>
      <c r="K339" s="831"/>
      <c r="L339" s="831"/>
      <c r="M339" s="831"/>
      <c r="N339" s="831"/>
      <c r="O339" s="831"/>
      <c r="P339" s="831"/>
    </row>
    <row r="340" spans="1:26" ht="18.75">
      <c r="A340" s="1032"/>
      <c r="B340" s="827"/>
      <c r="C340" s="1030"/>
      <c r="D340" s="957"/>
      <c r="E340" s="956" t="s">
        <v>152</v>
      </c>
      <c r="F340" s="827"/>
      <c r="G340" s="829"/>
      <c r="H340" s="277" t="s">
        <v>153</v>
      </c>
      <c r="I340" s="830">
        <f ca="1">IFERROR(__xludf.DUMMYFUNCTION("IMPORTRANGE(""https://docs.google.com/spreadsheets/d/1QqKyyYR6Q21VydFLVH3TRQUabQu_ym0Zz7PgGX0-kHA/edit?usp=sharing"",""แผน!EH24"")"),6)</f>
        <v>6</v>
      </c>
      <c r="J340" s="830">
        <f ca="1">IFERROR(__xludf.DUMMYFUNCTION("IMPORTRANGE(""https://docs.google.com/spreadsheets/d/1kVcqe37tkHyjCSG3S0O1AXqVkqjo8mSIZil3BcpIysc/edit?usp=sharing"",""ศูนย์!E24"")"),2)</f>
        <v>2</v>
      </c>
      <c r="K340" s="831">
        <f ca="1">IF(I340&gt;0,J340*100/I340,0)</f>
        <v>33.333333333333336</v>
      </c>
      <c r="L340" s="831"/>
      <c r="M340" s="831"/>
      <c r="N340" s="831"/>
      <c r="O340" s="831"/>
      <c r="P340" s="831"/>
    </row>
    <row r="341" spans="1:26" ht="18.75">
      <c r="A341" s="1032"/>
      <c r="B341" s="827"/>
      <c r="C341" s="1030"/>
      <c r="D341" s="957"/>
      <c r="E341" s="956" t="s">
        <v>154</v>
      </c>
      <c r="F341" s="827"/>
      <c r="G341" s="829"/>
      <c r="H341" s="277" t="s">
        <v>35</v>
      </c>
      <c r="I341" s="830"/>
      <c r="J341" s="830">
        <f ca="1">IFERROR(__xludf.DUMMYFUNCTION("IMPORTRANGE(""https://docs.google.com/spreadsheets/d/1kVcqe37tkHyjCSG3S0O1AXqVkqjo8mSIZil3BcpIysc/edit?usp=sharing"",""ศูนย์!F24"")"),183)</f>
        <v>183</v>
      </c>
      <c r="K341" s="831"/>
      <c r="L341" s="831"/>
      <c r="M341" s="831"/>
      <c r="N341" s="831"/>
      <c r="O341" s="831"/>
      <c r="P341" s="831"/>
    </row>
    <row r="342" spans="1:26" ht="18.75">
      <c r="A342" s="1032"/>
      <c r="B342" s="827"/>
      <c r="C342" s="1030"/>
      <c r="D342" s="956" t="s">
        <v>155</v>
      </c>
      <c r="E342" s="957"/>
      <c r="F342" s="957"/>
      <c r="G342" s="829"/>
      <c r="H342" s="277" t="s">
        <v>35</v>
      </c>
      <c r="I342" s="830"/>
      <c r="J342" s="830">
        <f ca="1">IFERROR(__xludf.DUMMYFUNCTION("IMPORTRANGE(""https://docs.google.com/spreadsheets/d/1kVcqe37tkHyjCSG3S0O1AXqVkqjo8mSIZil3BcpIysc/edit?usp=sharing"",""ศูนย์!G24"")"),0)</f>
        <v>0</v>
      </c>
      <c r="K342" s="831"/>
      <c r="L342" s="831"/>
      <c r="M342" s="831"/>
      <c r="N342" s="831"/>
      <c r="O342" s="831"/>
      <c r="P342" s="831"/>
    </row>
    <row r="343" spans="1:26" ht="18.75">
      <c r="A343" s="1032"/>
      <c r="B343" s="827"/>
      <c r="C343" s="1030"/>
      <c r="D343" s="956" t="s">
        <v>156</v>
      </c>
      <c r="E343" s="957"/>
      <c r="F343" s="957"/>
      <c r="G343" s="829"/>
      <c r="H343" s="277" t="s">
        <v>35</v>
      </c>
      <c r="I343" s="830"/>
      <c r="J343" s="830">
        <f ca="1">IFERROR(__xludf.DUMMYFUNCTION("IMPORTRANGE(""https://docs.google.com/spreadsheets/d/1kVcqe37tkHyjCSG3S0O1AXqVkqjo8mSIZil3BcpIysc/edit?usp=sharing"",""ศูนย์!H24"")"),0)</f>
        <v>0</v>
      </c>
      <c r="K343" s="831"/>
      <c r="L343" s="831"/>
      <c r="M343" s="831"/>
      <c r="N343" s="831"/>
      <c r="O343" s="831"/>
      <c r="P343" s="831"/>
    </row>
    <row r="344" spans="1:26" ht="19.5">
      <c r="A344" s="1133"/>
      <c r="B344" s="1134" t="s">
        <v>157</v>
      </c>
      <c r="C344" s="1143"/>
      <c r="D344" s="1135"/>
      <c r="E344" s="1135"/>
      <c r="F344" s="1135"/>
      <c r="G344" s="1136"/>
      <c r="H344" s="412"/>
      <c r="I344" s="1144"/>
      <c r="J344" s="1144"/>
      <c r="K344" s="1139"/>
      <c r="L344" s="1139"/>
      <c r="M344" s="1139"/>
      <c r="N344" s="1139"/>
      <c r="O344" s="1139"/>
      <c r="P344" s="1139"/>
    </row>
    <row r="345" spans="1:26" ht="19.5">
      <c r="A345" s="932"/>
      <c r="B345" s="933"/>
      <c r="C345" s="934" t="s">
        <v>16</v>
      </c>
      <c r="D345" s="935" t="s">
        <v>17</v>
      </c>
      <c r="E345" s="933"/>
      <c r="F345" s="933"/>
      <c r="G345" s="936"/>
      <c r="H345" s="152" t="s">
        <v>12</v>
      </c>
      <c r="I345" s="937"/>
      <c r="J345" s="937"/>
      <c r="K345" s="938"/>
      <c r="L345" s="939">
        <f t="shared" ref="L345:N345" ca="1" si="155">L346+L347</f>
        <v>614330</v>
      </c>
      <c r="M345" s="939">
        <f t="shared" ca="1" si="155"/>
        <v>490160</v>
      </c>
      <c r="N345" s="939">
        <f t="shared" ca="1" si="155"/>
        <v>253779.84</v>
      </c>
      <c r="O345" s="939">
        <f t="shared" ref="O345:O353" ca="1" si="156">IF(L345&gt;0,N345*100/L345,0)</f>
        <v>41.31001904513861</v>
      </c>
      <c r="P345" s="939">
        <f t="shared" ref="P345:P353" ca="1" si="157">IF(M345&gt;0,N345*100/M345,0)</f>
        <v>51.774897992492249</v>
      </c>
      <c r="Q345" s="818"/>
      <c r="R345" s="818"/>
      <c r="S345" s="818"/>
      <c r="T345" s="818"/>
      <c r="U345" s="818"/>
      <c r="V345" s="818"/>
      <c r="W345" s="818"/>
      <c r="X345" s="818"/>
      <c r="Y345" s="818"/>
      <c r="Z345" s="818"/>
    </row>
    <row r="346" spans="1:26" ht="18.75" hidden="1">
      <c r="A346" s="940"/>
      <c r="B346" s="833"/>
      <c r="C346" s="833"/>
      <c r="D346" s="833"/>
      <c r="E346" s="834" t="s">
        <v>18</v>
      </c>
      <c r="F346" s="833"/>
      <c r="G346" s="941"/>
      <c r="H346" s="158" t="s">
        <v>12</v>
      </c>
      <c r="I346" s="836"/>
      <c r="J346" s="836"/>
      <c r="K346" s="837"/>
      <c r="L346" s="837">
        <f t="shared" ref="L346:N347" si="158">L349+L352</f>
        <v>0</v>
      </c>
      <c r="M346" s="837">
        <f t="shared" si="158"/>
        <v>0</v>
      </c>
      <c r="N346" s="837">
        <f t="shared" si="158"/>
        <v>0</v>
      </c>
      <c r="O346" s="837">
        <f t="shared" si="156"/>
        <v>0</v>
      </c>
      <c r="P346" s="837">
        <f t="shared" si="157"/>
        <v>0</v>
      </c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</row>
    <row r="347" spans="1:26" ht="18.75" hidden="1">
      <c r="A347" s="940"/>
      <c r="B347" s="833"/>
      <c r="C347" s="833"/>
      <c r="D347" s="833"/>
      <c r="E347" s="834" t="s">
        <v>19</v>
      </c>
      <c r="F347" s="833"/>
      <c r="G347" s="941"/>
      <c r="H347" s="158" t="s">
        <v>12</v>
      </c>
      <c r="I347" s="836"/>
      <c r="J347" s="836"/>
      <c r="K347" s="837"/>
      <c r="L347" s="837">
        <f t="shared" ca="1" si="158"/>
        <v>614330</v>
      </c>
      <c r="M347" s="837">
        <f t="shared" ca="1" si="158"/>
        <v>490160</v>
      </c>
      <c r="N347" s="837">
        <f t="shared" ca="1" si="158"/>
        <v>253779.84</v>
      </c>
      <c r="O347" s="837">
        <f t="shared" ca="1" si="156"/>
        <v>41.31001904513861</v>
      </c>
      <c r="P347" s="837">
        <f t="shared" ca="1" si="157"/>
        <v>51.774897992492249</v>
      </c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</row>
    <row r="348" spans="1:26" ht="18.75">
      <c r="A348" s="942"/>
      <c r="B348" s="827"/>
      <c r="C348" s="943"/>
      <c r="D348" s="828" t="s">
        <v>20</v>
      </c>
      <c r="E348" s="827"/>
      <c r="F348" s="827"/>
      <c r="G348" s="829"/>
      <c r="H348" s="778" t="s">
        <v>12</v>
      </c>
      <c r="I348" s="944"/>
      <c r="J348" s="944"/>
      <c r="K348" s="945"/>
      <c r="L348" s="831">
        <f t="shared" ref="L348:N348" ca="1" si="159">L349+L350</f>
        <v>545530</v>
      </c>
      <c r="M348" s="831">
        <f t="shared" ca="1" si="159"/>
        <v>421660</v>
      </c>
      <c r="N348" s="831">
        <f t="shared" ca="1" si="159"/>
        <v>185279.84</v>
      </c>
      <c r="O348" s="831">
        <f t="shared" ca="1" si="156"/>
        <v>33.963272413982729</v>
      </c>
      <c r="P348" s="831">
        <f t="shared" ca="1" si="157"/>
        <v>43.940577716643745</v>
      </c>
      <c r="Q348" s="818"/>
      <c r="R348" s="818"/>
      <c r="S348" s="818"/>
      <c r="T348" s="818"/>
      <c r="U348" s="818"/>
      <c r="V348" s="818"/>
      <c r="W348" s="818"/>
      <c r="X348" s="818"/>
      <c r="Y348" s="818"/>
      <c r="Z348" s="818"/>
    </row>
    <row r="349" spans="1:26" ht="19.5" hidden="1">
      <c r="A349" s="940"/>
      <c r="B349" s="833"/>
      <c r="C349" s="946"/>
      <c r="D349" s="833"/>
      <c r="E349" s="834" t="s">
        <v>36</v>
      </c>
      <c r="F349" s="833"/>
      <c r="G349" s="941"/>
      <c r="H349" s="165" t="s">
        <v>12</v>
      </c>
      <c r="I349" s="947"/>
      <c r="J349" s="947"/>
      <c r="K349" s="948"/>
      <c r="L349" s="837">
        <v>0</v>
      </c>
      <c r="M349" s="837">
        <v>0</v>
      </c>
      <c r="N349" s="837">
        <v>0</v>
      </c>
      <c r="O349" s="837">
        <f t="shared" si="156"/>
        <v>0</v>
      </c>
      <c r="P349" s="837">
        <f t="shared" si="157"/>
        <v>0</v>
      </c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</row>
    <row r="350" spans="1:26" ht="19.5" hidden="1">
      <c r="A350" s="940"/>
      <c r="B350" s="833"/>
      <c r="C350" s="946"/>
      <c r="D350" s="833"/>
      <c r="E350" s="834" t="s">
        <v>37</v>
      </c>
      <c r="F350" s="833"/>
      <c r="G350" s="941"/>
      <c r="H350" s="165" t="s">
        <v>12</v>
      </c>
      <c r="I350" s="947"/>
      <c r="J350" s="947"/>
      <c r="K350" s="948"/>
      <c r="L350" s="837">
        <f ca="1">IFERROR(__xludf.DUMMYFUNCTION("IMPORTRANGE(""https://docs.google.com/spreadsheets/d/1MeEWN-I1oV_STSDYn1IFDPWt_1FKiwhDph83XaGc0o0/edit?usp=sharing"",""งบพรบ!EW24"")"),545530)</f>
        <v>545530</v>
      </c>
      <c r="M350" s="837">
        <f ca="1">IFERROR(__xludf.DUMMYFUNCTION("IMPORTRANGE(""https://docs.google.com/spreadsheets/d/1MeEWN-I1oV_STSDYn1IFDPWt_1FKiwhDph83XaGc0o0/edit?usp=sharing"",""งบพรบ!FB24"")"),421660)</f>
        <v>421660</v>
      </c>
      <c r="N350" s="837">
        <f ca="1">IFERROR(__xludf.DUMMYFUNCTION("IMPORTRANGE(""https://docs.google.com/spreadsheets/d/1MeEWN-I1oV_STSDYn1IFDPWt_1FKiwhDph83XaGc0o0/edit?usp=sharing"",""งบพรบ!FD24"")"),185279.84)</f>
        <v>185279.84</v>
      </c>
      <c r="O350" s="837">
        <f t="shared" ca="1" si="156"/>
        <v>33.963272413982729</v>
      </c>
      <c r="P350" s="837">
        <f t="shared" ca="1" si="157"/>
        <v>43.940577716643745</v>
      </c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</row>
    <row r="351" spans="1:26" ht="18.75">
      <c r="A351" s="942"/>
      <c r="B351" s="827"/>
      <c r="C351" s="943"/>
      <c r="D351" s="828" t="s">
        <v>21</v>
      </c>
      <c r="E351" s="827"/>
      <c r="F351" s="827"/>
      <c r="G351" s="829"/>
      <c r="H351" s="168" t="s">
        <v>12</v>
      </c>
      <c r="I351" s="944"/>
      <c r="J351" s="944"/>
      <c r="K351" s="945"/>
      <c r="L351" s="831">
        <f t="shared" ref="L351:N351" ca="1" si="160">L352+L353</f>
        <v>68800</v>
      </c>
      <c r="M351" s="831">
        <f t="shared" ca="1" si="160"/>
        <v>68500</v>
      </c>
      <c r="N351" s="831">
        <f t="shared" ca="1" si="160"/>
        <v>68500</v>
      </c>
      <c r="O351" s="831">
        <f t="shared" ca="1" si="156"/>
        <v>99.563953488372093</v>
      </c>
      <c r="P351" s="831">
        <f t="shared" ca="1" si="157"/>
        <v>100</v>
      </c>
      <c r="Q351" s="818"/>
      <c r="R351" s="818"/>
      <c r="S351" s="818"/>
      <c r="T351" s="818"/>
      <c r="U351" s="818"/>
      <c r="V351" s="818"/>
      <c r="W351" s="818"/>
      <c r="X351" s="818"/>
      <c r="Y351" s="818"/>
      <c r="Z351" s="818"/>
    </row>
    <row r="352" spans="1:26" ht="19.5" hidden="1">
      <c r="A352" s="940"/>
      <c r="B352" s="833"/>
      <c r="C352" s="946"/>
      <c r="D352" s="833"/>
      <c r="E352" s="834" t="s">
        <v>18</v>
      </c>
      <c r="F352" s="833"/>
      <c r="G352" s="941"/>
      <c r="H352" s="165" t="s">
        <v>12</v>
      </c>
      <c r="I352" s="947"/>
      <c r="J352" s="947"/>
      <c r="K352" s="948"/>
      <c r="L352" s="837">
        <v>0</v>
      </c>
      <c r="M352" s="837">
        <v>0</v>
      </c>
      <c r="N352" s="837">
        <v>0</v>
      </c>
      <c r="O352" s="837">
        <f t="shared" si="156"/>
        <v>0</v>
      </c>
      <c r="P352" s="837">
        <f t="shared" si="157"/>
        <v>0</v>
      </c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</row>
    <row r="353" spans="1:26" ht="19.5" hidden="1">
      <c r="A353" s="940"/>
      <c r="B353" s="833"/>
      <c r="C353" s="946"/>
      <c r="D353" s="833"/>
      <c r="E353" s="834" t="s">
        <v>19</v>
      </c>
      <c r="F353" s="833"/>
      <c r="G353" s="941"/>
      <c r="H353" s="169" t="s">
        <v>12</v>
      </c>
      <c r="I353" s="947"/>
      <c r="J353" s="947"/>
      <c r="K353" s="948"/>
      <c r="L353" s="837">
        <f ca="1">IFERROR(__xludf.DUMMYFUNCTION("IMPORTRANGE(""https://docs.google.com/spreadsheets/d/1MeEWN-I1oV_STSDYn1IFDPWt_1FKiwhDph83XaGc0o0/edit?usp=sharing"",""งบพรบ!EZ24"")"),68800)</f>
        <v>68800</v>
      </c>
      <c r="M353" s="837">
        <f ca="1">IFERROR(__xludf.DUMMYFUNCTION("IMPORTRANGE(""https://docs.google.com/spreadsheets/d/1MeEWN-I1oV_STSDYn1IFDPWt_1FKiwhDph83XaGc0o0/edit?usp=sharing"",""งบพรบ!FC24"")"),68500)</f>
        <v>68500</v>
      </c>
      <c r="N353" s="837">
        <f ca="1">IFERROR(__xludf.DUMMYFUNCTION("IMPORTRANGE(""https://docs.google.com/spreadsheets/d/1MeEWN-I1oV_STSDYn1IFDPWt_1FKiwhDph83XaGc0o0/edit?usp=sharing"",""งบพรบ!FE24"")"),68500)</f>
        <v>68500</v>
      </c>
      <c r="O353" s="837">
        <f t="shared" ca="1" si="156"/>
        <v>99.563953488372093</v>
      </c>
      <c r="P353" s="837">
        <f t="shared" ca="1" si="157"/>
        <v>100</v>
      </c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</row>
    <row r="354" spans="1:26" ht="19.5">
      <c r="A354" s="1011"/>
      <c r="B354" s="1018"/>
      <c r="C354" s="1012"/>
      <c r="D354" s="1145" t="s">
        <v>158</v>
      </c>
      <c r="E354" s="1012"/>
      <c r="F354" s="1012"/>
      <c r="G354" s="1014"/>
      <c r="H354" s="1146"/>
      <c r="I354" s="1015"/>
      <c r="J354" s="1015"/>
      <c r="K354" s="1016"/>
      <c r="L354" s="1016"/>
      <c r="M354" s="1016"/>
      <c r="N354" s="1016"/>
      <c r="O354" s="1016"/>
      <c r="P354" s="1016"/>
    </row>
    <row r="355" spans="1:26" ht="19.5">
      <c r="A355" s="1147"/>
      <c r="B355" s="1148"/>
      <c r="C355" s="1149"/>
      <c r="D355" s="1150" t="s">
        <v>159</v>
      </c>
      <c r="E355" s="1151"/>
      <c r="F355" s="1151"/>
      <c r="G355" s="1152"/>
      <c r="H355" s="431" t="s">
        <v>35</v>
      </c>
      <c r="I355" s="1153">
        <f ca="1">IFERROR(__xludf.DUMMYFUNCTION("IMPORTRANGE(""https://docs.google.com/spreadsheets/d/1QqKyyYR6Q21VydFLVH3TRQUabQu_ym0Zz7PgGX0-kHA/edit?usp=sharing"",""แผน!EP24"")"),80)</f>
        <v>80</v>
      </c>
      <c r="J355" s="1153">
        <f ca="1">J362</f>
        <v>14</v>
      </c>
      <c r="K355" s="1154">
        <f ca="1">IF(I355&gt;0,J355*100/I355,0)</f>
        <v>17.5</v>
      </c>
      <c r="L355" s="1155"/>
      <c r="M355" s="1155"/>
      <c r="N355" s="1155"/>
      <c r="O355" s="1155"/>
      <c r="P355" s="1155"/>
    </row>
    <row r="356" spans="1:26" ht="19.5">
      <c r="A356" s="1147"/>
      <c r="B356" s="1148"/>
      <c r="C356" s="1149"/>
      <c r="D356" s="1156" t="s">
        <v>160</v>
      </c>
      <c r="E356" s="1151"/>
      <c r="F356" s="1151"/>
      <c r="G356" s="1152"/>
      <c r="H356" s="1157"/>
      <c r="I356" s="1158"/>
      <c r="J356" s="1158"/>
      <c r="K356" s="1155"/>
      <c r="L356" s="1155"/>
      <c r="M356" s="1155"/>
      <c r="N356" s="1155"/>
      <c r="O356" s="1155"/>
      <c r="P356" s="1155"/>
    </row>
    <row r="357" spans="1:26" ht="19.5">
      <c r="A357" s="949"/>
      <c r="B357" s="950"/>
      <c r="C357" s="946" t="s">
        <v>16</v>
      </c>
      <c r="D357" s="951" t="s">
        <v>38</v>
      </c>
      <c r="E357" s="952"/>
      <c r="F357" s="952"/>
      <c r="G357" s="953"/>
      <c r="H357" s="954"/>
      <c r="I357" s="830"/>
      <c r="J357" s="830"/>
      <c r="K357" s="831"/>
      <c r="L357" s="945"/>
      <c r="M357" s="945"/>
      <c r="N357" s="945"/>
      <c r="O357" s="945"/>
      <c r="P357" s="945"/>
    </row>
    <row r="358" spans="1:26" ht="18.75">
      <c r="A358" s="949"/>
      <c r="B358" s="957"/>
      <c r="C358" s="950"/>
      <c r="D358" s="957"/>
      <c r="E358" s="955" t="s">
        <v>161</v>
      </c>
      <c r="F358" s="957"/>
      <c r="G358" s="958"/>
      <c r="H358" s="777" t="s">
        <v>35</v>
      </c>
      <c r="I358" s="830">
        <v>0</v>
      </c>
      <c r="J358" s="830">
        <f ca="1">IFERROR(__xludf.DUMMYFUNCTION("IMPORTRANGE(""https://docs.google.com/spreadsheets/d/1XWAQStnk-4SwqDmLtmXYiTMKHgktTP8We1SCoS47DrQ/edit?usp=sharing"",""จัดที่ดิน!W24"")"),88)</f>
        <v>88</v>
      </c>
      <c r="K358" s="831">
        <f t="shared" ref="K358:K365" si="161">IF(I358&gt;0,J358*100/I358,0)</f>
        <v>0</v>
      </c>
      <c r="L358" s="945"/>
      <c r="M358" s="945"/>
      <c r="N358" s="945"/>
      <c r="O358" s="945"/>
      <c r="P358" s="945"/>
    </row>
    <row r="359" spans="1:26" ht="18.75">
      <c r="A359" s="949"/>
      <c r="B359" s="957"/>
      <c r="C359" s="950"/>
      <c r="D359" s="957"/>
      <c r="E359" s="957"/>
      <c r="F359" s="957"/>
      <c r="G359" s="958"/>
      <c r="H359" s="777" t="s">
        <v>46</v>
      </c>
      <c r="I359" s="830">
        <f ca="1">IFERROR(__xludf.DUMMYFUNCTION("IMPORTRANGE(""https://docs.google.com/spreadsheets/d/1QqKyyYR6Q21VydFLVH3TRQUabQu_ym0Zz7PgGX0-kHA/edit?usp=sharing"",""แผน!EO24"")"),800)</f>
        <v>800</v>
      </c>
      <c r="J359" s="830">
        <f ca="1">IFERROR(__xludf.DUMMYFUNCTION("IMPORTRANGE(""https://docs.google.com/spreadsheets/d/1XWAQStnk-4SwqDmLtmXYiTMKHgktTP8We1SCoS47DrQ/edit?usp=sharing"",""จัดที่ดิน!X24"")"),517.55)</f>
        <v>517.54999999999995</v>
      </c>
      <c r="K359" s="831">
        <f t="shared" ca="1" si="161"/>
        <v>64.693749999999994</v>
      </c>
      <c r="L359" s="945"/>
      <c r="M359" s="945"/>
      <c r="N359" s="945"/>
      <c r="O359" s="945"/>
      <c r="P359" s="945"/>
    </row>
    <row r="360" spans="1:26" ht="18.75">
      <c r="A360" s="949"/>
      <c r="B360" s="957"/>
      <c r="C360" s="950"/>
      <c r="D360" s="957"/>
      <c r="E360" s="955" t="s">
        <v>162</v>
      </c>
      <c r="F360" s="957"/>
      <c r="G360" s="958"/>
      <c r="H360" s="730" t="s">
        <v>35</v>
      </c>
      <c r="I360" s="830">
        <f ca="1">IFERROR(__xludf.DUMMYFUNCTION("IMPORTRANGE(""https://docs.google.com/spreadsheets/d/1QqKyyYR6Q21VydFLVH3TRQUabQu_ym0Zz7PgGX0-kHA/edit?usp=sharing"",""แผน!EP24"")"),80)</f>
        <v>80</v>
      </c>
      <c r="J360" s="830">
        <f ca="1">IFERROR(__xludf.DUMMYFUNCTION("IMPORTRANGE(""https://docs.google.com/spreadsheets/d/1XWAQStnk-4SwqDmLtmXYiTMKHgktTP8We1SCoS47DrQ/edit?usp=sharing"",""จัดที่ดิน!Y24"")"),67)</f>
        <v>67</v>
      </c>
      <c r="K360" s="831">
        <f t="shared" ca="1" si="161"/>
        <v>83.75</v>
      </c>
      <c r="L360" s="945"/>
      <c r="M360" s="945"/>
      <c r="N360" s="945"/>
      <c r="O360" s="945"/>
      <c r="P360" s="945"/>
    </row>
    <row r="361" spans="1:26" ht="18.75">
      <c r="A361" s="949"/>
      <c r="B361" s="957"/>
      <c r="C361" s="950"/>
      <c r="D361" s="957"/>
      <c r="E361" s="957"/>
      <c r="F361" s="957"/>
      <c r="G361" s="958"/>
      <c r="H361" s="730" t="s">
        <v>46</v>
      </c>
      <c r="I361" s="830">
        <v>0</v>
      </c>
      <c r="J361" s="830">
        <f ca="1">IFERROR(__xludf.DUMMYFUNCTION("IMPORTRANGE(""https://docs.google.com/spreadsheets/d/1XWAQStnk-4SwqDmLtmXYiTMKHgktTP8We1SCoS47DrQ/edit?usp=sharing"",""จัดที่ดิน!Z24"")"),383.12)</f>
        <v>383.12</v>
      </c>
      <c r="K361" s="831">
        <f t="shared" si="161"/>
        <v>0</v>
      </c>
      <c r="L361" s="945"/>
      <c r="M361" s="945"/>
      <c r="N361" s="945"/>
      <c r="O361" s="945"/>
      <c r="P361" s="945"/>
    </row>
    <row r="362" spans="1:26" ht="18.75">
      <c r="A362" s="949"/>
      <c r="B362" s="957"/>
      <c r="C362" s="950"/>
      <c r="D362" s="957"/>
      <c r="E362" s="955" t="s">
        <v>163</v>
      </c>
      <c r="F362" s="957"/>
      <c r="G362" s="958"/>
      <c r="H362" s="730" t="s">
        <v>35</v>
      </c>
      <c r="I362" s="830">
        <f ca="1">IFERROR(__xludf.DUMMYFUNCTION("IMPORTRANGE(""https://docs.google.com/spreadsheets/d/1QqKyyYR6Q21VydFLVH3TRQUabQu_ym0Zz7PgGX0-kHA/edit?usp=sharing"",""แผน!EP24"")"),80)</f>
        <v>80</v>
      </c>
      <c r="J362" s="830">
        <f ca="1">IFERROR(__xludf.DUMMYFUNCTION("IMPORTRANGE(""https://docs.google.com/spreadsheets/d/1XWAQStnk-4SwqDmLtmXYiTMKHgktTP8We1SCoS47DrQ/edit?usp=sharing"",""จัดที่ดิน!AA24"")"),14)</f>
        <v>14</v>
      </c>
      <c r="K362" s="831">
        <f t="shared" ca="1" si="161"/>
        <v>17.5</v>
      </c>
      <c r="L362" s="945"/>
      <c r="M362" s="945"/>
      <c r="N362" s="945"/>
      <c r="O362" s="945"/>
      <c r="P362" s="945"/>
    </row>
    <row r="363" spans="1:26" ht="18.75">
      <c r="A363" s="1159" t="s">
        <v>164</v>
      </c>
      <c r="B363" s="957"/>
      <c r="C363" s="950"/>
      <c r="D363" s="957"/>
      <c r="E363" s="956"/>
      <c r="F363" s="957"/>
      <c r="G363" s="958"/>
      <c r="H363" s="730" t="s">
        <v>46</v>
      </c>
      <c r="I363" s="830">
        <v>0</v>
      </c>
      <c r="J363" s="830">
        <f ca="1">IFERROR(__xludf.DUMMYFUNCTION("IMPORTRANGE(""https://docs.google.com/spreadsheets/d/1XWAQStnk-4SwqDmLtmXYiTMKHgktTP8We1SCoS47DrQ/edit?usp=sharing"",""จัดที่ดิน!AB24"")"),72.77)</f>
        <v>72.77</v>
      </c>
      <c r="K363" s="831">
        <f t="shared" si="161"/>
        <v>0</v>
      </c>
      <c r="L363" s="945"/>
      <c r="M363" s="945"/>
      <c r="N363" s="945"/>
      <c r="O363" s="945"/>
      <c r="P363" s="945"/>
    </row>
    <row r="364" spans="1:26" ht="19.5">
      <c r="A364" s="1160"/>
      <c r="B364" s="1161"/>
      <c r="C364" s="1162"/>
      <c r="D364" s="1163" t="s">
        <v>165</v>
      </c>
      <c r="E364" s="1164"/>
      <c r="F364" s="1164"/>
      <c r="G364" s="1165"/>
      <c r="H364" s="446" t="s">
        <v>35</v>
      </c>
      <c r="I364" s="1166">
        <f t="shared" ref="I364:J364" ca="1" si="162">I365+I374</f>
        <v>380</v>
      </c>
      <c r="J364" s="1166">
        <f t="shared" ca="1" si="162"/>
        <v>189</v>
      </c>
      <c r="K364" s="1167">
        <f t="shared" ca="1" si="161"/>
        <v>49.736842105263158</v>
      </c>
      <c r="L364" s="1168"/>
      <c r="M364" s="1168"/>
      <c r="N364" s="1168"/>
      <c r="O364" s="1168"/>
      <c r="P364" s="1168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69"/>
      <c r="B365" s="1170"/>
      <c r="C365" s="1171"/>
      <c r="D365" s="1171" t="s">
        <v>166</v>
      </c>
      <c r="E365" s="1172"/>
      <c r="F365" s="1172"/>
      <c r="G365" s="1173"/>
      <c r="H365" s="457" t="s">
        <v>35</v>
      </c>
      <c r="I365" s="1174">
        <f ca="1">IFERROR(__xludf.DUMMYFUNCTION("IMPORTRANGE(""https://docs.google.com/spreadsheets/d/1QqKyyYR6Q21VydFLVH3TRQUabQu_ym0Zz7PgGX0-kHA/edit?usp=sharing"",""แผน!EJ24"")"),50)</f>
        <v>50</v>
      </c>
      <c r="J365" s="1174">
        <f ca="1">J372</f>
        <v>3</v>
      </c>
      <c r="K365" s="1175">
        <f t="shared" ca="1" si="161"/>
        <v>6</v>
      </c>
      <c r="L365" s="1176"/>
      <c r="M365" s="1176"/>
      <c r="N365" s="1176"/>
      <c r="O365" s="1176"/>
      <c r="P365" s="1176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69"/>
      <c r="B366" s="1170"/>
      <c r="C366" s="1171"/>
      <c r="D366" s="1177" t="s">
        <v>167</v>
      </c>
      <c r="E366" s="1172"/>
      <c r="F366" s="1172"/>
      <c r="G366" s="1173"/>
      <c r="H366" s="1178"/>
      <c r="I366" s="1179"/>
      <c r="J366" s="1179"/>
      <c r="K366" s="1176"/>
      <c r="L366" s="1176"/>
      <c r="M366" s="1176"/>
      <c r="N366" s="1176"/>
      <c r="O366" s="1176"/>
      <c r="P366" s="1176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49"/>
      <c r="B367" s="950"/>
      <c r="C367" s="946" t="s">
        <v>16</v>
      </c>
      <c r="D367" s="951" t="s">
        <v>38</v>
      </c>
      <c r="E367" s="952"/>
      <c r="F367" s="952"/>
      <c r="G367" s="953"/>
      <c r="H367" s="954"/>
      <c r="I367" s="830"/>
      <c r="J367" s="830"/>
      <c r="K367" s="831"/>
      <c r="L367" s="945"/>
      <c r="M367" s="945"/>
      <c r="N367" s="945"/>
      <c r="O367" s="945"/>
      <c r="P367" s="945"/>
    </row>
    <row r="368" spans="1:26" ht="18.75">
      <c r="A368" s="949"/>
      <c r="B368" s="957"/>
      <c r="C368" s="950"/>
      <c r="D368" s="957"/>
      <c r="E368" s="955" t="s">
        <v>161</v>
      </c>
      <c r="F368" s="957"/>
      <c r="G368" s="958"/>
      <c r="H368" s="777" t="s">
        <v>35</v>
      </c>
      <c r="I368" s="830">
        <v>0</v>
      </c>
      <c r="J368" s="830">
        <f ca="1">IFERROR(__xludf.DUMMYFUNCTION("IMPORTRANGE(""https://docs.google.com/spreadsheets/d/1XWAQStnk-4SwqDmLtmXYiTMKHgktTP8We1SCoS47DrQ/edit?usp=sharing"",""จัดที่ดิน!E24"")"),49)</f>
        <v>49</v>
      </c>
      <c r="K368" s="831">
        <f t="shared" ref="K368:K374" si="163">IF(I368&gt;0,J368*100/I368,0)</f>
        <v>0</v>
      </c>
      <c r="L368" s="945"/>
      <c r="M368" s="945"/>
      <c r="N368" s="945"/>
      <c r="O368" s="945"/>
      <c r="P368" s="945"/>
    </row>
    <row r="369" spans="1:26" ht="18.75">
      <c r="A369" s="949"/>
      <c r="B369" s="957"/>
      <c r="C369" s="950"/>
      <c r="D369" s="957"/>
      <c r="E369" s="957"/>
      <c r="F369" s="957"/>
      <c r="G369" s="958"/>
      <c r="H369" s="777" t="s">
        <v>46</v>
      </c>
      <c r="I369" s="830">
        <f ca="1">IFERROR(__xludf.DUMMYFUNCTION("IMPORTRANGE(""https://docs.google.com/spreadsheets/d/1QqKyyYR6Q21VydFLVH3TRQUabQu_ym0Zz7PgGX0-kHA/edit?usp=sharing"",""แผน!EI24"")"),500)</f>
        <v>500</v>
      </c>
      <c r="J369" s="830">
        <f ca="1">IFERROR(__xludf.DUMMYFUNCTION("IMPORTRANGE(""https://docs.google.com/spreadsheets/d/1XWAQStnk-4SwqDmLtmXYiTMKHgktTP8We1SCoS47DrQ/edit?usp=sharing"",""จัดที่ดิน!F24"")"),340.25)</f>
        <v>340.25</v>
      </c>
      <c r="K369" s="831">
        <f t="shared" ca="1" si="163"/>
        <v>68.05</v>
      </c>
      <c r="L369" s="945"/>
      <c r="M369" s="945"/>
      <c r="N369" s="945"/>
      <c r="O369" s="945"/>
      <c r="P369" s="945"/>
    </row>
    <row r="370" spans="1:26" ht="18.75">
      <c r="A370" s="949"/>
      <c r="B370" s="957"/>
      <c r="C370" s="950"/>
      <c r="D370" s="957"/>
      <c r="E370" s="955" t="s">
        <v>162</v>
      </c>
      <c r="F370" s="957"/>
      <c r="G370" s="958"/>
      <c r="H370" s="730" t="s">
        <v>35</v>
      </c>
      <c r="I370" s="830">
        <f ca="1">IFERROR(__xludf.DUMMYFUNCTION("IMPORTRANGE(""https://docs.google.com/spreadsheets/d/1QqKyyYR6Q21VydFLVH3TRQUabQu_ym0Zz7PgGX0-kHA/edit?usp=sharing"",""แผน!EJ24"")"),50)</f>
        <v>50</v>
      </c>
      <c r="J370" s="830">
        <f ca="1">IFERROR(__xludf.DUMMYFUNCTION("IMPORTRANGE(""https://docs.google.com/spreadsheets/d/1XWAQStnk-4SwqDmLtmXYiTMKHgktTP8We1SCoS47DrQ/edit?usp=sharing"",""จัดที่ดิน!G24"")"),29)</f>
        <v>29</v>
      </c>
      <c r="K370" s="831">
        <f t="shared" ca="1" si="163"/>
        <v>58</v>
      </c>
      <c r="L370" s="945"/>
      <c r="M370" s="945"/>
      <c r="N370" s="945"/>
      <c r="O370" s="945"/>
      <c r="P370" s="945"/>
    </row>
    <row r="371" spans="1:26" ht="18.75">
      <c r="A371" s="949"/>
      <c r="B371" s="957"/>
      <c r="C371" s="950"/>
      <c r="D371" s="957"/>
      <c r="E371" s="957"/>
      <c r="F371" s="957"/>
      <c r="G371" s="958"/>
      <c r="H371" s="730" t="s">
        <v>46</v>
      </c>
      <c r="I371" s="830">
        <v>0</v>
      </c>
      <c r="J371" s="830">
        <f ca="1">IFERROR(__xludf.DUMMYFUNCTION("IMPORTRANGE(""https://docs.google.com/spreadsheets/d/1XWAQStnk-4SwqDmLtmXYiTMKHgktTP8We1SCoS47DrQ/edit?usp=sharing"",""จัดที่ดิน!H24"")"),212.37)</f>
        <v>212.37</v>
      </c>
      <c r="K371" s="831">
        <f t="shared" si="163"/>
        <v>0</v>
      </c>
      <c r="L371" s="945"/>
      <c r="M371" s="945"/>
      <c r="N371" s="945"/>
      <c r="O371" s="945"/>
      <c r="P371" s="945"/>
    </row>
    <row r="372" spans="1:26" ht="18.75">
      <c r="A372" s="949"/>
      <c r="B372" s="957"/>
      <c r="C372" s="950"/>
      <c r="D372" s="957"/>
      <c r="E372" s="955" t="s">
        <v>163</v>
      </c>
      <c r="F372" s="957"/>
      <c r="G372" s="958"/>
      <c r="H372" s="730" t="s">
        <v>35</v>
      </c>
      <c r="I372" s="830">
        <f ca="1">IFERROR(__xludf.DUMMYFUNCTION("IMPORTRANGE(""https://docs.google.com/spreadsheets/d/1QqKyyYR6Q21VydFLVH3TRQUabQu_ym0Zz7PgGX0-kHA/edit?usp=sharing"",""แผน!EJ24"")"),50)</f>
        <v>50</v>
      </c>
      <c r="J372" s="830">
        <f ca="1">IFERROR(__xludf.DUMMYFUNCTION("IMPORTRANGE(""https://docs.google.com/spreadsheets/d/1XWAQStnk-4SwqDmLtmXYiTMKHgktTP8We1SCoS47DrQ/edit?usp=sharing"",""จัดที่ดิน!I24"")"),3)</f>
        <v>3</v>
      </c>
      <c r="K372" s="831">
        <f t="shared" ca="1" si="163"/>
        <v>6</v>
      </c>
      <c r="L372" s="945"/>
      <c r="M372" s="945"/>
      <c r="N372" s="945"/>
      <c r="O372" s="945"/>
      <c r="P372" s="945"/>
    </row>
    <row r="373" spans="1:26" ht="18.75">
      <c r="A373" s="1159" t="s">
        <v>164</v>
      </c>
      <c r="B373" s="957"/>
      <c r="C373" s="950"/>
      <c r="D373" s="957"/>
      <c r="E373" s="956"/>
      <c r="F373" s="957"/>
      <c r="G373" s="958"/>
      <c r="H373" s="730" t="s">
        <v>46</v>
      </c>
      <c r="I373" s="830">
        <v>0</v>
      </c>
      <c r="J373" s="830">
        <f ca="1">IFERROR(__xludf.DUMMYFUNCTION("IMPORTRANGE(""https://docs.google.com/spreadsheets/d/1XWAQStnk-4SwqDmLtmXYiTMKHgktTP8We1SCoS47DrQ/edit?usp=sharing"",""จัดที่ดิน!J24"")"),35.11)</f>
        <v>35.11</v>
      </c>
      <c r="K373" s="831">
        <f t="shared" si="163"/>
        <v>0</v>
      </c>
      <c r="L373" s="945"/>
      <c r="M373" s="945"/>
      <c r="N373" s="945"/>
      <c r="O373" s="945"/>
      <c r="P373" s="945"/>
    </row>
    <row r="374" spans="1:26" ht="19.5">
      <c r="A374" s="1169"/>
      <c r="B374" s="1170"/>
      <c r="C374" s="1171"/>
      <c r="D374" s="1171" t="s">
        <v>168</v>
      </c>
      <c r="E374" s="1172"/>
      <c r="F374" s="1172"/>
      <c r="G374" s="1173"/>
      <c r="H374" s="457" t="s">
        <v>35</v>
      </c>
      <c r="I374" s="1180">
        <f ca="1">IFERROR(__xludf.DUMMYFUNCTION("IMPORTRANGE(""https://docs.google.com/spreadsheets/d/1QqKyyYR6Q21VydFLVH3TRQUabQu_ym0Zz7PgGX0-kHA/edit?usp=sharing"",""แผน!EU24"")"),330)</f>
        <v>330</v>
      </c>
      <c r="J374" s="1174">
        <f ca="1">J381</f>
        <v>186</v>
      </c>
      <c r="K374" s="1175">
        <f t="shared" ca="1" si="163"/>
        <v>56.363636363636367</v>
      </c>
      <c r="L374" s="1176"/>
      <c r="M374" s="1176"/>
      <c r="N374" s="1176"/>
      <c r="O374" s="1176"/>
      <c r="P374" s="1176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69"/>
      <c r="B375" s="1170"/>
      <c r="C375" s="1171"/>
      <c r="D375" s="1177" t="s">
        <v>169</v>
      </c>
      <c r="E375" s="1172"/>
      <c r="F375" s="1172"/>
      <c r="G375" s="1173"/>
      <c r="H375" s="1178"/>
      <c r="I375" s="1179"/>
      <c r="J375" s="1179"/>
      <c r="K375" s="1176"/>
      <c r="L375" s="1176"/>
      <c r="M375" s="1176"/>
      <c r="N375" s="1176"/>
      <c r="O375" s="1176"/>
      <c r="P375" s="1176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49"/>
      <c r="B376" s="950"/>
      <c r="C376" s="946" t="s">
        <v>16</v>
      </c>
      <c r="D376" s="951" t="s">
        <v>38</v>
      </c>
      <c r="E376" s="952"/>
      <c r="F376" s="952"/>
      <c r="G376" s="953"/>
      <c r="H376" s="954"/>
      <c r="I376" s="830"/>
      <c r="J376" s="830"/>
      <c r="K376" s="831"/>
      <c r="L376" s="945"/>
      <c r="M376" s="945"/>
      <c r="N376" s="945"/>
      <c r="O376" s="945"/>
      <c r="P376" s="945"/>
    </row>
    <row r="377" spans="1:26" ht="18.75">
      <c r="A377" s="949"/>
      <c r="B377" s="957"/>
      <c r="C377" s="950"/>
      <c r="D377" s="957"/>
      <c r="E377" s="955" t="s">
        <v>161</v>
      </c>
      <c r="F377" s="957"/>
      <c r="G377" s="958"/>
      <c r="H377" s="777" t="s">
        <v>35</v>
      </c>
      <c r="I377" s="830">
        <v>0</v>
      </c>
      <c r="J377" s="830">
        <f ca="1">IFERROR(__xludf.DUMMYFUNCTION("IMPORTRANGE(""https://docs.google.com/spreadsheets/d/1XWAQStnk-4SwqDmLtmXYiTMKHgktTP8We1SCoS47DrQ/edit?usp=sharing"",""จัดที่ดิน!AH24"")"),39)</f>
        <v>39</v>
      </c>
      <c r="K377" s="831">
        <f t="shared" ref="K377:K382" si="164">IF(I377&gt;0,J377*100/I377,0)</f>
        <v>0</v>
      </c>
      <c r="L377" s="945"/>
      <c r="M377" s="945"/>
      <c r="N377" s="945"/>
      <c r="O377" s="945"/>
      <c r="P377" s="945"/>
    </row>
    <row r="378" spans="1:26" ht="18.75">
      <c r="A378" s="949"/>
      <c r="B378" s="957"/>
      <c r="C378" s="950"/>
      <c r="D378" s="957"/>
      <c r="E378" s="957"/>
      <c r="F378" s="957"/>
      <c r="G378" s="958"/>
      <c r="H378" s="777" t="s">
        <v>46</v>
      </c>
      <c r="I378" s="830">
        <f ca="1">IFERROR(__xludf.DUMMYFUNCTION("IMPORTRANGE(""https://docs.google.com/spreadsheets/d/1QqKyyYR6Q21VydFLVH3TRQUabQu_ym0Zz7PgGX0-kHA/edit?usp=sharing"",""แผน!ET24"")"),300)</f>
        <v>300</v>
      </c>
      <c r="J378" s="830">
        <f ca="1">IFERROR(__xludf.DUMMYFUNCTION("IMPORTRANGE(""https://docs.google.com/spreadsheets/d/1XWAQStnk-4SwqDmLtmXYiTMKHgktTP8We1SCoS47DrQ/edit?usp=sharing"",""จัดที่ดิน!AI24"")"),177.3)</f>
        <v>177.3</v>
      </c>
      <c r="K378" s="831">
        <f t="shared" ca="1" si="164"/>
        <v>59.1</v>
      </c>
      <c r="L378" s="945"/>
      <c r="M378" s="945"/>
      <c r="N378" s="945"/>
      <c r="O378" s="945"/>
      <c r="P378" s="945"/>
    </row>
    <row r="379" spans="1:26" ht="18.75">
      <c r="A379" s="949"/>
      <c r="B379" s="957"/>
      <c r="C379" s="950"/>
      <c r="D379" s="957"/>
      <c r="E379" s="955" t="s">
        <v>162</v>
      </c>
      <c r="F379" s="957"/>
      <c r="G379" s="958"/>
      <c r="H379" s="730" t="s">
        <v>35</v>
      </c>
      <c r="I379" s="830">
        <f ca="1">IFERROR(__xludf.DUMMYFUNCTION("IMPORTRANGE(""https://docs.google.com/spreadsheets/d/1QqKyyYR6Q21VydFLVH3TRQUabQu_ym0Zz7PgGX0-kHA/edit?usp=sharing"",""แผน!EU24"")"),330)</f>
        <v>330</v>
      </c>
      <c r="J379" s="830">
        <f ca="1">IFERROR(__xludf.DUMMYFUNCTION("IMPORTRANGE(""https://docs.google.com/spreadsheets/d/1XWAQStnk-4SwqDmLtmXYiTMKHgktTP8We1SCoS47DrQ/edit?usp=sharing"",""จัดที่ดิน!AJ24"")"),213)</f>
        <v>213</v>
      </c>
      <c r="K379" s="831">
        <f t="shared" ca="1" si="164"/>
        <v>64.545454545454547</v>
      </c>
      <c r="L379" s="945"/>
      <c r="M379" s="945"/>
      <c r="N379" s="945"/>
      <c r="O379" s="945"/>
      <c r="P379" s="945"/>
    </row>
    <row r="380" spans="1:26" ht="18.75">
      <c r="A380" s="949"/>
      <c r="B380" s="957"/>
      <c r="C380" s="950"/>
      <c r="D380" s="957"/>
      <c r="E380" s="957"/>
      <c r="F380" s="957"/>
      <c r="G380" s="958"/>
      <c r="H380" s="730" t="s">
        <v>46</v>
      </c>
      <c r="I380" s="830">
        <v>0</v>
      </c>
      <c r="J380" s="830">
        <f ca="1">IFERROR(__xludf.DUMMYFUNCTION("IMPORTRANGE(""https://docs.google.com/spreadsheets/d/1XWAQStnk-4SwqDmLtmXYiTMKHgktTP8We1SCoS47DrQ/edit?usp=sharing"",""จัดที่ดิน!AK24"")"),1843.5)</f>
        <v>1843.5</v>
      </c>
      <c r="K380" s="831">
        <f t="shared" si="164"/>
        <v>0</v>
      </c>
      <c r="L380" s="945"/>
      <c r="M380" s="945"/>
      <c r="N380" s="945"/>
      <c r="O380" s="945"/>
      <c r="P380" s="945"/>
    </row>
    <row r="381" spans="1:26" ht="18.75">
      <c r="A381" s="949"/>
      <c r="B381" s="957"/>
      <c r="C381" s="950"/>
      <c r="D381" s="957"/>
      <c r="E381" s="955" t="s">
        <v>163</v>
      </c>
      <c r="F381" s="957"/>
      <c r="G381" s="958"/>
      <c r="H381" s="730" t="s">
        <v>35</v>
      </c>
      <c r="I381" s="830">
        <f ca="1">IFERROR(__xludf.DUMMYFUNCTION("IMPORTRANGE(""https://docs.google.com/spreadsheets/d/1QqKyyYR6Q21VydFLVH3TRQUabQu_ym0Zz7PgGX0-kHA/edit?usp=sharing"",""แผน!EU24"")"),330)</f>
        <v>330</v>
      </c>
      <c r="J381" s="830">
        <f ca="1">IFERROR(__xludf.DUMMYFUNCTION("IMPORTRANGE(""https://docs.google.com/spreadsheets/d/1XWAQStnk-4SwqDmLtmXYiTMKHgktTP8We1SCoS47DrQ/edit?usp=sharing"",""จัดที่ดิน!AL24"")"),186)</f>
        <v>186</v>
      </c>
      <c r="K381" s="831">
        <f t="shared" ca="1" si="164"/>
        <v>56.363636363636367</v>
      </c>
      <c r="L381" s="945"/>
      <c r="M381" s="945"/>
      <c r="N381" s="945"/>
      <c r="O381" s="945"/>
      <c r="P381" s="945"/>
    </row>
    <row r="382" spans="1:26" ht="18.75">
      <c r="A382" s="1159" t="s">
        <v>164</v>
      </c>
      <c r="B382" s="957"/>
      <c r="C382" s="950"/>
      <c r="D382" s="957"/>
      <c r="E382" s="956"/>
      <c r="F382" s="957"/>
      <c r="G382" s="958"/>
      <c r="H382" s="730" t="s">
        <v>46</v>
      </c>
      <c r="I382" s="830">
        <v>0</v>
      </c>
      <c r="J382" s="830">
        <f ca="1">IFERROR(__xludf.DUMMYFUNCTION("IMPORTRANGE(""https://docs.google.com/spreadsheets/d/1XWAQStnk-4SwqDmLtmXYiTMKHgktTP8We1SCoS47DrQ/edit?usp=sharing"",""จัดที่ดิน!AM24"")"),1710.41)</f>
        <v>1710.41</v>
      </c>
      <c r="K382" s="831">
        <f t="shared" si="164"/>
        <v>0</v>
      </c>
      <c r="L382" s="945"/>
      <c r="M382" s="945"/>
      <c r="N382" s="945"/>
      <c r="O382" s="945"/>
      <c r="P382" s="945"/>
    </row>
    <row r="383" spans="1:26" ht="19.5">
      <c r="A383" s="1011"/>
      <c r="B383" s="1018"/>
      <c r="C383" s="1012"/>
      <c r="D383" s="1145" t="s">
        <v>170</v>
      </c>
      <c r="E383" s="1012"/>
      <c r="F383" s="1012"/>
      <c r="G383" s="1014"/>
      <c r="H383" s="1146"/>
      <c r="I383" s="1015"/>
      <c r="J383" s="1015"/>
      <c r="K383" s="1016"/>
      <c r="L383" s="1016"/>
      <c r="M383" s="1016"/>
      <c r="N383" s="1016"/>
      <c r="O383" s="1016"/>
      <c r="P383" s="1016"/>
    </row>
    <row r="384" spans="1:26" ht="19.5">
      <c r="A384" s="949"/>
      <c r="B384" s="950"/>
      <c r="C384" s="827" t="s">
        <v>16</v>
      </c>
      <c r="D384" s="951" t="s">
        <v>38</v>
      </c>
      <c r="E384" s="952"/>
      <c r="F384" s="952"/>
      <c r="G384" s="953"/>
      <c r="H384" s="954"/>
      <c r="I384" s="830"/>
      <c r="J384" s="830"/>
      <c r="K384" s="831"/>
      <c r="L384" s="945"/>
      <c r="M384" s="945"/>
      <c r="N384" s="945"/>
      <c r="O384" s="945"/>
      <c r="P384" s="945"/>
    </row>
    <row r="385" spans="1:26" ht="18.75">
      <c r="A385" s="1080"/>
      <c r="B385" s="1083"/>
      <c r="C385" s="1081"/>
      <c r="D385" s="1083"/>
      <c r="E385" s="1181" t="s">
        <v>163</v>
      </c>
      <c r="F385" s="1083"/>
      <c r="G385" s="1084"/>
      <c r="H385" s="468" t="s">
        <v>35</v>
      </c>
      <c r="I385" s="1085">
        <f ca="1">IFERROR(__xludf.DUMMYFUNCTION("IMPORTRANGE(""https://docs.google.com/spreadsheets/d/1QqKyyYR6Q21VydFLVH3TRQUabQu_ym0Zz7PgGX0-kHA/edit?usp=sharing"",""แผน!EW24"")"),20)</f>
        <v>20</v>
      </c>
      <c r="J385" s="1085">
        <f ca="1">IFERROR(__xludf.DUMMYFUNCTION("IMPORTRANGE(""https://docs.google.com/spreadsheets/d/1XWAQStnk-4SwqDmLtmXYiTMKHgktTP8We1SCoS47DrQ/edit?usp=sharing"",""จัดที่ดิน!AP24"")"),0)</f>
        <v>0</v>
      </c>
      <c r="K385" s="1182">
        <f ca="1">IF(I385&gt;0,J385*100/I385,0)</f>
        <v>0</v>
      </c>
      <c r="L385" s="1086"/>
      <c r="M385" s="1086"/>
      <c r="N385" s="1086"/>
      <c r="O385" s="1086"/>
      <c r="P385" s="1086"/>
    </row>
    <row r="386" spans="1:26" ht="19.5" hidden="1">
      <c r="A386" s="1183" t="s">
        <v>171</v>
      </c>
      <c r="B386" s="1184"/>
      <c r="C386" s="1184"/>
      <c r="D386" s="1184"/>
      <c r="E386" s="1185"/>
      <c r="F386" s="1185"/>
      <c r="G386" s="1186"/>
      <c r="H386" s="1187"/>
      <c r="I386" s="1188"/>
      <c r="J386" s="1188"/>
      <c r="K386" s="1189"/>
      <c r="L386" s="1189"/>
      <c r="M386" s="1189"/>
      <c r="N386" s="1189"/>
      <c r="O386" s="1189"/>
      <c r="P386" s="1189"/>
    </row>
    <row r="387" spans="1:26" ht="19.5" hidden="1">
      <c r="A387" s="1190" t="s">
        <v>172</v>
      </c>
      <c r="B387" s="1191"/>
      <c r="C387" s="1191"/>
      <c r="D387" s="1192"/>
      <c r="E387" s="1191"/>
      <c r="F387" s="1191"/>
      <c r="G387" s="1191"/>
      <c r="H387" s="1193"/>
      <c r="I387" s="1194"/>
      <c r="J387" s="1194"/>
      <c r="K387" s="1195"/>
      <c r="L387" s="1195"/>
      <c r="M387" s="1195"/>
      <c r="N387" s="1195"/>
      <c r="O387" s="1195"/>
      <c r="P387" s="1195"/>
    </row>
    <row r="388" spans="1:26" ht="19.5" hidden="1">
      <c r="A388" s="1196"/>
      <c r="B388" s="1197" t="s">
        <v>173</v>
      </c>
      <c r="C388" s="1198"/>
      <c r="D388" s="1199"/>
      <c r="E388" s="1199"/>
      <c r="F388" s="1199"/>
      <c r="G388" s="1200"/>
      <c r="H388" s="489" t="s">
        <v>66</v>
      </c>
      <c r="I388" s="1201">
        <f t="shared" ref="I388:J388" si="165">I400</f>
        <v>0</v>
      </c>
      <c r="J388" s="1201">
        <f t="shared" si="165"/>
        <v>0</v>
      </c>
      <c r="K388" s="1202">
        <f>IF(I388&gt;0,J388*100/I388,0)</f>
        <v>0</v>
      </c>
      <c r="L388" s="1203"/>
      <c r="M388" s="1203"/>
      <c r="N388" s="1203"/>
      <c r="O388" s="1203"/>
      <c r="P388" s="1203"/>
    </row>
    <row r="389" spans="1:26" ht="19.5" hidden="1">
      <c r="A389" s="932"/>
      <c r="B389" s="933"/>
      <c r="C389" s="934" t="s">
        <v>16</v>
      </c>
      <c r="D389" s="935" t="s">
        <v>17</v>
      </c>
      <c r="E389" s="933"/>
      <c r="F389" s="933"/>
      <c r="G389" s="936"/>
      <c r="H389" s="152" t="s">
        <v>12</v>
      </c>
      <c r="I389" s="937"/>
      <c r="J389" s="937"/>
      <c r="K389" s="938"/>
      <c r="L389" s="939">
        <f t="shared" ref="L389:N389" ca="1" si="166">L390+L391</f>
        <v>0</v>
      </c>
      <c r="M389" s="939">
        <f t="shared" ca="1" si="166"/>
        <v>0</v>
      </c>
      <c r="N389" s="939">
        <f t="shared" ca="1" si="166"/>
        <v>0</v>
      </c>
      <c r="O389" s="939">
        <f t="shared" ref="O389:O397" ca="1" si="167">IF(L389&gt;0,N389*100/L389,0)</f>
        <v>0</v>
      </c>
      <c r="P389" s="939">
        <f t="shared" ref="P389:P397" ca="1" si="168">IF(M389&gt;0,N389*100/M389,0)</f>
        <v>0</v>
      </c>
      <c r="Q389" s="818"/>
      <c r="R389" s="818"/>
      <c r="S389" s="818"/>
      <c r="T389" s="818"/>
      <c r="U389" s="818"/>
      <c r="V389" s="818"/>
      <c r="W389" s="818"/>
      <c r="X389" s="818"/>
      <c r="Y389" s="818"/>
      <c r="Z389" s="818"/>
    </row>
    <row r="390" spans="1:26" ht="18.75" hidden="1">
      <c r="A390" s="940"/>
      <c r="B390" s="833"/>
      <c r="C390" s="833"/>
      <c r="D390" s="833"/>
      <c r="E390" s="834" t="s">
        <v>18</v>
      </c>
      <c r="F390" s="833"/>
      <c r="G390" s="941"/>
      <c r="H390" s="158" t="s">
        <v>12</v>
      </c>
      <c r="I390" s="836"/>
      <c r="J390" s="836"/>
      <c r="K390" s="837"/>
      <c r="L390" s="837">
        <f t="shared" ref="L390:N391" si="169">L393+L396</f>
        <v>0</v>
      </c>
      <c r="M390" s="837">
        <f t="shared" si="169"/>
        <v>0</v>
      </c>
      <c r="N390" s="837">
        <f t="shared" si="169"/>
        <v>0</v>
      </c>
      <c r="O390" s="837">
        <f t="shared" si="167"/>
        <v>0</v>
      </c>
      <c r="P390" s="837">
        <f t="shared" si="168"/>
        <v>0</v>
      </c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</row>
    <row r="391" spans="1:26" ht="18.75" hidden="1">
      <c r="A391" s="940"/>
      <c r="B391" s="833"/>
      <c r="C391" s="833"/>
      <c r="D391" s="833"/>
      <c r="E391" s="834" t="s">
        <v>19</v>
      </c>
      <c r="F391" s="833"/>
      <c r="G391" s="941"/>
      <c r="H391" s="158" t="s">
        <v>12</v>
      </c>
      <c r="I391" s="836"/>
      <c r="J391" s="836"/>
      <c r="K391" s="837"/>
      <c r="L391" s="837">
        <f t="shared" ca="1" si="169"/>
        <v>0</v>
      </c>
      <c r="M391" s="837">
        <f t="shared" ca="1" si="169"/>
        <v>0</v>
      </c>
      <c r="N391" s="837">
        <f t="shared" ca="1" si="169"/>
        <v>0</v>
      </c>
      <c r="O391" s="837">
        <f t="shared" ca="1" si="167"/>
        <v>0</v>
      </c>
      <c r="P391" s="837">
        <f t="shared" ca="1" si="168"/>
        <v>0</v>
      </c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</row>
    <row r="392" spans="1:26" ht="18.75" hidden="1">
      <c r="A392" s="942"/>
      <c r="B392" s="827"/>
      <c r="C392" s="943"/>
      <c r="D392" s="828" t="s">
        <v>20</v>
      </c>
      <c r="E392" s="827"/>
      <c r="F392" s="827"/>
      <c r="G392" s="829"/>
      <c r="H392" s="778" t="s">
        <v>12</v>
      </c>
      <c r="I392" s="944"/>
      <c r="J392" s="944"/>
      <c r="K392" s="945"/>
      <c r="L392" s="831">
        <f t="shared" ref="L392:N392" ca="1" si="170">L393+L394</f>
        <v>0</v>
      </c>
      <c r="M392" s="831">
        <f t="shared" ca="1" si="170"/>
        <v>0</v>
      </c>
      <c r="N392" s="831">
        <f t="shared" ca="1" si="170"/>
        <v>0</v>
      </c>
      <c r="O392" s="831">
        <f t="shared" ca="1" si="167"/>
        <v>0</v>
      </c>
      <c r="P392" s="831">
        <f t="shared" ca="1" si="168"/>
        <v>0</v>
      </c>
      <c r="Q392" s="818"/>
      <c r="R392" s="818"/>
      <c r="S392" s="818"/>
      <c r="T392" s="818"/>
      <c r="U392" s="818"/>
      <c r="V392" s="818"/>
      <c r="W392" s="818"/>
      <c r="X392" s="818"/>
      <c r="Y392" s="818"/>
      <c r="Z392" s="818"/>
    </row>
    <row r="393" spans="1:26" ht="19.5" hidden="1">
      <c r="A393" s="940"/>
      <c r="B393" s="833"/>
      <c r="C393" s="946"/>
      <c r="D393" s="833"/>
      <c r="E393" s="834" t="s">
        <v>36</v>
      </c>
      <c r="F393" s="833"/>
      <c r="G393" s="941"/>
      <c r="H393" s="165" t="s">
        <v>12</v>
      </c>
      <c r="I393" s="947"/>
      <c r="J393" s="947"/>
      <c r="K393" s="948"/>
      <c r="L393" s="837">
        <v>0</v>
      </c>
      <c r="M393" s="837">
        <v>0</v>
      </c>
      <c r="N393" s="837">
        <v>0</v>
      </c>
      <c r="O393" s="837">
        <f t="shared" si="167"/>
        <v>0</v>
      </c>
      <c r="P393" s="837">
        <f t="shared" si="168"/>
        <v>0</v>
      </c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</row>
    <row r="394" spans="1:26" ht="19.5" hidden="1">
      <c r="A394" s="940"/>
      <c r="B394" s="833"/>
      <c r="C394" s="946"/>
      <c r="D394" s="833"/>
      <c r="E394" s="834" t="s">
        <v>37</v>
      </c>
      <c r="F394" s="833"/>
      <c r="G394" s="941"/>
      <c r="H394" s="165" t="s">
        <v>12</v>
      </c>
      <c r="I394" s="947"/>
      <c r="J394" s="947"/>
      <c r="K394" s="948"/>
      <c r="L394" s="837">
        <f ca="1">IFERROR(__xludf.DUMMYFUNCTION("IMPORTRANGE(""https://docs.google.com/spreadsheets/d/1MeEWN-I1oV_STSDYn1IFDPWt_1FKiwhDph83XaGc0o0/edit?usp=sharing"",""งบพรบ!FG24"")"),0)</f>
        <v>0</v>
      </c>
      <c r="M394" s="837">
        <f ca="1">IFERROR(__xludf.DUMMYFUNCTION("IMPORTRANGE(""https://docs.google.com/spreadsheets/d/1MeEWN-I1oV_STSDYn1IFDPWt_1FKiwhDph83XaGc0o0/edit?usp=sharing"",""งบพรบ!FL24"")"),0)</f>
        <v>0</v>
      </c>
      <c r="N394" s="837">
        <f ca="1">IFERROR(__xludf.DUMMYFUNCTION("IMPORTRANGE(""https://docs.google.com/spreadsheets/d/1MeEWN-I1oV_STSDYn1IFDPWt_1FKiwhDph83XaGc0o0/edit?usp=sharing"",""งบพรบ!FN24"")"),0)</f>
        <v>0</v>
      </c>
      <c r="O394" s="837">
        <f t="shared" ca="1" si="167"/>
        <v>0</v>
      </c>
      <c r="P394" s="837">
        <f t="shared" ca="1" si="168"/>
        <v>0</v>
      </c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</row>
    <row r="395" spans="1:26" ht="18.75" hidden="1">
      <c r="A395" s="942"/>
      <c r="B395" s="827"/>
      <c r="C395" s="943"/>
      <c r="D395" s="828" t="s">
        <v>21</v>
      </c>
      <c r="E395" s="827"/>
      <c r="F395" s="827"/>
      <c r="G395" s="829"/>
      <c r="H395" s="168" t="s">
        <v>12</v>
      </c>
      <c r="I395" s="944"/>
      <c r="J395" s="944"/>
      <c r="K395" s="945"/>
      <c r="L395" s="831">
        <f t="shared" ref="L395:N395" ca="1" si="171">L396+L397</f>
        <v>0</v>
      </c>
      <c r="M395" s="831">
        <f t="shared" ca="1" si="171"/>
        <v>0</v>
      </c>
      <c r="N395" s="831">
        <f t="shared" ca="1" si="171"/>
        <v>0</v>
      </c>
      <c r="O395" s="831">
        <f t="shared" ca="1" si="167"/>
        <v>0</v>
      </c>
      <c r="P395" s="831">
        <f t="shared" ca="1" si="168"/>
        <v>0</v>
      </c>
      <c r="Q395" s="818"/>
      <c r="R395" s="818"/>
      <c r="S395" s="818"/>
      <c r="T395" s="818"/>
      <c r="U395" s="818"/>
      <c r="V395" s="818"/>
      <c r="W395" s="818"/>
      <c r="X395" s="818"/>
      <c r="Y395" s="818"/>
      <c r="Z395" s="818"/>
    </row>
    <row r="396" spans="1:26" ht="19.5" hidden="1">
      <c r="A396" s="940"/>
      <c r="B396" s="833"/>
      <c r="C396" s="946"/>
      <c r="D396" s="833"/>
      <c r="E396" s="834" t="s">
        <v>18</v>
      </c>
      <c r="F396" s="833"/>
      <c r="G396" s="941"/>
      <c r="H396" s="165" t="s">
        <v>12</v>
      </c>
      <c r="I396" s="947"/>
      <c r="J396" s="947"/>
      <c r="K396" s="948"/>
      <c r="L396" s="837">
        <v>0</v>
      </c>
      <c r="M396" s="837">
        <v>0</v>
      </c>
      <c r="N396" s="837">
        <v>0</v>
      </c>
      <c r="O396" s="837">
        <f t="shared" si="167"/>
        <v>0</v>
      </c>
      <c r="P396" s="837">
        <f t="shared" si="168"/>
        <v>0</v>
      </c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</row>
    <row r="397" spans="1:26" ht="19.5" hidden="1">
      <c r="A397" s="940"/>
      <c r="B397" s="833"/>
      <c r="C397" s="946"/>
      <c r="D397" s="833"/>
      <c r="E397" s="834" t="s">
        <v>19</v>
      </c>
      <c r="F397" s="833"/>
      <c r="G397" s="941"/>
      <c r="H397" s="169" t="s">
        <v>12</v>
      </c>
      <c r="I397" s="947"/>
      <c r="J397" s="947"/>
      <c r="K397" s="948"/>
      <c r="L397" s="837">
        <f ca="1">IFERROR(__xludf.DUMMYFUNCTION("IMPORTRANGE(""https://docs.google.com/spreadsheets/d/1MeEWN-I1oV_STSDYn1IFDPWt_1FKiwhDph83XaGc0o0/edit?usp=sharing"",""งบพรบ!FJ24"")"),0)</f>
        <v>0</v>
      </c>
      <c r="M397" s="837">
        <f ca="1">IFERROR(__xludf.DUMMYFUNCTION("IMPORTRANGE(""https://docs.google.com/spreadsheets/d/1MeEWN-I1oV_STSDYn1IFDPWt_1FKiwhDph83XaGc0o0/edit?usp=sharing"",""งบพรบ!FM24"")"),0)</f>
        <v>0</v>
      </c>
      <c r="N397" s="837">
        <f ca="1">IFERROR(__xludf.DUMMYFUNCTION("IMPORTRANGE(""https://docs.google.com/spreadsheets/d/1MeEWN-I1oV_STSDYn1IFDPWt_1FKiwhDph83XaGc0o0/edit?usp=sharing"",""งบพรบ!FO24"")"),0)</f>
        <v>0</v>
      </c>
      <c r="O397" s="837">
        <f t="shared" ca="1" si="167"/>
        <v>0</v>
      </c>
      <c r="P397" s="837">
        <f t="shared" ca="1" si="168"/>
        <v>0</v>
      </c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</row>
    <row r="398" spans="1:26" ht="19.5" hidden="1">
      <c r="A398" s="949"/>
      <c r="B398" s="950"/>
      <c r="C398" s="946" t="s">
        <v>16</v>
      </c>
      <c r="D398" s="951" t="s">
        <v>38</v>
      </c>
      <c r="E398" s="952"/>
      <c r="F398" s="952"/>
      <c r="G398" s="953"/>
      <c r="H398" s="954"/>
      <c r="I398" s="944"/>
      <c r="J398" s="830"/>
      <c r="K398" s="831"/>
      <c r="L398" s="831"/>
      <c r="M398" s="831"/>
      <c r="N398" s="831"/>
      <c r="O398" s="945"/>
      <c r="P398" s="945"/>
    </row>
    <row r="399" spans="1:26" ht="18.75" hidden="1">
      <c r="A399" s="1204"/>
      <c r="B399" s="933"/>
      <c r="C399" s="1205"/>
      <c r="D399" s="968" t="s">
        <v>174</v>
      </c>
      <c r="E399" s="1113"/>
      <c r="F399" s="933"/>
      <c r="G399" s="936"/>
      <c r="H399" s="496" t="s">
        <v>9</v>
      </c>
      <c r="I399" s="830">
        <v>0</v>
      </c>
      <c r="J399" s="959">
        <v>0</v>
      </c>
      <c r="K399" s="831">
        <f t="shared" ref="K399:K401" si="172">IF(I399&gt;0,J399*100/I399,0)</f>
        <v>0</v>
      </c>
      <c r="L399" s="1206"/>
      <c r="M399" s="1206"/>
      <c r="N399" s="1206"/>
      <c r="O399" s="1206"/>
      <c r="P399" s="1206"/>
      <c r="Q399" s="818"/>
      <c r="R399" s="818"/>
      <c r="S399" s="818"/>
      <c r="T399" s="818"/>
      <c r="U399" s="818"/>
      <c r="V399" s="818"/>
      <c r="W399" s="818"/>
      <c r="X399" s="818"/>
      <c r="Y399" s="818"/>
      <c r="Z399" s="818"/>
    </row>
    <row r="400" spans="1:26" ht="18.75" hidden="1">
      <c r="A400" s="1032"/>
      <c r="B400" s="827"/>
      <c r="C400" s="1030"/>
      <c r="D400" s="956" t="s">
        <v>175</v>
      </c>
      <c r="E400" s="950"/>
      <c r="F400" s="827"/>
      <c r="G400" s="829"/>
      <c r="H400" s="277" t="s">
        <v>66</v>
      </c>
      <c r="I400" s="830">
        <v>0</v>
      </c>
      <c r="J400" s="959">
        <v>0</v>
      </c>
      <c r="K400" s="831">
        <f t="shared" si="172"/>
        <v>0</v>
      </c>
      <c r="L400" s="831"/>
      <c r="M400" s="831"/>
      <c r="N400" s="831"/>
      <c r="O400" s="831"/>
      <c r="P400" s="831"/>
    </row>
    <row r="401" spans="1:26" ht="19.5" hidden="1">
      <c r="A401" s="1196"/>
      <c r="B401" s="1197" t="s">
        <v>176</v>
      </c>
      <c r="C401" s="1198"/>
      <c r="D401" s="1199"/>
      <c r="E401" s="1199"/>
      <c r="F401" s="1199"/>
      <c r="G401" s="1200"/>
      <c r="H401" s="489" t="s">
        <v>66</v>
      </c>
      <c r="I401" s="1201">
        <f t="shared" ref="I401:J401" si="173">I412</f>
        <v>0</v>
      </c>
      <c r="J401" s="1201">
        <f t="shared" si="173"/>
        <v>0</v>
      </c>
      <c r="K401" s="1202">
        <f t="shared" si="172"/>
        <v>0</v>
      </c>
      <c r="L401" s="1203"/>
      <c r="M401" s="1203"/>
      <c r="N401" s="1203"/>
      <c r="O401" s="1203"/>
      <c r="P401" s="1203"/>
    </row>
    <row r="402" spans="1:26" ht="19.5" hidden="1">
      <c r="A402" s="932"/>
      <c r="B402" s="933"/>
      <c r="C402" s="934" t="s">
        <v>16</v>
      </c>
      <c r="D402" s="935" t="s">
        <v>17</v>
      </c>
      <c r="E402" s="933"/>
      <c r="F402" s="933"/>
      <c r="G402" s="936"/>
      <c r="H402" s="152" t="s">
        <v>12</v>
      </c>
      <c r="I402" s="937"/>
      <c r="J402" s="937"/>
      <c r="K402" s="938"/>
      <c r="L402" s="939">
        <f t="shared" ref="L402:N402" ca="1" si="174">L403+L404</f>
        <v>0</v>
      </c>
      <c r="M402" s="939">
        <f t="shared" ca="1" si="174"/>
        <v>0</v>
      </c>
      <c r="N402" s="939">
        <f t="shared" ca="1" si="174"/>
        <v>0</v>
      </c>
      <c r="O402" s="939">
        <f t="shared" ref="O402:O410" ca="1" si="175">IF(L402&gt;0,N402*100/L402,0)</f>
        <v>0</v>
      </c>
      <c r="P402" s="939">
        <f t="shared" ref="P402:P410" ca="1" si="176">IF(M402&gt;0,N402*100/M402,0)</f>
        <v>0</v>
      </c>
      <c r="Q402" s="818"/>
      <c r="R402" s="818"/>
      <c r="S402" s="818"/>
      <c r="T402" s="818"/>
      <c r="U402" s="818"/>
      <c r="V402" s="818"/>
      <c r="W402" s="818"/>
      <c r="X402" s="818"/>
      <c r="Y402" s="818"/>
      <c r="Z402" s="818"/>
    </row>
    <row r="403" spans="1:26" ht="18.75" hidden="1">
      <c r="A403" s="940"/>
      <c r="B403" s="833"/>
      <c r="C403" s="833"/>
      <c r="D403" s="833"/>
      <c r="E403" s="834" t="s">
        <v>18</v>
      </c>
      <c r="F403" s="833"/>
      <c r="G403" s="941"/>
      <c r="H403" s="158" t="s">
        <v>12</v>
      </c>
      <c r="I403" s="836"/>
      <c r="J403" s="836"/>
      <c r="K403" s="837"/>
      <c r="L403" s="837">
        <f t="shared" ref="L403:N404" si="177">L406+L409</f>
        <v>0</v>
      </c>
      <c r="M403" s="837">
        <f t="shared" si="177"/>
        <v>0</v>
      </c>
      <c r="N403" s="837">
        <f t="shared" si="177"/>
        <v>0</v>
      </c>
      <c r="O403" s="837">
        <f t="shared" si="175"/>
        <v>0</v>
      </c>
      <c r="P403" s="837">
        <f t="shared" si="176"/>
        <v>0</v>
      </c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</row>
    <row r="404" spans="1:26" ht="18.75" hidden="1">
      <c r="A404" s="940"/>
      <c r="B404" s="833"/>
      <c r="C404" s="833"/>
      <c r="D404" s="833"/>
      <c r="E404" s="834" t="s">
        <v>19</v>
      </c>
      <c r="F404" s="833"/>
      <c r="G404" s="941"/>
      <c r="H404" s="158" t="s">
        <v>12</v>
      </c>
      <c r="I404" s="836"/>
      <c r="J404" s="836"/>
      <c r="K404" s="837"/>
      <c r="L404" s="837">
        <f t="shared" ca="1" si="177"/>
        <v>0</v>
      </c>
      <c r="M404" s="837">
        <f t="shared" ca="1" si="177"/>
        <v>0</v>
      </c>
      <c r="N404" s="837">
        <f t="shared" ca="1" si="177"/>
        <v>0</v>
      </c>
      <c r="O404" s="837">
        <f t="shared" ca="1" si="175"/>
        <v>0</v>
      </c>
      <c r="P404" s="837">
        <f t="shared" ca="1" si="176"/>
        <v>0</v>
      </c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</row>
    <row r="405" spans="1:26" ht="18.75" hidden="1">
      <c r="A405" s="942"/>
      <c r="B405" s="827"/>
      <c r="C405" s="943"/>
      <c r="D405" s="828" t="s">
        <v>20</v>
      </c>
      <c r="E405" s="827"/>
      <c r="F405" s="827"/>
      <c r="G405" s="829"/>
      <c r="H405" s="778" t="s">
        <v>12</v>
      </c>
      <c r="I405" s="944"/>
      <c r="J405" s="944"/>
      <c r="K405" s="945"/>
      <c r="L405" s="831">
        <f t="shared" ref="L405:N405" ca="1" si="178">L406+L407</f>
        <v>0</v>
      </c>
      <c r="M405" s="831">
        <f t="shared" ca="1" si="178"/>
        <v>0</v>
      </c>
      <c r="N405" s="831">
        <f t="shared" ca="1" si="178"/>
        <v>0</v>
      </c>
      <c r="O405" s="831">
        <f t="shared" ca="1" si="175"/>
        <v>0</v>
      </c>
      <c r="P405" s="831">
        <f t="shared" ca="1" si="176"/>
        <v>0</v>
      </c>
      <c r="Q405" s="818"/>
      <c r="R405" s="818"/>
      <c r="S405" s="818"/>
      <c r="T405" s="818"/>
      <c r="U405" s="818"/>
      <c r="V405" s="818"/>
      <c r="W405" s="818"/>
      <c r="X405" s="818"/>
      <c r="Y405" s="818"/>
      <c r="Z405" s="818"/>
    </row>
    <row r="406" spans="1:26" ht="19.5" hidden="1">
      <c r="A406" s="940"/>
      <c r="B406" s="833"/>
      <c r="C406" s="946"/>
      <c r="D406" s="833"/>
      <c r="E406" s="834" t="s">
        <v>36</v>
      </c>
      <c r="F406" s="833"/>
      <c r="G406" s="941"/>
      <c r="H406" s="165" t="s">
        <v>12</v>
      </c>
      <c r="I406" s="947"/>
      <c r="J406" s="947"/>
      <c r="K406" s="948"/>
      <c r="L406" s="837">
        <v>0</v>
      </c>
      <c r="M406" s="837">
        <v>0</v>
      </c>
      <c r="N406" s="837">
        <v>0</v>
      </c>
      <c r="O406" s="837">
        <f t="shared" si="175"/>
        <v>0</v>
      </c>
      <c r="P406" s="837">
        <f t="shared" si="176"/>
        <v>0</v>
      </c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</row>
    <row r="407" spans="1:26" ht="19.5" hidden="1">
      <c r="A407" s="940"/>
      <c r="B407" s="833"/>
      <c r="C407" s="946"/>
      <c r="D407" s="833"/>
      <c r="E407" s="834" t="s">
        <v>37</v>
      </c>
      <c r="F407" s="833"/>
      <c r="G407" s="941"/>
      <c r="H407" s="165" t="s">
        <v>12</v>
      </c>
      <c r="I407" s="947"/>
      <c r="J407" s="947"/>
      <c r="K407" s="948"/>
      <c r="L407" s="837">
        <f ca="1">IFERROR(__xludf.DUMMYFUNCTION("IMPORTRANGE(""https://docs.google.com/spreadsheets/d/1MeEWN-I1oV_STSDYn1IFDPWt_1FKiwhDph83XaGc0o0/edit?usp=sharing"",""งบพรบ!FQ24"")"),0)</f>
        <v>0</v>
      </c>
      <c r="M407" s="837">
        <f ca="1">IFERROR(__xludf.DUMMYFUNCTION("IMPORTRANGE(""https://docs.google.com/spreadsheets/d/1MeEWN-I1oV_STSDYn1IFDPWt_1FKiwhDph83XaGc0o0/edit?usp=sharing"",""งบพรบ!FV24"")"),0)</f>
        <v>0</v>
      </c>
      <c r="N407" s="837">
        <f ca="1">IFERROR(__xludf.DUMMYFUNCTION("IMPORTRANGE(""https://docs.google.com/spreadsheets/d/1MeEWN-I1oV_STSDYn1IFDPWt_1FKiwhDph83XaGc0o0/edit?usp=sharing"",""งบพรบ!FX24"")"),0)</f>
        <v>0</v>
      </c>
      <c r="O407" s="837">
        <f t="shared" ca="1" si="175"/>
        <v>0</v>
      </c>
      <c r="P407" s="837">
        <f t="shared" ca="1" si="176"/>
        <v>0</v>
      </c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</row>
    <row r="408" spans="1:26" ht="18.75" hidden="1">
      <c r="A408" s="942"/>
      <c r="B408" s="827"/>
      <c r="C408" s="943"/>
      <c r="D408" s="828" t="s">
        <v>21</v>
      </c>
      <c r="E408" s="827"/>
      <c r="F408" s="827"/>
      <c r="G408" s="829"/>
      <c r="H408" s="168" t="s">
        <v>12</v>
      </c>
      <c r="I408" s="944"/>
      <c r="J408" s="944"/>
      <c r="K408" s="945"/>
      <c r="L408" s="831">
        <f t="shared" ref="L408:N408" ca="1" si="179">L409+L410</f>
        <v>0</v>
      </c>
      <c r="M408" s="831">
        <f t="shared" ca="1" si="179"/>
        <v>0</v>
      </c>
      <c r="N408" s="831">
        <f t="shared" ca="1" si="179"/>
        <v>0</v>
      </c>
      <c r="O408" s="831">
        <f t="shared" ca="1" si="175"/>
        <v>0</v>
      </c>
      <c r="P408" s="831">
        <f t="shared" ca="1" si="176"/>
        <v>0</v>
      </c>
      <c r="Q408" s="818"/>
      <c r="R408" s="818"/>
      <c r="S408" s="818"/>
      <c r="T408" s="818"/>
      <c r="U408" s="818"/>
      <c r="V408" s="818"/>
      <c r="W408" s="818"/>
      <c r="X408" s="818"/>
      <c r="Y408" s="818"/>
      <c r="Z408" s="818"/>
    </row>
    <row r="409" spans="1:26" ht="19.5" hidden="1">
      <c r="A409" s="940"/>
      <c r="B409" s="833"/>
      <c r="C409" s="946"/>
      <c r="D409" s="833"/>
      <c r="E409" s="834" t="s">
        <v>18</v>
      </c>
      <c r="F409" s="833"/>
      <c r="G409" s="941"/>
      <c r="H409" s="165" t="s">
        <v>12</v>
      </c>
      <c r="I409" s="947"/>
      <c r="J409" s="947"/>
      <c r="K409" s="948"/>
      <c r="L409" s="837">
        <v>0</v>
      </c>
      <c r="M409" s="837">
        <v>0</v>
      </c>
      <c r="N409" s="837">
        <v>0</v>
      </c>
      <c r="O409" s="837">
        <f t="shared" si="175"/>
        <v>0</v>
      </c>
      <c r="P409" s="837">
        <f t="shared" si="176"/>
        <v>0</v>
      </c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</row>
    <row r="410" spans="1:26" ht="19.5" hidden="1">
      <c r="A410" s="940"/>
      <c r="B410" s="833"/>
      <c r="C410" s="946"/>
      <c r="D410" s="833"/>
      <c r="E410" s="834" t="s">
        <v>19</v>
      </c>
      <c r="F410" s="833"/>
      <c r="G410" s="941"/>
      <c r="H410" s="169" t="s">
        <v>12</v>
      </c>
      <c r="I410" s="947"/>
      <c r="J410" s="947"/>
      <c r="K410" s="948"/>
      <c r="L410" s="837">
        <f ca="1">IFERROR(__xludf.DUMMYFUNCTION("IMPORTRANGE(""https://docs.google.com/spreadsheets/d/1MeEWN-I1oV_STSDYn1IFDPWt_1FKiwhDph83XaGc0o0/edit?usp=sharing"",""งบพรบ!FT24"")"),0)</f>
        <v>0</v>
      </c>
      <c r="M410" s="837">
        <f ca="1">IFERROR(__xludf.DUMMYFUNCTION("IMPORTRANGE(""https://docs.google.com/spreadsheets/d/1MeEWN-I1oV_STSDYn1IFDPWt_1FKiwhDph83XaGc0o0/edit?usp=sharing"",""งบพรบ!FW24"")"),0)</f>
        <v>0</v>
      </c>
      <c r="N410" s="837">
        <f ca="1">IFERROR(__xludf.DUMMYFUNCTION("IMPORTRANGE(""https://docs.google.com/spreadsheets/d/1MeEWN-I1oV_STSDYn1IFDPWt_1FKiwhDph83XaGc0o0/edit?usp=sharing"",""งบพรบ!FY24"")"),0)</f>
        <v>0</v>
      </c>
      <c r="O410" s="837">
        <f t="shared" ca="1" si="175"/>
        <v>0</v>
      </c>
      <c r="P410" s="837">
        <f t="shared" ca="1" si="176"/>
        <v>0</v>
      </c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</row>
    <row r="411" spans="1:26" ht="19.5" hidden="1">
      <c r="A411" s="949"/>
      <c r="B411" s="950"/>
      <c r="C411" s="946" t="s">
        <v>16</v>
      </c>
      <c r="D411" s="1207" t="s">
        <v>38</v>
      </c>
      <c r="E411" s="1208"/>
      <c r="F411" s="1208"/>
      <c r="G411" s="1209"/>
      <c r="H411" s="954"/>
      <c r="I411" s="830"/>
      <c r="J411" s="830"/>
      <c r="K411" s="831"/>
      <c r="L411" s="945"/>
      <c r="M411" s="945"/>
      <c r="N411" s="945"/>
      <c r="O411" s="945"/>
      <c r="P411" s="945"/>
    </row>
    <row r="412" spans="1:26" ht="18.75" hidden="1">
      <c r="A412" s="949"/>
      <c r="B412" s="957"/>
      <c r="C412" s="957"/>
      <c r="D412" s="956" t="s">
        <v>177</v>
      </c>
      <c r="E412" s="957"/>
      <c r="F412" s="957"/>
      <c r="G412" s="958"/>
      <c r="H412" s="501" t="s">
        <v>66</v>
      </c>
      <c r="I412" s="830">
        <v>0</v>
      </c>
      <c r="J412" s="959">
        <v>0</v>
      </c>
      <c r="K412" s="831">
        <f t="shared" ref="K412:K413" si="180">IF(I412&gt;0,J412*100/I412,0)</f>
        <v>0</v>
      </c>
      <c r="L412" s="945"/>
      <c r="M412" s="945"/>
      <c r="N412" s="945"/>
      <c r="O412" s="945"/>
      <c r="P412" s="945"/>
    </row>
    <row r="413" spans="1:26" ht="19.5" hidden="1" thickBot="1">
      <c r="A413" s="1210"/>
      <c r="B413" s="1211"/>
      <c r="C413" s="1211"/>
      <c r="D413" s="1212" t="s">
        <v>178</v>
      </c>
      <c r="E413" s="1211"/>
      <c r="F413" s="1211"/>
      <c r="G413" s="1213"/>
      <c r="H413" s="506" t="s">
        <v>179</v>
      </c>
      <c r="I413" s="1214">
        <v>0</v>
      </c>
      <c r="J413" s="1215">
        <v>0</v>
      </c>
      <c r="K413" s="1216">
        <f t="shared" si="180"/>
        <v>0</v>
      </c>
      <c r="L413" s="1217"/>
      <c r="M413" s="1217"/>
      <c r="N413" s="1217"/>
      <c r="O413" s="1217"/>
      <c r="P413" s="1217"/>
    </row>
    <row r="414" spans="1:26" ht="19.5">
      <c r="A414" s="1218" t="s">
        <v>180</v>
      </c>
      <c r="B414" s="1219"/>
      <c r="C414" s="1219"/>
      <c r="D414" s="1219"/>
      <c r="E414" s="1219"/>
      <c r="F414" s="1219"/>
      <c r="G414" s="1220"/>
      <c r="H414" s="1221"/>
      <c r="I414" s="1222"/>
      <c r="J414" s="1222"/>
      <c r="K414" s="1223"/>
      <c r="L414" s="1224">
        <f t="shared" ref="L414:N414" ca="1" si="181">L419+L444+L467+L502+L523+L544+L629+L655+L685+L737+L754+L770+L786+L805</f>
        <v>2266697</v>
      </c>
      <c r="M414" s="1224">
        <f t="shared" si="181"/>
        <v>0</v>
      </c>
      <c r="N414" s="1224">
        <f t="shared" si="181"/>
        <v>419947.47</v>
      </c>
      <c r="O414" s="1224">
        <f ca="1">IF(L414&gt;0,N414*100/L414,0)</f>
        <v>18.526846331909383</v>
      </c>
      <c r="P414" s="1224">
        <f>IF(M414&gt;0,N414*100/M414,0)</f>
        <v>0</v>
      </c>
    </row>
    <row r="415" spans="1:26" ht="19.5">
      <c r="A415" s="1225" t="s">
        <v>181</v>
      </c>
      <c r="B415" s="1226"/>
      <c r="C415" s="1226"/>
      <c r="D415" s="1226"/>
      <c r="E415" s="1226"/>
      <c r="F415" s="1226"/>
      <c r="G415" s="1226"/>
      <c r="H415" s="1227"/>
      <c r="I415" s="1228"/>
      <c r="J415" s="1228"/>
      <c r="K415" s="1229"/>
      <c r="L415" s="1230"/>
      <c r="M415" s="1230"/>
      <c r="N415" s="1230"/>
      <c r="O415" s="1230"/>
      <c r="P415" s="1230"/>
    </row>
    <row r="416" spans="1:26" ht="19.5">
      <c r="A416" s="1225" t="s">
        <v>182</v>
      </c>
      <c r="B416" s="1226"/>
      <c r="C416" s="1226"/>
      <c r="D416" s="1226"/>
      <c r="E416" s="1226"/>
      <c r="F416" s="1226"/>
      <c r="G416" s="1231"/>
      <c r="H416" s="1232"/>
      <c r="I416" s="1233"/>
      <c r="J416" s="1233"/>
      <c r="K416" s="1230"/>
      <c r="L416" s="1230"/>
      <c r="M416" s="1230"/>
      <c r="N416" s="1230"/>
      <c r="O416" s="1230"/>
      <c r="P416" s="1230"/>
    </row>
    <row r="417" spans="1:26" ht="39">
      <c r="A417" s="527">
        <v>1</v>
      </c>
      <c r="B417" s="1234" t="s">
        <v>183</v>
      </c>
      <c r="C417" s="1234"/>
      <c r="D417" s="1235"/>
      <c r="E417" s="1235"/>
      <c r="F417" s="1235"/>
      <c r="G417" s="1236"/>
      <c r="H417" s="532" t="s">
        <v>35</v>
      </c>
      <c r="I417" s="1237">
        <f t="shared" ref="I417:J418" ca="1" si="182">I433</f>
        <v>20</v>
      </c>
      <c r="J417" s="1237">
        <f t="shared" ca="1" si="182"/>
        <v>0</v>
      </c>
      <c r="K417" s="1238">
        <f t="shared" ref="K417:K418" ca="1" si="183">IF(I417&gt;0,J417*100/I417,0)</f>
        <v>0</v>
      </c>
      <c r="L417" s="1239"/>
      <c r="M417" s="1239"/>
      <c r="N417" s="1239"/>
      <c r="O417" s="1239"/>
      <c r="P417" s="1239"/>
    </row>
    <row r="418" spans="1:26" ht="19.5">
      <c r="A418" s="1240"/>
      <c r="B418" s="527"/>
      <c r="C418" s="1234"/>
      <c r="D418" s="1235"/>
      <c r="E418" s="1235"/>
      <c r="F418" s="1235"/>
      <c r="G418" s="1236"/>
      <c r="H418" s="532" t="s">
        <v>49</v>
      </c>
      <c r="I418" s="1237">
        <f t="shared" ca="1" si="182"/>
        <v>1</v>
      </c>
      <c r="J418" s="1237">
        <f t="shared" si="182"/>
        <v>0</v>
      </c>
      <c r="K418" s="1238">
        <f t="shared" ca="1" si="183"/>
        <v>0</v>
      </c>
      <c r="L418" s="1239"/>
      <c r="M418" s="1239"/>
      <c r="N418" s="1239"/>
      <c r="O418" s="1239"/>
      <c r="P418" s="1239"/>
    </row>
    <row r="419" spans="1:26" ht="19.5">
      <c r="A419" s="932"/>
      <c r="B419" s="933"/>
      <c r="C419" s="933" t="s">
        <v>16</v>
      </c>
      <c r="D419" s="1510" t="s">
        <v>17</v>
      </c>
      <c r="E419" s="1487"/>
      <c r="F419" s="1487"/>
      <c r="G419" s="936"/>
      <c r="H419" s="275" t="s">
        <v>12</v>
      </c>
      <c r="I419" s="937"/>
      <c r="J419" s="937"/>
      <c r="K419" s="938"/>
      <c r="L419" s="939">
        <f t="shared" ref="L419:N419" ca="1" si="184">L420+L421</f>
        <v>78660</v>
      </c>
      <c r="M419" s="939">
        <f t="shared" si="184"/>
        <v>0</v>
      </c>
      <c r="N419" s="939">
        <f t="shared" si="184"/>
        <v>41320</v>
      </c>
      <c r="O419" s="939">
        <f t="shared" ref="O419:O424" ca="1" si="185">IF(L419&gt;0,N419*100/L419,0)</f>
        <v>52.529875413170608</v>
      </c>
      <c r="P419" s="939">
        <f t="shared" ref="P419:P424" si="186">IF(M419&gt;0,N419*100/M419,0)</f>
        <v>0</v>
      </c>
      <c r="Q419" s="818"/>
      <c r="R419" s="818"/>
      <c r="S419" s="818"/>
      <c r="T419" s="818"/>
      <c r="U419" s="818"/>
      <c r="V419" s="818"/>
      <c r="W419" s="818"/>
      <c r="X419" s="818"/>
      <c r="Y419" s="818"/>
      <c r="Z419" s="818"/>
    </row>
    <row r="420" spans="1:26" ht="18.75" hidden="1">
      <c r="A420" s="940"/>
      <c r="B420" s="833"/>
      <c r="C420" s="833"/>
      <c r="D420" s="1061"/>
      <c r="E420" s="834" t="s">
        <v>184</v>
      </c>
      <c r="F420" s="833"/>
      <c r="G420" s="941"/>
      <c r="H420" s="165" t="s">
        <v>12</v>
      </c>
      <c r="I420" s="836"/>
      <c r="J420" s="836"/>
      <c r="K420" s="837"/>
      <c r="L420" s="837">
        <f t="shared" ref="L420:N421" si="187">L423+L430</f>
        <v>0</v>
      </c>
      <c r="M420" s="837">
        <f t="shared" si="187"/>
        <v>0</v>
      </c>
      <c r="N420" s="837">
        <f t="shared" si="187"/>
        <v>0</v>
      </c>
      <c r="O420" s="837">
        <f t="shared" si="185"/>
        <v>0</v>
      </c>
      <c r="P420" s="837">
        <f t="shared" si="186"/>
        <v>0</v>
      </c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</row>
    <row r="421" spans="1:26" ht="18.75" hidden="1">
      <c r="A421" s="940"/>
      <c r="B421" s="833"/>
      <c r="C421" s="833"/>
      <c r="D421" s="1061"/>
      <c r="E421" s="834" t="s">
        <v>185</v>
      </c>
      <c r="F421" s="833"/>
      <c r="G421" s="941"/>
      <c r="H421" s="165" t="s">
        <v>12</v>
      </c>
      <c r="I421" s="836"/>
      <c r="J421" s="836"/>
      <c r="K421" s="837"/>
      <c r="L421" s="837">
        <f t="shared" ca="1" si="187"/>
        <v>78660</v>
      </c>
      <c r="M421" s="837">
        <f t="shared" si="187"/>
        <v>0</v>
      </c>
      <c r="N421" s="837">
        <f t="shared" si="187"/>
        <v>41320</v>
      </c>
      <c r="O421" s="837">
        <f t="shared" ca="1" si="185"/>
        <v>52.529875413170608</v>
      </c>
      <c r="P421" s="837">
        <f t="shared" si="186"/>
        <v>0</v>
      </c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</row>
    <row r="422" spans="1:26" ht="18.75">
      <c r="A422" s="942"/>
      <c r="B422" s="1030"/>
      <c r="C422" s="827"/>
      <c r="D422" s="828" t="s">
        <v>20</v>
      </c>
      <c r="E422" s="827"/>
      <c r="F422" s="827"/>
      <c r="G422" s="829"/>
      <c r="H422" s="778" t="s">
        <v>12</v>
      </c>
      <c r="I422" s="944"/>
      <c r="J422" s="944"/>
      <c r="K422" s="945"/>
      <c r="L422" s="831">
        <f t="shared" ref="L422:N422" ca="1" si="188">L423+L424</f>
        <v>78660</v>
      </c>
      <c r="M422" s="831">
        <f t="shared" si="188"/>
        <v>0</v>
      </c>
      <c r="N422" s="831">
        <f t="shared" si="188"/>
        <v>41320</v>
      </c>
      <c r="O422" s="831">
        <f t="shared" ca="1" si="185"/>
        <v>52.529875413170608</v>
      </c>
      <c r="P422" s="831">
        <f t="shared" si="186"/>
        <v>0</v>
      </c>
      <c r="Q422" s="818"/>
      <c r="R422" s="818"/>
      <c r="S422" s="818"/>
      <c r="T422" s="818"/>
      <c r="U422" s="818"/>
      <c r="V422" s="818"/>
      <c r="W422" s="818"/>
      <c r="X422" s="818"/>
      <c r="Y422" s="818"/>
      <c r="Z422" s="818"/>
    </row>
    <row r="423" spans="1:26" ht="18.75" hidden="1">
      <c r="A423" s="940"/>
      <c r="B423" s="833"/>
      <c r="C423" s="833"/>
      <c r="D423" s="1061"/>
      <c r="E423" s="834" t="s">
        <v>184</v>
      </c>
      <c r="F423" s="833"/>
      <c r="G423" s="941"/>
      <c r="H423" s="165" t="s">
        <v>12</v>
      </c>
      <c r="I423" s="836"/>
      <c r="J423" s="836"/>
      <c r="K423" s="837"/>
      <c r="L423" s="837">
        <v>0</v>
      </c>
      <c r="M423" s="837">
        <v>0</v>
      </c>
      <c r="N423" s="837">
        <v>0</v>
      </c>
      <c r="O423" s="837">
        <f t="shared" si="185"/>
        <v>0</v>
      </c>
      <c r="P423" s="837">
        <f t="shared" si="186"/>
        <v>0</v>
      </c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</row>
    <row r="424" spans="1:26" ht="18.75" hidden="1">
      <c r="A424" s="940"/>
      <c r="B424" s="833"/>
      <c r="C424" s="833"/>
      <c r="D424" s="1061"/>
      <c r="E424" s="834" t="s">
        <v>185</v>
      </c>
      <c r="F424" s="833"/>
      <c r="G424" s="941"/>
      <c r="H424" s="165" t="s">
        <v>12</v>
      </c>
      <c r="I424" s="836"/>
      <c r="J424" s="836"/>
      <c r="K424" s="837"/>
      <c r="L424" s="837">
        <f ca="1">IFERROR(__xludf.DUMMYFUNCTION("IMPORTRANGE(""https://docs.google.com/spreadsheets/d/1QqKyyYR6Q21VydFLVH3TRQUabQu_ym0Zz7PgGX0-kHA/edit?usp=sharing"",""แผน!EY24"")"),78660)</f>
        <v>78660</v>
      </c>
      <c r="M424" s="837">
        <v>0</v>
      </c>
      <c r="N424" s="837">
        <f>N425+N426+N427+N428</f>
        <v>41320</v>
      </c>
      <c r="O424" s="837">
        <f t="shared" ca="1" si="185"/>
        <v>52.529875413170608</v>
      </c>
      <c r="P424" s="837">
        <f t="shared" si="186"/>
        <v>0</v>
      </c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</row>
    <row r="425" spans="1:26" ht="18.75">
      <c r="A425" s="1241"/>
      <c r="B425" s="1242"/>
      <c r="C425" s="1243"/>
      <c r="D425" s="1243"/>
      <c r="E425" s="1243"/>
      <c r="F425" s="1243" t="s">
        <v>186</v>
      </c>
      <c r="G425" s="963"/>
      <c r="H425" s="778" t="s">
        <v>12</v>
      </c>
      <c r="I425" s="830"/>
      <c r="J425" s="830"/>
      <c r="K425" s="831"/>
      <c r="L425" s="831"/>
      <c r="M425" s="831"/>
      <c r="N425" s="1031">
        <v>38220</v>
      </c>
      <c r="O425" s="831"/>
      <c r="P425" s="831"/>
      <c r="Q425" s="1244"/>
      <c r="R425" s="1244"/>
      <c r="S425" s="1244"/>
      <c r="T425" s="1244"/>
      <c r="U425" s="1244"/>
      <c r="V425" s="1244"/>
      <c r="W425" s="1244"/>
      <c r="X425" s="1244"/>
      <c r="Y425" s="1244"/>
      <c r="Z425" s="1244"/>
    </row>
    <row r="426" spans="1:26" ht="18.75">
      <c r="A426" s="1241"/>
      <c r="B426" s="1242"/>
      <c r="C426" s="1243"/>
      <c r="D426" s="1243"/>
      <c r="E426" s="1243"/>
      <c r="F426" s="1243" t="s">
        <v>187</v>
      </c>
      <c r="G426" s="963"/>
      <c r="H426" s="778" t="s">
        <v>12</v>
      </c>
      <c r="I426" s="830"/>
      <c r="J426" s="830"/>
      <c r="K426" s="831"/>
      <c r="L426" s="831"/>
      <c r="M426" s="831"/>
      <c r="N426" s="1031">
        <v>870</v>
      </c>
      <c r="O426" s="831"/>
      <c r="P426" s="831"/>
      <c r="Q426" s="1244"/>
      <c r="R426" s="1244"/>
      <c r="S426" s="1244"/>
      <c r="T426" s="1244"/>
      <c r="U426" s="1244"/>
      <c r="V426" s="1244"/>
      <c r="W426" s="1244"/>
      <c r="X426" s="1244"/>
      <c r="Y426" s="1244"/>
      <c r="Z426" s="1244"/>
    </row>
    <row r="427" spans="1:26" ht="18.75">
      <c r="A427" s="1241"/>
      <c r="B427" s="1242"/>
      <c r="C427" s="1243"/>
      <c r="D427" s="1243"/>
      <c r="E427" s="1243"/>
      <c r="F427" s="1243" t="s">
        <v>188</v>
      </c>
      <c r="G427" s="963"/>
      <c r="H427" s="778" t="s">
        <v>12</v>
      </c>
      <c r="I427" s="830"/>
      <c r="J427" s="830"/>
      <c r="K427" s="831"/>
      <c r="L427" s="831"/>
      <c r="M427" s="831"/>
      <c r="N427" s="1031">
        <v>0</v>
      </c>
      <c r="O427" s="831"/>
      <c r="P427" s="831"/>
      <c r="Q427" s="1244"/>
      <c r="R427" s="1244"/>
      <c r="S427" s="1244"/>
      <c r="T427" s="1244"/>
      <c r="U427" s="1244"/>
      <c r="V427" s="1244"/>
      <c r="W427" s="1244"/>
      <c r="X427" s="1244"/>
      <c r="Y427" s="1244"/>
      <c r="Z427" s="1244"/>
    </row>
    <row r="428" spans="1:26" ht="18.75">
      <c r="A428" s="1032"/>
      <c r="B428" s="1030"/>
      <c r="C428" s="827"/>
      <c r="D428" s="827"/>
      <c r="E428" s="827"/>
      <c r="F428" s="943" t="s">
        <v>189</v>
      </c>
      <c r="G428" s="977"/>
      <c r="H428" s="778" t="s">
        <v>12</v>
      </c>
      <c r="I428" s="830"/>
      <c r="J428" s="830"/>
      <c r="K428" s="831"/>
      <c r="L428" s="831"/>
      <c r="M428" s="831"/>
      <c r="N428" s="1031">
        <v>2230</v>
      </c>
      <c r="O428" s="831"/>
      <c r="P428" s="831"/>
      <c r="Q428" s="818"/>
      <c r="R428" s="818"/>
      <c r="S428" s="818"/>
      <c r="T428" s="818"/>
      <c r="U428" s="818"/>
      <c r="V428" s="818"/>
      <c r="W428" s="818"/>
      <c r="X428" s="818"/>
      <c r="Y428" s="818"/>
      <c r="Z428" s="818"/>
    </row>
    <row r="429" spans="1:26" ht="18.75">
      <c r="A429" s="942"/>
      <c r="B429" s="1030"/>
      <c r="C429" s="827"/>
      <c r="D429" s="828" t="s">
        <v>21</v>
      </c>
      <c r="E429" s="827"/>
      <c r="F429" s="827"/>
      <c r="G429" s="829"/>
      <c r="H429" s="168" t="s">
        <v>12</v>
      </c>
      <c r="I429" s="944"/>
      <c r="J429" s="944"/>
      <c r="K429" s="945"/>
      <c r="L429" s="831">
        <f t="shared" ref="L429:N429" ca="1" si="189">L430+L431</f>
        <v>0</v>
      </c>
      <c r="M429" s="831">
        <f t="shared" si="189"/>
        <v>0</v>
      </c>
      <c r="N429" s="831">
        <f t="shared" si="189"/>
        <v>0</v>
      </c>
      <c r="O429" s="831">
        <f t="shared" ref="O429:O431" ca="1" si="190">IF(L429&gt;0,N429*100/L429,0)</f>
        <v>0</v>
      </c>
      <c r="P429" s="831">
        <f t="shared" ref="P429:P431" si="191">IF(M429&gt;0,N429*100/M429,0)</f>
        <v>0</v>
      </c>
      <c r="Q429" s="818"/>
      <c r="R429" s="818"/>
      <c r="S429" s="818"/>
      <c r="T429" s="818"/>
      <c r="U429" s="818"/>
      <c r="V429" s="818"/>
      <c r="W429" s="818"/>
      <c r="X429" s="818"/>
      <c r="Y429" s="818"/>
      <c r="Z429" s="818"/>
    </row>
    <row r="430" spans="1:26" ht="18.75" hidden="1">
      <c r="A430" s="940"/>
      <c r="B430" s="1052"/>
      <c r="C430" s="833"/>
      <c r="D430" s="833"/>
      <c r="E430" s="834" t="s">
        <v>18</v>
      </c>
      <c r="F430" s="833"/>
      <c r="G430" s="835"/>
      <c r="H430" s="165" t="s">
        <v>12</v>
      </c>
      <c r="I430" s="947"/>
      <c r="J430" s="947"/>
      <c r="K430" s="948"/>
      <c r="L430" s="837">
        <v>0</v>
      </c>
      <c r="M430" s="837">
        <v>0</v>
      </c>
      <c r="N430" s="837">
        <v>0</v>
      </c>
      <c r="O430" s="837">
        <f t="shared" si="190"/>
        <v>0</v>
      </c>
      <c r="P430" s="837">
        <f t="shared" si="191"/>
        <v>0</v>
      </c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</row>
    <row r="431" spans="1:26" ht="18.75" hidden="1">
      <c r="A431" s="940"/>
      <c r="B431" s="1052"/>
      <c r="C431" s="833"/>
      <c r="D431" s="833"/>
      <c r="E431" s="834" t="s">
        <v>19</v>
      </c>
      <c r="F431" s="833"/>
      <c r="G431" s="835"/>
      <c r="H431" s="169" t="s">
        <v>12</v>
      </c>
      <c r="I431" s="947"/>
      <c r="J431" s="947"/>
      <c r="K431" s="948"/>
      <c r="L431" s="837">
        <f ca="1">IFERROR(__xludf.DUMMYFUNCTION("IMPORTRANGE(""https://docs.google.com/spreadsheets/d/1QqKyyYR6Q21VydFLVH3TRQUabQu_ym0Zz7PgGX0-kHA/edit?usp=sharing"",""แผน!FB24"")"),0)</f>
        <v>0</v>
      </c>
      <c r="M431" s="837">
        <v>0</v>
      </c>
      <c r="N431" s="837">
        <v>0</v>
      </c>
      <c r="O431" s="837">
        <f t="shared" ca="1" si="190"/>
        <v>0</v>
      </c>
      <c r="P431" s="837">
        <f t="shared" si="191"/>
        <v>0</v>
      </c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</row>
    <row r="432" spans="1:26" ht="19.5">
      <c r="A432" s="1112"/>
      <c r="B432" s="1113"/>
      <c r="C432" s="933" t="s">
        <v>16</v>
      </c>
      <c r="D432" s="1245" t="s">
        <v>38</v>
      </c>
      <c r="E432" s="1246"/>
      <c r="F432" s="1246"/>
      <c r="G432" s="1247"/>
      <c r="H432" s="1248"/>
      <c r="I432" s="937"/>
      <c r="J432" s="937"/>
      <c r="K432" s="938"/>
      <c r="L432" s="938"/>
      <c r="M432" s="938"/>
      <c r="N432" s="938"/>
      <c r="O432" s="938"/>
      <c r="P432" s="938"/>
      <c r="Q432" s="818"/>
      <c r="R432" s="818"/>
      <c r="S432" s="818"/>
      <c r="T432" s="818"/>
      <c r="U432" s="818"/>
      <c r="V432" s="818"/>
      <c r="W432" s="818"/>
      <c r="X432" s="818"/>
      <c r="Y432" s="818"/>
      <c r="Z432" s="818"/>
    </row>
    <row r="433" spans="1:26" ht="19.5">
      <c r="A433" s="949"/>
      <c r="B433" s="950"/>
      <c r="C433" s="950"/>
      <c r="D433" s="960" t="s">
        <v>190</v>
      </c>
      <c r="E433" s="957"/>
      <c r="F433" s="957"/>
      <c r="G433" s="958"/>
      <c r="H433" s="196" t="s">
        <v>35</v>
      </c>
      <c r="I433" s="966">
        <f ca="1">I435</f>
        <v>20</v>
      </c>
      <c r="J433" s="966">
        <f ca="1">IF(AND(J435=I435,J437=I437,J439=I439),I437+I439,IF(AND(J435=I437,J437=I437),I437,IF(AND(J435=I439,J439=I439),I439,0)))</f>
        <v>0</v>
      </c>
      <c r="K433" s="967">
        <f t="shared" ref="K433:K435" ca="1" si="192">IF(I433&gt;0,J433*100/I433,0)</f>
        <v>0</v>
      </c>
      <c r="L433" s="831"/>
      <c r="M433" s="831"/>
      <c r="N433" s="831"/>
      <c r="O433" s="831"/>
      <c r="P433" s="831"/>
      <c r="Q433" s="818"/>
      <c r="R433" s="818"/>
      <c r="S433" s="818"/>
      <c r="T433" s="818"/>
      <c r="U433" s="818"/>
      <c r="V433" s="818"/>
      <c r="W433" s="818"/>
      <c r="X433" s="818"/>
      <c r="Y433" s="818"/>
      <c r="Z433" s="818"/>
    </row>
    <row r="434" spans="1:26" ht="19.5">
      <c r="A434" s="949"/>
      <c r="B434" s="950"/>
      <c r="C434" s="950"/>
      <c r="D434" s="960" t="s">
        <v>191</v>
      </c>
      <c r="E434" s="957"/>
      <c r="F434" s="957"/>
      <c r="G434" s="958"/>
      <c r="H434" s="196" t="s">
        <v>49</v>
      </c>
      <c r="I434" s="966">
        <f ca="1">I438+I440</f>
        <v>1</v>
      </c>
      <c r="J434" s="966">
        <f>J438+J439</f>
        <v>0</v>
      </c>
      <c r="K434" s="967">
        <f t="shared" ca="1" si="192"/>
        <v>0</v>
      </c>
      <c r="L434" s="831"/>
      <c r="M434" s="831"/>
      <c r="N434" s="831"/>
      <c r="O434" s="831"/>
      <c r="P434" s="831"/>
      <c r="Q434" s="818"/>
      <c r="R434" s="818"/>
      <c r="S434" s="818"/>
      <c r="T434" s="818"/>
      <c r="U434" s="818"/>
      <c r="V434" s="818"/>
      <c r="W434" s="818"/>
      <c r="X434" s="818"/>
      <c r="Y434" s="818"/>
      <c r="Z434" s="818"/>
    </row>
    <row r="435" spans="1:26" ht="18.75">
      <c r="A435" s="949"/>
      <c r="B435" s="950"/>
      <c r="C435" s="950"/>
      <c r="D435" s="956" t="s">
        <v>192</v>
      </c>
      <c r="E435" s="957"/>
      <c r="F435" s="957"/>
      <c r="G435" s="958"/>
      <c r="H435" s="590" t="s">
        <v>35</v>
      </c>
      <c r="I435" s="548">
        <f ca="1">IFERROR(__xludf.DUMMYFUNCTION("IMPORTRANGE(""https://docs.google.com/spreadsheets/d/1QqKyyYR6Q21VydFLVH3TRQUabQu_ym0Zz7PgGX0-kHA/edit?usp=sharing"",""แผน!FC24"")"),20)</f>
        <v>20</v>
      </c>
      <c r="J435" s="549">
        <v>10</v>
      </c>
      <c r="K435" s="831">
        <f t="shared" ca="1" si="192"/>
        <v>50</v>
      </c>
      <c r="L435" s="831"/>
      <c r="M435" s="831"/>
      <c r="N435" s="831"/>
      <c r="O435" s="831"/>
      <c r="P435" s="831"/>
      <c r="Q435" s="818"/>
      <c r="R435" s="818"/>
      <c r="S435" s="818"/>
      <c r="T435" s="818"/>
      <c r="U435" s="818"/>
      <c r="V435" s="818"/>
      <c r="W435" s="818"/>
      <c r="X435" s="818"/>
      <c r="Y435" s="818"/>
      <c r="Z435" s="818"/>
    </row>
    <row r="436" spans="1:26" ht="18.75">
      <c r="A436" s="949"/>
      <c r="B436" s="950"/>
      <c r="C436" s="950"/>
      <c r="D436" s="956" t="s">
        <v>193</v>
      </c>
      <c r="E436" s="957"/>
      <c r="F436" s="957"/>
      <c r="G436" s="958"/>
      <c r="H436" s="590"/>
      <c r="I436" s="830"/>
      <c r="J436" s="830"/>
      <c r="K436" s="831"/>
      <c r="L436" s="831"/>
      <c r="M436" s="831"/>
      <c r="N436" s="831"/>
      <c r="O436" s="831"/>
      <c r="P436" s="831"/>
      <c r="Q436" s="818"/>
      <c r="R436" s="818"/>
      <c r="S436" s="818"/>
      <c r="T436" s="818"/>
      <c r="U436" s="818"/>
      <c r="V436" s="818"/>
      <c r="W436" s="818"/>
      <c r="X436" s="818"/>
      <c r="Y436" s="818"/>
      <c r="Z436" s="818"/>
    </row>
    <row r="437" spans="1:26" ht="18.75">
      <c r="A437" s="949"/>
      <c r="B437" s="950"/>
      <c r="C437" s="950"/>
      <c r="D437" s="956" t="s">
        <v>194</v>
      </c>
      <c r="E437" s="957"/>
      <c r="F437" s="957"/>
      <c r="G437" s="958"/>
      <c r="H437" s="590" t="s">
        <v>35</v>
      </c>
      <c r="I437" s="548">
        <f ca="1">IFERROR(__xludf.DUMMYFUNCTION("IMPORTRANGE(""https://docs.google.com/spreadsheets/d/1QqKyyYR6Q21VydFLVH3TRQUabQu_ym0Zz7PgGX0-kHA/edit?usp=sharing"",""แผน!FD24"")"),0)</f>
        <v>0</v>
      </c>
      <c r="J437" s="549">
        <v>0</v>
      </c>
      <c r="K437" s="831">
        <f t="shared" ref="K437:K439" ca="1" si="193">IF(I437&gt;0,J437*100/I437,0)</f>
        <v>0</v>
      </c>
      <c r="L437" s="831"/>
      <c r="M437" s="831"/>
      <c r="N437" s="831"/>
      <c r="O437" s="831"/>
      <c r="P437" s="831"/>
      <c r="Q437" s="818"/>
      <c r="R437" s="818"/>
      <c r="S437" s="818"/>
      <c r="T437" s="818"/>
      <c r="U437" s="818"/>
      <c r="V437" s="818"/>
      <c r="W437" s="818"/>
      <c r="X437" s="818"/>
      <c r="Y437" s="818"/>
      <c r="Z437" s="818"/>
    </row>
    <row r="438" spans="1:26" ht="18.75">
      <c r="A438" s="949"/>
      <c r="B438" s="950"/>
      <c r="C438" s="950"/>
      <c r="D438" s="956" t="s">
        <v>195</v>
      </c>
      <c r="E438" s="957"/>
      <c r="F438" s="957"/>
      <c r="G438" s="958"/>
      <c r="H438" s="590" t="s">
        <v>49</v>
      </c>
      <c r="I438" s="830">
        <f ca="1">IFERROR(__xludf.DUMMYFUNCTION("IMPORTRANGE(""https://docs.google.com/spreadsheets/d/1QqKyyYR6Q21VydFLVH3TRQUabQu_ym0Zz7PgGX0-kHA/edit?usp=sharing"",""แผน!FE24"")"),0)</f>
        <v>0</v>
      </c>
      <c r="J438" s="959">
        <v>0</v>
      </c>
      <c r="K438" s="831">
        <f t="shared" ca="1" si="193"/>
        <v>0</v>
      </c>
      <c r="L438" s="831"/>
      <c r="M438" s="831"/>
      <c r="N438" s="831"/>
      <c r="O438" s="831"/>
      <c r="P438" s="831"/>
      <c r="Q438" s="818"/>
      <c r="R438" s="818"/>
      <c r="S438" s="818"/>
      <c r="T438" s="818"/>
      <c r="U438" s="818"/>
      <c r="V438" s="818"/>
      <c r="W438" s="818"/>
      <c r="X438" s="818"/>
      <c r="Y438" s="818"/>
      <c r="Z438" s="818"/>
    </row>
    <row r="439" spans="1:26" ht="18.75">
      <c r="A439" s="949"/>
      <c r="B439" s="950"/>
      <c r="C439" s="950"/>
      <c r="D439" s="956" t="s">
        <v>196</v>
      </c>
      <c r="E439" s="957"/>
      <c r="F439" s="957"/>
      <c r="G439" s="958"/>
      <c r="H439" s="590" t="s">
        <v>35</v>
      </c>
      <c r="I439" s="548">
        <f ca="1">IFERROR(__xludf.DUMMYFUNCTION("IMPORTRANGE(""https://docs.google.com/spreadsheets/d/1QqKyyYR6Q21VydFLVH3TRQUabQu_ym0Zz7PgGX0-kHA/edit?usp=sharing"",""แผน!FF24"")"),20)</f>
        <v>20</v>
      </c>
      <c r="J439" s="959">
        <v>0</v>
      </c>
      <c r="K439" s="831">
        <f t="shared" ca="1" si="193"/>
        <v>0</v>
      </c>
      <c r="L439" s="831"/>
      <c r="M439" s="831"/>
      <c r="N439" s="831"/>
      <c r="O439" s="831"/>
      <c r="P439" s="831"/>
      <c r="Q439" s="818"/>
      <c r="R439" s="818"/>
      <c r="S439" s="818"/>
      <c r="T439" s="818"/>
      <c r="U439" s="818"/>
      <c r="V439" s="818"/>
      <c r="W439" s="818"/>
      <c r="X439" s="818"/>
      <c r="Y439" s="818"/>
      <c r="Z439" s="818"/>
    </row>
    <row r="440" spans="1:26" ht="18.75">
      <c r="A440" s="949"/>
      <c r="B440" s="950"/>
      <c r="C440" s="950"/>
      <c r="D440" s="956" t="s">
        <v>197</v>
      </c>
      <c r="E440" s="957"/>
      <c r="F440" s="957"/>
      <c r="G440" s="958"/>
      <c r="H440" s="590" t="s">
        <v>49</v>
      </c>
      <c r="I440" s="830">
        <f ca="1">IFERROR(__xludf.DUMMYFUNCTION("IMPORTRANGE(""https://docs.google.com/spreadsheets/d/1QqKyyYR6Q21VydFLVH3TRQUabQu_ym0Zz7PgGX0-kHA/edit?usp=sharing"",""แผน!FG24"")"),1)</f>
        <v>1</v>
      </c>
      <c r="J440" s="830">
        <v>0</v>
      </c>
      <c r="K440" s="831">
        <f ca="1">IF(I440&gt;0,J439*100/I440,0)</f>
        <v>0</v>
      </c>
      <c r="L440" s="831"/>
      <c r="M440" s="831"/>
      <c r="N440" s="831"/>
      <c r="O440" s="831"/>
      <c r="P440" s="831"/>
      <c r="Q440" s="818"/>
      <c r="R440" s="818"/>
      <c r="S440" s="818"/>
      <c r="T440" s="818"/>
      <c r="U440" s="818"/>
      <c r="V440" s="818"/>
      <c r="W440" s="818"/>
      <c r="X440" s="818"/>
      <c r="Y440" s="818"/>
      <c r="Z440" s="818"/>
    </row>
    <row r="441" spans="1:26" ht="18.75">
      <c r="A441" s="949"/>
      <c r="B441" s="950"/>
      <c r="C441" s="950"/>
      <c r="D441" s="956" t="s">
        <v>198</v>
      </c>
      <c r="E441" s="957"/>
      <c r="F441" s="957"/>
      <c r="G441" s="958"/>
      <c r="H441" s="590" t="s">
        <v>35</v>
      </c>
      <c r="I441" s="830">
        <f ca="1">IFERROR(__xludf.DUMMYFUNCTION("IMPORTRANGE(""https://docs.google.com/spreadsheets/d/1QqKyyYR6Q21VydFLVH3TRQUabQu_ym0Zz7PgGX0-kHA/edit?usp=sharing"",""แผน!FH24"")"),0)</f>
        <v>0</v>
      </c>
      <c r="J441" s="830">
        <v>0</v>
      </c>
      <c r="K441" s="831">
        <f t="shared" ref="K441:K443" ca="1" si="194">IF(I441&gt;0,J441*100/I441,0)</f>
        <v>0</v>
      </c>
      <c r="L441" s="831"/>
      <c r="M441" s="831"/>
      <c r="N441" s="831"/>
      <c r="O441" s="831"/>
      <c r="P441" s="831"/>
      <c r="Q441" s="818"/>
      <c r="R441" s="818"/>
      <c r="S441" s="818"/>
      <c r="T441" s="818"/>
      <c r="U441" s="818"/>
      <c r="V441" s="818"/>
      <c r="W441" s="818"/>
      <c r="X441" s="818"/>
      <c r="Y441" s="818"/>
      <c r="Z441" s="818"/>
    </row>
    <row r="442" spans="1:26" ht="19.5">
      <c r="A442" s="550">
        <v>2</v>
      </c>
      <c r="B442" s="1249" t="s">
        <v>199</v>
      </c>
      <c r="C442" s="1250"/>
      <c r="D442" s="1250"/>
      <c r="E442" s="1250"/>
      <c r="F442" s="1250"/>
      <c r="G442" s="1251"/>
      <c r="H442" s="554" t="s">
        <v>35</v>
      </c>
      <c r="I442" s="1252">
        <f t="shared" ref="I442:J442" ca="1" si="195">I460</f>
        <v>55</v>
      </c>
      <c r="J442" s="1252">
        <f t="shared" si="195"/>
        <v>55</v>
      </c>
      <c r="K442" s="1253">
        <f t="shared" ca="1" si="194"/>
        <v>100</v>
      </c>
      <c r="L442" s="1254"/>
      <c r="M442" s="1254"/>
      <c r="N442" s="1254"/>
      <c r="O442" s="1254"/>
      <c r="P442" s="1254"/>
      <c r="Q442" s="1244"/>
      <c r="R442" s="1244"/>
      <c r="S442" s="1244"/>
      <c r="T442" s="1244"/>
      <c r="U442" s="1244"/>
      <c r="V442" s="1244"/>
      <c r="W442" s="1244"/>
      <c r="X442" s="1244"/>
      <c r="Y442" s="1244"/>
      <c r="Z442" s="1244"/>
    </row>
    <row r="443" spans="1:26" ht="19.5">
      <c r="A443" s="1255"/>
      <c r="B443" s="1256"/>
      <c r="C443" s="1257"/>
      <c r="D443" s="1257"/>
      <c r="E443" s="1257"/>
      <c r="F443" s="1257"/>
      <c r="G443" s="1258"/>
      <c r="H443" s="532" t="s">
        <v>46</v>
      </c>
      <c r="I443" s="1237">
        <f t="shared" ref="I443:J443" ca="1" si="196">I462</f>
        <v>110</v>
      </c>
      <c r="J443" s="1237">
        <f t="shared" si="196"/>
        <v>110</v>
      </c>
      <c r="K443" s="1238">
        <f t="shared" ca="1" si="194"/>
        <v>100</v>
      </c>
      <c r="L443" s="1239"/>
      <c r="M443" s="1239"/>
      <c r="N443" s="1239"/>
      <c r="O443" s="1239"/>
      <c r="P443" s="1239"/>
      <c r="Q443" s="1244"/>
      <c r="R443" s="1244"/>
      <c r="S443" s="1244"/>
      <c r="T443" s="1244"/>
      <c r="U443" s="1244"/>
      <c r="V443" s="1244"/>
      <c r="W443" s="1244"/>
      <c r="X443" s="1244"/>
      <c r="Y443" s="1244"/>
      <c r="Z443" s="1244"/>
    </row>
    <row r="444" spans="1:26" ht="19.5">
      <c r="A444" s="1259"/>
      <c r="B444" s="1243"/>
      <c r="C444" s="1243" t="s">
        <v>16</v>
      </c>
      <c r="D444" s="1507" t="s">
        <v>17</v>
      </c>
      <c r="E444" s="1485"/>
      <c r="F444" s="1485"/>
      <c r="G444" s="963"/>
      <c r="H444" s="563" t="s">
        <v>12</v>
      </c>
      <c r="I444" s="830"/>
      <c r="J444" s="830"/>
      <c r="K444" s="831"/>
      <c r="L444" s="967">
        <f t="shared" ref="L444:N444" ca="1" si="197">L445+L446</f>
        <v>365500</v>
      </c>
      <c r="M444" s="967">
        <f t="shared" si="197"/>
        <v>0</v>
      </c>
      <c r="N444" s="967">
        <f t="shared" si="197"/>
        <v>85770</v>
      </c>
      <c r="O444" s="967">
        <f t="shared" ref="O444:O449" ca="1" si="198">IF(L444&gt;0,N444*100/L444,0)</f>
        <v>23.466484268125853</v>
      </c>
      <c r="P444" s="967">
        <f t="shared" ref="P444:P449" si="199">IF(M444&gt;0,N444*100/M444,0)</f>
        <v>0</v>
      </c>
      <c r="Q444" s="1244"/>
      <c r="R444" s="1244"/>
      <c r="S444" s="1244"/>
      <c r="T444" s="1244"/>
      <c r="U444" s="1244"/>
      <c r="V444" s="1244"/>
      <c r="W444" s="1244"/>
      <c r="X444" s="1244"/>
      <c r="Y444" s="1244"/>
      <c r="Z444" s="1244"/>
    </row>
    <row r="445" spans="1:26" ht="18.75" hidden="1">
      <c r="A445" s="1260"/>
      <c r="B445" s="1261"/>
      <c r="C445" s="1261"/>
      <c r="D445" s="1262"/>
      <c r="E445" s="1261" t="s">
        <v>184</v>
      </c>
      <c r="F445" s="1261"/>
      <c r="G445" s="1263"/>
      <c r="H445" s="165" t="s">
        <v>12</v>
      </c>
      <c r="I445" s="836"/>
      <c r="J445" s="836"/>
      <c r="K445" s="837"/>
      <c r="L445" s="837">
        <f t="shared" ref="L445:N446" si="200">L448+L455</f>
        <v>0</v>
      </c>
      <c r="M445" s="837">
        <f t="shared" si="200"/>
        <v>0</v>
      </c>
      <c r="N445" s="837">
        <f t="shared" si="200"/>
        <v>0</v>
      </c>
      <c r="O445" s="837">
        <f t="shared" si="198"/>
        <v>0</v>
      </c>
      <c r="P445" s="837">
        <f t="shared" si="199"/>
        <v>0</v>
      </c>
      <c r="Q445" s="1264"/>
      <c r="R445" s="1264"/>
      <c r="S445" s="1264"/>
      <c r="T445" s="1264"/>
      <c r="U445" s="1264"/>
      <c r="V445" s="1264"/>
      <c r="W445" s="1264"/>
      <c r="X445" s="1264"/>
      <c r="Y445" s="1264"/>
      <c r="Z445" s="1264"/>
    </row>
    <row r="446" spans="1:26" ht="18.75" hidden="1">
      <c r="A446" s="1260"/>
      <c r="B446" s="1265"/>
      <c r="C446" s="1261"/>
      <c r="D446" s="1262"/>
      <c r="E446" s="1261" t="s">
        <v>185</v>
      </c>
      <c r="F446" s="1261"/>
      <c r="G446" s="1263"/>
      <c r="H446" s="165" t="s">
        <v>12</v>
      </c>
      <c r="I446" s="836"/>
      <c r="J446" s="836"/>
      <c r="K446" s="837"/>
      <c r="L446" s="837">
        <f t="shared" ca="1" si="200"/>
        <v>365500</v>
      </c>
      <c r="M446" s="837">
        <f t="shared" si="200"/>
        <v>0</v>
      </c>
      <c r="N446" s="837">
        <f t="shared" si="200"/>
        <v>85770</v>
      </c>
      <c r="O446" s="837">
        <f t="shared" ca="1" si="198"/>
        <v>23.466484268125853</v>
      </c>
      <c r="P446" s="837">
        <f t="shared" si="199"/>
        <v>0</v>
      </c>
      <c r="Q446" s="1264"/>
      <c r="R446" s="1264"/>
      <c r="S446" s="1264"/>
      <c r="T446" s="1264"/>
      <c r="U446" s="1264"/>
      <c r="V446" s="1264"/>
      <c r="W446" s="1264"/>
      <c r="X446" s="1264"/>
      <c r="Y446" s="1264"/>
      <c r="Z446" s="1264"/>
    </row>
    <row r="447" spans="1:26" ht="18.75">
      <c r="A447" s="1259"/>
      <c r="B447" s="1242"/>
      <c r="C447" s="1243"/>
      <c r="D447" s="1266" t="s">
        <v>20</v>
      </c>
      <c r="E447" s="1243"/>
      <c r="F447" s="1243"/>
      <c r="G447" s="963"/>
      <c r="H447" s="778" t="s">
        <v>12</v>
      </c>
      <c r="I447" s="944"/>
      <c r="J447" s="944"/>
      <c r="K447" s="945"/>
      <c r="L447" s="831">
        <f t="shared" ref="L447:N447" ca="1" si="201">L448+L449</f>
        <v>365500</v>
      </c>
      <c r="M447" s="831">
        <f t="shared" si="201"/>
        <v>0</v>
      </c>
      <c r="N447" s="831">
        <f t="shared" si="201"/>
        <v>85770</v>
      </c>
      <c r="O447" s="831">
        <f t="shared" ca="1" si="198"/>
        <v>23.466484268125853</v>
      </c>
      <c r="P447" s="831">
        <f t="shared" si="199"/>
        <v>0</v>
      </c>
      <c r="Q447" s="1244"/>
      <c r="R447" s="1244"/>
      <c r="S447" s="1244"/>
      <c r="T447" s="1244"/>
      <c r="U447" s="1244"/>
      <c r="V447" s="1244"/>
      <c r="W447" s="1244"/>
      <c r="X447" s="1244"/>
      <c r="Y447" s="1244"/>
      <c r="Z447" s="1244"/>
    </row>
    <row r="448" spans="1:26" ht="18.75" hidden="1">
      <c r="A448" s="1260"/>
      <c r="B448" s="1265"/>
      <c r="C448" s="1261"/>
      <c r="D448" s="1262"/>
      <c r="E448" s="1261" t="s">
        <v>184</v>
      </c>
      <c r="F448" s="1261"/>
      <c r="G448" s="1263"/>
      <c r="H448" s="165" t="s">
        <v>12</v>
      </c>
      <c r="I448" s="836"/>
      <c r="J448" s="836"/>
      <c r="K448" s="837"/>
      <c r="L448" s="837">
        <v>0</v>
      </c>
      <c r="M448" s="837">
        <v>0</v>
      </c>
      <c r="N448" s="837">
        <v>0</v>
      </c>
      <c r="O448" s="837">
        <f t="shared" si="198"/>
        <v>0</v>
      </c>
      <c r="P448" s="837">
        <f t="shared" si="199"/>
        <v>0</v>
      </c>
      <c r="Q448" s="1264"/>
      <c r="R448" s="1264"/>
      <c r="S448" s="1264"/>
      <c r="T448" s="1264"/>
      <c r="U448" s="1264"/>
      <c r="V448" s="1264"/>
      <c r="W448" s="1264"/>
      <c r="X448" s="1264"/>
      <c r="Y448" s="1264"/>
      <c r="Z448" s="1264"/>
    </row>
    <row r="449" spans="1:26" ht="18.75" hidden="1">
      <c r="A449" s="1260"/>
      <c r="B449" s="1265"/>
      <c r="C449" s="1261"/>
      <c r="D449" s="1262"/>
      <c r="E449" s="1261" t="s">
        <v>185</v>
      </c>
      <c r="F449" s="1261"/>
      <c r="G449" s="1263"/>
      <c r="H449" s="165" t="s">
        <v>12</v>
      </c>
      <c r="I449" s="836"/>
      <c r="J449" s="836"/>
      <c r="K449" s="837"/>
      <c r="L449" s="837">
        <f ca="1">IFERROR(__xludf.DUMMYFUNCTION("IMPORTRANGE(""https://docs.google.com/spreadsheets/d/1QqKyyYR6Q21VydFLVH3TRQUabQu_ym0Zz7PgGX0-kHA/edit?usp=sharing"",""แผน!FJ24"")"),365500)</f>
        <v>365500</v>
      </c>
      <c r="M449" s="837">
        <v>0</v>
      </c>
      <c r="N449" s="837">
        <f>N450+N451+N452+N453</f>
        <v>85770</v>
      </c>
      <c r="O449" s="837">
        <f t="shared" ca="1" si="198"/>
        <v>23.466484268125853</v>
      </c>
      <c r="P449" s="837">
        <f t="shared" si="199"/>
        <v>0</v>
      </c>
      <c r="Q449" s="1264"/>
      <c r="R449" s="1264"/>
      <c r="S449" s="1264"/>
      <c r="T449" s="1264"/>
      <c r="U449" s="1264"/>
      <c r="V449" s="1264"/>
      <c r="W449" s="1264"/>
      <c r="X449" s="1264"/>
      <c r="Y449" s="1264"/>
      <c r="Z449" s="1264"/>
    </row>
    <row r="450" spans="1:26" ht="18.75">
      <c r="A450" s="1241"/>
      <c r="B450" s="1242"/>
      <c r="C450" s="1243"/>
      <c r="D450" s="1243"/>
      <c r="E450" s="1243"/>
      <c r="F450" s="1243" t="s">
        <v>186</v>
      </c>
      <c r="G450" s="963"/>
      <c r="H450" s="778" t="s">
        <v>12</v>
      </c>
      <c r="I450" s="830"/>
      <c r="J450" s="830"/>
      <c r="K450" s="831"/>
      <c r="L450" s="831"/>
      <c r="M450" s="831"/>
      <c r="N450" s="1031">
        <v>44870</v>
      </c>
      <c r="O450" s="831"/>
      <c r="P450" s="831"/>
      <c r="Q450" s="1244"/>
      <c r="R450" s="1244"/>
      <c r="S450" s="1244"/>
      <c r="T450" s="1244"/>
      <c r="U450" s="1244"/>
      <c r="V450" s="1244"/>
      <c r="W450" s="1244"/>
      <c r="X450" s="1244"/>
      <c r="Y450" s="1244"/>
      <c r="Z450" s="1244"/>
    </row>
    <row r="451" spans="1:26" ht="18.75">
      <c r="A451" s="1241"/>
      <c r="B451" s="1242"/>
      <c r="C451" s="1243"/>
      <c r="D451" s="1243"/>
      <c r="E451" s="1243"/>
      <c r="F451" s="1243" t="s">
        <v>187</v>
      </c>
      <c r="G451" s="963"/>
      <c r="H451" s="778" t="s">
        <v>12</v>
      </c>
      <c r="I451" s="830"/>
      <c r="J451" s="830"/>
      <c r="K451" s="831"/>
      <c r="L451" s="831"/>
      <c r="M451" s="831"/>
      <c r="N451" s="1031">
        <v>0</v>
      </c>
      <c r="O451" s="831"/>
      <c r="P451" s="831"/>
      <c r="Q451" s="1244"/>
      <c r="R451" s="1244"/>
      <c r="S451" s="1244"/>
      <c r="T451" s="1244"/>
      <c r="U451" s="1244"/>
      <c r="V451" s="1244"/>
      <c r="W451" s="1244"/>
      <c r="X451" s="1244"/>
      <c r="Y451" s="1244"/>
      <c r="Z451" s="1244"/>
    </row>
    <row r="452" spans="1:26" ht="18.75">
      <c r="A452" s="1241"/>
      <c r="B452" s="1242"/>
      <c r="C452" s="1242"/>
      <c r="D452" s="1242"/>
      <c r="E452" s="1242"/>
      <c r="F452" s="1243" t="s">
        <v>188</v>
      </c>
      <c r="G452" s="963"/>
      <c r="H452" s="778" t="s">
        <v>12</v>
      </c>
      <c r="I452" s="830"/>
      <c r="J452" s="830"/>
      <c r="K452" s="831"/>
      <c r="L452" s="831"/>
      <c r="M452" s="831"/>
      <c r="N452" s="1031">
        <v>39000</v>
      </c>
      <c r="O452" s="831"/>
      <c r="P452" s="831"/>
      <c r="Q452" s="1244"/>
      <c r="R452" s="1244"/>
      <c r="S452" s="1244"/>
      <c r="T452" s="1244"/>
      <c r="U452" s="1244"/>
      <c r="V452" s="1244"/>
      <c r="W452" s="1244"/>
      <c r="X452" s="1244"/>
      <c r="Y452" s="1244"/>
      <c r="Z452" s="1244"/>
    </row>
    <row r="453" spans="1:26" ht="18.75">
      <c r="A453" s="1241"/>
      <c r="B453" s="1242"/>
      <c r="C453" s="1242"/>
      <c r="D453" s="1242"/>
      <c r="E453" s="1242"/>
      <c r="F453" s="1243" t="s">
        <v>189</v>
      </c>
      <c r="G453" s="963"/>
      <c r="H453" s="778" t="s">
        <v>12</v>
      </c>
      <c r="I453" s="830"/>
      <c r="J453" s="830"/>
      <c r="K453" s="831"/>
      <c r="L453" s="831"/>
      <c r="M453" s="831"/>
      <c r="N453" s="1031">
        <v>1900</v>
      </c>
      <c r="O453" s="831"/>
      <c r="P453" s="831"/>
      <c r="Q453" s="1244"/>
      <c r="R453" s="1244"/>
      <c r="S453" s="1244"/>
      <c r="T453" s="1244"/>
      <c r="U453" s="1244"/>
      <c r="V453" s="1244"/>
      <c r="W453" s="1244"/>
      <c r="X453" s="1244"/>
      <c r="Y453" s="1244"/>
      <c r="Z453" s="1244"/>
    </row>
    <row r="454" spans="1:26" ht="18.75">
      <c r="A454" s="1259"/>
      <c r="B454" s="1242"/>
      <c r="C454" s="1242"/>
      <c r="D454" s="1266" t="s">
        <v>21</v>
      </c>
      <c r="E454" s="1242"/>
      <c r="F454" s="1243"/>
      <c r="G454" s="963"/>
      <c r="H454" s="168" t="s">
        <v>12</v>
      </c>
      <c r="I454" s="944"/>
      <c r="J454" s="944"/>
      <c r="K454" s="945"/>
      <c r="L454" s="831">
        <f t="shared" ref="L454:N454" ca="1" si="202">L455+L456</f>
        <v>0</v>
      </c>
      <c r="M454" s="831">
        <f t="shared" si="202"/>
        <v>0</v>
      </c>
      <c r="N454" s="831">
        <f t="shared" si="202"/>
        <v>0</v>
      </c>
      <c r="O454" s="831">
        <f t="shared" ref="O454:O456" ca="1" si="203">IF(L454&gt;0,N454*100/L454,0)</f>
        <v>0</v>
      </c>
      <c r="P454" s="831">
        <f t="shared" ref="P454:P456" si="204">IF(M454&gt;0,N454*100/M454,0)</f>
        <v>0</v>
      </c>
      <c r="Q454" s="1244"/>
      <c r="R454" s="1244"/>
      <c r="S454" s="1244"/>
      <c r="T454" s="1244"/>
      <c r="U454" s="1244"/>
      <c r="V454" s="1244"/>
      <c r="W454" s="1244"/>
      <c r="X454" s="1244"/>
      <c r="Y454" s="1244"/>
      <c r="Z454" s="1244"/>
    </row>
    <row r="455" spans="1:26" ht="18.75" hidden="1">
      <c r="A455" s="1260"/>
      <c r="B455" s="1265"/>
      <c r="C455" s="1265"/>
      <c r="D455" s="1265"/>
      <c r="E455" s="1265" t="s">
        <v>18</v>
      </c>
      <c r="F455" s="1261"/>
      <c r="G455" s="1263"/>
      <c r="H455" s="165" t="s">
        <v>12</v>
      </c>
      <c r="I455" s="947"/>
      <c r="J455" s="947"/>
      <c r="K455" s="948"/>
      <c r="L455" s="837">
        <v>0</v>
      </c>
      <c r="M455" s="837">
        <v>0</v>
      </c>
      <c r="N455" s="837">
        <v>0</v>
      </c>
      <c r="O455" s="837">
        <f t="shared" si="203"/>
        <v>0</v>
      </c>
      <c r="P455" s="837">
        <f t="shared" si="204"/>
        <v>0</v>
      </c>
      <c r="Q455" s="1264"/>
      <c r="R455" s="1264"/>
      <c r="S455" s="1264"/>
      <c r="T455" s="1264"/>
      <c r="U455" s="1264"/>
      <c r="V455" s="1264"/>
      <c r="W455" s="1264"/>
      <c r="X455" s="1264"/>
      <c r="Y455" s="1264"/>
      <c r="Z455" s="1264"/>
    </row>
    <row r="456" spans="1:26" ht="18.75" hidden="1">
      <c r="A456" s="1260"/>
      <c r="B456" s="1265"/>
      <c r="C456" s="1265"/>
      <c r="D456" s="1265"/>
      <c r="E456" s="1265" t="s">
        <v>19</v>
      </c>
      <c r="F456" s="1261"/>
      <c r="G456" s="1263"/>
      <c r="H456" s="169" t="s">
        <v>12</v>
      </c>
      <c r="I456" s="947"/>
      <c r="J456" s="947"/>
      <c r="K456" s="948"/>
      <c r="L456" s="837">
        <f ca="1">IFERROR(__xludf.DUMMYFUNCTION("IMPORTRANGE(""https://docs.google.com/spreadsheets/d/1QqKyyYR6Q21VydFLVH3TRQUabQu_ym0Zz7PgGX0-kHA/edit?usp=sharing"",""แผน!FM24"")"),0)</f>
        <v>0</v>
      </c>
      <c r="M456" s="837">
        <v>0</v>
      </c>
      <c r="N456" s="837">
        <v>0</v>
      </c>
      <c r="O456" s="837">
        <f t="shared" ca="1" si="203"/>
        <v>0</v>
      </c>
      <c r="P456" s="837">
        <f t="shared" si="204"/>
        <v>0</v>
      </c>
      <c r="Q456" s="1264"/>
      <c r="R456" s="1264"/>
      <c r="S456" s="1264"/>
      <c r="T456" s="1264"/>
      <c r="U456" s="1264"/>
      <c r="V456" s="1264"/>
      <c r="W456" s="1264"/>
      <c r="X456" s="1264"/>
      <c r="Y456" s="1264"/>
      <c r="Z456" s="1264"/>
    </row>
    <row r="457" spans="1:26" ht="19.5">
      <c r="A457" s="1267"/>
      <c r="B457" s="1268"/>
      <c r="C457" s="1242" t="s">
        <v>16</v>
      </c>
      <c r="D457" s="1269" t="s">
        <v>38</v>
      </c>
      <c r="E457" s="1270"/>
      <c r="F457" s="1271"/>
      <c r="G457" s="1272"/>
      <c r="H457" s="954"/>
      <c r="I457" s="830"/>
      <c r="J457" s="830"/>
      <c r="K457" s="831"/>
      <c r="L457" s="831"/>
      <c r="M457" s="831"/>
      <c r="N457" s="831"/>
      <c r="O457" s="831"/>
      <c r="P457" s="831"/>
      <c r="Q457" s="1244"/>
      <c r="R457" s="1244"/>
      <c r="S457" s="1244"/>
      <c r="T457" s="1244"/>
      <c r="U457" s="1244"/>
      <c r="V457" s="1244"/>
      <c r="W457" s="1244"/>
      <c r="X457" s="1244"/>
      <c r="Y457" s="1244"/>
      <c r="Z457" s="1244"/>
    </row>
    <row r="458" spans="1:26" ht="18.75" hidden="1">
      <c r="A458" s="1273"/>
      <c r="B458" s="1274"/>
      <c r="C458" s="1274"/>
      <c r="D458" s="1274" t="s">
        <v>200</v>
      </c>
      <c r="E458" s="1274"/>
      <c r="F458" s="1262"/>
      <c r="G458" s="1060"/>
      <c r="H458" s="583" t="s">
        <v>35</v>
      </c>
      <c r="I458" s="836">
        <v>0</v>
      </c>
      <c r="J458" s="836">
        <v>0</v>
      </c>
      <c r="K458" s="837">
        <f>IF(I458&gt;0,J458*100/I458,0)</f>
        <v>0</v>
      </c>
      <c r="L458" s="837"/>
      <c r="M458" s="837"/>
      <c r="N458" s="837"/>
      <c r="O458" s="837"/>
      <c r="P458" s="837"/>
      <c r="Q458" s="1264"/>
      <c r="R458" s="1264"/>
      <c r="S458" s="1264"/>
      <c r="T458" s="1264"/>
      <c r="U458" s="1264"/>
      <c r="V458" s="1264"/>
      <c r="W458" s="1264"/>
      <c r="X458" s="1264"/>
      <c r="Y458" s="1264"/>
      <c r="Z458" s="1264"/>
    </row>
    <row r="459" spans="1:26" ht="18.75" hidden="1">
      <c r="A459" s="1273"/>
      <c r="B459" s="1274"/>
      <c r="C459" s="1274"/>
      <c r="D459" s="1274" t="s">
        <v>201</v>
      </c>
      <c r="E459" s="1274"/>
      <c r="F459" s="1262"/>
      <c r="G459" s="1060"/>
      <c r="H459" s="583"/>
      <c r="I459" s="836"/>
      <c r="J459" s="836"/>
      <c r="K459" s="837"/>
      <c r="L459" s="837"/>
      <c r="M459" s="837"/>
      <c r="N459" s="837"/>
      <c r="O459" s="837"/>
      <c r="P459" s="837"/>
      <c r="Q459" s="1264"/>
      <c r="R459" s="1264"/>
      <c r="S459" s="1264"/>
      <c r="T459" s="1264"/>
      <c r="U459" s="1264"/>
      <c r="V459" s="1264"/>
      <c r="W459" s="1264"/>
      <c r="X459" s="1264"/>
      <c r="Y459" s="1264"/>
      <c r="Z459" s="1264"/>
    </row>
    <row r="460" spans="1:26" ht="18.75">
      <c r="A460" s="1267"/>
      <c r="B460" s="1268"/>
      <c r="C460" s="1268"/>
      <c r="D460" s="1268" t="s">
        <v>202</v>
      </c>
      <c r="E460" s="1268"/>
      <c r="F460" s="961"/>
      <c r="G460" s="954"/>
      <c r="H460" s="730" t="s">
        <v>35</v>
      </c>
      <c r="I460" s="830">
        <f ca="1">IFERROR(__xludf.DUMMYFUNCTION("IMPORTRANGE(""https://docs.google.com/spreadsheets/d/1QqKyyYR6Q21VydFLVH3TRQUabQu_ym0Zz7PgGX0-kHA/edit?usp=sharing"",""แผน!FN24"")"),55)</f>
        <v>55</v>
      </c>
      <c r="J460" s="959">
        <v>55</v>
      </c>
      <c r="K460" s="831">
        <f ca="1">IF(I460&gt;0,J460*100/I460,0)</f>
        <v>100</v>
      </c>
      <c r="L460" s="831"/>
      <c r="M460" s="831"/>
      <c r="N460" s="831"/>
      <c r="O460" s="831"/>
      <c r="P460" s="831"/>
      <c r="Q460" s="1244"/>
      <c r="R460" s="1244"/>
      <c r="S460" s="1244"/>
      <c r="T460" s="1244"/>
      <c r="U460" s="1244"/>
      <c r="V460" s="1244"/>
      <c r="W460" s="1244"/>
      <c r="X460" s="1244"/>
      <c r="Y460" s="1244"/>
      <c r="Z460" s="1244"/>
    </row>
    <row r="461" spans="1:26" ht="18.75">
      <c r="A461" s="1267"/>
      <c r="B461" s="1268"/>
      <c r="C461" s="1268"/>
      <c r="D461" s="1268" t="s">
        <v>203</v>
      </c>
      <c r="E461" s="961"/>
      <c r="F461" s="961"/>
      <c r="G461" s="954"/>
      <c r="H461" s="730"/>
      <c r="I461" s="830"/>
      <c r="J461" s="830"/>
      <c r="K461" s="831"/>
      <c r="L461" s="831"/>
      <c r="M461" s="831"/>
      <c r="N461" s="831"/>
      <c r="O461" s="831"/>
      <c r="P461" s="831"/>
      <c r="Q461" s="1244"/>
      <c r="R461" s="1244"/>
      <c r="S461" s="1244"/>
      <c r="T461" s="1244"/>
      <c r="U461" s="1244"/>
      <c r="V461" s="1244"/>
      <c r="W461" s="1244"/>
      <c r="X461" s="1244"/>
      <c r="Y461" s="1244"/>
      <c r="Z461" s="1244"/>
    </row>
    <row r="462" spans="1:26" ht="18.75">
      <c r="A462" s="1267"/>
      <c r="B462" s="1268"/>
      <c r="C462" s="1268"/>
      <c r="D462" s="1268" t="s">
        <v>204</v>
      </c>
      <c r="E462" s="961"/>
      <c r="F462" s="961"/>
      <c r="G462" s="954"/>
      <c r="H462" s="730" t="s">
        <v>46</v>
      </c>
      <c r="I462" s="830">
        <f ca="1">IFERROR(__xludf.DUMMYFUNCTION("IMPORTRANGE(""https://docs.google.com/spreadsheets/d/1QqKyyYR6Q21VydFLVH3TRQUabQu_ym0Zz7PgGX0-kHA/edit?usp=sharing"",""แผน!FO24"")"),110)</f>
        <v>110</v>
      </c>
      <c r="J462" s="959">
        <v>110</v>
      </c>
      <c r="K462" s="831">
        <f ca="1">IF(I462&gt;0,J462*100/I462,0)</f>
        <v>100</v>
      </c>
      <c r="L462" s="831"/>
      <c r="M462" s="831"/>
      <c r="N462" s="831"/>
      <c r="O462" s="831"/>
      <c r="P462" s="831"/>
      <c r="Q462" s="1244"/>
      <c r="R462" s="1244"/>
      <c r="S462" s="1244"/>
      <c r="T462" s="1244"/>
      <c r="U462" s="1244"/>
      <c r="V462" s="1244"/>
      <c r="W462" s="1244"/>
      <c r="X462" s="1244"/>
      <c r="Y462" s="1244"/>
      <c r="Z462" s="1244"/>
    </row>
    <row r="463" spans="1:26" ht="18.75">
      <c r="A463" s="1267"/>
      <c r="B463" s="1268"/>
      <c r="C463" s="1268"/>
      <c r="D463" s="1268" t="s">
        <v>59</v>
      </c>
      <c r="E463" s="961"/>
      <c r="F463" s="1243"/>
      <c r="G463" s="963"/>
      <c r="H463" s="730" t="s">
        <v>46</v>
      </c>
      <c r="I463" s="830">
        <f ca="1">IFERROR(__xludf.DUMMYFUNCTION("IMPORTRANGE(""https://docs.google.com/spreadsheets/d/1QqKyyYR6Q21VydFLVH3TRQUabQu_ym0Zz7PgGX0-kHA/edit?usp=sharing"",""แผน!FO24"")"),110)</f>
        <v>110</v>
      </c>
      <c r="J463" s="959">
        <v>0</v>
      </c>
      <c r="K463" s="831"/>
      <c r="L463" s="831"/>
      <c r="M463" s="831"/>
      <c r="N463" s="831"/>
      <c r="O463" s="831"/>
      <c r="P463" s="831"/>
      <c r="Q463" s="1244"/>
      <c r="R463" s="1244"/>
      <c r="S463" s="1244"/>
      <c r="T463" s="1244"/>
      <c r="U463" s="1244"/>
      <c r="V463" s="1244"/>
      <c r="W463" s="1244"/>
      <c r="X463" s="1244"/>
      <c r="Y463" s="1244"/>
      <c r="Z463" s="1244"/>
    </row>
    <row r="464" spans="1:26" ht="19.5">
      <c r="A464" s="1267"/>
      <c r="B464" s="1268"/>
      <c r="C464" s="1268"/>
      <c r="D464" s="1268"/>
      <c r="E464" s="961"/>
      <c r="F464" s="961"/>
      <c r="G464" s="1275"/>
      <c r="H464" s="730" t="s">
        <v>35</v>
      </c>
      <c r="I464" s="830">
        <f ca="1">IFERROR(__xludf.DUMMYFUNCTION("IMPORTRANGE(""https://docs.google.com/spreadsheets/d/1QqKyyYR6Q21VydFLVH3TRQUabQu_ym0Zz7PgGX0-kHA/edit?usp=sharing"",""แผน!FN24"")"),55)</f>
        <v>55</v>
      </c>
      <c r="J464" s="959">
        <v>0</v>
      </c>
      <c r="K464" s="831"/>
      <c r="L464" s="831"/>
      <c r="M464" s="831"/>
      <c r="N464" s="831"/>
      <c r="O464" s="831"/>
      <c r="P464" s="831"/>
      <c r="Q464" s="1244"/>
      <c r="R464" s="1244"/>
      <c r="S464" s="1244"/>
      <c r="T464" s="1244"/>
      <c r="U464" s="1244"/>
      <c r="V464" s="1244"/>
      <c r="W464" s="1244"/>
      <c r="X464" s="1244"/>
      <c r="Y464" s="1244"/>
      <c r="Z464" s="1244"/>
    </row>
    <row r="465" spans="1:26" ht="19.5">
      <c r="A465" s="550">
        <v>3</v>
      </c>
      <c r="B465" s="1249" t="s">
        <v>205</v>
      </c>
      <c r="C465" s="1250"/>
      <c r="D465" s="1250"/>
      <c r="E465" s="1250"/>
      <c r="F465" s="1250"/>
      <c r="G465" s="1251"/>
      <c r="H465" s="554" t="s">
        <v>35</v>
      </c>
      <c r="I465" s="1252">
        <f ca="1">IFERROR(__xludf.DUMMYFUNCTION("IMPORTRANGE(""https://docs.google.com/spreadsheets/d/1QqKyyYR6Q21VydFLVH3TRQUabQu_ym0Zz7PgGX0-kHA/edit?usp=sharing"",""แผน!FX24"")"),131)</f>
        <v>131</v>
      </c>
      <c r="J465" s="1252">
        <f>J485+J489+J492</f>
        <v>131</v>
      </c>
      <c r="K465" s="1253">
        <f t="shared" ref="K465:K466" ca="1" si="205">IF(I465&gt;0,J465*100/I465,0)</f>
        <v>100</v>
      </c>
      <c r="L465" s="1254"/>
      <c r="M465" s="1254"/>
      <c r="N465" s="1254"/>
      <c r="O465" s="1254"/>
      <c r="P465" s="1254"/>
      <c r="Q465" s="1244"/>
      <c r="R465" s="1244"/>
      <c r="S465" s="1244"/>
      <c r="T465" s="1244"/>
      <c r="U465" s="1244"/>
      <c r="V465" s="1244"/>
      <c r="W465" s="1244"/>
      <c r="X465" s="1244"/>
      <c r="Y465" s="1244"/>
      <c r="Z465" s="1244"/>
    </row>
    <row r="466" spans="1:26" ht="19.5">
      <c r="A466" s="1255"/>
      <c r="B466" s="1256"/>
      <c r="C466" s="1257"/>
      <c r="D466" s="1257"/>
      <c r="E466" s="1257"/>
      <c r="F466" s="1257"/>
      <c r="G466" s="1258"/>
      <c r="H466" s="532" t="s">
        <v>46</v>
      </c>
      <c r="I466" s="1237">
        <f ca="1">IFERROR(__xludf.DUMMYFUNCTION("IMPORTRANGE(""https://docs.google.com/spreadsheets/d/1QqKyyYR6Q21VydFLVH3TRQUabQu_ym0Zz7PgGX0-kHA/edit?usp=sharing"",""แผน!FW24"")"),1300)</f>
        <v>1300</v>
      </c>
      <c r="J466" s="1237">
        <f>J495+J498</f>
        <v>0</v>
      </c>
      <c r="K466" s="1238">
        <f t="shared" ca="1" si="205"/>
        <v>0</v>
      </c>
      <c r="L466" s="1239"/>
      <c r="M466" s="1239"/>
      <c r="N466" s="1239"/>
      <c r="O466" s="1239"/>
      <c r="P466" s="1239"/>
      <c r="Q466" s="1244"/>
      <c r="R466" s="1244"/>
      <c r="S466" s="1244"/>
      <c r="T466" s="1244"/>
      <c r="U466" s="1244"/>
      <c r="V466" s="1244"/>
      <c r="W466" s="1244"/>
      <c r="X466" s="1244"/>
      <c r="Y466" s="1244"/>
      <c r="Z466" s="1244"/>
    </row>
    <row r="467" spans="1:26" ht="19.5">
      <c r="A467" s="1259"/>
      <c r="B467" s="1243"/>
      <c r="C467" s="1243" t="s">
        <v>16</v>
      </c>
      <c r="D467" s="1507" t="s">
        <v>17</v>
      </c>
      <c r="E467" s="1485"/>
      <c r="F467" s="1485"/>
      <c r="G467" s="963"/>
      <c r="H467" s="563" t="s">
        <v>12</v>
      </c>
      <c r="I467" s="830"/>
      <c r="J467" s="830"/>
      <c r="K467" s="831"/>
      <c r="L467" s="967">
        <f t="shared" ref="L467:N467" ca="1" si="206">L468+L469</f>
        <v>1170748</v>
      </c>
      <c r="M467" s="967">
        <f t="shared" si="206"/>
        <v>0</v>
      </c>
      <c r="N467" s="967">
        <f t="shared" si="206"/>
        <v>119455</v>
      </c>
      <c r="O467" s="967">
        <f t="shared" ref="O467:O472" ca="1" si="207">IF(L467&gt;0,N467*100/L467,0)</f>
        <v>10.20330592065927</v>
      </c>
      <c r="P467" s="967">
        <f t="shared" ref="P467:P472" si="208">IF(M467&gt;0,N467*100/M467,0)</f>
        <v>0</v>
      </c>
      <c r="Q467" s="1244"/>
      <c r="R467" s="1244"/>
      <c r="S467" s="1244"/>
      <c r="T467" s="1244"/>
      <c r="U467" s="1244"/>
      <c r="V467" s="1244"/>
      <c r="W467" s="1244"/>
      <c r="X467" s="1244"/>
      <c r="Y467" s="1244"/>
      <c r="Z467" s="1244"/>
    </row>
    <row r="468" spans="1:26" ht="18.75" hidden="1">
      <c r="A468" s="1260"/>
      <c r="B468" s="1261"/>
      <c r="C468" s="1261"/>
      <c r="D468" s="1262"/>
      <c r="E468" s="1261" t="s">
        <v>184</v>
      </c>
      <c r="F468" s="1261"/>
      <c r="G468" s="1263"/>
      <c r="H468" s="165" t="s">
        <v>12</v>
      </c>
      <c r="I468" s="836"/>
      <c r="J468" s="836"/>
      <c r="K468" s="837"/>
      <c r="L468" s="837">
        <f t="shared" ref="L468:N469" si="209">L471+L478</f>
        <v>0</v>
      </c>
      <c r="M468" s="837">
        <f t="shared" si="209"/>
        <v>0</v>
      </c>
      <c r="N468" s="837">
        <f t="shared" si="209"/>
        <v>0</v>
      </c>
      <c r="O468" s="837">
        <f t="shared" si="207"/>
        <v>0</v>
      </c>
      <c r="P468" s="837">
        <f t="shared" si="208"/>
        <v>0</v>
      </c>
      <c r="Q468" s="1264"/>
      <c r="R468" s="1264"/>
      <c r="S468" s="1264"/>
      <c r="T468" s="1264"/>
      <c r="U468" s="1264"/>
      <c r="V468" s="1264"/>
      <c r="W468" s="1264"/>
      <c r="X468" s="1264"/>
      <c r="Y468" s="1264"/>
      <c r="Z468" s="1264"/>
    </row>
    <row r="469" spans="1:26" ht="18.75" hidden="1">
      <c r="A469" s="1260"/>
      <c r="B469" s="1265"/>
      <c r="C469" s="1261"/>
      <c r="D469" s="1262"/>
      <c r="E469" s="1261" t="s">
        <v>185</v>
      </c>
      <c r="F469" s="1261"/>
      <c r="G469" s="1263"/>
      <c r="H469" s="165" t="s">
        <v>12</v>
      </c>
      <c r="I469" s="836"/>
      <c r="J469" s="836"/>
      <c r="K469" s="837"/>
      <c r="L469" s="837">
        <f t="shared" ca="1" si="209"/>
        <v>1170748</v>
      </c>
      <c r="M469" s="837">
        <f t="shared" si="209"/>
        <v>0</v>
      </c>
      <c r="N469" s="837">
        <f t="shared" si="209"/>
        <v>119455</v>
      </c>
      <c r="O469" s="837">
        <f t="shared" ca="1" si="207"/>
        <v>10.20330592065927</v>
      </c>
      <c r="P469" s="837">
        <f t="shared" si="208"/>
        <v>0</v>
      </c>
      <c r="Q469" s="1264"/>
      <c r="R469" s="1264"/>
      <c r="S469" s="1264"/>
      <c r="T469" s="1264"/>
      <c r="U469" s="1264"/>
      <c r="V469" s="1264"/>
      <c r="W469" s="1264"/>
      <c r="X469" s="1264"/>
      <c r="Y469" s="1264"/>
      <c r="Z469" s="1264"/>
    </row>
    <row r="470" spans="1:26" ht="18.75">
      <c r="A470" s="1259"/>
      <c r="B470" s="1242"/>
      <c r="C470" s="1243"/>
      <c r="D470" s="1266" t="s">
        <v>20</v>
      </c>
      <c r="E470" s="1243"/>
      <c r="F470" s="1243"/>
      <c r="G470" s="963"/>
      <c r="H470" s="778" t="s">
        <v>12</v>
      </c>
      <c r="I470" s="944"/>
      <c r="J470" s="944"/>
      <c r="K470" s="945"/>
      <c r="L470" s="831">
        <f t="shared" ref="L470:N470" ca="1" si="210">L471+L472</f>
        <v>1170748</v>
      </c>
      <c r="M470" s="831">
        <f t="shared" si="210"/>
        <v>0</v>
      </c>
      <c r="N470" s="831">
        <f t="shared" si="210"/>
        <v>119455</v>
      </c>
      <c r="O470" s="831">
        <f t="shared" ca="1" si="207"/>
        <v>10.20330592065927</v>
      </c>
      <c r="P470" s="831">
        <f t="shared" si="208"/>
        <v>0</v>
      </c>
      <c r="Q470" s="1244"/>
      <c r="R470" s="1244"/>
      <c r="S470" s="1244"/>
      <c r="T470" s="1244"/>
      <c r="U470" s="1244"/>
      <c r="V470" s="1244"/>
      <c r="W470" s="1244"/>
      <c r="X470" s="1244"/>
      <c r="Y470" s="1244"/>
      <c r="Z470" s="1244"/>
    </row>
    <row r="471" spans="1:26" ht="18.75" hidden="1">
      <c r="A471" s="1260"/>
      <c r="B471" s="1265"/>
      <c r="C471" s="1261"/>
      <c r="D471" s="1262"/>
      <c r="E471" s="1261" t="s">
        <v>184</v>
      </c>
      <c r="F471" s="1261"/>
      <c r="G471" s="1263"/>
      <c r="H471" s="165" t="s">
        <v>12</v>
      </c>
      <c r="I471" s="836"/>
      <c r="J471" s="836"/>
      <c r="K471" s="837"/>
      <c r="L471" s="837">
        <v>0</v>
      </c>
      <c r="M471" s="837">
        <v>0</v>
      </c>
      <c r="N471" s="837">
        <v>0</v>
      </c>
      <c r="O471" s="837">
        <f t="shared" si="207"/>
        <v>0</v>
      </c>
      <c r="P471" s="837">
        <f t="shared" si="208"/>
        <v>0</v>
      </c>
      <c r="Q471" s="1264"/>
      <c r="R471" s="1264"/>
      <c r="S471" s="1264"/>
      <c r="T471" s="1264"/>
      <c r="U471" s="1264"/>
      <c r="V471" s="1264"/>
      <c r="W471" s="1264"/>
      <c r="X471" s="1264"/>
      <c r="Y471" s="1264"/>
      <c r="Z471" s="1264"/>
    </row>
    <row r="472" spans="1:26" ht="18.75" hidden="1">
      <c r="A472" s="1260"/>
      <c r="B472" s="1265"/>
      <c r="C472" s="1261"/>
      <c r="D472" s="1262"/>
      <c r="E472" s="1261" t="s">
        <v>185</v>
      </c>
      <c r="F472" s="1261"/>
      <c r="G472" s="1263"/>
      <c r="H472" s="165" t="s">
        <v>12</v>
      </c>
      <c r="I472" s="836"/>
      <c r="J472" s="836"/>
      <c r="K472" s="837"/>
      <c r="L472" s="837">
        <f ca="1">IFERROR(__xludf.DUMMYFUNCTION("IMPORTRANGE(""https://docs.google.com/spreadsheets/d/1QqKyyYR6Q21VydFLVH3TRQUabQu_ym0Zz7PgGX0-kHA/edit?usp=sharing"",""แผน!FS24"")"),1170748)</f>
        <v>1170748</v>
      </c>
      <c r="M472" s="837">
        <v>0</v>
      </c>
      <c r="N472" s="837">
        <f>N473+N474+N475+N476</f>
        <v>119455</v>
      </c>
      <c r="O472" s="837">
        <f t="shared" ca="1" si="207"/>
        <v>10.20330592065927</v>
      </c>
      <c r="P472" s="837">
        <f t="shared" si="208"/>
        <v>0</v>
      </c>
      <c r="Q472" s="1264"/>
      <c r="R472" s="1264"/>
      <c r="S472" s="1264"/>
      <c r="T472" s="1264"/>
      <c r="U472" s="1264"/>
      <c r="V472" s="1264"/>
      <c r="W472" s="1264"/>
      <c r="X472" s="1264"/>
      <c r="Y472" s="1264"/>
      <c r="Z472" s="1264"/>
    </row>
    <row r="473" spans="1:26" ht="18.75">
      <c r="A473" s="1241"/>
      <c r="B473" s="1242"/>
      <c r="C473" s="1243"/>
      <c r="D473" s="1243"/>
      <c r="E473" s="1243"/>
      <c r="F473" s="1243" t="s">
        <v>186</v>
      </c>
      <c r="G473" s="963"/>
      <c r="H473" s="778" t="s">
        <v>12</v>
      </c>
      <c r="I473" s="830"/>
      <c r="J473" s="830"/>
      <c r="K473" s="831"/>
      <c r="L473" s="831"/>
      <c r="M473" s="831"/>
      <c r="N473" s="1031">
        <v>72175</v>
      </c>
      <c r="O473" s="831"/>
      <c r="P473" s="831"/>
      <c r="Q473" s="1244"/>
      <c r="R473" s="1244"/>
      <c r="S473" s="1244"/>
      <c r="T473" s="1244"/>
      <c r="U473" s="1244"/>
      <c r="V473" s="1244"/>
      <c r="W473" s="1244"/>
      <c r="X473" s="1244"/>
      <c r="Y473" s="1244"/>
      <c r="Z473" s="1244"/>
    </row>
    <row r="474" spans="1:26" ht="18.75">
      <c r="A474" s="1241"/>
      <c r="B474" s="1242"/>
      <c r="C474" s="1243"/>
      <c r="D474" s="1243"/>
      <c r="E474" s="1243"/>
      <c r="F474" s="1243" t="s">
        <v>187</v>
      </c>
      <c r="G474" s="963"/>
      <c r="H474" s="778" t="s">
        <v>12</v>
      </c>
      <c r="I474" s="830"/>
      <c r="J474" s="830"/>
      <c r="K474" s="831"/>
      <c r="L474" s="831"/>
      <c r="M474" s="831"/>
      <c r="N474" s="1031">
        <v>0</v>
      </c>
      <c r="O474" s="831"/>
      <c r="P474" s="831"/>
      <c r="Q474" s="1244"/>
      <c r="R474" s="1244"/>
      <c r="S474" s="1244"/>
      <c r="T474" s="1244"/>
      <c r="U474" s="1244"/>
      <c r="V474" s="1244"/>
      <c r="W474" s="1244"/>
      <c r="X474" s="1244"/>
      <c r="Y474" s="1244"/>
      <c r="Z474" s="1244"/>
    </row>
    <row r="475" spans="1:26" ht="18.75">
      <c r="A475" s="1241"/>
      <c r="B475" s="1242"/>
      <c r="C475" s="1242"/>
      <c r="D475" s="1242"/>
      <c r="E475" s="1242"/>
      <c r="F475" s="1243" t="s">
        <v>188</v>
      </c>
      <c r="G475" s="963"/>
      <c r="H475" s="778" t="s">
        <v>12</v>
      </c>
      <c r="I475" s="830"/>
      <c r="J475" s="830"/>
      <c r="K475" s="831"/>
      <c r="L475" s="831"/>
      <c r="M475" s="831"/>
      <c r="N475" s="1031">
        <v>39000</v>
      </c>
      <c r="O475" s="831"/>
      <c r="P475" s="831"/>
      <c r="Q475" s="1244"/>
      <c r="R475" s="1244"/>
      <c r="S475" s="1244"/>
      <c r="T475" s="1244"/>
      <c r="U475" s="1244"/>
      <c r="V475" s="1244"/>
      <c r="W475" s="1244"/>
      <c r="X475" s="1244"/>
      <c r="Y475" s="1244"/>
      <c r="Z475" s="1244"/>
    </row>
    <row r="476" spans="1:26" ht="18.75">
      <c r="A476" s="1241"/>
      <c r="B476" s="1242"/>
      <c r="C476" s="1242"/>
      <c r="D476" s="1242"/>
      <c r="E476" s="1242"/>
      <c r="F476" s="1243" t="s">
        <v>189</v>
      </c>
      <c r="G476" s="963"/>
      <c r="H476" s="778" t="s">
        <v>12</v>
      </c>
      <c r="I476" s="830"/>
      <c r="J476" s="830"/>
      <c r="K476" s="831"/>
      <c r="L476" s="831"/>
      <c r="M476" s="831"/>
      <c r="N476" s="1031">
        <v>8280</v>
      </c>
      <c r="O476" s="831"/>
      <c r="P476" s="831"/>
      <c r="Q476" s="1244"/>
      <c r="R476" s="1244"/>
      <c r="S476" s="1244"/>
      <c r="T476" s="1244"/>
      <c r="U476" s="1244"/>
      <c r="V476" s="1244"/>
      <c r="W476" s="1244"/>
      <c r="X476" s="1244"/>
      <c r="Y476" s="1244"/>
      <c r="Z476" s="1244"/>
    </row>
    <row r="477" spans="1:26" ht="18.75">
      <c r="A477" s="1259"/>
      <c r="B477" s="1242"/>
      <c r="C477" s="1242"/>
      <c r="D477" s="1266" t="s">
        <v>21</v>
      </c>
      <c r="E477" s="1242"/>
      <c r="F477" s="1242"/>
      <c r="G477" s="963"/>
      <c r="H477" s="168" t="s">
        <v>12</v>
      </c>
      <c r="I477" s="944"/>
      <c r="J477" s="944"/>
      <c r="K477" s="945"/>
      <c r="L477" s="831">
        <f t="shared" ref="L477:N477" ca="1" si="211">L478+L479</f>
        <v>0</v>
      </c>
      <c r="M477" s="831">
        <f t="shared" si="211"/>
        <v>0</v>
      </c>
      <c r="N477" s="831">
        <f t="shared" si="211"/>
        <v>0</v>
      </c>
      <c r="O477" s="831">
        <f t="shared" ref="O477:O479" ca="1" si="212">IF(L477&gt;0,N477*100/L477,0)</f>
        <v>0</v>
      </c>
      <c r="P477" s="831">
        <f t="shared" ref="P477:P479" si="213">IF(M477&gt;0,N477*100/M477,0)</f>
        <v>0</v>
      </c>
      <c r="Q477" s="1244"/>
      <c r="R477" s="1244"/>
      <c r="S477" s="1244"/>
      <c r="T477" s="1244"/>
      <c r="U477" s="1244"/>
      <c r="V477" s="1244"/>
      <c r="W477" s="1244"/>
      <c r="X477" s="1244"/>
      <c r="Y477" s="1244"/>
      <c r="Z477" s="1244"/>
    </row>
    <row r="478" spans="1:26" ht="18.75" hidden="1">
      <c r="A478" s="1260"/>
      <c r="B478" s="1265"/>
      <c r="C478" s="1265"/>
      <c r="D478" s="1265"/>
      <c r="E478" s="1265" t="s">
        <v>18</v>
      </c>
      <c r="F478" s="1265"/>
      <c r="G478" s="1263"/>
      <c r="H478" s="165" t="s">
        <v>12</v>
      </c>
      <c r="I478" s="947"/>
      <c r="J478" s="947"/>
      <c r="K478" s="948"/>
      <c r="L478" s="837">
        <v>0</v>
      </c>
      <c r="M478" s="837">
        <v>0</v>
      </c>
      <c r="N478" s="837">
        <v>0</v>
      </c>
      <c r="O478" s="837">
        <f t="shared" si="212"/>
        <v>0</v>
      </c>
      <c r="P478" s="837">
        <f t="shared" si="213"/>
        <v>0</v>
      </c>
      <c r="Q478" s="1264"/>
      <c r="R478" s="1264"/>
      <c r="S478" s="1264"/>
      <c r="T478" s="1264"/>
      <c r="U478" s="1264"/>
      <c r="V478" s="1264"/>
      <c r="W478" s="1264"/>
      <c r="X478" s="1264"/>
      <c r="Y478" s="1264"/>
      <c r="Z478" s="1264"/>
    </row>
    <row r="479" spans="1:26" ht="18.75" hidden="1">
      <c r="A479" s="1260"/>
      <c r="B479" s="1265"/>
      <c r="C479" s="1265"/>
      <c r="D479" s="1265"/>
      <c r="E479" s="1265" t="s">
        <v>19</v>
      </c>
      <c r="F479" s="1265"/>
      <c r="G479" s="1263"/>
      <c r="H479" s="169" t="s">
        <v>12</v>
      </c>
      <c r="I479" s="947"/>
      <c r="J479" s="947"/>
      <c r="K479" s="948"/>
      <c r="L479" s="837">
        <f ca="1">IFERROR(__xludf.DUMMYFUNCTION("IMPORTRANGE(""https://docs.google.com/spreadsheets/d/1QqKyyYR6Q21VydFLVH3TRQUabQu_ym0Zz7PgGX0-kHA/edit?usp=sharing"",""แผน!FV24"")"),0)</f>
        <v>0</v>
      </c>
      <c r="M479" s="837">
        <v>0</v>
      </c>
      <c r="N479" s="837">
        <v>0</v>
      </c>
      <c r="O479" s="837">
        <f t="shared" ca="1" si="212"/>
        <v>0</v>
      </c>
      <c r="P479" s="837">
        <f t="shared" si="213"/>
        <v>0</v>
      </c>
      <c r="Q479" s="1264"/>
      <c r="R479" s="1264"/>
      <c r="S479" s="1264"/>
      <c r="T479" s="1264"/>
      <c r="U479" s="1264"/>
      <c r="V479" s="1264"/>
      <c r="W479" s="1264"/>
      <c r="X479" s="1264"/>
      <c r="Y479" s="1264"/>
      <c r="Z479" s="1264"/>
    </row>
    <row r="480" spans="1:26" ht="19.5">
      <c r="A480" s="1267"/>
      <c r="B480" s="1268"/>
      <c r="C480" s="1242" t="s">
        <v>16</v>
      </c>
      <c r="D480" s="1276" t="s">
        <v>38</v>
      </c>
      <c r="E480" s="1270"/>
      <c r="F480" s="1271"/>
      <c r="G480" s="1272"/>
      <c r="H480" s="954"/>
      <c r="I480" s="830"/>
      <c r="J480" s="830"/>
      <c r="K480" s="831"/>
      <c r="L480" s="831"/>
      <c r="M480" s="831"/>
      <c r="N480" s="831"/>
      <c r="O480" s="831"/>
      <c r="P480" s="831"/>
      <c r="Q480" s="1244"/>
      <c r="R480" s="1244"/>
      <c r="S480" s="1244"/>
      <c r="T480" s="1244"/>
      <c r="U480" s="1244"/>
      <c r="V480" s="1244"/>
      <c r="W480" s="1244"/>
      <c r="X480" s="1244"/>
      <c r="Y480" s="1244"/>
      <c r="Z480" s="1244"/>
    </row>
    <row r="481" spans="1:26" ht="19.5">
      <c r="A481" s="1267"/>
      <c r="B481" s="1268"/>
      <c r="C481" s="1268"/>
      <c r="D481" s="1277" t="s">
        <v>206</v>
      </c>
      <c r="E481" s="1268"/>
      <c r="F481" s="1268"/>
      <c r="G481" s="954"/>
      <c r="H481" s="963"/>
      <c r="I481" s="830"/>
      <c r="J481" s="830"/>
      <c r="K481" s="831"/>
      <c r="L481" s="831"/>
      <c r="M481" s="831"/>
      <c r="N481" s="831"/>
      <c r="O481" s="831"/>
      <c r="P481" s="831"/>
      <c r="Q481" s="1244"/>
      <c r="R481" s="1244"/>
      <c r="S481" s="1244"/>
      <c r="T481" s="1244"/>
      <c r="U481" s="1244"/>
      <c r="V481" s="1244"/>
      <c r="W481" s="1244"/>
      <c r="X481" s="1244"/>
      <c r="Y481" s="1244"/>
      <c r="Z481" s="1244"/>
    </row>
    <row r="482" spans="1:26" ht="18.75">
      <c r="A482" s="1267"/>
      <c r="B482" s="1268"/>
      <c r="C482" s="1268"/>
      <c r="D482" s="1268"/>
      <c r="E482" s="1268" t="s">
        <v>207</v>
      </c>
      <c r="F482" s="1268"/>
      <c r="G482" s="954"/>
      <c r="H482" s="963"/>
      <c r="I482" s="830"/>
      <c r="J482" s="830"/>
      <c r="K482" s="831"/>
      <c r="L482" s="831"/>
      <c r="M482" s="831"/>
      <c r="N482" s="831"/>
      <c r="O482" s="831"/>
      <c r="P482" s="831"/>
      <c r="Q482" s="1244"/>
      <c r="R482" s="1244"/>
      <c r="S482" s="1244"/>
      <c r="T482" s="1244"/>
      <c r="U482" s="1244"/>
      <c r="V482" s="1244"/>
      <c r="W482" s="1244"/>
      <c r="X482" s="1244"/>
      <c r="Y482" s="1244"/>
      <c r="Z482" s="1244"/>
    </row>
    <row r="483" spans="1:26" ht="18.75">
      <c r="A483" s="1267"/>
      <c r="B483" s="1268"/>
      <c r="C483" s="1268"/>
      <c r="D483" s="1268"/>
      <c r="E483" s="1268"/>
      <c r="F483" s="1268" t="s">
        <v>208</v>
      </c>
      <c r="G483" s="954"/>
      <c r="H483" s="590" t="s">
        <v>46</v>
      </c>
      <c r="I483" s="830">
        <f ca="1">IFERROR(__xludf.DUMMYFUNCTION("IMPORTRANGE(""https://docs.google.com/spreadsheets/d/1QqKyyYR6Q21VydFLVH3TRQUabQu_ym0Zz7PgGX0-kHA/edit?usp=sharing"",""แผน!FY24"")"),1170)</f>
        <v>1170</v>
      </c>
      <c r="J483" s="959">
        <v>1170</v>
      </c>
      <c r="K483" s="831">
        <f ca="1">IF(I483&gt;0,J483*100/I483,0)</f>
        <v>100</v>
      </c>
      <c r="L483" s="831"/>
      <c r="M483" s="831"/>
      <c r="N483" s="831"/>
      <c r="O483" s="831"/>
      <c r="P483" s="831"/>
      <c r="Q483" s="1244"/>
      <c r="R483" s="1244"/>
      <c r="S483" s="1244"/>
      <c r="T483" s="1244"/>
      <c r="U483" s="1244"/>
      <c r="V483" s="1244"/>
      <c r="W483" s="1244"/>
      <c r="X483" s="1244"/>
      <c r="Y483" s="1244"/>
      <c r="Z483" s="1244"/>
    </row>
    <row r="484" spans="1:26" ht="18.75">
      <c r="A484" s="1267"/>
      <c r="B484" s="1268"/>
      <c r="C484" s="1268"/>
      <c r="D484" s="1268"/>
      <c r="E484" s="1268"/>
      <c r="F484" s="1268" t="s">
        <v>209</v>
      </c>
      <c r="G484" s="954"/>
      <c r="H484" s="590" t="s">
        <v>35</v>
      </c>
      <c r="I484" s="830"/>
      <c r="J484" s="959">
        <v>0</v>
      </c>
      <c r="K484" s="831"/>
      <c r="L484" s="831"/>
      <c r="M484" s="831"/>
      <c r="N484" s="831"/>
      <c r="O484" s="831"/>
      <c r="P484" s="831"/>
      <c r="Q484" s="1244"/>
      <c r="R484" s="1244"/>
      <c r="S484" s="1244"/>
      <c r="T484" s="1244"/>
      <c r="U484" s="1244"/>
      <c r="V484" s="1244"/>
      <c r="W484" s="1244"/>
      <c r="X484" s="1244"/>
      <c r="Y484" s="1244"/>
      <c r="Z484" s="1244"/>
    </row>
    <row r="485" spans="1:26" ht="18.75">
      <c r="A485" s="1267"/>
      <c r="B485" s="1268"/>
      <c r="C485" s="1268"/>
      <c r="D485" s="1268"/>
      <c r="E485" s="1268"/>
      <c r="F485" s="1268" t="s">
        <v>210</v>
      </c>
      <c r="G485" s="954"/>
      <c r="H485" s="590" t="s">
        <v>35</v>
      </c>
      <c r="I485" s="830">
        <f ca="1">IFERROR(__xludf.DUMMYFUNCTION("IMPORTRANGE(""https://docs.google.com/spreadsheets/d/1QqKyyYR6Q21VydFLVH3TRQUabQu_ym0Zz7PgGX0-kHA/edit?usp=sharing"",""แผน!FZ24"")"),117)</f>
        <v>117</v>
      </c>
      <c r="J485" s="959">
        <v>117</v>
      </c>
      <c r="K485" s="831">
        <f ca="1">IF(I485&gt;0,J485*100/I485,0)</f>
        <v>100</v>
      </c>
      <c r="L485" s="831"/>
      <c r="M485" s="831"/>
      <c r="N485" s="831"/>
      <c r="O485" s="831"/>
      <c r="P485" s="831"/>
      <c r="Q485" s="1244"/>
      <c r="R485" s="1244"/>
      <c r="S485" s="1244"/>
      <c r="T485" s="1244"/>
      <c r="U485" s="1244"/>
      <c r="V485" s="1244"/>
      <c r="W485" s="1244"/>
      <c r="X485" s="1244"/>
      <c r="Y485" s="1244"/>
      <c r="Z485" s="1244"/>
    </row>
    <row r="486" spans="1:26" ht="18.75">
      <c r="A486" s="1267"/>
      <c r="B486" s="1268"/>
      <c r="C486" s="1268"/>
      <c r="D486" s="1268"/>
      <c r="E486" s="1268" t="s">
        <v>62</v>
      </c>
      <c r="F486" s="1268"/>
      <c r="G486" s="954"/>
      <c r="H486" s="590"/>
      <c r="I486" s="830"/>
      <c r="J486" s="830"/>
      <c r="K486" s="831"/>
      <c r="L486" s="831"/>
      <c r="M486" s="831"/>
      <c r="N486" s="831"/>
      <c r="O486" s="831"/>
      <c r="P486" s="831"/>
      <c r="Q486" s="1244"/>
      <c r="R486" s="1244"/>
      <c r="S486" s="1244"/>
      <c r="T486" s="1244"/>
      <c r="U486" s="1244"/>
      <c r="V486" s="1244"/>
      <c r="W486" s="1244"/>
      <c r="X486" s="1244"/>
      <c r="Y486" s="1244"/>
      <c r="Z486" s="1244"/>
    </row>
    <row r="487" spans="1:26" ht="18.75">
      <c r="A487" s="1267"/>
      <c r="B487" s="1268"/>
      <c r="C487" s="1268"/>
      <c r="D487" s="1268"/>
      <c r="E487" s="1268"/>
      <c r="F487" s="1268" t="s">
        <v>208</v>
      </c>
      <c r="G487" s="954"/>
      <c r="H487" s="590" t="s">
        <v>46</v>
      </c>
      <c r="I487" s="830">
        <f ca="1">IFERROR(__xludf.DUMMYFUNCTION("IMPORTRANGE(""https://docs.google.com/spreadsheets/d/1QqKyyYR6Q21VydFLVH3TRQUabQu_ym0Zz7PgGX0-kHA/edit?usp=sharing"",""แผน!GA24"")"),130)</f>
        <v>130</v>
      </c>
      <c r="J487" s="959">
        <v>130</v>
      </c>
      <c r="K487" s="831">
        <f ca="1">IF(I487&gt;0,J487*100/I487,0)</f>
        <v>100</v>
      </c>
      <c r="L487" s="831"/>
      <c r="M487" s="831"/>
      <c r="N487" s="831"/>
      <c r="O487" s="831"/>
      <c r="P487" s="831"/>
      <c r="Q487" s="1244"/>
      <c r="R487" s="1244"/>
      <c r="S487" s="1244"/>
      <c r="T487" s="1244"/>
      <c r="U487" s="1244"/>
      <c r="V487" s="1244"/>
      <c r="W487" s="1244"/>
      <c r="X487" s="1244"/>
      <c r="Y487" s="1244"/>
      <c r="Z487" s="1244"/>
    </row>
    <row r="488" spans="1:26" ht="18.75">
      <c r="A488" s="1267"/>
      <c r="B488" s="1268"/>
      <c r="C488" s="1268"/>
      <c r="D488" s="1268"/>
      <c r="E488" s="1268"/>
      <c r="F488" s="1268" t="s">
        <v>211</v>
      </c>
      <c r="G488" s="954"/>
      <c r="H488" s="590" t="s">
        <v>35</v>
      </c>
      <c r="I488" s="830"/>
      <c r="J488" s="959">
        <v>0</v>
      </c>
      <c r="K488" s="831"/>
      <c r="L488" s="831"/>
      <c r="M488" s="831"/>
      <c r="N488" s="831"/>
      <c r="O488" s="831"/>
      <c r="P488" s="831"/>
      <c r="Q488" s="1244"/>
      <c r="R488" s="1244"/>
      <c r="S488" s="1244"/>
      <c r="T488" s="1244"/>
      <c r="U488" s="1244"/>
      <c r="V488" s="1244"/>
      <c r="W488" s="1244"/>
      <c r="X488" s="1244"/>
      <c r="Y488" s="1244"/>
      <c r="Z488" s="1244"/>
    </row>
    <row r="489" spans="1:26" ht="18.75">
      <c r="A489" s="1267"/>
      <c r="B489" s="1268"/>
      <c r="C489" s="1268"/>
      <c r="D489" s="1268"/>
      <c r="E489" s="1268"/>
      <c r="F489" s="1268" t="s">
        <v>212</v>
      </c>
      <c r="G489" s="954"/>
      <c r="H489" s="590" t="s">
        <v>35</v>
      </c>
      <c r="I489" s="830">
        <f ca="1">IFERROR(__xludf.DUMMYFUNCTION("IMPORTRANGE(""https://docs.google.com/spreadsheets/d/1QqKyyYR6Q21VydFLVH3TRQUabQu_ym0Zz7PgGX0-kHA/edit?usp=sharing"",""แผน!GB24"")"),13)</f>
        <v>13</v>
      </c>
      <c r="J489" s="959">
        <v>13</v>
      </c>
      <c r="K489" s="831">
        <f ca="1">IF(I489&gt;0,J489*100/I489,0)</f>
        <v>100</v>
      </c>
      <c r="L489" s="831"/>
      <c r="M489" s="831"/>
      <c r="N489" s="831"/>
      <c r="O489" s="831"/>
      <c r="P489" s="831"/>
      <c r="Q489" s="1244"/>
      <c r="R489" s="1244"/>
      <c r="S489" s="1244"/>
      <c r="T489" s="1244"/>
      <c r="U489" s="1244"/>
      <c r="V489" s="1244"/>
      <c r="W489" s="1244"/>
      <c r="X489" s="1244"/>
      <c r="Y489" s="1244"/>
      <c r="Z489" s="1244"/>
    </row>
    <row r="490" spans="1:26" ht="18.75">
      <c r="A490" s="1267"/>
      <c r="B490" s="1268"/>
      <c r="C490" s="1268"/>
      <c r="D490" s="1268"/>
      <c r="E490" s="1268" t="s">
        <v>63</v>
      </c>
      <c r="F490" s="961"/>
      <c r="G490" s="954"/>
      <c r="H490" s="590"/>
      <c r="I490" s="830"/>
      <c r="J490" s="830"/>
      <c r="K490" s="831"/>
      <c r="L490" s="831"/>
      <c r="M490" s="831"/>
      <c r="N490" s="831"/>
      <c r="O490" s="831"/>
      <c r="P490" s="831"/>
      <c r="Q490" s="1244"/>
      <c r="R490" s="1244"/>
      <c r="S490" s="1244"/>
      <c r="T490" s="1244"/>
      <c r="U490" s="1244"/>
      <c r="V490" s="1244"/>
      <c r="W490" s="1244"/>
      <c r="X490" s="1244"/>
      <c r="Y490" s="1244"/>
      <c r="Z490" s="1244"/>
    </row>
    <row r="491" spans="1:26" ht="18.75">
      <c r="A491" s="1267"/>
      <c r="B491" s="1268"/>
      <c r="C491" s="1268"/>
      <c r="D491" s="1268"/>
      <c r="E491" s="1268"/>
      <c r="F491" s="1268" t="s">
        <v>213</v>
      </c>
      <c r="G491" s="954"/>
      <c r="H491" s="590" t="s">
        <v>35</v>
      </c>
      <c r="I491" s="830"/>
      <c r="J491" s="959">
        <v>0</v>
      </c>
      <c r="K491" s="831"/>
      <c r="L491" s="831"/>
      <c r="M491" s="831"/>
      <c r="N491" s="831"/>
      <c r="O491" s="831"/>
      <c r="P491" s="831"/>
      <c r="Q491" s="1244"/>
      <c r="R491" s="1244"/>
      <c r="S491" s="1244"/>
      <c r="T491" s="1244"/>
      <c r="U491" s="1244"/>
      <c r="V491" s="1244"/>
      <c r="W491" s="1244"/>
      <c r="X491" s="1244"/>
      <c r="Y491" s="1244"/>
      <c r="Z491" s="1244"/>
    </row>
    <row r="492" spans="1:26" ht="18.75">
      <c r="A492" s="1267"/>
      <c r="B492" s="1268"/>
      <c r="C492" s="1268"/>
      <c r="D492" s="1268"/>
      <c r="E492" s="1268"/>
      <c r="F492" s="1268" t="s">
        <v>214</v>
      </c>
      <c r="G492" s="954"/>
      <c r="H492" s="590" t="s">
        <v>35</v>
      </c>
      <c r="I492" s="830">
        <f ca="1">IFERROR(__xludf.DUMMYFUNCTION("IMPORTRANGE(""https://docs.google.com/spreadsheets/d/1QqKyyYR6Q21VydFLVH3TRQUabQu_ym0Zz7PgGX0-kHA/edit?usp=sharing"",""แผน!GC24"")"),1)</f>
        <v>1</v>
      </c>
      <c r="J492" s="959">
        <v>1</v>
      </c>
      <c r="K492" s="831">
        <f ca="1">IF(I492&gt;0,J492*100/I492,0)</f>
        <v>100</v>
      </c>
      <c r="L492" s="831"/>
      <c r="M492" s="831"/>
      <c r="N492" s="831"/>
      <c r="O492" s="831"/>
      <c r="P492" s="831"/>
      <c r="Q492" s="1244"/>
      <c r="R492" s="1244"/>
      <c r="S492" s="1244"/>
      <c r="T492" s="1244"/>
      <c r="U492" s="1244"/>
      <c r="V492" s="1244"/>
      <c r="W492" s="1244"/>
      <c r="X492" s="1244"/>
      <c r="Y492" s="1244"/>
      <c r="Z492" s="1244"/>
    </row>
    <row r="493" spans="1:26" ht="19.5">
      <c r="A493" s="1267"/>
      <c r="B493" s="1268"/>
      <c r="C493" s="1268"/>
      <c r="D493" s="1277" t="s">
        <v>59</v>
      </c>
      <c r="E493" s="1268"/>
      <c r="F493" s="961"/>
      <c r="G493" s="954"/>
      <c r="H493" s="963"/>
      <c r="I493" s="830"/>
      <c r="J493" s="830"/>
      <c r="K493" s="831"/>
      <c r="L493" s="831"/>
      <c r="M493" s="831"/>
      <c r="N493" s="831"/>
      <c r="O493" s="831"/>
      <c r="P493" s="831"/>
      <c r="Q493" s="1244"/>
      <c r="R493" s="1244"/>
      <c r="S493" s="1244"/>
      <c r="T493" s="1244"/>
      <c r="U493" s="1244"/>
      <c r="V493" s="1244"/>
      <c r="W493" s="1244"/>
      <c r="X493" s="1244"/>
      <c r="Y493" s="1244"/>
      <c r="Z493" s="1244"/>
    </row>
    <row r="494" spans="1:26" ht="18.75">
      <c r="A494" s="1267"/>
      <c r="B494" s="1268"/>
      <c r="C494" s="1268"/>
      <c r="D494" s="1268"/>
      <c r="E494" s="1268" t="s">
        <v>207</v>
      </c>
      <c r="F494" s="961"/>
      <c r="G494" s="954"/>
      <c r="H494" s="963"/>
      <c r="I494" s="830"/>
      <c r="J494" s="830"/>
      <c r="K494" s="831"/>
      <c r="L494" s="831"/>
      <c r="M494" s="831"/>
      <c r="N494" s="831"/>
      <c r="O494" s="831"/>
      <c r="P494" s="831"/>
      <c r="Q494" s="1244"/>
      <c r="R494" s="1244"/>
      <c r="S494" s="1244"/>
      <c r="T494" s="1244"/>
      <c r="U494" s="1244"/>
      <c r="V494" s="1244"/>
      <c r="W494" s="1244"/>
      <c r="X494" s="1244"/>
      <c r="Y494" s="1244"/>
      <c r="Z494" s="1244"/>
    </row>
    <row r="495" spans="1:26" ht="18.75">
      <c r="A495" s="1267"/>
      <c r="B495" s="1268"/>
      <c r="C495" s="1268"/>
      <c r="D495" s="1268"/>
      <c r="E495" s="1268"/>
      <c r="F495" s="961" t="s">
        <v>215</v>
      </c>
      <c r="G495" s="954"/>
      <c r="H495" s="590" t="s">
        <v>46</v>
      </c>
      <c r="I495" s="830">
        <f ca="1">IFERROR(__xludf.DUMMYFUNCTION("IMPORTRANGE(""https://docs.google.com/spreadsheets/d/1QqKyyYR6Q21VydFLVH3TRQUabQu_ym0Zz7PgGX0-kHA/edit?usp=sharing"",""แผน!FY24"")"),1170)</f>
        <v>1170</v>
      </c>
      <c r="J495" s="959">
        <v>0</v>
      </c>
      <c r="K495" s="831">
        <f ca="1">IF(I495&gt;0,J495*100/I495,0)</f>
        <v>0</v>
      </c>
      <c r="L495" s="831"/>
      <c r="M495" s="831"/>
      <c r="N495" s="831"/>
      <c r="O495" s="831"/>
      <c r="P495" s="831"/>
      <c r="Q495" s="1244"/>
      <c r="R495" s="1244"/>
      <c r="S495" s="1244"/>
      <c r="T495" s="1244"/>
      <c r="U495" s="1244"/>
      <c r="V495" s="1244"/>
      <c r="W495" s="1244"/>
      <c r="X495" s="1244"/>
      <c r="Y495" s="1244"/>
      <c r="Z495" s="1244"/>
    </row>
    <row r="496" spans="1:26" ht="18.75">
      <c r="A496" s="1267"/>
      <c r="B496" s="1268"/>
      <c r="C496" s="1268"/>
      <c r="D496" s="1268"/>
      <c r="E496" s="1268"/>
      <c r="F496" s="961" t="s">
        <v>216</v>
      </c>
      <c r="G496" s="954"/>
      <c r="H496" s="590" t="s">
        <v>46</v>
      </c>
      <c r="I496" s="830"/>
      <c r="J496" s="959">
        <v>0</v>
      </c>
      <c r="K496" s="831"/>
      <c r="L496" s="831"/>
      <c r="M496" s="831"/>
      <c r="N496" s="831"/>
      <c r="O496" s="831"/>
      <c r="P496" s="831"/>
      <c r="Q496" s="1244"/>
      <c r="R496" s="1244"/>
      <c r="S496" s="1244"/>
      <c r="T496" s="1244"/>
      <c r="U496" s="1244"/>
      <c r="V496" s="1244"/>
      <c r="W496" s="1244"/>
      <c r="X496" s="1244"/>
      <c r="Y496" s="1244"/>
      <c r="Z496" s="1244"/>
    </row>
    <row r="497" spans="1:26" ht="18.75">
      <c r="A497" s="1267"/>
      <c r="B497" s="1268"/>
      <c r="C497" s="1268"/>
      <c r="D497" s="1268"/>
      <c r="E497" s="1268" t="s">
        <v>62</v>
      </c>
      <c r="F497" s="961"/>
      <c r="G497" s="954"/>
      <c r="H497" s="963"/>
      <c r="I497" s="830"/>
      <c r="J497" s="830"/>
      <c r="K497" s="831"/>
      <c r="L497" s="831"/>
      <c r="M497" s="831"/>
      <c r="N497" s="831"/>
      <c r="O497" s="831"/>
      <c r="P497" s="831"/>
      <c r="Q497" s="1244"/>
      <c r="R497" s="1244"/>
      <c r="S497" s="1244"/>
      <c r="T497" s="1244"/>
      <c r="U497" s="1244"/>
      <c r="V497" s="1244"/>
      <c r="W497" s="1244"/>
      <c r="X497" s="1244"/>
      <c r="Y497" s="1244"/>
      <c r="Z497" s="1244"/>
    </row>
    <row r="498" spans="1:26" ht="18.75">
      <c r="A498" s="1267"/>
      <c r="B498" s="1268"/>
      <c r="C498" s="1268"/>
      <c r="D498" s="1268"/>
      <c r="E498" s="961"/>
      <c r="F498" s="961" t="s">
        <v>217</v>
      </c>
      <c r="G498" s="954"/>
      <c r="H498" s="590" t="s">
        <v>46</v>
      </c>
      <c r="I498" s="830">
        <f ca="1">IFERROR(__xludf.DUMMYFUNCTION("IMPORTRANGE(""https://docs.google.com/spreadsheets/d/1QqKyyYR6Q21VydFLVH3TRQUabQu_ym0Zz7PgGX0-kHA/edit?usp=sharing"",""แผน!GA24"")"),130)</f>
        <v>130</v>
      </c>
      <c r="J498" s="959">
        <v>0</v>
      </c>
      <c r="K498" s="831">
        <f ca="1">IF(I498&gt;0,J498*100/I498,0)</f>
        <v>0</v>
      </c>
      <c r="L498" s="831"/>
      <c r="M498" s="831"/>
      <c r="N498" s="831"/>
      <c r="O498" s="831"/>
      <c r="P498" s="831"/>
      <c r="Q498" s="1244"/>
      <c r="R498" s="1244"/>
      <c r="S498" s="1244"/>
      <c r="T498" s="1244"/>
      <c r="U498" s="1244"/>
      <c r="V498" s="1244"/>
      <c r="W498" s="1244"/>
      <c r="X498" s="1244"/>
      <c r="Y498" s="1244"/>
      <c r="Z498" s="1244"/>
    </row>
    <row r="499" spans="1:26" ht="18.75">
      <c r="A499" s="1267"/>
      <c r="B499" s="1268"/>
      <c r="C499" s="1268"/>
      <c r="D499" s="1268"/>
      <c r="E499" s="961"/>
      <c r="F499" s="961" t="s">
        <v>218</v>
      </c>
      <c r="G499" s="954"/>
      <c r="H499" s="590" t="s">
        <v>46</v>
      </c>
      <c r="I499" s="830"/>
      <c r="J499" s="959">
        <v>0</v>
      </c>
      <c r="K499" s="831"/>
      <c r="L499" s="831"/>
      <c r="M499" s="831"/>
      <c r="N499" s="831"/>
      <c r="O499" s="831"/>
      <c r="P499" s="831"/>
      <c r="Q499" s="1244"/>
      <c r="R499" s="1244"/>
      <c r="S499" s="1244"/>
      <c r="T499" s="1244"/>
      <c r="U499" s="1244"/>
      <c r="V499" s="1244"/>
      <c r="W499" s="1244"/>
      <c r="X499" s="1244"/>
      <c r="Y499" s="1244"/>
      <c r="Z499" s="1244"/>
    </row>
    <row r="500" spans="1:26" ht="19.5" hidden="1">
      <c r="A500" s="594">
        <v>4</v>
      </c>
      <c r="B500" s="1278" t="s">
        <v>219</v>
      </c>
      <c r="C500" s="1279"/>
      <c r="D500" s="1280"/>
      <c r="E500" s="1280"/>
      <c r="F500" s="1280"/>
      <c r="G500" s="1281"/>
      <c r="H500" s="599" t="s">
        <v>109</v>
      </c>
      <c r="I500" s="1282"/>
      <c r="J500" s="1282">
        <f t="shared" ref="J500:J501" si="214">J516</f>
        <v>0</v>
      </c>
      <c r="K500" s="1283">
        <f t="shared" ref="K500:K501" si="215">IF(I500&gt;0,J500*100/I500,0)</f>
        <v>0</v>
      </c>
      <c r="L500" s="1284"/>
      <c r="M500" s="1284"/>
      <c r="N500" s="1284"/>
      <c r="O500" s="1284"/>
      <c r="P500" s="1284"/>
      <c r="Q500" s="1264"/>
      <c r="R500" s="1264"/>
      <c r="S500" s="1264"/>
      <c r="T500" s="1264"/>
      <c r="U500" s="1264"/>
      <c r="V500" s="1264"/>
      <c r="W500" s="1264"/>
      <c r="X500" s="1264"/>
      <c r="Y500" s="1264"/>
      <c r="Z500" s="1264"/>
    </row>
    <row r="501" spans="1:26" ht="19.5" hidden="1">
      <c r="A501" s="1285"/>
      <c r="B501" s="1286" t="s">
        <v>220</v>
      </c>
      <c r="C501" s="1286"/>
      <c r="D501" s="1287"/>
      <c r="E501" s="1287"/>
      <c r="F501" s="1287"/>
      <c r="G501" s="1288"/>
      <c r="H501" s="608" t="s">
        <v>35</v>
      </c>
      <c r="I501" s="1289"/>
      <c r="J501" s="1289">
        <f t="shared" si="214"/>
        <v>0</v>
      </c>
      <c r="K501" s="1290">
        <f t="shared" si="215"/>
        <v>0</v>
      </c>
      <c r="L501" s="1291"/>
      <c r="M501" s="1291"/>
      <c r="N501" s="1291"/>
      <c r="O501" s="1291"/>
      <c r="P501" s="1291"/>
      <c r="Q501" s="1264"/>
      <c r="R501" s="1264"/>
      <c r="S501" s="1264"/>
      <c r="T501" s="1264"/>
      <c r="U501" s="1264"/>
      <c r="V501" s="1264"/>
      <c r="W501" s="1264"/>
      <c r="X501" s="1264"/>
      <c r="Y501" s="1264"/>
      <c r="Z501" s="1264"/>
    </row>
    <row r="502" spans="1:26" ht="19.5" hidden="1">
      <c r="A502" s="1260"/>
      <c r="B502" s="1261"/>
      <c r="C502" s="1261" t="s">
        <v>16</v>
      </c>
      <c r="D502" s="1508" t="s">
        <v>17</v>
      </c>
      <c r="E502" s="1485"/>
      <c r="F502" s="1485"/>
      <c r="G502" s="1263"/>
      <c r="H502" s="612" t="s">
        <v>12</v>
      </c>
      <c r="I502" s="836"/>
      <c r="J502" s="836"/>
      <c r="K502" s="837"/>
      <c r="L502" s="1292">
        <f t="shared" ref="L502:N502" si="216">L503+L504</f>
        <v>0</v>
      </c>
      <c r="M502" s="1292">
        <f t="shared" si="216"/>
        <v>0</v>
      </c>
      <c r="N502" s="1292">
        <f t="shared" si="216"/>
        <v>0</v>
      </c>
      <c r="O502" s="1292">
        <f t="shared" ref="O502:O507" si="217">IF(L502&gt;0,N502*100/L502,0)</f>
        <v>0</v>
      </c>
      <c r="P502" s="1292">
        <f t="shared" ref="P502:P507" si="218">IF(M502&gt;0,N502*100/M502,0)</f>
        <v>0</v>
      </c>
      <c r="Q502" s="1264"/>
      <c r="R502" s="1264"/>
      <c r="S502" s="1264"/>
      <c r="T502" s="1264"/>
      <c r="U502" s="1264"/>
      <c r="V502" s="1264"/>
      <c r="W502" s="1264"/>
      <c r="X502" s="1264"/>
      <c r="Y502" s="1264"/>
      <c r="Z502" s="1264"/>
    </row>
    <row r="503" spans="1:26" ht="18.75" hidden="1">
      <c r="A503" s="1260"/>
      <c r="B503" s="1261"/>
      <c r="C503" s="1261"/>
      <c r="D503" s="1262"/>
      <c r="E503" s="1261" t="s">
        <v>184</v>
      </c>
      <c r="F503" s="1261"/>
      <c r="G503" s="1263"/>
      <c r="H503" s="165" t="s">
        <v>12</v>
      </c>
      <c r="I503" s="836"/>
      <c r="J503" s="836"/>
      <c r="K503" s="837"/>
      <c r="L503" s="837">
        <f t="shared" ref="L503:N504" si="219">L506+L513</f>
        <v>0</v>
      </c>
      <c r="M503" s="837">
        <f t="shared" si="219"/>
        <v>0</v>
      </c>
      <c r="N503" s="837">
        <f t="shared" si="219"/>
        <v>0</v>
      </c>
      <c r="O503" s="837">
        <f t="shared" si="217"/>
        <v>0</v>
      </c>
      <c r="P503" s="837">
        <f t="shared" si="218"/>
        <v>0</v>
      </c>
      <c r="Q503" s="1264"/>
      <c r="R503" s="1264"/>
      <c r="S503" s="1264"/>
      <c r="T503" s="1264"/>
      <c r="U503" s="1264"/>
      <c r="V503" s="1264"/>
      <c r="W503" s="1264"/>
      <c r="X503" s="1264"/>
      <c r="Y503" s="1264"/>
      <c r="Z503" s="1264"/>
    </row>
    <row r="504" spans="1:26" ht="18.75" hidden="1">
      <c r="A504" s="1260"/>
      <c r="B504" s="1265"/>
      <c r="C504" s="1261"/>
      <c r="D504" s="1262"/>
      <c r="E504" s="1261" t="s">
        <v>185</v>
      </c>
      <c r="F504" s="1261"/>
      <c r="G504" s="1263"/>
      <c r="H504" s="165" t="s">
        <v>12</v>
      </c>
      <c r="I504" s="836"/>
      <c r="J504" s="836"/>
      <c r="K504" s="837"/>
      <c r="L504" s="837">
        <f t="shared" si="219"/>
        <v>0</v>
      </c>
      <c r="M504" s="837">
        <f t="shared" si="219"/>
        <v>0</v>
      </c>
      <c r="N504" s="837">
        <f t="shared" si="219"/>
        <v>0</v>
      </c>
      <c r="O504" s="837">
        <f t="shared" si="217"/>
        <v>0</v>
      </c>
      <c r="P504" s="837">
        <f t="shared" si="218"/>
        <v>0</v>
      </c>
      <c r="Q504" s="1264"/>
      <c r="R504" s="1264"/>
      <c r="S504" s="1264"/>
      <c r="T504" s="1264"/>
      <c r="U504" s="1264"/>
      <c r="V504" s="1264"/>
      <c r="W504" s="1264"/>
      <c r="X504" s="1264"/>
      <c r="Y504" s="1264"/>
      <c r="Z504" s="1264"/>
    </row>
    <row r="505" spans="1:26" ht="18.75" hidden="1">
      <c r="A505" s="1260"/>
      <c r="B505" s="1265"/>
      <c r="C505" s="1261"/>
      <c r="D505" s="1293" t="s">
        <v>20</v>
      </c>
      <c r="E505" s="1261"/>
      <c r="F505" s="1261"/>
      <c r="G505" s="1263"/>
      <c r="H505" s="165" t="s">
        <v>12</v>
      </c>
      <c r="I505" s="947"/>
      <c r="J505" s="947"/>
      <c r="K505" s="948"/>
      <c r="L505" s="837">
        <f t="shared" ref="L505:N505" si="220">L506+L507</f>
        <v>0</v>
      </c>
      <c r="M505" s="837">
        <f t="shared" si="220"/>
        <v>0</v>
      </c>
      <c r="N505" s="837">
        <f t="shared" si="220"/>
        <v>0</v>
      </c>
      <c r="O505" s="837">
        <f t="shared" si="217"/>
        <v>0</v>
      </c>
      <c r="P505" s="837">
        <f t="shared" si="218"/>
        <v>0</v>
      </c>
      <c r="Q505" s="1264"/>
      <c r="R505" s="1264"/>
      <c r="S505" s="1264"/>
      <c r="T505" s="1264"/>
      <c r="U505" s="1264"/>
      <c r="V505" s="1264"/>
      <c r="W505" s="1264"/>
      <c r="X505" s="1264"/>
      <c r="Y505" s="1264"/>
      <c r="Z505" s="1264"/>
    </row>
    <row r="506" spans="1:26" ht="18.75" hidden="1">
      <c r="A506" s="1260"/>
      <c r="B506" s="1265"/>
      <c r="C506" s="1261"/>
      <c r="D506" s="1262"/>
      <c r="E506" s="1261" t="s">
        <v>184</v>
      </c>
      <c r="F506" s="1261"/>
      <c r="G506" s="1263"/>
      <c r="H506" s="165" t="s">
        <v>12</v>
      </c>
      <c r="I506" s="836"/>
      <c r="J506" s="836"/>
      <c r="K506" s="837"/>
      <c r="L506" s="837">
        <v>0</v>
      </c>
      <c r="M506" s="837">
        <v>0</v>
      </c>
      <c r="N506" s="837">
        <v>0</v>
      </c>
      <c r="O506" s="837">
        <f t="shared" si="217"/>
        <v>0</v>
      </c>
      <c r="P506" s="837">
        <f t="shared" si="218"/>
        <v>0</v>
      </c>
      <c r="Q506" s="1264"/>
      <c r="R506" s="1264"/>
      <c r="S506" s="1264"/>
      <c r="T506" s="1264"/>
      <c r="U506" s="1264"/>
      <c r="V506" s="1264"/>
      <c r="W506" s="1264"/>
      <c r="X506" s="1264"/>
      <c r="Y506" s="1264"/>
      <c r="Z506" s="1264"/>
    </row>
    <row r="507" spans="1:26" ht="18.75" hidden="1">
      <c r="A507" s="1260"/>
      <c r="B507" s="1265"/>
      <c r="C507" s="1261"/>
      <c r="D507" s="1262"/>
      <c r="E507" s="1261" t="s">
        <v>185</v>
      </c>
      <c r="F507" s="1261"/>
      <c r="G507" s="1263"/>
      <c r="H507" s="165" t="s">
        <v>12</v>
      </c>
      <c r="I507" s="836"/>
      <c r="J507" s="836"/>
      <c r="K507" s="837"/>
      <c r="L507" s="837">
        <v>0</v>
      </c>
      <c r="M507" s="837">
        <v>0</v>
      </c>
      <c r="N507" s="837">
        <f>N508+N509+N510+N511</f>
        <v>0</v>
      </c>
      <c r="O507" s="837">
        <f t="shared" si="217"/>
        <v>0</v>
      </c>
      <c r="P507" s="837">
        <f t="shared" si="218"/>
        <v>0</v>
      </c>
      <c r="Q507" s="1264"/>
      <c r="R507" s="1264"/>
      <c r="S507" s="1264"/>
      <c r="T507" s="1264"/>
      <c r="U507" s="1264"/>
      <c r="V507" s="1264"/>
      <c r="W507" s="1264"/>
      <c r="X507" s="1264"/>
      <c r="Y507" s="1264"/>
      <c r="Z507" s="1264"/>
    </row>
    <row r="508" spans="1:26" ht="18.75" hidden="1">
      <c r="A508" s="1294"/>
      <c r="B508" s="1265"/>
      <c r="C508" s="1261"/>
      <c r="D508" s="1261"/>
      <c r="E508" s="1261"/>
      <c r="F508" s="1261" t="s">
        <v>186</v>
      </c>
      <c r="G508" s="1263"/>
      <c r="H508" s="165" t="s">
        <v>12</v>
      </c>
      <c r="I508" s="836"/>
      <c r="J508" s="836"/>
      <c r="K508" s="837"/>
      <c r="L508" s="837"/>
      <c r="M508" s="837"/>
      <c r="N508" s="837">
        <v>0</v>
      </c>
      <c r="O508" s="837"/>
      <c r="P508" s="837"/>
      <c r="Q508" s="1264"/>
      <c r="R508" s="1264"/>
      <c r="S508" s="1264"/>
      <c r="T508" s="1264"/>
      <c r="U508" s="1264"/>
      <c r="V508" s="1264"/>
      <c r="W508" s="1264"/>
      <c r="X508" s="1264"/>
      <c r="Y508" s="1264"/>
      <c r="Z508" s="1264"/>
    </row>
    <row r="509" spans="1:26" ht="18.75" hidden="1">
      <c r="A509" s="1294"/>
      <c r="B509" s="1265"/>
      <c r="C509" s="1261"/>
      <c r="D509" s="1261"/>
      <c r="E509" s="1261"/>
      <c r="F509" s="1261" t="s">
        <v>187</v>
      </c>
      <c r="G509" s="1263"/>
      <c r="H509" s="165" t="s">
        <v>12</v>
      </c>
      <c r="I509" s="836"/>
      <c r="J509" s="836"/>
      <c r="K509" s="837"/>
      <c r="L509" s="837"/>
      <c r="M509" s="837"/>
      <c r="N509" s="837">
        <v>0</v>
      </c>
      <c r="O509" s="837"/>
      <c r="P509" s="837"/>
      <c r="Q509" s="1264"/>
      <c r="R509" s="1264"/>
      <c r="S509" s="1264"/>
      <c r="T509" s="1264"/>
      <c r="U509" s="1264"/>
      <c r="V509" s="1264"/>
      <c r="W509" s="1264"/>
      <c r="X509" s="1264"/>
      <c r="Y509" s="1264"/>
      <c r="Z509" s="1264"/>
    </row>
    <row r="510" spans="1:26" ht="18.75" hidden="1">
      <c r="A510" s="1294"/>
      <c r="B510" s="1265"/>
      <c r="C510" s="1265"/>
      <c r="D510" s="1265"/>
      <c r="E510" s="1261"/>
      <c r="F510" s="1261" t="s">
        <v>188</v>
      </c>
      <c r="G510" s="1263"/>
      <c r="H510" s="165" t="s">
        <v>12</v>
      </c>
      <c r="I510" s="836"/>
      <c r="J510" s="836"/>
      <c r="K510" s="837"/>
      <c r="L510" s="837"/>
      <c r="M510" s="837"/>
      <c r="N510" s="837">
        <v>0</v>
      </c>
      <c r="O510" s="837"/>
      <c r="P510" s="837"/>
      <c r="Q510" s="1264"/>
      <c r="R510" s="1264"/>
      <c r="S510" s="1264"/>
      <c r="T510" s="1264"/>
      <c r="U510" s="1264"/>
      <c r="V510" s="1264"/>
      <c r="W510" s="1264"/>
      <c r="X510" s="1264"/>
      <c r="Y510" s="1264"/>
      <c r="Z510" s="1264"/>
    </row>
    <row r="511" spans="1:26" ht="18.75" hidden="1">
      <c r="A511" s="1294"/>
      <c r="B511" s="1265"/>
      <c r="C511" s="1265"/>
      <c r="D511" s="1265"/>
      <c r="E511" s="1261"/>
      <c r="F511" s="1261" t="s">
        <v>189</v>
      </c>
      <c r="G511" s="1263"/>
      <c r="H511" s="165" t="s">
        <v>12</v>
      </c>
      <c r="I511" s="836"/>
      <c r="J511" s="836"/>
      <c r="K511" s="837"/>
      <c r="L511" s="837"/>
      <c r="M511" s="837"/>
      <c r="N511" s="837">
        <v>0</v>
      </c>
      <c r="O511" s="837"/>
      <c r="P511" s="837"/>
      <c r="Q511" s="1264"/>
      <c r="R511" s="1264"/>
      <c r="S511" s="1264"/>
      <c r="T511" s="1264"/>
      <c r="U511" s="1264"/>
      <c r="V511" s="1264"/>
      <c r="W511" s="1264"/>
      <c r="X511" s="1264"/>
      <c r="Y511" s="1264"/>
      <c r="Z511" s="1264"/>
    </row>
    <row r="512" spans="1:26" ht="18.75" hidden="1">
      <c r="A512" s="1260"/>
      <c r="B512" s="1265"/>
      <c r="C512" s="1265"/>
      <c r="D512" s="1293" t="s">
        <v>21</v>
      </c>
      <c r="E512" s="1265"/>
      <c r="F512" s="1261"/>
      <c r="G512" s="1263"/>
      <c r="H512" s="169" t="s">
        <v>12</v>
      </c>
      <c r="I512" s="947"/>
      <c r="J512" s="947"/>
      <c r="K512" s="948"/>
      <c r="L512" s="837">
        <f t="shared" ref="L512:N512" si="221">L513+L514</f>
        <v>0</v>
      </c>
      <c r="M512" s="837">
        <f t="shared" si="221"/>
        <v>0</v>
      </c>
      <c r="N512" s="837">
        <f t="shared" si="221"/>
        <v>0</v>
      </c>
      <c r="O512" s="837">
        <f t="shared" ref="O512:O514" si="222">IF(L512&gt;0,N512*100/L512,0)</f>
        <v>0</v>
      </c>
      <c r="P512" s="837">
        <f t="shared" ref="P512:P514" si="223">IF(M512&gt;0,N512*100/M512,0)</f>
        <v>0</v>
      </c>
      <c r="Q512" s="1264"/>
      <c r="R512" s="1264"/>
      <c r="S512" s="1264"/>
      <c r="T512" s="1264"/>
      <c r="U512" s="1264"/>
      <c r="V512" s="1264"/>
      <c r="W512" s="1264"/>
      <c r="X512" s="1264"/>
      <c r="Y512" s="1264"/>
      <c r="Z512" s="1264"/>
    </row>
    <row r="513" spans="1:26" ht="18.75" hidden="1">
      <c r="A513" s="1260"/>
      <c r="B513" s="1265"/>
      <c r="C513" s="1265"/>
      <c r="D513" s="1265"/>
      <c r="E513" s="1265" t="s">
        <v>18</v>
      </c>
      <c r="F513" s="1261"/>
      <c r="G513" s="1263"/>
      <c r="H513" s="165" t="s">
        <v>12</v>
      </c>
      <c r="I513" s="947"/>
      <c r="J513" s="947"/>
      <c r="K513" s="948"/>
      <c r="L513" s="837">
        <v>0</v>
      </c>
      <c r="M513" s="837">
        <v>0</v>
      </c>
      <c r="N513" s="837">
        <v>0</v>
      </c>
      <c r="O513" s="837">
        <f t="shared" si="222"/>
        <v>0</v>
      </c>
      <c r="P513" s="837">
        <f t="shared" si="223"/>
        <v>0</v>
      </c>
      <c r="Q513" s="1264"/>
      <c r="R513" s="1264"/>
      <c r="S513" s="1264"/>
      <c r="T513" s="1264"/>
      <c r="U513" s="1264"/>
      <c r="V513" s="1264"/>
      <c r="W513" s="1264"/>
      <c r="X513" s="1264"/>
      <c r="Y513" s="1264"/>
      <c r="Z513" s="1264"/>
    </row>
    <row r="514" spans="1:26" ht="18.75" hidden="1">
      <c r="A514" s="1260"/>
      <c r="B514" s="1265"/>
      <c r="C514" s="1265"/>
      <c r="D514" s="1261"/>
      <c r="E514" s="1265" t="s">
        <v>19</v>
      </c>
      <c r="F514" s="1261"/>
      <c r="G514" s="1263"/>
      <c r="H514" s="169" t="s">
        <v>12</v>
      </c>
      <c r="I514" s="947"/>
      <c r="J514" s="947"/>
      <c r="K514" s="948"/>
      <c r="L514" s="837">
        <v>0</v>
      </c>
      <c r="M514" s="837">
        <v>0</v>
      </c>
      <c r="N514" s="837">
        <v>0</v>
      </c>
      <c r="O514" s="837">
        <f t="shared" si="222"/>
        <v>0</v>
      </c>
      <c r="P514" s="837">
        <f t="shared" si="223"/>
        <v>0</v>
      </c>
      <c r="Q514" s="1264"/>
      <c r="R514" s="1264"/>
      <c r="S514" s="1264"/>
      <c r="T514" s="1264"/>
      <c r="U514" s="1264"/>
      <c r="V514" s="1264"/>
      <c r="W514" s="1264"/>
      <c r="X514" s="1264"/>
      <c r="Y514" s="1264"/>
      <c r="Z514" s="1264"/>
    </row>
    <row r="515" spans="1:26" ht="19.5" hidden="1">
      <c r="A515" s="1273"/>
      <c r="B515" s="1274"/>
      <c r="C515" s="1265" t="s">
        <v>16</v>
      </c>
      <c r="D515" s="1295" t="s">
        <v>38</v>
      </c>
      <c r="E515" s="1296"/>
      <c r="F515" s="1296"/>
      <c r="G515" s="1297"/>
      <c r="H515" s="1060"/>
      <c r="I515" s="947"/>
      <c r="J515" s="947"/>
      <c r="K515" s="948"/>
      <c r="L515" s="948"/>
      <c r="M515" s="948"/>
      <c r="N515" s="948"/>
      <c r="O515" s="948"/>
      <c r="P515" s="948"/>
      <c r="Q515" s="1264"/>
      <c r="R515" s="1264"/>
      <c r="S515" s="1264"/>
      <c r="T515" s="1264"/>
      <c r="U515" s="1264"/>
      <c r="V515" s="1264"/>
      <c r="W515" s="1264"/>
      <c r="X515" s="1264"/>
      <c r="Y515" s="1264"/>
      <c r="Z515" s="1264"/>
    </row>
    <row r="516" spans="1:26" ht="18.75" hidden="1">
      <c r="A516" s="1273"/>
      <c r="B516" s="1274"/>
      <c r="C516" s="1274"/>
      <c r="D516" s="1274" t="s">
        <v>221</v>
      </c>
      <c r="E516" s="1262"/>
      <c r="F516" s="1262"/>
      <c r="G516" s="1060"/>
      <c r="H516" s="619" t="s">
        <v>109</v>
      </c>
      <c r="I516" s="836"/>
      <c r="J516" s="836">
        <v>0</v>
      </c>
      <c r="K516" s="948">
        <f t="shared" ref="K516:K517" si="224">IF(I516&gt;0,J516*100/I516,0)</f>
        <v>0</v>
      </c>
      <c r="L516" s="948"/>
      <c r="M516" s="948"/>
      <c r="N516" s="948"/>
      <c r="O516" s="948"/>
      <c r="P516" s="948"/>
      <c r="Q516" s="1264"/>
      <c r="R516" s="1264"/>
      <c r="S516" s="1264"/>
      <c r="T516" s="1264"/>
      <c r="U516" s="1264"/>
      <c r="V516" s="1264"/>
      <c r="W516" s="1264"/>
      <c r="X516" s="1264"/>
      <c r="Y516" s="1264"/>
      <c r="Z516" s="1264"/>
    </row>
    <row r="517" spans="1:26" ht="19.5" hidden="1">
      <c r="A517" s="1273"/>
      <c r="B517" s="1274"/>
      <c r="C517" s="1274"/>
      <c r="D517" s="1274" t="s">
        <v>222</v>
      </c>
      <c r="E517" s="1262"/>
      <c r="F517" s="1262"/>
      <c r="G517" s="1060"/>
      <c r="H517" s="620" t="s">
        <v>35</v>
      </c>
      <c r="I517" s="1298"/>
      <c r="J517" s="1298">
        <f>J518+J519</f>
        <v>0</v>
      </c>
      <c r="K517" s="1299">
        <f t="shared" si="224"/>
        <v>0</v>
      </c>
      <c r="L517" s="948"/>
      <c r="M517" s="948"/>
      <c r="N517" s="948"/>
      <c r="O517" s="948"/>
      <c r="P517" s="948"/>
      <c r="Q517" s="1264"/>
      <c r="R517" s="1264"/>
      <c r="S517" s="1264"/>
      <c r="T517" s="1264"/>
      <c r="U517" s="1264"/>
      <c r="V517" s="1264"/>
      <c r="W517" s="1264"/>
      <c r="X517" s="1264"/>
      <c r="Y517" s="1264"/>
      <c r="Z517" s="1264"/>
    </row>
    <row r="518" spans="1:26" ht="18.75" hidden="1">
      <c r="A518" s="1273"/>
      <c r="B518" s="1274"/>
      <c r="C518" s="1274"/>
      <c r="D518" s="1274"/>
      <c r="E518" s="1274" t="s">
        <v>223</v>
      </c>
      <c r="F518" s="1262"/>
      <c r="G518" s="1060"/>
      <c r="H518" s="583" t="s">
        <v>35</v>
      </c>
      <c r="I518" s="836"/>
      <c r="J518" s="836"/>
      <c r="K518" s="948"/>
      <c r="L518" s="948"/>
      <c r="M518" s="948"/>
      <c r="N518" s="948"/>
      <c r="O518" s="948"/>
      <c r="P518" s="948"/>
      <c r="Q518" s="1264"/>
      <c r="R518" s="1264"/>
      <c r="S518" s="1264"/>
      <c r="T518" s="1264"/>
      <c r="U518" s="1264"/>
      <c r="V518" s="1264"/>
      <c r="W518" s="1264"/>
      <c r="X518" s="1264"/>
      <c r="Y518" s="1264"/>
      <c r="Z518" s="1264"/>
    </row>
    <row r="519" spans="1:26" ht="18.75" hidden="1">
      <c r="A519" s="1273"/>
      <c r="B519" s="1274"/>
      <c r="C519" s="1274"/>
      <c r="D519" s="1274"/>
      <c r="E519" s="1274" t="s">
        <v>224</v>
      </c>
      <c r="F519" s="1262"/>
      <c r="G519" s="1060"/>
      <c r="H519" s="619" t="s">
        <v>35</v>
      </c>
      <c r="I519" s="836"/>
      <c r="J519" s="836"/>
      <c r="K519" s="948"/>
      <c r="L519" s="948"/>
      <c r="M519" s="948"/>
      <c r="N519" s="948"/>
      <c r="O519" s="948"/>
      <c r="P519" s="948"/>
      <c r="Q519" s="1264"/>
      <c r="R519" s="1264"/>
      <c r="S519" s="1264"/>
      <c r="T519" s="1264"/>
      <c r="U519" s="1264"/>
      <c r="V519" s="1264"/>
      <c r="W519" s="1264"/>
      <c r="X519" s="1264"/>
      <c r="Y519" s="1264"/>
      <c r="Z519" s="1264"/>
    </row>
    <row r="520" spans="1:26" ht="19.5">
      <c r="A520" s="1300" t="s">
        <v>137</v>
      </c>
      <c r="B520" s="1301"/>
      <c r="C520" s="1301"/>
      <c r="D520" s="1302"/>
      <c r="E520" s="1302"/>
      <c r="F520" s="1302"/>
      <c r="G520" s="1303"/>
      <c r="H520" s="1304"/>
      <c r="I520" s="1305"/>
      <c r="J520" s="1305"/>
      <c r="K520" s="1306"/>
      <c r="L520" s="1306"/>
      <c r="M520" s="1306"/>
      <c r="N520" s="1306"/>
      <c r="O520" s="1306"/>
      <c r="P520" s="1306"/>
    </row>
    <row r="521" spans="1:26" ht="19.5" hidden="1">
      <c r="A521" s="630">
        <v>5</v>
      </c>
      <c r="B521" s="1307" t="s">
        <v>225</v>
      </c>
      <c r="C521" s="1308"/>
      <c r="D521" s="1309"/>
      <c r="E521" s="1309"/>
      <c r="F521" s="1309"/>
      <c r="G521" s="1309"/>
      <c r="H521" s="1310"/>
      <c r="I521" s="1311"/>
      <c r="J521" s="1311"/>
      <c r="K521" s="1312"/>
      <c r="L521" s="1312"/>
      <c r="M521" s="1312"/>
      <c r="N521" s="1312"/>
      <c r="O521" s="1312"/>
      <c r="P521" s="1312"/>
      <c r="Q521" s="1244"/>
      <c r="R521" s="1244"/>
      <c r="S521" s="1244"/>
      <c r="T521" s="1244"/>
      <c r="U521" s="1244"/>
      <c r="V521" s="1244"/>
      <c r="W521" s="1244"/>
      <c r="X521" s="1244"/>
      <c r="Y521" s="1244"/>
      <c r="Z521" s="1244"/>
    </row>
    <row r="522" spans="1:26" ht="19.5" hidden="1">
      <c r="A522" s="1313"/>
      <c r="B522" s="1314" t="s">
        <v>226</v>
      </c>
      <c r="C522" s="1315"/>
      <c r="D522" s="1315"/>
      <c r="E522" s="1315"/>
      <c r="F522" s="1315"/>
      <c r="G522" s="1316"/>
      <c r="H522" s="641" t="s">
        <v>35</v>
      </c>
      <c r="I522" s="1317">
        <f t="shared" ref="I522:J522" ca="1" si="225">I537</f>
        <v>0</v>
      </c>
      <c r="J522" s="1317">
        <f t="shared" ca="1" si="225"/>
        <v>0</v>
      </c>
      <c r="K522" s="1318">
        <f ca="1">IF(I522&gt;0,J522*100/I522,0)</f>
        <v>0</v>
      </c>
      <c r="L522" s="1319"/>
      <c r="M522" s="1319"/>
      <c r="N522" s="1319"/>
      <c r="O522" s="1319"/>
      <c r="P522" s="1319"/>
      <c r="Q522" s="1244"/>
      <c r="R522" s="1244"/>
      <c r="S522" s="1244"/>
      <c r="T522" s="1244"/>
      <c r="U522" s="1244"/>
      <c r="V522" s="1244"/>
      <c r="W522" s="1244"/>
      <c r="X522" s="1244"/>
      <c r="Y522" s="1244"/>
      <c r="Z522" s="1244"/>
    </row>
    <row r="523" spans="1:26" ht="19.5" hidden="1">
      <c r="A523" s="1259"/>
      <c r="B523" s="1243"/>
      <c r="C523" s="1243" t="s">
        <v>16</v>
      </c>
      <c r="D523" s="1507" t="s">
        <v>17</v>
      </c>
      <c r="E523" s="1485"/>
      <c r="F523" s="1485"/>
      <c r="G523" s="963"/>
      <c r="H523" s="563" t="s">
        <v>12</v>
      </c>
      <c r="I523" s="830"/>
      <c r="J523" s="830"/>
      <c r="K523" s="831"/>
      <c r="L523" s="967">
        <f t="shared" ref="L523:N523" ca="1" si="226">L524+L525</f>
        <v>0</v>
      </c>
      <c r="M523" s="967">
        <f t="shared" si="226"/>
        <v>0</v>
      </c>
      <c r="N523" s="967">
        <f t="shared" si="226"/>
        <v>0</v>
      </c>
      <c r="O523" s="967">
        <f t="shared" ref="O523:O528" ca="1" si="227">IF(L523&gt;0,N523*100/L523,0)</f>
        <v>0</v>
      </c>
      <c r="P523" s="967">
        <f t="shared" ref="P523:P528" si="228">IF(M523&gt;0,N523*100/M523,0)</f>
        <v>0</v>
      </c>
      <c r="Q523" s="1244"/>
      <c r="R523" s="1244"/>
      <c r="S523" s="1244"/>
      <c r="T523" s="1244"/>
      <c r="U523" s="1244"/>
      <c r="V523" s="1244"/>
      <c r="W523" s="1244"/>
      <c r="X523" s="1244"/>
      <c r="Y523" s="1244"/>
      <c r="Z523" s="1244"/>
    </row>
    <row r="524" spans="1:26" ht="18.75" hidden="1">
      <c r="A524" s="1260"/>
      <c r="B524" s="1261"/>
      <c r="C524" s="1261"/>
      <c r="D524" s="1262"/>
      <c r="E524" s="1261" t="s">
        <v>184</v>
      </c>
      <c r="F524" s="1261"/>
      <c r="G524" s="1263"/>
      <c r="H524" s="165" t="s">
        <v>12</v>
      </c>
      <c r="I524" s="836"/>
      <c r="J524" s="836"/>
      <c r="K524" s="837"/>
      <c r="L524" s="837">
        <f t="shared" ref="L524:N525" si="229">L527+L534</f>
        <v>0</v>
      </c>
      <c r="M524" s="837">
        <f t="shared" si="229"/>
        <v>0</v>
      </c>
      <c r="N524" s="837">
        <f t="shared" si="229"/>
        <v>0</v>
      </c>
      <c r="O524" s="837">
        <f t="shared" si="227"/>
        <v>0</v>
      </c>
      <c r="P524" s="837">
        <f t="shared" si="228"/>
        <v>0</v>
      </c>
      <c r="Q524" s="1264"/>
      <c r="R524" s="1264"/>
      <c r="S524" s="1264"/>
      <c r="T524" s="1264"/>
      <c r="U524" s="1264"/>
      <c r="V524" s="1264"/>
      <c r="W524" s="1264"/>
      <c r="X524" s="1264"/>
      <c r="Y524" s="1264"/>
      <c r="Z524" s="1264"/>
    </row>
    <row r="525" spans="1:26" ht="18.75" hidden="1">
      <c r="A525" s="1260"/>
      <c r="B525" s="1265"/>
      <c r="C525" s="1261"/>
      <c r="D525" s="1262"/>
      <c r="E525" s="1261" t="s">
        <v>185</v>
      </c>
      <c r="F525" s="1261"/>
      <c r="G525" s="1263"/>
      <c r="H525" s="165" t="s">
        <v>12</v>
      </c>
      <c r="I525" s="836"/>
      <c r="J525" s="836"/>
      <c r="K525" s="837"/>
      <c r="L525" s="837">
        <f t="shared" ca="1" si="229"/>
        <v>0</v>
      </c>
      <c r="M525" s="837">
        <f t="shared" si="229"/>
        <v>0</v>
      </c>
      <c r="N525" s="837">
        <f t="shared" si="229"/>
        <v>0</v>
      </c>
      <c r="O525" s="837">
        <f t="shared" ca="1" si="227"/>
        <v>0</v>
      </c>
      <c r="P525" s="837">
        <f t="shared" si="228"/>
        <v>0</v>
      </c>
      <c r="Q525" s="1264"/>
      <c r="R525" s="1264"/>
      <c r="S525" s="1264"/>
      <c r="T525" s="1264"/>
      <c r="U525" s="1264"/>
      <c r="V525" s="1264"/>
      <c r="W525" s="1264"/>
      <c r="X525" s="1264"/>
      <c r="Y525" s="1264"/>
      <c r="Z525" s="1264"/>
    </row>
    <row r="526" spans="1:26" ht="18.75" hidden="1">
      <c r="A526" s="1259"/>
      <c r="B526" s="1242"/>
      <c r="C526" s="1243"/>
      <c r="D526" s="1266" t="s">
        <v>20</v>
      </c>
      <c r="E526" s="1243"/>
      <c r="F526" s="1243"/>
      <c r="G526" s="963"/>
      <c r="H526" s="778" t="s">
        <v>12</v>
      </c>
      <c r="I526" s="944"/>
      <c r="J526" s="944"/>
      <c r="K526" s="945"/>
      <c r="L526" s="831">
        <f t="shared" ref="L526:N526" ca="1" si="230">L527+L528</f>
        <v>0</v>
      </c>
      <c r="M526" s="831">
        <f t="shared" si="230"/>
        <v>0</v>
      </c>
      <c r="N526" s="831">
        <f t="shared" si="230"/>
        <v>0</v>
      </c>
      <c r="O526" s="831">
        <f t="shared" ca="1" si="227"/>
        <v>0</v>
      </c>
      <c r="P526" s="831">
        <f t="shared" si="228"/>
        <v>0</v>
      </c>
      <c r="Q526" s="1244"/>
      <c r="R526" s="1244"/>
      <c r="S526" s="1244"/>
      <c r="T526" s="1244"/>
      <c r="U526" s="1244"/>
      <c r="V526" s="1244"/>
      <c r="W526" s="1244"/>
      <c r="X526" s="1244"/>
      <c r="Y526" s="1244"/>
      <c r="Z526" s="1244"/>
    </row>
    <row r="527" spans="1:26" ht="18.75" hidden="1">
      <c r="A527" s="1260"/>
      <c r="B527" s="1265"/>
      <c r="C527" s="1261"/>
      <c r="D527" s="1262"/>
      <c r="E527" s="1261" t="s">
        <v>184</v>
      </c>
      <c r="F527" s="1261"/>
      <c r="G527" s="1263"/>
      <c r="H527" s="165" t="s">
        <v>12</v>
      </c>
      <c r="I527" s="836"/>
      <c r="J527" s="836"/>
      <c r="K527" s="837"/>
      <c r="L527" s="837">
        <v>0</v>
      </c>
      <c r="M527" s="837">
        <v>0</v>
      </c>
      <c r="N527" s="837">
        <v>0</v>
      </c>
      <c r="O527" s="837">
        <f t="shared" si="227"/>
        <v>0</v>
      </c>
      <c r="P527" s="837">
        <f t="shared" si="228"/>
        <v>0</v>
      </c>
      <c r="Q527" s="1264"/>
      <c r="R527" s="1264"/>
      <c r="S527" s="1264"/>
      <c r="T527" s="1264"/>
      <c r="U527" s="1264"/>
      <c r="V527" s="1264"/>
      <c r="W527" s="1264"/>
      <c r="X527" s="1264"/>
      <c r="Y527" s="1264"/>
      <c r="Z527" s="1264"/>
    </row>
    <row r="528" spans="1:26" ht="18.75" hidden="1">
      <c r="A528" s="1260"/>
      <c r="B528" s="1265"/>
      <c r="C528" s="1261"/>
      <c r="D528" s="1262"/>
      <c r="E528" s="1261" t="s">
        <v>185</v>
      </c>
      <c r="F528" s="1261"/>
      <c r="G528" s="1263"/>
      <c r="H528" s="165" t="s">
        <v>12</v>
      </c>
      <c r="I528" s="836"/>
      <c r="J528" s="836"/>
      <c r="K528" s="837"/>
      <c r="L528" s="837">
        <f ca="1">IFERROR(__xludf.DUMMYFUNCTION("IMPORTRANGE(""https://docs.google.com/spreadsheets/d/1QqKyyYR6Q21VydFLVH3TRQUabQu_ym0Zz7PgGX0-kHA/edit?usp=sharing"",""แผน!GQ24"")"),0)</f>
        <v>0</v>
      </c>
      <c r="M528" s="837">
        <v>0</v>
      </c>
      <c r="N528" s="837">
        <f>N529+N530+N531+N532</f>
        <v>0</v>
      </c>
      <c r="O528" s="837">
        <f t="shared" ca="1" si="227"/>
        <v>0</v>
      </c>
      <c r="P528" s="837">
        <f t="shared" si="228"/>
        <v>0</v>
      </c>
      <c r="Q528" s="1264"/>
      <c r="R528" s="1264"/>
      <c r="S528" s="1264"/>
      <c r="T528" s="1264"/>
      <c r="U528" s="1264"/>
      <c r="V528" s="1264"/>
      <c r="W528" s="1264"/>
      <c r="X528" s="1264"/>
      <c r="Y528" s="1264"/>
      <c r="Z528" s="1264"/>
    </row>
    <row r="529" spans="1:26" ht="18.75" hidden="1">
      <c r="A529" s="1241"/>
      <c r="B529" s="1242"/>
      <c r="C529" s="1243"/>
      <c r="D529" s="1243"/>
      <c r="E529" s="1243"/>
      <c r="F529" s="1243" t="s">
        <v>186</v>
      </c>
      <c r="G529" s="963"/>
      <c r="H529" s="778" t="s">
        <v>12</v>
      </c>
      <c r="I529" s="830"/>
      <c r="J529" s="830"/>
      <c r="K529" s="831"/>
      <c r="L529" s="831"/>
      <c r="M529" s="831"/>
      <c r="N529" s="1031">
        <v>0</v>
      </c>
      <c r="O529" s="831"/>
      <c r="P529" s="831"/>
      <c r="Q529" s="1244"/>
      <c r="R529" s="1244"/>
      <c r="S529" s="1244"/>
      <c r="T529" s="1244"/>
      <c r="U529" s="1244"/>
      <c r="V529" s="1244"/>
      <c r="W529" s="1244"/>
      <c r="X529" s="1244"/>
      <c r="Y529" s="1244"/>
      <c r="Z529" s="1244"/>
    </row>
    <row r="530" spans="1:26" ht="18.75" hidden="1">
      <c r="A530" s="1241"/>
      <c r="B530" s="1242"/>
      <c r="C530" s="1243"/>
      <c r="D530" s="1243"/>
      <c r="E530" s="1243"/>
      <c r="F530" s="1243" t="s">
        <v>187</v>
      </c>
      <c r="G530" s="963"/>
      <c r="H530" s="778" t="s">
        <v>12</v>
      </c>
      <c r="I530" s="830"/>
      <c r="J530" s="830"/>
      <c r="K530" s="831"/>
      <c r="L530" s="831"/>
      <c r="M530" s="831"/>
      <c r="N530" s="1031">
        <v>0</v>
      </c>
      <c r="O530" s="831"/>
      <c r="P530" s="831"/>
      <c r="Q530" s="1244"/>
      <c r="R530" s="1244"/>
      <c r="S530" s="1244"/>
      <c r="T530" s="1244"/>
      <c r="U530" s="1244"/>
      <c r="V530" s="1244"/>
      <c r="W530" s="1244"/>
      <c r="X530" s="1244"/>
      <c r="Y530" s="1244"/>
      <c r="Z530" s="1244"/>
    </row>
    <row r="531" spans="1:26" ht="18.75" hidden="1">
      <c r="A531" s="1241"/>
      <c r="B531" s="1242"/>
      <c r="C531" s="1243"/>
      <c r="D531" s="1243"/>
      <c r="E531" s="1243"/>
      <c r="F531" s="1243" t="s">
        <v>188</v>
      </c>
      <c r="G531" s="963"/>
      <c r="H531" s="778" t="s">
        <v>12</v>
      </c>
      <c r="I531" s="830"/>
      <c r="J531" s="830"/>
      <c r="K531" s="831"/>
      <c r="L531" s="831"/>
      <c r="M531" s="831"/>
      <c r="N531" s="1031">
        <v>0</v>
      </c>
      <c r="O531" s="831"/>
      <c r="P531" s="831"/>
      <c r="Q531" s="1244"/>
      <c r="R531" s="1244"/>
      <c r="S531" s="1244"/>
      <c r="T531" s="1244"/>
      <c r="U531" s="1244"/>
      <c r="V531" s="1244"/>
      <c r="W531" s="1244"/>
      <c r="X531" s="1244"/>
      <c r="Y531" s="1244"/>
      <c r="Z531" s="1244"/>
    </row>
    <row r="532" spans="1:26" ht="18.75" hidden="1">
      <c r="A532" s="1241"/>
      <c r="B532" s="1242"/>
      <c r="C532" s="1243"/>
      <c r="D532" s="1243"/>
      <c r="E532" s="1243"/>
      <c r="F532" s="1243" t="s">
        <v>189</v>
      </c>
      <c r="G532" s="963"/>
      <c r="H532" s="778" t="s">
        <v>12</v>
      </c>
      <c r="I532" s="830"/>
      <c r="J532" s="830"/>
      <c r="K532" s="831"/>
      <c r="L532" s="831"/>
      <c r="M532" s="831"/>
      <c r="N532" s="1031">
        <v>0</v>
      </c>
      <c r="O532" s="831"/>
      <c r="P532" s="831"/>
      <c r="Q532" s="1244"/>
      <c r="R532" s="1244"/>
      <c r="S532" s="1244"/>
      <c r="T532" s="1244"/>
      <c r="U532" s="1244"/>
      <c r="V532" s="1244"/>
      <c r="W532" s="1244"/>
      <c r="X532" s="1244"/>
      <c r="Y532" s="1244"/>
      <c r="Z532" s="1244"/>
    </row>
    <row r="533" spans="1:26" ht="18.75" hidden="1">
      <c r="A533" s="1259"/>
      <c r="B533" s="1242"/>
      <c r="C533" s="1243"/>
      <c r="D533" s="1266" t="s">
        <v>21</v>
      </c>
      <c r="E533" s="1243"/>
      <c r="F533" s="1243"/>
      <c r="G533" s="963"/>
      <c r="H533" s="168" t="s">
        <v>12</v>
      </c>
      <c r="I533" s="944"/>
      <c r="J533" s="944"/>
      <c r="K533" s="945"/>
      <c r="L533" s="831">
        <f t="shared" ref="L533:N533" ca="1" si="231">L534+L535</f>
        <v>0</v>
      </c>
      <c r="M533" s="831">
        <f t="shared" si="231"/>
        <v>0</v>
      </c>
      <c r="N533" s="831">
        <f t="shared" si="231"/>
        <v>0</v>
      </c>
      <c r="O533" s="831">
        <f t="shared" ref="O533:O535" ca="1" si="232">IF(L533&gt;0,N533*100/L533,0)</f>
        <v>0</v>
      </c>
      <c r="P533" s="831">
        <f t="shared" ref="P533:P535" si="233">IF(M533&gt;0,N533*100/M533,0)</f>
        <v>0</v>
      </c>
      <c r="Q533" s="1244"/>
      <c r="R533" s="1244"/>
      <c r="S533" s="1244"/>
      <c r="T533" s="1244"/>
      <c r="U533" s="1244"/>
      <c r="V533" s="1244"/>
      <c r="W533" s="1244"/>
      <c r="X533" s="1244"/>
      <c r="Y533" s="1244"/>
      <c r="Z533" s="1244"/>
    </row>
    <row r="534" spans="1:26" ht="18.75" hidden="1">
      <c r="A534" s="1260"/>
      <c r="B534" s="1265"/>
      <c r="C534" s="1261"/>
      <c r="D534" s="1261"/>
      <c r="E534" s="1261" t="s">
        <v>18</v>
      </c>
      <c r="F534" s="1261"/>
      <c r="G534" s="1263"/>
      <c r="H534" s="165" t="s">
        <v>12</v>
      </c>
      <c r="I534" s="947"/>
      <c r="J534" s="947"/>
      <c r="K534" s="948"/>
      <c r="L534" s="837">
        <v>0</v>
      </c>
      <c r="M534" s="837">
        <v>0</v>
      </c>
      <c r="N534" s="837">
        <v>0</v>
      </c>
      <c r="O534" s="837">
        <f t="shared" si="232"/>
        <v>0</v>
      </c>
      <c r="P534" s="837">
        <f t="shared" si="233"/>
        <v>0</v>
      </c>
      <c r="Q534" s="1264"/>
      <c r="R534" s="1264"/>
      <c r="S534" s="1264"/>
      <c r="T534" s="1264"/>
      <c r="U534" s="1264"/>
      <c r="V534" s="1264"/>
      <c r="W534" s="1264"/>
      <c r="X534" s="1264"/>
      <c r="Y534" s="1264"/>
      <c r="Z534" s="1264"/>
    </row>
    <row r="535" spans="1:26" ht="18.75" hidden="1">
      <c r="A535" s="1260"/>
      <c r="B535" s="1265"/>
      <c r="C535" s="1261"/>
      <c r="D535" s="1261"/>
      <c r="E535" s="1261" t="s">
        <v>19</v>
      </c>
      <c r="F535" s="1261"/>
      <c r="G535" s="1263"/>
      <c r="H535" s="169" t="s">
        <v>12</v>
      </c>
      <c r="I535" s="947"/>
      <c r="J535" s="947"/>
      <c r="K535" s="948"/>
      <c r="L535" s="837">
        <f ca="1">IFERROR(__xludf.DUMMYFUNCTION("IMPORTRANGE(""https://docs.google.com/spreadsheets/d/1QqKyyYR6Q21VydFLVH3TRQUabQu_ym0Zz7PgGX0-kHA/edit?usp=sharing"",""แผน!GT24"")"),0)</f>
        <v>0</v>
      </c>
      <c r="M535" s="837">
        <v>0</v>
      </c>
      <c r="N535" s="837">
        <v>0</v>
      </c>
      <c r="O535" s="837">
        <f t="shared" ca="1" si="232"/>
        <v>0</v>
      </c>
      <c r="P535" s="837">
        <f t="shared" si="233"/>
        <v>0</v>
      </c>
      <c r="Q535" s="1264"/>
      <c r="R535" s="1264"/>
      <c r="S535" s="1264"/>
      <c r="T535" s="1264"/>
      <c r="U535" s="1264"/>
      <c r="V535" s="1264"/>
      <c r="W535" s="1264"/>
      <c r="X535" s="1264"/>
      <c r="Y535" s="1264"/>
      <c r="Z535" s="1264"/>
    </row>
    <row r="536" spans="1:26" ht="19.5" hidden="1">
      <c r="A536" s="1267"/>
      <c r="B536" s="1268"/>
      <c r="C536" s="1243" t="s">
        <v>16</v>
      </c>
      <c r="D536" s="1320" t="s">
        <v>38</v>
      </c>
      <c r="E536" s="1271"/>
      <c r="F536" s="1271"/>
      <c r="G536" s="1272"/>
      <c r="H536" s="954"/>
      <c r="I536" s="944"/>
      <c r="J536" s="944"/>
      <c r="K536" s="945"/>
      <c r="L536" s="945"/>
      <c r="M536" s="945"/>
      <c r="N536" s="945"/>
      <c r="O536" s="945"/>
      <c r="P536" s="945"/>
      <c r="Q536" s="1244"/>
      <c r="R536" s="1244"/>
      <c r="S536" s="1244"/>
      <c r="T536" s="1244"/>
      <c r="U536" s="1244"/>
      <c r="V536" s="1244"/>
      <c r="W536" s="1244"/>
      <c r="X536" s="1244"/>
      <c r="Y536" s="1244"/>
      <c r="Z536" s="1244"/>
    </row>
    <row r="537" spans="1:26" ht="19.5" hidden="1">
      <c r="A537" s="1241"/>
      <c r="B537" s="1242"/>
      <c r="C537" s="1243"/>
      <c r="D537" s="1243" t="s">
        <v>227</v>
      </c>
      <c r="E537" s="1243"/>
      <c r="F537" s="1243"/>
      <c r="G537" s="963"/>
      <c r="H537" s="590" t="s">
        <v>35</v>
      </c>
      <c r="I537" s="966">
        <f ca="1">IFERROR(__xludf.DUMMYFUNCTION("IMPORTRANGE(""https://docs.google.com/spreadsheets/d/1QqKyyYR6Q21VydFLVH3TRQUabQu_ym0Zz7PgGX0-kHA/edit?usp=sharing"",""แผน!GU24"")"),0)</f>
        <v>0</v>
      </c>
      <c r="J537" s="966">
        <f ca="1">IF(AND(J538=I538,J539=I539,J540=I540,J541=I541),I537,0)</f>
        <v>0</v>
      </c>
      <c r="K537" s="831">
        <f t="shared" ref="K537:K543" ca="1" si="234">IF(I537&gt;0,J537*100/I537,0)</f>
        <v>0</v>
      </c>
      <c r="L537" s="831"/>
      <c r="M537" s="831"/>
      <c r="N537" s="831"/>
      <c r="O537" s="831"/>
      <c r="P537" s="831"/>
      <c r="Q537" s="1321"/>
      <c r="R537" s="1321"/>
      <c r="S537" s="1321"/>
      <c r="T537" s="1321"/>
      <c r="U537" s="1321"/>
      <c r="V537" s="1321"/>
      <c r="W537" s="1321"/>
      <c r="X537" s="1321"/>
      <c r="Y537" s="1321"/>
      <c r="Z537" s="1321"/>
    </row>
    <row r="538" spans="1:26" ht="18.75" hidden="1">
      <c r="A538" s="1241"/>
      <c r="B538" s="1242"/>
      <c r="C538" s="1243"/>
      <c r="D538" s="1243"/>
      <c r="E538" s="1243" t="s">
        <v>228</v>
      </c>
      <c r="F538" s="1243"/>
      <c r="G538" s="963"/>
      <c r="H538" s="590" t="s">
        <v>35</v>
      </c>
      <c r="I538" s="830">
        <f ca="1">IFERROR(__xludf.DUMMYFUNCTION("IMPORTRANGE(""https://docs.google.com/spreadsheets/d/1QqKyyYR6Q21VydFLVH3TRQUabQu_ym0Zz7PgGX0-kHA/edit?usp=sharing"",""แผน!GV24"")"),0)</f>
        <v>0</v>
      </c>
      <c r="J538" s="959">
        <v>0</v>
      </c>
      <c r="K538" s="831">
        <f t="shared" ca="1" si="234"/>
        <v>0</v>
      </c>
      <c r="L538" s="831"/>
      <c r="M538" s="831"/>
      <c r="N538" s="831"/>
      <c r="O538" s="831"/>
      <c r="P538" s="831"/>
      <c r="Q538" s="1321"/>
      <c r="R538" s="1321"/>
      <c r="S538" s="1321"/>
      <c r="T538" s="1321"/>
      <c r="U538" s="1321"/>
      <c r="V538" s="1321"/>
      <c r="W538" s="1321"/>
      <c r="X538" s="1321"/>
      <c r="Y538" s="1321"/>
      <c r="Z538" s="1321"/>
    </row>
    <row r="539" spans="1:26" ht="18.75" hidden="1">
      <c r="A539" s="1241"/>
      <c r="B539" s="1242"/>
      <c r="C539" s="1243"/>
      <c r="D539" s="1243"/>
      <c r="E539" s="1243" t="s">
        <v>229</v>
      </c>
      <c r="F539" s="1243"/>
      <c r="G539" s="963"/>
      <c r="H539" s="590" t="s">
        <v>35</v>
      </c>
      <c r="I539" s="830">
        <f ca="1">IFERROR(__xludf.DUMMYFUNCTION("IMPORTRANGE(""https://docs.google.com/spreadsheets/d/1QqKyyYR6Q21VydFLVH3TRQUabQu_ym0Zz7PgGX0-kHA/edit?usp=sharing"",""แผน!GW24"")"),0)</f>
        <v>0</v>
      </c>
      <c r="J539" s="959">
        <v>0</v>
      </c>
      <c r="K539" s="831">
        <f t="shared" ca="1" si="234"/>
        <v>0</v>
      </c>
      <c r="L539" s="831"/>
      <c r="M539" s="831"/>
      <c r="N539" s="831"/>
      <c r="O539" s="831"/>
      <c r="P539" s="831"/>
      <c r="Q539" s="1321"/>
      <c r="R539" s="1321"/>
      <c r="S539" s="1321"/>
      <c r="T539" s="1321"/>
      <c r="U539" s="1321"/>
      <c r="V539" s="1321"/>
      <c r="W539" s="1321"/>
      <c r="X539" s="1321"/>
      <c r="Y539" s="1321"/>
      <c r="Z539" s="1321"/>
    </row>
    <row r="540" spans="1:26" ht="18.75" hidden="1">
      <c r="A540" s="1241"/>
      <c r="B540" s="1242"/>
      <c r="C540" s="1243"/>
      <c r="D540" s="1243"/>
      <c r="E540" s="1243" t="s">
        <v>230</v>
      </c>
      <c r="F540" s="1243"/>
      <c r="G540" s="963"/>
      <c r="H540" s="590" t="s">
        <v>35</v>
      </c>
      <c r="I540" s="830">
        <f ca="1">IFERROR(__xludf.DUMMYFUNCTION("IMPORTRANGE(""https://docs.google.com/spreadsheets/d/1QqKyyYR6Q21VydFLVH3TRQUabQu_ym0Zz7PgGX0-kHA/edit?usp=sharing"",""แผน!GX24"")"),0)</f>
        <v>0</v>
      </c>
      <c r="J540" s="959">
        <v>0</v>
      </c>
      <c r="K540" s="831">
        <f t="shared" ca="1" si="234"/>
        <v>0</v>
      </c>
      <c r="L540" s="831"/>
      <c r="M540" s="831"/>
      <c r="N540" s="831"/>
      <c r="O540" s="831"/>
      <c r="P540" s="831"/>
      <c r="Q540" s="1321"/>
      <c r="R540" s="1321"/>
      <c r="S540" s="1321"/>
      <c r="T540" s="1321"/>
      <c r="U540" s="1321"/>
      <c r="V540" s="1321"/>
      <c r="W540" s="1321"/>
      <c r="X540" s="1321"/>
      <c r="Y540" s="1321"/>
      <c r="Z540" s="1321"/>
    </row>
    <row r="541" spans="1:26" ht="18.75" hidden="1">
      <c r="A541" s="1241"/>
      <c r="B541" s="1242"/>
      <c r="C541" s="1243"/>
      <c r="D541" s="1243"/>
      <c r="E541" s="1322" t="s">
        <v>231</v>
      </c>
      <c r="F541" s="1243"/>
      <c r="G541" s="963"/>
      <c r="H541" s="590" t="s">
        <v>35</v>
      </c>
      <c r="I541" s="830">
        <f ca="1">IFERROR(__xludf.DUMMYFUNCTION("IMPORTRANGE(""https://docs.google.com/spreadsheets/d/1QqKyyYR6Q21VydFLVH3TRQUabQu_ym0Zz7PgGX0-kHA/edit?usp=sharing"",""แผน!GY24"")"),0)</f>
        <v>0</v>
      </c>
      <c r="J541" s="959">
        <v>0</v>
      </c>
      <c r="K541" s="831">
        <f t="shared" ca="1" si="234"/>
        <v>0</v>
      </c>
      <c r="L541" s="831"/>
      <c r="M541" s="831"/>
      <c r="N541" s="831"/>
      <c r="O541" s="831"/>
      <c r="P541" s="831"/>
      <c r="Q541" s="1321"/>
      <c r="R541" s="1321"/>
      <c r="S541" s="1321"/>
      <c r="T541" s="1321"/>
      <c r="U541" s="1321"/>
      <c r="V541" s="1321"/>
      <c r="W541" s="1321"/>
      <c r="X541" s="1321"/>
      <c r="Y541" s="1321"/>
      <c r="Z541" s="1321"/>
    </row>
    <row r="542" spans="1:26" ht="18.75" hidden="1">
      <c r="A542" s="1241"/>
      <c r="B542" s="1242"/>
      <c r="C542" s="1243"/>
      <c r="D542" s="1243" t="s">
        <v>59</v>
      </c>
      <c r="E542" s="1243"/>
      <c r="F542" s="1243"/>
      <c r="G542" s="963"/>
      <c r="H542" s="590" t="s">
        <v>35</v>
      </c>
      <c r="I542" s="830">
        <f ca="1">IFERROR(__xludf.DUMMYFUNCTION("IMPORTRANGE(""https://docs.google.com/spreadsheets/d/1QqKyyYR6Q21VydFLVH3TRQUabQu_ym0Zz7PgGX0-kHA/edit?usp=sharing"",""แผน!GZ24"")"),0)</f>
        <v>0</v>
      </c>
      <c r="J542" s="959">
        <v>0</v>
      </c>
      <c r="K542" s="831">
        <f t="shared" ca="1" si="234"/>
        <v>0</v>
      </c>
      <c r="L542" s="831"/>
      <c r="M542" s="831"/>
      <c r="N542" s="831"/>
      <c r="O542" s="831"/>
      <c r="P542" s="831"/>
      <c r="Q542" s="1321"/>
      <c r="R542" s="1321"/>
      <c r="S542" s="1321"/>
      <c r="T542" s="1321"/>
      <c r="U542" s="1321"/>
      <c r="V542" s="1321"/>
      <c r="W542" s="1321"/>
      <c r="X542" s="1321"/>
      <c r="Y542" s="1321"/>
      <c r="Z542" s="1321"/>
    </row>
    <row r="543" spans="1:26" ht="19.5">
      <c r="A543" s="630">
        <v>6</v>
      </c>
      <c r="B543" s="1323" t="s">
        <v>232</v>
      </c>
      <c r="C543" s="1309"/>
      <c r="D543" s="1309"/>
      <c r="E543" s="1309"/>
      <c r="F543" s="1309"/>
      <c r="G543" s="1310"/>
      <c r="H543" s="652" t="s">
        <v>46</v>
      </c>
      <c r="I543" s="1324">
        <f t="shared" ref="I543:J543" ca="1" si="235">I559</f>
        <v>54558</v>
      </c>
      <c r="J543" s="1324">
        <f t="shared" si="235"/>
        <v>0</v>
      </c>
      <c r="K543" s="1325">
        <f t="shared" ca="1" si="234"/>
        <v>0</v>
      </c>
      <c r="L543" s="1312"/>
      <c r="M543" s="1312"/>
      <c r="N543" s="1312"/>
      <c r="O543" s="1312"/>
      <c r="P543" s="1312"/>
      <c r="Q543" s="1244"/>
      <c r="R543" s="1244"/>
      <c r="S543" s="1244"/>
      <c r="T543" s="1244"/>
      <c r="U543" s="1244"/>
      <c r="V543" s="1244"/>
      <c r="W543" s="1244"/>
      <c r="X543" s="1244"/>
      <c r="Y543" s="1244"/>
      <c r="Z543" s="1244"/>
    </row>
    <row r="544" spans="1:26" ht="19.5">
      <c r="A544" s="1326"/>
      <c r="B544" s="1327"/>
      <c r="C544" s="1327" t="s">
        <v>16</v>
      </c>
      <c r="D544" s="1511" t="s">
        <v>17</v>
      </c>
      <c r="E544" s="1487"/>
      <c r="F544" s="1487"/>
      <c r="G544" s="1328"/>
      <c r="H544" s="275" t="s">
        <v>12</v>
      </c>
      <c r="I544" s="937"/>
      <c r="J544" s="937"/>
      <c r="K544" s="938"/>
      <c r="L544" s="939">
        <f t="shared" ref="L544:N544" ca="1" si="236">L545+L546</f>
        <v>481114</v>
      </c>
      <c r="M544" s="939">
        <f t="shared" si="236"/>
        <v>0</v>
      </c>
      <c r="N544" s="939">
        <f t="shared" si="236"/>
        <v>103784.47</v>
      </c>
      <c r="O544" s="939">
        <f t="shared" ref="O544:O549" ca="1" si="237">IF(L544&gt;0,N544*100/L544,0)</f>
        <v>21.571700262307893</v>
      </c>
      <c r="P544" s="939">
        <f t="shared" ref="P544:P549" si="238">IF(M544&gt;0,N544*100/M544,0)</f>
        <v>0</v>
      </c>
      <c r="Q544" s="1244"/>
      <c r="R544" s="1244"/>
      <c r="S544" s="1244"/>
      <c r="T544" s="1244"/>
      <c r="U544" s="1244"/>
      <c r="V544" s="1244"/>
      <c r="W544" s="1244"/>
      <c r="X544" s="1244"/>
      <c r="Y544" s="1244"/>
      <c r="Z544" s="1244"/>
    </row>
    <row r="545" spans="1:26" ht="18.75" hidden="1">
      <c r="A545" s="1260"/>
      <c r="B545" s="1261"/>
      <c r="C545" s="1261"/>
      <c r="D545" s="1261"/>
      <c r="E545" s="1261" t="s">
        <v>184</v>
      </c>
      <c r="F545" s="1261"/>
      <c r="G545" s="1263"/>
      <c r="H545" s="165" t="s">
        <v>12</v>
      </c>
      <c r="I545" s="836"/>
      <c r="J545" s="836"/>
      <c r="K545" s="837"/>
      <c r="L545" s="837">
        <f t="shared" ref="L545:L546" si="239">L548+L556</f>
        <v>0</v>
      </c>
      <c r="M545" s="837">
        <f t="shared" ref="M545:N546" si="240">M548+M555</f>
        <v>0</v>
      </c>
      <c r="N545" s="837">
        <f t="shared" si="240"/>
        <v>0</v>
      </c>
      <c r="O545" s="837">
        <f t="shared" si="237"/>
        <v>0</v>
      </c>
      <c r="P545" s="837">
        <f t="shared" si="238"/>
        <v>0</v>
      </c>
      <c r="Q545" s="1264"/>
      <c r="R545" s="1264"/>
      <c r="S545" s="1264"/>
      <c r="T545" s="1264"/>
      <c r="U545" s="1264"/>
      <c r="V545" s="1264"/>
      <c r="W545" s="1264"/>
      <c r="X545" s="1264"/>
      <c r="Y545" s="1264"/>
      <c r="Z545" s="1264"/>
    </row>
    <row r="546" spans="1:26" ht="18.75" hidden="1">
      <c r="A546" s="1260"/>
      <c r="B546" s="1265"/>
      <c r="C546" s="1261"/>
      <c r="D546" s="1261"/>
      <c r="E546" s="1261" t="s">
        <v>185</v>
      </c>
      <c r="F546" s="1261"/>
      <c r="G546" s="1263"/>
      <c r="H546" s="165" t="s">
        <v>12</v>
      </c>
      <c r="I546" s="836"/>
      <c r="J546" s="836"/>
      <c r="K546" s="837"/>
      <c r="L546" s="837">
        <f t="shared" ca="1" si="239"/>
        <v>481114</v>
      </c>
      <c r="M546" s="837">
        <f t="shared" si="240"/>
        <v>0</v>
      </c>
      <c r="N546" s="837">
        <f t="shared" si="240"/>
        <v>103784.47</v>
      </c>
      <c r="O546" s="837">
        <f t="shared" ca="1" si="237"/>
        <v>21.571700262307893</v>
      </c>
      <c r="P546" s="837">
        <f t="shared" si="238"/>
        <v>0</v>
      </c>
      <c r="Q546" s="1264"/>
      <c r="R546" s="1264"/>
      <c r="S546" s="1264"/>
      <c r="T546" s="1264"/>
      <c r="U546" s="1264"/>
      <c r="V546" s="1264"/>
      <c r="W546" s="1264"/>
      <c r="X546" s="1264"/>
      <c r="Y546" s="1264"/>
      <c r="Z546" s="1264"/>
    </row>
    <row r="547" spans="1:26" ht="18.75">
      <c r="A547" s="1259"/>
      <c r="B547" s="1242"/>
      <c r="C547" s="1243"/>
      <c r="D547" s="1266" t="s">
        <v>20</v>
      </c>
      <c r="E547" s="1243"/>
      <c r="F547" s="1243"/>
      <c r="G547" s="963"/>
      <c r="H547" s="778" t="s">
        <v>12</v>
      </c>
      <c r="I547" s="944"/>
      <c r="J547" s="944"/>
      <c r="K547" s="945"/>
      <c r="L547" s="831">
        <f t="shared" ref="L547:N547" ca="1" si="241">L548+L549</f>
        <v>481114</v>
      </c>
      <c r="M547" s="831">
        <f t="shared" si="241"/>
        <v>0</v>
      </c>
      <c r="N547" s="831">
        <f t="shared" si="241"/>
        <v>103784.47</v>
      </c>
      <c r="O547" s="831">
        <f t="shared" ca="1" si="237"/>
        <v>21.571700262307893</v>
      </c>
      <c r="P547" s="831">
        <f t="shared" si="238"/>
        <v>0</v>
      </c>
      <c r="Q547" s="1244"/>
      <c r="R547" s="1244"/>
      <c r="S547" s="1244"/>
      <c r="T547" s="1244"/>
      <c r="U547" s="1244"/>
      <c r="V547" s="1244"/>
      <c r="W547" s="1244"/>
      <c r="X547" s="1244"/>
      <c r="Y547" s="1244"/>
      <c r="Z547" s="1244"/>
    </row>
    <row r="548" spans="1:26" ht="18.75" hidden="1">
      <c r="A548" s="1260"/>
      <c r="B548" s="1265"/>
      <c r="C548" s="1261"/>
      <c r="D548" s="1262"/>
      <c r="E548" s="1261" t="s">
        <v>184</v>
      </c>
      <c r="F548" s="1261"/>
      <c r="G548" s="1263"/>
      <c r="H548" s="165" t="s">
        <v>12</v>
      </c>
      <c r="I548" s="836"/>
      <c r="J548" s="836"/>
      <c r="K548" s="837"/>
      <c r="L548" s="837">
        <v>0</v>
      </c>
      <c r="M548" s="837">
        <v>0</v>
      </c>
      <c r="N548" s="837">
        <v>0</v>
      </c>
      <c r="O548" s="837">
        <f t="shared" si="237"/>
        <v>0</v>
      </c>
      <c r="P548" s="837">
        <f t="shared" si="238"/>
        <v>0</v>
      </c>
      <c r="Q548" s="1264"/>
      <c r="R548" s="1264"/>
      <c r="S548" s="1264"/>
      <c r="T548" s="1264"/>
      <c r="U548" s="1264"/>
      <c r="V548" s="1264"/>
      <c r="W548" s="1264"/>
      <c r="X548" s="1264"/>
      <c r="Y548" s="1264"/>
      <c r="Z548" s="1264"/>
    </row>
    <row r="549" spans="1:26" ht="18.75" hidden="1">
      <c r="A549" s="1260"/>
      <c r="B549" s="1265"/>
      <c r="C549" s="1261"/>
      <c r="D549" s="1262"/>
      <c r="E549" s="1261" t="s">
        <v>185</v>
      </c>
      <c r="F549" s="1261"/>
      <c r="G549" s="1263"/>
      <c r="H549" s="165" t="s">
        <v>12</v>
      </c>
      <c r="I549" s="836"/>
      <c r="J549" s="836"/>
      <c r="K549" s="837"/>
      <c r="L549" s="837">
        <f ca="1">IFERROR(__xludf.DUMMYFUNCTION("IMPORTRANGE(""https://docs.google.com/spreadsheets/d/1QqKyyYR6Q21VydFLVH3TRQUabQu_ym0Zz7PgGX0-kHA/edit?usp=sharing"",""แผน!HB24"")"),481114)</f>
        <v>481114</v>
      </c>
      <c r="M549" s="837">
        <v>0</v>
      </c>
      <c r="N549" s="837">
        <f>N550+N551+N552+N553+N554</f>
        <v>103784.47</v>
      </c>
      <c r="O549" s="837">
        <f t="shared" ca="1" si="237"/>
        <v>21.571700262307893</v>
      </c>
      <c r="P549" s="837">
        <f t="shared" si="238"/>
        <v>0</v>
      </c>
      <c r="Q549" s="1264"/>
      <c r="R549" s="1264"/>
      <c r="S549" s="1264"/>
      <c r="T549" s="1264"/>
      <c r="U549" s="1264"/>
      <c r="V549" s="1264"/>
      <c r="W549" s="1264"/>
      <c r="X549" s="1264"/>
      <c r="Y549" s="1264"/>
      <c r="Z549" s="1264"/>
    </row>
    <row r="550" spans="1:26" ht="18.75">
      <c r="A550" s="1241"/>
      <c r="B550" s="1242"/>
      <c r="C550" s="1243"/>
      <c r="D550" s="1243"/>
      <c r="E550" s="1243"/>
      <c r="F550" s="1243" t="s">
        <v>186</v>
      </c>
      <c r="G550" s="963"/>
      <c r="H550" s="778" t="s">
        <v>12</v>
      </c>
      <c r="I550" s="830"/>
      <c r="J550" s="830"/>
      <c r="K550" s="831"/>
      <c r="L550" s="831"/>
      <c r="M550" s="831"/>
      <c r="N550" s="1072"/>
      <c r="O550" s="831"/>
      <c r="P550" s="831"/>
      <c r="Q550" s="1244"/>
      <c r="R550" s="1244"/>
      <c r="S550" s="1244"/>
      <c r="T550" s="1244"/>
      <c r="U550" s="1244"/>
      <c r="V550" s="1244"/>
      <c r="W550" s="1244"/>
      <c r="X550" s="1244"/>
      <c r="Y550" s="1244"/>
      <c r="Z550" s="1244"/>
    </row>
    <row r="551" spans="1:26" ht="18.75">
      <c r="A551" s="1241"/>
      <c r="B551" s="1242"/>
      <c r="C551" s="1242"/>
      <c r="D551" s="1242"/>
      <c r="E551" s="1243"/>
      <c r="F551" s="1243" t="s">
        <v>187</v>
      </c>
      <c r="G551" s="963"/>
      <c r="H551" s="778" t="s">
        <v>12</v>
      </c>
      <c r="I551" s="830"/>
      <c r="J551" s="830"/>
      <c r="K551" s="831"/>
      <c r="L551" s="831"/>
      <c r="M551" s="831"/>
      <c r="N551" s="1072">
        <f>12000+15000</f>
        <v>27000</v>
      </c>
      <c r="O551" s="831"/>
      <c r="P551" s="831"/>
      <c r="Q551" s="1244"/>
      <c r="R551" s="1244"/>
      <c r="S551" s="1244"/>
      <c r="T551" s="1244"/>
      <c r="U551" s="1244"/>
      <c r="V551" s="1244"/>
      <c r="W551" s="1244"/>
      <c r="X551" s="1244"/>
      <c r="Y551" s="1244"/>
      <c r="Z551" s="1244"/>
    </row>
    <row r="552" spans="1:26" ht="18.75">
      <c r="A552" s="1241"/>
      <c r="B552" s="1242"/>
      <c r="C552" s="1243"/>
      <c r="D552" s="1243"/>
      <c r="E552" s="1243"/>
      <c r="F552" s="1243" t="s">
        <v>188</v>
      </c>
      <c r="G552" s="963"/>
      <c r="H552" s="778" t="s">
        <v>12</v>
      </c>
      <c r="I552" s="830"/>
      <c r="J552" s="830"/>
      <c r="K552" s="831"/>
      <c r="L552" s="831"/>
      <c r="M552" s="831"/>
      <c r="N552" s="1072">
        <v>37701</v>
      </c>
      <c r="O552" s="831"/>
      <c r="P552" s="831"/>
      <c r="Q552" s="1244"/>
      <c r="R552" s="1244"/>
      <c r="S552" s="1244"/>
      <c r="T552" s="1244"/>
      <c r="U552" s="1244"/>
      <c r="V552" s="1244"/>
      <c r="W552" s="1244"/>
      <c r="X552" s="1244"/>
      <c r="Y552" s="1244"/>
      <c r="Z552" s="1244"/>
    </row>
    <row r="553" spans="1:26" ht="18.75">
      <c r="A553" s="1241"/>
      <c r="B553" s="1242"/>
      <c r="C553" s="1242"/>
      <c r="D553" s="1242"/>
      <c r="E553" s="1243"/>
      <c r="F553" s="1243" t="s">
        <v>189</v>
      </c>
      <c r="G553" s="963"/>
      <c r="H553" s="778" t="s">
        <v>12</v>
      </c>
      <c r="I553" s="830"/>
      <c r="J553" s="830"/>
      <c r="K553" s="831"/>
      <c r="L553" s="831"/>
      <c r="M553" s="831"/>
      <c r="N553" s="1072">
        <v>39083.47</v>
      </c>
      <c r="O553" s="831"/>
      <c r="P553" s="831"/>
      <c r="Q553" s="1244"/>
      <c r="R553" s="1244"/>
      <c r="S553" s="1244"/>
      <c r="T553" s="1244"/>
      <c r="U553" s="1244"/>
      <c r="V553" s="1244"/>
      <c r="W553" s="1244"/>
      <c r="X553" s="1244"/>
      <c r="Y553" s="1244"/>
      <c r="Z553" s="1244"/>
    </row>
    <row r="554" spans="1:26" ht="18.75">
      <c r="A554" s="1241"/>
      <c r="B554" s="1242"/>
      <c r="C554" s="1242"/>
      <c r="D554" s="1242"/>
      <c r="E554" s="1243"/>
      <c r="F554" s="1243" t="s">
        <v>233</v>
      </c>
      <c r="G554" s="963"/>
      <c r="H554" s="778" t="s">
        <v>12</v>
      </c>
      <c r="I554" s="830"/>
      <c r="J554" s="830"/>
      <c r="K554" s="831"/>
      <c r="L554" s="831"/>
      <c r="M554" s="831"/>
      <c r="N554" s="1031">
        <v>0</v>
      </c>
      <c r="O554" s="831"/>
      <c r="P554" s="831"/>
      <c r="Q554" s="1244"/>
      <c r="R554" s="1244"/>
      <c r="S554" s="1244"/>
      <c r="T554" s="1244"/>
      <c r="U554" s="1244"/>
      <c r="V554" s="1244"/>
      <c r="W554" s="1244"/>
      <c r="X554" s="1244"/>
      <c r="Y554" s="1244"/>
      <c r="Z554" s="1244"/>
    </row>
    <row r="555" spans="1:26" ht="18.75">
      <c r="A555" s="1259"/>
      <c r="B555" s="1242"/>
      <c r="C555" s="1242"/>
      <c r="D555" s="1266" t="s">
        <v>21</v>
      </c>
      <c r="E555" s="1243"/>
      <c r="F555" s="1243"/>
      <c r="G555" s="963"/>
      <c r="H555" s="168" t="s">
        <v>12</v>
      </c>
      <c r="I555" s="944"/>
      <c r="J555" s="944"/>
      <c r="K555" s="945"/>
      <c r="L555" s="831">
        <f t="shared" ref="L555:N555" ca="1" si="242">L556+L557</f>
        <v>0</v>
      </c>
      <c r="M555" s="831">
        <f t="shared" si="242"/>
        <v>0</v>
      </c>
      <c r="N555" s="831">
        <f t="shared" si="242"/>
        <v>0</v>
      </c>
      <c r="O555" s="831">
        <f t="shared" ref="O555:O557" ca="1" si="243">IF(L555&gt;0,N555*100/L555,0)</f>
        <v>0</v>
      </c>
      <c r="P555" s="831">
        <f t="shared" ref="P555:P557" si="244">IF(M555&gt;0,N555*100/M555,0)</f>
        <v>0</v>
      </c>
      <c r="Q555" s="1244"/>
      <c r="R555" s="1244"/>
      <c r="S555" s="1244"/>
      <c r="T555" s="1244"/>
      <c r="U555" s="1244"/>
      <c r="V555" s="1244"/>
      <c r="W555" s="1244"/>
      <c r="X555" s="1244"/>
      <c r="Y555" s="1244"/>
      <c r="Z555" s="1244"/>
    </row>
    <row r="556" spans="1:26" ht="18.75" hidden="1">
      <c r="A556" s="1260"/>
      <c r="B556" s="1265"/>
      <c r="C556" s="1265"/>
      <c r="D556" s="1261"/>
      <c r="E556" s="1261" t="s">
        <v>18</v>
      </c>
      <c r="F556" s="1261"/>
      <c r="G556" s="1263"/>
      <c r="H556" s="165" t="s">
        <v>12</v>
      </c>
      <c r="I556" s="947"/>
      <c r="J556" s="947"/>
      <c r="K556" s="948"/>
      <c r="L556" s="837">
        <v>0</v>
      </c>
      <c r="M556" s="837">
        <v>0</v>
      </c>
      <c r="N556" s="837">
        <v>0</v>
      </c>
      <c r="O556" s="837">
        <f t="shared" si="243"/>
        <v>0</v>
      </c>
      <c r="P556" s="837">
        <f t="shared" si="244"/>
        <v>0</v>
      </c>
      <c r="Q556" s="1264"/>
      <c r="R556" s="1264"/>
      <c r="S556" s="1264"/>
      <c r="T556" s="1264"/>
      <c r="U556" s="1264"/>
      <c r="V556" s="1264"/>
      <c r="W556" s="1264"/>
      <c r="X556" s="1264"/>
      <c r="Y556" s="1264"/>
      <c r="Z556" s="1264"/>
    </row>
    <row r="557" spans="1:26" ht="18.75" hidden="1">
      <c r="A557" s="1260"/>
      <c r="B557" s="1265"/>
      <c r="C557" s="1265"/>
      <c r="D557" s="1261"/>
      <c r="E557" s="1261" t="s">
        <v>19</v>
      </c>
      <c r="F557" s="1261"/>
      <c r="G557" s="1263"/>
      <c r="H557" s="169" t="s">
        <v>12</v>
      </c>
      <c r="I557" s="947"/>
      <c r="J557" s="947"/>
      <c r="K557" s="948"/>
      <c r="L557" s="837">
        <f ca="1">IFERROR(__xludf.DUMMYFUNCTION("IMPORTRANGE(""https://docs.google.com/spreadsheets/d/1QqKyyYR6Q21VydFLVH3TRQUabQu_ym0Zz7PgGX0-kHA/edit?usp=sharing"",""แผน!HF24"")"),0)</f>
        <v>0</v>
      </c>
      <c r="M557" s="837">
        <v>0</v>
      </c>
      <c r="N557" s="837">
        <v>0</v>
      </c>
      <c r="O557" s="837">
        <f t="shared" ca="1" si="243"/>
        <v>0</v>
      </c>
      <c r="P557" s="837">
        <f t="shared" si="244"/>
        <v>0</v>
      </c>
      <c r="Q557" s="1264"/>
      <c r="R557" s="1264"/>
      <c r="S557" s="1264"/>
      <c r="T557" s="1264"/>
      <c r="U557" s="1264"/>
      <c r="V557" s="1264"/>
      <c r="W557" s="1264"/>
      <c r="X557" s="1264"/>
      <c r="Y557" s="1264"/>
      <c r="Z557" s="1264"/>
    </row>
    <row r="558" spans="1:26" ht="19.5">
      <c r="A558" s="1267"/>
      <c r="B558" s="1268"/>
      <c r="C558" s="1242" t="s">
        <v>16</v>
      </c>
      <c r="D558" s="1320" t="s">
        <v>38</v>
      </c>
      <c r="E558" s="1271"/>
      <c r="F558" s="1271"/>
      <c r="G558" s="1272"/>
      <c r="H558" s="954"/>
      <c r="I558" s="944"/>
      <c r="J558" s="944"/>
      <c r="K558" s="945"/>
      <c r="L558" s="945"/>
      <c r="M558" s="945"/>
      <c r="N558" s="945"/>
      <c r="O558" s="945"/>
      <c r="P558" s="945"/>
      <c r="Q558" s="1244"/>
      <c r="R558" s="1244"/>
      <c r="S558" s="1244"/>
      <c r="T558" s="1244"/>
      <c r="U558" s="1244"/>
      <c r="V558" s="1244"/>
      <c r="W558" s="1244"/>
      <c r="X558" s="1244"/>
      <c r="Y558" s="1244"/>
      <c r="Z558" s="1244"/>
    </row>
    <row r="559" spans="1:26" ht="19.5">
      <c r="A559" s="1329"/>
      <c r="B559" s="1330" t="s">
        <v>234</v>
      </c>
      <c r="C559" s="1331"/>
      <c r="D559" s="1331"/>
      <c r="E559" s="1315"/>
      <c r="F559" s="1315"/>
      <c r="G559" s="1316"/>
      <c r="H559" s="661" t="s">
        <v>46</v>
      </c>
      <c r="I559" s="1317">
        <f t="shared" ref="I559:J559" ca="1" si="245">I576</f>
        <v>54558</v>
      </c>
      <c r="J559" s="1317">
        <f t="shared" si="245"/>
        <v>0</v>
      </c>
      <c r="K559" s="1318">
        <f t="shared" ref="K559:K561" ca="1" si="246">IF(I559&gt;0,J559*100/I559,0)</f>
        <v>0</v>
      </c>
      <c r="L559" s="1319"/>
      <c r="M559" s="1319"/>
      <c r="N559" s="1319"/>
      <c r="O559" s="1319"/>
      <c r="P559" s="1319"/>
      <c r="Q559" s="1244"/>
      <c r="R559" s="1244"/>
      <c r="S559" s="1244"/>
      <c r="T559" s="1244"/>
      <c r="U559" s="1244"/>
      <c r="V559" s="1244"/>
      <c r="W559" s="1244"/>
      <c r="X559" s="1244"/>
      <c r="Y559" s="1244"/>
      <c r="Z559" s="1244"/>
    </row>
    <row r="560" spans="1:26" ht="19.5">
      <c r="A560" s="1267"/>
      <c r="B560" s="1268"/>
      <c r="C560" s="1277" t="s">
        <v>235</v>
      </c>
      <c r="D560" s="1268"/>
      <c r="E560" s="961"/>
      <c r="F560" s="961"/>
      <c r="G560" s="954"/>
      <c r="H560" s="733" t="s">
        <v>46</v>
      </c>
      <c r="I560" s="965">
        <f ca="1">IFERROR(__xludf.DUMMYFUNCTION("IMPORTRANGE(""https://docs.google.com/spreadsheets/d/1QqKyyYR6Q21VydFLVH3TRQUabQu_ym0Zz7PgGX0-kHA/edit?usp=sharing"",""แผน!HH24"")"),54558)</f>
        <v>54558</v>
      </c>
      <c r="J560" s="965">
        <f t="shared" ref="J560:J561" si="247">J562+J564+J566</f>
        <v>54558.2</v>
      </c>
      <c r="K560" s="1109">
        <f t="shared" ca="1" si="246"/>
        <v>100.00036658235273</v>
      </c>
      <c r="L560" s="945"/>
      <c r="M560" s="945"/>
      <c r="N560" s="945"/>
      <c r="O560" s="945"/>
      <c r="P560" s="945"/>
      <c r="Q560" s="1244"/>
      <c r="R560" s="1244"/>
      <c r="S560" s="1244"/>
      <c r="T560" s="1244"/>
      <c r="U560" s="1244"/>
      <c r="V560" s="1244"/>
      <c r="W560" s="1244"/>
      <c r="X560" s="1244"/>
      <c r="Y560" s="1244"/>
      <c r="Z560" s="1244"/>
    </row>
    <row r="561" spans="1:26" ht="19.5">
      <c r="A561" s="1267"/>
      <c r="B561" s="1268"/>
      <c r="C561" s="1268"/>
      <c r="D561" s="961"/>
      <c r="E561" s="961"/>
      <c r="F561" s="961"/>
      <c r="G561" s="954"/>
      <c r="H561" s="733" t="s">
        <v>34</v>
      </c>
      <c r="I561" s="965">
        <f ca="1">IFERROR(__xludf.DUMMYFUNCTION("IMPORTRANGE(""https://docs.google.com/spreadsheets/d/1QqKyyYR6Q21VydFLVH3TRQUabQu_ym0Zz7PgGX0-kHA/edit?usp=sharing"",""แผน!HG24"")"),7999)</f>
        <v>7999</v>
      </c>
      <c r="J561" s="965">
        <f t="shared" si="247"/>
        <v>7999</v>
      </c>
      <c r="K561" s="1109">
        <f t="shared" ca="1" si="246"/>
        <v>100</v>
      </c>
      <c r="L561" s="945"/>
      <c r="M561" s="945"/>
      <c r="N561" s="945"/>
      <c r="O561" s="945"/>
      <c r="P561" s="945"/>
      <c r="Q561" s="1244"/>
      <c r="R561" s="1244"/>
      <c r="S561" s="1244"/>
      <c r="T561" s="1244"/>
      <c r="U561" s="1244"/>
      <c r="V561" s="1244"/>
      <c r="W561" s="1244"/>
      <c r="X561" s="1244"/>
      <c r="Y561" s="1244"/>
      <c r="Z561" s="1244"/>
    </row>
    <row r="562" spans="1:26" ht="18.75">
      <c r="A562" s="1267"/>
      <c r="B562" s="1268"/>
      <c r="C562" s="1268"/>
      <c r="D562" s="961" t="s">
        <v>236</v>
      </c>
      <c r="E562" s="961"/>
      <c r="F562" s="961"/>
      <c r="G562" s="954"/>
      <c r="H562" s="730" t="s">
        <v>46</v>
      </c>
      <c r="I562" s="944"/>
      <c r="J562" s="959">
        <v>43084.6</v>
      </c>
      <c r="K562" s="945"/>
      <c r="L562" s="945"/>
      <c r="M562" s="945"/>
      <c r="N562" s="945"/>
      <c r="O562" s="945"/>
      <c r="P562" s="945"/>
      <c r="Q562" s="1244"/>
      <c r="R562" s="1244"/>
      <c r="S562" s="1244"/>
      <c r="T562" s="1244"/>
      <c r="U562" s="1244"/>
      <c r="V562" s="1244"/>
      <c r="W562" s="1244"/>
      <c r="X562" s="1244"/>
      <c r="Y562" s="1244"/>
      <c r="Z562" s="1244"/>
    </row>
    <row r="563" spans="1:26" ht="18.75">
      <c r="A563" s="1267"/>
      <c r="B563" s="1268"/>
      <c r="C563" s="1268"/>
      <c r="D563" s="1268"/>
      <c r="E563" s="961"/>
      <c r="F563" s="961"/>
      <c r="G563" s="954"/>
      <c r="H563" s="730" t="s">
        <v>34</v>
      </c>
      <c r="I563" s="944"/>
      <c r="J563" s="959">
        <v>6613</v>
      </c>
      <c r="K563" s="945"/>
      <c r="L563" s="945"/>
      <c r="M563" s="945"/>
      <c r="N563" s="945"/>
      <c r="O563" s="945"/>
      <c r="P563" s="945"/>
      <c r="Q563" s="1244"/>
      <c r="R563" s="1244"/>
      <c r="S563" s="1244"/>
      <c r="T563" s="1244"/>
      <c r="U563" s="1244"/>
      <c r="V563" s="1244"/>
      <c r="W563" s="1244"/>
      <c r="X563" s="1244"/>
      <c r="Y563" s="1244"/>
      <c r="Z563" s="1244"/>
    </row>
    <row r="564" spans="1:26" ht="18.75">
      <c r="A564" s="1267"/>
      <c r="B564" s="1268"/>
      <c r="C564" s="1268"/>
      <c r="D564" s="961" t="s">
        <v>237</v>
      </c>
      <c r="E564" s="961"/>
      <c r="F564" s="961"/>
      <c r="G564" s="954"/>
      <c r="H564" s="730" t="s">
        <v>46</v>
      </c>
      <c r="I564" s="944"/>
      <c r="J564" s="959">
        <v>11473.6</v>
      </c>
      <c r="K564" s="945"/>
      <c r="L564" s="945"/>
      <c r="M564" s="945"/>
      <c r="N564" s="945"/>
      <c r="O564" s="945"/>
      <c r="P564" s="945"/>
      <c r="Q564" s="1244"/>
      <c r="R564" s="1244"/>
      <c r="S564" s="1244"/>
      <c r="T564" s="1244"/>
      <c r="U564" s="1244"/>
      <c r="V564" s="1244"/>
      <c r="W564" s="1244"/>
      <c r="X564" s="1244"/>
      <c r="Y564" s="1244"/>
      <c r="Z564" s="1244"/>
    </row>
    <row r="565" spans="1:26" ht="18.75">
      <c r="A565" s="1267"/>
      <c r="B565" s="1268"/>
      <c r="C565" s="1268"/>
      <c r="D565" s="961"/>
      <c r="E565" s="961"/>
      <c r="F565" s="961"/>
      <c r="G565" s="954"/>
      <c r="H565" s="730" t="s">
        <v>34</v>
      </c>
      <c r="I565" s="944"/>
      <c r="J565" s="959">
        <v>1386</v>
      </c>
      <c r="K565" s="945"/>
      <c r="L565" s="945"/>
      <c r="M565" s="945"/>
      <c r="N565" s="945"/>
      <c r="O565" s="945"/>
      <c r="P565" s="945"/>
      <c r="Q565" s="1244"/>
      <c r="R565" s="1244"/>
      <c r="S565" s="1244"/>
      <c r="T565" s="1244"/>
      <c r="U565" s="1244"/>
      <c r="V565" s="1244"/>
      <c r="W565" s="1244"/>
      <c r="X565" s="1244"/>
      <c r="Y565" s="1244"/>
      <c r="Z565" s="1244"/>
    </row>
    <row r="566" spans="1:26" ht="18.75">
      <c r="A566" s="1267"/>
      <c r="B566" s="1268"/>
      <c r="C566" s="1268"/>
      <c r="D566" s="961" t="s">
        <v>238</v>
      </c>
      <c r="E566" s="961"/>
      <c r="F566" s="961"/>
      <c r="G566" s="954"/>
      <c r="H566" s="730" t="s">
        <v>46</v>
      </c>
      <c r="I566" s="944"/>
      <c r="J566" s="959">
        <v>0</v>
      </c>
      <c r="K566" s="945"/>
      <c r="L566" s="945"/>
      <c r="M566" s="945"/>
      <c r="N566" s="945"/>
      <c r="O566" s="945"/>
      <c r="P566" s="945"/>
      <c r="Q566" s="1244"/>
      <c r="R566" s="1244"/>
      <c r="S566" s="1244"/>
      <c r="T566" s="1244"/>
      <c r="U566" s="1244"/>
      <c r="V566" s="1244"/>
      <c r="W566" s="1244"/>
      <c r="X566" s="1244"/>
      <c r="Y566" s="1244"/>
      <c r="Z566" s="1244"/>
    </row>
    <row r="567" spans="1:26" ht="18.75">
      <c r="A567" s="1267"/>
      <c r="B567" s="1268"/>
      <c r="C567" s="1268"/>
      <c r="D567" s="961"/>
      <c r="E567" s="961"/>
      <c r="F567" s="961"/>
      <c r="G567" s="954"/>
      <c r="H567" s="730" t="s">
        <v>34</v>
      </c>
      <c r="I567" s="944"/>
      <c r="J567" s="959">
        <v>0</v>
      </c>
      <c r="K567" s="945"/>
      <c r="L567" s="945"/>
      <c r="M567" s="945"/>
      <c r="N567" s="945"/>
      <c r="O567" s="945"/>
      <c r="P567" s="945"/>
      <c r="Q567" s="1244"/>
      <c r="R567" s="1244"/>
      <c r="S567" s="1244"/>
      <c r="T567" s="1244"/>
      <c r="U567" s="1244"/>
      <c r="V567" s="1244"/>
      <c r="W567" s="1244"/>
      <c r="X567" s="1244"/>
      <c r="Y567" s="1244"/>
      <c r="Z567" s="1244"/>
    </row>
    <row r="568" spans="1:26" ht="19.5">
      <c r="A568" s="1267"/>
      <c r="B568" s="1268"/>
      <c r="C568" s="1277" t="s">
        <v>239</v>
      </c>
      <c r="D568" s="961"/>
      <c r="E568" s="961"/>
      <c r="F568" s="961"/>
      <c r="G568" s="954"/>
      <c r="H568" s="733" t="s">
        <v>46</v>
      </c>
      <c r="I568" s="965">
        <f ca="1">IFERROR(__xludf.DUMMYFUNCTION("IMPORTRANGE(""https://docs.google.com/spreadsheets/d/1QqKyyYR6Q21VydFLVH3TRQUabQu_ym0Zz7PgGX0-kHA/edit?usp=sharing"",""แผน!HH24"")"),54558)</f>
        <v>54558</v>
      </c>
      <c r="J568" s="966">
        <f t="shared" ref="J568:J569" si="248">J570+J572+J574</f>
        <v>0</v>
      </c>
      <c r="K568" s="1109">
        <f t="shared" ref="K568:K569" ca="1" si="249">IF(I568&gt;0,J568*100/I568,0)</f>
        <v>0</v>
      </c>
      <c r="L568" s="945"/>
      <c r="M568" s="945"/>
      <c r="N568" s="945"/>
      <c r="O568" s="945"/>
      <c r="P568" s="945"/>
      <c r="Q568" s="1244"/>
      <c r="R568" s="1244"/>
      <c r="S568" s="1244"/>
      <c r="T568" s="1244"/>
      <c r="U568" s="1244"/>
      <c r="V568" s="1244"/>
      <c r="W568" s="1244"/>
      <c r="X568" s="1244"/>
      <c r="Y568" s="1244"/>
      <c r="Z568" s="1244"/>
    </row>
    <row r="569" spans="1:26" ht="19.5">
      <c r="A569" s="1267"/>
      <c r="B569" s="1268"/>
      <c r="C569" s="1268"/>
      <c r="D569" s="1268"/>
      <c r="E569" s="961"/>
      <c r="F569" s="961"/>
      <c r="G569" s="954"/>
      <c r="H569" s="733" t="s">
        <v>34</v>
      </c>
      <c r="I569" s="965">
        <f ca="1">IFERROR(__xludf.DUMMYFUNCTION("IMPORTRANGE(""https://docs.google.com/spreadsheets/d/1QqKyyYR6Q21VydFLVH3TRQUabQu_ym0Zz7PgGX0-kHA/edit?usp=sharing"",""แผน!HG24"")"),7999)</f>
        <v>7999</v>
      </c>
      <c r="J569" s="966">
        <f t="shared" si="248"/>
        <v>0</v>
      </c>
      <c r="K569" s="1109">
        <f t="shared" ca="1" si="249"/>
        <v>0</v>
      </c>
      <c r="L569" s="945"/>
      <c r="M569" s="945"/>
      <c r="N569" s="945"/>
      <c r="O569" s="945"/>
      <c r="P569" s="945"/>
      <c r="Q569" s="1244"/>
      <c r="R569" s="1244"/>
      <c r="S569" s="1244"/>
      <c r="T569" s="1244"/>
      <c r="U569" s="1244"/>
      <c r="V569" s="1244"/>
      <c r="W569" s="1244"/>
      <c r="X569" s="1244"/>
      <c r="Y569" s="1244"/>
      <c r="Z569" s="1244"/>
    </row>
    <row r="570" spans="1:26" ht="18.75">
      <c r="A570" s="1267"/>
      <c r="B570" s="1268"/>
      <c r="C570" s="1268"/>
      <c r="D570" s="961" t="s">
        <v>240</v>
      </c>
      <c r="E570" s="1268"/>
      <c r="F570" s="961"/>
      <c r="G570" s="954"/>
      <c r="H570" s="730" t="s">
        <v>46</v>
      </c>
      <c r="I570" s="944"/>
      <c r="J570" s="959">
        <v>0</v>
      </c>
      <c r="K570" s="945"/>
      <c r="L570" s="945"/>
      <c r="M570" s="945"/>
      <c r="N570" s="945"/>
      <c r="O570" s="945"/>
      <c r="P570" s="945"/>
      <c r="Q570" s="1244"/>
      <c r="R570" s="1244"/>
      <c r="S570" s="1244"/>
      <c r="T570" s="1244"/>
      <c r="U570" s="1244"/>
      <c r="V570" s="1244"/>
      <c r="W570" s="1244"/>
      <c r="X570" s="1244"/>
      <c r="Y570" s="1244"/>
      <c r="Z570" s="1244"/>
    </row>
    <row r="571" spans="1:26" ht="18.75">
      <c r="A571" s="1267"/>
      <c r="B571" s="1268"/>
      <c r="C571" s="1268"/>
      <c r="D571" s="1268"/>
      <c r="E571" s="961"/>
      <c r="F571" s="961"/>
      <c r="G571" s="954"/>
      <c r="H571" s="730" t="s">
        <v>34</v>
      </c>
      <c r="I571" s="944"/>
      <c r="J571" s="959">
        <v>0</v>
      </c>
      <c r="K571" s="945"/>
      <c r="L571" s="945"/>
      <c r="M571" s="945"/>
      <c r="N571" s="945"/>
      <c r="O571" s="945"/>
      <c r="P571" s="945"/>
      <c r="Q571" s="1244"/>
      <c r="R571" s="1244"/>
      <c r="S571" s="1244"/>
      <c r="T571" s="1244"/>
      <c r="U571" s="1244"/>
      <c r="V571" s="1244"/>
      <c r="W571" s="1244"/>
      <c r="X571" s="1244"/>
      <c r="Y571" s="1244"/>
      <c r="Z571" s="1244"/>
    </row>
    <row r="572" spans="1:26" ht="18.75">
      <c r="A572" s="1267"/>
      <c r="B572" s="1268"/>
      <c r="C572" s="1268"/>
      <c r="D572" s="961" t="s">
        <v>241</v>
      </c>
      <c r="E572" s="961"/>
      <c r="F572" s="961"/>
      <c r="G572" s="954"/>
      <c r="H572" s="730" t="s">
        <v>46</v>
      </c>
      <c r="I572" s="944"/>
      <c r="J572" s="959">
        <v>0</v>
      </c>
      <c r="K572" s="945"/>
      <c r="L572" s="945"/>
      <c r="M572" s="945"/>
      <c r="N572" s="945"/>
      <c r="O572" s="945"/>
      <c r="P572" s="945"/>
      <c r="Q572" s="1244"/>
      <c r="R572" s="1244"/>
      <c r="S572" s="1244"/>
      <c r="T572" s="1244"/>
      <c r="U572" s="1244"/>
      <c r="V572" s="1244"/>
      <c r="W572" s="1244"/>
      <c r="X572" s="1244"/>
      <c r="Y572" s="1244"/>
      <c r="Z572" s="1244"/>
    </row>
    <row r="573" spans="1:26" ht="18.75">
      <c r="A573" s="1267"/>
      <c r="B573" s="1268"/>
      <c r="C573" s="1268"/>
      <c r="D573" s="961"/>
      <c r="E573" s="961"/>
      <c r="F573" s="961"/>
      <c r="G573" s="954"/>
      <c r="H573" s="730" t="s">
        <v>34</v>
      </c>
      <c r="I573" s="944"/>
      <c r="J573" s="959">
        <v>0</v>
      </c>
      <c r="K573" s="945"/>
      <c r="L573" s="945"/>
      <c r="M573" s="945"/>
      <c r="N573" s="945"/>
      <c r="O573" s="945"/>
      <c r="P573" s="945"/>
      <c r="Q573" s="1244"/>
      <c r="R573" s="1244"/>
      <c r="S573" s="1244"/>
      <c r="T573" s="1244"/>
      <c r="U573" s="1244"/>
      <c r="V573" s="1244"/>
      <c r="W573" s="1244"/>
      <c r="X573" s="1244"/>
      <c r="Y573" s="1244"/>
      <c r="Z573" s="1244"/>
    </row>
    <row r="574" spans="1:26" ht="18.75">
      <c r="A574" s="1267"/>
      <c r="B574" s="1268"/>
      <c r="C574" s="1268"/>
      <c r="D574" s="961" t="s">
        <v>242</v>
      </c>
      <c r="E574" s="961"/>
      <c r="F574" s="961"/>
      <c r="G574" s="954"/>
      <c r="H574" s="730" t="s">
        <v>46</v>
      </c>
      <c r="I574" s="944"/>
      <c r="J574" s="959">
        <v>0</v>
      </c>
      <c r="K574" s="945"/>
      <c r="L574" s="945"/>
      <c r="M574" s="945"/>
      <c r="N574" s="945"/>
      <c r="O574" s="945"/>
      <c r="P574" s="945"/>
      <c r="Q574" s="1244"/>
      <c r="R574" s="1244"/>
      <c r="S574" s="1244"/>
      <c r="T574" s="1244"/>
      <c r="U574" s="1244"/>
      <c r="V574" s="1244"/>
      <c r="W574" s="1244"/>
      <c r="X574" s="1244"/>
      <c r="Y574" s="1244"/>
      <c r="Z574" s="1244"/>
    </row>
    <row r="575" spans="1:26" ht="18.75">
      <c r="A575" s="1267"/>
      <c r="B575" s="1268"/>
      <c r="C575" s="1268"/>
      <c r="D575" s="1268"/>
      <c r="E575" s="961"/>
      <c r="F575" s="961"/>
      <c r="G575" s="954"/>
      <c r="H575" s="730" t="s">
        <v>34</v>
      </c>
      <c r="I575" s="944"/>
      <c r="J575" s="959">
        <v>0</v>
      </c>
      <c r="K575" s="945"/>
      <c r="L575" s="945"/>
      <c r="M575" s="945"/>
      <c r="N575" s="945"/>
      <c r="O575" s="945"/>
      <c r="P575" s="945"/>
      <c r="Q575" s="1244"/>
      <c r="R575" s="1244"/>
      <c r="S575" s="1244"/>
      <c r="T575" s="1244"/>
      <c r="U575" s="1244"/>
      <c r="V575" s="1244"/>
      <c r="W575" s="1244"/>
      <c r="X575" s="1244"/>
      <c r="Y575" s="1244"/>
      <c r="Z575" s="1244"/>
    </row>
    <row r="576" spans="1:26" ht="19.5">
      <c r="A576" s="1267"/>
      <c r="B576" s="1268"/>
      <c r="C576" s="1277" t="s">
        <v>243</v>
      </c>
      <c r="D576" s="1268"/>
      <c r="E576" s="1268"/>
      <c r="F576" s="961"/>
      <c r="G576" s="954"/>
      <c r="H576" s="733" t="s">
        <v>46</v>
      </c>
      <c r="I576" s="965">
        <f ca="1">IFERROR(__xludf.DUMMYFUNCTION("IMPORTRANGE(""https://docs.google.com/spreadsheets/d/1QqKyyYR6Q21VydFLVH3TRQUabQu_ym0Zz7PgGX0-kHA/edit?usp=sharing"",""แผน!HH24"")"),54558)</f>
        <v>54558</v>
      </c>
      <c r="J576" s="966">
        <f t="shared" ref="J576:J577" si="250">J578+J580+J582+J588+J590</f>
        <v>0</v>
      </c>
      <c r="K576" s="1109">
        <f t="shared" ref="K576:K577" ca="1" si="251">IF(I576&gt;0,J576*100/I576,0)</f>
        <v>0</v>
      </c>
      <c r="L576" s="945"/>
      <c r="M576" s="945"/>
      <c r="N576" s="945"/>
      <c r="O576" s="945"/>
      <c r="P576" s="945"/>
      <c r="Q576" s="1244"/>
      <c r="R576" s="1244"/>
      <c r="S576" s="1244"/>
      <c r="T576" s="1244"/>
      <c r="U576" s="1244"/>
      <c r="V576" s="1244"/>
      <c r="W576" s="1244"/>
      <c r="X576" s="1244"/>
      <c r="Y576" s="1244"/>
      <c r="Z576" s="1244"/>
    </row>
    <row r="577" spans="1:26" ht="19.5">
      <c r="A577" s="1267"/>
      <c r="B577" s="1268"/>
      <c r="C577" s="1268"/>
      <c r="D577" s="1268"/>
      <c r="E577" s="961"/>
      <c r="F577" s="961"/>
      <c r="G577" s="954"/>
      <c r="H577" s="733" t="s">
        <v>34</v>
      </c>
      <c r="I577" s="965">
        <f ca="1">IFERROR(__xludf.DUMMYFUNCTION("IMPORTRANGE(""https://docs.google.com/spreadsheets/d/1QqKyyYR6Q21VydFLVH3TRQUabQu_ym0Zz7PgGX0-kHA/edit?usp=sharing"",""แผน!HG24"")"),7999)</f>
        <v>7999</v>
      </c>
      <c r="J577" s="966">
        <f t="shared" si="250"/>
        <v>0</v>
      </c>
      <c r="K577" s="1109">
        <f t="shared" ca="1" si="251"/>
        <v>0</v>
      </c>
      <c r="L577" s="945"/>
      <c r="M577" s="945"/>
      <c r="N577" s="945"/>
      <c r="O577" s="945"/>
      <c r="P577" s="945"/>
      <c r="Q577" s="1244"/>
      <c r="R577" s="1244"/>
      <c r="S577" s="1244"/>
      <c r="T577" s="1244"/>
      <c r="U577" s="1244"/>
      <c r="V577" s="1244"/>
      <c r="W577" s="1244"/>
      <c r="X577" s="1244"/>
      <c r="Y577" s="1244"/>
      <c r="Z577" s="1244"/>
    </row>
    <row r="578" spans="1:26" ht="18.75">
      <c r="A578" s="1267"/>
      <c r="B578" s="1268"/>
      <c r="C578" s="1268"/>
      <c r="D578" s="961" t="s">
        <v>244</v>
      </c>
      <c r="E578" s="961"/>
      <c r="F578" s="961"/>
      <c r="G578" s="954"/>
      <c r="H578" s="730" t="s">
        <v>46</v>
      </c>
      <c r="I578" s="944"/>
      <c r="J578" s="959">
        <v>0</v>
      </c>
      <c r="K578" s="945"/>
      <c r="L578" s="945"/>
      <c r="M578" s="945"/>
      <c r="N578" s="945"/>
      <c r="O578" s="945"/>
      <c r="P578" s="945"/>
      <c r="Q578" s="1244"/>
      <c r="R578" s="1244"/>
      <c r="S578" s="1244"/>
      <c r="T578" s="1244"/>
      <c r="U578" s="1244"/>
      <c r="V578" s="1244"/>
      <c r="W578" s="1244"/>
      <c r="X578" s="1244"/>
      <c r="Y578" s="1244"/>
      <c r="Z578" s="1244"/>
    </row>
    <row r="579" spans="1:26" ht="18.75">
      <c r="A579" s="1267"/>
      <c r="B579" s="1268"/>
      <c r="C579" s="1268"/>
      <c r="D579" s="1268"/>
      <c r="E579" s="961"/>
      <c r="F579" s="961"/>
      <c r="G579" s="954"/>
      <c r="H579" s="730" t="s">
        <v>34</v>
      </c>
      <c r="I579" s="944"/>
      <c r="J579" s="959">
        <v>0</v>
      </c>
      <c r="K579" s="945"/>
      <c r="L579" s="945"/>
      <c r="M579" s="945"/>
      <c r="N579" s="945"/>
      <c r="O579" s="945"/>
      <c r="P579" s="945"/>
      <c r="Q579" s="1244"/>
      <c r="R579" s="1244"/>
      <c r="S579" s="1244"/>
      <c r="T579" s="1244"/>
      <c r="U579" s="1244"/>
      <c r="V579" s="1244"/>
      <c r="W579" s="1244"/>
      <c r="X579" s="1244"/>
      <c r="Y579" s="1244"/>
      <c r="Z579" s="1244"/>
    </row>
    <row r="580" spans="1:26" ht="18.75">
      <c r="A580" s="1267"/>
      <c r="B580" s="1268"/>
      <c r="C580" s="1268"/>
      <c r="D580" s="961" t="s">
        <v>245</v>
      </c>
      <c r="E580" s="961"/>
      <c r="F580" s="961"/>
      <c r="G580" s="954"/>
      <c r="H580" s="730" t="s">
        <v>46</v>
      </c>
      <c r="I580" s="944"/>
      <c r="J580" s="959">
        <v>0</v>
      </c>
      <c r="K580" s="945"/>
      <c r="L580" s="945"/>
      <c r="M580" s="945"/>
      <c r="N580" s="945"/>
      <c r="O580" s="945"/>
      <c r="P580" s="945"/>
      <c r="Q580" s="1244"/>
      <c r="R580" s="1244"/>
      <c r="S580" s="1244"/>
      <c r="T580" s="1244"/>
      <c r="U580" s="1244"/>
      <c r="V580" s="1244"/>
      <c r="W580" s="1244"/>
      <c r="X580" s="1244"/>
      <c r="Y580" s="1244"/>
      <c r="Z580" s="1244"/>
    </row>
    <row r="581" spans="1:26" ht="18.75">
      <c r="A581" s="1267"/>
      <c r="B581" s="1268"/>
      <c r="C581" s="1268"/>
      <c r="D581" s="1268"/>
      <c r="E581" s="961"/>
      <c r="F581" s="961"/>
      <c r="G581" s="954"/>
      <c r="H581" s="730" t="s">
        <v>34</v>
      </c>
      <c r="I581" s="944"/>
      <c r="J581" s="959">
        <v>0</v>
      </c>
      <c r="K581" s="945"/>
      <c r="L581" s="945"/>
      <c r="M581" s="945"/>
      <c r="N581" s="945"/>
      <c r="O581" s="945"/>
      <c r="P581" s="945"/>
      <c r="Q581" s="1244"/>
      <c r="R581" s="1244"/>
      <c r="S581" s="1244"/>
      <c r="T581" s="1244"/>
      <c r="U581" s="1244"/>
      <c r="V581" s="1244"/>
      <c r="W581" s="1244"/>
      <c r="X581" s="1244"/>
      <c r="Y581" s="1244"/>
      <c r="Z581" s="1244"/>
    </row>
    <row r="582" spans="1:26" ht="19.5">
      <c r="A582" s="1267"/>
      <c r="B582" s="1268"/>
      <c r="C582" s="1268"/>
      <c r="D582" s="961" t="s">
        <v>246</v>
      </c>
      <c r="E582" s="961"/>
      <c r="F582" s="961"/>
      <c r="G582" s="954"/>
      <c r="H582" s="730" t="s">
        <v>46</v>
      </c>
      <c r="I582" s="944"/>
      <c r="J582" s="966">
        <f t="shared" ref="J582:J583" si="252">J584+J586</f>
        <v>0</v>
      </c>
      <c r="K582" s="1109"/>
      <c r="L582" s="945"/>
      <c r="M582" s="945"/>
      <c r="N582" s="945"/>
      <c r="O582" s="945"/>
      <c r="P582" s="945"/>
      <c r="Q582" s="1244"/>
      <c r="R582" s="1244"/>
      <c r="S582" s="1244"/>
      <c r="T582" s="1244"/>
      <c r="U582" s="1244"/>
      <c r="V582" s="1244"/>
      <c r="W582" s="1244"/>
      <c r="X582" s="1244"/>
      <c r="Y582" s="1244"/>
      <c r="Z582" s="1244"/>
    </row>
    <row r="583" spans="1:26" ht="19.5">
      <c r="A583" s="1267"/>
      <c r="B583" s="1268"/>
      <c r="C583" s="1268"/>
      <c r="D583" s="1268"/>
      <c r="E583" s="961"/>
      <c r="F583" s="961"/>
      <c r="G583" s="954"/>
      <c r="H583" s="730" t="s">
        <v>34</v>
      </c>
      <c r="I583" s="944"/>
      <c r="J583" s="966">
        <f t="shared" si="252"/>
        <v>0</v>
      </c>
      <c r="K583" s="1109"/>
      <c r="L583" s="945"/>
      <c r="M583" s="945"/>
      <c r="N583" s="945"/>
      <c r="O583" s="945"/>
      <c r="P583" s="945"/>
      <c r="Q583" s="1244"/>
      <c r="R583" s="1244"/>
      <c r="S583" s="1244"/>
      <c r="T583" s="1244"/>
      <c r="U583" s="1244"/>
      <c r="V583" s="1244"/>
      <c r="W583" s="1244"/>
      <c r="X583" s="1244"/>
      <c r="Y583" s="1244"/>
      <c r="Z583" s="1244"/>
    </row>
    <row r="584" spans="1:26" ht="18.75">
      <c r="A584" s="1267"/>
      <c r="B584" s="1268"/>
      <c r="C584" s="1268"/>
      <c r="D584" s="1268"/>
      <c r="E584" s="961" t="s">
        <v>247</v>
      </c>
      <c r="F584" s="961"/>
      <c r="G584" s="954"/>
      <c r="H584" s="730" t="s">
        <v>46</v>
      </c>
      <c r="I584" s="944"/>
      <c r="J584" s="959">
        <v>0</v>
      </c>
      <c r="K584" s="945"/>
      <c r="L584" s="945"/>
      <c r="M584" s="945"/>
      <c r="N584" s="945"/>
      <c r="O584" s="945"/>
      <c r="P584" s="945"/>
      <c r="Q584" s="1244"/>
      <c r="R584" s="1244"/>
      <c r="S584" s="1244"/>
      <c r="T584" s="1244"/>
      <c r="U584" s="1244"/>
      <c r="V584" s="1244"/>
      <c r="W584" s="1244"/>
      <c r="X584" s="1244"/>
      <c r="Y584" s="1244"/>
      <c r="Z584" s="1244"/>
    </row>
    <row r="585" spans="1:26" ht="18.75">
      <c r="A585" s="1267"/>
      <c r="B585" s="1268"/>
      <c r="C585" s="1268"/>
      <c r="D585" s="1268"/>
      <c r="E585" s="961"/>
      <c r="F585" s="961"/>
      <c r="G585" s="954"/>
      <c r="H585" s="730" t="s">
        <v>34</v>
      </c>
      <c r="I585" s="944"/>
      <c r="J585" s="959">
        <v>0</v>
      </c>
      <c r="K585" s="945"/>
      <c r="L585" s="945"/>
      <c r="M585" s="945"/>
      <c r="N585" s="945"/>
      <c r="O585" s="945"/>
      <c r="P585" s="945"/>
      <c r="Q585" s="1244"/>
      <c r="R585" s="1244"/>
      <c r="S585" s="1244"/>
      <c r="T585" s="1244"/>
      <c r="U585" s="1244"/>
      <c r="V585" s="1244"/>
      <c r="W585" s="1244"/>
      <c r="X585" s="1244"/>
      <c r="Y585" s="1244"/>
      <c r="Z585" s="1244"/>
    </row>
    <row r="586" spans="1:26" ht="18.75">
      <c r="A586" s="1267"/>
      <c r="B586" s="1268"/>
      <c r="C586" s="1268"/>
      <c r="D586" s="1268"/>
      <c r="E586" s="961" t="s">
        <v>248</v>
      </c>
      <c r="F586" s="961"/>
      <c r="G586" s="954"/>
      <c r="H586" s="730" t="s">
        <v>46</v>
      </c>
      <c r="I586" s="944"/>
      <c r="J586" s="959">
        <v>0</v>
      </c>
      <c r="K586" s="945"/>
      <c r="L586" s="945"/>
      <c r="M586" s="945"/>
      <c r="N586" s="945"/>
      <c r="O586" s="945"/>
      <c r="P586" s="945"/>
      <c r="Q586" s="1244"/>
      <c r="R586" s="1244"/>
      <c r="S586" s="1244"/>
      <c r="T586" s="1244"/>
      <c r="U586" s="1244"/>
      <c r="V586" s="1244"/>
      <c r="W586" s="1244"/>
      <c r="X586" s="1244"/>
      <c r="Y586" s="1244"/>
      <c r="Z586" s="1244"/>
    </row>
    <row r="587" spans="1:26" ht="18.75">
      <c r="A587" s="1267"/>
      <c r="B587" s="1268"/>
      <c r="C587" s="1268"/>
      <c r="D587" s="1268"/>
      <c r="E587" s="1268"/>
      <c r="F587" s="961"/>
      <c r="G587" s="954"/>
      <c r="H587" s="730" t="s">
        <v>34</v>
      </c>
      <c r="I587" s="944"/>
      <c r="J587" s="959">
        <v>0</v>
      </c>
      <c r="K587" s="945"/>
      <c r="L587" s="945"/>
      <c r="M587" s="945"/>
      <c r="N587" s="945"/>
      <c r="O587" s="945"/>
      <c r="P587" s="945"/>
      <c r="Q587" s="1244"/>
      <c r="R587" s="1244"/>
      <c r="S587" s="1244"/>
      <c r="T587" s="1244"/>
      <c r="U587" s="1244"/>
      <c r="V587" s="1244"/>
      <c r="W587" s="1244"/>
      <c r="X587" s="1244"/>
      <c r="Y587" s="1244"/>
      <c r="Z587" s="1244"/>
    </row>
    <row r="588" spans="1:26" ht="18.75">
      <c r="A588" s="1267"/>
      <c r="B588" s="1268"/>
      <c r="C588" s="1268"/>
      <c r="D588" s="961" t="s">
        <v>249</v>
      </c>
      <c r="E588" s="961"/>
      <c r="F588" s="961"/>
      <c r="G588" s="954"/>
      <c r="H588" s="730" t="s">
        <v>46</v>
      </c>
      <c r="I588" s="944"/>
      <c r="J588" s="959">
        <v>0</v>
      </c>
      <c r="K588" s="945"/>
      <c r="L588" s="945"/>
      <c r="M588" s="945"/>
      <c r="N588" s="945"/>
      <c r="O588" s="945"/>
      <c r="P588" s="945"/>
      <c r="Q588" s="1244"/>
      <c r="R588" s="1244"/>
      <c r="S588" s="1244"/>
      <c r="T588" s="1244"/>
      <c r="U588" s="1244"/>
      <c r="V588" s="1244"/>
      <c r="W588" s="1244"/>
      <c r="X588" s="1244"/>
      <c r="Y588" s="1244"/>
      <c r="Z588" s="1244"/>
    </row>
    <row r="589" spans="1:26" ht="18.75">
      <c r="A589" s="1267"/>
      <c r="B589" s="1268"/>
      <c r="C589" s="1268"/>
      <c r="D589" s="1268"/>
      <c r="E589" s="1268"/>
      <c r="F589" s="961"/>
      <c r="G589" s="954"/>
      <c r="H589" s="730" t="s">
        <v>34</v>
      </c>
      <c r="I589" s="944"/>
      <c r="J589" s="959">
        <v>0</v>
      </c>
      <c r="K589" s="945"/>
      <c r="L589" s="945"/>
      <c r="M589" s="945"/>
      <c r="N589" s="945"/>
      <c r="O589" s="945"/>
      <c r="P589" s="945"/>
      <c r="Q589" s="1244"/>
      <c r="R589" s="1244"/>
      <c r="S589" s="1244"/>
      <c r="T589" s="1244"/>
      <c r="U589" s="1244"/>
      <c r="V589" s="1244"/>
      <c r="W589" s="1244"/>
      <c r="X589" s="1244"/>
      <c r="Y589" s="1244"/>
      <c r="Z589" s="1244"/>
    </row>
    <row r="590" spans="1:26" ht="18.75">
      <c r="A590" s="1267"/>
      <c r="B590" s="1268"/>
      <c r="C590" s="1268"/>
      <c r="D590" s="961" t="s">
        <v>250</v>
      </c>
      <c r="E590" s="961"/>
      <c r="F590" s="961"/>
      <c r="G590" s="954"/>
      <c r="H590" s="730" t="s">
        <v>46</v>
      </c>
      <c r="I590" s="944"/>
      <c r="J590" s="959">
        <v>0</v>
      </c>
      <c r="K590" s="945"/>
      <c r="L590" s="945"/>
      <c r="M590" s="945"/>
      <c r="N590" s="945"/>
      <c r="O590" s="945"/>
      <c r="P590" s="945"/>
      <c r="Q590" s="1244"/>
      <c r="R590" s="1244"/>
      <c r="S590" s="1244"/>
      <c r="T590" s="1244"/>
      <c r="U590" s="1244"/>
      <c r="V590" s="1244"/>
      <c r="W590" s="1244"/>
      <c r="X590" s="1244"/>
      <c r="Y590" s="1244"/>
      <c r="Z590" s="1244"/>
    </row>
    <row r="591" spans="1:26" ht="18.75">
      <c r="A591" s="1332"/>
      <c r="B591" s="1333"/>
      <c r="C591" s="1333"/>
      <c r="D591" s="1333"/>
      <c r="E591" s="1244"/>
      <c r="F591" s="1244"/>
      <c r="G591" s="1334"/>
      <c r="H591" s="665" t="s">
        <v>34</v>
      </c>
      <c r="I591" s="1335"/>
      <c r="J591" s="1336">
        <v>0</v>
      </c>
      <c r="K591" s="1337"/>
      <c r="L591" s="1337"/>
      <c r="M591" s="1337"/>
      <c r="N591" s="1337"/>
      <c r="O591" s="1337"/>
      <c r="P591" s="1337"/>
      <c r="Q591" s="1244"/>
      <c r="R591" s="1244"/>
      <c r="S591" s="1244"/>
      <c r="T591" s="1244"/>
      <c r="U591" s="1244"/>
      <c r="V591" s="1244"/>
      <c r="W591" s="1244"/>
      <c r="X591" s="1244"/>
      <c r="Y591" s="1244"/>
      <c r="Z591" s="1244"/>
    </row>
    <row r="592" spans="1:26" ht="19.5">
      <c r="A592" s="1329"/>
      <c r="B592" s="1330" t="s">
        <v>251</v>
      </c>
      <c r="C592" s="1331"/>
      <c r="D592" s="1331"/>
      <c r="E592" s="1315"/>
      <c r="F592" s="1315"/>
      <c r="G592" s="1316"/>
      <c r="H592" s="661" t="s">
        <v>46</v>
      </c>
      <c r="I592" s="1338">
        <f t="shared" ref="I592:J592" ca="1" si="253">I593</f>
        <v>1861.83</v>
      </c>
      <c r="J592" s="1317">
        <f t="shared" si="253"/>
        <v>0</v>
      </c>
      <c r="K592" s="1318">
        <f t="shared" ref="K592:K594" ca="1" si="254">IF(I592&gt;0,J592*100/I592,0)</f>
        <v>0</v>
      </c>
      <c r="L592" s="1319"/>
      <c r="M592" s="1319"/>
      <c r="N592" s="1319"/>
      <c r="O592" s="1319"/>
      <c r="P592" s="1319"/>
      <c r="Q592" s="1244"/>
      <c r="R592" s="1244"/>
      <c r="S592" s="1244"/>
      <c r="T592" s="1244"/>
      <c r="U592" s="1244"/>
      <c r="V592" s="1244"/>
      <c r="W592" s="1244"/>
      <c r="X592" s="1244"/>
      <c r="Y592" s="1244"/>
      <c r="Z592" s="1244"/>
    </row>
    <row r="593" spans="1:26" ht="19.5">
      <c r="A593" s="1267"/>
      <c r="B593" s="1268"/>
      <c r="C593" s="1277" t="s">
        <v>252</v>
      </c>
      <c r="D593" s="1268"/>
      <c r="E593" s="1268"/>
      <c r="F593" s="961"/>
      <c r="G593" s="954"/>
      <c r="H593" s="733" t="s">
        <v>46</v>
      </c>
      <c r="I593" s="1339">
        <f ca="1">IFERROR(__xludf.DUMMYFUNCTION("IMPORTRANGE(""https://docs.google.com/spreadsheets/d/1QqKyyYR6Q21VydFLVH3TRQUabQu_ym0Zz7PgGX0-kHA/edit?usp=sharing"",""แผน!HJ24"")"),1861.83)</f>
        <v>1861.83</v>
      </c>
      <c r="J593" s="965">
        <f t="shared" ref="J593:J594" si="255">J595+J603+J609</f>
        <v>0</v>
      </c>
      <c r="K593" s="1109">
        <f t="shared" ca="1" si="254"/>
        <v>0</v>
      </c>
      <c r="L593" s="945"/>
      <c r="M593" s="945"/>
      <c r="N593" s="945"/>
      <c r="O593" s="945"/>
      <c r="P593" s="945"/>
      <c r="Q593" s="1244"/>
      <c r="R593" s="1244"/>
      <c r="S593" s="1244"/>
      <c r="T593" s="1244"/>
      <c r="U593" s="1244"/>
      <c r="V593" s="1244"/>
      <c r="W593" s="1244"/>
      <c r="X593" s="1244"/>
      <c r="Y593" s="1244"/>
      <c r="Z593" s="1244"/>
    </row>
    <row r="594" spans="1:26" ht="19.5">
      <c r="A594" s="1267"/>
      <c r="B594" s="1268"/>
      <c r="C594" s="1268"/>
      <c r="D594" s="1268"/>
      <c r="E594" s="961"/>
      <c r="F594" s="961"/>
      <c r="G594" s="954"/>
      <c r="H594" s="733" t="s">
        <v>34</v>
      </c>
      <c r="I594" s="965">
        <f ca="1">IFERROR(__xludf.DUMMYFUNCTION("IMPORTRANGE(""https://docs.google.com/spreadsheets/d/1QqKyyYR6Q21VydFLVH3TRQUabQu_ym0Zz7PgGX0-kHA/edit?usp=sharing"",""แผน!HI24"")"),313)</f>
        <v>313</v>
      </c>
      <c r="J594" s="965">
        <f t="shared" si="255"/>
        <v>0</v>
      </c>
      <c r="K594" s="1109">
        <f t="shared" ca="1" si="254"/>
        <v>0</v>
      </c>
      <c r="L594" s="945"/>
      <c r="M594" s="945"/>
      <c r="N594" s="945"/>
      <c r="O594" s="945"/>
      <c r="P594" s="945"/>
      <c r="Q594" s="1244"/>
      <c r="R594" s="1244"/>
      <c r="S594" s="1244"/>
      <c r="T594" s="1244"/>
      <c r="U594" s="1244"/>
      <c r="V594" s="1244"/>
      <c r="W594" s="1244"/>
      <c r="X594" s="1244"/>
      <c r="Y594" s="1244"/>
      <c r="Z594" s="1244"/>
    </row>
    <row r="595" spans="1:26" ht="18.75">
      <c r="A595" s="1267"/>
      <c r="B595" s="1268"/>
      <c r="C595" s="1268" t="s">
        <v>253</v>
      </c>
      <c r="D595" s="1268"/>
      <c r="E595" s="1268"/>
      <c r="F595" s="961"/>
      <c r="G595" s="954"/>
      <c r="H595" s="730" t="s">
        <v>46</v>
      </c>
      <c r="I595" s="944"/>
      <c r="J595" s="944">
        <f t="shared" ref="J595:J596" si="256">J597+J599</f>
        <v>0</v>
      </c>
      <c r="K595" s="945"/>
      <c r="L595" s="945"/>
      <c r="M595" s="945"/>
      <c r="N595" s="945"/>
      <c r="O595" s="945"/>
      <c r="P595" s="945"/>
      <c r="Q595" s="1244"/>
      <c r="R595" s="1244"/>
      <c r="S595" s="1244"/>
      <c r="T595" s="1244"/>
      <c r="U595" s="1244"/>
      <c r="V595" s="1244"/>
      <c r="W595" s="1244"/>
      <c r="X595" s="1244"/>
      <c r="Y595" s="1244"/>
      <c r="Z595" s="1244"/>
    </row>
    <row r="596" spans="1:26" ht="18.75">
      <c r="A596" s="1267"/>
      <c r="B596" s="1268"/>
      <c r="C596" s="1268"/>
      <c r="D596" s="1268"/>
      <c r="E596" s="961"/>
      <c r="F596" s="961"/>
      <c r="G596" s="954"/>
      <c r="H596" s="730" t="s">
        <v>34</v>
      </c>
      <c r="I596" s="944"/>
      <c r="J596" s="944">
        <f t="shared" si="256"/>
        <v>0</v>
      </c>
      <c r="K596" s="945"/>
      <c r="L596" s="945"/>
      <c r="M596" s="945"/>
      <c r="N596" s="945"/>
      <c r="O596" s="945"/>
      <c r="P596" s="945"/>
      <c r="Q596" s="1244"/>
      <c r="R596" s="1244"/>
      <c r="S596" s="1244"/>
      <c r="T596" s="1244"/>
      <c r="U596" s="1244"/>
      <c r="V596" s="1244"/>
      <c r="W596" s="1244"/>
      <c r="X596" s="1244"/>
      <c r="Y596" s="1244"/>
      <c r="Z596" s="1244"/>
    </row>
    <row r="597" spans="1:26" ht="18.75">
      <c r="A597" s="1267"/>
      <c r="B597" s="1268"/>
      <c r="C597" s="1268"/>
      <c r="D597" s="1017" t="s">
        <v>254</v>
      </c>
      <c r="E597" s="961"/>
      <c r="F597" s="961"/>
      <c r="G597" s="954"/>
      <c r="H597" s="730" t="s">
        <v>46</v>
      </c>
      <c r="I597" s="944"/>
      <c r="J597" s="959">
        <v>0</v>
      </c>
      <c r="K597" s="945"/>
      <c r="L597" s="945"/>
      <c r="M597" s="945"/>
      <c r="N597" s="945"/>
      <c r="O597" s="945"/>
      <c r="P597" s="945"/>
      <c r="Q597" s="1244"/>
      <c r="R597" s="1244"/>
      <c r="S597" s="1244"/>
      <c r="T597" s="1244"/>
      <c r="U597" s="1244"/>
      <c r="V597" s="1244"/>
      <c r="W597" s="1244"/>
      <c r="X597" s="1244"/>
      <c r="Y597" s="1244"/>
      <c r="Z597" s="1244"/>
    </row>
    <row r="598" spans="1:26" ht="18.75">
      <c r="A598" s="1267"/>
      <c r="B598" s="1268"/>
      <c r="C598" s="1268"/>
      <c r="D598" s="1268"/>
      <c r="E598" s="961"/>
      <c r="F598" s="961"/>
      <c r="G598" s="954"/>
      <c r="H598" s="730" t="s">
        <v>34</v>
      </c>
      <c r="I598" s="830"/>
      <c r="J598" s="959">
        <v>0</v>
      </c>
      <c r="K598" s="945"/>
      <c r="L598" s="945"/>
      <c r="M598" s="945"/>
      <c r="N598" s="945"/>
      <c r="O598" s="945"/>
      <c r="P598" s="945"/>
      <c r="Q598" s="1244"/>
      <c r="R598" s="1244"/>
      <c r="S598" s="1244"/>
      <c r="T598" s="1244"/>
      <c r="U598" s="1244"/>
      <c r="V598" s="1244"/>
      <c r="W598" s="1244"/>
      <c r="X598" s="1244"/>
      <c r="Y598" s="1244"/>
      <c r="Z598" s="1244"/>
    </row>
    <row r="599" spans="1:26" ht="18.75">
      <c r="A599" s="1267"/>
      <c r="B599" s="1268"/>
      <c r="C599" s="1268"/>
      <c r="D599" s="1017" t="s">
        <v>255</v>
      </c>
      <c r="E599" s="961"/>
      <c r="F599" s="961"/>
      <c r="G599" s="954"/>
      <c r="H599" s="730" t="s">
        <v>46</v>
      </c>
      <c r="I599" s="830"/>
      <c r="J599" s="959">
        <v>0</v>
      </c>
      <c r="K599" s="945"/>
      <c r="L599" s="945"/>
      <c r="M599" s="945"/>
      <c r="N599" s="945"/>
      <c r="O599" s="945"/>
      <c r="P599" s="945"/>
      <c r="Q599" s="1244"/>
      <c r="R599" s="1244"/>
      <c r="S599" s="1244"/>
      <c r="T599" s="1244"/>
      <c r="U599" s="1244"/>
      <c r="V599" s="1244"/>
      <c r="W599" s="1244"/>
      <c r="X599" s="1244"/>
      <c r="Y599" s="1244"/>
      <c r="Z599" s="1244"/>
    </row>
    <row r="600" spans="1:26" ht="18.75">
      <c r="A600" s="1267"/>
      <c r="B600" s="1268"/>
      <c r="C600" s="1268"/>
      <c r="D600" s="1268"/>
      <c r="E600" s="961"/>
      <c r="F600" s="961"/>
      <c r="G600" s="954"/>
      <c r="H600" s="730" t="s">
        <v>34</v>
      </c>
      <c r="I600" s="830"/>
      <c r="J600" s="959">
        <v>0</v>
      </c>
      <c r="K600" s="945"/>
      <c r="L600" s="945"/>
      <c r="M600" s="945"/>
      <c r="N600" s="945"/>
      <c r="O600" s="945"/>
      <c r="P600" s="945"/>
      <c r="Q600" s="1244"/>
      <c r="R600" s="1244"/>
      <c r="S600" s="1244"/>
      <c r="T600" s="1244"/>
      <c r="U600" s="1244"/>
      <c r="V600" s="1244"/>
      <c r="W600" s="1244"/>
      <c r="X600" s="1244"/>
      <c r="Y600" s="1244"/>
      <c r="Z600" s="1244"/>
    </row>
    <row r="601" spans="1:26" ht="18.75">
      <c r="A601" s="1267"/>
      <c r="B601" s="1268"/>
      <c r="C601" s="1268"/>
      <c r="D601" s="1017" t="s">
        <v>256</v>
      </c>
      <c r="E601" s="961"/>
      <c r="F601" s="961"/>
      <c r="G601" s="954"/>
      <c r="H601" s="730" t="s">
        <v>46</v>
      </c>
      <c r="I601" s="830"/>
      <c r="J601" s="959">
        <v>0</v>
      </c>
      <c r="K601" s="945"/>
      <c r="L601" s="945"/>
      <c r="M601" s="945"/>
      <c r="N601" s="945"/>
      <c r="O601" s="945"/>
      <c r="P601" s="945"/>
      <c r="Q601" s="1244"/>
      <c r="R601" s="1244"/>
      <c r="S601" s="1244"/>
      <c r="T601" s="1244"/>
      <c r="U601" s="1244"/>
      <c r="V601" s="1244"/>
      <c r="W601" s="1244"/>
      <c r="X601" s="1244"/>
      <c r="Y601" s="1244"/>
      <c r="Z601" s="1244"/>
    </row>
    <row r="602" spans="1:26" ht="18.75">
      <c r="A602" s="1267"/>
      <c r="B602" s="1268"/>
      <c r="C602" s="1268"/>
      <c r="D602" s="1268"/>
      <c r="E602" s="961"/>
      <c r="F602" s="961"/>
      <c r="G602" s="954"/>
      <c r="H602" s="730" t="s">
        <v>34</v>
      </c>
      <c r="I602" s="830"/>
      <c r="J602" s="959">
        <v>0</v>
      </c>
      <c r="K602" s="945"/>
      <c r="L602" s="945"/>
      <c r="M602" s="945"/>
      <c r="N602" s="945"/>
      <c r="O602" s="945"/>
      <c r="P602" s="945"/>
      <c r="Q602" s="1244"/>
      <c r="R602" s="1244"/>
      <c r="S602" s="1244"/>
      <c r="T602" s="1244"/>
      <c r="U602" s="1244"/>
      <c r="V602" s="1244"/>
      <c r="W602" s="1244"/>
      <c r="X602" s="1244"/>
      <c r="Y602" s="1244"/>
      <c r="Z602" s="1244"/>
    </row>
    <row r="603" spans="1:26" ht="18.75">
      <c r="A603" s="1267"/>
      <c r="B603" s="1268"/>
      <c r="C603" s="1340" t="s">
        <v>257</v>
      </c>
      <c r="D603" s="1268"/>
      <c r="E603" s="1268"/>
      <c r="F603" s="961"/>
      <c r="G603" s="954"/>
      <c r="H603" s="730" t="s">
        <v>46</v>
      </c>
      <c r="I603" s="830"/>
      <c r="J603" s="830">
        <f t="shared" ref="J603:J604" si="257">J605+J607</f>
        <v>0</v>
      </c>
      <c r="K603" s="945"/>
      <c r="L603" s="945"/>
      <c r="M603" s="945"/>
      <c r="N603" s="945"/>
      <c r="O603" s="945"/>
      <c r="P603" s="945"/>
      <c r="Q603" s="1244"/>
      <c r="R603" s="1244"/>
      <c r="S603" s="1244"/>
      <c r="T603" s="1244"/>
      <c r="U603" s="1244"/>
      <c r="V603" s="1244"/>
      <c r="W603" s="1244"/>
      <c r="X603" s="1244"/>
      <c r="Y603" s="1244"/>
      <c r="Z603" s="1244"/>
    </row>
    <row r="604" spans="1:26" ht="18.75">
      <c r="A604" s="1267"/>
      <c r="B604" s="1268"/>
      <c r="C604" s="1268"/>
      <c r="D604" s="1268"/>
      <c r="E604" s="961"/>
      <c r="F604" s="961"/>
      <c r="G604" s="954"/>
      <c r="H604" s="730" t="s">
        <v>34</v>
      </c>
      <c r="I604" s="830"/>
      <c r="J604" s="830">
        <f t="shared" si="257"/>
        <v>0</v>
      </c>
      <c r="K604" s="945"/>
      <c r="L604" s="945"/>
      <c r="M604" s="945"/>
      <c r="N604" s="945"/>
      <c r="O604" s="945"/>
      <c r="P604" s="945"/>
      <c r="Q604" s="1244"/>
      <c r="R604" s="1244"/>
      <c r="S604" s="1244"/>
      <c r="T604" s="1244"/>
      <c r="U604" s="1244"/>
      <c r="V604" s="1244"/>
      <c r="W604" s="1244"/>
      <c r="X604" s="1244"/>
      <c r="Y604" s="1244"/>
      <c r="Z604" s="1244"/>
    </row>
    <row r="605" spans="1:26" ht="18.75">
      <c r="A605" s="1267"/>
      <c r="B605" s="1268"/>
      <c r="C605" s="1268"/>
      <c r="D605" s="1340" t="s">
        <v>258</v>
      </c>
      <c r="E605" s="961"/>
      <c r="F605" s="961"/>
      <c r="G605" s="954"/>
      <c r="H605" s="730" t="s">
        <v>46</v>
      </c>
      <c r="I605" s="830"/>
      <c r="J605" s="959">
        <v>0</v>
      </c>
      <c r="K605" s="945"/>
      <c r="L605" s="945"/>
      <c r="M605" s="945"/>
      <c r="N605" s="945"/>
      <c r="O605" s="945"/>
      <c r="P605" s="945"/>
      <c r="Q605" s="1244"/>
      <c r="R605" s="1244"/>
      <c r="S605" s="1244"/>
      <c r="T605" s="1244"/>
      <c r="U605" s="1244"/>
      <c r="V605" s="1244"/>
      <c r="W605" s="1244"/>
      <c r="X605" s="1244"/>
      <c r="Y605" s="1244"/>
      <c r="Z605" s="1244"/>
    </row>
    <row r="606" spans="1:26" ht="18.75">
      <c r="A606" s="1267"/>
      <c r="B606" s="1268"/>
      <c r="C606" s="1268"/>
      <c r="D606" s="1268"/>
      <c r="E606" s="1268"/>
      <c r="F606" s="961"/>
      <c r="G606" s="954"/>
      <c r="H606" s="730" t="s">
        <v>34</v>
      </c>
      <c r="I606" s="830"/>
      <c r="J606" s="959">
        <v>0</v>
      </c>
      <c r="K606" s="945"/>
      <c r="L606" s="945"/>
      <c r="M606" s="945"/>
      <c r="N606" s="945"/>
      <c r="O606" s="945"/>
      <c r="P606" s="945"/>
      <c r="Q606" s="1244"/>
      <c r="R606" s="1244"/>
      <c r="S606" s="1244"/>
      <c r="T606" s="1244"/>
      <c r="U606" s="1244"/>
      <c r="V606" s="1244"/>
      <c r="W606" s="1244"/>
      <c r="X606" s="1244"/>
      <c r="Y606" s="1244"/>
      <c r="Z606" s="1244"/>
    </row>
    <row r="607" spans="1:26" ht="18.75">
      <c r="A607" s="1267"/>
      <c r="B607" s="1268"/>
      <c r="C607" s="1268"/>
      <c r="D607" s="1340" t="s">
        <v>259</v>
      </c>
      <c r="E607" s="1268"/>
      <c r="F607" s="961"/>
      <c r="G607" s="954"/>
      <c r="H607" s="730" t="s">
        <v>46</v>
      </c>
      <c r="I607" s="830"/>
      <c r="J607" s="959">
        <v>0</v>
      </c>
      <c r="K607" s="945"/>
      <c r="L607" s="945"/>
      <c r="M607" s="945"/>
      <c r="N607" s="945"/>
      <c r="O607" s="945"/>
      <c r="P607" s="945"/>
      <c r="Q607" s="1244"/>
      <c r="R607" s="1244"/>
      <c r="S607" s="1244"/>
      <c r="T607" s="1244"/>
      <c r="U607" s="1244"/>
      <c r="V607" s="1244"/>
      <c r="W607" s="1244"/>
      <c r="X607" s="1244"/>
      <c r="Y607" s="1244"/>
      <c r="Z607" s="1244"/>
    </row>
    <row r="608" spans="1:26" ht="18.75">
      <c r="A608" s="1267"/>
      <c r="B608" s="1268"/>
      <c r="C608" s="1268"/>
      <c r="D608" s="1268"/>
      <c r="E608" s="961"/>
      <c r="F608" s="961"/>
      <c r="G608" s="954"/>
      <c r="H608" s="730" t="s">
        <v>34</v>
      </c>
      <c r="I608" s="830"/>
      <c r="J608" s="959">
        <v>0</v>
      </c>
      <c r="K608" s="945"/>
      <c r="L608" s="945"/>
      <c r="M608" s="945"/>
      <c r="N608" s="945"/>
      <c r="O608" s="945"/>
      <c r="P608" s="945"/>
      <c r="Q608" s="1244"/>
      <c r="R608" s="1244"/>
      <c r="S608" s="1244"/>
      <c r="T608" s="1244"/>
      <c r="U608" s="1244"/>
      <c r="V608" s="1244"/>
      <c r="W608" s="1244"/>
      <c r="X608" s="1244"/>
      <c r="Y608" s="1244"/>
      <c r="Z608" s="1244"/>
    </row>
    <row r="609" spans="1:26" ht="18.75">
      <c r="A609" s="1267"/>
      <c r="B609" s="1268"/>
      <c r="C609" s="1268" t="s">
        <v>260</v>
      </c>
      <c r="D609" s="1268"/>
      <c r="E609" s="1268"/>
      <c r="F609" s="961"/>
      <c r="G609" s="954"/>
      <c r="H609" s="730" t="s">
        <v>46</v>
      </c>
      <c r="I609" s="830"/>
      <c r="J609" s="959">
        <v>0</v>
      </c>
      <c r="K609" s="945"/>
      <c r="L609" s="945"/>
      <c r="M609" s="945"/>
      <c r="N609" s="945"/>
      <c r="O609" s="945"/>
      <c r="P609" s="945"/>
      <c r="Q609" s="1244"/>
      <c r="R609" s="1244"/>
      <c r="S609" s="1244"/>
      <c r="T609" s="1244"/>
      <c r="U609" s="1244"/>
      <c r="V609" s="1244"/>
      <c r="W609" s="1244"/>
      <c r="X609" s="1244"/>
      <c r="Y609" s="1244"/>
      <c r="Z609" s="1244"/>
    </row>
    <row r="610" spans="1:26" ht="18.75">
      <c r="A610" s="1267"/>
      <c r="B610" s="1268"/>
      <c r="C610" s="1268"/>
      <c r="D610" s="1268"/>
      <c r="E610" s="961"/>
      <c r="F610" s="961"/>
      <c r="G610" s="954"/>
      <c r="H610" s="730" t="s">
        <v>34</v>
      </c>
      <c r="I610" s="830"/>
      <c r="J610" s="959">
        <v>0</v>
      </c>
      <c r="K610" s="945"/>
      <c r="L610" s="945"/>
      <c r="M610" s="945"/>
      <c r="N610" s="945"/>
      <c r="O610" s="945"/>
      <c r="P610" s="945"/>
      <c r="Q610" s="1244"/>
      <c r="R610" s="1244"/>
      <c r="S610" s="1244"/>
      <c r="T610" s="1244"/>
      <c r="U610" s="1244"/>
      <c r="V610" s="1244"/>
      <c r="W610" s="1244"/>
      <c r="X610" s="1244"/>
      <c r="Y610" s="1244"/>
      <c r="Z610" s="1244"/>
    </row>
    <row r="611" spans="1:26" ht="19.5">
      <c r="A611" s="1329"/>
      <c r="B611" s="1341" t="s">
        <v>261</v>
      </c>
      <c r="C611" s="1331"/>
      <c r="D611" s="1331"/>
      <c r="E611" s="1315"/>
      <c r="F611" s="1315"/>
      <c r="G611" s="1316"/>
      <c r="H611" s="673" t="s">
        <v>46</v>
      </c>
      <c r="I611" s="1317">
        <v>0</v>
      </c>
      <c r="J611" s="1317">
        <f>J614+J616</f>
        <v>0</v>
      </c>
      <c r="K611" s="1318">
        <f t="shared" ref="K611:K613" si="258">IF(I611&gt;0,J611*100/I611,0)</f>
        <v>0</v>
      </c>
      <c r="L611" s="1319"/>
      <c r="M611" s="1319"/>
      <c r="N611" s="1319"/>
      <c r="O611" s="1319"/>
      <c r="P611" s="1319"/>
      <c r="Q611" s="1244"/>
      <c r="R611" s="1244"/>
      <c r="S611" s="1244"/>
      <c r="T611" s="1244"/>
      <c r="U611" s="1244"/>
      <c r="V611" s="1244"/>
      <c r="W611" s="1244"/>
      <c r="X611" s="1244"/>
      <c r="Y611" s="1244"/>
      <c r="Z611" s="1244"/>
    </row>
    <row r="612" spans="1:26" ht="19.5" hidden="1">
      <c r="A612" s="1342"/>
      <c r="B612" s="1343"/>
      <c r="C612" s="1344" t="s">
        <v>262</v>
      </c>
      <c r="D612" s="1343"/>
      <c r="E612" s="1343"/>
      <c r="F612" s="1345"/>
      <c r="G612" s="1346"/>
      <c r="H612" s="680" t="s">
        <v>46</v>
      </c>
      <c r="I612" s="1347">
        <v>0</v>
      </c>
      <c r="J612" s="1347">
        <f t="shared" ref="J612:J613" si="259">J614+J616</f>
        <v>0</v>
      </c>
      <c r="K612" s="1348">
        <f t="shared" si="258"/>
        <v>0</v>
      </c>
      <c r="L612" s="1349"/>
      <c r="M612" s="1349"/>
      <c r="N612" s="1349"/>
      <c r="O612" s="1349"/>
      <c r="P612" s="1349"/>
      <c r="Q612" s="1264"/>
      <c r="R612" s="1264"/>
      <c r="S612" s="1264"/>
      <c r="T612" s="1264"/>
      <c r="U612" s="1264"/>
      <c r="V612" s="1264"/>
      <c r="W612" s="1264"/>
      <c r="X612" s="1264"/>
      <c r="Y612" s="1264"/>
      <c r="Z612" s="1264"/>
    </row>
    <row r="613" spans="1:26" ht="19.5" hidden="1">
      <c r="A613" s="1342"/>
      <c r="B613" s="1343"/>
      <c r="C613" s="1343" t="s">
        <v>263</v>
      </c>
      <c r="D613" s="1343"/>
      <c r="E613" s="1343"/>
      <c r="F613" s="1345"/>
      <c r="G613" s="1346"/>
      <c r="H613" s="680" t="s">
        <v>34</v>
      </c>
      <c r="I613" s="1347">
        <v>0</v>
      </c>
      <c r="J613" s="1347">
        <f t="shared" si="259"/>
        <v>0</v>
      </c>
      <c r="K613" s="1348">
        <f t="shared" si="258"/>
        <v>0</v>
      </c>
      <c r="L613" s="1349"/>
      <c r="M613" s="1349"/>
      <c r="N613" s="1349"/>
      <c r="O613" s="1349"/>
      <c r="P613" s="1349"/>
      <c r="Q613" s="1264"/>
      <c r="R613" s="1264"/>
      <c r="S613" s="1264"/>
      <c r="T613" s="1264"/>
      <c r="U613" s="1264"/>
      <c r="V613" s="1264"/>
      <c r="W613" s="1264"/>
      <c r="X613" s="1264"/>
      <c r="Y613" s="1264"/>
      <c r="Z613" s="1264"/>
    </row>
    <row r="614" spans="1:26" ht="18.75" hidden="1">
      <c r="A614" s="1273"/>
      <c r="B614" s="1274"/>
      <c r="C614" s="1274"/>
      <c r="D614" s="1262" t="s">
        <v>264</v>
      </c>
      <c r="E614" s="1274"/>
      <c r="F614" s="1262"/>
      <c r="G614" s="1060"/>
      <c r="H614" s="583" t="s">
        <v>46</v>
      </c>
      <c r="I614" s="836"/>
      <c r="J614" s="836">
        <v>0</v>
      </c>
      <c r="K614" s="948"/>
      <c r="L614" s="948"/>
      <c r="M614" s="948"/>
      <c r="N614" s="948"/>
      <c r="O614" s="948"/>
      <c r="P614" s="948"/>
      <c r="Q614" s="1264"/>
      <c r="R614" s="1264"/>
      <c r="S614" s="1264"/>
      <c r="T614" s="1264"/>
      <c r="U614" s="1264"/>
      <c r="V614" s="1264"/>
      <c r="W614" s="1264"/>
      <c r="X614" s="1264"/>
      <c r="Y614" s="1264"/>
      <c r="Z614" s="1264"/>
    </row>
    <row r="615" spans="1:26" ht="18.75" hidden="1">
      <c r="A615" s="1273"/>
      <c r="B615" s="1274"/>
      <c r="C615" s="1274"/>
      <c r="D615" s="1274"/>
      <c r="E615" s="1274"/>
      <c r="F615" s="1262"/>
      <c r="G615" s="1060"/>
      <c r="H615" s="583" t="s">
        <v>34</v>
      </c>
      <c r="I615" s="836"/>
      <c r="J615" s="836">
        <v>0</v>
      </c>
      <c r="K615" s="948"/>
      <c r="L615" s="948"/>
      <c r="M615" s="948"/>
      <c r="N615" s="948"/>
      <c r="O615" s="948"/>
      <c r="P615" s="948"/>
      <c r="Q615" s="1264"/>
      <c r="R615" s="1264"/>
      <c r="S615" s="1264"/>
      <c r="T615" s="1264"/>
      <c r="U615" s="1264"/>
      <c r="V615" s="1264"/>
      <c r="W615" s="1264"/>
      <c r="X615" s="1264"/>
      <c r="Y615" s="1264"/>
      <c r="Z615" s="1264"/>
    </row>
    <row r="616" spans="1:26" ht="18.75" hidden="1">
      <c r="A616" s="1273"/>
      <c r="B616" s="1274"/>
      <c r="C616" s="1274"/>
      <c r="D616" s="1350" t="s">
        <v>264</v>
      </c>
      <c r="E616" s="1262"/>
      <c r="F616" s="1262"/>
      <c r="G616" s="1060"/>
      <c r="H616" s="583" t="s">
        <v>46</v>
      </c>
      <c r="I616" s="836"/>
      <c r="J616" s="836">
        <v>0</v>
      </c>
      <c r="K616" s="948"/>
      <c r="L616" s="948"/>
      <c r="M616" s="948"/>
      <c r="N616" s="948"/>
      <c r="O616" s="948"/>
      <c r="P616" s="948"/>
      <c r="Q616" s="1264"/>
      <c r="R616" s="1264"/>
      <c r="S616" s="1264"/>
      <c r="T616" s="1264"/>
      <c r="U616" s="1264"/>
      <c r="V616" s="1264"/>
      <c r="W616" s="1264"/>
      <c r="X616" s="1264"/>
      <c r="Y616" s="1264"/>
      <c r="Z616" s="1264"/>
    </row>
    <row r="617" spans="1:26" ht="18.75" hidden="1">
      <c r="A617" s="1273"/>
      <c r="B617" s="1274"/>
      <c r="C617" s="1274"/>
      <c r="D617" s="1274"/>
      <c r="E617" s="1262"/>
      <c r="F617" s="1262"/>
      <c r="G617" s="1060"/>
      <c r="H617" s="583" t="s">
        <v>34</v>
      </c>
      <c r="I617" s="836"/>
      <c r="J617" s="836">
        <v>0</v>
      </c>
      <c r="K617" s="948"/>
      <c r="L617" s="948"/>
      <c r="M617" s="948"/>
      <c r="N617" s="948"/>
      <c r="O617" s="948"/>
      <c r="P617" s="948"/>
      <c r="Q617" s="1264"/>
      <c r="R617" s="1264"/>
      <c r="S617" s="1264"/>
      <c r="T617" s="1264"/>
      <c r="U617" s="1264"/>
      <c r="V617" s="1264"/>
      <c r="W617" s="1264"/>
      <c r="X617" s="1264"/>
      <c r="Y617" s="1264"/>
      <c r="Z617" s="1264"/>
    </row>
    <row r="618" spans="1:26" ht="18.75" hidden="1">
      <c r="A618" s="1273"/>
      <c r="B618" s="1274"/>
      <c r="C618" s="1274"/>
      <c r="D618" s="1350" t="s">
        <v>265</v>
      </c>
      <c r="E618" s="1262"/>
      <c r="F618" s="1262"/>
      <c r="G618" s="1060"/>
      <c r="H618" s="583" t="s">
        <v>46</v>
      </c>
      <c r="I618" s="836"/>
      <c r="J618" s="836">
        <v>0</v>
      </c>
      <c r="K618" s="948"/>
      <c r="L618" s="948"/>
      <c r="M618" s="948"/>
      <c r="N618" s="948"/>
      <c r="O618" s="948"/>
      <c r="P618" s="948"/>
      <c r="Q618" s="1264"/>
      <c r="R618" s="1264"/>
      <c r="S618" s="1264"/>
      <c r="T618" s="1264"/>
      <c r="U618" s="1264"/>
      <c r="V618" s="1264"/>
      <c r="W618" s="1264"/>
      <c r="X618" s="1264"/>
      <c r="Y618" s="1264"/>
      <c r="Z618" s="1264"/>
    </row>
    <row r="619" spans="1:26" ht="18.75" hidden="1">
      <c r="A619" s="1273"/>
      <c r="B619" s="1274"/>
      <c r="C619" s="1274"/>
      <c r="D619" s="1274"/>
      <c r="E619" s="1262"/>
      <c r="F619" s="1262"/>
      <c r="G619" s="1060"/>
      <c r="H619" s="583" t="s">
        <v>34</v>
      </c>
      <c r="I619" s="836"/>
      <c r="J619" s="836">
        <v>0</v>
      </c>
      <c r="K619" s="948"/>
      <c r="L619" s="948"/>
      <c r="M619" s="948"/>
      <c r="N619" s="948"/>
      <c r="O619" s="948"/>
      <c r="P619" s="948"/>
      <c r="Q619" s="1264"/>
      <c r="R619" s="1264"/>
      <c r="S619" s="1264"/>
      <c r="T619" s="1264"/>
      <c r="U619" s="1264"/>
      <c r="V619" s="1264"/>
      <c r="W619" s="1264"/>
      <c r="X619" s="1264"/>
      <c r="Y619" s="1264"/>
      <c r="Z619" s="1264"/>
    </row>
    <row r="620" spans="1:26" ht="19.5">
      <c r="A620" s="1351"/>
      <c r="B620" s="1352"/>
      <c r="C620" s="1353" t="s">
        <v>266</v>
      </c>
      <c r="D620" s="1352"/>
      <c r="E620" s="1352"/>
      <c r="F620" s="1354"/>
      <c r="G620" s="1355"/>
      <c r="H620" s="693" t="s">
        <v>46</v>
      </c>
      <c r="I620" s="1356">
        <f ca="1">IFERROR(__xludf.DUMMYFUNCTION("IMPORTRANGE(""https://docs.google.com/spreadsheets/d/1QqKyyYR6Q21VydFLVH3TRQUabQu_ym0Zz7PgGX0-kHA/edit?usp=sharing"",""แผน!HL24"")"),57)</f>
        <v>57</v>
      </c>
      <c r="J620" s="1356">
        <f t="shared" ref="J620:J621" si="260">J622+J624+J626</f>
        <v>0</v>
      </c>
      <c r="K620" s="1357">
        <f t="shared" ref="K620:K621" ca="1" si="261">IF(I620&gt;0,J620*100/I620,0)</f>
        <v>0</v>
      </c>
      <c r="L620" s="1358"/>
      <c r="M620" s="1358"/>
      <c r="N620" s="1358"/>
      <c r="O620" s="1358"/>
      <c r="P620" s="1358"/>
      <c r="Q620" s="1244"/>
      <c r="R620" s="1244"/>
      <c r="S620" s="1244"/>
      <c r="T620" s="1244"/>
      <c r="U620" s="1244"/>
      <c r="V620" s="1244"/>
      <c r="W620" s="1244"/>
      <c r="X620" s="1244"/>
      <c r="Y620" s="1244"/>
      <c r="Z620" s="1244"/>
    </row>
    <row r="621" spans="1:26" ht="19.5">
      <c r="A621" s="1351"/>
      <c r="B621" s="1352"/>
      <c r="C621" s="1352" t="s">
        <v>267</v>
      </c>
      <c r="D621" s="1352"/>
      <c r="E621" s="1352"/>
      <c r="F621" s="1354"/>
      <c r="G621" s="1355"/>
      <c r="H621" s="693" t="s">
        <v>34</v>
      </c>
      <c r="I621" s="1356">
        <f ca="1">IFERROR(__xludf.DUMMYFUNCTION("IMPORTRANGE(""https://docs.google.com/spreadsheets/d/1QqKyyYR6Q21VydFLVH3TRQUabQu_ym0Zz7PgGX0-kHA/edit?usp=sharing"",""แผน!HK24"")"),12)</f>
        <v>12</v>
      </c>
      <c r="J621" s="1356">
        <f t="shared" si="260"/>
        <v>0</v>
      </c>
      <c r="K621" s="1357">
        <f t="shared" ca="1" si="261"/>
        <v>0</v>
      </c>
      <c r="L621" s="1358"/>
      <c r="M621" s="1358"/>
      <c r="N621" s="1358"/>
      <c r="O621" s="1358"/>
      <c r="P621" s="1358"/>
      <c r="Q621" s="1244"/>
      <c r="R621" s="1244"/>
      <c r="S621" s="1244"/>
      <c r="T621" s="1244"/>
      <c r="U621" s="1244"/>
      <c r="V621" s="1244"/>
      <c r="W621" s="1244"/>
      <c r="X621" s="1244"/>
      <c r="Y621" s="1244"/>
      <c r="Z621" s="1244"/>
    </row>
    <row r="622" spans="1:26" ht="18.75">
      <c r="A622" s="1267"/>
      <c r="B622" s="1268"/>
      <c r="C622" s="1268"/>
      <c r="D622" s="1017" t="s">
        <v>268</v>
      </c>
      <c r="E622" s="961"/>
      <c r="F622" s="961"/>
      <c r="G622" s="954"/>
      <c r="H622" s="730" t="s">
        <v>46</v>
      </c>
      <c r="I622" s="830"/>
      <c r="J622" s="959">
        <v>0</v>
      </c>
      <c r="K622" s="945"/>
      <c r="L622" s="945"/>
      <c r="M622" s="945"/>
      <c r="N622" s="945"/>
      <c r="O622" s="945"/>
      <c r="P622" s="945"/>
      <c r="Q622" s="1244"/>
      <c r="R622" s="1244"/>
      <c r="S622" s="1244"/>
      <c r="T622" s="1244"/>
      <c r="U622" s="1244"/>
      <c r="V622" s="1244"/>
      <c r="W622" s="1244"/>
      <c r="X622" s="1244"/>
      <c r="Y622" s="1244"/>
      <c r="Z622" s="1244"/>
    </row>
    <row r="623" spans="1:26" ht="18.75">
      <c r="A623" s="1267"/>
      <c r="B623" s="1268"/>
      <c r="C623" s="1268"/>
      <c r="D623" s="1268"/>
      <c r="E623" s="961"/>
      <c r="F623" s="961"/>
      <c r="G623" s="954"/>
      <c r="H623" s="730" t="s">
        <v>34</v>
      </c>
      <c r="I623" s="830"/>
      <c r="J623" s="959">
        <v>0</v>
      </c>
      <c r="K623" s="945"/>
      <c r="L623" s="945"/>
      <c r="M623" s="945"/>
      <c r="N623" s="945"/>
      <c r="O623" s="945"/>
      <c r="P623" s="945"/>
      <c r="Q623" s="1244"/>
      <c r="R623" s="1244"/>
      <c r="S623" s="1244"/>
      <c r="T623" s="1244"/>
      <c r="U623" s="1244"/>
      <c r="V623" s="1244"/>
      <c r="W623" s="1244"/>
      <c r="X623" s="1244"/>
      <c r="Y623" s="1244"/>
      <c r="Z623" s="1244"/>
    </row>
    <row r="624" spans="1:26" ht="18.75">
      <c r="A624" s="1267"/>
      <c r="B624" s="1268"/>
      <c r="C624" s="1268"/>
      <c r="D624" s="1017" t="s">
        <v>264</v>
      </c>
      <c r="E624" s="961"/>
      <c r="F624" s="961"/>
      <c r="G624" s="954"/>
      <c r="H624" s="730" t="s">
        <v>46</v>
      </c>
      <c r="I624" s="830"/>
      <c r="J624" s="959">
        <v>0</v>
      </c>
      <c r="K624" s="945"/>
      <c r="L624" s="945"/>
      <c r="M624" s="945"/>
      <c r="N624" s="945"/>
      <c r="O624" s="945"/>
      <c r="P624" s="945"/>
      <c r="Q624" s="1244"/>
      <c r="R624" s="1244"/>
      <c r="S624" s="1244"/>
      <c r="T624" s="1244"/>
      <c r="U624" s="1244"/>
      <c r="V624" s="1244"/>
      <c r="W624" s="1244"/>
      <c r="X624" s="1244"/>
      <c r="Y624" s="1244"/>
      <c r="Z624" s="1244"/>
    </row>
    <row r="625" spans="1:26" ht="18.75">
      <c r="A625" s="1267"/>
      <c r="B625" s="1268"/>
      <c r="C625" s="1268"/>
      <c r="D625" s="1268"/>
      <c r="E625" s="961"/>
      <c r="F625" s="961"/>
      <c r="G625" s="954"/>
      <c r="H625" s="730" t="s">
        <v>34</v>
      </c>
      <c r="I625" s="830"/>
      <c r="J625" s="959">
        <v>0</v>
      </c>
      <c r="K625" s="945"/>
      <c r="L625" s="945"/>
      <c r="M625" s="945"/>
      <c r="N625" s="945"/>
      <c r="O625" s="945"/>
      <c r="P625" s="945"/>
      <c r="Q625" s="1244"/>
      <c r="R625" s="1244"/>
      <c r="S625" s="1244"/>
      <c r="T625" s="1244"/>
      <c r="U625" s="1244"/>
      <c r="V625" s="1244"/>
      <c r="W625" s="1244"/>
      <c r="X625" s="1244"/>
      <c r="Y625" s="1244"/>
      <c r="Z625" s="1244"/>
    </row>
    <row r="626" spans="1:26" ht="18.75">
      <c r="A626" s="1267"/>
      <c r="B626" s="1268"/>
      <c r="C626" s="1268"/>
      <c r="D626" s="1017" t="s">
        <v>269</v>
      </c>
      <c r="E626" s="961"/>
      <c r="F626" s="961"/>
      <c r="G626" s="954"/>
      <c r="H626" s="730" t="s">
        <v>46</v>
      </c>
      <c r="I626" s="830"/>
      <c r="J626" s="959">
        <v>0</v>
      </c>
      <c r="K626" s="945"/>
      <c r="L626" s="945"/>
      <c r="M626" s="945"/>
      <c r="N626" s="945"/>
      <c r="O626" s="945"/>
      <c r="P626" s="945"/>
      <c r="Q626" s="1244"/>
      <c r="R626" s="1244"/>
      <c r="S626" s="1244"/>
      <c r="T626" s="1244"/>
      <c r="U626" s="1244"/>
      <c r="V626" s="1244"/>
      <c r="W626" s="1244"/>
      <c r="X626" s="1244"/>
      <c r="Y626" s="1244"/>
      <c r="Z626" s="1244"/>
    </row>
    <row r="627" spans="1:26" ht="18.75">
      <c r="A627" s="1359"/>
      <c r="B627" s="1360"/>
      <c r="C627" s="1360"/>
      <c r="D627" s="1360"/>
      <c r="E627" s="1116"/>
      <c r="F627" s="1116"/>
      <c r="G627" s="1361"/>
      <c r="H627" s="391" t="s">
        <v>34</v>
      </c>
      <c r="I627" s="1085"/>
      <c r="J627" s="1118">
        <v>0</v>
      </c>
      <c r="K627" s="1086"/>
      <c r="L627" s="1086"/>
      <c r="M627" s="1086"/>
      <c r="N627" s="1086"/>
      <c r="O627" s="1086"/>
      <c r="P627" s="1086"/>
      <c r="Q627" s="1244"/>
      <c r="R627" s="1244"/>
      <c r="S627" s="1244"/>
      <c r="T627" s="1244"/>
      <c r="U627" s="1244"/>
      <c r="V627" s="1244"/>
      <c r="W627" s="1244"/>
      <c r="X627" s="1244"/>
      <c r="Y627" s="1244"/>
      <c r="Z627" s="1244"/>
    </row>
    <row r="628" spans="1:26" ht="19.5">
      <c r="A628" s="702">
        <v>7</v>
      </c>
      <c r="B628" s="1362" t="s">
        <v>270</v>
      </c>
      <c r="C628" s="1363"/>
      <c r="D628" s="1363"/>
      <c r="E628" s="1363"/>
      <c r="F628" s="1363"/>
      <c r="G628" s="1364"/>
      <c r="H628" s="706" t="s">
        <v>35</v>
      </c>
      <c r="I628" s="1365">
        <f t="shared" ref="I628:J628" ca="1" si="262">I651</f>
        <v>25</v>
      </c>
      <c r="J628" s="1365">
        <f t="shared" ca="1" si="262"/>
        <v>0</v>
      </c>
      <c r="K628" s="1366">
        <f ca="1">IF(I628&gt;0,J628*100/I628,0)</f>
        <v>0</v>
      </c>
      <c r="L628" s="1367"/>
      <c r="M628" s="1367"/>
      <c r="N628" s="1367"/>
      <c r="O628" s="1367"/>
      <c r="P628" s="1367"/>
      <c r="Q628" s="1244"/>
      <c r="R628" s="1244"/>
      <c r="S628" s="1244"/>
      <c r="T628" s="1244"/>
      <c r="U628" s="1244"/>
      <c r="V628" s="1244"/>
      <c r="W628" s="1244"/>
      <c r="X628" s="1244"/>
      <c r="Y628" s="1244"/>
      <c r="Z628" s="1244"/>
    </row>
    <row r="629" spans="1:26" ht="19.5">
      <c r="A629" s="1259"/>
      <c r="B629" s="1243"/>
      <c r="C629" s="1243" t="s">
        <v>16</v>
      </c>
      <c r="D629" s="1507" t="s">
        <v>17</v>
      </c>
      <c r="E629" s="1485"/>
      <c r="F629" s="1485"/>
      <c r="G629" s="963"/>
      <c r="H629" s="563" t="s">
        <v>12</v>
      </c>
      <c r="I629" s="830"/>
      <c r="J629" s="830"/>
      <c r="K629" s="831"/>
      <c r="L629" s="967">
        <f t="shared" ref="L629:N629" ca="1" si="263">L630+L631</f>
        <v>170675</v>
      </c>
      <c r="M629" s="967">
        <f t="shared" si="263"/>
        <v>0</v>
      </c>
      <c r="N629" s="967">
        <f t="shared" si="263"/>
        <v>69618</v>
      </c>
      <c r="O629" s="967">
        <f t="shared" ref="O629:O634" ca="1" si="264">IF(L629&gt;0,N629*100/L629,0)</f>
        <v>40.789805185293687</v>
      </c>
      <c r="P629" s="967">
        <f t="shared" ref="P629:P634" si="265">IF(M629&gt;0,N629*100/M629,0)</f>
        <v>0</v>
      </c>
      <c r="Q629" s="1244"/>
      <c r="R629" s="1244"/>
      <c r="S629" s="1244"/>
      <c r="T629" s="1244"/>
      <c r="U629" s="1244"/>
      <c r="V629" s="1244"/>
      <c r="W629" s="1244"/>
      <c r="X629" s="1244"/>
      <c r="Y629" s="1244"/>
      <c r="Z629" s="1244"/>
    </row>
    <row r="630" spans="1:26" ht="18.75" hidden="1">
      <c r="A630" s="1260"/>
      <c r="B630" s="1261"/>
      <c r="C630" s="1261"/>
      <c r="D630" s="1262"/>
      <c r="E630" s="1261" t="s">
        <v>184</v>
      </c>
      <c r="F630" s="1261"/>
      <c r="G630" s="1263"/>
      <c r="H630" s="165" t="s">
        <v>12</v>
      </c>
      <c r="I630" s="836"/>
      <c r="J630" s="836"/>
      <c r="K630" s="837"/>
      <c r="L630" s="837">
        <f t="shared" ref="L630:N631" si="266">L633+L640</f>
        <v>0</v>
      </c>
      <c r="M630" s="837">
        <f t="shared" si="266"/>
        <v>0</v>
      </c>
      <c r="N630" s="837">
        <f t="shared" si="266"/>
        <v>0</v>
      </c>
      <c r="O630" s="837">
        <f t="shared" si="264"/>
        <v>0</v>
      </c>
      <c r="P630" s="837">
        <f t="shared" si="265"/>
        <v>0</v>
      </c>
      <c r="Q630" s="1264"/>
      <c r="R630" s="1264"/>
      <c r="S630" s="1264"/>
      <c r="T630" s="1264"/>
      <c r="U630" s="1264"/>
      <c r="V630" s="1264"/>
      <c r="W630" s="1264"/>
      <c r="X630" s="1264"/>
      <c r="Y630" s="1264"/>
      <c r="Z630" s="1264"/>
    </row>
    <row r="631" spans="1:26" ht="18.75" hidden="1">
      <c r="A631" s="1260"/>
      <c r="B631" s="1265"/>
      <c r="C631" s="1261"/>
      <c r="D631" s="1262"/>
      <c r="E631" s="1261" t="s">
        <v>185</v>
      </c>
      <c r="F631" s="1261"/>
      <c r="G631" s="1263"/>
      <c r="H631" s="165" t="s">
        <v>12</v>
      </c>
      <c r="I631" s="836"/>
      <c r="J631" s="836"/>
      <c r="K631" s="837"/>
      <c r="L631" s="837">
        <f t="shared" ca="1" si="266"/>
        <v>170675</v>
      </c>
      <c r="M631" s="837">
        <f t="shared" si="266"/>
        <v>0</v>
      </c>
      <c r="N631" s="837">
        <f t="shared" si="266"/>
        <v>69618</v>
      </c>
      <c r="O631" s="837">
        <f t="shared" ca="1" si="264"/>
        <v>40.789805185293687</v>
      </c>
      <c r="P631" s="837">
        <f t="shared" si="265"/>
        <v>0</v>
      </c>
      <c r="Q631" s="1264"/>
      <c r="R631" s="1264"/>
      <c r="S631" s="1264"/>
      <c r="T631" s="1264"/>
      <c r="U631" s="1264"/>
      <c r="V631" s="1264"/>
      <c r="W631" s="1264"/>
      <c r="X631" s="1264"/>
      <c r="Y631" s="1264"/>
      <c r="Z631" s="1264"/>
    </row>
    <row r="632" spans="1:26" ht="18.75">
      <c r="A632" s="1259"/>
      <c r="B632" s="1242"/>
      <c r="C632" s="1243"/>
      <c r="D632" s="1266" t="s">
        <v>20</v>
      </c>
      <c r="E632" s="1243"/>
      <c r="F632" s="1243"/>
      <c r="G632" s="963"/>
      <c r="H632" s="778" t="s">
        <v>12</v>
      </c>
      <c r="I632" s="944"/>
      <c r="J632" s="944"/>
      <c r="K632" s="945"/>
      <c r="L632" s="831">
        <f t="shared" ref="L632:N632" ca="1" si="267">L633+L634</f>
        <v>170675</v>
      </c>
      <c r="M632" s="831">
        <f t="shared" si="267"/>
        <v>0</v>
      </c>
      <c r="N632" s="831">
        <f t="shared" si="267"/>
        <v>69618</v>
      </c>
      <c r="O632" s="831">
        <f t="shared" ca="1" si="264"/>
        <v>40.789805185293687</v>
      </c>
      <c r="P632" s="831">
        <f t="shared" si="265"/>
        <v>0</v>
      </c>
      <c r="Q632" s="1244"/>
      <c r="R632" s="1244"/>
      <c r="S632" s="1244"/>
      <c r="T632" s="1244"/>
      <c r="U632" s="1244"/>
      <c r="V632" s="1244"/>
      <c r="W632" s="1244"/>
      <c r="X632" s="1244"/>
      <c r="Y632" s="1244"/>
      <c r="Z632" s="1244"/>
    </row>
    <row r="633" spans="1:26" ht="18.75" hidden="1">
      <c r="A633" s="1260"/>
      <c r="B633" s="1265"/>
      <c r="C633" s="1261"/>
      <c r="D633" s="1262"/>
      <c r="E633" s="1261" t="s">
        <v>184</v>
      </c>
      <c r="F633" s="1261"/>
      <c r="G633" s="1263"/>
      <c r="H633" s="165" t="s">
        <v>12</v>
      </c>
      <c r="I633" s="836"/>
      <c r="J633" s="836"/>
      <c r="K633" s="837"/>
      <c r="L633" s="837">
        <v>0</v>
      </c>
      <c r="M633" s="837">
        <v>0</v>
      </c>
      <c r="N633" s="837">
        <v>0</v>
      </c>
      <c r="O633" s="837">
        <f t="shared" si="264"/>
        <v>0</v>
      </c>
      <c r="P633" s="837">
        <f t="shared" si="265"/>
        <v>0</v>
      </c>
      <c r="Q633" s="1264"/>
      <c r="R633" s="1264"/>
      <c r="S633" s="1264"/>
      <c r="T633" s="1264"/>
      <c r="U633" s="1264"/>
      <c r="V633" s="1264"/>
      <c r="W633" s="1264"/>
      <c r="X633" s="1264"/>
      <c r="Y633" s="1264"/>
      <c r="Z633" s="1264"/>
    </row>
    <row r="634" spans="1:26" ht="18.75" hidden="1">
      <c r="A634" s="1260"/>
      <c r="B634" s="1265"/>
      <c r="C634" s="1261"/>
      <c r="D634" s="1262"/>
      <c r="E634" s="1261" t="s">
        <v>185</v>
      </c>
      <c r="F634" s="1261"/>
      <c r="G634" s="1263"/>
      <c r="H634" s="165" t="s">
        <v>12</v>
      </c>
      <c r="I634" s="836"/>
      <c r="J634" s="836"/>
      <c r="K634" s="837"/>
      <c r="L634" s="837">
        <f ca="1">IFERROR(__xludf.DUMMYFUNCTION("IMPORTRANGE(""https://docs.google.com/spreadsheets/d/1QqKyyYR6Q21VydFLVH3TRQUabQu_ym0Zz7PgGX0-kHA/edit?usp=sharing"",""แผน!HN24"")"),170675)</f>
        <v>170675</v>
      </c>
      <c r="M634" s="837">
        <v>0</v>
      </c>
      <c r="N634" s="837">
        <f>N635+N636+N637+N638</f>
        <v>69618</v>
      </c>
      <c r="O634" s="837">
        <f t="shared" ca="1" si="264"/>
        <v>40.789805185293687</v>
      </c>
      <c r="P634" s="837">
        <f t="shared" si="265"/>
        <v>0</v>
      </c>
      <c r="Q634" s="1264"/>
      <c r="R634" s="1264"/>
      <c r="S634" s="1264"/>
      <c r="T634" s="1264"/>
      <c r="U634" s="1264"/>
      <c r="V634" s="1264"/>
      <c r="W634" s="1264"/>
      <c r="X634" s="1264"/>
      <c r="Y634" s="1264"/>
      <c r="Z634" s="1264"/>
    </row>
    <row r="635" spans="1:26" ht="18.75">
      <c r="A635" s="1241"/>
      <c r="B635" s="1242"/>
      <c r="C635" s="1243"/>
      <c r="D635" s="1243"/>
      <c r="E635" s="1243"/>
      <c r="F635" s="1243" t="s">
        <v>186</v>
      </c>
      <c r="G635" s="963"/>
      <c r="H635" s="778" t="s">
        <v>12</v>
      </c>
      <c r="I635" s="830"/>
      <c r="J635" s="830"/>
      <c r="K635" s="831"/>
      <c r="L635" s="831"/>
      <c r="M635" s="831"/>
      <c r="N635" s="1031">
        <v>0</v>
      </c>
      <c r="O635" s="831"/>
      <c r="P635" s="831"/>
      <c r="Q635" s="1244"/>
      <c r="R635" s="1244"/>
      <c r="S635" s="1244"/>
      <c r="T635" s="1244"/>
      <c r="U635" s="1244"/>
      <c r="V635" s="1244"/>
      <c r="W635" s="1244"/>
      <c r="X635" s="1244"/>
      <c r="Y635" s="1244"/>
      <c r="Z635" s="1244"/>
    </row>
    <row r="636" spans="1:26" ht="18.75">
      <c r="A636" s="1241"/>
      <c r="B636" s="1242"/>
      <c r="C636" s="1243"/>
      <c r="D636" s="1243"/>
      <c r="E636" s="1243"/>
      <c r="F636" s="1243" t="s">
        <v>187</v>
      </c>
      <c r="G636" s="963"/>
      <c r="H636" s="778" t="s">
        <v>12</v>
      </c>
      <c r="I636" s="830"/>
      <c r="J636" s="830"/>
      <c r="K636" s="831"/>
      <c r="L636" s="831"/>
      <c r="M636" s="831"/>
      <c r="N636" s="1031">
        <v>0</v>
      </c>
      <c r="O636" s="831"/>
      <c r="P636" s="831"/>
      <c r="Q636" s="1244"/>
      <c r="R636" s="1244"/>
      <c r="S636" s="1244"/>
      <c r="T636" s="1244"/>
      <c r="U636" s="1244"/>
      <c r="V636" s="1244"/>
      <c r="W636" s="1244"/>
      <c r="X636" s="1244"/>
      <c r="Y636" s="1244"/>
      <c r="Z636" s="1244"/>
    </row>
    <row r="637" spans="1:26" ht="18.75">
      <c r="A637" s="1241"/>
      <c r="B637" s="1242"/>
      <c r="C637" s="1243"/>
      <c r="D637" s="1243"/>
      <c r="E637" s="1243"/>
      <c r="F637" s="1243" t="s">
        <v>188</v>
      </c>
      <c r="G637" s="963"/>
      <c r="H637" s="778" t="s">
        <v>12</v>
      </c>
      <c r="I637" s="830"/>
      <c r="J637" s="830"/>
      <c r="K637" s="831"/>
      <c r="L637" s="831"/>
      <c r="M637" s="831"/>
      <c r="N637" s="1031">
        <v>0</v>
      </c>
      <c r="O637" s="831"/>
      <c r="P637" s="831"/>
      <c r="Q637" s="1244"/>
      <c r="R637" s="1244"/>
      <c r="S637" s="1244"/>
      <c r="T637" s="1244"/>
      <c r="U637" s="1244"/>
      <c r="V637" s="1244"/>
      <c r="W637" s="1244"/>
      <c r="X637" s="1244"/>
      <c r="Y637" s="1244"/>
      <c r="Z637" s="1244"/>
    </row>
    <row r="638" spans="1:26" ht="18.75">
      <c r="A638" s="1241"/>
      <c r="B638" s="1242"/>
      <c r="C638" s="1243"/>
      <c r="D638" s="1243"/>
      <c r="E638" s="1243"/>
      <c r="F638" s="1243" t="s">
        <v>189</v>
      </c>
      <c r="G638" s="963"/>
      <c r="H638" s="778" t="s">
        <v>12</v>
      </c>
      <c r="I638" s="830"/>
      <c r="J638" s="830"/>
      <c r="K638" s="831"/>
      <c r="L638" s="831"/>
      <c r="M638" s="831"/>
      <c r="N638" s="1031">
        <v>69618</v>
      </c>
      <c r="O638" s="831"/>
      <c r="P638" s="831"/>
      <c r="Q638" s="1244"/>
      <c r="R638" s="1244"/>
      <c r="S638" s="1244"/>
      <c r="T638" s="1244"/>
      <c r="U638" s="1244"/>
      <c r="V638" s="1244"/>
      <c r="W638" s="1244"/>
      <c r="X638" s="1244"/>
      <c r="Y638" s="1244"/>
      <c r="Z638" s="1244"/>
    </row>
    <row r="639" spans="1:26" ht="18.75">
      <c r="A639" s="1259"/>
      <c r="B639" s="1242"/>
      <c r="C639" s="1243"/>
      <c r="D639" s="1266" t="s">
        <v>21</v>
      </c>
      <c r="E639" s="1243"/>
      <c r="F639" s="1243"/>
      <c r="G639" s="963"/>
      <c r="H639" s="168" t="s">
        <v>12</v>
      </c>
      <c r="I639" s="944"/>
      <c r="J639" s="944"/>
      <c r="K639" s="945"/>
      <c r="L639" s="831">
        <f t="shared" ref="L639:N639" ca="1" si="268">L640+L641</f>
        <v>0</v>
      </c>
      <c r="M639" s="831">
        <f t="shared" si="268"/>
        <v>0</v>
      </c>
      <c r="N639" s="831">
        <f t="shared" si="268"/>
        <v>0</v>
      </c>
      <c r="O639" s="831">
        <f t="shared" ref="O639:O641" ca="1" si="269">IF(L639&gt;0,N639*100/L639,0)</f>
        <v>0</v>
      </c>
      <c r="P639" s="831">
        <f t="shared" ref="P639:P641" si="270">IF(M639&gt;0,N639*100/M639,0)</f>
        <v>0</v>
      </c>
      <c r="Q639" s="1244"/>
      <c r="R639" s="1244"/>
      <c r="S639" s="1244"/>
      <c r="T639" s="1244"/>
      <c r="U639" s="1244"/>
      <c r="V639" s="1244"/>
      <c r="W639" s="1244"/>
      <c r="X639" s="1244"/>
      <c r="Y639" s="1244"/>
      <c r="Z639" s="1244"/>
    </row>
    <row r="640" spans="1:26" ht="18.75" hidden="1">
      <c r="A640" s="1260"/>
      <c r="B640" s="1265"/>
      <c r="C640" s="1261"/>
      <c r="D640" s="1261"/>
      <c r="E640" s="1261" t="s">
        <v>18</v>
      </c>
      <c r="F640" s="1261"/>
      <c r="G640" s="1263"/>
      <c r="H640" s="165" t="s">
        <v>12</v>
      </c>
      <c r="I640" s="947"/>
      <c r="J640" s="947"/>
      <c r="K640" s="948"/>
      <c r="L640" s="837">
        <v>0</v>
      </c>
      <c r="M640" s="837">
        <v>0</v>
      </c>
      <c r="N640" s="837">
        <v>0</v>
      </c>
      <c r="O640" s="837">
        <f t="shared" si="269"/>
        <v>0</v>
      </c>
      <c r="P640" s="837">
        <f t="shared" si="270"/>
        <v>0</v>
      </c>
      <c r="Q640" s="1264"/>
      <c r="R640" s="1264"/>
      <c r="S640" s="1264"/>
      <c r="T640" s="1264"/>
      <c r="U640" s="1264"/>
      <c r="V640" s="1264"/>
      <c r="W640" s="1264"/>
      <c r="X640" s="1264"/>
      <c r="Y640" s="1264"/>
      <c r="Z640" s="1264"/>
    </row>
    <row r="641" spans="1:26" ht="18.75" hidden="1">
      <c r="A641" s="1260"/>
      <c r="B641" s="1265"/>
      <c r="C641" s="1261"/>
      <c r="D641" s="1261"/>
      <c r="E641" s="1261" t="s">
        <v>19</v>
      </c>
      <c r="F641" s="1261"/>
      <c r="G641" s="1263"/>
      <c r="H641" s="169" t="s">
        <v>12</v>
      </c>
      <c r="I641" s="947"/>
      <c r="J641" s="947"/>
      <c r="K641" s="948"/>
      <c r="L641" s="837">
        <f ca="1">IFERROR(__xludf.DUMMYFUNCTION("IMPORTRANGE(""https://docs.google.com/spreadsheets/d/1QqKyyYR6Q21VydFLVH3TRQUabQu_ym0Zz7PgGX0-kHA/edit?usp=sharing"",""แผน!HQ24"")"),0)</f>
        <v>0</v>
      </c>
      <c r="M641" s="837">
        <v>0</v>
      </c>
      <c r="N641" s="837">
        <v>0</v>
      </c>
      <c r="O641" s="837">
        <f t="shared" ca="1" si="269"/>
        <v>0</v>
      </c>
      <c r="P641" s="837">
        <f t="shared" si="270"/>
        <v>0</v>
      </c>
      <c r="Q641" s="1264"/>
      <c r="R641" s="1264"/>
      <c r="S641" s="1264"/>
      <c r="T641" s="1264"/>
      <c r="U641" s="1264"/>
      <c r="V641" s="1264"/>
      <c r="W641" s="1264"/>
      <c r="X641" s="1264"/>
      <c r="Y641" s="1264"/>
      <c r="Z641" s="1264"/>
    </row>
    <row r="642" spans="1:26" ht="19.5">
      <c r="A642" s="1267"/>
      <c r="B642" s="1268"/>
      <c r="C642" s="1243" t="s">
        <v>16</v>
      </c>
      <c r="D642" s="1320" t="s">
        <v>38</v>
      </c>
      <c r="E642" s="1271"/>
      <c r="F642" s="1271"/>
      <c r="G642" s="1272"/>
      <c r="H642" s="954"/>
      <c r="I642" s="944"/>
      <c r="J642" s="944"/>
      <c r="K642" s="945"/>
      <c r="L642" s="945"/>
      <c r="M642" s="945"/>
      <c r="N642" s="945"/>
      <c r="O642" s="945"/>
      <c r="P642" s="945"/>
      <c r="Q642" s="1244"/>
      <c r="R642" s="1244"/>
      <c r="S642" s="1244"/>
      <c r="T642" s="1244"/>
      <c r="U642" s="1244"/>
      <c r="V642" s="1244"/>
      <c r="W642" s="1244"/>
      <c r="X642" s="1244"/>
      <c r="Y642" s="1244"/>
      <c r="Z642" s="1244"/>
    </row>
    <row r="643" spans="1:26" ht="18.75">
      <c r="A643" s="1368"/>
      <c r="B643" s="1242"/>
      <c r="C643" s="1243"/>
      <c r="D643" s="961"/>
      <c r="E643" s="1017" t="s">
        <v>271</v>
      </c>
      <c r="F643" s="961"/>
      <c r="G643" s="954"/>
      <c r="H643" s="730" t="s">
        <v>272</v>
      </c>
      <c r="I643" s="830">
        <f ca="1">IFERROR(__xludf.DUMMYFUNCTION("IMPORTRANGE(""https://docs.google.com/spreadsheets/d/1QqKyyYR6Q21VydFLVH3TRQUabQu_ym0Zz7PgGX0-kHA/edit?usp=sharing"",""แผน!HR24"")"),0)</f>
        <v>0</v>
      </c>
      <c r="J643" s="959">
        <v>0</v>
      </c>
      <c r="K643" s="945">
        <f t="shared" ref="K643:K652" ca="1" si="271">IF(I643&gt;0,J643*100/I643,0)</f>
        <v>0</v>
      </c>
      <c r="L643" s="945"/>
      <c r="M643" s="945"/>
      <c r="N643" s="831"/>
      <c r="O643" s="945"/>
      <c r="P643" s="945"/>
      <c r="Q643" s="1244"/>
      <c r="R643" s="1244"/>
      <c r="S643" s="1244"/>
      <c r="T643" s="1244"/>
      <c r="U643" s="1244"/>
      <c r="V643" s="1244"/>
      <c r="W643" s="1244"/>
      <c r="X643" s="1244"/>
      <c r="Y643" s="1244"/>
      <c r="Z643" s="1244"/>
    </row>
    <row r="644" spans="1:26" ht="18.75">
      <c r="A644" s="1368"/>
      <c r="B644" s="1242"/>
      <c r="C644" s="1243"/>
      <c r="D644" s="961"/>
      <c r="E644" s="1017" t="s">
        <v>273</v>
      </c>
      <c r="F644" s="961"/>
      <c r="G644" s="954"/>
      <c r="H644" s="730" t="s">
        <v>274</v>
      </c>
      <c r="I644" s="830">
        <f ca="1">IFERROR(__xludf.DUMMYFUNCTION("IMPORTRANGE(""https://docs.google.com/spreadsheets/d/1QqKyyYR6Q21VydFLVH3TRQUabQu_ym0Zz7PgGX0-kHA/edit?usp=sharing"",""แผน!HR24"")"),0)</f>
        <v>0</v>
      </c>
      <c r="J644" s="959">
        <v>0</v>
      </c>
      <c r="K644" s="945">
        <f t="shared" ca="1" si="271"/>
        <v>0</v>
      </c>
      <c r="L644" s="945"/>
      <c r="M644" s="945"/>
      <c r="N644" s="831"/>
      <c r="O644" s="945"/>
      <c r="P644" s="945"/>
      <c r="Q644" s="1244"/>
      <c r="R644" s="1244"/>
      <c r="S644" s="1244"/>
      <c r="T644" s="1244"/>
      <c r="U644" s="1244"/>
      <c r="V644" s="1244"/>
      <c r="W644" s="1244"/>
      <c r="X644" s="1244"/>
      <c r="Y644" s="1244"/>
      <c r="Z644" s="1244"/>
    </row>
    <row r="645" spans="1:26" ht="18.75">
      <c r="A645" s="1368"/>
      <c r="B645" s="1242"/>
      <c r="C645" s="1243"/>
      <c r="D645" s="961"/>
      <c r="E645" s="1017" t="s">
        <v>275</v>
      </c>
      <c r="F645" s="961"/>
      <c r="G645" s="954"/>
      <c r="H645" s="730" t="s">
        <v>34</v>
      </c>
      <c r="I645" s="830">
        <v>0</v>
      </c>
      <c r="J645" s="830">
        <f ca="1">IFERROR(__xludf.DUMMYFUNCTION("IMPORTRANGE(""https://docs.google.com/spreadsheets/d/1XWAQStnk-4SwqDmLtmXYiTMKHgktTP8We1SCoS47DrQ/edit?usp=sharing"",""จัดที่ดิน!AS24"")"),0)</f>
        <v>0</v>
      </c>
      <c r="K645" s="945">
        <f t="shared" si="271"/>
        <v>0</v>
      </c>
      <c r="L645" s="945"/>
      <c r="M645" s="945"/>
      <c r="N645" s="831"/>
      <c r="O645" s="945"/>
      <c r="P645" s="945"/>
      <c r="Q645" s="1244"/>
      <c r="R645" s="1244"/>
      <c r="S645" s="1244"/>
      <c r="T645" s="1244"/>
      <c r="U645" s="1244"/>
      <c r="V645" s="1244"/>
      <c r="W645" s="1244"/>
      <c r="X645" s="1244"/>
      <c r="Y645" s="1244"/>
      <c r="Z645" s="1244"/>
    </row>
    <row r="646" spans="1:26" ht="18.75">
      <c r="A646" s="1368"/>
      <c r="B646" s="1242"/>
      <c r="C646" s="1243"/>
      <c r="D646" s="961"/>
      <c r="E646" s="961"/>
      <c r="F646" s="961"/>
      <c r="G646" s="954"/>
      <c r="H646" s="730" t="s">
        <v>46</v>
      </c>
      <c r="I646" s="830">
        <v>0</v>
      </c>
      <c r="J646" s="830">
        <f ca="1">IFERROR(__xludf.DUMMYFUNCTION("IMPORTRANGE(""https://docs.google.com/spreadsheets/d/1XWAQStnk-4SwqDmLtmXYiTMKHgktTP8We1SCoS47DrQ/edit?usp=sharing"",""จัดที่ดิน!AT24"")"),0)</f>
        <v>0</v>
      </c>
      <c r="K646" s="831">
        <f t="shared" si="271"/>
        <v>0</v>
      </c>
      <c r="L646" s="945"/>
      <c r="M646" s="945"/>
      <c r="N646" s="831"/>
      <c r="O646" s="945"/>
      <c r="P646" s="945"/>
      <c r="Q646" s="1244"/>
      <c r="R646" s="1244"/>
      <c r="S646" s="1244"/>
      <c r="T646" s="1244"/>
      <c r="U646" s="1244"/>
      <c r="V646" s="1244"/>
      <c r="W646" s="1244"/>
      <c r="X646" s="1244"/>
      <c r="Y646" s="1244"/>
      <c r="Z646" s="1244"/>
    </row>
    <row r="647" spans="1:26" ht="18.75">
      <c r="A647" s="1368"/>
      <c r="B647" s="1242"/>
      <c r="C647" s="1243"/>
      <c r="D647" s="961"/>
      <c r="E647" s="1017" t="s">
        <v>162</v>
      </c>
      <c r="F647" s="961"/>
      <c r="G647" s="954"/>
      <c r="H647" s="730" t="s">
        <v>35</v>
      </c>
      <c r="I647" s="830">
        <f ca="1">IFERROR(__xludf.DUMMYFUNCTION("IMPORTRANGE(""https://docs.google.com/spreadsheets/d/1QqKyyYR6Q21VydFLVH3TRQUabQu_ym0Zz7PgGX0-kHA/edit?usp=sharing"",""แผน!HS24"")"),25)</f>
        <v>25</v>
      </c>
      <c r="J647" s="830">
        <f ca="1">IFERROR(__xludf.DUMMYFUNCTION("IMPORTRANGE(""https://docs.google.com/spreadsheets/d/1XWAQStnk-4SwqDmLtmXYiTMKHgktTP8We1SCoS47DrQ/edit?usp=sharing"",""จัดที่ดิน!AU24"")"),0)</f>
        <v>0</v>
      </c>
      <c r="K647" s="945">
        <f t="shared" ca="1" si="271"/>
        <v>0</v>
      </c>
      <c r="L647" s="945"/>
      <c r="M647" s="945"/>
      <c r="N647" s="945"/>
      <c r="O647" s="945"/>
      <c r="P647" s="945"/>
      <c r="Q647" s="1244"/>
      <c r="R647" s="1244"/>
      <c r="S647" s="1244"/>
      <c r="T647" s="1244"/>
      <c r="U647" s="1244"/>
      <c r="V647" s="1244"/>
      <c r="W647" s="1244"/>
      <c r="X647" s="1244"/>
      <c r="Y647" s="1244"/>
      <c r="Z647" s="1244"/>
    </row>
    <row r="648" spans="1:26" ht="18.75">
      <c r="A648" s="1368"/>
      <c r="B648" s="1242"/>
      <c r="C648" s="1243"/>
      <c r="D648" s="961"/>
      <c r="E648" s="961"/>
      <c r="F648" s="961"/>
      <c r="G648" s="954"/>
      <c r="H648" s="730" t="s">
        <v>46</v>
      </c>
      <c r="I648" s="830">
        <v>0</v>
      </c>
      <c r="J648" s="830">
        <f ca="1">IFERROR(__xludf.DUMMYFUNCTION("IMPORTRANGE(""https://docs.google.com/spreadsheets/d/1XWAQStnk-4SwqDmLtmXYiTMKHgktTP8We1SCoS47DrQ/edit?usp=sharing"",""จัดที่ดิน!AV24"")"),0)</f>
        <v>0</v>
      </c>
      <c r="K648" s="831">
        <f t="shared" si="271"/>
        <v>0</v>
      </c>
      <c r="L648" s="945"/>
      <c r="M648" s="945"/>
      <c r="N648" s="945"/>
      <c r="O648" s="945"/>
      <c r="P648" s="945"/>
      <c r="Q648" s="1244"/>
      <c r="R648" s="1244"/>
      <c r="S648" s="1244"/>
      <c r="T648" s="1244"/>
      <c r="U648" s="1244"/>
      <c r="V648" s="1244"/>
      <c r="W648" s="1244"/>
      <c r="X648" s="1244"/>
      <c r="Y648" s="1244"/>
      <c r="Z648" s="1244"/>
    </row>
    <row r="649" spans="1:26" ht="18.75">
      <c r="A649" s="1368"/>
      <c r="B649" s="1242"/>
      <c r="C649" s="1243"/>
      <c r="D649" s="961"/>
      <c r="E649" s="1017" t="s">
        <v>276</v>
      </c>
      <c r="F649" s="961"/>
      <c r="G649" s="954"/>
      <c r="H649" s="730" t="s">
        <v>35</v>
      </c>
      <c r="I649" s="830">
        <f ca="1">IFERROR(__xludf.DUMMYFUNCTION("IMPORTRANGE(""https://docs.google.com/spreadsheets/d/1QqKyyYR6Q21VydFLVH3TRQUabQu_ym0Zz7PgGX0-kHA/edit?usp=sharing"",""แผน!HS24"")"),25)</f>
        <v>25</v>
      </c>
      <c r="J649" s="830">
        <f ca="1">IFERROR(__xludf.DUMMYFUNCTION("IMPORTRANGE(""https://docs.google.com/spreadsheets/d/1XWAQStnk-4SwqDmLtmXYiTMKHgktTP8We1SCoS47DrQ/edit?usp=sharing"",""จัดที่ดิน!AW24"")"),0)</f>
        <v>0</v>
      </c>
      <c r="K649" s="945">
        <f t="shared" ca="1" si="271"/>
        <v>0</v>
      </c>
      <c r="L649" s="945"/>
      <c r="M649" s="945"/>
      <c r="N649" s="945"/>
      <c r="O649" s="945"/>
      <c r="P649" s="945"/>
      <c r="Q649" s="1244"/>
      <c r="R649" s="1244"/>
      <c r="S649" s="1244"/>
      <c r="T649" s="1244"/>
      <c r="U649" s="1244"/>
      <c r="V649" s="1244"/>
      <c r="W649" s="1244"/>
      <c r="X649" s="1244"/>
      <c r="Y649" s="1244"/>
      <c r="Z649" s="1244"/>
    </row>
    <row r="650" spans="1:26" ht="18.75">
      <c r="A650" s="1368"/>
      <c r="B650" s="1242"/>
      <c r="C650" s="1243"/>
      <c r="D650" s="961"/>
      <c r="E650" s="961"/>
      <c r="F650" s="961"/>
      <c r="G650" s="954"/>
      <c r="H650" s="730" t="s">
        <v>46</v>
      </c>
      <c r="I650" s="830">
        <v>0</v>
      </c>
      <c r="J650" s="830">
        <f ca="1">IFERROR(__xludf.DUMMYFUNCTION("IMPORTRANGE(""https://docs.google.com/spreadsheets/d/1XWAQStnk-4SwqDmLtmXYiTMKHgktTP8We1SCoS47DrQ/edit?usp=sharing"",""จัดที่ดิน!AX24"")"),0)</f>
        <v>0</v>
      </c>
      <c r="K650" s="831">
        <f t="shared" si="271"/>
        <v>0</v>
      </c>
      <c r="L650" s="945"/>
      <c r="M650" s="945"/>
      <c r="N650" s="945"/>
      <c r="O650" s="945"/>
      <c r="P650" s="945"/>
      <c r="Q650" s="1244"/>
      <c r="R650" s="1244"/>
      <c r="S650" s="1244"/>
      <c r="T650" s="1244"/>
      <c r="U650" s="1244"/>
      <c r="V650" s="1244"/>
      <c r="W650" s="1244"/>
      <c r="X650" s="1244"/>
      <c r="Y650" s="1244"/>
      <c r="Z650" s="1244"/>
    </row>
    <row r="651" spans="1:26" ht="18.75">
      <c r="A651" s="1368"/>
      <c r="B651" s="1242"/>
      <c r="C651" s="1243"/>
      <c r="D651" s="961"/>
      <c r="E651" s="1017" t="s">
        <v>277</v>
      </c>
      <c r="F651" s="961"/>
      <c r="G651" s="954"/>
      <c r="H651" s="730" t="s">
        <v>35</v>
      </c>
      <c r="I651" s="830">
        <f ca="1">IFERROR(__xludf.DUMMYFUNCTION("IMPORTRANGE(""https://docs.google.com/spreadsheets/d/1QqKyyYR6Q21VydFLVH3TRQUabQu_ym0Zz7PgGX0-kHA/edit?usp=sharing"",""แผน!HS24"")"),25)</f>
        <v>25</v>
      </c>
      <c r="J651" s="830">
        <f ca="1">IFERROR(__xludf.DUMMYFUNCTION("IMPORTRANGE(""https://docs.google.com/spreadsheets/d/1XWAQStnk-4SwqDmLtmXYiTMKHgktTP8We1SCoS47DrQ/edit?usp=sharing"",""จัดที่ดิน!AY24"")"),0)</f>
        <v>0</v>
      </c>
      <c r="K651" s="945">
        <f t="shared" ca="1" si="271"/>
        <v>0</v>
      </c>
      <c r="L651" s="945"/>
      <c r="M651" s="945"/>
      <c r="N651" s="945"/>
      <c r="O651" s="945"/>
      <c r="P651" s="945"/>
      <c r="Q651" s="1244"/>
      <c r="R651" s="1244"/>
      <c r="S651" s="1244"/>
      <c r="T651" s="1244"/>
      <c r="U651" s="1244"/>
      <c r="V651" s="1244"/>
      <c r="W651" s="1244"/>
      <c r="X651" s="1244"/>
      <c r="Y651" s="1244"/>
      <c r="Z651" s="1244"/>
    </row>
    <row r="652" spans="1:26" ht="18.75">
      <c r="A652" s="1369"/>
      <c r="B652" s="1370"/>
      <c r="C652" s="1371"/>
      <c r="D652" s="1116"/>
      <c r="E652" s="1116"/>
      <c r="F652" s="1116"/>
      <c r="G652" s="1361"/>
      <c r="H652" s="468" t="s">
        <v>46</v>
      </c>
      <c r="I652" s="1085">
        <v>0</v>
      </c>
      <c r="J652" s="1085">
        <f ca="1">IFERROR(__xludf.DUMMYFUNCTION("IMPORTRANGE(""https://docs.google.com/spreadsheets/d/1XWAQStnk-4SwqDmLtmXYiTMKHgktTP8We1SCoS47DrQ/edit?usp=sharing"",""จัดที่ดิน!AZ24"")"),0)</f>
        <v>0</v>
      </c>
      <c r="K652" s="1182">
        <f t="shared" si="271"/>
        <v>0</v>
      </c>
      <c r="L652" s="1086"/>
      <c r="M652" s="1086"/>
      <c r="N652" s="1086"/>
      <c r="O652" s="1086"/>
      <c r="P652" s="1086"/>
      <c r="Q652" s="1244"/>
      <c r="R652" s="1244"/>
      <c r="S652" s="1244"/>
      <c r="T652" s="1244"/>
      <c r="U652" s="1244"/>
      <c r="V652" s="1244"/>
      <c r="W652" s="1244"/>
      <c r="X652" s="1244"/>
      <c r="Y652" s="1244"/>
      <c r="Z652" s="1244"/>
    </row>
    <row r="653" spans="1:26" ht="19.5" hidden="1">
      <c r="A653" s="716">
        <v>8</v>
      </c>
      <c r="B653" s="1362" t="s">
        <v>278</v>
      </c>
      <c r="C653" s="1363"/>
      <c r="D653" s="1363"/>
      <c r="E653" s="1363"/>
      <c r="F653" s="1363"/>
      <c r="G653" s="1364"/>
      <c r="H653" s="1364"/>
      <c r="I653" s="1372"/>
      <c r="J653" s="1372"/>
      <c r="K653" s="1367"/>
      <c r="L653" s="1367"/>
      <c r="M653" s="1367"/>
      <c r="N653" s="1367"/>
      <c r="O653" s="1367"/>
      <c r="P653" s="1367"/>
      <c r="Q653" s="1244"/>
      <c r="R653" s="1244"/>
      <c r="S653" s="1244"/>
      <c r="T653" s="1244"/>
      <c r="U653" s="1244"/>
      <c r="V653" s="1244"/>
      <c r="W653" s="1244"/>
      <c r="X653" s="1244"/>
      <c r="Y653" s="1244"/>
      <c r="Z653" s="1244"/>
    </row>
    <row r="654" spans="1:26" ht="19.5" hidden="1">
      <c r="A654" s="1315"/>
      <c r="B654" s="1314" t="s">
        <v>279</v>
      </c>
      <c r="C654" s="1315"/>
      <c r="D654" s="1315"/>
      <c r="E654" s="1315"/>
      <c r="F654" s="1315"/>
      <c r="G654" s="1316"/>
      <c r="H654" s="673" t="s">
        <v>46</v>
      </c>
      <c r="I654" s="1317">
        <f t="shared" ref="I654:J654" ca="1" si="272">I669</f>
        <v>0</v>
      </c>
      <c r="J654" s="1317">
        <f t="shared" si="272"/>
        <v>0</v>
      </c>
      <c r="K654" s="1318">
        <f ca="1">IF(I654&gt;0,J654*100/I654,0)</f>
        <v>0</v>
      </c>
      <c r="L654" s="1319"/>
      <c r="M654" s="1319"/>
      <c r="N654" s="1319"/>
      <c r="O654" s="1319"/>
      <c r="P654" s="1319"/>
      <c r="Q654" s="1244"/>
      <c r="R654" s="1244"/>
      <c r="S654" s="1244"/>
      <c r="T654" s="1244"/>
      <c r="U654" s="1244"/>
      <c r="V654" s="1244"/>
      <c r="W654" s="1244"/>
      <c r="X654" s="1244"/>
      <c r="Y654" s="1244"/>
      <c r="Z654" s="1244"/>
    </row>
    <row r="655" spans="1:26" ht="19.5" hidden="1">
      <c r="A655" s="1259"/>
      <c r="B655" s="1243"/>
      <c r="C655" s="1243" t="s">
        <v>16</v>
      </c>
      <c r="D655" s="1507" t="s">
        <v>17</v>
      </c>
      <c r="E655" s="1485"/>
      <c r="F655" s="1485"/>
      <c r="G655" s="963"/>
      <c r="H655" s="563" t="s">
        <v>12</v>
      </c>
      <c r="I655" s="830"/>
      <c r="J655" s="830"/>
      <c r="K655" s="831"/>
      <c r="L655" s="967">
        <f t="shared" ref="L655:N655" ca="1" si="273">L656+L657</f>
        <v>0</v>
      </c>
      <c r="M655" s="967">
        <f t="shared" si="273"/>
        <v>0</v>
      </c>
      <c r="N655" s="967">
        <f t="shared" si="273"/>
        <v>0</v>
      </c>
      <c r="O655" s="967">
        <f t="shared" ref="O655:O660" ca="1" si="274">IF(L655&gt;0,N655*100/L655,0)</f>
        <v>0</v>
      </c>
      <c r="P655" s="967">
        <f t="shared" ref="P655:P660" si="275">IF(M655&gt;0,N655*100/M655,0)</f>
        <v>0</v>
      </c>
      <c r="Q655" s="1244"/>
      <c r="R655" s="1244"/>
      <c r="S655" s="1244"/>
      <c r="T655" s="1244"/>
      <c r="U655" s="1244"/>
      <c r="V655" s="1244"/>
      <c r="W655" s="1244"/>
      <c r="X655" s="1244"/>
      <c r="Y655" s="1244"/>
      <c r="Z655" s="1244"/>
    </row>
    <row r="656" spans="1:26" ht="18.75" hidden="1">
      <c r="A656" s="1260"/>
      <c r="B656" s="1261"/>
      <c r="C656" s="1261"/>
      <c r="D656" s="1262"/>
      <c r="E656" s="1261" t="s">
        <v>184</v>
      </c>
      <c r="F656" s="1261"/>
      <c r="G656" s="1263"/>
      <c r="H656" s="165" t="s">
        <v>12</v>
      </c>
      <c r="I656" s="836"/>
      <c r="J656" s="836"/>
      <c r="K656" s="837"/>
      <c r="L656" s="837">
        <f t="shared" ref="L656:N657" si="276">L659+L666</f>
        <v>0</v>
      </c>
      <c r="M656" s="837">
        <f t="shared" si="276"/>
        <v>0</v>
      </c>
      <c r="N656" s="837">
        <f t="shared" si="276"/>
        <v>0</v>
      </c>
      <c r="O656" s="837">
        <f t="shared" si="274"/>
        <v>0</v>
      </c>
      <c r="P656" s="837">
        <f t="shared" si="275"/>
        <v>0</v>
      </c>
      <c r="Q656" s="1264"/>
      <c r="R656" s="1264"/>
      <c r="S656" s="1264"/>
      <c r="T656" s="1264"/>
      <c r="U656" s="1264"/>
      <c r="V656" s="1264"/>
      <c r="W656" s="1264"/>
      <c r="X656" s="1264"/>
      <c r="Y656" s="1264"/>
      <c r="Z656" s="1264"/>
    </row>
    <row r="657" spans="1:26" ht="18.75" hidden="1">
      <c r="A657" s="1260"/>
      <c r="B657" s="1265"/>
      <c r="C657" s="1261"/>
      <c r="D657" s="1262"/>
      <c r="E657" s="1261" t="s">
        <v>185</v>
      </c>
      <c r="F657" s="1261"/>
      <c r="G657" s="1263"/>
      <c r="H657" s="165" t="s">
        <v>12</v>
      </c>
      <c r="I657" s="836"/>
      <c r="J657" s="836"/>
      <c r="K657" s="837"/>
      <c r="L657" s="837">
        <f t="shared" ca="1" si="276"/>
        <v>0</v>
      </c>
      <c r="M657" s="837">
        <f t="shared" si="276"/>
        <v>0</v>
      </c>
      <c r="N657" s="837">
        <f t="shared" si="276"/>
        <v>0</v>
      </c>
      <c r="O657" s="837">
        <f t="shared" ca="1" si="274"/>
        <v>0</v>
      </c>
      <c r="P657" s="837">
        <f t="shared" si="275"/>
        <v>0</v>
      </c>
      <c r="Q657" s="1264"/>
      <c r="R657" s="1264"/>
      <c r="S657" s="1264"/>
      <c r="T657" s="1264"/>
      <c r="U657" s="1264"/>
      <c r="V657" s="1264"/>
      <c r="W657" s="1264"/>
      <c r="X657" s="1264"/>
      <c r="Y657" s="1264"/>
      <c r="Z657" s="1264"/>
    </row>
    <row r="658" spans="1:26" ht="18.75" hidden="1">
      <c r="A658" s="1259"/>
      <c r="B658" s="1242"/>
      <c r="C658" s="1243"/>
      <c r="D658" s="1266" t="s">
        <v>20</v>
      </c>
      <c r="E658" s="1243"/>
      <c r="F658" s="1243"/>
      <c r="G658" s="963"/>
      <c r="H658" s="778" t="s">
        <v>12</v>
      </c>
      <c r="I658" s="944"/>
      <c r="J658" s="944"/>
      <c r="K658" s="945"/>
      <c r="L658" s="831">
        <f t="shared" ref="L658:N658" ca="1" si="277">L659+L660</f>
        <v>0</v>
      </c>
      <c r="M658" s="831">
        <f t="shared" si="277"/>
        <v>0</v>
      </c>
      <c r="N658" s="831">
        <f t="shared" si="277"/>
        <v>0</v>
      </c>
      <c r="O658" s="831">
        <f t="shared" ca="1" si="274"/>
        <v>0</v>
      </c>
      <c r="P658" s="831">
        <f t="shared" si="275"/>
        <v>0</v>
      </c>
      <c r="Q658" s="1244"/>
      <c r="R658" s="1244"/>
      <c r="S658" s="1244"/>
      <c r="T658" s="1244"/>
      <c r="U658" s="1244"/>
      <c r="V658" s="1244"/>
      <c r="W658" s="1244"/>
      <c r="X658" s="1244"/>
      <c r="Y658" s="1244"/>
      <c r="Z658" s="1244"/>
    </row>
    <row r="659" spans="1:26" ht="18.75" hidden="1">
      <c r="A659" s="1260"/>
      <c r="B659" s="1265"/>
      <c r="C659" s="1261"/>
      <c r="D659" s="1262"/>
      <c r="E659" s="1261" t="s">
        <v>184</v>
      </c>
      <c r="F659" s="1261"/>
      <c r="G659" s="1263"/>
      <c r="H659" s="165" t="s">
        <v>12</v>
      </c>
      <c r="I659" s="836"/>
      <c r="J659" s="836"/>
      <c r="K659" s="837"/>
      <c r="L659" s="837">
        <v>0</v>
      </c>
      <c r="M659" s="837">
        <v>0</v>
      </c>
      <c r="N659" s="837">
        <v>0</v>
      </c>
      <c r="O659" s="837">
        <f t="shared" si="274"/>
        <v>0</v>
      </c>
      <c r="P659" s="837">
        <f t="shared" si="275"/>
        <v>0</v>
      </c>
      <c r="Q659" s="1264"/>
      <c r="R659" s="1264"/>
      <c r="S659" s="1264"/>
      <c r="T659" s="1264"/>
      <c r="U659" s="1264"/>
      <c r="V659" s="1264"/>
      <c r="W659" s="1264"/>
      <c r="X659" s="1264"/>
      <c r="Y659" s="1264"/>
      <c r="Z659" s="1264"/>
    </row>
    <row r="660" spans="1:26" ht="18.75" hidden="1">
      <c r="A660" s="1260"/>
      <c r="B660" s="1265"/>
      <c r="C660" s="1261"/>
      <c r="D660" s="1262"/>
      <c r="E660" s="1261" t="s">
        <v>185</v>
      </c>
      <c r="F660" s="1261"/>
      <c r="G660" s="1263"/>
      <c r="H660" s="165" t="s">
        <v>12</v>
      </c>
      <c r="I660" s="836"/>
      <c r="J660" s="836"/>
      <c r="K660" s="837"/>
      <c r="L660" s="837">
        <f ca="1">IFERROR(__xludf.DUMMYFUNCTION("IMPORTRANGE(""https://docs.google.com/spreadsheets/d/1QqKyyYR6Q21VydFLVH3TRQUabQu_ym0Zz7PgGX0-kHA/edit?usp=sharing"",""แผน!HV24"")"),0)</f>
        <v>0</v>
      </c>
      <c r="M660" s="837">
        <v>0</v>
      </c>
      <c r="N660" s="837">
        <f>N661+N662+N663+N664</f>
        <v>0</v>
      </c>
      <c r="O660" s="837">
        <f t="shared" ca="1" si="274"/>
        <v>0</v>
      </c>
      <c r="P660" s="837">
        <f t="shared" si="275"/>
        <v>0</v>
      </c>
      <c r="Q660" s="1264"/>
      <c r="R660" s="1264"/>
      <c r="S660" s="1264"/>
      <c r="T660" s="1264"/>
      <c r="U660" s="1264"/>
      <c r="V660" s="1264"/>
      <c r="W660" s="1264"/>
      <c r="X660" s="1264"/>
      <c r="Y660" s="1264"/>
      <c r="Z660" s="1264"/>
    </row>
    <row r="661" spans="1:26" ht="18.75" hidden="1">
      <c r="A661" s="1241"/>
      <c r="B661" s="1242"/>
      <c r="C661" s="1243"/>
      <c r="D661" s="1243"/>
      <c r="E661" s="1243"/>
      <c r="F661" s="1243" t="s">
        <v>186</v>
      </c>
      <c r="G661" s="963"/>
      <c r="H661" s="778" t="s">
        <v>12</v>
      </c>
      <c r="I661" s="830"/>
      <c r="J661" s="830"/>
      <c r="K661" s="831"/>
      <c r="L661" s="831"/>
      <c r="M661" s="831"/>
      <c r="N661" s="1031">
        <v>0</v>
      </c>
      <c r="O661" s="831"/>
      <c r="P661" s="831"/>
      <c r="Q661" s="1244"/>
      <c r="R661" s="1244"/>
      <c r="S661" s="1244"/>
      <c r="T661" s="1244"/>
      <c r="U661" s="1244"/>
      <c r="V661" s="1244"/>
      <c r="W661" s="1244"/>
      <c r="X661" s="1244"/>
      <c r="Y661" s="1244"/>
      <c r="Z661" s="1244"/>
    </row>
    <row r="662" spans="1:26" ht="18.75" hidden="1">
      <c r="A662" s="1241"/>
      <c r="B662" s="1242"/>
      <c r="C662" s="1243"/>
      <c r="D662" s="1243"/>
      <c r="E662" s="1243"/>
      <c r="F662" s="1243" t="s">
        <v>187</v>
      </c>
      <c r="G662" s="963"/>
      <c r="H662" s="778" t="s">
        <v>12</v>
      </c>
      <c r="I662" s="830"/>
      <c r="J662" s="830"/>
      <c r="K662" s="831"/>
      <c r="L662" s="831"/>
      <c r="M662" s="831"/>
      <c r="N662" s="1031">
        <v>0</v>
      </c>
      <c r="O662" s="831"/>
      <c r="P662" s="831"/>
      <c r="Q662" s="1244"/>
      <c r="R662" s="1244"/>
      <c r="S662" s="1244"/>
      <c r="T662" s="1244"/>
      <c r="U662" s="1244"/>
      <c r="V662" s="1244"/>
      <c r="W662" s="1244"/>
      <c r="X662" s="1244"/>
      <c r="Y662" s="1244"/>
      <c r="Z662" s="1244"/>
    </row>
    <row r="663" spans="1:26" ht="18.75" hidden="1">
      <c r="A663" s="1241"/>
      <c r="B663" s="1242"/>
      <c r="C663" s="1242"/>
      <c r="D663" s="1243"/>
      <c r="E663" s="1243"/>
      <c r="F663" s="1243" t="s">
        <v>188</v>
      </c>
      <c r="G663" s="963"/>
      <c r="H663" s="778" t="s">
        <v>12</v>
      </c>
      <c r="I663" s="830"/>
      <c r="J663" s="830"/>
      <c r="K663" s="831"/>
      <c r="L663" s="831"/>
      <c r="M663" s="831"/>
      <c r="N663" s="1031">
        <v>0</v>
      </c>
      <c r="O663" s="831"/>
      <c r="P663" s="831"/>
      <c r="Q663" s="1244"/>
      <c r="R663" s="1244"/>
      <c r="S663" s="1244"/>
      <c r="T663" s="1244"/>
      <c r="U663" s="1244"/>
      <c r="V663" s="1244"/>
      <c r="W663" s="1244"/>
      <c r="X663" s="1244"/>
      <c r="Y663" s="1244"/>
      <c r="Z663" s="1244"/>
    </row>
    <row r="664" spans="1:26" ht="18.75" hidden="1">
      <c r="A664" s="1241"/>
      <c r="B664" s="1242"/>
      <c r="C664" s="1242"/>
      <c r="D664" s="1242"/>
      <c r="E664" s="1243"/>
      <c r="F664" s="1243" t="s">
        <v>189</v>
      </c>
      <c r="G664" s="963"/>
      <c r="H664" s="778" t="s">
        <v>12</v>
      </c>
      <c r="I664" s="830"/>
      <c r="J664" s="830"/>
      <c r="K664" s="831"/>
      <c r="L664" s="831"/>
      <c r="M664" s="831"/>
      <c r="N664" s="1031">
        <v>0</v>
      </c>
      <c r="O664" s="831"/>
      <c r="P664" s="831"/>
      <c r="Q664" s="1244"/>
      <c r="R664" s="1244"/>
      <c r="S664" s="1244"/>
      <c r="T664" s="1244"/>
      <c r="U664" s="1244"/>
      <c r="V664" s="1244"/>
      <c r="W664" s="1244"/>
      <c r="X664" s="1244"/>
      <c r="Y664" s="1244"/>
      <c r="Z664" s="1244"/>
    </row>
    <row r="665" spans="1:26" ht="18.75" hidden="1">
      <c r="A665" s="1259"/>
      <c r="B665" s="1242"/>
      <c r="C665" s="1242"/>
      <c r="D665" s="1266" t="s">
        <v>21</v>
      </c>
      <c r="E665" s="1243"/>
      <c r="F665" s="1243"/>
      <c r="G665" s="963"/>
      <c r="H665" s="168" t="s">
        <v>12</v>
      </c>
      <c r="I665" s="944"/>
      <c r="J665" s="944"/>
      <c r="K665" s="945"/>
      <c r="L665" s="831">
        <f t="shared" ref="L665:N665" si="278">L666+L667</f>
        <v>0</v>
      </c>
      <c r="M665" s="831">
        <f t="shared" si="278"/>
        <v>0</v>
      </c>
      <c r="N665" s="831">
        <f t="shared" si="278"/>
        <v>0</v>
      </c>
      <c r="O665" s="831">
        <f t="shared" ref="O665:O667" si="279">IF(L665&gt;0,N665*100/L665,0)</f>
        <v>0</v>
      </c>
      <c r="P665" s="831">
        <f t="shared" ref="P665:P667" si="280">IF(M665&gt;0,N665*100/M665,0)</f>
        <v>0</v>
      </c>
      <c r="Q665" s="1244"/>
      <c r="R665" s="1244"/>
      <c r="S665" s="1244"/>
      <c r="T665" s="1244"/>
      <c r="U665" s="1244"/>
      <c r="V665" s="1244"/>
      <c r="W665" s="1244"/>
      <c r="X665" s="1244"/>
      <c r="Y665" s="1244"/>
      <c r="Z665" s="1244"/>
    </row>
    <row r="666" spans="1:26" ht="18.75" hidden="1">
      <c r="A666" s="1260"/>
      <c r="B666" s="1265"/>
      <c r="C666" s="1265"/>
      <c r="D666" s="1265"/>
      <c r="E666" s="1261" t="s">
        <v>18</v>
      </c>
      <c r="F666" s="1261"/>
      <c r="G666" s="1263"/>
      <c r="H666" s="165" t="s">
        <v>12</v>
      </c>
      <c r="I666" s="947"/>
      <c r="J666" s="947"/>
      <c r="K666" s="948"/>
      <c r="L666" s="837">
        <v>0</v>
      </c>
      <c r="M666" s="837">
        <v>0</v>
      </c>
      <c r="N666" s="837">
        <v>0</v>
      </c>
      <c r="O666" s="837">
        <f t="shared" si="279"/>
        <v>0</v>
      </c>
      <c r="P666" s="837">
        <f t="shared" si="280"/>
        <v>0</v>
      </c>
      <c r="Q666" s="1264"/>
      <c r="R666" s="1264"/>
      <c r="S666" s="1264"/>
      <c r="T666" s="1264"/>
      <c r="U666" s="1264"/>
      <c r="V666" s="1264"/>
      <c r="W666" s="1264"/>
      <c r="X666" s="1264"/>
      <c r="Y666" s="1264"/>
      <c r="Z666" s="1264"/>
    </row>
    <row r="667" spans="1:26" ht="18.75" hidden="1">
      <c r="A667" s="1260"/>
      <c r="B667" s="1265"/>
      <c r="C667" s="1265"/>
      <c r="D667" s="1265"/>
      <c r="E667" s="1261" t="s">
        <v>19</v>
      </c>
      <c r="F667" s="1261"/>
      <c r="G667" s="1263"/>
      <c r="H667" s="169" t="s">
        <v>12</v>
      </c>
      <c r="I667" s="947"/>
      <c r="J667" s="947"/>
      <c r="K667" s="948"/>
      <c r="L667" s="837">
        <v>0</v>
      </c>
      <c r="M667" s="837">
        <v>0</v>
      </c>
      <c r="N667" s="837">
        <v>0</v>
      </c>
      <c r="O667" s="837">
        <f t="shared" si="279"/>
        <v>0</v>
      </c>
      <c r="P667" s="837">
        <f t="shared" si="280"/>
        <v>0</v>
      </c>
      <c r="Q667" s="1264"/>
      <c r="R667" s="1264"/>
      <c r="S667" s="1264"/>
      <c r="T667" s="1264"/>
      <c r="U667" s="1264"/>
      <c r="V667" s="1264"/>
      <c r="W667" s="1264"/>
      <c r="X667" s="1264"/>
      <c r="Y667" s="1264"/>
      <c r="Z667" s="1264"/>
    </row>
    <row r="668" spans="1:26" ht="19.5" hidden="1">
      <c r="A668" s="1267"/>
      <c r="B668" s="1268"/>
      <c r="C668" s="1242" t="s">
        <v>16</v>
      </c>
      <c r="D668" s="1269" t="s">
        <v>38</v>
      </c>
      <c r="E668" s="1271"/>
      <c r="F668" s="1271"/>
      <c r="G668" s="1272"/>
      <c r="H668" s="954"/>
      <c r="I668" s="944"/>
      <c r="J668" s="944"/>
      <c r="K668" s="945"/>
      <c r="L668" s="945"/>
      <c r="M668" s="945"/>
      <c r="N668" s="945"/>
      <c r="O668" s="945"/>
      <c r="P668" s="945"/>
      <c r="Q668" s="1244"/>
      <c r="R668" s="1244"/>
      <c r="S668" s="1244"/>
      <c r="T668" s="1244"/>
      <c r="U668" s="1244"/>
      <c r="V668" s="1244"/>
      <c r="W668" s="1244"/>
      <c r="X668" s="1244"/>
      <c r="Y668" s="1244"/>
      <c r="Z668" s="1244"/>
    </row>
    <row r="669" spans="1:26" ht="19.5" hidden="1">
      <c r="A669" s="1267"/>
      <c r="B669" s="1268"/>
      <c r="C669" s="1268"/>
      <c r="D669" s="1268" t="s">
        <v>280</v>
      </c>
      <c r="E669" s="961"/>
      <c r="F669" s="961"/>
      <c r="G669" s="954"/>
      <c r="H669" s="733" t="s">
        <v>46</v>
      </c>
      <c r="I669" s="966">
        <f ca="1">IFERROR(__xludf.DUMMYFUNCTION("IMPORTRANGE(""https://docs.google.com/spreadsheets/d/1QqKyyYR6Q21VydFLVH3TRQUabQu_ym0Zz7PgGX0-kHA/edit?usp=sharing"",""แผน!IA24"")"),0)</f>
        <v>0</v>
      </c>
      <c r="J669" s="966">
        <f>J675</f>
        <v>0</v>
      </c>
      <c r="K669" s="967">
        <f ca="1">IF(I669&gt;0,J669*100/I669,0)</f>
        <v>0</v>
      </c>
      <c r="L669" s="945"/>
      <c r="M669" s="945"/>
      <c r="N669" s="945"/>
      <c r="O669" s="945"/>
      <c r="P669" s="945"/>
      <c r="Q669" s="1244"/>
      <c r="R669" s="1244"/>
      <c r="S669" s="1244"/>
      <c r="T669" s="1244"/>
      <c r="U669" s="1244"/>
      <c r="V669" s="1244"/>
      <c r="W669" s="1244"/>
      <c r="X669" s="1244"/>
      <c r="Y669" s="1244"/>
      <c r="Z669" s="1244"/>
    </row>
    <row r="670" spans="1:26" ht="18.75" hidden="1">
      <c r="A670" s="1267"/>
      <c r="B670" s="1268"/>
      <c r="C670" s="1268"/>
      <c r="D670" s="1268"/>
      <c r="E670" s="961" t="s">
        <v>281</v>
      </c>
      <c r="F670" s="961"/>
      <c r="G670" s="954"/>
      <c r="H670" s="730" t="s">
        <v>66</v>
      </c>
      <c r="I670" s="830">
        <f ca="1">IFERROR(__xludf.DUMMYFUNCTION("IMPORTRANGE(""https://docs.google.com/spreadsheets/d/1QqKyyYR6Q21VydFLVH3TRQUabQu_ym0Zz7PgGX0-kHA/edit?usp=sharing"",""แผน!HZ24"")"),0)</f>
        <v>0</v>
      </c>
      <c r="J670" s="959">
        <v>0</v>
      </c>
      <c r="K670" s="831">
        <f ca="1">IF(I670&gt;0,(J670*100)/I670,0)</f>
        <v>0</v>
      </c>
      <c r="L670" s="945"/>
      <c r="M670" s="945"/>
      <c r="N670" s="945"/>
      <c r="O670" s="945"/>
      <c r="P670" s="945"/>
      <c r="Q670" s="1244"/>
      <c r="R670" s="1244"/>
      <c r="S670" s="1244"/>
      <c r="T670" s="1244"/>
      <c r="U670" s="1244"/>
      <c r="V670" s="1244"/>
      <c r="W670" s="1244"/>
      <c r="X670" s="1244"/>
      <c r="Y670" s="1244"/>
      <c r="Z670" s="1244"/>
    </row>
    <row r="671" spans="1:26" ht="18.75" hidden="1">
      <c r="A671" s="1267"/>
      <c r="B671" s="1268"/>
      <c r="C671" s="1268"/>
      <c r="D671" s="1268"/>
      <c r="E671" s="961" t="s">
        <v>282</v>
      </c>
      <c r="F671" s="961"/>
      <c r="G671" s="954"/>
      <c r="H671" s="730" t="s">
        <v>66</v>
      </c>
      <c r="I671" s="830">
        <f ca="1">IFERROR(__xludf.DUMMYFUNCTION("IMPORTRANGE(""https://docs.google.com/spreadsheets/d/1QqKyyYR6Q21VydFLVH3TRQUabQu_ym0Zz7PgGX0-kHA/edit?usp=sharing"",""แผน!HZ24"")"),0)</f>
        <v>0</v>
      </c>
      <c r="J671" s="959">
        <v>0</v>
      </c>
      <c r="K671" s="831">
        <f ca="1">IF(I$671&gt;0,J671*100/I$671,0)</f>
        <v>0</v>
      </c>
      <c r="L671" s="945"/>
      <c r="M671" s="945"/>
      <c r="N671" s="945"/>
      <c r="O671" s="945"/>
      <c r="P671" s="945"/>
      <c r="Q671" s="1244"/>
      <c r="R671" s="1244"/>
      <c r="S671" s="1244"/>
      <c r="T671" s="1244"/>
      <c r="U671" s="1244"/>
      <c r="V671" s="1244"/>
      <c r="W671" s="1244"/>
      <c r="X671" s="1244"/>
      <c r="Y671" s="1244"/>
      <c r="Z671" s="1244"/>
    </row>
    <row r="672" spans="1:26" ht="18.75" hidden="1">
      <c r="A672" s="1267"/>
      <c r="B672" s="1268"/>
      <c r="C672" s="1268"/>
      <c r="D672" s="1268"/>
      <c r="E672" s="961" t="s">
        <v>283</v>
      </c>
      <c r="F672" s="961"/>
      <c r="G672" s="954"/>
      <c r="H672" s="730" t="s">
        <v>46</v>
      </c>
      <c r="I672" s="830"/>
      <c r="J672" s="959">
        <v>0</v>
      </c>
      <c r="K672" s="831">
        <f t="shared" ref="K672:K675" ca="1" si="281">IF(I$669&gt;0,J672*100/I$669,0)</f>
        <v>0</v>
      </c>
      <c r="L672" s="945"/>
      <c r="M672" s="945"/>
      <c r="N672" s="945"/>
      <c r="O672" s="945"/>
      <c r="P672" s="945"/>
      <c r="Q672" s="1244"/>
      <c r="R672" s="1244"/>
      <c r="S672" s="1244"/>
      <c r="T672" s="1244"/>
      <c r="U672" s="1244"/>
      <c r="V672" s="1244"/>
      <c r="W672" s="1244"/>
      <c r="X672" s="1244"/>
      <c r="Y672" s="1244"/>
      <c r="Z672" s="1244"/>
    </row>
    <row r="673" spans="1:26" ht="18.75" hidden="1">
      <c r="A673" s="1267"/>
      <c r="B673" s="1268"/>
      <c r="C673" s="1268"/>
      <c r="D673" s="1268"/>
      <c r="E673" s="961" t="s">
        <v>284</v>
      </c>
      <c r="F673" s="961"/>
      <c r="G673" s="954"/>
      <c r="H673" s="730" t="s">
        <v>46</v>
      </c>
      <c r="I673" s="830"/>
      <c r="J673" s="959">
        <v>0</v>
      </c>
      <c r="K673" s="831">
        <f t="shared" ca="1" si="281"/>
        <v>0</v>
      </c>
      <c r="L673" s="945"/>
      <c r="M673" s="945"/>
      <c r="N673" s="945"/>
      <c r="O673" s="945"/>
      <c r="P673" s="945"/>
      <c r="Q673" s="1244"/>
      <c r="R673" s="1244"/>
      <c r="S673" s="1244"/>
      <c r="T673" s="1244"/>
      <c r="U673" s="1244"/>
      <c r="V673" s="1244"/>
      <c r="W673" s="1244"/>
      <c r="X673" s="1244"/>
      <c r="Y673" s="1244"/>
      <c r="Z673" s="1244"/>
    </row>
    <row r="674" spans="1:26" ht="18.75" hidden="1">
      <c r="A674" s="1267"/>
      <c r="B674" s="1268"/>
      <c r="C674" s="1268"/>
      <c r="D674" s="1268"/>
      <c r="E674" s="961" t="s">
        <v>285</v>
      </c>
      <c r="F674" s="961"/>
      <c r="G674" s="954"/>
      <c r="H674" s="730" t="s">
        <v>46</v>
      </c>
      <c r="I674" s="830"/>
      <c r="J674" s="959">
        <v>0</v>
      </c>
      <c r="K674" s="831">
        <f t="shared" ca="1" si="281"/>
        <v>0</v>
      </c>
      <c r="L674" s="945"/>
      <c r="M674" s="945"/>
      <c r="N674" s="945"/>
      <c r="O674" s="945"/>
      <c r="P674" s="945"/>
      <c r="Q674" s="1244"/>
      <c r="R674" s="1244"/>
      <c r="S674" s="1244"/>
      <c r="T674" s="1244"/>
      <c r="U674" s="1244"/>
      <c r="V674" s="1244"/>
      <c r="W674" s="1244"/>
      <c r="X674" s="1244"/>
      <c r="Y674" s="1244"/>
      <c r="Z674" s="1244"/>
    </row>
    <row r="675" spans="1:26" ht="19.5" hidden="1">
      <c r="A675" s="1267"/>
      <c r="B675" s="1268"/>
      <c r="C675" s="1268"/>
      <c r="D675" s="1268"/>
      <c r="E675" s="961" t="s">
        <v>286</v>
      </c>
      <c r="F675" s="961"/>
      <c r="G675" s="954"/>
      <c r="H675" s="730" t="s">
        <v>46</v>
      </c>
      <c r="I675" s="830"/>
      <c r="J675" s="966">
        <f>J676+J677</f>
        <v>0</v>
      </c>
      <c r="K675" s="967">
        <f t="shared" ca="1" si="281"/>
        <v>0</v>
      </c>
      <c r="L675" s="945"/>
      <c r="M675" s="945"/>
      <c r="N675" s="945"/>
      <c r="O675" s="945"/>
      <c r="P675" s="945"/>
      <c r="Q675" s="1244"/>
      <c r="R675" s="1244"/>
      <c r="S675" s="1244"/>
      <c r="T675" s="1244"/>
      <c r="U675" s="1244"/>
      <c r="V675" s="1244"/>
      <c r="W675" s="1244"/>
      <c r="X675" s="1244"/>
      <c r="Y675" s="1244"/>
      <c r="Z675" s="1244"/>
    </row>
    <row r="676" spans="1:26" ht="18.75" hidden="1">
      <c r="A676" s="1267"/>
      <c r="B676" s="1268"/>
      <c r="C676" s="1268"/>
      <c r="D676" s="1268"/>
      <c r="E676" s="961"/>
      <c r="F676" s="961" t="s">
        <v>287</v>
      </c>
      <c r="G676" s="954"/>
      <c r="H676" s="730" t="s">
        <v>46</v>
      </c>
      <c r="I676" s="830"/>
      <c r="J676" s="959">
        <v>0</v>
      </c>
      <c r="K676" s="831"/>
      <c r="L676" s="945"/>
      <c r="M676" s="945"/>
      <c r="N676" s="945"/>
      <c r="O676" s="945"/>
      <c r="P676" s="945"/>
      <c r="Q676" s="1244"/>
      <c r="R676" s="1244"/>
      <c r="S676" s="1244"/>
      <c r="T676" s="1244"/>
      <c r="U676" s="1244"/>
      <c r="V676" s="1244"/>
      <c r="W676" s="1244"/>
      <c r="X676" s="1244"/>
      <c r="Y676" s="1244"/>
      <c r="Z676" s="1244"/>
    </row>
    <row r="677" spans="1:26" ht="18.75" hidden="1">
      <c r="A677" s="1267"/>
      <c r="B677" s="1268"/>
      <c r="C677" s="1268"/>
      <c r="D677" s="1268"/>
      <c r="E677" s="961"/>
      <c r="F677" s="961" t="s">
        <v>288</v>
      </c>
      <c r="G677" s="954"/>
      <c r="H677" s="730" t="s">
        <v>46</v>
      </c>
      <c r="I677" s="830"/>
      <c r="J677" s="959">
        <v>0</v>
      </c>
      <c r="K677" s="831"/>
      <c r="L677" s="945"/>
      <c r="M677" s="945"/>
      <c r="N677" s="945"/>
      <c r="O677" s="945"/>
      <c r="P677" s="945"/>
      <c r="Q677" s="1244"/>
      <c r="R677" s="1244"/>
      <c r="S677" s="1244"/>
      <c r="T677" s="1244"/>
      <c r="U677" s="1244"/>
      <c r="V677" s="1244"/>
      <c r="W677" s="1244"/>
      <c r="X677" s="1244"/>
      <c r="Y677" s="1244"/>
      <c r="Z677" s="1244"/>
    </row>
    <row r="678" spans="1:26" ht="19.5" hidden="1">
      <c r="A678" s="1267"/>
      <c r="B678" s="1268"/>
      <c r="C678" s="1268"/>
      <c r="D678" s="1268" t="s">
        <v>289</v>
      </c>
      <c r="E678" s="961"/>
      <c r="F678" s="961"/>
      <c r="G678" s="954"/>
      <c r="H678" s="730" t="s">
        <v>46</v>
      </c>
      <c r="I678" s="966">
        <f ca="1">IFERROR(__xludf.DUMMYFUNCTION("IMPORTRANGE(""https://docs.google.com/spreadsheets/d/1QqKyyYR6Q21VydFLVH3TRQUabQu_ym0Zz7PgGX0-kHA/edit?usp=sharing"",""แผน!IB24"")"),0)</f>
        <v>0</v>
      </c>
      <c r="J678" s="966">
        <f>J679</f>
        <v>0</v>
      </c>
      <c r="K678" s="967">
        <f ca="1">IF(I678&gt;0,J678*100/I678,0)</f>
        <v>0</v>
      </c>
      <c r="L678" s="945"/>
      <c r="M678" s="945"/>
      <c r="N678" s="945"/>
      <c r="O678" s="945"/>
      <c r="P678" s="945"/>
      <c r="Q678" s="1244"/>
      <c r="R678" s="1244"/>
      <c r="S678" s="1244"/>
      <c r="T678" s="1244"/>
      <c r="U678" s="1244"/>
      <c r="V678" s="1244"/>
      <c r="W678" s="1244"/>
      <c r="X678" s="1244"/>
      <c r="Y678" s="1244"/>
      <c r="Z678" s="1244"/>
    </row>
    <row r="679" spans="1:26" ht="18.75" hidden="1">
      <c r="A679" s="1267"/>
      <c r="B679" s="1268"/>
      <c r="C679" s="1268"/>
      <c r="D679" s="1268"/>
      <c r="E679" s="961" t="s">
        <v>290</v>
      </c>
      <c r="F679" s="961"/>
      <c r="G679" s="954"/>
      <c r="H679" s="730" t="s">
        <v>46</v>
      </c>
      <c r="I679" s="830"/>
      <c r="J679" s="830">
        <f>J680+J681</f>
        <v>0</v>
      </c>
      <c r="K679" s="831"/>
      <c r="L679" s="945"/>
      <c r="M679" s="945"/>
      <c r="N679" s="945"/>
      <c r="O679" s="945"/>
      <c r="P679" s="945"/>
      <c r="Q679" s="1244"/>
      <c r="R679" s="1244"/>
      <c r="S679" s="1244"/>
      <c r="T679" s="1244"/>
      <c r="U679" s="1244"/>
      <c r="V679" s="1244"/>
      <c r="W679" s="1244"/>
      <c r="X679" s="1244"/>
      <c r="Y679" s="1244"/>
      <c r="Z679" s="1244"/>
    </row>
    <row r="680" spans="1:26" ht="18.75" hidden="1">
      <c r="A680" s="1267"/>
      <c r="B680" s="1268"/>
      <c r="C680" s="1268"/>
      <c r="D680" s="1268"/>
      <c r="E680" s="961"/>
      <c r="F680" s="961" t="s">
        <v>287</v>
      </c>
      <c r="G680" s="954"/>
      <c r="H680" s="730" t="s">
        <v>46</v>
      </c>
      <c r="I680" s="830"/>
      <c r="J680" s="959">
        <v>0</v>
      </c>
      <c r="K680" s="831"/>
      <c r="L680" s="945"/>
      <c r="M680" s="945"/>
      <c r="N680" s="945"/>
      <c r="O680" s="945"/>
      <c r="P680" s="945"/>
      <c r="Q680" s="1244"/>
      <c r="R680" s="1244"/>
      <c r="S680" s="1244"/>
      <c r="T680" s="1244"/>
      <c r="U680" s="1244"/>
      <c r="V680" s="1244"/>
      <c r="W680" s="1244"/>
      <c r="X680" s="1244"/>
      <c r="Y680" s="1244"/>
      <c r="Z680" s="1244"/>
    </row>
    <row r="681" spans="1:26" ht="18.75" hidden="1">
      <c r="A681" s="1267"/>
      <c r="B681" s="1268"/>
      <c r="C681" s="1268"/>
      <c r="D681" s="1268"/>
      <c r="E681" s="961"/>
      <c r="F681" s="961" t="s">
        <v>288</v>
      </c>
      <c r="G681" s="954"/>
      <c r="H681" s="730" t="s">
        <v>46</v>
      </c>
      <c r="I681" s="830"/>
      <c r="J681" s="959">
        <v>0</v>
      </c>
      <c r="K681" s="831"/>
      <c r="L681" s="945"/>
      <c r="M681" s="945"/>
      <c r="N681" s="945"/>
      <c r="O681" s="945"/>
      <c r="P681" s="945"/>
      <c r="Q681" s="1244"/>
      <c r="R681" s="1244"/>
      <c r="S681" s="1244"/>
      <c r="T681" s="1244"/>
      <c r="U681" s="1244"/>
      <c r="V681" s="1244"/>
      <c r="W681" s="1244"/>
      <c r="X681" s="1244"/>
      <c r="Y681" s="1244"/>
      <c r="Z681" s="1244"/>
    </row>
    <row r="682" spans="1:26" ht="18.75" hidden="1">
      <c r="A682" s="1267"/>
      <c r="B682" s="1268"/>
      <c r="C682" s="1268"/>
      <c r="D682" s="1268"/>
      <c r="E682" s="961" t="s">
        <v>291</v>
      </c>
      <c r="F682" s="961"/>
      <c r="G682" s="954"/>
      <c r="H682" s="730" t="s">
        <v>46</v>
      </c>
      <c r="I682" s="830"/>
      <c r="J682" s="959">
        <v>0</v>
      </c>
      <c r="K682" s="831"/>
      <c r="L682" s="945"/>
      <c r="M682" s="945"/>
      <c r="N682" s="945"/>
      <c r="O682" s="945"/>
      <c r="P682" s="945"/>
      <c r="Q682" s="1244"/>
      <c r="R682" s="1244"/>
      <c r="S682" s="1244"/>
      <c r="T682" s="1244"/>
      <c r="U682" s="1244"/>
      <c r="V682" s="1244"/>
      <c r="W682" s="1244"/>
      <c r="X682" s="1244"/>
      <c r="Y682" s="1244"/>
      <c r="Z682" s="1244"/>
    </row>
    <row r="683" spans="1:26" ht="18.75" hidden="1">
      <c r="A683" s="1267"/>
      <c r="B683" s="1268"/>
      <c r="C683" s="1268"/>
      <c r="D683" s="1268"/>
      <c r="E683" s="961"/>
      <c r="F683" s="961" t="s">
        <v>292</v>
      </c>
      <c r="G683" s="954"/>
      <c r="H683" s="730" t="s">
        <v>46</v>
      </c>
      <c r="I683" s="830"/>
      <c r="J683" s="959">
        <v>0</v>
      </c>
      <c r="K683" s="831"/>
      <c r="L683" s="945"/>
      <c r="M683" s="945"/>
      <c r="N683" s="945"/>
      <c r="O683" s="945"/>
      <c r="P683" s="945"/>
      <c r="Q683" s="1244"/>
      <c r="R683" s="1244"/>
      <c r="S683" s="1244"/>
      <c r="T683" s="1244"/>
      <c r="U683" s="1244"/>
      <c r="V683" s="1244"/>
      <c r="W683" s="1244"/>
      <c r="X683" s="1244"/>
      <c r="Y683" s="1244"/>
      <c r="Z683" s="1244"/>
    </row>
    <row r="684" spans="1:26" ht="19.5" hidden="1">
      <c r="A684" s="1373"/>
      <c r="B684" s="1374" t="s">
        <v>293</v>
      </c>
      <c r="C684" s="1373"/>
      <c r="D684" s="1373"/>
      <c r="E684" s="1373"/>
      <c r="F684" s="1373"/>
      <c r="G684" s="1375"/>
      <c r="H684" s="1375"/>
      <c r="I684" s="1376"/>
      <c r="J684" s="1376"/>
      <c r="K684" s="1377"/>
      <c r="L684" s="1377"/>
      <c r="M684" s="1377"/>
      <c r="N684" s="1377"/>
      <c r="O684" s="1377"/>
      <c r="P684" s="1377"/>
      <c r="Q684" s="1244"/>
      <c r="R684" s="1244"/>
      <c r="S684" s="1244"/>
      <c r="T684" s="1244"/>
      <c r="U684" s="1244"/>
      <c r="V684" s="1244"/>
      <c r="W684" s="1244"/>
      <c r="X684" s="1244"/>
      <c r="Y684" s="1244"/>
      <c r="Z684" s="1244"/>
    </row>
    <row r="685" spans="1:26" ht="19.5" hidden="1">
      <c r="A685" s="1259"/>
      <c r="B685" s="1243"/>
      <c r="C685" s="1243" t="s">
        <v>16</v>
      </c>
      <c r="D685" s="1507" t="s">
        <v>17</v>
      </c>
      <c r="E685" s="1485"/>
      <c r="F685" s="1485"/>
      <c r="G685" s="963"/>
      <c r="H685" s="563" t="s">
        <v>12</v>
      </c>
      <c r="I685" s="830"/>
      <c r="J685" s="830"/>
      <c r="K685" s="831"/>
      <c r="L685" s="967">
        <f t="shared" ref="L685:N685" ca="1" si="282">L686+L687</f>
        <v>0</v>
      </c>
      <c r="M685" s="967">
        <f t="shared" si="282"/>
        <v>0</v>
      </c>
      <c r="N685" s="967">
        <f t="shared" si="282"/>
        <v>0</v>
      </c>
      <c r="O685" s="967">
        <f t="shared" ref="O685:O688" ca="1" si="283">IF(L685&gt;0,N685*100/L685,0)</f>
        <v>0</v>
      </c>
      <c r="P685" s="967">
        <f t="shared" ref="P685:P688" si="284">IF(M685&gt;0,N685*100/M685,0)</f>
        <v>0</v>
      </c>
      <c r="Q685" s="1244"/>
      <c r="R685" s="1244"/>
      <c r="S685" s="1244"/>
      <c r="T685" s="1244"/>
      <c r="U685" s="1244"/>
      <c r="V685" s="1244"/>
      <c r="W685" s="1244"/>
      <c r="X685" s="1244"/>
      <c r="Y685" s="1244"/>
      <c r="Z685" s="1244"/>
    </row>
    <row r="686" spans="1:26" ht="18.75" hidden="1">
      <c r="A686" s="1260"/>
      <c r="B686" s="1261"/>
      <c r="C686" s="1261"/>
      <c r="D686" s="1262"/>
      <c r="E686" s="1261" t="s">
        <v>184</v>
      </c>
      <c r="F686" s="1261"/>
      <c r="G686" s="1263"/>
      <c r="H686" s="165" t="s">
        <v>12</v>
      </c>
      <c r="I686" s="836"/>
      <c r="J686" s="836"/>
      <c r="K686" s="837"/>
      <c r="L686" s="837">
        <f t="shared" ref="L686:N687" si="285">L689+L696</f>
        <v>0</v>
      </c>
      <c r="M686" s="837">
        <f t="shared" si="285"/>
        <v>0</v>
      </c>
      <c r="N686" s="837">
        <f t="shared" si="285"/>
        <v>0</v>
      </c>
      <c r="O686" s="837">
        <f t="shared" si="283"/>
        <v>0</v>
      </c>
      <c r="P686" s="837">
        <f t="shared" si="284"/>
        <v>0</v>
      </c>
      <c r="Q686" s="1264"/>
      <c r="R686" s="1264"/>
      <c r="S686" s="1264"/>
      <c r="T686" s="1264"/>
      <c r="U686" s="1264"/>
      <c r="V686" s="1264"/>
      <c r="W686" s="1264"/>
      <c r="X686" s="1264"/>
      <c r="Y686" s="1264"/>
      <c r="Z686" s="1264"/>
    </row>
    <row r="687" spans="1:26" ht="18.75" hidden="1">
      <c r="A687" s="1260"/>
      <c r="B687" s="1265"/>
      <c r="C687" s="1261"/>
      <c r="D687" s="1262"/>
      <c r="E687" s="1261" t="s">
        <v>185</v>
      </c>
      <c r="F687" s="1261"/>
      <c r="G687" s="1263"/>
      <c r="H687" s="165" t="s">
        <v>12</v>
      </c>
      <c r="I687" s="836"/>
      <c r="J687" s="836"/>
      <c r="K687" s="837"/>
      <c r="L687" s="837">
        <f t="shared" ca="1" si="285"/>
        <v>0</v>
      </c>
      <c r="M687" s="837">
        <f t="shared" si="285"/>
        <v>0</v>
      </c>
      <c r="N687" s="837">
        <f t="shared" si="285"/>
        <v>0</v>
      </c>
      <c r="O687" s="837">
        <f t="shared" ca="1" si="283"/>
        <v>0</v>
      </c>
      <c r="P687" s="837">
        <f t="shared" si="284"/>
        <v>0</v>
      </c>
      <c r="Q687" s="1264"/>
      <c r="R687" s="1264"/>
      <c r="S687" s="1264"/>
      <c r="T687" s="1264"/>
      <c r="U687" s="1264"/>
      <c r="V687" s="1264"/>
      <c r="W687" s="1264"/>
      <c r="X687" s="1264"/>
      <c r="Y687" s="1264"/>
      <c r="Z687" s="1264"/>
    </row>
    <row r="688" spans="1:26" ht="18.75" hidden="1">
      <c r="A688" s="1259"/>
      <c r="B688" s="1242"/>
      <c r="C688" s="1243"/>
      <c r="D688" s="1266" t="s">
        <v>20</v>
      </c>
      <c r="E688" s="1243"/>
      <c r="F688" s="1243"/>
      <c r="G688" s="963"/>
      <c r="H688" s="778" t="s">
        <v>12</v>
      </c>
      <c r="I688" s="944"/>
      <c r="J688" s="944"/>
      <c r="K688" s="945"/>
      <c r="L688" s="831">
        <f t="shared" ref="L688:N688" ca="1" si="286">L689+L690</f>
        <v>0</v>
      </c>
      <c r="M688" s="831">
        <f t="shared" si="286"/>
        <v>0</v>
      </c>
      <c r="N688" s="831">
        <f t="shared" si="286"/>
        <v>0</v>
      </c>
      <c r="O688" s="831">
        <f t="shared" ca="1" si="283"/>
        <v>0</v>
      </c>
      <c r="P688" s="831">
        <f t="shared" si="284"/>
        <v>0</v>
      </c>
      <c r="Q688" s="1244"/>
      <c r="R688" s="1244"/>
      <c r="S688" s="1244"/>
      <c r="T688" s="1244"/>
      <c r="U688" s="1244"/>
      <c r="V688" s="1244"/>
      <c r="W688" s="1244"/>
      <c r="X688" s="1244"/>
      <c r="Y688" s="1244"/>
      <c r="Z688" s="1244"/>
    </row>
    <row r="689" spans="1:26" ht="18.75" hidden="1">
      <c r="A689" s="1260"/>
      <c r="B689" s="1265"/>
      <c r="C689" s="1261"/>
      <c r="D689" s="1262"/>
      <c r="E689" s="1261" t="s">
        <v>184</v>
      </c>
      <c r="F689" s="1261"/>
      <c r="G689" s="1263"/>
      <c r="H689" s="165" t="s">
        <v>12</v>
      </c>
      <c r="I689" s="836"/>
      <c r="J689" s="836"/>
      <c r="K689" s="837"/>
      <c r="L689" s="837">
        <v>0</v>
      </c>
      <c r="M689" s="837">
        <v>0</v>
      </c>
      <c r="N689" s="837">
        <v>0</v>
      </c>
      <c r="O689" s="837"/>
      <c r="P689" s="837"/>
      <c r="Q689" s="1264"/>
      <c r="R689" s="1264"/>
      <c r="S689" s="1264"/>
      <c r="T689" s="1264"/>
      <c r="U689" s="1264"/>
      <c r="V689" s="1264"/>
      <c r="W689" s="1264"/>
      <c r="X689" s="1264"/>
      <c r="Y689" s="1264"/>
      <c r="Z689" s="1264"/>
    </row>
    <row r="690" spans="1:26" ht="18.75" hidden="1">
      <c r="A690" s="1260"/>
      <c r="B690" s="1265"/>
      <c r="C690" s="1261"/>
      <c r="D690" s="1262"/>
      <c r="E690" s="1261" t="s">
        <v>185</v>
      </c>
      <c r="F690" s="1261"/>
      <c r="G690" s="1263"/>
      <c r="H690" s="165" t="s">
        <v>12</v>
      </c>
      <c r="I690" s="836"/>
      <c r="J690" s="836"/>
      <c r="K690" s="837"/>
      <c r="L690" s="837">
        <f ca="1">IFERROR(__xludf.DUMMYFUNCTION("IMPORTRANGE(""https://docs.google.com/spreadsheets/d/1QqKyyYR6Q21VydFLVH3TRQUabQu_ym0Zz7PgGX0-kHA/edit?usp=sharing"",""แผน!HW24"")"),0)</f>
        <v>0</v>
      </c>
      <c r="M690" s="837">
        <v>0</v>
      </c>
      <c r="N690" s="837">
        <f>N691+N692+N693+N694</f>
        <v>0</v>
      </c>
      <c r="O690" s="837">
        <f ca="1">IF(L690&gt;0,N690*100/L690,0)</f>
        <v>0</v>
      </c>
      <c r="P690" s="837">
        <f>IF(M690&gt;0,N690*100/M690,0)</f>
        <v>0</v>
      </c>
      <c r="Q690" s="1264"/>
      <c r="R690" s="1264"/>
      <c r="S690" s="1264"/>
      <c r="T690" s="1264"/>
      <c r="U690" s="1264"/>
      <c r="V690" s="1264"/>
      <c r="W690" s="1264"/>
      <c r="X690" s="1264"/>
      <c r="Y690" s="1264"/>
      <c r="Z690" s="1264"/>
    </row>
    <row r="691" spans="1:26" ht="18.75" hidden="1">
      <c r="A691" s="1241"/>
      <c r="B691" s="1242"/>
      <c r="C691" s="1243"/>
      <c r="D691" s="1243"/>
      <c r="E691" s="1243"/>
      <c r="F691" s="1243" t="s">
        <v>186</v>
      </c>
      <c r="G691" s="963"/>
      <c r="H691" s="778" t="s">
        <v>12</v>
      </c>
      <c r="I691" s="830"/>
      <c r="J691" s="830"/>
      <c r="K691" s="831"/>
      <c r="L691" s="831"/>
      <c r="M691" s="831"/>
      <c r="N691" s="1031">
        <v>0</v>
      </c>
      <c r="O691" s="831"/>
      <c r="P691" s="831"/>
      <c r="Q691" s="1244"/>
      <c r="R691" s="1244"/>
      <c r="S691" s="1244"/>
      <c r="T691" s="1244"/>
      <c r="U691" s="1244"/>
      <c r="V691" s="1244"/>
      <c r="W691" s="1244"/>
      <c r="X691" s="1244"/>
      <c r="Y691" s="1244"/>
      <c r="Z691" s="1244"/>
    </row>
    <row r="692" spans="1:26" ht="18.75" hidden="1">
      <c r="A692" s="1241"/>
      <c r="B692" s="1242"/>
      <c r="C692" s="1243"/>
      <c r="D692" s="1243"/>
      <c r="E692" s="1243"/>
      <c r="F692" s="1243" t="s">
        <v>187</v>
      </c>
      <c r="G692" s="963"/>
      <c r="H692" s="778" t="s">
        <v>12</v>
      </c>
      <c r="I692" s="830"/>
      <c r="J692" s="830"/>
      <c r="K692" s="831"/>
      <c r="L692" s="831"/>
      <c r="M692" s="831"/>
      <c r="N692" s="1031">
        <v>0</v>
      </c>
      <c r="O692" s="831"/>
      <c r="P692" s="831"/>
      <c r="Q692" s="1244"/>
      <c r="R692" s="1244"/>
      <c r="S692" s="1244"/>
      <c r="T692" s="1244"/>
      <c r="U692" s="1244"/>
      <c r="V692" s="1244"/>
      <c r="W692" s="1244"/>
      <c r="X692" s="1244"/>
      <c r="Y692" s="1244"/>
      <c r="Z692" s="1244"/>
    </row>
    <row r="693" spans="1:26" ht="18.75" hidden="1">
      <c r="A693" s="1241"/>
      <c r="B693" s="1242"/>
      <c r="C693" s="1243"/>
      <c r="D693" s="1243"/>
      <c r="E693" s="1243"/>
      <c r="F693" s="1243" t="s">
        <v>188</v>
      </c>
      <c r="G693" s="963"/>
      <c r="H693" s="778" t="s">
        <v>12</v>
      </c>
      <c r="I693" s="830"/>
      <c r="J693" s="830"/>
      <c r="K693" s="831"/>
      <c r="L693" s="831"/>
      <c r="M693" s="831"/>
      <c r="N693" s="1031">
        <v>0</v>
      </c>
      <c r="O693" s="831"/>
      <c r="P693" s="831"/>
      <c r="Q693" s="1244"/>
      <c r="R693" s="1244"/>
      <c r="S693" s="1244"/>
      <c r="T693" s="1244"/>
      <c r="U693" s="1244"/>
      <c r="V693" s="1244"/>
      <c r="W693" s="1244"/>
      <c r="X693" s="1244"/>
      <c r="Y693" s="1244"/>
      <c r="Z693" s="1244"/>
    </row>
    <row r="694" spans="1:26" ht="18.75" hidden="1">
      <c r="A694" s="1241"/>
      <c r="B694" s="1242"/>
      <c r="C694" s="1243"/>
      <c r="D694" s="1243"/>
      <c r="E694" s="1243"/>
      <c r="F694" s="1243" t="s">
        <v>189</v>
      </c>
      <c r="G694" s="963"/>
      <c r="H694" s="778" t="s">
        <v>12</v>
      </c>
      <c r="I694" s="830"/>
      <c r="J694" s="830"/>
      <c r="K694" s="831"/>
      <c r="L694" s="831"/>
      <c r="M694" s="831"/>
      <c r="N694" s="1031">
        <v>0</v>
      </c>
      <c r="O694" s="831"/>
      <c r="P694" s="831"/>
      <c r="Q694" s="1244"/>
      <c r="R694" s="1244"/>
      <c r="S694" s="1244"/>
      <c r="T694" s="1244"/>
      <c r="U694" s="1244"/>
      <c r="V694" s="1244"/>
      <c r="W694" s="1244"/>
      <c r="X694" s="1244"/>
      <c r="Y694" s="1244"/>
      <c r="Z694" s="1244"/>
    </row>
    <row r="695" spans="1:26" ht="18.75" hidden="1">
      <c r="A695" s="1259"/>
      <c r="B695" s="1242"/>
      <c r="C695" s="1243"/>
      <c r="D695" s="1266" t="s">
        <v>21</v>
      </c>
      <c r="E695" s="1243"/>
      <c r="F695" s="1243"/>
      <c r="G695" s="963"/>
      <c r="H695" s="168" t="s">
        <v>12</v>
      </c>
      <c r="I695" s="944"/>
      <c r="J695" s="944"/>
      <c r="K695" s="945"/>
      <c r="L695" s="831">
        <f t="shared" ref="L695:N695" si="287">L696+L697</f>
        <v>0</v>
      </c>
      <c r="M695" s="831">
        <f t="shared" si="287"/>
        <v>0</v>
      </c>
      <c r="N695" s="831">
        <f t="shared" si="287"/>
        <v>0</v>
      </c>
      <c r="O695" s="831">
        <f t="shared" ref="O695:O697" si="288">IF(L695&gt;0,N695*100/L695,0)</f>
        <v>0</v>
      </c>
      <c r="P695" s="831">
        <f t="shared" ref="P695:P697" si="289">IF(M695&gt;0,N695*100/M695,0)</f>
        <v>0</v>
      </c>
      <c r="Q695" s="1244"/>
      <c r="R695" s="1244"/>
      <c r="S695" s="1244"/>
      <c r="T695" s="1244"/>
      <c r="U695" s="1244"/>
      <c r="V695" s="1244"/>
      <c r="W695" s="1244"/>
      <c r="X695" s="1244"/>
      <c r="Y695" s="1244"/>
      <c r="Z695" s="1244"/>
    </row>
    <row r="696" spans="1:26" ht="18.75" hidden="1">
      <c r="A696" s="1260"/>
      <c r="B696" s="1265"/>
      <c r="C696" s="1261"/>
      <c r="D696" s="1261"/>
      <c r="E696" s="1261" t="s">
        <v>18</v>
      </c>
      <c r="F696" s="1261"/>
      <c r="G696" s="1263"/>
      <c r="H696" s="165" t="s">
        <v>12</v>
      </c>
      <c r="I696" s="947"/>
      <c r="J696" s="947"/>
      <c r="K696" s="948"/>
      <c r="L696" s="837">
        <v>0</v>
      </c>
      <c r="M696" s="837">
        <v>0</v>
      </c>
      <c r="N696" s="837">
        <v>0</v>
      </c>
      <c r="O696" s="837">
        <f t="shared" si="288"/>
        <v>0</v>
      </c>
      <c r="P696" s="837">
        <f t="shared" si="289"/>
        <v>0</v>
      </c>
      <c r="Q696" s="1264"/>
      <c r="R696" s="1264"/>
      <c r="S696" s="1264"/>
      <c r="T696" s="1264"/>
      <c r="U696" s="1264"/>
      <c r="V696" s="1264"/>
      <c r="W696" s="1264"/>
      <c r="X696" s="1264"/>
      <c r="Y696" s="1264"/>
      <c r="Z696" s="1264"/>
    </row>
    <row r="697" spans="1:26" ht="18.75" hidden="1">
      <c r="A697" s="1260"/>
      <c r="B697" s="1265"/>
      <c r="C697" s="1261"/>
      <c r="D697" s="1261"/>
      <c r="E697" s="1261" t="s">
        <v>19</v>
      </c>
      <c r="F697" s="1261"/>
      <c r="G697" s="1263"/>
      <c r="H697" s="169" t="s">
        <v>12</v>
      </c>
      <c r="I697" s="947"/>
      <c r="J697" s="947"/>
      <c r="K697" s="948"/>
      <c r="L697" s="837">
        <v>0</v>
      </c>
      <c r="M697" s="837">
        <v>0</v>
      </c>
      <c r="N697" s="837">
        <v>0</v>
      </c>
      <c r="O697" s="837">
        <f t="shared" si="288"/>
        <v>0</v>
      </c>
      <c r="P697" s="837">
        <f t="shared" si="289"/>
        <v>0</v>
      </c>
      <c r="Q697" s="1264"/>
      <c r="R697" s="1264"/>
      <c r="S697" s="1264"/>
      <c r="T697" s="1264"/>
      <c r="U697" s="1264"/>
      <c r="V697" s="1264"/>
      <c r="W697" s="1264"/>
      <c r="X697" s="1264"/>
      <c r="Y697" s="1264"/>
      <c r="Z697" s="1264"/>
    </row>
    <row r="698" spans="1:26" ht="19.5" hidden="1">
      <c r="A698" s="1267"/>
      <c r="B698" s="1268"/>
      <c r="C698" s="1243" t="s">
        <v>16</v>
      </c>
      <c r="D698" s="1378" t="s">
        <v>38</v>
      </c>
      <c r="E698" s="1271"/>
      <c r="F698" s="1271"/>
      <c r="G698" s="1272"/>
      <c r="H698" s="954"/>
      <c r="I698" s="944"/>
      <c r="J698" s="944"/>
      <c r="K698" s="945"/>
      <c r="L698" s="945"/>
      <c r="M698" s="945"/>
      <c r="N698" s="945"/>
      <c r="O698" s="945"/>
      <c r="P698" s="945"/>
      <c r="Q698" s="1244"/>
      <c r="R698" s="1244"/>
      <c r="S698" s="1244"/>
      <c r="T698" s="1244"/>
      <c r="U698" s="1244"/>
      <c r="V698" s="1244"/>
      <c r="W698" s="1244"/>
      <c r="X698" s="1244"/>
      <c r="Y698" s="1244"/>
      <c r="Z698" s="1244"/>
    </row>
    <row r="699" spans="1:26" ht="18.75" hidden="1">
      <c r="A699" s="1368"/>
      <c r="B699" s="1243"/>
      <c r="C699" s="1243"/>
      <c r="D699" s="1243" t="s">
        <v>294</v>
      </c>
      <c r="E699" s="1243"/>
      <c r="F699" s="1243"/>
      <c r="G699" s="963"/>
      <c r="H699" s="730" t="s">
        <v>46</v>
      </c>
      <c r="I699" s="1379">
        <f ca="1">IFERROR(__xludf.DUMMYFUNCTION("IMPORTRANGE(""https://docs.google.com/spreadsheets/d/1QqKyyYR6Q21VydFLVH3TRQUabQu_ym0Zz7PgGX0-kHA/edit?usp=sharing"",""แผน!IC24"")"),0)</f>
        <v>0</v>
      </c>
      <c r="J699" s="830">
        <f ca="1">IFERROR(__xludf.DUMMYFUNCTION("IMPORTRANGE(""https://docs.google.com/spreadsheets/d/1XWAQStnk-4SwqDmLtmXYiTMKHgktTP8We1SCoS47DrQ/edit?usp=sharing"",""จัดที่ดิน!BB24"")"),0)</f>
        <v>0</v>
      </c>
      <c r="K699" s="831">
        <f t="shared" ref="K699:K701" ca="1" si="290">IF(I699&gt;0,J699*100/I699,0)</f>
        <v>0</v>
      </c>
      <c r="L699" s="831"/>
      <c r="M699" s="963"/>
      <c r="N699" s="1380"/>
      <c r="O699" s="831"/>
      <c r="P699" s="831"/>
      <c r="Q699" s="1244"/>
      <c r="R699" s="1244"/>
      <c r="S699" s="1244"/>
      <c r="T699" s="1244"/>
      <c r="U699" s="1244"/>
      <c r="V699" s="1244"/>
      <c r="W699" s="1244"/>
      <c r="X699" s="1244"/>
      <c r="Y699" s="1244"/>
      <c r="Z699" s="1244"/>
    </row>
    <row r="700" spans="1:26" ht="18.75" hidden="1">
      <c r="A700" s="1368"/>
      <c r="B700" s="1243"/>
      <c r="C700" s="1243"/>
      <c r="D700" s="1243" t="s">
        <v>295</v>
      </c>
      <c r="E700" s="1243"/>
      <c r="F700" s="1243"/>
      <c r="G700" s="963"/>
      <c r="H700" s="730" t="s">
        <v>35</v>
      </c>
      <c r="I700" s="1379">
        <f ca="1">IFERROR(__xludf.DUMMYFUNCTION("IMPORTRANGE(""https://docs.google.com/spreadsheets/d/1QqKyyYR6Q21VydFLVH3TRQUabQu_ym0Zz7PgGX0-kHA/edit?usp=sharing"",""แผน!ID24"")"),0)</f>
        <v>0</v>
      </c>
      <c r="J700" s="830">
        <f ca="1">IFERROR(__xludf.DUMMYFUNCTION("IMPORTRANGE(""https://docs.google.com/spreadsheets/d/1XWAQStnk-4SwqDmLtmXYiTMKHgktTP8We1SCoS47DrQ/edit?usp=sharing"",""จัดที่ดิน!BD24"")"),0)</f>
        <v>0</v>
      </c>
      <c r="K700" s="831">
        <f t="shared" ca="1" si="290"/>
        <v>0</v>
      </c>
      <c r="L700" s="831"/>
      <c r="M700" s="963"/>
      <c r="N700" s="1380"/>
      <c r="O700" s="831"/>
      <c r="P700" s="831"/>
      <c r="Q700" s="1244"/>
      <c r="R700" s="1244"/>
      <c r="S700" s="1244"/>
      <c r="T700" s="1244"/>
      <c r="U700" s="1244"/>
      <c r="V700" s="1244"/>
      <c r="W700" s="1244"/>
      <c r="X700" s="1244"/>
      <c r="Y700" s="1244"/>
      <c r="Z700" s="1244"/>
    </row>
    <row r="701" spans="1:26" ht="19.5" hidden="1">
      <c r="A701" s="1368"/>
      <c r="B701" s="1243"/>
      <c r="C701" s="1243"/>
      <c r="D701" s="1243" t="s">
        <v>296</v>
      </c>
      <c r="E701" s="1243"/>
      <c r="F701" s="1243"/>
      <c r="G701" s="963"/>
      <c r="H701" s="733" t="s">
        <v>46</v>
      </c>
      <c r="I701" s="1381">
        <f ca="1">IFERROR(__xludf.DUMMYFUNCTION("IMPORTRANGE(""https://docs.google.com/spreadsheets/d/1QqKyyYR6Q21VydFLVH3TRQUabQu_ym0Zz7PgGX0-kHA/edit?usp=sharing"",""แผน!IE24"")"),0)</f>
        <v>0</v>
      </c>
      <c r="J701" s="966">
        <f>J704+J707</f>
        <v>0</v>
      </c>
      <c r="K701" s="967">
        <f t="shared" ca="1" si="290"/>
        <v>0</v>
      </c>
      <c r="L701" s="831"/>
      <c r="M701" s="963"/>
      <c r="N701" s="1380"/>
      <c r="O701" s="831"/>
      <c r="P701" s="831"/>
      <c r="Q701" s="1244"/>
      <c r="R701" s="1244"/>
      <c r="S701" s="1244"/>
      <c r="T701" s="1244"/>
      <c r="U701" s="1244"/>
      <c r="V701" s="1244"/>
      <c r="W701" s="1244"/>
      <c r="X701" s="1244"/>
      <c r="Y701" s="1244"/>
      <c r="Z701" s="1244"/>
    </row>
    <row r="702" spans="1:26" ht="18.75" hidden="1">
      <c r="A702" s="1368"/>
      <c r="B702" s="1243"/>
      <c r="C702" s="1243"/>
      <c r="D702" s="1243"/>
      <c r="E702" s="1243" t="s">
        <v>297</v>
      </c>
      <c r="F702" s="1243"/>
      <c r="G702" s="963"/>
      <c r="H702" s="730" t="s">
        <v>35</v>
      </c>
      <c r="I702" s="1379"/>
      <c r="J702" s="959">
        <v>0</v>
      </c>
      <c r="K702" s="831"/>
      <c r="L702" s="831"/>
      <c r="M702" s="963"/>
      <c r="N702" s="1380"/>
      <c r="O702" s="831"/>
      <c r="P702" s="831"/>
      <c r="Q702" s="1244"/>
      <c r="R702" s="1244"/>
      <c r="S702" s="1244"/>
      <c r="T702" s="1244"/>
      <c r="U702" s="1244"/>
      <c r="V702" s="1244"/>
      <c r="W702" s="1244"/>
      <c r="X702" s="1244"/>
      <c r="Y702" s="1244"/>
      <c r="Z702" s="1244"/>
    </row>
    <row r="703" spans="1:26" ht="18.75" hidden="1">
      <c r="A703" s="1368"/>
      <c r="B703" s="1243"/>
      <c r="C703" s="1243"/>
      <c r="D703" s="1243"/>
      <c r="E703" s="1243"/>
      <c r="F703" s="1243"/>
      <c r="G703" s="963"/>
      <c r="H703" s="730" t="s">
        <v>34</v>
      </c>
      <c r="I703" s="1379"/>
      <c r="J703" s="959">
        <v>0</v>
      </c>
      <c r="K703" s="831"/>
      <c r="L703" s="831"/>
      <c r="M703" s="963"/>
      <c r="N703" s="1380"/>
      <c r="O703" s="831"/>
      <c r="P703" s="831"/>
      <c r="Q703" s="1244"/>
      <c r="R703" s="1244"/>
      <c r="S703" s="1244"/>
      <c r="T703" s="1244"/>
      <c r="U703" s="1244"/>
      <c r="V703" s="1244"/>
      <c r="W703" s="1244"/>
      <c r="X703" s="1244"/>
      <c r="Y703" s="1244"/>
      <c r="Z703" s="1244"/>
    </row>
    <row r="704" spans="1:26" ht="18.75" hidden="1">
      <c r="A704" s="1368"/>
      <c r="B704" s="1243"/>
      <c r="C704" s="1243"/>
      <c r="D704" s="1243"/>
      <c r="E704" s="1243"/>
      <c r="F704" s="1243"/>
      <c r="G704" s="963"/>
      <c r="H704" s="730" t="s">
        <v>46</v>
      </c>
      <c r="I704" s="1379">
        <f ca="1">IFERROR(__xludf.DUMMYFUNCTION("IMPORTRANGE(""https://docs.google.com/spreadsheets/d/1QqKyyYR6Q21VydFLVH3TRQUabQu_ym0Zz7PgGX0-kHA/edit?usp=sharing"",""แผน!IF24"")"),0)</f>
        <v>0</v>
      </c>
      <c r="J704" s="959">
        <v>0</v>
      </c>
      <c r="K704" s="831"/>
      <c r="L704" s="831"/>
      <c r="M704" s="963"/>
      <c r="N704" s="1380"/>
      <c r="O704" s="831"/>
      <c r="P704" s="831"/>
      <c r="Q704" s="1244"/>
      <c r="R704" s="1244"/>
      <c r="S704" s="1244"/>
      <c r="T704" s="1244"/>
      <c r="U704" s="1244"/>
      <c r="V704" s="1244"/>
      <c r="W704" s="1244"/>
      <c r="X704" s="1244"/>
      <c r="Y704" s="1244"/>
      <c r="Z704" s="1244"/>
    </row>
    <row r="705" spans="1:26" ht="18.75" hidden="1">
      <c r="A705" s="1368"/>
      <c r="B705" s="1243"/>
      <c r="C705" s="1243"/>
      <c r="D705" s="1243"/>
      <c r="E705" s="1243" t="s">
        <v>298</v>
      </c>
      <c r="F705" s="1243"/>
      <c r="G705" s="963"/>
      <c r="H705" s="730" t="s">
        <v>35</v>
      </c>
      <c r="I705" s="1379"/>
      <c r="J705" s="959">
        <v>0</v>
      </c>
      <c r="K705" s="831"/>
      <c r="L705" s="831"/>
      <c r="M705" s="963"/>
      <c r="N705" s="1380"/>
      <c r="O705" s="831"/>
      <c r="P705" s="831"/>
      <c r="Q705" s="1244"/>
      <c r="R705" s="1244"/>
      <c r="S705" s="1244"/>
      <c r="T705" s="1244"/>
      <c r="U705" s="1244"/>
      <c r="V705" s="1244"/>
      <c r="W705" s="1244"/>
      <c r="X705" s="1244"/>
      <c r="Y705" s="1244"/>
      <c r="Z705" s="1244"/>
    </row>
    <row r="706" spans="1:26" ht="18.75" hidden="1">
      <c r="A706" s="1368"/>
      <c r="B706" s="1243"/>
      <c r="C706" s="1243"/>
      <c r="D706" s="1243"/>
      <c r="E706" s="1243"/>
      <c r="F706" s="1243"/>
      <c r="G706" s="963"/>
      <c r="H706" s="730" t="s">
        <v>34</v>
      </c>
      <c r="I706" s="1379"/>
      <c r="J706" s="959">
        <v>0</v>
      </c>
      <c r="K706" s="831"/>
      <c r="L706" s="831"/>
      <c r="M706" s="963"/>
      <c r="N706" s="1380"/>
      <c r="O706" s="831"/>
      <c r="P706" s="831"/>
      <c r="Q706" s="1244"/>
      <c r="R706" s="1244"/>
      <c r="S706" s="1244"/>
      <c r="T706" s="1244"/>
      <c r="U706" s="1244"/>
      <c r="V706" s="1244"/>
      <c r="W706" s="1244"/>
      <c r="X706" s="1244"/>
      <c r="Y706" s="1244"/>
      <c r="Z706" s="1244"/>
    </row>
    <row r="707" spans="1:26" ht="18.75" hidden="1">
      <c r="A707" s="1368"/>
      <c r="B707" s="1243"/>
      <c r="C707" s="1243"/>
      <c r="D707" s="1243"/>
      <c r="E707" s="1243"/>
      <c r="F707" s="1243"/>
      <c r="G707" s="963"/>
      <c r="H707" s="730" t="s">
        <v>46</v>
      </c>
      <c r="I707" s="1379">
        <f ca="1">IFERROR(__xludf.DUMMYFUNCTION("IMPORTRANGE(""https://docs.google.com/spreadsheets/d/1QqKyyYR6Q21VydFLVH3TRQUabQu_ym0Zz7PgGX0-kHA/edit?usp=sharing"",""แผน!IG24"")"),0)</f>
        <v>0</v>
      </c>
      <c r="J707" s="959">
        <v>0</v>
      </c>
      <c r="K707" s="831"/>
      <c r="L707" s="831"/>
      <c r="M707" s="963"/>
      <c r="N707" s="1380"/>
      <c r="O707" s="831"/>
      <c r="P707" s="831"/>
      <c r="Q707" s="1244"/>
      <c r="R707" s="1244"/>
      <c r="S707" s="1244"/>
      <c r="T707" s="1244"/>
      <c r="U707" s="1244"/>
      <c r="V707" s="1244"/>
      <c r="W707" s="1244"/>
      <c r="X707" s="1244"/>
      <c r="Y707" s="1244"/>
      <c r="Z707" s="1244"/>
    </row>
    <row r="708" spans="1:26" ht="19.5" hidden="1">
      <c r="A708" s="1368"/>
      <c r="B708" s="1243"/>
      <c r="C708" s="1243"/>
      <c r="D708" s="1322" t="s">
        <v>299</v>
      </c>
      <c r="E708" s="1243"/>
      <c r="F708" s="1243"/>
      <c r="G708" s="963"/>
      <c r="H708" s="733" t="s">
        <v>46</v>
      </c>
      <c r="I708" s="1381">
        <f ca="1">IFERROR(__xludf.DUMMYFUNCTION("IMPORTRANGE(""https://docs.google.com/spreadsheets/d/1QqKyyYR6Q21VydFLVH3TRQUabQu_ym0Zz7PgGX0-kHA/edit?usp=sharing"",""แผน!IH24"")"),0)</f>
        <v>0</v>
      </c>
      <c r="J708" s="966">
        <f>J714+J717</f>
        <v>0</v>
      </c>
      <c r="K708" s="967">
        <f ca="1">IF(I708&gt;0,J708*100/I708,0)</f>
        <v>0</v>
      </c>
      <c r="L708" s="831"/>
      <c r="M708" s="963"/>
      <c r="N708" s="1380"/>
      <c r="O708" s="831"/>
      <c r="P708" s="831"/>
      <c r="Q708" s="1244"/>
      <c r="R708" s="1244"/>
      <c r="S708" s="1244"/>
      <c r="T708" s="1244"/>
      <c r="U708" s="1244"/>
      <c r="V708" s="1244"/>
      <c r="W708" s="1244"/>
      <c r="X708" s="1244"/>
      <c r="Y708" s="1244"/>
      <c r="Z708" s="1244"/>
    </row>
    <row r="709" spans="1:26" ht="18.75" hidden="1">
      <c r="A709" s="1368"/>
      <c r="B709" s="1243"/>
      <c r="C709" s="1243"/>
      <c r="D709" s="1243"/>
      <c r="E709" s="1243" t="s">
        <v>300</v>
      </c>
      <c r="F709" s="1243"/>
      <c r="G709" s="963"/>
      <c r="H709" s="730" t="s">
        <v>34</v>
      </c>
      <c r="I709" s="1379"/>
      <c r="J709" s="959">
        <v>0</v>
      </c>
      <c r="K709" s="831"/>
      <c r="L709" s="1380"/>
      <c r="M709" s="963"/>
      <c r="N709" s="1380"/>
      <c r="O709" s="831"/>
      <c r="P709" s="831"/>
      <c r="Q709" s="1244"/>
      <c r="R709" s="1244"/>
      <c r="S709" s="1244"/>
      <c r="T709" s="1244"/>
      <c r="U709" s="1244"/>
      <c r="V709" s="1244"/>
      <c r="W709" s="1244"/>
      <c r="X709" s="1244"/>
      <c r="Y709" s="1244"/>
      <c r="Z709" s="1244"/>
    </row>
    <row r="710" spans="1:26" ht="18.75" hidden="1">
      <c r="A710" s="1368"/>
      <c r="B710" s="1243"/>
      <c r="C710" s="1243"/>
      <c r="D710" s="1243"/>
      <c r="E710" s="1243"/>
      <c r="F710" s="1243"/>
      <c r="G710" s="963"/>
      <c r="H710" s="730" t="s">
        <v>46</v>
      </c>
      <c r="I710" s="1379"/>
      <c r="J710" s="959">
        <v>0</v>
      </c>
      <c r="K710" s="831"/>
      <c r="L710" s="1380"/>
      <c r="M710" s="963"/>
      <c r="N710" s="1380"/>
      <c r="O710" s="831"/>
      <c r="P710" s="831"/>
      <c r="Q710" s="1244"/>
      <c r="R710" s="1244"/>
      <c r="S710" s="1244"/>
      <c r="T710" s="1244"/>
      <c r="U710" s="1244"/>
      <c r="V710" s="1244"/>
      <c r="W710" s="1244"/>
      <c r="X710" s="1244"/>
      <c r="Y710" s="1244"/>
      <c r="Z710" s="1244"/>
    </row>
    <row r="711" spans="1:26" ht="18.75" hidden="1">
      <c r="A711" s="1368"/>
      <c r="B711" s="1243"/>
      <c r="C711" s="1243"/>
      <c r="D711" s="1243"/>
      <c r="E711" s="1243" t="s">
        <v>301</v>
      </c>
      <c r="F711" s="1243"/>
      <c r="G711" s="963"/>
      <c r="H711" s="954"/>
      <c r="I711" s="1379"/>
      <c r="J711" s="830"/>
      <c r="K711" s="831"/>
      <c r="L711" s="1380"/>
      <c r="M711" s="963"/>
      <c r="N711" s="1380"/>
      <c r="O711" s="831"/>
      <c r="P711" s="831"/>
      <c r="Q711" s="1244"/>
      <c r="R711" s="1244"/>
      <c r="S711" s="1244"/>
      <c r="T711" s="1244"/>
      <c r="U711" s="1244"/>
      <c r="V711" s="1244"/>
      <c r="W711" s="1244"/>
      <c r="X711" s="1244"/>
      <c r="Y711" s="1244"/>
      <c r="Z711" s="1244"/>
    </row>
    <row r="712" spans="1:26" ht="18.75" hidden="1">
      <c r="A712" s="1368"/>
      <c r="B712" s="1243"/>
      <c r="C712" s="1243"/>
      <c r="D712" s="1243"/>
      <c r="E712" s="1243"/>
      <c r="F712" s="1243" t="s">
        <v>302</v>
      </c>
      <c r="G712" s="963"/>
      <c r="H712" s="730" t="s">
        <v>35</v>
      </c>
      <c r="I712" s="1379"/>
      <c r="J712" s="959">
        <v>0</v>
      </c>
      <c r="K712" s="831"/>
      <c r="L712" s="1380"/>
      <c r="M712" s="963"/>
      <c r="N712" s="1380"/>
      <c r="O712" s="831"/>
      <c r="P712" s="831"/>
      <c r="Q712" s="1244"/>
      <c r="R712" s="1244"/>
      <c r="S712" s="1244"/>
      <c r="T712" s="1244"/>
      <c r="U712" s="1244"/>
      <c r="V712" s="1244"/>
      <c r="W712" s="1244"/>
      <c r="X712" s="1244"/>
      <c r="Y712" s="1244"/>
      <c r="Z712" s="1244"/>
    </row>
    <row r="713" spans="1:26" ht="18.75" hidden="1">
      <c r="A713" s="1368"/>
      <c r="B713" s="1243"/>
      <c r="C713" s="1243"/>
      <c r="D713" s="1243"/>
      <c r="E713" s="1243"/>
      <c r="F713" s="1243"/>
      <c r="G713" s="963"/>
      <c r="H713" s="730" t="s">
        <v>34</v>
      </c>
      <c r="I713" s="1379"/>
      <c r="J713" s="959">
        <v>0</v>
      </c>
      <c r="K713" s="831"/>
      <c r="L713" s="1380"/>
      <c r="M713" s="963"/>
      <c r="N713" s="1380"/>
      <c r="O713" s="831"/>
      <c r="P713" s="831"/>
      <c r="Q713" s="1244"/>
      <c r="R713" s="1244"/>
      <c r="S713" s="1244"/>
      <c r="T713" s="1244"/>
      <c r="U713" s="1244"/>
      <c r="V713" s="1244"/>
      <c r="W713" s="1244"/>
      <c r="X713" s="1244"/>
      <c r="Y713" s="1244"/>
      <c r="Z713" s="1244"/>
    </row>
    <row r="714" spans="1:26" ht="18.75" hidden="1">
      <c r="A714" s="1368"/>
      <c r="B714" s="1243"/>
      <c r="C714" s="1243"/>
      <c r="D714" s="1243"/>
      <c r="E714" s="1243"/>
      <c r="F714" s="1243"/>
      <c r="G714" s="963"/>
      <c r="H714" s="730" t="s">
        <v>46</v>
      </c>
      <c r="I714" s="1379"/>
      <c r="J714" s="959">
        <v>0</v>
      </c>
      <c r="K714" s="831"/>
      <c r="L714" s="1380"/>
      <c r="M714" s="963"/>
      <c r="N714" s="1380"/>
      <c r="O714" s="831"/>
      <c r="P714" s="831"/>
      <c r="Q714" s="1244"/>
      <c r="R714" s="1244"/>
      <c r="S714" s="1244"/>
      <c r="T714" s="1244"/>
      <c r="U714" s="1244"/>
      <c r="V714" s="1244"/>
      <c r="W714" s="1244"/>
      <c r="X714" s="1244"/>
      <c r="Y714" s="1244"/>
      <c r="Z714" s="1244"/>
    </row>
    <row r="715" spans="1:26" ht="18.75" hidden="1">
      <c r="A715" s="1368"/>
      <c r="B715" s="1243"/>
      <c r="C715" s="1243"/>
      <c r="D715" s="1243"/>
      <c r="E715" s="1243"/>
      <c r="F715" s="1243" t="s">
        <v>303</v>
      </c>
      <c r="G715" s="963"/>
      <c r="H715" s="730" t="s">
        <v>35</v>
      </c>
      <c r="I715" s="1379"/>
      <c r="J715" s="959">
        <v>0</v>
      </c>
      <c r="K715" s="831"/>
      <c r="L715" s="1380"/>
      <c r="M715" s="963"/>
      <c r="N715" s="1380"/>
      <c r="O715" s="831"/>
      <c r="P715" s="831"/>
      <c r="Q715" s="1244"/>
      <c r="R715" s="1244"/>
      <c r="S715" s="1244"/>
      <c r="T715" s="1244"/>
      <c r="U715" s="1244"/>
      <c r="V715" s="1244"/>
      <c r="W715" s="1244"/>
      <c r="X715" s="1244"/>
      <c r="Y715" s="1244"/>
      <c r="Z715" s="1244"/>
    </row>
    <row r="716" spans="1:26" ht="18.75" hidden="1">
      <c r="A716" s="1368"/>
      <c r="B716" s="1243"/>
      <c r="C716" s="1243"/>
      <c r="D716" s="1243"/>
      <c r="E716" s="1243"/>
      <c r="F716" s="1243"/>
      <c r="G716" s="963"/>
      <c r="H716" s="730" t="s">
        <v>34</v>
      </c>
      <c r="I716" s="1379"/>
      <c r="J716" s="959">
        <v>0</v>
      </c>
      <c r="K716" s="831"/>
      <c r="L716" s="1380"/>
      <c r="M716" s="963"/>
      <c r="N716" s="1380"/>
      <c r="O716" s="831"/>
      <c r="P716" s="831"/>
      <c r="Q716" s="1244"/>
      <c r="R716" s="1244"/>
      <c r="S716" s="1244"/>
      <c r="T716" s="1244"/>
      <c r="U716" s="1244"/>
      <c r="V716" s="1244"/>
      <c r="W716" s="1244"/>
      <c r="X716" s="1244"/>
      <c r="Y716" s="1244"/>
      <c r="Z716" s="1244"/>
    </row>
    <row r="717" spans="1:26" ht="18.75" hidden="1">
      <c r="A717" s="1368"/>
      <c r="B717" s="1243"/>
      <c r="C717" s="1243"/>
      <c r="D717" s="1243"/>
      <c r="E717" s="1243"/>
      <c r="F717" s="1243"/>
      <c r="G717" s="963"/>
      <c r="H717" s="730" t="s">
        <v>46</v>
      </c>
      <c r="I717" s="1379"/>
      <c r="J717" s="959">
        <v>0</v>
      </c>
      <c r="K717" s="831"/>
      <c r="L717" s="1380"/>
      <c r="M717" s="963"/>
      <c r="N717" s="1380"/>
      <c r="O717" s="831"/>
      <c r="P717" s="831"/>
      <c r="Q717" s="1244"/>
      <c r="R717" s="1244"/>
      <c r="S717" s="1244"/>
      <c r="T717" s="1244"/>
      <c r="U717" s="1244"/>
      <c r="V717" s="1244"/>
      <c r="W717" s="1244"/>
      <c r="X717" s="1244"/>
      <c r="Y717" s="1244"/>
      <c r="Z717" s="1244"/>
    </row>
    <row r="718" spans="1:26" ht="18.75" hidden="1">
      <c r="A718" s="1368"/>
      <c r="B718" s="1243"/>
      <c r="C718" s="1243"/>
      <c r="D718" s="1243" t="s">
        <v>304</v>
      </c>
      <c r="E718" s="1243"/>
      <c r="F718" s="1243"/>
      <c r="G718" s="963"/>
      <c r="H718" s="730" t="s">
        <v>35</v>
      </c>
      <c r="I718" s="1379"/>
      <c r="J718" s="830">
        <f ca="1">IFERROR(__xludf.DUMMYFUNCTION("IMPORTRANGE(""https://docs.google.com/spreadsheets/d/1XWAQStnk-4SwqDmLtmXYiTMKHgktTP8We1SCoS47DrQ/edit?usp=sharing"",""จัดที่ดิน!BF24"")"),0)</f>
        <v>0</v>
      </c>
      <c r="K718" s="831"/>
      <c r="L718" s="831"/>
      <c r="M718" s="963"/>
      <c r="N718" s="1380"/>
      <c r="O718" s="831"/>
      <c r="P718" s="831"/>
      <c r="Q718" s="1244"/>
      <c r="R718" s="1244"/>
      <c r="S718" s="1244"/>
      <c r="T718" s="1244"/>
      <c r="U718" s="1244"/>
      <c r="V718" s="1244"/>
      <c r="W718" s="1244"/>
      <c r="X718" s="1244"/>
      <c r="Y718" s="1244"/>
      <c r="Z718" s="1244"/>
    </row>
    <row r="719" spans="1:26" ht="18.75" hidden="1">
      <c r="A719" s="1368"/>
      <c r="B719" s="1243"/>
      <c r="C719" s="1243"/>
      <c r="D719" s="1243"/>
      <c r="E719" s="1243"/>
      <c r="F719" s="1243"/>
      <c r="G719" s="963"/>
      <c r="H719" s="730" t="s">
        <v>34</v>
      </c>
      <c r="I719" s="1379"/>
      <c r="J719" s="830">
        <f ca="1">IFERROR(__xludf.DUMMYFUNCTION("IMPORTRANGE(""https://docs.google.com/spreadsheets/d/1XWAQStnk-4SwqDmLtmXYiTMKHgktTP8We1SCoS47DrQ/edit?usp=sharing"",""จัดที่ดิน!BG24"")"),0)</f>
        <v>0</v>
      </c>
      <c r="K719" s="831"/>
      <c r="L719" s="1380"/>
      <c r="M719" s="963"/>
      <c r="N719" s="1380"/>
      <c r="O719" s="831"/>
      <c r="P719" s="831"/>
      <c r="Q719" s="1244"/>
      <c r="R719" s="1244"/>
      <c r="S719" s="1244"/>
      <c r="T719" s="1244"/>
      <c r="U719" s="1244"/>
      <c r="V719" s="1244"/>
      <c r="W719" s="1244"/>
      <c r="X719" s="1244"/>
      <c r="Y719" s="1244"/>
      <c r="Z719" s="1244"/>
    </row>
    <row r="720" spans="1:26" ht="18.75" hidden="1">
      <c r="A720" s="1368"/>
      <c r="B720" s="1243"/>
      <c r="C720" s="1243"/>
      <c r="D720" s="1243"/>
      <c r="E720" s="1243"/>
      <c r="F720" s="1243"/>
      <c r="G720" s="963"/>
      <c r="H720" s="730" t="s">
        <v>46</v>
      </c>
      <c r="I720" s="1379">
        <f ca="1">IFERROR(__xludf.DUMMYFUNCTION("IMPORTRANGE(""https://docs.google.com/spreadsheets/d/1QqKyyYR6Q21VydFLVH3TRQUabQu_ym0Zz7PgGX0-kHA/edit?usp=sharing"",""แผน!II24"")"),0)</f>
        <v>0</v>
      </c>
      <c r="J720" s="830">
        <f ca="1">IFERROR(__xludf.DUMMYFUNCTION("IMPORTRANGE(""https://docs.google.com/spreadsheets/d/1XWAQStnk-4SwqDmLtmXYiTMKHgktTP8We1SCoS47DrQ/edit?usp=sharing"",""จัดที่ดิน!BH24"")"),0)</f>
        <v>0</v>
      </c>
      <c r="K720" s="831">
        <f t="shared" ref="K720:K723" ca="1" si="291">IF(I720&gt;0,J720*100/I720,0)</f>
        <v>0</v>
      </c>
      <c r="L720" s="1380"/>
      <c r="M720" s="963"/>
      <c r="N720" s="1380"/>
      <c r="O720" s="831"/>
      <c r="P720" s="831"/>
      <c r="Q720" s="1244"/>
      <c r="R720" s="1244"/>
      <c r="S720" s="1244"/>
      <c r="T720" s="1244"/>
      <c r="U720" s="1244"/>
      <c r="V720" s="1244"/>
      <c r="W720" s="1244"/>
      <c r="X720" s="1244"/>
      <c r="Y720" s="1244"/>
      <c r="Z720" s="1244"/>
    </row>
    <row r="721" spans="1:26" ht="19.5" hidden="1">
      <c r="A721" s="1368"/>
      <c r="B721" s="1243"/>
      <c r="C721" s="1243"/>
      <c r="D721" s="1243" t="s">
        <v>305</v>
      </c>
      <c r="E721" s="1243"/>
      <c r="F721" s="1243"/>
      <c r="G721" s="963"/>
      <c r="H721" s="733" t="s">
        <v>35</v>
      </c>
      <c r="I721" s="1381">
        <f ca="1">IFERROR(__xludf.DUMMYFUNCTION("IMPORTRANGE(""https://docs.google.com/spreadsheets/d/1QqKyyYR6Q21VydFLVH3TRQUabQu_ym0Zz7PgGX0-kHA/edit?usp=sharing"",""แผน!IJ24"")"),0)</f>
        <v>0</v>
      </c>
      <c r="J721" s="966">
        <f ca="1">J723+J726</f>
        <v>0</v>
      </c>
      <c r="K721" s="967">
        <f t="shared" ca="1" si="291"/>
        <v>0</v>
      </c>
      <c r="L721" s="1380"/>
      <c r="M721" s="963"/>
      <c r="N721" s="1380"/>
      <c r="O721" s="831"/>
      <c r="P721" s="831"/>
      <c r="Q721" s="1244"/>
      <c r="R721" s="1244"/>
      <c r="S721" s="1244"/>
      <c r="T721" s="1244"/>
      <c r="U721" s="1244"/>
      <c r="V721" s="1244"/>
      <c r="W721" s="1244"/>
      <c r="X721" s="1244"/>
      <c r="Y721" s="1244"/>
      <c r="Z721" s="1244"/>
    </row>
    <row r="722" spans="1:26" ht="19.5" hidden="1">
      <c r="A722" s="1368"/>
      <c r="B722" s="1243"/>
      <c r="C722" s="1243"/>
      <c r="D722" s="1243"/>
      <c r="E722" s="1243"/>
      <c r="F722" s="1243"/>
      <c r="G722" s="963"/>
      <c r="H722" s="733" t="s">
        <v>46</v>
      </c>
      <c r="I722" s="1381">
        <f ca="1">IFERROR(__xludf.DUMMYFUNCTION("IMPORTRANGE(""https://docs.google.com/spreadsheets/d/1QqKyyYR6Q21VydFLVH3TRQUabQu_ym0Zz7PgGX0-kHA/edit?usp=sharing"",""แผน!IK24"")"),0)</f>
        <v>0</v>
      </c>
      <c r="J722" s="966">
        <f ca="1">J725+J728</f>
        <v>0</v>
      </c>
      <c r="K722" s="967">
        <f t="shared" ca="1" si="291"/>
        <v>0</v>
      </c>
      <c r="L722" s="831"/>
      <c r="M722" s="963"/>
      <c r="N722" s="1380"/>
      <c r="O722" s="831"/>
      <c r="P722" s="831"/>
      <c r="Q722" s="1244"/>
      <c r="R722" s="1244"/>
      <c r="S722" s="1244"/>
      <c r="T722" s="1244"/>
      <c r="U722" s="1244"/>
      <c r="V722" s="1244"/>
      <c r="W722" s="1244"/>
      <c r="X722" s="1244"/>
      <c r="Y722" s="1244"/>
      <c r="Z722" s="1244"/>
    </row>
    <row r="723" spans="1:26" ht="18.75" hidden="1">
      <c r="A723" s="1368"/>
      <c r="B723" s="1243"/>
      <c r="C723" s="1243"/>
      <c r="D723" s="1243"/>
      <c r="E723" s="1243" t="s">
        <v>306</v>
      </c>
      <c r="F723" s="1243"/>
      <c r="G723" s="963"/>
      <c r="H723" s="730" t="s">
        <v>35</v>
      </c>
      <c r="I723" s="1379">
        <f ca="1">IFERROR(__xludf.DUMMYFUNCTION("IMPORTRANGE(""https://docs.google.com/spreadsheets/d/1QqKyyYR6Q21VydFLVH3TRQUabQu_ym0Zz7PgGX0-kHA/edit?usp=sharing"",""แผน!IL24"")"),0)</f>
        <v>0</v>
      </c>
      <c r="J723" s="830">
        <f ca="1">IFERROR(__xludf.DUMMYFUNCTION("IMPORTRANGE(""https://docs.google.com/spreadsheets/d/1XWAQStnk-4SwqDmLtmXYiTMKHgktTP8We1SCoS47DrQ/edit?usp=sharing"",""จัดที่ดิน!BM24"")"),0)</f>
        <v>0</v>
      </c>
      <c r="K723" s="831">
        <f t="shared" ca="1" si="291"/>
        <v>0</v>
      </c>
      <c r="L723" s="831"/>
      <c r="M723" s="963"/>
      <c r="N723" s="1380"/>
      <c r="O723" s="831"/>
      <c r="P723" s="831"/>
      <c r="Q723" s="1244"/>
      <c r="R723" s="1244"/>
      <c r="S723" s="1244"/>
      <c r="T723" s="1244"/>
      <c r="U723" s="1244"/>
      <c r="V723" s="1244"/>
      <c r="W723" s="1244"/>
      <c r="X723" s="1244"/>
      <c r="Y723" s="1244"/>
      <c r="Z723" s="1244"/>
    </row>
    <row r="724" spans="1:26" ht="18.75" hidden="1">
      <c r="A724" s="1368"/>
      <c r="B724" s="1243"/>
      <c r="C724" s="1243"/>
      <c r="D724" s="1243"/>
      <c r="E724" s="1243"/>
      <c r="F724" s="1243"/>
      <c r="G724" s="963"/>
      <c r="H724" s="730" t="s">
        <v>34</v>
      </c>
      <c r="I724" s="1379"/>
      <c r="J724" s="830">
        <f ca="1">IFERROR(__xludf.DUMMYFUNCTION("IMPORTRANGE(""https://docs.google.com/spreadsheets/d/1XWAQStnk-4SwqDmLtmXYiTMKHgktTP8We1SCoS47DrQ/edit?usp=sharing"",""จัดที่ดิน!BN24"")"),0)</f>
        <v>0</v>
      </c>
      <c r="K724" s="831"/>
      <c r="L724" s="1380"/>
      <c r="M724" s="963"/>
      <c r="N724" s="1380"/>
      <c r="O724" s="831"/>
      <c r="P724" s="831"/>
      <c r="Q724" s="1244"/>
      <c r="R724" s="1244"/>
      <c r="S724" s="1244"/>
      <c r="T724" s="1244"/>
      <c r="U724" s="1244"/>
      <c r="V724" s="1244"/>
      <c r="W724" s="1244"/>
      <c r="X724" s="1244"/>
      <c r="Y724" s="1244"/>
      <c r="Z724" s="1244"/>
    </row>
    <row r="725" spans="1:26" ht="18.75" hidden="1">
      <c r="A725" s="1368"/>
      <c r="B725" s="1243"/>
      <c r="C725" s="1243"/>
      <c r="D725" s="1243"/>
      <c r="E725" s="1243"/>
      <c r="F725" s="1243"/>
      <c r="G725" s="963"/>
      <c r="H725" s="730" t="s">
        <v>46</v>
      </c>
      <c r="I725" s="1379">
        <f ca="1">IFERROR(__xludf.DUMMYFUNCTION("IMPORTRANGE(""https://docs.google.com/spreadsheets/d/1QqKyyYR6Q21VydFLVH3TRQUabQu_ym0Zz7PgGX0-kHA/edit?usp=sharing"",""แผน!IM24"")"),0)</f>
        <v>0</v>
      </c>
      <c r="J725" s="830">
        <f ca="1">IFERROR(__xludf.DUMMYFUNCTION("IMPORTRANGE(""https://docs.google.com/spreadsheets/d/1XWAQStnk-4SwqDmLtmXYiTMKHgktTP8We1SCoS47DrQ/edit?usp=sharing"",""จัดที่ดิน!BO24"")"),0)</f>
        <v>0</v>
      </c>
      <c r="K725" s="831">
        <f t="shared" ref="K725:K726" ca="1" si="292">IF(I725&gt;0,J725*100/I725,0)</f>
        <v>0</v>
      </c>
      <c r="L725" s="1380"/>
      <c r="M725" s="963"/>
      <c r="N725" s="1380"/>
      <c r="O725" s="831"/>
      <c r="P725" s="831"/>
      <c r="Q725" s="1244"/>
      <c r="R725" s="1244"/>
      <c r="S725" s="1244"/>
      <c r="T725" s="1244"/>
      <c r="U725" s="1244"/>
      <c r="V725" s="1244"/>
      <c r="W725" s="1244"/>
      <c r="X725" s="1244"/>
      <c r="Y725" s="1244"/>
      <c r="Z725" s="1244"/>
    </row>
    <row r="726" spans="1:26" ht="18.75" hidden="1">
      <c r="A726" s="1368"/>
      <c r="B726" s="1243"/>
      <c r="C726" s="1243"/>
      <c r="D726" s="1243"/>
      <c r="E726" s="1243" t="s">
        <v>307</v>
      </c>
      <c r="F726" s="1243"/>
      <c r="G726" s="963"/>
      <c r="H726" s="730" t="s">
        <v>35</v>
      </c>
      <c r="I726" s="1379">
        <f ca="1">IFERROR(__xludf.DUMMYFUNCTION("IMPORTRANGE(""https://docs.google.com/spreadsheets/d/1QqKyyYR6Q21VydFLVH3TRQUabQu_ym0Zz7PgGX0-kHA/edit?usp=sharing"",""แผน!IN24"")"),0)</f>
        <v>0</v>
      </c>
      <c r="J726" s="830">
        <f ca="1">IFERROR(__xludf.DUMMYFUNCTION("IMPORTRANGE(""https://docs.google.com/spreadsheets/d/1XWAQStnk-4SwqDmLtmXYiTMKHgktTP8We1SCoS47DrQ/edit?usp=sharing"",""จัดที่ดิน!BR24"")"),0)</f>
        <v>0</v>
      </c>
      <c r="K726" s="831">
        <f t="shared" ca="1" si="292"/>
        <v>0</v>
      </c>
      <c r="L726" s="831"/>
      <c r="M726" s="963"/>
      <c r="N726" s="1380"/>
      <c r="O726" s="831"/>
      <c r="P726" s="831"/>
      <c r="Q726" s="1244"/>
      <c r="R726" s="1244"/>
      <c r="S726" s="1244"/>
      <c r="T726" s="1244"/>
      <c r="U726" s="1244"/>
      <c r="V726" s="1244"/>
      <c r="W726" s="1244"/>
      <c r="X726" s="1244"/>
      <c r="Y726" s="1244"/>
      <c r="Z726" s="1244"/>
    </row>
    <row r="727" spans="1:26" ht="18.75" hidden="1">
      <c r="A727" s="1368"/>
      <c r="B727" s="1243"/>
      <c r="C727" s="1243"/>
      <c r="D727" s="1243"/>
      <c r="E727" s="1243"/>
      <c r="F727" s="1243"/>
      <c r="G727" s="963"/>
      <c r="H727" s="730" t="s">
        <v>34</v>
      </c>
      <c r="I727" s="1379"/>
      <c r="J727" s="830">
        <f ca="1">IFERROR(__xludf.DUMMYFUNCTION("IMPORTRANGE(""https://docs.google.com/spreadsheets/d/1XWAQStnk-4SwqDmLtmXYiTMKHgktTP8We1SCoS47DrQ/edit?usp=sharing"",""จัดที่ดิน!BS24"")"),0)</f>
        <v>0</v>
      </c>
      <c r="K727" s="831"/>
      <c r="L727" s="1380"/>
      <c r="M727" s="963"/>
      <c r="N727" s="1380"/>
      <c r="O727" s="831"/>
      <c r="P727" s="831"/>
      <c r="Q727" s="1244"/>
      <c r="R727" s="1244"/>
      <c r="S727" s="1244"/>
      <c r="T727" s="1244"/>
      <c r="U727" s="1244"/>
      <c r="V727" s="1244"/>
      <c r="W727" s="1244"/>
      <c r="X727" s="1244"/>
      <c r="Y727" s="1244"/>
      <c r="Z727" s="1244"/>
    </row>
    <row r="728" spans="1:26" ht="18.75" hidden="1">
      <c r="A728" s="1368"/>
      <c r="B728" s="1243"/>
      <c r="C728" s="1243"/>
      <c r="D728" s="1243"/>
      <c r="E728" s="1243"/>
      <c r="F728" s="1243"/>
      <c r="G728" s="963"/>
      <c r="H728" s="730" t="s">
        <v>46</v>
      </c>
      <c r="I728" s="1379">
        <f ca="1">IFERROR(__xludf.DUMMYFUNCTION("IMPORTRANGE(""https://docs.google.com/spreadsheets/d/1QqKyyYR6Q21VydFLVH3TRQUabQu_ym0Zz7PgGX0-kHA/edit?usp=sharing"",""แผน!IO24"")"),0)</f>
        <v>0</v>
      </c>
      <c r="J728" s="830">
        <f ca="1">IFERROR(__xludf.DUMMYFUNCTION("IMPORTRANGE(""https://docs.google.com/spreadsheets/d/1XWAQStnk-4SwqDmLtmXYiTMKHgktTP8We1SCoS47DrQ/edit?usp=sharing"",""จัดที่ดิน!BT24"")"),0)</f>
        <v>0</v>
      </c>
      <c r="K728" s="831">
        <f t="shared" ref="K728:K729" ca="1" si="293">IF(I728&gt;0,J728*100/I728,0)</f>
        <v>0</v>
      </c>
      <c r="L728" s="1380"/>
      <c r="M728" s="963"/>
      <c r="N728" s="1380"/>
      <c r="O728" s="831"/>
      <c r="P728" s="831"/>
      <c r="Q728" s="1244"/>
      <c r="R728" s="1244"/>
      <c r="S728" s="1244"/>
      <c r="T728" s="1244"/>
      <c r="U728" s="1244"/>
      <c r="V728" s="1244"/>
      <c r="W728" s="1244"/>
      <c r="X728" s="1244"/>
      <c r="Y728" s="1244"/>
      <c r="Z728" s="1244"/>
    </row>
    <row r="729" spans="1:26" ht="19.5" hidden="1">
      <c r="A729" s="1368"/>
      <c r="B729" s="1243"/>
      <c r="C729" s="1243"/>
      <c r="D729" s="1243" t="s">
        <v>308</v>
      </c>
      <c r="E729" s="1243"/>
      <c r="F729" s="1243"/>
      <c r="G729" s="963"/>
      <c r="H729" s="733" t="s">
        <v>46</v>
      </c>
      <c r="I729" s="1381">
        <f ca="1">IFERROR(__xludf.DUMMYFUNCTION("IMPORTRANGE(""https://docs.google.com/spreadsheets/d/1QqKyyYR6Q21VydFLVH3TRQUabQu_ym0Zz7PgGX0-kHA/edit?usp=sharing"",""แผน!IP24"")"),0)</f>
        <v>0</v>
      </c>
      <c r="J729" s="966">
        <f>J732+J735</f>
        <v>0</v>
      </c>
      <c r="K729" s="967">
        <f t="shared" ca="1" si="293"/>
        <v>0</v>
      </c>
      <c r="L729" s="831"/>
      <c r="M729" s="963"/>
      <c r="N729" s="1380"/>
      <c r="O729" s="831"/>
      <c r="P729" s="831"/>
      <c r="Q729" s="1244"/>
      <c r="R729" s="1244"/>
      <c r="S729" s="1244"/>
      <c r="T729" s="1244"/>
      <c r="U729" s="1244"/>
      <c r="V729" s="1244"/>
      <c r="W729" s="1244"/>
      <c r="X729" s="1244"/>
      <c r="Y729" s="1244"/>
      <c r="Z729" s="1244"/>
    </row>
    <row r="730" spans="1:26" ht="18.75" hidden="1">
      <c r="A730" s="1368"/>
      <c r="B730" s="1243"/>
      <c r="C730" s="1243"/>
      <c r="D730" s="1243"/>
      <c r="E730" s="1243" t="s">
        <v>309</v>
      </c>
      <c r="F730" s="1243"/>
      <c r="G730" s="963"/>
      <c r="H730" s="730" t="s">
        <v>35</v>
      </c>
      <c r="I730" s="1379"/>
      <c r="J730" s="959">
        <v>0</v>
      </c>
      <c r="K730" s="831"/>
      <c r="L730" s="1380"/>
      <c r="M730" s="831"/>
      <c r="N730" s="1380"/>
      <c r="O730" s="831"/>
      <c r="P730" s="831"/>
      <c r="Q730" s="1244"/>
      <c r="R730" s="1244"/>
      <c r="S730" s="1244"/>
      <c r="T730" s="1244"/>
      <c r="U730" s="1244"/>
      <c r="V730" s="1244"/>
      <c r="W730" s="1244"/>
      <c r="X730" s="1244"/>
      <c r="Y730" s="1244"/>
      <c r="Z730" s="1244"/>
    </row>
    <row r="731" spans="1:26" ht="18.75" hidden="1">
      <c r="A731" s="1368"/>
      <c r="B731" s="1243"/>
      <c r="C731" s="1243"/>
      <c r="D731" s="1243"/>
      <c r="E731" s="1243"/>
      <c r="F731" s="1243"/>
      <c r="G731" s="963"/>
      <c r="H731" s="730" t="s">
        <v>34</v>
      </c>
      <c r="I731" s="1379"/>
      <c r="J731" s="959">
        <v>0</v>
      </c>
      <c r="K731" s="831"/>
      <c r="L731" s="1380"/>
      <c r="M731" s="831"/>
      <c r="N731" s="1380"/>
      <c r="O731" s="831"/>
      <c r="P731" s="831"/>
      <c r="Q731" s="1244"/>
      <c r="R731" s="1244"/>
      <c r="S731" s="1244"/>
      <c r="T731" s="1244"/>
      <c r="U731" s="1244"/>
      <c r="V731" s="1244"/>
      <c r="W731" s="1244"/>
      <c r="X731" s="1244"/>
      <c r="Y731" s="1244"/>
      <c r="Z731" s="1244"/>
    </row>
    <row r="732" spans="1:26" ht="18.75" hidden="1">
      <c r="A732" s="1368"/>
      <c r="B732" s="1243"/>
      <c r="C732" s="1243"/>
      <c r="D732" s="1243"/>
      <c r="E732" s="1243"/>
      <c r="F732" s="1243"/>
      <c r="G732" s="963"/>
      <c r="H732" s="730" t="s">
        <v>46</v>
      </c>
      <c r="I732" s="1379"/>
      <c r="J732" s="959">
        <v>0</v>
      </c>
      <c r="K732" s="831"/>
      <c r="L732" s="1380"/>
      <c r="M732" s="831"/>
      <c r="N732" s="1380"/>
      <c r="O732" s="831"/>
      <c r="P732" s="831"/>
      <c r="Q732" s="1244"/>
      <c r="R732" s="1244"/>
      <c r="S732" s="1244"/>
      <c r="T732" s="1244"/>
      <c r="U732" s="1244"/>
      <c r="V732" s="1244"/>
      <c r="W732" s="1244"/>
      <c r="X732" s="1244"/>
      <c r="Y732" s="1244"/>
      <c r="Z732" s="1244"/>
    </row>
    <row r="733" spans="1:26" ht="18.75" hidden="1">
      <c r="A733" s="1368"/>
      <c r="B733" s="1243"/>
      <c r="C733" s="1243"/>
      <c r="D733" s="1243"/>
      <c r="E733" s="1243" t="s">
        <v>310</v>
      </c>
      <c r="F733" s="1243"/>
      <c r="G733" s="963"/>
      <c r="H733" s="730" t="s">
        <v>35</v>
      </c>
      <c r="I733" s="1379"/>
      <c r="J733" s="959">
        <v>0</v>
      </c>
      <c r="K733" s="831"/>
      <c r="L733" s="1380"/>
      <c r="M733" s="831"/>
      <c r="N733" s="1380"/>
      <c r="O733" s="831"/>
      <c r="P733" s="831"/>
      <c r="Q733" s="1244"/>
      <c r="R733" s="1244"/>
      <c r="S733" s="1244"/>
      <c r="T733" s="1244"/>
      <c r="U733" s="1244"/>
      <c r="V733" s="1244"/>
      <c r="W733" s="1244"/>
      <c r="X733" s="1244"/>
      <c r="Y733" s="1244"/>
      <c r="Z733" s="1244"/>
    </row>
    <row r="734" spans="1:26" ht="18.75" hidden="1">
      <c r="A734" s="1368"/>
      <c r="B734" s="1243"/>
      <c r="C734" s="1243"/>
      <c r="D734" s="1243"/>
      <c r="E734" s="1243"/>
      <c r="F734" s="1243"/>
      <c r="G734" s="963"/>
      <c r="H734" s="730" t="s">
        <v>34</v>
      </c>
      <c r="I734" s="1379"/>
      <c r="J734" s="959">
        <v>0</v>
      </c>
      <c r="K734" s="831"/>
      <c r="L734" s="1380"/>
      <c r="M734" s="831"/>
      <c r="N734" s="1380"/>
      <c r="O734" s="831"/>
      <c r="P734" s="831"/>
      <c r="Q734" s="1244"/>
      <c r="R734" s="1244"/>
      <c r="S734" s="1244"/>
      <c r="T734" s="1244"/>
      <c r="U734" s="1244"/>
      <c r="V734" s="1244"/>
      <c r="W734" s="1244"/>
      <c r="X734" s="1244"/>
      <c r="Y734" s="1244"/>
      <c r="Z734" s="1244"/>
    </row>
    <row r="735" spans="1:26" ht="19.5" hidden="1">
      <c r="A735" s="1382"/>
      <c r="B735" s="1383" t="s">
        <v>311</v>
      </c>
      <c r="C735" s="1116"/>
      <c r="D735" s="1116"/>
      <c r="E735" s="1116"/>
      <c r="F735" s="1116"/>
      <c r="G735" s="1361"/>
      <c r="H735" s="391" t="s">
        <v>46</v>
      </c>
      <c r="I735" s="1384"/>
      <c r="J735" s="1118">
        <v>0</v>
      </c>
      <c r="K735" s="1182"/>
      <c r="L735" s="1385"/>
      <c r="M735" s="1182"/>
      <c r="N735" s="1385"/>
      <c r="O735" s="1182"/>
      <c r="P735" s="1182"/>
      <c r="Q735" s="1244"/>
      <c r="R735" s="1244"/>
      <c r="S735" s="1244"/>
      <c r="T735" s="1244"/>
      <c r="U735" s="1244"/>
      <c r="V735" s="1244"/>
      <c r="W735" s="1244"/>
      <c r="X735" s="1244"/>
      <c r="Y735" s="1244"/>
      <c r="Z735" s="1244"/>
    </row>
    <row r="736" spans="1:26" ht="19.5" hidden="1">
      <c r="A736" s="740">
        <v>9</v>
      </c>
      <c r="B736" s="1386" t="s">
        <v>312</v>
      </c>
      <c r="C736" s="1387"/>
      <c r="D736" s="1387"/>
      <c r="E736" s="1387"/>
      <c r="F736" s="1387"/>
      <c r="G736" s="1388"/>
      <c r="H736" s="744" t="s">
        <v>46</v>
      </c>
      <c r="I736" s="1389"/>
      <c r="J736" s="1389">
        <f>J751</f>
        <v>0</v>
      </c>
      <c r="K736" s="1390">
        <f>IF(I736&gt;0,J736*100/I736,0)</f>
        <v>0</v>
      </c>
      <c r="L736" s="1391"/>
      <c r="M736" s="1391"/>
      <c r="N736" s="1391"/>
      <c r="O736" s="1391"/>
      <c r="P736" s="1391"/>
      <c r="Q736" s="1264"/>
      <c r="R736" s="1264"/>
      <c r="S736" s="1264"/>
      <c r="T736" s="1264"/>
      <c r="U736" s="1264"/>
      <c r="V736" s="1264"/>
      <c r="W736" s="1264"/>
      <c r="X736" s="1264"/>
      <c r="Y736" s="1264"/>
      <c r="Z736" s="1264"/>
    </row>
    <row r="737" spans="1:26" ht="19.5" hidden="1">
      <c r="A737" s="1260"/>
      <c r="B737" s="1261"/>
      <c r="C737" s="1261" t="s">
        <v>16</v>
      </c>
      <c r="D737" s="1508" t="s">
        <v>17</v>
      </c>
      <c r="E737" s="1485"/>
      <c r="F737" s="1485"/>
      <c r="G737" s="1263"/>
      <c r="H737" s="612" t="s">
        <v>12</v>
      </c>
      <c r="I737" s="836"/>
      <c r="J737" s="836"/>
      <c r="K737" s="837"/>
      <c r="L737" s="1292">
        <f t="shared" ref="L737:N737" si="294">L738+L739</f>
        <v>0</v>
      </c>
      <c r="M737" s="1292">
        <f t="shared" si="294"/>
        <v>0</v>
      </c>
      <c r="N737" s="1292">
        <f t="shared" si="294"/>
        <v>0</v>
      </c>
      <c r="O737" s="1292">
        <f t="shared" ref="O737:O742" si="295">IF(L737&gt;0,N737*100/L737,0)</f>
        <v>0</v>
      </c>
      <c r="P737" s="1292">
        <f t="shared" ref="P737:P742" si="296">IF(M737&gt;0,N737*100/M737,0)</f>
        <v>0</v>
      </c>
      <c r="Q737" s="1264"/>
      <c r="R737" s="1264"/>
      <c r="S737" s="1264"/>
      <c r="T737" s="1264"/>
      <c r="U737" s="1264"/>
      <c r="V737" s="1264"/>
      <c r="W737" s="1264"/>
      <c r="X737" s="1264"/>
      <c r="Y737" s="1264"/>
      <c r="Z737" s="1264"/>
    </row>
    <row r="738" spans="1:26" ht="18.75" hidden="1">
      <c r="A738" s="1260"/>
      <c r="B738" s="1261"/>
      <c r="C738" s="1261"/>
      <c r="D738" s="1262"/>
      <c r="E738" s="1261" t="s">
        <v>184</v>
      </c>
      <c r="F738" s="1261"/>
      <c r="G738" s="1263"/>
      <c r="H738" s="165" t="s">
        <v>12</v>
      </c>
      <c r="I738" s="836"/>
      <c r="J738" s="836"/>
      <c r="K738" s="837"/>
      <c r="L738" s="837">
        <f t="shared" ref="L738:N739" si="297">L741+L748</f>
        <v>0</v>
      </c>
      <c r="M738" s="837">
        <f t="shared" si="297"/>
        <v>0</v>
      </c>
      <c r="N738" s="837">
        <f t="shared" si="297"/>
        <v>0</v>
      </c>
      <c r="O738" s="837">
        <f t="shared" si="295"/>
        <v>0</v>
      </c>
      <c r="P738" s="837">
        <f t="shared" si="296"/>
        <v>0</v>
      </c>
      <c r="Q738" s="1264"/>
      <c r="R738" s="1264"/>
      <c r="S738" s="1264"/>
      <c r="T738" s="1264"/>
      <c r="U738" s="1264"/>
      <c r="V738" s="1264"/>
      <c r="W738" s="1264"/>
      <c r="X738" s="1264"/>
      <c r="Y738" s="1264"/>
      <c r="Z738" s="1264"/>
    </row>
    <row r="739" spans="1:26" ht="18.75" hidden="1">
      <c r="A739" s="1260"/>
      <c r="B739" s="1265"/>
      <c r="C739" s="1261"/>
      <c r="D739" s="1262"/>
      <c r="E739" s="1261" t="s">
        <v>185</v>
      </c>
      <c r="F739" s="1261"/>
      <c r="G739" s="1263"/>
      <c r="H739" s="165" t="s">
        <v>12</v>
      </c>
      <c r="I739" s="836"/>
      <c r="J739" s="836"/>
      <c r="K739" s="837"/>
      <c r="L739" s="837">
        <f t="shared" si="297"/>
        <v>0</v>
      </c>
      <c r="M739" s="837">
        <f t="shared" si="297"/>
        <v>0</v>
      </c>
      <c r="N739" s="837">
        <f t="shared" si="297"/>
        <v>0</v>
      </c>
      <c r="O739" s="837">
        <f t="shared" si="295"/>
        <v>0</v>
      </c>
      <c r="P739" s="837">
        <f t="shared" si="296"/>
        <v>0</v>
      </c>
      <c r="Q739" s="1264"/>
      <c r="R739" s="1264"/>
      <c r="S739" s="1264"/>
      <c r="T739" s="1264"/>
      <c r="U739" s="1264"/>
      <c r="V739" s="1264"/>
      <c r="W739" s="1264"/>
      <c r="X739" s="1264"/>
      <c r="Y739" s="1264"/>
      <c r="Z739" s="1264"/>
    </row>
    <row r="740" spans="1:26" ht="19.5" hidden="1">
      <c r="A740" s="1260"/>
      <c r="B740" s="1265"/>
      <c r="C740" s="1261"/>
      <c r="D740" s="1392" t="s">
        <v>20</v>
      </c>
      <c r="E740" s="1261"/>
      <c r="F740" s="1261"/>
      <c r="G740" s="1263"/>
      <c r="H740" s="612" t="s">
        <v>12</v>
      </c>
      <c r="I740" s="947"/>
      <c r="J740" s="947"/>
      <c r="K740" s="948"/>
      <c r="L740" s="1292">
        <f t="shared" ref="L740:N740" si="298">L741+L742</f>
        <v>0</v>
      </c>
      <c r="M740" s="1292">
        <f t="shared" si="298"/>
        <v>0</v>
      </c>
      <c r="N740" s="1292">
        <f t="shared" si="298"/>
        <v>0</v>
      </c>
      <c r="O740" s="1292">
        <f t="shared" si="295"/>
        <v>0</v>
      </c>
      <c r="P740" s="1292">
        <f t="shared" si="296"/>
        <v>0</v>
      </c>
      <c r="Q740" s="1264"/>
      <c r="R740" s="1264"/>
      <c r="S740" s="1264"/>
      <c r="T740" s="1264"/>
      <c r="U740" s="1264"/>
      <c r="V740" s="1264"/>
      <c r="W740" s="1264"/>
      <c r="X740" s="1264"/>
      <c r="Y740" s="1264"/>
      <c r="Z740" s="1264"/>
    </row>
    <row r="741" spans="1:26" ht="18.75" hidden="1">
      <c r="A741" s="1260"/>
      <c r="B741" s="1265"/>
      <c r="C741" s="1261"/>
      <c r="D741" s="1262"/>
      <c r="E741" s="1261" t="s">
        <v>184</v>
      </c>
      <c r="F741" s="1261"/>
      <c r="G741" s="1263"/>
      <c r="H741" s="165" t="s">
        <v>12</v>
      </c>
      <c r="I741" s="836"/>
      <c r="J741" s="836"/>
      <c r="K741" s="837"/>
      <c r="L741" s="837">
        <v>0</v>
      </c>
      <c r="M741" s="837">
        <v>0</v>
      </c>
      <c r="N741" s="837">
        <v>0</v>
      </c>
      <c r="O741" s="837">
        <f t="shared" si="295"/>
        <v>0</v>
      </c>
      <c r="P741" s="837">
        <f t="shared" si="296"/>
        <v>0</v>
      </c>
      <c r="Q741" s="1264"/>
      <c r="R741" s="1264"/>
      <c r="S741" s="1264"/>
      <c r="T741" s="1264"/>
      <c r="U741" s="1264"/>
      <c r="V741" s="1264"/>
      <c r="W741" s="1264"/>
      <c r="X741" s="1264"/>
      <c r="Y741" s="1264"/>
      <c r="Z741" s="1264"/>
    </row>
    <row r="742" spans="1:26" ht="18.75" hidden="1">
      <c r="A742" s="1260"/>
      <c r="B742" s="1265"/>
      <c r="C742" s="1261"/>
      <c r="D742" s="1262"/>
      <c r="E742" s="1261" t="s">
        <v>185</v>
      </c>
      <c r="F742" s="1261"/>
      <c r="G742" s="1263"/>
      <c r="H742" s="165" t="s">
        <v>12</v>
      </c>
      <c r="I742" s="836"/>
      <c r="J742" s="836"/>
      <c r="K742" s="837"/>
      <c r="L742" s="837">
        <v>0</v>
      </c>
      <c r="M742" s="837">
        <v>0</v>
      </c>
      <c r="N742" s="837">
        <f>N743+N744+N745+N746</f>
        <v>0</v>
      </c>
      <c r="O742" s="837">
        <f t="shared" si="295"/>
        <v>0</v>
      </c>
      <c r="P742" s="837">
        <f t="shared" si="296"/>
        <v>0</v>
      </c>
      <c r="Q742" s="1264"/>
      <c r="R742" s="1264"/>
      <c r="S742" s="1264"/>
      <c r="T742" s="1264"/>
      <c r="U742" s="1264"/>
      <c r="V742" s="1264"/>
      <c r="W742" s="1264"/>
      <c r="X742" s="1264"/>
      <c r="Y742" s="1264"/>
      <c r="Z742" s="1264"/>
    </row>
    <row r="743" spans="1:26" ht="18.75" hidden="1">
      <c r="A743" s="1294"/>
      <c r="B743" s="1265"/>
      <c r="C743" s="1261"/>
      <c r="D743" s="1261"/>
      <c r="E743" s="1261"/>
      <c r="F743" s="1261" t="s">
        <v>186</v>
      </c>
      <c r="G743" s="1263"/>
      <c r="H743" s="165" t="s">
        <v>12</v>
      </c>
      <c r="I743" s="836"/>
      <c r="J743" s="836"/>
      <c r="K743" s="837"/>
      <c r="L743" s="837"/>
      <c r="M743" s="837"/>
      <c r="N743" s="837"/>
      <c r="O743" s="837"/>
      <c r="P743" s="837"/>
      <c r="Q743" s="1264"/>
      <c r="R743" s="1264"/>
      <c r="S743" s="1264"/>
      <c r="T743" s="1264"/>
      <c r="U743" s="1264"/>
      <c r="V743" s="1264"/>
      <c r="W743" s="1264"/>
      <c r="X743" s="1264"/>
      <c r="Y743" s="1264"/>
      <c r="Z743" s="1264"/>
    </row>
    <row r="744" spans="1:26" ht="18.75" hidden="1">
      <c r="A744" s="1294"/>
      <c r="B744" s="1265"/>
      <c r="C744" s="1261"/>
      <c r="D744" s="1261"/>
      <c r="E744" s="1261"/>
      <c r="F744" s="1261" t="s">
        <v>187</v>
      </c>
      <c r="G744" s="1263"/>
      <c r="H744" s="165" t="s">
        <v>12</v>
      </c>
      <c r="I744" s="836"/>
      <c r="J744" s="836"/>
      <c r="K744" s="837"/>
      <c r="L744" s="837"/>
      <c r="M744" s="837"/>
      <c r="N744" s="837"/>
      <c r="O744" s="837"/>
      <c r="P744" s="837"/>
      <c r="Q744" s="1264"/>
      <c r="R744" s="1264"/>
      <c r="S744" s="1264"/>
      <c r="T744" s="1264"/>
      <c r="U744" s="1264"/>
      <c r="V744" s="1264"/>
      <c r="W744" s="1264"/>
      <c r="X744" s="1264"/>
      <c r="Y744" s="1264"/>
      <c r="Z744" s="1264"/>
    </row>
    <row r="745" spans="1:26" ht="18.75" hidden="1">
      <c r="A745" s="1294"/>
      <c r="B745" s="1265"/>
      <c r="C745" s="1261"/>
      <c r="D745" s="1261"/>
      <c r="E745" s="1261"/>
      <c r="F745" s="1261" t="s">
        <v>188</v>
      </c>
      <c r="G745" s="1263"/>
      <c r="H745" s="165" t="s">
        <v>12</v>
      </c>
      <c r="I745" s="836"/>
      <c r="J745" s="836"/>
      <c r="K745" s="837"/>
      <c r="L745" s="837"/>
      <c r="M745" s="837"/>
      <c r="N745" s="837"/>
      <c r="O745" s="837"/>
      <c r="P745" s="837"/>
      <c r="Q745" s="1264"/>
      <c r="R745" s="1264"/>
      <c r="S745" s="1264"/>
      <c r="T745" s="1264"/>
      <c r="U745" s="1264"/>
      <c r="V745" s="1264"/>
      <c r="W745" s="1264"/>
      <c r="X745" s="1264"/>
      <c r="Y745" s="1264"/>
      <c r="Z745" s="1264"/>
    </row>
    <row r="746" spans="1:26" ht="18.75" hidden="1">
      <c r="A746" s="1294"/>
      <c r="B746" s="1265"/>
      <c r="C746" s="1261"/>
      <c r="D746" s="1261"/>
      <c r="E746" s="1261"/>
      <c r="F746" s="1261" t="s">
        <v>189</v>
      </c>
      <c r="G746" s="1263"/>
      <c r="H746" s="165" t="s">
        <v>12</v>
      </c>
      <c r="I746" s="836"/>
      <c r="J746" s="836"/>
      <c r="K746" s="837"/>
      <c r="L746" s="837"/>
      <c r="M746" s="837"/>
      <c r="N746" s="837"/>
      <c r="O746" s="837"/>
      <c r="P746" s="837"/>
      <c r="Q746" s="1264"/>
      <c r="R746" s="1264"/>
      <c r="S746" s="1264"/>
      <c r="T746" s="1264"/>
      <c r="U746" s="1264"/>
      <c r="V746" s="1264"/>
      <c r="W746" s="1264"/>
      <c r="X746" s="1264"/>
      <c r="Y746" s="1264"/>
      <c r="Z746" s="1264"/>
    </row>
    <row r="747" spans="1:26" ht="19.5" hidden="1">
      <c r="A747" s="1260"/>
      <c r="B747" s="1265"/>
      <c r="C747" s="1261"/>
      <c r="D747" s="1392" t="s">
        <v>21</v>
      </c>
      <c r="E747" s="1261"/>
      <c r="F747" s="1261"/>
      <c r="G747" s="1263"/>
      <c r="H747" s="749" t="s">
        <v>12</v>
      </c>
      <c r="I747" s="947"/>
      <c r="J747" s="947"/>
      <c r="K747" s="948"/>
      <c r="L747" s="1292">
        <f t="shared" ref="L747:N747" si="299">L748+L749</f>
        <v>0</v>
      </c>
      <c r="M747" s="1292">
        <f t="shared" si="299"/>
        <v>0</v>
      </c>
      <c r="N747" s="1292">
        <f t="shared" si="299"/>
        <v>0</v>
      </c>
      <c r="O747" s="1292">
        <f t="shared" ref="O747:O749" si="300">IF(L747&gt;0,N747*100/L747,0)</f>
        <v>0</v>
      </c>
      <c r="P747" s="1292">
        <f t="shared" ref="P747:P749" si="301">IF(M747&gt;0,N747*100/M747,0)</f>
        <v>0</v>
      </c>
      <c r="Q747" s="1264"/>
      <c r="R747" s="1264"/>
      <c r="S747" s="1264"/>
      <c r="T747" s="1264"/>
      <c r="U747" s="1264"/>
      <c r="V747" s="1264"/>
      <c r="W747" s="1264"/>
      <c r="X747" s="1264"/>
      <c r="Y747" s="1264"/>
      <c r="Z747" s="1264"/>
    </row>
    <row r="748" spans="1:26" ht="18.75" hidden="1">
      <c r="A748" s="1260"/>
      <c r="B748" s="1265"/>
      <c r="C748" s="1261"/>
      <c r="D748" s="1261"/>
      <c r="E748" s="1261" t="s">
        <v>18</v>
      </c>
      <c r="F748" s="1261"/>
      <c r="G748" s="1263"/>
      <c r="H748" s="165" t="s">
        <v>12</v>
      </c>
      <c r="I748" s="947"/>
      <c r="J748" s="947"/>
      <c r="K748" s="948"/>
      <c r="L748" s="837">
        <v>0</v>
      </c>
      <c r="M748" s="837">
        <v>0</v>
      </c>
      <c r="N748" s="837">
        <v>0</v>
      </c>
      <c r="O748" s="837">
        <f t="shared" si="300"/>
        <v>0</v>
      </c>
      <c r="P748" s="837">
        <f t="shared" si="301"/>
        <v>0</v>
      </c>
      <c r="Q748" s="1264"/>
      <c r="R748" s="1264"/>
      <c r="S748" s="1264"/>
      <c r="T748" s="1264"/>
      <c r="U748" s="1264"/>
      <c r="V748" s="1264"/>
      <c r="W748" s="1264"/>
      <c r="X748" s="1264"/>
      <c r="Y748" s="1264"/>
      <c r="Z748" s="1264"/>
    </row>
    <row r="749" spans="1:26" ht="18.75" hidden="1">
      <c r="A749" s="1260"/>
      <c r="B749" s="1265"/>
      <c r="C749" s="1261"/>
      <c r="D749" s="1261"/>
      <c r="E749" s="1261" t="s">
        <v>19</v>
      </c>
      <c r="F749" s="1261"/>
      <c r="G749" s="1263"/>
      <c r="H749" s="169" t="s">
        <v>12</v>
      </c>
      <c r="I749" s="947"/>
      <c r="J749" s="947"/>
      <c r="K749" s="948"/>
      <c r="L749" s="837">
        <v>0</v>
      </c>
      <c r="M749" s="837">
        <v>0</v>
      </c>
      <c r="N749" s="837">
        <v>0</v>
      </c>
      <c r="O749" s="837">
        <f t="shared" si="300"/>
        <v>0</v>
      </c>
      <c r="P749" s="837">
        <f t="shared" si="301"/>
        <v>0</v>
      </c>
      <c r="Q749" s="1264"/>
      <c r="R749" s="1264"/>
      <c r="S749" s="1264"/>
      <c r="T749" s="1264"/>
      <c r="U749" s="1264"/>
      <c r="V749" s="1264"/>
      <c r="W749" s="1264"/>
      <c r="X749" s="1264"/>
      <c r="Y749" s="1264"/>
      <c r="Z749" s="1264"/>
    </row>
    <row r="750" spans="1:26" ht="19.5" hidden="1">
      <c r="A750" s="1273"/>
      <c r="B750" s="1274"/>
      <c r="C750" s="1261" t="s">
        <v>16</v>
      </c>
      <c r="D750" s="1393" t="s">
        <v>38</v>
      </c>
      <c r="E750" s="1296"/>
      <c r="F750" s="1296"/>
      <c r="G750" s="1297"/>
      <c r="H750" s="1060"/>
      <c r="I750" s="947"/>
      <c r="J750" s="947"/>
      <c r="K750" s="948"/>
      <c r="L750" s="948"/>
      <c r="M750" s="948"/>
      <c r="N750" s="948"/>
      <c r="O750" s="948"/>
      <c r="P750" s="948"/>
      <c r="Q750" s="1264"/>
      <c r="R750" s="1264"/>
      <c r="S750" s="1264"/>
      <c r="T750" s="1264"/>
      <c r="U750" s="1264"/>
      <c r="V750" s="1264"/>
      <c r="W750" s="1264"/>
      <c r="X750" s="1264"/>
      <c r="Y750" s="1264"/>
      <c r="Z750" s="1264"/>
    </row>
    <row r="751" spans="1:26" ht="18.75" hidden="1">
      <c r="A751" s="1294"/>
      <c r="B751" s="1265"/>
      <c r="C751" s="1261"/>
      <c r="D751" s="1261"/>
      <c r="E751" s="1261" t="s">
        <v>313</v>
      </c>
      <c r="F751" s="1261"/>
      <c r="G751" s="1263"/>
      <c r="H751" s="165" t="s">
        <v>46</v>
      </c>
      <c r="I751" s="836"/>
      <c r="J751" s="836"/>
      <c r="K751" s="837"/>
      <c r="L751" s="837"/>
      <c r="M751" s="837"/>
      <c r="N751" s="837"/>
      <c r="O751" s="837"/>
      <c r="P751" s="837"/>
      <c r="Q751" s="1264"/>
      <c r="R751" s="1264"/>
      <c r="S751" s="1264"/>
      <c r="T751" s="1264"/>
      <c r="U751" s="1264"/>
      <c r="V751" s="1264"/>
      <c r="W751" s="1264"/>
      <c r="X751" s="1264"/>
      <c r="Y751" s="1264"/>
      <c r="Z751" s="1264"/>
    </row>
    <row r="752" spans="1:26" ht="18.75" hidden="1">
      <c r="A752" s="1294"/>
      <c r="B752" s="1265"/>
      <c r="C752" s="1261"/>
      <c r="D752" s="1261"/>
      <c r="E752" s="1261"/>
      <c r="F752" s="1261"/>
      <c r="G752" s="1263"/>
      <c r="H752" s="165" t="s">
        <v>314</v>
      </c>
      <c r="I752" s="836"/>
      <c r="J752" s="836"/>
      <c r="K752" s="837"/>
      <c r="L752" s="837"/>
      <c r="M752" s="837"/>
      <c r="N752" s="837"/>
      <c r="O752" s="837"/>
      <c r="P752" s="837"/>
      <c r="Q752" s="1264"/>
      <c r="R752" s="1264"/>
      <c r="S752" s="1264"/>
      <c r="T752" s="1264"/>
      <c r="U752" s="1264"/>
      <c r="V752" s="1264"/>
      <c r="W752" s="1264"/>
      <c r="X752" s="1264"/>
      <c r="Y752" s="1264"/>
      <c r="Z752" s="1264"/>
    </row>
    <row r="753" spans="1:26" ht="19.5" hidden="1">
      <c r="A753" s="751">
        <v>10</v>
      </c>
      <c r="B753" s="1394" t="s">
        <v>315</v>
      </c>
      <c r="C753" s="1395"/>
      <c r="D753" s="1395"/>
      <c r="E753" s="1395"/>
      <c r="F753" s="1395"/>
      <c r="G753" s="1396"/>
      <c r="H753" s="755" t="s">
        <v>46</v>
      </c>
      <c r="I753" s="1397"/>
      <c r="J753" s="1397">
        <f>J768</f>
        <v>0</v>
      </c>
      <c r="K753" s="1398">
        <f>IF(I753&gt;0,J753*100/I753,0)</f>
        <v>0</v>
      </c>
      <c r="L753" s="1399"/>
      <c r="M753" s="1399"/>
      <c r="N753" s="1399"/>
      <c r="O753" s="1399"/>
      <c r="P753" s="1399"/>
      <c r="Q753" s="1264"/>
      <c r="R753" s="1264"/>
      <c r="S753" s="1264"/>
      <c r="T753" s="1264"/>
      <c r="U753" s="1264"/>
      <c r="V753" s="1264"/>
      <c r="W753" s="1264"/>
      <c r="X753" s="1264"/>
      <c r="Y753" s="1264"/>
      <c r="Z753" s="1264"/>
    </row>
    <row r="754" spans="1:26" ht="19.5" hidden="1">
      <c r="A754" s="1260"/>
      <c r="B754" s="1261"/>
      <c r="C754" s="1261" t="s">
        <v>16</v>
      </c>
      <c r="D754" s="1508" t="s">
        <v>17</v>
      </c>
      <c r="E754" s="1485"/>
      <c r="F754" s="1485"/>
      <c r="G754" s="1263"/>
      <c r="H754" s="612" t="s">
        <v>12</v>
      </c>
      <c r="I754" s="836"/>
      <c r="J754" s="836"/>
      <c r="K754" s="837"/>
      <c r="L754" s="1292">
        <f t="shared" ref="L754:N754" si="302">L755+L756</f>
        <v>0</v>
      </c>
      <c r="M754" s="1292">
        <f t="shared" si="302"/>
        <v>0</v>
      </c>
      <c r="N754" s="1292">
        <f t="shared" si="302"/>
        <v>0</v>
      </c>
      <c r="O754" s="1292">
        <f t="shared" ref="O754:O759" si="303">IF(L754&gt;0,N754*100/L754,0)</f>
        <v>0</v>
      </c>
      <c r="P754" s="1292">
        <f t="shared" ref="P754:P759" si="304">IF(M754&gt;0,N754*100/M754,0)</f>
        <v>0</v>
      </c>
      <c r="Q754" s="1264"/>
      <c r="R754" s="1264"/>
      <c r="S754" s="1264"/>
      <c r="T754" s="1264"/>
      <c r="U754" s="1264"/>
      <c r="V754" s="1264"/>
      <c r="W754" s="1264"/>
      <c r="X754" s="1264"/>
      <c r="Y754" s="1264"/>
      <c r="Z754" s="1264"/>
    </row>
    <row r="755" spans="1:26" ht="18.75" hidden="1">
      <c r="A755" s="1260"/>
      <c r="B755" s="1261"/>
      <c r="C755" s="1261"/>
      <c r="D755" s="1262"/>
      <c r="E755" s="1261" t="s">
        <v>184</v>
      </c>
      <c r="F755" s="1261"/>
      <c r="G755" s="1263"/>
      <c r="H755" s="165" t="s">
        <v>12</v>
      </c>
      <c r="I755" s="836"/>
      <c r="J755" s="836"/>
      <c r="K755" s="837"/>
      <c r="L755" s="837">
        <f t="shared" ref="L755:N756" si="305">L758+L765</f>
        <v>0</v>
      </c>
      <c r="M755" s="837">
        <f t="shared" si="305"/>
        <v>0</v>
      </c>
      <c r="N755" s="837">
        <f t="shared" si="305"/>
        <v>0</v>
      </c>
      <c r="O755" s="837">
        <f t="shared" si="303"/>
        <v>0</v>
      </c>
      <c r="P755" s="837">
        <f t="shared" si="304"/>
        <v>0</v>
      </c>
      <c r="Q755" s="1264"/>
      <c r="R755" s="1264"/>
      <c r="S755" s="1264"/>
      <c r="T755" s="1264"/>
      <c r="U755" s="1264"/>
      <c r="V755" s="1264"/>
      <c r="W755" s="1264"/>
      <c r="X755" s="1264"/>
      <c r="Y755" s="1264"/>
      <c r="Z755" s="1264"/>
    </row>
    <row r="756" spans="1:26" ht="18.75" hidden="1">
      <c r="A756" s="1260"/>
      <c r="B756" s="1265"/>
      <c r="C756" s="1261"/>
      <c r="D756" s="1262"/>
      <c r="E756" s="1261" t="s">
        <v>185</v>
      </c>
      <c r="F756" s="1261"/>
      <c r="G756" s="1263"/>
      <c r="H756" s="165" t="s">
        <v>12</v>
      </c>
      <c r="I756" s="836"/>
      <c r="J756" s="836"/>
      <c r="K756" s="837"/>
      <c r="L756" s="837">
        <f t="shared" si="305"/>
        <v>0</v>
      </c>
      <c r="M756" s="837">
        <f t="shared" si="305"/>
        <v>0</v>
      </c>
      <c r="N756" s="837">
        <f t="shared" si="305"/>
        <v>0</v>
      </c>
      <c r="O756" s="837">
        <f t="shared" si="303"/>
        <v>0</v>
      </c>
      <c r="P756" s="837">
        <f t="shared" si="304"/>
        <v>0</v>
      </c>
      <c r="Q756" s="1264"/>
      <c r="R756" s="1264"/>
      <c r="S756" s="1264"/>
      <c r="T756" s="1264"/>
      <c r="U756" s="1264"/>
      <c r="V756" s="1264"/>
      <c r="W756" s="1264"/>
      <c r="X756" s="1264"/>
      <c r="Y756" s="1264"/>
      <c r="Z756" s="1264"/>
    </row>
    <row r="757" spans="1:26" ht="19.5" hidden="1">
      <c r="A757" s="1260"/>
      <c r="B757" s="1265"/>
      <c r="C757" s="1261"/>
      <c r="D757" s="1392" t="s">
        <v>20</v>
      </c>
      <c r="E757" s="1261"/>
      <c r="F757" s="1261"/>
      <c r="G757" s="1263"/>
      <c r="H757" s="612" t="s">
        <v>12</v>
      </c>
      <c r="I757" s="947"/>
      <c r="J757" s="947"/>
      <c r="K757" s="948"/>
      <c r="L757" s="1292">
        <f t="shared" ref="L757:N757" si="306">L758+L759</f>
        <v>0</v>
      </c>
      <c r="M757" s="1292">
        <f t="shared" si="306"/>
        <v>0</v>
      </c>
      <c r="N757" s="1292">
        <f t="shared" si="306"/>
        <v>0</v>
      </c>
      <c r="O757" s="1292">
        <f t="shared" si="303"/>
        <v>0</v>
      </c>
      <c r="P757" s="1292">
        <f t="shared" si="304"/>
        <v>0</v>
      </c>
      <c r="Q757" s="1264"/>
      <c r="R757" s="1264"/>
      <c r="S757" s="1264"/>
      <c r="T757" s="1264"/>
      <c r="U757" s="1264"/>
      <c r="V757" s="1264"/>
      <c r="W757" s="1264"/>
      <c r="X757" s="1264"/>
      <c r="Y757" s="1264"/>
      <c r="Z757" s="1264"/>
    </row>
    <row r="758" spans="1:26" ht="18.75" hidden="1">
      <c r="A758" s="1260"/>
      <c r="B758" s="1265"/>
      <c r="C758" s="1261"/>
      <c r="D758" s="1262"/>
      <c r="E758" s="1261" t="s">
        <v>184</v>
      </c>
      <c r="F758" s="1261"/>
      <c r="G758" s="1263"/>
      <c r="H758" s="165" t="s">
        <v>12</v>
      </c>
      <c r="I758" s="836"/>
      <c r="J758" s="836"/>
      <c r="K758" s="837"/>
      <c r="L758" s="837">
        <v>0</v>
      </c>
      <c r="M758" s="837">
        <v>0</v>
      </c>
      <c r="N758" s="837">
        <v>0</v>
      </c>
      <c r="O758" s="837">
        <f t="shared" si="303"/>
        <v>0</v>
      </c>
      <c r="P758" s="837">
        <f t="shared" si="304"/>
        <v>0</v>
      </c>
      <c r="Q758" s="1264"/>
      <c r="R758" s="1264"/>
      <c r="S758" s="1264"/>
      <c r="T758" s="1264"/>
      <c r="U758" s="1264"/>
      <c r="V758" s="1264"/>
      <c r="W758" s="1264"/>
      <c r="X758" s="1264"/>
      <c r="Y758" s="1264"/>
      <c r="Z758" s="1264"/>
    </row>
    <row r="759" spans="1:26" ht="18.75" hidden="1">
      <c r="A759" s="1260"/>
      <c r="B759" s="1265"/>
      <c r="C759" s="1261"/>
      <c r="D759" s="1262"/>
      <c r="E759" s="1261" t="s">
        <v>185</v>
      </c>
      <c r="F759" s="1261"/>
      <c r="G759" s="1263"/>
      <c r="H759" s="165" t="s">
        <v>12</v>
      </c>
      <c r="I759" s="836"/>
      <c r="J759" s="836"/>
      <c r="K759" s="837"/>
      <c r="L759" s="837">
        <v>0</v>
      </c>
      <c r="M759" s="837">
        <v>0</v>
      </c>
      <c r="N759" s="837">
        <f>N760+N761+N762+N763</f>
        <v>0</v>
      </c>
      <c r="O759" s="837">
        <f t="shared" si="303"/>
        <v>0</v>
      </c>
      <c r="P759" s="837">
        <f t="shared" si="304"/>
        <v>0</v>
      </c>
      <c r="Q759" s="1264"/>
      <c r="R759" s="1264"/>
      <c r="S759" s="1264"/>
      <c r="T759" s="1264"/>
      <c r="U759" s="1264"/>
      <c r="V759" s="1264"/>
      <c r="W759" s="1264"/>
      <c r="X759" s="1264"/>
      <c r="Y759" s="1264"/>
      <c r="Z759" s="1264"/>
    </row>
    <row r="760" spans="1:26" ht="18.75" hidden="1">
      <c r="A760" s="1294"/>
      <c r="B760" s="1265"/>
      <c r="C760" s="1261"/>
      <c r="D760" s="1261"/>
      <c r="E760" s="1261"/>
      <c r="F760" s="1261" t="s">
        <v>186</v>
      </c>
      <c r="G760" s="1263"/>
      <c r="H760" s="165" t="s">
        <v>12</v>
      </c>
      <c r="I760" s="836"/>
      <c r="J760" s="836"/>
      <c r="K760" s="837"/>
      <c r="L760" s="837"/>
      <c r="M760" s="837"/>
      <c r="N760" s="837"/>
      <c r="O760" s="837"/>
      <c r="P760" s="837"/>
      <c r="Q760" s="1264"/>
      <c r="R760" s="1264"/>
      <c r="S760" s="1264"/>
      <c r="T760" s="1264"/>
      <c r="U760" s="1264"/>
      <c r="V760" s="1264"/>
      <c r="W760" s="1264"/>
      <c r="X760" s="1264"/>
      <c r="Y760" s="1264"/>
      <c r="Z760" s="1264"/>
    </row>
    <row r="761" spans="1:26" ht="18.75" hidden="1">
      <c r="A761" s="1294"/>
      <c r="B761" s="1265"/>
      <c r="C761" s="1261"/>
      <c r="D761" s="1261"/>
      <c r="E761" s="1261"/>
      <c r="F761" s="1261" t="s">
        <v>187</v>
      </c>
      <c r="G761" s="1263"/>
      <c r="H761" s="165" t="s">
        <v>12</v>
      </c>
      <c r="I761" s="836"/>
      <c r="J761" s="836"/>
      <c r="K761" s="837"/>
      <c r="L761" s="837"/>
      <c r="M761" s="837"/>
      <c r="N761" s="837"/>
      <c r="O761" s="837"/>
      <c r="P761" s="837"/>
      <c r="Q761" s="1264"/>
      <c r="R761" s="1264"/>
      <c r="S761" s="1264"/>
      <c r="T761" s="1264"/>
      <c r="U761" s="1264"/>
      <c r="V761" s="1264"/>
      <c r="W761" s="1264"/>
      <c r="X761" s="1264"/>
      <c r="Y761" s="1264"/>
      <c r="Z761" s="1264"/>
    </row>
    <row r="762" spans="1:26" ht="18.75" hidden="1">
      <c r="A762" s="1294"/>
      <c r="B762" s="1265"/>
      <c r="C762" s="1261"/>
      <c r="D762" s="1261"/>
      <c r="E762" s="1261"/>
      <c r="F762" s="1261" t="s">
        <v>188</v>
      </c>
      <c r="G762" s="1263"/>
      <c r="H762" s="165" t="s">
        <v>12</v>
      </c>
      <c r="I762" s="836"/>
      <c r="J762" s="836"/>
      <c r="K762" s="837"/>
      <c r="L762" s="837"/>
      <c r="M762" s="837"/>
      <c r="N762" s="837"/>
      <c r="O762" s="837"/>
      <c r="P762" s="837"/>
      <c r="Q762" s="1264"/>
      <c r="R762" s="1264"/>
      <c r="S762" s="1264"/>
      <c r="T762" s="1264"/>
      <c r="U762" s="1264"/>
      <c r="V762" s="1264"/>
      <c r="W762" s="1264"/>
      <c r="X762" s="1264"/>
      <c r="Y762" s="1264"/>
      <c r="Z762" s="1264"/>
    </row>
    <row r="763" spans="1:26" ht="18.75" hidden="1">
      <c r="A763" s="1294"/>
      <c r="B763" s="1265"/>
      <c r="C763" s="1261"/>
      <c r="D763" s="1261"/>
      <c r="E763" s="1261"/>
      <c r="F763" s="1261" t="s">
        <v>189</v>
      </c>
      <c r="G763" s="1263"/>
      <c r="H763" s="165" t="s">
        <v>12</v>
      </c>
      <c r="I763" s="836"/>
      <c r="J763" s="836"/>
      <c r="K763" s="837"/>
      <c r="L763" s="837"/>
      <c r="M763" s="837"/>
      <c r="N763" s="837"/>
      <c r="O763" s="837"/>
      <c r="P763" s="837"/>
      <c r="Q763" s="1264"/>
      <c r="R763" s="1264"/>
      <c r="S763" s="1264"/>
      <c r="T763" s="1264"/>
      <c r="U763" s="1264"/>
      <c r="V763" s="1264"/>
      <c r="W763" s="1264"/>
      <c r="X763" s="1264"/>
      <c r="Y763" s="1264"/>
      <c r="Z763" s="1264"/>
    </row>
    <row r="764" spans="1:26" ht="19.5" hidden="1">
      <c r="A764" s="1260"/>
      <c r="B764" s="1265"/>
      <c r="C764" s="1261"/>
      <c r="D764" s="1392" t="s">
        <v>21</v>
      </c>
      <c r="E764" s="1261"/>
      <c r="F764" s="1261"/>
      <c r="G764" s="1263"/>
      <c r="H764" s="749" t="s">
        <v>12</v>
      </c>
      <c r="I764" s="947"/>
      <c r="J764" s="947"/>
      <c r="K764" s="948"/>
      <c r="L764" s="1292">
        <f t="shared" ref="L764:N764" si="307">L765+L766</f>
        <v>0</v>
      </c>
      <c r="M764" s="1292">
        <f t="shared" si="307"/>
        <v>0</v>
      </c>
      <c r="N764" s="1292">
        <f t="shared" si="307"/>
        <v>0</v>
      </c>
      <c r="O764" s="1292">
        <f t="shared" ref="O764:O766" si="308">IF(L764&gt;0,N764*100/L764,0)</f>
        <v>0</v>
      </c>
      <c r="P764" s="1292">
        <f t="shared" ref="P764:P766" si="309">IF(M764&gt;0,N764*100/M764,0)</f>
        <v>0</v>
      </c>
      <c r="Q764" s="1264"/>
      <c r="R764" s="1264"/>
      <c r="S764" s="1264"/>
      <c r="T764" s="1264"/>
      <c r="U764" s="1264"/>
      <c r="V764" s="1264"/>
      <c r="W764" s="1264"/>
      <c r="X764" s="1264"/>
      <c r="Y764" s="1264"/>
      <c r="Z764" s="1264"/>
    </row>
    <row r="765" spans="1:26" ht="18.75" hidden="1">
      <c r="A765" s="1260"/>
      <c r="B765" s="1265"/>
      <c r="C765" s="1261"/>
      <c r="D765" s="1261"/>
      <c r="E765" s="1261" t="s">
        <v>18</v>
      </c>
      <c r="F765" s="1261"/>
      <c r="G765" s="1263"/>
      <c r="H765" s="165" t="s">
        <v>12</v>
      </c>
      <c r="I765" s="947"/>
      <c r="J765" s="947"/>
      <c r="K765" s="948"/>
      <c r="L765" s="837">
        <v>0</v>
      </c>
      <c r="M765" s="837">
        <v>0</v>
      </c>
      <c r="N765" s="837">
        <v>0</v>
      </c>
      <c r="O765" s="837">
        <f t="shared" si="308"/>
        <v>0</v>
      </c>
      <c r="P765" s="837">
        <f t="shared" si="309"/>
        <v>0</v>
      </c>
      <c r="Q765" s="1264"/>
      <c r="R765" s="1264"/>
      <c r="S765" s="1264"/>
      <c r="T765" s="1264"/>
      <c r="U765" s="1264"/>
      <c r="V765" s="1264"/>
      <c r="W765" s="1264"/>
      <c r="X765" s="1264"/>
      <c r="Y765" s="1264"/>
      <c r="Z765" s="1264"/>
    </row>
    <row r="766" spans="1:26" ht="18.75" hidden="1">
      <c r="A766" s="1260"/>
      <c r="B766" s="1265"/>
      <c r="C766" s="1261"/>
      <c r="D766" s="1261"/>
      <c r="E766" s="1261" t="s">
        <v>19</v>
      </c>
      <c r="F766" s="1261"/>
      <c r="G766" s="1263"/>
      <c r="H766" s="169" t="s">
        <v>12</v>
      </c>
      <c r="I766" s="947"/>
      <c r="J766" s="947"/>
      <c r="K766" s="948"/>
      <c r="L766" s="837">
        <v>0</v>
      </c>
      <c r="M766" s="837">
        <v>0</v>
      </c>
      <c r="N766" s="837">
        <v>0</v>
      </c>
      <c r="O766" s="837">
        <f t="shared" si="308"/>
        <v>0</v>
      </c>
      <c r="P766" s="837">
        <f t="shared" si="309"/>
        <v>0</v>
      </c>
      <c r="Q766" s="1264"/>
      <c r="R766" s="1264"/>
      <c r="S766" s="1264"/>
      <c r="T766" s="1264"/>
      <c r="U766" s="1264"/>
      <c r="V766" s="1264"/>
      <c r="W766" s="1264"/>
      <c r="X766" s="1264"/>
      <c r="Y766" s="1264"/>
      <c r="Z766" s="1264"/>
    </row>
    <row r="767" spans="1:26" ht="19.5" hidden="1">
      <c r="A767" s="1273"/>
      <c r="B767" s="1274"/>
      <c r="C767" s="1261" t="s">
        <v>16</v>
      </c>
      <c r="D767" s="1393" t="s">
        <v>38</v>
      </c>
      <c r="E767" s="1296"/>
      <c r="F767" s="1296"/>
      <c r="G767" s="1297"/>
      <c r="H767" s="1060"/>
      <c r="I767" s="947"/>
      <c r="J767" s="947"/>
      <c r="K767" s="948"/>
      <c r="L767" s="948"/>
      <c r="M767" s="948"/>
      <c r="N767" s="948"/>
      <c r="O767" s="948"/>
      <c r="P767" s="948"/>
      <c r="Q767" s="1264"/>
      <c r="R767" s="1264"/>
      <c r="S767" s="1264"/>
      <c r="T767" s="1264"/>
      <c r="U767" s="1264"/>
      <c r="V767" s="1264"/>
      <c r="W767" s="1264"/>
      <c r="X767" s="1264"/>
      <c r="Y767" s="1264"/>
      <c r="Z767" s="1264"/>
    </row>
    <row r="768" spans="1:26" ht="18.75" hidden="1">
      <c r="A768" s="1294"/>
      <c r="B768" s="1265"/>
      <c r="C768" s="1261"/>
      <c r="D768" s="1261"/>
      <c r="E768" s="1261" t="s">
        <v>316</v>
      </c>
      <c r="F768" s="1261"/>
      <c r="G768" s="1263"/>
      <c r="H768" s="165" t="s">
        <v>46</v>
      </c>
      <c r="I768" s="836"/>
      <c r="J768" s="836"/>
      <c r="K768" s="837"/>
      <c r="L768" s="837"/>
      <c r="M768" s="837"/>
      <c r="N768" s="837"/>
      <c r="O768" s="837"/>
      <c r="P768" s="837"/>
      <c r="Q768" s="1264"/>
      <c r="R768" s="1264"/>
      <c r="S768" s="1264"/>
      <c r="T768" s="1264"/>
      <c r="U768" s="1264"/>
      <c r="V768" s="1264"/>
      <c r="W768" s="1264"/>
      <c r="X768" s="1264"/>
      <c r="Y768" s="1264"/>
      <c r="Z768" s="1264"/>
    </row>
    <row r="769" spans="1:26" ht="19.5" hidden="1">
      <c r="A769" s="759">
        <v>11</v>
      </c>
      <c r="B769" s="1400" t="s">
        <v>317</v>
      </c>
      <c r="C769" s="1401"/>
      <c r="D769" s="1401"/>
      <c r="E769" s="1401"/>
      <c r="F769" s="1401"/>
      <c r="G769" s="1402"/>
      <c r="H769" s="763" t="s">
        <v>46</v>
      </c>
      <c r="I769" s="1403"/>
      <c r="J769" s="1403">
        <f>J784</f>
        <v>0</v>
      </c>
      <c r="K769" s="1404">
        <f>IF(I769&gt;0,J769*100/I769,0)</f>
        <v>0</v>
      </c>
      <c r="L769" s="1405"/>
      <c r="M769" s="1405"/>
      <c r="N769" s="1405"/>
      <c r="O769" s="1405"/>
      <c r="P769" s="1405"/>
      <c r="Q769" s="1264"/>
      <c r="R769" s="1264"/>
      <c r="S769" s="1264"/>
      <c r="T769" s="1264"/>
      <c r="U769" s="1264"/>
      <c r="V769" s="1264"/>
      <c r="W769" s="1264"/>
      <c r="X769" s="1264"/>
      <c r="Y769" s="1264"/>
      <c r="Z769" s="1264"/>
    </row>
    <row r="770" spans="1:26" ht="19.5" hidden="1">
      <c r="A770" s="1260"/>
      <c r="B770" s="1261"/>
      <c r="C770" s="1261" t="s">
        <v>16</v>
      </c>
      <c r="D770" s="1508" t="s">
        <v>17</v>
      </c>
      <c r="E770" s="1485"/>
      <c r="F770" s="1485"/>
      <c r="G770" s="1263"/>
      <c r="H770" s="612" t="s">
        <v>12</v>
      </c>
      <c r="I770" s="836"/>
      <c r="J770" s="836"/>
      <c r="K770" s="837"/>
      <c r="L770" s="1292">
        <f t="shared" ref="L770:N770" si="310">L771+L772</f>
        <v>0</v>
      </c>
      <c r="M770" s="1292">
        <f t="shared" si="310"/>
        <v>0</v>
      </c>
      <c r="N770" s="1292">
        <f t="shared" si="310"/>
        <v>0</v>
      </c>
      <c r="O770" s="1292">
        <f t="shared" ref="O770:O775" si="311">IF(L770&gt;0,N770*100/L770,0)</f>
        <v>0</v>
      </c>
      <c r="P770" s="1292">
        <f t="shared" ref="P770:P775" si="312">IF(M770&gt;0,N770*100/M770,0)</f>
        <v>0</v>
      </c>
      <c r="Q770" s="1264"/>
      <c r="R770" s="1264"/>
      <c r="S770" s="1264"/>
      <c r="T770" s="1264"/>
      <c r="U770" s="1264"/>
      <c r="V770" s="1264"/>
      <c r="W770" s="1264"/>
      <c r="X770" s="1264"/>
      <c r="Y770" s="1264"/>
      <c r="Z770" s="1264"/>
    </row>
    <row r="771" spans="1:26" ht="18.75" hidden="1">
      <c r="A771" s="1260"/>
      <c r="B771" s="1261"/>
      <c r="C771" s="1261"/>
      <c r="D771" s="1262"/>
      <c r="E771" s="1261" t="s">
        <v>184</v>
      </c>
      <c r="F771" s="1261"/>
      <c r="G771" s="1263"/>
      <c r="H771" s="165" t="s">
        <v>12</v>
      </c>
      <c r="I771" s="836"/>
      <c r="J771" s="836"/>
      <c r="K771" s="837"/>
      <c r="L771" s="837">
        <f t="shared" ref="L771:N772" si="313">L774+L781</f>
        <v>0</v>
      </c>
      <c r="M771" s="837">
        <f t="shared" si="313"/>
        <v>0</v>
      </c>
      <c r="N771" s="837">
        <f t="shared" si="313"/>
        <v>0</v>
      </c>
      <c r="O771" s="837">
        <f t="shared" si="311"/>
        <v>0</v>
      </c>
      <c r="P771" s="837">
        <f t="shared" si="312"/>
        <v>0</v>
      </c>
      <c r="Q771" s="1264"/>
      <c r="R771" s="1264"/>
      <c r="S771" s="1264"/>
      <c r="T771" s="1264"/>
      <c r="U771" s="1264"/>
      <c r="V771" s="1264"/>
      <c r="W771" s="1264"/>
      <c r="X771" s="1264"/>
      <c r="Y771" s="1264"/>
      <c r="Z771" s="1264"/>
    </row>
    <row r="772" spans="1:26" ht="18.75" hidden="1">
      <c r="A772" s="1260"/>
      <c r="B772" s="1265"/>
      <c r="C772" s="1261"/>
      <c r="D772" s="1262"/>
      <c r="E772" s="1261" t="s">
        <v>185</v>
      </c>
      <c r="F772" s="1261"/>
      <c r="G772" s="1263"/>
      <c r="H772" s="165" t="s">
        <v>12</v>
      </c>
      <c r="I772" s="836"/>
      <c r="J772" s="836"/>
      <c r="K772" s="837"/>
      <c r="L772" s="837">
        <f t="shared" si="313"/>
        <v>0</v>
      </c>
      <c r="M772" s="837">
        <f t="shared" si="313"/>
        <v>0</v>
      </c>
      <c r="N772" s="837">
        <f t="shared" si="313"/>
        <v>0</v>
      </c>
      <c r="O772" s="837">
        <f t="shared" si="311"/>
        <v>0</v>
      </c>
      <c r="P772" s="837">
        <f t="shared" si="312"/>
        <v>0</v>
      </c>
      <c r="Q772" s="1264"/>
      <c r="R772" s="1264"/>
      <c r="S772" s="1264"/>
      <c r="T772" s="1264"/>
      <c r="U772" s="1264"/>
      <c r="V772" s="1264"/>
      <c r="W772" s="1264"/>
      <c r="X772" s="1264"/>
      <c r="Y772" s="1264"/>
      <c r="Z772" s="1264"/>
    </row>
    <row r="773" spans="1:26" ht="19.5" hidden="1">
      <c r="A773" s="1260"/>
      <c r="B773" s="1265"/>
      <c r="C773" s="1261"/>
      <c r="D773" s="1392" t="s">
        <v>20</v>
      </c>
      <c r="E773" s="1261"/>
      <c r="F773" s="1261"/>
      <c r="G773" s="1263"/>
      <c r="H773" s="612" t="s">
        <v>12</v>
      </c>
      <c r="I773" s="947"/>
      <c r="J773" s="947"/>
      <c r="K773" s="948"/>
      <c r="L773" s="1292">
        <f t="shared" ref="L773:N773" si="314">L774+L775</f>
        <v>0</v>
      </c>
      <c r="M773" s="1292">
        <f t="shared" si="314"/>
        <v>0</v>
      </c>
      <c r="N773" s="1292">
        <f t="shared" si="314"/>
        <v>0</v>
      </c>
      <c r="O773" s="1292">
        <f t="shared" si="311"/>
        <v>0</v>
      </c>
      <c r="P773" s="1292">
        <f t="shared" si="312"/>
        <v>0</v>
      </c>
      <c r="Q773" s="1264"/>
      <c r="R773" s="1264"/>
      <c r="S773" s="1264"/>
      <c r="T773" s="1264"/>
      <c r="U773" s="1264"/>
      <c r="V773" s="1264"/>
      <c r="W773" s="1264"/>
      <c r="X773" s="1264"/>
      <c r="Y773" s="1264"/>
      <c r="Z773" s="1264"/>
    </row>
    <row r="774" spans="1:26" ht="18.75" hidden="1">
      <c r="A774" s="1260"/>
      <c r="B774" s="1265"/>
      <c r="C774" s="1261"/>
      <c r="D774" s="1262"/>
      <c r="E774" s="1261" t="s">
        <v>184</v>
      </c>
      <c r="F774" s="1261"/>
      <c r="G774" s="1263"/>
      <c r="H774" s="165" t="s">
        <v>12</v>
      </c>
      <c r="I774" s="836"/>
      <c r="J774" s="836"/>
      <c r="K774" s="837"/>
      <c r="L774" s="837">
        <v>0</v>
      </c>
      <c r="M774" s="837">
        <v>0</v>
      </c>
      <c r="N774" s="837">
        <v>0</v>
      </c>
      <c r="O774" s="837">
        <f t="shared" si="311"/>
        <v>0</v>
      </c>
      <c r="P774" s="837">
        <f t="shared" si="312"/>
        <v>0</v>
      </c>
      <c r="Q774" s="1264"/>
      <c r="R774" s="1264"/>
      <c r="S774" s="1264"/>
      <c r="T774" s="1264"/>
      <c r="U774" s="1264"/>
      <c r="V774" s="1264"/>
      <c r="W774" s="1264"/>
      <c r="X774" s="1264"/>
      <c r="Y774" s="1264"/>
      <c r="Z774" s="1264"/>
    </row>
    <row r="775" spans="1:26" ht="18.75" hidden="1">
      <c r="A775" s="1260"/>
      <c r="B775" s="1265"/>
      <c r="C775" s="1261"/>
      <c r="D775" s="1262"/>
      <c r="E775" s="1261" t="s">
        <v>185</v>
      </c>
      <c r="F775" s="1261"/>
      <c r="G775" s="1263"/>
      <c r="H775" s="165" t="s">
        <v>12</v>
      </c>
      <c r="I775" s="836"/>
      <c r="J775" s="836"/>
      <c r="K775" s="837"/>
      <c r="L775" s="837">
        <v>0</v>
      </c>
      <c r="M775" s="837">
        <v>0</v>
      </c>
      <c r="N775" s="837">
        <f>N776+N777+N778+N779</f>
        <v>0</v>
      </c>
      <c r="O775" s="837">
        <f t="shared" si="311"/>
        <v>0</v>
      </c>
      <c r="P775" s="837">
        <f t="shared" si="312"/>
        <v>0</v>
      </c>
      <c r="Q775" s="1264"/>
      <c r="R775" s="1264"/>
      <c r="S775" s="1264"/>
      <c r="T775" s="1264"/>
      <c r="U775" s="1264"/>
      <c r="V775" s="1264"/>
      <c r="W775" s="1264"/>
      <c r="X775" s="1264"/>
      <c r="Y775" s="1264"/>
      <c r="Z775" s="1264"/>
    </row>
    <row r="776" spans="1:26" ht="18.75" hidden="1">
      <c r="A776" s="1294"/>
      <c r="B776" s="1265"/>
      <c r="C776" s="1261"/>
      <c r="D776" s="1261"/>
      <c r="E776" s="1261"/>
      <c r="F776" s="1261" t="s">
        <v>186</v>
      </c>
      <c r="G776" s="1263"/>
      <c r="H776" s="165" t="s">
        <v>12</v>
      </c>
      <c r="I776" s="836"/>
      <c r="J776" s="836"/>
      <c r="K776" s="837"/>
      <c r="L776" s="837"/>
      <c r="M776" s="837"/>
      <c r="N776" s="837"/>
      <c r="O776" s="837"/>
      <c r="P776" s="837"/>
      <c r="Q776" s="1264"/>
      <c r="R776" s="1264"/>
      <c r="S776" s="1264"/>
      <c r="T776" s="1264"/>
      <c r="U776" s="1264"/>
      <c r="V776" s="1264"/>
      <c r="W776" s="1264"/>
      <c r="X776" s="1264"/>
      <c r="Y776" s="1264"/>
      <c r="Z776" s="1264"/>
    </row>
    <row r="777" spans="1:26" ht="18.75" hidden="1">
      <c r="A777" s="1294"/>
      <c r="B777" s="1265"/>
      <c r="C777" s="1261"/>
      <c r="D777" s="1261"/>
      <c r="E777" s="1261"/>
      <c r="F777" s="1261" t="s">
        <v>187</v>
      </c>
      <c r="G777" s="1263"/>
      <c r="H777" s="165" t="s">
        <v>12</v>
      </c>
      <c r="I777" s="836"/>
      <c r="J777" s="836"/>
      <c r="K777" s="837"/>
      <c r="L777" s="837"/>
      <c r="M777" s="837"/>
      <c r="N777" s="837"/>
      <c r="O777" s="837"/>
      <c r="P777" s="837"/>
      <c r="Q777" s="1264"/>
      <c r="R777" s="1264"/>
      <c r="S777" s="1264"/>
      <c r="T777" s="1264"/>
      <c r="U777" s="1264"/>
      <c r="V777" s="1264"/>
      <c r="W777" s="1264"/>
      <c r="X777" s="1264"/>
      <c r="Y777" s="1264"/>
      <c r="Z777" s="1264"/>
    </row>
    <row r="778" spans="1:26" ht="18.75" hidden="1">
      <c r="A778" s="1294"/>
      <c r="B778" s="1265"/>
      <c r="C778" s="1261"/>
      <c r="D778" s="1261"/>
      <c r="E778" s="1261"/>
      <c r="F778" s="1261" t="s">
        <v>188</v>
      </c>
      <c r="G778" s="1263"/>
      <c r="H778" s="165" t="s">
        <v>12</v>
      </c>
      <c r="I778" s="836"/>
      <c r="J778" s="836"/>
      <c r="K778" s="837"/>
      <c r="L778" s="837"/>
      <c r="M778" s="837"/>
      <c r="N778" s="837"/>
      <c r="O778" s="837"/>
      <c r="P778" s="837"/>
      <c r="Q778" s="1264"/>
      <c r="R778" s="1264"/>
      <c r="S778" s="1264"/>
      <c r="T778" s="1264"/>
      <c r="U778" s="1264"/>
      <c r="V778" s="1264"/>
      <c r="W778" s="1264"/>
      <c r="X778" s="1264"/>
      <c r="Y778" s="1264"/>
      <c r="Z778" s="1264"/>
    </row>
    <row r="779" spans="1:26" ht="18.75" hidden="1">
      <c r="A779" s="1294"/>
      <c r="B779" s="1265"/>
      <c r="C779" s="1261"/>
      <c r="D779" s="1261"/>
      <c r="E779" s="1261"/>
      <c r="F779" s="1261" t="s">
        <v>189</v>
      </c>
      <c r="G779" s="1263"/>
      <c r="H779" s="165" t="s">
        <v>12</v>
      </c>
      <c r="I779" s="836"/>
      <c r="J779" s="836"/>
      <c r="K779" s="837"/>
      <c r="L779" s="837"/>
      <c r="M779" s="837"/>
      <c r="N779" s="837"/>
      <c r="O779" s="837"/>
      <c r="P779" s="837"/>
      <c r="Q779" s="1264"/>
      <c r="R779" s="1264"/>
      <c r="S779" s="1264"/>
      <c r="T779" s="1264"/>
      <c r="U779" s="1264"/>
      <c r="V779" s="1264"/>
      <c r="W779" s="1264"/>
      <c r="X779" s="1264"/>
      <c r="Y779" s="1264"/>
      <c r="Z779" s="1264"/>
    </row>
    <row r="780" spans="1:26" ht="19.5" hidden="1">
      <c r="A780" s="1260"/>
      <c r="B780" s="1265"/>
      <c r="C780" s="1261"/>
      <c r="D780" s="1392" t="s">
        <v>21</v>
      </c>
      <c r="E780" s="1261"/>
      <c r="F780" s="1261"/>
      <c r="G780" s="1263"/>
      <c r="H780" s="749" t="s">
        <v>12</v>
      </c>
      <c r="I780" s="947"/>
      <c r="J780" s="947"/>
      <c r="K780" s="948"/>
      <c r="L780" s="1292">
        <f t="shared" ref="L780:N780" si="315">L781+L782</f>
        <v>0</v>
      </c>
      <c r="M780" s="1292">
        <f t="shared" si="315"/>
        <v>0</v>
      </c>
      <c r="N780" s="1292">
        <f t="shared" si="315"/>
        <v>0</v>
      </c>
      <c r="O780" s="1292">
        <f t="shared" ref="O780:O782" si="316">IF(L780&gt;0,N780*100/L780,0)</f>
        <v>0</v>
      </c>
      <c r="P780" s="1292">
        <f t="shared" ref="P780:P782" si="317">IF(M780&gt;0,N780*100/M780,0)</f>
        <v>0</v>
      </c>
      <c r="Q780" s="1264"/>
      <c r="R780" s="1264"/>
      <c r="S780" s="1264"/>
      <c r="T780" s="1264"/>
      <c r="U780" s="1264"/>
      <c r="V780" s="1264"/>
      <c r="W780" s="1264"/>
      <c r="X780" s="1264"/>
      <c r="Y780" s="1264"/>
      <c r="Z780" s="1264"/>
    </row>
    <row r="781" spans="1:26" ht="18.75" hidden="1">
      <c r="A781" s="1260"/>
      <c r="B781" s="1265"/>
      <c r="C781" s="1261"/>
      <c r="D781" s="1261"/>
      <c r="E781" s="1261" t="s">
        <v>18</v>
      </c>
      <c r="F781" s="1261"/>
      <c r="G781" s="1263"/>
      <c r="H781" s="165" t="s">
        <v>12</v>
      </c>
      <c r="I781" s="947"/>
      <c r="J781" s="947"/>
      <c r="K781" s="948"/>
      <c r="L781" s="837">
        <v>0</v>
      </c>
      <c r="M781" s="837">
        <v>0</v>
      </c>
      <c r="N781" s="837">
        <v>0</v>
      </c>
      <c r="O781" s="837">
        <f t="shared" si="316"/>
        <v>0</v>
      </c>
      <c r="P781" s="837">
        <f t="shared" si="317"/>
        <v>0</v>
      </c>
      <c r="Q781" s="1264"/>
      <c r="R781" s="1264"/>
      <c r="S781" s="1264"/>
      <c r="T781" s="1264"/>
      <c r="U781" s="1264"/>
      <c r="V781" s="1264"/>
      <c r="W781" s="1264"/>
      <c r="X781" s="1264"/>
      <c r="Y781" s="1264"/>
      <c r="Z781" s="1264"/>
    </row>
    <row r="782" spans="1:26" ht="18.75" hidden="1">
      <c r="A782" s="1260"/>
      <c r="B782" s="1265"/>
      <c r="C782" s="1261"/>
      <c r="D782" s="1261"/>
      <c r="E782" s="1261" t="s">
        <v>19</v>
      </c>
      <c r="F782" s="1261"/>
      <c r="G782" s="1263"/>
      <c r="H782" s="169" t="s">
        <v>12</v>
      </c>
      <c r="I782" s="947"/>
      <c r="J782" s="947"/>
      <c r="K782" s="948"/>
      <c r="L782" s="837">
        <v>0</v>
      </c>
      <c r="M782" s="837">
        <v>0</v>
      </c>
      <c r="N782" s="837">
        <v>0</v>
      </c>
      <c r="O782" s="837">
        <f t="shared" si="316"/>
        <v>0</v>
      </c>
      <c r="P782" s="837">
        <f t="shared" si="317"/>
        <v>0</v>
      </c>
      <c r="Q782" s="1264"/>
      <c r="R782" s="1264"/>
      <c r="S782" s="1264"/>
      <c r="T782" s="1264"/>
      <c r="U782" s="1264"/>
      <c r="V782" s="1264"/>
      <c r="W782" s="1264"/>
      <c r="X782" s="1264"/>
      <c r="Y782" s="1264"/>
      <c r="Z782" s="1264"/>
    </row>
    <row r="783" spans="1:26" ht="19.5" hidden="1">
      <c r="A783" s="1273"/>
      <c r="B783" s="1274"/>
      <c r="C783" s="1261" t="s">
        <v>16</v>
      </c>
      <c r="D783" s="1393" t="s">
        <v>38</v>
      </c>
      <c r="E783" s="1296"/>
      <c r="F783" s="1296"/>
      <c r="G783" s="1297"/>
      <c r="H783" s="1406"/>
      <c r="I783" s="947"/>
      <c r="J783" s="947"/>
      <c r="K783" s="948"/>
      <c r="L783" s="948"/>
      <c r="M783" s="948"/>
      <c r="N783" s="948"/>
      <c r="O783" s="948"/>
      <c r="P783" s="948"/>
      <c r="Q783" s="1264"/>
      <c r="R783" s="1264"/>
      <c r="S783" s="1264"/>
      <c r="T783" s="1264"/>
      <c r="U783" s="1264"/>
      <c r="V783" s="1264"/>
      <c r="W783" s="1264"/>
      <c r="X783" s="1264"/>
      <c r="Y783" s="1264"/>
      <c r="Z783" s="1264"/>
    </row>
    <row r="784" spans="1:26" ht="18.75" hidden="1">
      <c r="A784" s="1294"/>
      <c r="B784" s="1265"/>
      <c r="C784" s="1261"/>
      <c r="D784" s="1261"/>
      <c r="E784" s="1261" t="s">
        <v>318</v>
      </c>
      <c r="F784" s="1261"/>
      <c r="G784" s="1263"/>
      <c r="H784" s="165" t="s">
        <v>46</v>
      </c>
      <c r="I784" s="836"/>
      <c r="J784" s="836"/>
      <c r="K784" s="837"/>
      <c r="L784" s="837"/>
      <c r="M784" s="837"/>
      <c r="N784" s="837"/>
      <c r="O784" s="837"/>
      <c r="P784" s="837"/>
      <c r="Q784" s="1264"/>
      <c r="R784" s="1264"/>
      <c r="S784" s="1264"/>
      <c r="T784" s="1264"/>
      <c r="U784" s="1264"/>
      <c r="V784" s="1264"/>
      <c r="W784" s="1264"/>
      <c r="X784" s="1264"/>
      <c r="Y784" s="1264"/>
      <c r="Z784" s="1264"/>
    </row>
    <row r="785" spans="1:26" ht="19.5" hidden="1">
      <c r="A785" s="768">
        <v>12</v>
      </c>
      <c r="B785" s="1407" t="s">
        <v>319</v>
      </c>
      <c r="C785" s="1408"/>
      <c r="D785" s="1408"/>
      <c r="E785" s="1408"/>
      <c r="F785" s="1408"/>
      <c r="G785" s="1409"/>
      <c r="H785" s="772" t="s">
        <v>46</v>
      </c>
      <c r="I785" s="1436">
        <f t="shared" ref="I785:J785" ca="1" si="318">I800</f>
        <v>0</v>
      </c>
      <c r="J785" s="1410">
        <f t="shared" ca="1" si="318"/>
        <v>0</v>
      </c>
      <c r="K785" s="1411">
        <f ca="1">IF(I785&gt;0,J785*100/I785,0)</f>
        <v>0</v>
      </c>
      <c r="L785" s="1412"/>
      <c r="M785" s="1412"/>
      <c r="N785" s="1412"/>
      <c r="O785" s="1412"/>
      <c r="P785" s="1412"/>
      <c r="Q785" s="1244"/>
      <c r="R785" s="1244"/>
      <c r="S785" s="1244"/>
      <c r="T785" s="1244"/>
      <c r="U785" s="1244"/>
      <c r="V785" s="1244"/>
      <c r="W785" s="1244"/>
      <c r="X785" s="1244"/>
      <c r="Y785" s="1244"/>
      <c r="Z785" s="1244"/>
    </row>
    <row r="786" spans="1:26" ht="19.5" hidden="1">
      <c r="A786" s="1259"/>
      <c r="B786" s="1242"/>
      <c r="C786" s="1243" t="s">
        <v>16</v>
      </c>
      <c r="D786" s="1507" t="s">
        <v>17</v>
      </c>
      <c r="E786" s="1485"/>
      <c r="F786" s="1485"/>
      <c r="G786" s="963"/>
      <c r="H786" s="563" t="s">
        <v>12</v>
      </c>
      <c r="I786" s="830"/>
      <c r="J786" s="830"/>
      <c r="K786" s="831"/>
      <c r="L786" s="967">
        <f t="shared" ref="L786:N786" ca="1" si="319">L787+L788</f>
        <v>0</v>
      </c>
      <c r="M786" s="967">
        <f t="shared" si="319"/>
        <v>0</v>
      </c>
      <c r="N786" s="967">
        <f t="shared" si="319"/>
        <v>0</v>
      </c>
      <c r="O786" s="967">
        <f t="shared" ref="O786:O791" ca="1" si="320">IF(L786&gt;0,N786*100/L786,0)</f>
        <v>0</v>
      </c>
      <c r="P786" s="967">
        <f t="shared" ref="P786:P791" si="321">IF(M786&gt;0,N786*100/M786,0)</f>
        <v>0</v>
      </c>
      <c r="Q786" s="1244"/>
      <c r="R786" s="1244"/>
      <c r="S786" s="1244"/>
      <c r="T786" s="1244"/>
      <c r="U786" s="1244"/>
      <c r="V786" s="1244"/>
      <c r="W786" s="1244"/>
      <c r="X786" s="1244"/>
      <c r="Y786" s="1244"/>
      <c r="Z786" s="1244"/>
    </row>
    <row r="787" spans="1:26" ht="18.75" hidden="1">
      <c r="A787" s="1260"/>
      <c r="B787" s="1265"/>
      <c r="C787" s="1261"/>
      <c r="D787" s="1262"/>
      <c r="E787" s="1261" t="s">
        <v>184</v>
      </c>
      <c r="F787" s="1261"/>
      <c r="G787" s="1263"/>
      <c r="H787" s="165" t="s">
        <v>12</v>
      </c>
      <c r="I787" s="836"/>
      <c r="J787" s="836"/>
      <c r="K787" s="837"/>
      <c r="L787" s="837">
        <f t="shared" ref="L787:N788" si="322">L790+L797</f>
        <v>0</v>
      </c>
      <c r="M787" s="837">
        <f t="shared" si="322"/>
        <v>0</v>
      </c>
      <c r="N787" s="837">
        <f t="shared" si="322"/>
        <v>0</v>
      </c>
      <c r="O787" s="837">
        <f t="shared" si="320"/>
        <v>0</v>
      </c>
      <c r="P787" s="837">
        <f t="shared" si="321"/>
        <v>0</v>
      </c>
      <c r="Q787" s="1264"/>
      <c r="R787" s="1264"/>
      <c r="S787" s="1264"/>
      <c r="T787" s="1264"/>
      <c r="U787" s="1264"/>
      <c r="V787" s="1264"/>
      <c r="W787" s="1264"/>
      <c r="X787" s="1264"/>
      <c r="Y787" s="1264"/>
      <c r="Z787" s="1264"/>
    </row>
    <row r="788" spans="1:26" ht="18.75" hidden="1">
      <c r="A788" s="1260"/>
      <c r="B788" s="1265"/>
      <c r="C788" s="1265"/>
      <c r="D788" s="1274"/>
      <c r="E788" s="1261" t="s">
        <v>185</v>
      </c>
      <c r="F788" s="1261"/>
      <c r="G788" s="1263"/>
      <c r="H788" s="165" t="s">
        <v>12</v>
      </c>
      <c r="I788" s="836"/>
      <c r="J788" s="836"/>
      <c r="K788" s="837"/>
      <c r="L788" s="837">
        <f t="shared" ca="1" si="322"/>
        <v>0</v>
      </c>
      <c r="M788" s="837">
        <f t="shared" si="322"/>
        <v>0</v>
      </c>
      <c r="N788" s="837">
        <f t="shared" si="322"/>
        <v>0</v>
      </c>
      <c r="O788" s="837">
        <f t="shared" ca="1" si="320"/>
        <v>0</v>
      </c>
      <c r="P788" s="837">
        <f t="shared" si="321"/>
        <v>0</v>
      </c>
      <c r="Q788" s="1264"/>
      <c r="R788" s="1264"/>
      <c r="S788" s="1264"/>
      <c r="T788" s="1264"/>
      <c r="U788" s="1264"/>
      <c r="V788" s="1264"/>
      <c r="W788" s="1264"/>
      <c r="X788" s="1264"/>
      <c r="Y788" s="1264"/>
      <c r="Z788" s="1264"/>
    </row>
    <row r="789" spans="1:26" ht="18.75" hidden="1">
      <c r="A789" s="1259"/>
      <c r="B789" s="1242"/>
      <c r="C789" s="1242"/>
      <c r="D789" s="1266" t="s">
        <v>20</v>
      </c>
      <c r="E789" s="1243"/>
      <c r="F789" s="1243"/>
      <c r="G789" s="963"/>
      <c r="H789" s="778" t="s">
        <v>12</v>
      </c>
      <c r="I789" s="944"/>
      <c r="J789" s="944"/>
      <c r="K789" s="945"/>
      <c r="L789" s="831">
        <f t="shared" ref="L789:N789" ca="1" si="323">L790+L791</f>
        <v>0</v>
      </c>
      <c r="M789" s="831">
        <f t="shared" si="323"/>
        <v>0</v>
      </c>
      <c r="N789" s="831">
        <f t="shared" si="323"/>
        <v>0</v>
      </c>
      <c r="O789" s="831">
        <f t="shared" ca="1" si="320"/>
        <v>0</v>
      </c>
      <c r="P789" s="831">
        <f t="shared" si="321"/>
        <v>0</v>
      </c>
      <c r="Q789" s="1244"/>
      <c r="R789" s="1244"/>
      <c r="S789" s="1244"/>
      <c r="T789" s="1244"/>
      <c r="U789" s="1244"/>
      <c r="V789" s="1244"/>
      <c r="W789" s="1244"/>
      <c r="X789" s="1244"/>
      <c r="Y789" s="1244"/>
      <c r="Z789" s="1244"/>
    </row>
    <row r="790" spans="1:26" ht="18.75" hidden="1">
      <c r="A790" s="1260"/>
      <c r="B790" s="1265"/>
      <c r="C790" s="1265"/>
      <c r="D790" s="1274"/>
      <c r="E790" s="1261" t="s">
        <v>184</v>
      </c>
      <c r="F790" s="1261"/>
      <c r="G790" s="1263"/>
      <c r="H790" s="165" t="s">
        <v>12</v>
      </c>
      <c r="I790" s="836"/>
      <c r="J790" s="836"/>
      <c r="K790" s="837"/>
      <c r="L790" s="837">
        <v>0</v>
      </c>
      <c r="M790" s="837">
        <v>0</v>
      </c>
      <c r="N790" s="837">
        <v>0</v>
      </c>
      <c r="O790" s="837">
        <f t="shared" si="320"/>
        <v>0</v>
      </c>
      <c r="P790" s="837">
        <f t="shared" si="321"/>
        <v>0</v>
      </c>
      <c r="Q790" s="1264"/>
      <c r="R790" s="1264"/>
      <c r="S790" s="1264"/>
      <c r="T790" s="1264"/>
      <c r="U790" s="1264"/>
      <c r="V790" s="1264"/>
      <c r="W790" s="1264"/>
      <c r="X790" s="1264"/>
      <c r="Y790" s="1264"/>
      <c r="Z790" s="1264"/>
    </row>
    <row r="791" spans="1:26" ht="18.75" hidden="1">
      <c r="A791" s="1260"/>
      <c r="B791" s="1265"/>
      <c r="C791" s="1265"/>
      <c r="D791" s="1274"/>
      <c r="E791" s="1261" t="s">
        <v>185</v>
      </c>
      <c r="F791" s="1261"/>
      <c r="G791" s="1263"/>
      <c r="H791" s="165" t="s">
        <v>12</v>
      </c>
      <c r="I791" s="836"/>
      <c r="J791" s="836"/>
      <c r="K791" s="837"/>
      <c r="L791" s="837">
        <f ca="1">IFERROR(__xludf.DUMMYFUNCTION("IMPORTRANGE(""https://docs.google.com/spreadsheets/d/1QqKyyYR6Q21VydFLVH3TRQUabQu_ym0Zz7PgGX0-kHA/edit?usp=sharing"",""แผน!JJ24"")"),0)</f>
        <v>0</v>
      </c>
      <c r="M791" s="837">
        <v>0</v>
      </c>
      <c r="N791" s="837">
        <f>N792+N793+N794+N795</f>
        <v>0</v>
      </c>
      <c r="O791" s="837">
        <f t="shared" ca="1" si="320"/>
        <v>0</v>
      </c>
      <c r="P791" s="837">
        <f t="shared" si="321"/>
        <v>0</v>
      </c>
      <c r="Q791" s="1264"/>
      <c r="R791" s="1264"/>
      <c r="S791" s="1264"/>
      <c r="T791" s="1264"/>
      <c r="U791" s="1264"/>
      <c r="V791" s="1264"/>
      <c r="W791" s="1264"/>
      <c r="X791" s="1264"/>
      <c r="Y791" s="1264"/>
      <c r="Z791" s="1264"/>
    </row>
    <row r="792" spans="1:26" ht="18.75" hidden="1">
      <c r="A792" s="1241"/>
      <c r="B792" s="1242"/>
      <c r="C792" s="1243"/>
      <c r="D792" s="1243"/>
      <c r="E792" s="1243"/>
      <c r="F792" s="1243" t="s">
        <v>186</v>
      </c>
      <c r="G792" s="963"/>
      <c r="H792" s="778" t="s">
        <v>12</v>
      </c>
      <c r="I792" s="830"/>
      <c r="J792" s="830"/>
      <c r="K792" s="831"/>
      <c r="L792" s="831"/>
      <c r="M792" s="831"/>
      <c r="N792" s="1031">
        <v>0</v>
      </c>
      <c r="O792" s="831"/>
      <c r="P792" s="831"/>
      <c r="Q792" s="1244"/>
      <c r="R792" s="1244"/>
      <c r="S792" s="1244"/>
      <c r="T792" s="1244"/>
      <c r="U792" s="1244"/>
      <c r="V792" s="1244"/>
      <c r="W792" s="1244"/>
      <c r="X792" s="1244"/>
      <c r="Y792" s="1244"/>
      <c r="Z792" s="1244"/>
    </row>
    <row r="793" spans="1:26" ht="18.75" hidden="1">
      <c r="A793" s="1241"/>
      <c r="B793" s="1242"/>
      <c r="C793" s="1243"/>
      <c r="D793" s="1243"/>
      <c r="E793" s="1243"/>
      <c r="F793" s="1243" t="s">
        <v>187</v>
      </c>
      <c r="G793" s="963"/>
      <c r="H793" s="778" t="s">
        <v>12</v>
      </c>
      <c r="I793" s="830"/>
      <c r="J793" s="830"/>
      <c r="K793" s="831"/>
      <c r="L793" s="831"/>
      <c r="M793" s="831"/>
      <c r="N793" s="1031">
        <v>0</v>
      </c>
      <c r="O793" s="831"/>
      <c r="P793" s="831"/>
      <c r="Q793" s="1244"/>
      <c r="R793" s="1244"/>
      <c r="S793" s="1244"/>
      <c r="T793" s="1244"/>
      <c r="U793" s="1244"/>
      <c r="V793" s="1244"/>
      <c r="W793" s="1244"/>
      <c r="X793" s="1244"/>
      <c r="Y793" s="1244"/>
      <c r="Z793" s="1244"/>
    </row>
    <row r="794" spans="1:26" ht="18.75" hidden="1">
      <c r="A794" s="1241"/>
      <c r="B794" s="1242"/>
      <c r="C794" s="1243"/>
      <c r="D794" s="1243"/>
      <c r="E794" s="1243"/>
      <c r="F794" s="1243" t="s">
        <v>188</v>
      </c>
      <c r="G794" s="963"/>
      <c r="H794" s="778" t="s">
        <v>12</v>
      </c>
      <c r="I794" s="830"/>
      <c r="J794" s="830"/>
      <c r="K794" s="831"/>
      <c r="L794" s="831"/>
      <c r="M794" s="831"/>
      <c r="N794" s="1031">
        <v>0</v>
      </c>
      <c r="O794" s="831"/>
      <c r="P794" s="831"/>
      <c r="Q794" s="1244"/>
      <c r="R794" s="1244"/>
      <c r="S794" s="1244"/>
      <c r="T794" s="1244"/>
      <c r="U794" s="1244"/>
      <c r="V794" s="1244"/>
      <c r="W794" s="1244"/>
      <c r="X794" s="1244"/>
      <c r="Y794" s="1244"/>
      <c r="Z794" s="1244"/>
    </row>
    <row r="795" spans="1:26" ht="18.75" hidden="1">
      <c r="A795" s="1241"/>
      <c r="B795" s="1242"/>
      <c r="C795" s="1243"/>
      <c r="D795" s="1243"/>
      <c r="E795" s="1243"/>
      <c r="F795" s="1243" t="s">
        <v>189</v>
      </c>
      <c r="G795" s="963"/>
      <c r="H795" s="778" t="s">
        <v>12</v>
      </c>
      <c r="I795" s="830"/>
      <c r="J795" s="830"/>
      <c r="K795" s="831"/>
      <c r="L795" s="831"/>
      <c r="M795" s="831"/>
      <c r="N795" s="1031">
        <v>0</v>
      </c>
      <c r="O795" s="831"/>
      <c r="P795" s="831"/>
      <c r="Q795" s="1244"/>
      <c r="R795" s="1244"/>
      <c r="S795" s="1244"/>
      <c r="T795" s="1244"/>
      <c r="U795" s="1244"/>
      <c r="V795" s="1244"/>
      <c r="W795" s="1244"/>
      <c r="X795" s="1244"/>
      <c r="Y795" s="1244"/>
      <c r="Z795" s="1244"/>
    </row>
    <row r="796" spans="1:26" ht="18.75" hidden="1">
      <c r="A796" s="1259"/>
      <c r="B796" s="1242"/>
      <c r="C796" s="1243"/>
      <c r="D796" s="1266" t="s">
        <v>21</v>
      </c>
      <c r="E796" s="1243"/>
      <c r="F796" s="1243"/>
      <c r="G796" s="963"/>
      <c r="H796" s="168" t="s">
        <v>12</v>
      </c>
      <c r="I796" s="944"/>
      <c r="J796" s="944"/>
      <c r="K796" s="945"/>
      <c r="L796" s="831">
        <f t="shared" ref="L796:N796" si="324">L797+L798</f>
        <v>0</v>
      </c>
      <c r="M796" s="831">
        <f t="shared" si="324"/>
        <v>0</v>
      </c>
      <c r="N796" s="831">
        <f t="shared" si="324"/>
        <v>0</v>
      </c>
      <c r="O796" s="831">
        <f t="shared" ref="O796:O798" si="325">IF(L796&gt;0,N796*100/L796,0)</f>
        <v>0</v>
      </c>
      <c r="P796" s="831">
        <f t="shared" ref="P796:P798" si="326">IF(M796&gt;0,N796*100/M796,0)</f>
        <v>0</v>
      </c>
      <c r="Q796" s="1244"/>
      <c r="R796" s="1244"/>
      <c r="S796" s="1244"/>
      <c r="T796" s="1244"/>
      <c r="U796" s="1244"/>
      <c r="V796" s="1244"/>
      <c r="W796" s="1244"/>
      <c r="X796" s="1244"/>
      <c r="Y796" s="1244"/>
      <c r="Z796" s="1244"/>
    </row>
    <row r="797" spans="1:26" ht="18.75" hidden="1">
      <c r="A797" s="1260"/>
      <c r="B797" s="1265"/>
      <c r="C797" s="1261"/>
      <c r="D797" s="1261"/>
      <c r="E797" s="1261" t="s">
        <v>18</v>
      </c>
      <c r="F797" s="1261"/>
      <c r="G797" s="1263"/>
      <c r="H797" s="165" t="s">
        <v>12</v>
      </c>
      <c r="I797" s="947"/>
      <c r="J797" s="947"/>
      <c r="K797" s="948"/>
      <c r="L797" s="837">
        <v>0</v>
      </c>
      <c r="M797" s="837">
        <v>0</v>
      </c>
      <c r="N797" s="837">
        <v>0</v>
      </c>
      <c r="O797" s="837">
        <f t="shared" si="325"/>
        <v>0</v>
      </c>
      <c r="P797" s="837">
        <f t="shared" si="326"/>
        <v>0</v>
      </c>
      <c r="Q797" s="1264"/>
      <c r="R797" s="1264"/>
      <c r="S797" s="1264"/>
      <c r="T797" s="1264"/>
      <c r="U797" s="1264"/>
      <c r="V797" s="1264"/>
      <c r="W797" s="1264"/>
      <c r="X797" s="1264"/>
      <c r="Y797" s="1264"/>
      <c r="Z797" s="1264"/>
    </row>
    <row r="798" spans="1:26" ht="18.75" hidden="1">
      <c r="A798" s="1260"/>
      <c r="B798" s="1265"/>
      <c r="C798" s="1261"/>
      <c r="D798" s="1261"/>
      <c r="E798" s="1261" t="s">
        <v>19</v>
      </c>
      <c r="F798" s="1261"/>
      <c r="G798" s="1263"/>
      <c r="H798" s="169" t="s">
        <v>12</v>
      </c>
      <c r="I798" s="947"/>
      <c r="J798" s="947"/>
      <c r="K798" s="948"/>
      <c r="L798" s="837">
        <v>0</v>
      </c>
      <c r="M798" s="837">
        <v>0</v>
      </c>
      <c r="N798" s="837">
        <v>0</v>
      </c>
      <c r="O798" s="837">
        <f t="shared" si="325"/>
        <v>0</v>
      </c>
      <c r="P798" s="837">
        <f t="shared" si="326"/>
        <v>0</v>
      </c>
      <c r="Q798" s="1264"/>
      <c r="R798" s="1264"/>
      <c r="S798" s="1264"/>
      <c r="T798" s="1264"/>
      <c r="U798" s="1264"/>
      <c r="V798" s="1264"/>
      <c r="W798" s="1264"/>
      <c r="X798" s="1264"/>
      <c r="Y798" s="1264"/>
      <c r="Z798" s="1264"/>
    </row>
    <row r="799" spans="1:26" ht="19.5" hidden="1">
      <c r="A799" s="1267"/>
      <c r="B799" s="1268"/>
      <c r="C799" s="1243" t="s">
        <v>16</v>
      </c>
      <c r="D799" s="1378" t="s">
        <v>38</v>
      </c>
      <c r="E799" s="1271"/>
      <c r="F799" s="1271"/>
      <c r="G799" s="1272"/>
      <c r="H799" s="1413"/>
      <c r="I799" s="944"/>
      <c r="J799" s="944"/>
      <c r="K799" s="945"/>
      <c r="L799" s="945"/>
      <c r="M799" s="945"/>
      <c r="N799" s="945"/>
      <c r="O799" s="945"/>
      <c r="P799" s="945"/>
      <c r="Q799" s="1244"/>
      <c r="R799" s="1244"/>
      <c r="S799" s="1244"/>
      <c r="T799" s="1244"/>
      <c r="U799" s="1244"/>
      <c r="V799" s="1244"/>
      <c r="W799" s="1244"/>
      <c r="X799" s="1244"/>
      <c r="Y799" s="1244"/>
      <c r="Z799" s="1244"/>
    </row>
    <row r="800" spans="1:26" ht="18.75" hidden="1">
      <c r="A800" s="1267"/>
      <c r="B800" s="1268"/>
      <c r="C800" s="1268"/>
      <c r="D800" s="1268"/>
      <c r="E800" s="961"/>
      <c r="F800" s="961" t="s">
        <v>320</v>
      </c>
      <c r="G800" s="954"/>
      <c r="H800" s="777" t="s">
        <v>46</v>
      </c>
      <c r="I800" s="944">
        <f ca="1">IFERROR(__xludf.DUMMYFUNCTION("IMPORTRANGE(""https://docs.google.com/spreadsheets/d/1QqKyyYR6Q21VydFLVH3TRQUabQu_ym0Zz7PgGX0-kHA/edit?usp=sharing"",""แผน!JN24"")"),0)</f>
        <v>0</v>
      </c>
      <c r="J800" s="944">
        <f ca="1">IFERROR(__xludf.DUMMYFUNCTION("IMPORTRANGE(""https://docs.google.com/spreadsheets/d/1MaWodYyGHDf7siQLGxnXhG4mBNTNIuy296niS2xXulU/edit?usp=sharing"",""RTK!H24"")"),0)</f>
        <v>0</v>
      </c>
      <c r="K800" s="831">
        <f ca="1">IF(I800&gt;0,J800*100/I800,0)</f>
        <v>0</v>
      </c>
      <c r="L800" s="831"/>
      <c r="M800" s="831"/>
      <c r="N800" s="831"/>
      <c r="O800" s="945"/>
      <c r="P800" s="945"/>
      <c r="Q800" s="1244"/>
      <c r="R800" s="1244"/>
      <c r="S800" s="1244"/>
      <c r="T800" s="1244"/>
      <c r="U800" s="1244"/>
      <c r="V800" s="1244"/>
      <c r="W800" s="1244"/>
      <c r="X800" s="1244"/>
      <c r="Y800" s="1244"/>
      <c r="Z800" s="1244"/>
    </row>
    <row r="801" spans="1:26" ht="18.75" hidden="1">
      <c r="A801" s="1267"/>
      <c r="B801" s="1268"/>
      <c r="C801" s="1268"/>
      <c r="D801" s="1268"/>
      <c r="E801" s="961"/>
      <c r="F801" s="961"/>
      <c r="G801" s="954"/>
      <c r="H801" s="778" t="s">
        <v>34</v>
      </c>
      <c r="I801" s="944"/>
      <c r="J801" s="830">
        <f ca="1">IFERROR(__xludf.DUMMYFUNCTION("IMPORTRANGE(""https://docs.google.com/spreadsheets/d/1MaWodYyGHDf7siQLGxnXhG4mBNTNIuy296niS2xXulU/edit?usp=sharing"",""RTK!I24"")"),0)</f>
        <v>0</v>
      </c>
      <c r="K801" s="831"/>
      <c r="L801" s="831"/>
      <c r="M801" s="831"/>
      <c r="N801" s="831"/>
      <c r="O801" s="945"/>
      <c r="P801" s="945"/>
      <c r="Q801" s="1244"/>
      <c r="R801" s="1244"/>
      <c r="S801" s="1244"/>
      <c r="T801" s="1244"/>
      <c r="U801" s="1244"/>
      <c r="V801" s="1244"/>
      <c r="W801" s="1244"/>
      <c r="X801" s="1244"/>
      <c r="Y801" s="1244"/>
      <c r="Z801" s="1244"/>
    </row>
    <row r="802" spans="1:26" ht="18.75" hidden="1">
      <c r="A802" s="1273"/>
      <c r="B802" s="1274"/>
      <c r="C802" s="1274"/>
      <c r="D802" s="1274"/>
      <c r="E802" s="1262"/>
      <c r="F802" s="1262" t="s">
        <v>321</v>
      </c>
      <c r="G802" s="1060"/>
      <c r="H802" s="619" t="s">
        <v>46</v>
      </c>
      <c r="I802" s="947"/>
      <c r="J802" s="836"/>
      <c r="K802" s="948">
        <f>IF(I802&gt;0,J802*100/I802,0)</f>
        <v>0</v>
      </c>
      <c r="L802" s="948"/>
      <c r="M802" s="948"/>
      <c r="N802" s="948"/>
      <c r="O802" s="948"/>
      <c r="P802" s="948"/>
      <c r="Q802" s="1264"/>
      <c r="R802" s="1264"/>
      <c r="S802" s="1264"/>
      <c r="T802" s="1264"/>
      <c r="U802" s="1264"/>
      <c r="V802" s="1264"/>
      <c r="W802" s="1264"/>
      <c r="X802" s="1264"/>
      <c r="Y802" s="1264"/>
      <c r="Z802" s="1264"/>
    </row>
    <row r="803" spans="1:26" ht="18.75" hidden="1">
      <c r="A803" s="1273"/>
      <c r="B803" s="1274"/>
      <c r="C803" s="1274"/>
      <c r="D803" s="1274"/>
      <c r="E803" s="1262"/>
      <c r="F803" s="1262"/>
      <c r="G803" s="1060"/>
      <c r="H803" s="619" t="s">
        <v>34</v>
      </c>
      <c r="I803" s="947"/>
      <c r="J803" s="836"/>
      <c r="K803" s="948"/>
      <c r="L803" s="948"/>
      <c r="M803" s="948"/>
      <c r="N803" s="948"/>
      <c r="O803" s="948"/>
      <c r="P803" s="948"/>
      <c r="Q803" s="1264"/>
      <c r="R803" s="1264"/>
      <c r="S803" s="1264"/>
      <c r="T803" s="1264"/>
      <c r="U803" s="1264"/>
      <c r="V803" s="1264"/>
      <c r="W803" s="1264"/>
      <c r="X803" s="1264"/>
      <c r="Y803" s="1264"/>
      <c r="Z803" s="1264"/>
    </row>
    <row r="804" spans="1:26" ht="19.5" hidden="1">
      <c r="A804" s="759">
        <v>13</v>
      </c>
      <c r="B804" s="1400" t="s">
        <v>322</v>
      </c>
      <c r="C804" s="1401"/>
      <c r="D804" s="1419"/>
      <c r="E804" s="1401"/>
      <c r="F804" s="1401"/>
      <c r="G804" s="1402"/>
      <c r="H804" s="763" t="s">
        <v>46</v>
      </c>
      <c r="I804" s="1403"/>
      <c r="J804" s="1403">
        <f>J819</f>
        <v>0</v>
      </c>
      <c r="K804" s="1404">
        <f>IF(I804&gt;0,J804*100/I804,0)</f>
        <v>0</v>
      </c>
      <c r="L804" s="1405"/>
      <c r="M804" s="1405"/>
      <c r="N804" s="1405"/>
      <c r="O804" s="1405"/>
      <c r="P804" s="1405"/>
      <c r="Q804" s="1264"/>
      <c r="R804" s="1264"/>
      <c r="S804" s="1264"/>
      <c r="T804" s="1264"/>
      <c r="U804" s="1264"/>
      <c r="V804" s="1264"/>
      <c r="W804" s="1264"/>
      <c r="X804" s="1264"/>
      <c r="Y804" s="1264"/>
      <c r="Z804" s="1264"/>
    </row>
    <row r="805" spans="1:26" ht="19.5" hidden="1">
      <c r="A805" s="1260"/>
      <c r="B805" s="1261"/>
      <c r="C805" s="1261" t="s">
        <v>16</v>
      </c>
      <c r="D805" s="1508" t="s">
        <v>17</v>
      </c>
      <c r="E805" s="1485"/>
      <c r="F805" s="1485"/>
      <c r="G805" s="1263"/>
      <c r="H805" s="612" t="s">
        <v>12</v>
      </c>
      <c r="I805" s="836"/>
      <c r="J805" s="836"/>
      <c r="K805" s="837"/>
      <c r="L805" s="1292">
        <f t="shared" ref="L805:N805" si="327">L806+L807</f>
        <v>0</v>
      </c>
      <c r="M805" s="1292">
        <f t="shared" si="327"/>
        <v>0</v>
      </c>
      <c r="N805" s="1292">
        <f t="shared" si="327"/>
        <v>0</v>
      </c>
      <c r="O805" s="1292">
        <f t="shared" ref="O805:O810" si="328">IF(L805&gt;0,N805*100/L805,0)</f>
        <v>0</v>
      </c>
      <c r="P805" s="1292">
        <f t="shared" ref="P805:P810" si="329">IF(M805&gt;0,N805*100/M805,0)</f>
        <v>0</v>
      </c>
      <c r="Q805" s="1264"/>
      <c r="R805" s="1264"/>
      <c r="S805" s="1264"/>
      <c r="T805" s="1264"/>
      <c r="U805" s="1264"/>
      <c r="V805" s="1264"/>
      <c r="W805" s="1264"/>
      <c r="X805" s="1264"/>
      <c r="Y805" s="1264"/>
      <c r="Z805" s="1264"/>
    </row>
    <row r="806" spans="1:26" ht="18.75" hidden="1">
      <c r="A806" s="1260"/>
      <c r="B806" s="1261"/>
      <c r="C806" s="1261"/>
      <c r="D806" s="1274"/>
      <c r="E806" s="1261" t="s">
        <v>184</v>
      </c>
      <c r="F806" s="1261"/>
      <c r="G806" s="1263"/>
      <c r="H806" s="165" t="s">
        <v>12</v>
      </c>
      <c r="I806" s="836"/>
      <c r="J806" s="836"/>
      <c r="K806" s="837"/>
      <c r="L806" s="837">
        <f t="shared" ref="L806:N807" si="330">L809+L816</f>
        <v>0</v>
      </c>
      <c r="M806" s="837">
        <f t="shared" si="330"/>
        <v>0</v>
      </c>
      <c r="N806" s="837">
        <f t="shared" si="330"/>
        <v>0</v>
      </c>
      <c r="O806" s="837">
        <f t="shared" si="328"/>
        <v>0</v>
      </c>
      <c r="P806" s="837">
        <f t="shared" si="329"/>
        <v>0</v>
      </c>
      <c r="Q806" s="1264"/>
      <c r="R806" s="1264"/>
      <c r="S806" s="1264"/>
      <c r="T806" s="1264"/>
      <c r="U806" s="1264"/>
      <c r="V806" s="1264"/>
      <c r="W806" s="1264"/>
      <c r="X806" s="1264"/>
      <c r="Y806" s="1264"/>
      <c r="Z806" s="1264"/>
    </row>
    <row r="807" spans="1:26" ht="18.75" hidden="1">
      <c r="A807" s="1260"/>
      <c r="B807" s="1261"/>
      <c r="C807" s="1261"/>
      <c r="D807" s="1274"/>
      <c r="E807" s="1261" t="s">
        <v>185</v>
      </c>
      <c r="F807" s="1261"/>
      <c r="G807" s="1263"/>
      <c r="H807" s="165" t="s">
        <v>12</v>
      </c>
      <c r="I807" s="836"/>
      <c r="J807" s="836"/>
      <c r="K807" s="837"/>
      <c r="L807" s="837">
        <f t="shared" si="330"/>
        <v>0</v>
      </c>
      <c r="M807" s="837">
        <f t="shared" si="330"/>
        <v>0</v>
      </c>
      <c r="N807" s="837">
        <f t="shared" si="330"/>
        <v>0</v>
      </c>
      <c r="O807" s="837">
        <f t="shared" si="328"/>
        <v>0</v>
      </c>
      <c r="P807" s="837">
        <f t="shared" si="329"/>
        <v>0</v>
      </c>
      <c r="Q807" s="1264"/>
      <c r="R807" s="1264"/>
      <c r="S807" s="1264"/>
      <c r="T807" s="1264"/>
      <c r="U807" s="1264"/>
      <c r="V807" s="1264"/>
      <c r="W807" s="1264"/>
      <c r="X807" s="1264"/>
      <c r="Y807" s="1264"/>
      <c r="Z807" s="1264"/>
    </row>
    <row r="808" spans="1:26" ht="19.5" hidden="1">
      <c r="A808" s="1260"/>
      <c r="B808" s="1265"/>
      <c r="C808" s="1261"/>
      <c r="D808" s="1509" t="s">
        <v>20</v>
      </c>
      <c r="E808" s="1485"/>
      <c r="F808" s="1485"/>
      <c r="G808" s="1263"/>
      <c r="H808" s="612" t="s">
        <v>12</v>
      </c>
      <c r="I808" s="947"/>
      <c r="J808" s="947"/>
      <c r="K808" s="948"/>
      <c r="L808" s="1292">
        <f t="shared" ref="L808:N808" si="331">L809+L810</f>
        <v>0</v>
      </c>
      <c r="M808" s="1292">
        <f t="shared" si="331"/>
        <v>0</v>
      </c>
      <c r="N808" s="1292">
        <f t="shared" si="331"/>
        <v>0</v>
      </c>
      <c r="O808" s="1292">
        <f t="shared" si="328"/>
        <v>0</v>
      </c>
      <c r="P808" s="1292">
        <f t="shared" si="329"/>
        <v>0</v>
      </c>
      <c r="Q808" s="1264"/>
      <c r="R808" s="1264"/>
      <c r="S808" s="1264"/>
      <c r="T808" s="1264"/>
      <c r="U808" s="1264"/>
      <c r="V808" s="1264"/>
      <c r="W808" s="1264"/>
      <c r="X808" s="1264"/>
      <c r="Y808" s="1264"/>
      <c r="Z808" s="1264"/>
    </row>
    <row r="809" spans="1:26" ht="18.75" hidden="1">
      <c r="A809" s="1260"/>
      <c r="B809" s="1261"/>
      <c r="C809" s="1261"/>
      <c r="D809" s="1274"/>
      <c r="E809" s="1261" t="s">
        <v>184</v>
      </c>
      <c r="F809" s="1261"/>
      <c r="G809" s="1263"/>
      <c r="H809" s="165" t="s">
        <v>12</v>
      </c>
      <c r="I809" s="836"/>
      <c r="J809" s="836"/>
      <c r="K809" s="837"/>
      <c r="L809" s="837">
        <v>0</v>
      </c>
      <c r="M809" s="837">
        <v>0</v>
      </c>
      <c r="N809" s="837">
        <v>0</v>
      </c>
      <c r="O809" s="837">
        <f t="shared" si="328"/>
        <v>0</v>
      </c>
      <c r="P809" s="837">
        <f t="shared" si="329"/>
        <v>0</v>
      </c>
      <c r="Q809" s="1264"/>
      <c r="R809" s="1264"/>
      <c r="S809" s="1264"/>
      <c r="T809" s="1264"/>
      <c r="U809" s="1264"/>
      <c r="V809" s="1264"/>
      <c r="W809" s="1264"/>
      <c r="X809" s="1264"/>
      <c r="Y809" s="1264"/>
      <c r="Z809" s="1264"/>
    </row>
    <row r="810" spans="1:26" ht="18.75" hidden="1">
      <c r="A810" s="1260"/>
      <c r="B810" s="1261"/>
      <c r="C810" s="1261"/>
      <c r="D810" s="1274"/>
      <c r="E810" s="1261" t="s">
        <v>185</v>
      </c>
      <c r="F810" s="1261"/>
      <c r="G810" s="1263"/>
      <c r="H810" s="165" t="s">
        <v>12</v>
      </c>
      <c r="I810" s="836"/>
      <c r="J810" s="836"/>
      <c r="K810" s="837"/>
      <c r="L810" s="837">
        <v>0</v>
      </c>
      <c r="M810" s="837">
        <v>0</v>
      </c>
      <c r="N810" s="837">
        <f>N811+N812+N813+N814</f>
        <v>0</v>
      </c>
      <c r="O810" s="837">
        <f t="shared" si="328"/>
        <v>0</v>
      </c>
      <c r="P810" s="837">
        <f t="shared" si="329"/>
        <v>0</v>
      </c>
      <c r="Q810" s="1264"/>
      <c r="R810" s="1264"/>
      <c r="S810" s="1264"/>
      <c r="T810" s="1264"/>
      <c r="U810" s="1264"/>
      <c r="V810" s="1264"/>
      <c r="W810" s="1264"/>
      <c r="X810" s="1264"/>
      <c r="Y810" s="1264"/>
      <c r="Z810" s="1264"/>
    </row>
    <row r="811" spans="1:26" ht="18.75" hidden="1">
      <c r="A811" s="1294"/>
      <c r="B811" s="1265"/>
      <c r="C811" s="1261"/>
      <c r="D811" s="1265"/>
      <c r="E811" s="1261"/>
      <c r="F811" s="1261" t="s">
        <v>186</v>
      </c>
      <c r="G811" s="1263"/>
      <c r="H811" s="165" t="s">
        <v>12</v>
      </c>
      <c r="I811" s="836"/>
      <c r="J811" s="836"/>
      <c r="K811" s="837"/>
      <c r="L811" s="837"/>
      <c r="M811" s="837"/>
      <c r="N811" s="837"/>
      <c r="O811" s="837"/>
      <c r="P811" s="837"/>
      <c r="Q811" s="1264"/>
      <c r="R811" s="1264"/>
      <c r="S811" s="1264"/>
      <c r="T811" s="1264"/>
      <c r="U811" s="1264"/>
      <c r="V811" s="1264"/>
      <c r="W811" s="1264"/>
      <c r="X811" s="1264"/>
      <c r="Y811" s="1264"/>
      <c r="Z811" s="1264"/>
    </row>
    <row r="812" spans="1:26" ht="18.75" hidden="1">
      <c r="A812" s="1294"/>
      <c r="B812" s="1265"/>
      <c r="C812" s="1261"/>
      <c r="D812" s="1265"/>
      <c r="E812" s="1261"/>
      <c r="F812" s="1261" t="s">
        <v>187</v>
      </c>
      <c r="G812" s="1263"/>
      <c r="H812" s="165" t="s">
        <v>12</v>
      </c>
      <c r="I812" s="836"/>
      <c r="J812" s="836"/>
      <c r="K812" s="837"/>
      <c r="L812" s="837"/>
      <c r="M812" s="837"/>
      <c r="N812" s="837"/>
      <c r="O812" s="837"/>
      <c r="P812" s="837"/>
      <c r="Q812" s="1264"/>
      <c r="R812" s="1264"/>
      <c r="S812" s="1264"/>
      <c r="T812" s="1264"/>
      <c r="U812" s="1264"/>
      <c r="V812" s="1264"/>
      <c r="W812" s="1264"/>
      <c r="X812" s="1264"/>
      <c r="Y812" s="1264"/>
      <c r="Z812" s="1264"/>
    </row>
    <row r="813" spans="1:26" ht="18.75" hidden="1">
      <c r="A813" s="1294"/>
      <c r="B813" s="1265"/>
      <c r="C813" s="1261"/>
      <c r="D813" s="1265"/>
      <c r="E813" s="1261"/>
      <c r="F813" s="1261" t="s">
        <v>188</v>
      </c>
      <c r="G813" s="1263"/>
      <c r="H813" s="165" t="s">
        <v>12</v>
      </c>
      <c r="I813" s="836"/>
      <c r="J813" s="836"/>
      <c r="K813" s="837"/>
      <c r="L813" s="837"/>
      <c r="M813" s="837"/>
      <c r="N813" s="837"/>
      <c r="O813" s="837"/>
      <c r="P813" s="837"/>
      <c r="Q813" s="1264"/>
      <c r="R813" s="1264"/>
      <c r="S813" s="1264"/>
      <c r="T813" s="1264"/>
      <c r="U813" s="1264"/>
      <c r="V813" s="1264"/>
      <c r="W813" s="1264"/>
      <c r="X813" s="1264"/>
      <c r="Y813" s="1264"/>
      <c r="Z813" s="1264"/>
    </row>
    <row r="814" spans="1:26" ht="18.75" hidden="1">
      <c r="A814" s="1294"/>
      <c r="B814" s="1265"/>
      <c r="C814" s="1261"/>
      <c r="D814" s="1265"/>
      <c r="E814" s="1261"/>
      <c r="F814" s="1261" t="s">
        <v>189</v>
      </c>
      <c r="G814" s="1263"/>
      <c r="H814" s="165" t="s">
        <v>12</v>
      </c>
      <c r="I814" s="836"/>
      <c r="J814" s="836"/>
      <c r="K814" s="837"/>
      <c r="L814" s="837"/>
      <c r="M814" s="837"/>
      <c r="N814" s="837"/>
      <c r="O814" s="837"/>
      <c r="P814" s="837"/>
      <c r="Q814" s="1264"/>
      <c r="R814" s="1264"/>
      <c r="S814" s="1264"/>
      <c r="T814" s="1264"/>
      <c r="U814" s="1264"/>
      <c r="V814" s="1264"/>
      <c r="W814" s="1264"/>
      <c r="X814" s="1264"/>
      <c r="Y814" s="1264"/>
      <c r="Z814" s="1264"/>
    </row>
    <row r="815" spans="1:26" ht="19.5" hidden="1">
      <c r="A815" s="1260"/>
      <c r="B815" s="1265"/>
      <c r="C815" s="1261"/>
      <c r="D815" s="1509" t="s">
        <v>21</v>
      </c>
      <c r="E815" s="1485"/>
      <c r="F815" s="1485"/>
      <c r="G815" s="1263"/>
      <c r="H815" s="749" t="s">
        <v>12</v>
      </c>
      <c r="I815" s="947"/>
      <c r="J815" s="947"/>
      <c r="K815" s="948"/>
      <c r="L815" s="1292">
        <f t="shared" ref="L815:N815" si="332">L816+L817</f>
        <v>0</v>
      </c>
      <c r="M815" s="1292">
        <f t="shared" si="332"/>
        <v>0</v>
      </c>
      <c r="N815" s="1292">
        <f t="shared" si="332"/>
        <v>0</v>
      </c>
      <c r="O815" s="1292">
        <f t="shared" ref="O815:O817" si="333">IF(L815&gt;0,N815*100/L815,0)</f>
        <v>0</v>
      </c>
      <c r="P815" s="1292">
        <f t="shared" ref="P815:P817" si="334">IF(M815&gt;0,N815*100/M815,0)</f>
        <v>0</v>
      </c>
      <c r="Q815" s="1264"/>
      <c r="R815" s="1264"/>
      <c r="S815" s="1264"/>
      <c r="T815" s="1264"/>
      <c r="U815" s="1264"/>
      <c r="V815" s="1264"/>
      <c r="W815" s="1264"/>
      <c r="X815" s="1264"/>
      <c r="Y815" s="1264"/>
      <c r="Z815" s="1264"/>
    </row>
    <row r="816" spans="1:26" ht="18.75" hidden="1">
      <c r="A816" s="1260"/>
      <c r="B816" s="1265"/>
      <c r="C816" s="1261"/>
      <c r="D816" s="1265"/>
      <c r="E816" s="1261" t="s">
        <v>18</v>
      </c>
      <c r="F816" s="1261"/>
      <c r="G816" s="1263"/>
      <c r="H816" s="165" t="s">
        <v>12</v>
      </c>
      <c r="I816" s="947"/>
      <c r="J816" s="947"/>
      <c r="K816" s="948"/>
      <c r="L816" s="837">
        <v>0</v>
      </c>
      <c r="M816" s="837">
        <v>0</v>
      </c>
      <c r="N816" s="837">
        <v>0</v>
      </c>
      <c r="O816" s="837">
        <f t="shared" si="333"/>
        <v>0</v>
      </c>
      <c r="P816" s="837">
        <f t="shared" si="334"/>
        <v>0</v>
      </c>
      <c r="Q816" s="1264"/>
      <c r="R816" s="1264"/>
      <c r="S816" s="1264"/>
      <c r="T816" s="1264"/>
      <c r="U816" s="1264"/>
      <c r="V816" s="1264"/>
      <c r="W816" s="1264"/>
      <c r="X816" s="1264"/>
      <c r="Y816" s="1264"/>
      <c r="Z816" s="1264"/>
    </row>
    <row r="817" spans="1:26" ht="18.75" hidden="1">
      <c r="A817" s="1260"/>
      <c r="B817" s="1265"/>
      <c r="C817" s="1261"/>
      <c r="D817" s="1265"/>
      <c r="E817" s="1261" t="s">
        <v>19</v>
      </c>
      <c r="F817" s="1261"/>
      <c r="G817" s="1263"/>
      <c r="H817" s="169" t="s">
        <v>12</v>
      </c>
      <c r="I817" s="947"/>
      <c r="J817" s="947"/>
      <c r="K817" s="948"/>
      <c r="L817" s="837">
        <v>0</v>
      </c>
      <c r="M817" s="837">
        <v>0</v>
      </c>
      <c r="N817" s="837">
        <v>0</v>
      </c>
      <c r="O817" s="837">
        <f t="shared" si="333"/>
        <v>0</v>
      </c>
      <c r="P817" s="837">
        <f t="shared" si="334"/>
        <v>0</v>
      </c>
      <c r="Q817" s="1264"/>
      <c r="R817" s="1264"/>
      <c r="S817" s="1264"/>
      <c r="T817" s="1264"/>
      <c r="U817" s="1264"/>
      <c r="V817" s="1264"/>
      <c r="W817" s="1264"/>
      <c r="X817" s="1264"/>
      <c r="Y817" s="1264"/>
      <c r="Z817" s="1264"/>
    </row>
    <row r="818" spans="1:26" ht="19.5" hidden="1">
      <c r="A818" s="1273"/>
      <c r="B818" s="1274"/>
      <c r="C818" s="1261" t="s">
        <v>16</v>
      </c>
      <c r="D818" s="1420" t="s">
        <v>38</v>
      </c>
      <c r="E818" s="1296"/>
      <c r="F818" s="1296"/>
      <c r="G818" s="1297"/>
      <c r="H818" s="1060"/>
      <c r="I818" s="947"/>
      <c r="J818" s="947"/>
      <c r="K818" s="948"/>
      <c r="L818" s="948"/>
      <c r="M818" s="948"/>
      <c r="N818" s="948"/>
      <c r="O818" s="948"/>
      <c r="P818" s="948"/>
      <c r="Q818" s="1264"/>
      <c r="R818" s="1264"/>
      <c r="S818" s="1264"/>
      <c r="T818" s="1264"/>
      <c r="U818" s="1264"/>
      <c r="V818" s="1264"/>
      <c r="W818" s="1264"/>
      <c r="X818" s="1264"/>
      <c r="Y818" s="1264"/>
      <c r="Z818" s="1264"/>
    </row>
    <row r="819" spans="1:26" ht="19.5" hidden="1" thickBot="1">
      <c r="A819" s="1421"/>
      <c r="B819" s="1422"/>
      <c r="C819" s="1423"/>
      <c r="D819" s="1422"/>
      <c r="E819" s="1423" t="s">
        <v>323</v>
      </c>
      <c r="F819" s="1423"/>
      <c r="G819" s="1424"/>
      <c r="H819" s="792" t="s">
        <v>46</v>
      </c>
      <c r="I819" s="1425"/>
      <c r="J819" s="1425"/>
      <c r="K819" s="1426"/>
      <c r="L819" s="1426"/>
      <c r="M819" s="1426"/>
      <c r="N819" s="1426"/>
      <c r="O819" s="1426"/>
      <c r="P819" s="1426"/>
      <c r="Q819" s="1264"/>
      <c r="R819" s="1264"/>
      <c r="S819" s="1264"/>
      <c r="T819" s="1264"/>
      <c r="U819" s="1264"/>
      <c r="V819" s="1264"/>
      <c r="W819" s="1264"/>
      <c r="X819" s="1264"/>
      <c r="Y819" s="1264"/>
      <c r="Z819" s="1264"/>
    </row>
    <row r="820" spans="1:26" ht="19.5">
      <c r="A820" s="1427" t="s">
        <v>333</v>
      </c>
      <c r="B820" s="1428"/>
      <c r="C820" s="1428"/>
      <c r="D820" s="1429"/>
      <c r="E820" s="1428"/>
      <c r="F820" s="1428"/>
      <c r="G820" s="1430"/>
      <c r="H820" s="143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32"/>
      <c r="J820" s="1432"/>
      <c r="K820" s="1433"/>
      <c r="L820" s="1433"/>
      <c r="M820" s="1433"/>
      <c r="N820" s="1433"/>
      <c r="O820" s="1433"/>
      <c r="P820" s="1433"/>
      <c r="Q820" s="1244"/>
      <c r="R820" s="1244"/>
      <c r="S820" s="1244"/>
      <c r="T820" s="1244"/>
      <c r="U820" s="1244"/>
      <c r="V820" s="1244"/>
      <c r="W820" s="1244"/>
      <c r="X820" s="1244"/>
      <c r="Y820" s="1244"/>
      <c r="Z820" s="1244"/>
    </row>
    <row r="821" spans="1:26" ht="18.75">
      <c r="A821" s="1368"/>
      <c r="B821" s="1243" t="s">
        <v>325</v>
      </c>
      <c r="C821" s="1243"/>
      <c r="D821" s="1242"/>
      <c r="E821" s="1243"/>
      <c r="F821" s="1243"/>
      <c r="G821" s="963"/>
      <c r="H821" s="590" t="s">
        <v>12</v>
      </c>
      <c r="I821" s="830">
        <f ca="1">IFERROR(__xludf.DUMMYFUNCTION("IMPORTRANGE(""https://docs.google.com/spreadsheets/d/19vJNZY_5yjcGF2XGBMNZRCAIB0Kwfpjp8YEOfu-bneM/edit?usp=sharing"",""งานกองทุน!D24"")"),3553511.69)</f>
        <v>3553511.69</v>
      </c>
      <c r="J821" s="830">
        <f ca="1">IFERROR(__xludf.DUMMYFUNCTION("IMPORTRANGE(""https://docs.google.com/spreadsheets/d/19vJNZY_5yjcGF2XGBMNZRCAIB0Kwfpjp8YEOfu-bneM/edit?usp=sharing"",""งานกองทุน!F24"")"),1780000)</f>
        <v>1780000</v>
      </c>
      <c r="K821" s="831">
        <f t="shared" ref="K821:K828" ca="1" si="335">IF(I821&gt;0,J821*100/I821,0)</f>
        <v>50.091294338755922</v>
      </c>
      <c r="L821" s="831"/>
      <c r="M821" s="831"/>
      <c r="N821" s="831"/>
      <c r="O821" s="831"/>
      <c r="P821" s="831"/>
      <c r="Q821" s="1244"/>
      <c r="R821" s="1244"/>
      <c r="S821" s="1244"/>
      <c r="T821" s="1244"/>
      <c r="U821" s="1244"/>
      <c r="V821" s="1244"/>
      <c r="W821" s="1244"/>
      <c r="X821" s="1244"/>
      <c r="Y821" s="1244"/>
      <c r="Z821" s="1244"/>
    </row>
    <row r="822" spans="1:26" ht="18.75">
      <c r="A822" s="1368"/>
      <c r="B822" s="1243"/>
      <c r="C822" s="1243"/>
      <c r="D822" s="1242"/>
      <c r="E822" s="1243"/>
      <c r="F822" s="1243"/>
      <c r="G822" s="963"/>
      <c r="H822" s="590" t="s">
        <v>35</v>
      </c>
      <c r="I822" s="830">
        <f ca="1">IFERROR(__xludf.DUMMYFUNCTION("IMPORTRANGE(""https://docs.google.com/spreadsheets/d/19vJNZY_5yjcGF2XGBMNZRCAIB0Kwfpjp8YEOfu-bneM/edit?usp=sharing"",""งานกองทุน!C24"")"),170)</f>
        <v>170</v>
      </c>
      <c r="J822" s="830">
        <f ca="1">IFERROR(__xludf.DUMMYFUNCTION("IMPORTRANGE(""https://docs.google.com/spreadsheets/d/19vJNZY_5yjcGF2XGBMNZRCAIB0Kwfpjp8YEOfu-bneM/edit?usp=sharing"",""งานกองทุน!E24"")"),84)</f>
        <v>84</v>
      </c>
      <c r="K822" s="831">
        <f t="shared" ca="1" si="335"/>
        <v>49.411764705882355</v>
      </c>
      <c r="L822" s="831"/>
      <c r="M822" s="831"/>
      <c r="N822" s="831"/>
      <c r="O822" s="831"/>
      <c r="P822" s="831"/>
      <c r="Q822" s="1244"/>
      <c r="R822" s="1244"/>
      <c r="S822" s="1244"/>
      <c r="T822" s="1244"/>
      <c r="U822" s="1244"/>
      <c r="V822" s="1244"/>
      <c r="W822" s="1244"/>
      <c r="X822" s="1244"/>
      <c r="Y822" s="1244"/>
      <c r="Z822" s="1244"/>
    </row>
    <row r="823" spans="1:26" ht="18.75">
      <c r="A823" s="1368"/>
      <c r="B823" s="1243" t="s">
        <v>326</v>
      </c>
      <c r="C823" s="1243"/>
      <c r="D823" s="1242"/>
      <c r="E823" s="1243"/>
      <c r="F823" s="1243"/>
      <c r="G823" s="963"/>
      <c r="H823" s="590" t="s">
        <v>12</v>
      </c>
      <c r="I823" s="830">
        <f ca="1">IFERROR(__xludf.DUMMYFUNCTION("IMPORTRANGE(""https://docs.google.com/spreadsheets/d/19vJNZY_5yjcGF2XGBMNZRCAIB0Kwfpjp8YEOfu-bneM/edit?usp=sharing"",""งานกองทุน!I24"")"),635205.94)</f>
        <v>635205.93999999994</v>
      </c>
      <c r="J823" s="830">
        <f ca="1">IFERROR(__xludf.DUMMYFUNCTION("IMPORTRANGE(""https://docs.google.com/spreadsheets/d/19vJNZY_5yjcGF2XGBMNZRCAIB0Kwfpjp8YEOfu-bneM/edit?usp=sharing"",""งานกองทุน!K24"")"),136299.68)</f>
        <v>136299.68</v>
      </c>
      <c r="K823" s="831">
        <f t="shared" ca="1" si="335"/>
        <v>21.457557528508001</v>
      </c>
      <c r="L823" s="831"/>
      <c r="M823" s="831"/>
      <c r="N823" s="831"/>
      <c r="O823" s="831"/>
      <c r="P823" s="831"/>
      <c r="Q823" s="1244"/>
      <c r="R823" s="1244"/>
      <c r="S823" s="1244"/>
      <c r="T823" s="1244"/>
      <c r="U823" s="1244"/>
      <c r="V823" s="1244"/>
      <c r="W823" s="1244"/>
      <c r="X823" s="1244"/>
      <c r="Y823" s="1244"/>
      <c r="Z823" s="1244"/>
    </row>
    <row r="824" spans="1:26" ht="18.75">
      <c r="A824" s="1368"/>
      <c r="B824" s="1243"/>
      <c r="C824" s="1243"/>
      <c r="D824" s="1242"/>
      <c r="E824" s="1243"/>
      <c r="F824" s="1243"/>
      <c r="G824" s="963"/>
      <c r="H824" s="590" t="s">
        <v>35</v>
      </c>
      <c r="I824" s="830">
        <f ca="1">IFERROR(__xludf.DUMMYFUNCTION("IMPORTRANGE(""https://docs.google.com/spreadsheets/d/19vJNZY_5yjcGF2XGBMNZRCAIB0Kwfpjp8YEOfu-bneM/edit?usp=sharing"",""งานกองทุน!H24"")"),50)</f>
        <v>50</v>
      </c>
      <c r="J824" s="830">
        <f ca="1">IFERROR(__xludf.DUMMYFUNCTION("IMPORTRANGE(""https://docs.google.com/spreadsheets/d/19vJNZY_5yjcGF2XGBMNZRCAIB0Kwfpjp8YEOfu-bneM/edit?usp=sharing"",""งานกองทุน!J24"")"),43)</f>
        <v>43</v>
      </c>
      <c r="K824" s="831">
        <f t="shared" ca="1" si="335"/>
        <v>86</v>
      </c>
      <c r="L824" s="831"/>
      <c r="M824" s="831"/>
      <c r="N824" s="831"/>
      <c r="O824" s="831"/>
      <c r="P824" s="831"/>
      <c r="Q824" s="1244"/>
      <c r="R824" s="1244"/>
      <c r="S824" s="1244"/>
      <c r="T824" s="1244"/>
      <c r="U824" s="1244"/>
      <c r="V824" s="1244"/>
      <c r="W824" s="1244"/>
      <c r="X824" s="1244"/>
      <c r="Y824" s="1244"/>
      <c r="Z824" s="1244"/>
    </row>
    <row r="825" spans="1:26" ht="18.75">
      <c r="A825" s="1368"/>
      <c r="B825" s="1243" t="s">
        <v>327</v>
      </c>
      <c r="C825" s="1243"/>
      <c r="D825" s="1242"/>
      <c r="E825" s="1243"/>
      <c r="F825" s="1243"/>
      <c r="G825" s="963"/>
      <c r="H825" s="590" t="s">
        <v>12</v>
      </c>
      <c r="I825" s="830">
        <f ca="1">IFERROR(__xludf.DUMMYFUNCTION("IMPORTRANGE(""https://docs.google.com/spreadsheets/d/19vJNZY_5yjcGF2XGBMNZRCAIB0Kwfpjp8YEOfu-bneM/edit?usp=sharing"",""งานกองทุน!N24"")"),0)</f>
        <v>0</v>
      </c>
      <c r="J825" s="830">
        <f ca="1">IFERROR(__xludf.DUMMYFUNCTION("IMPORTRANGE(""https://docs.google.com/spreadsheets/d/19vJNZY_5yjcGF2XGBMNZRCAIB0Kwfpjp8YEOfu-bneM/edit?usp=sharing"",""งานกองทุน!P24"")"),0)</f>
        <v>0</v>
      </c>
      <c r="K825" s="831">
        <f t="shared" ca="1" si="335"/>
        <v>0</v>
      </c>
      <c r="L825" s="831"/>
      <c r="M825" s="831"/>
      <c r="N825" s="831"/>
      <c r="O825" s="831"/>
      <c r="P825" s="831"/>
      <c r="Q825" s="1244"/>
      <c r="R825" s="1244"/>
      <c r="S825" s="1244"/>
      <c r="T825" s="1244"/>
      <c r="U825" s="1244"/>
      <c r="V825" s="1244"/>
      <c r="W825" s="1244"/>
      <c r="X825" s="1244"/>
      <c r="Y825" s="1244"/>
      <c r="Z825" s="1244"/>
    </row>
    <row r="826" spans="1:26" ht="18.75">
      <c r="A826" s="1368"/>
      <c r="B826" s="1243"/>
      <c r="C826" s="1243"/>
      <c r="D826" s="1242"/>
      <c r="E826" s="1243"/>
      <c r="F826" s="1243"/>
      <c r="G826" s="963"/>
      <c r="H826" s="590" t="s">
        <v>35</v>
      </c>
      <c r="I826" s="830">
        <f ca="1">IFERROR(__xludf.DUMMYFUNCTION("IMPORTRANGE(""https://docs.google.com/spreadsheets/d/19vJNZY_5yjcGF2XGBMNZRCAIB0Kwfpjp8YEOfu-bneM/edit?usp=sharing"",""งานกองทุน!M24"")"),0)</f>
        <v>0</v>
      </c>
      <c r="J826" s="830">
        <f ca="1">IFERROR(__xludf.DUMMYFUNCTION("IMPORTRANGE(""https://docs.google.com/spreadsheets/d/19vJNZY_5yjcGF2XGBMNZRCAIB0Kwfpjp8YEOfu-bneM/edit?usp=sharing"",""งานกองทุน!O24"")"),0)</f>
        <v>0</v>
      </c>
      <c r="K826" s="831">
        <f t="shared" ca="1" si="335"/>
        <v>0</v>
      </c>
      <c r="L826" s="831"/>
      <c r="M826" s="831"/>
      <c r="N826" s="831"/>
      <c r="O826" s="831"/>
      <c r="P826" s="831"/>
      <c r="Q826" s="1244"/>
      <c r="R826" s="1244"/>
      <c r="S826" s="1244"/>
      <c r="T826" s="1244"/>
      <c r="U826" s="1244"/>
      <c r="V826" s="1244"/>
      <c r="W826" s="1244"/>
      <c r="X826" s="1244"/>
      <c r="Y826" s="1244"/>
      <c r="Z826" s="1244"/>
    </row>
    <row r="827" spans="1:26" ht="18.75">
      <c r="A827" s="1368"/>
      <c r="B827" s="1243" t="s">
        <v>328</v>
      </c>
      <c r="C827" s="1243"/>
      <c r="D827" s="1242"/>
      <c r="E827" s="1243"/>
      <c r="F827" s="1243"/>
      <c r="G827" s="963"/>
      <c r="H827" s="590" t="s">
        <v>12</v>
      </c>
      <c r="I827" s="830">
        <f ca="1">IFERROR(__xludf.DUMMYFUNCTION("IMPORTRANGE(""https://docs.google.com/spreadsheets/d/19vJNZY_5yjcGF2XGBMNZRCAIB0Kwfpjp8YEOfu-bneM/edit?usp=sharing"",""งานกองทุน!S24"")"),3700000)</f>
        <v>3700000</v>
      </c>
      <c r="J827" s="830">
        <f ca="1">IFERROR(__xludf.DUMMYFUNCTION("IMPORTRANGE(""https://docs.google.com/spreadsheets/d/19vJNZY_5yjcGF2XGBMNZRCAIB0Kwfpjp8YEOfu-bneM/edit?usp=sharing"",""งานกองทุน!U24"")"),1340000)</f>
        <v>1340000</v>
      </c>
      <c r="K827" s="831">
        <f t="shared" ca="1" si="335"/>
        <v>36.216216216216218</v>
      </c>
      <c r="L827" s="831"/>
      <c r="M827" s="831"/>
      <c r="N827" s="831"/>
      <c r="O827" s="831"/>
      <c r="P827" s="831"/>
      <c r="Q827" s="1244"/>
      <c r="R827" s="1244"/>
      <c r="S827" s="1244"/>
      <c r="T827" s="1244"/>
      <c r="U827" s="1244"/>
      <c r="V827" s="1244"/>
      <c r="W827" s="1244"/>
      <c r="X827" s="1244"/>
      <c r="Y827" s="1244"/>
      <c r="Z827" s="1244"/>
    </row>
    <row r="828" spans="1:26" ht="18.75">
      <c r="A828" s="1369"/>
      <c r="B828" s="1371"/>
      <c r="C828" s="1371"/>
      <c r="D828" s="1370"/>
      <c r="E828" s="1371"/>
      <c r="F828" s="1371"/>
      <c r="G828" s="1434"/>
      <c r="H828" s="802" t="s">
        <v>35</v>
      </c>
      <c r="I828" s="1085">
        <f ca="1">IFERROR(__xludf.DUMMYFUNCTION("IMPORTRANGE(""https://docs.google.com/spreadsheets/d/19vJNZY_5yjcGF2XGBMNZRCAIB0Kwfpjp8YEOfu-bneM/edit?usp=sharing"",""งานกองทุน!R24"")"),148)</f>
        <v>148</v>
      </c>
      <c r="J828" s="1085">
        <f ca="1">IFERROR(__xludf.DUMMYFUNCTION("IMPORTRANGE(""https://docs.google.com/spreadsheets/d/19vJNZY_5yjcGF2XGBMNZRCAIB0Kwfpjp8YEOfu-bneM/edit?usp=sharing"",""งานกองทุน!T24"")"),57)</f>
        <v>57</v>
      </c>
      <c r="K828" s="1182">
        <f t="shared" ca="1" si="335"/>
        <v>38.513513513513516</v>
      </c>
      <c r="L828" s="1182"/>
      <c r="M828" s="1182"/>
      <c r="N828" s="1182"/>
      <c r="O828" s="1182"/>
      <c r="P828" s="1182"/>
      <c r="Q828" s="1244"/>
      <c r="R828" s="1244"/>
      <c r="S828" s="1244"/>
      <c r="T828" s="1244"/>
      <c r="U828" s="1244"/>
      <c r="V828" s="1244"/>
      <c r="W828" s="1244"/>
      <c r="X828" s="1244"/>
      <c r="Y828" s="1244"/>
      <c r="Z828" s="124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227FA-B090-47ED-A752-35B727C698E5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Q24" sqref="Q24"/>
      <selection pane="bottomLeft" activeCell="Q24" sqref="Q24"/>
    </sheetView>
  </sheetViews>
  <sheetFormatPr defaultColWidth="12.5703125" defaultRowHeight="15.75" customHeight="1"/>
  <cols>
    <col min="1" max="3" width="3.28515625" style="803" customWidth="1"/>
    <col min="4" max="6" width="5.85546875" style="803" customWidth="1"/>
    <col min="7" max="7" width="56.42578125" style="803" customWidth="1"/>
    <col min="8" max="8" width="9.42578125" style="803" customWidth="1"/>
    <col min="9" max="9" width="16.85546875" style="803" bestFit="1" customWidth="1"/>
    <col min="10" max="10" width="14.42578125" style="803" bestFit="1" customWidth="1"/>
    <col min="11" max="11" width="12.5703125" style="803" bestFit="1" customWidth="1"/>
    <col min="12" max="14" width="21.28515625" style="803" bestFit="1" customWidth="1"/>
    <col min="15" max="15" width="20.140625" style="803" bestFit="1" customWidth="1"/>
    <col min="16" max="16" width="22" style="803" bestFit="1" customWidth="1"/>
    <col min="17" max="16384" width="12.5703125" style="803"/>
  </cols>
  <sheetData>
    <row r="1" spans="1:26" ht="19.5">
      <c r="A1" s="1498" t="s">
        <v>0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</row>
    <row r="2" spans="1:26" ht="19.5">
      <c r="A2" s="1498" t="s">
        <v>348</v>
      </c>
      <c r="B2" s="1516"/>
      <c r="C2" s="1516"/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  <c r="O2" s="1516"/>
      <c r="P2" s="1516"/>
    </row>
    <row r="3" spans="1:26" ht="19.5">
      <c r="A3" s="1498" t="s">
        <v>329</v>
      </c>
      <c r="B3" s="1516"/>
      <c r="C3" s="1516"/>
      <c r="D3" s="1516"/>
      <c r="E3" s="1516"/>
      <c r="F3" s="1516"/>
      <c r="G3" s="1516"/>
      <c r="H3" s="1516"/>
      <c r="I3" s="1516"/>
      <c r="J3" s="1516"/>
      <c r="K3" s="1516"/>
      <c r="L3" s="1516"/>
      <c r="M3" s="1516"/>
      <c r="N3" s="1516"/>
      <c r="O3" s="1516"/>
      <c r="P3" s="1516"/>
    </row>
    <row r="4" spans="1:26" ht="12.75">
      <c r="A4" s="804"/>
      <c r="B4" s="804"/>
      <c r="C4" s="804"/>
      <c r="D4" s="804"/>
      <c r="E4" s="804"/>
      <c r="F4" s="804"/>
      <c r="G4" s="804"/>
      <c r="H4" s="804"/>
      <c r="I4" s="804"/>
      <c r="J4" s="805"/>
      <c r="K4" s="806"/>
      <c r="L4" s="805"/>
      <c r="M4" s="805"/>
      <c r="N4" s="805"/>
      <c r="O4" s="804"/>
      <c r="P4" s="804"/>
    </row>
    <row r="5" spans="1:26" ht="19.5">
      <c r="A5" s="1504" t="s">
        <v>2</v>
      </c>
      <c r="B5" s="1516"/>
      <c r="C5" s="1516"/>
      <c r="D5" s="1516"/>
      <c r="E5" s="1516"/>
      <c r="F5" s="1516"/>
      <c r="G5" s="1505"/>
      <c r="H5" s="1500" t="s">
        <v>3</v>
      </c>
      <c r="I5" s="1501" t="s">
        <v>4</v>
      </c>
      <c r="J5" s="1494"/>
      <c r="K5" s="1495"/>
      <c r="L5" s="1502" t="s">
        <v>5</v>
      </c>
      <c r="M5" s="1495"/>
      <c r="N5" s="1503" t="s">
        <v>6</v>
      </c>
      <c r="O5" s="1494"/>
      <c r="P5" s="1495"/>
    </row>
    <row r="6" spans="1:26" ht="19.5">
      <c r="A6" s="1506"/>
      <c r="B6" s="1494"/>
      <c r="C6" s="1494"/>
      <c r="D6" s="1494"/>
      <c r="E6" s="1494"/>
      <c r="F6" s="1494"/>
      <c r="G6" s="1495"/>
      <c r="H6" s="14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12" t="s">
        <v>15</v>
      </c>
      <c r="B7" s="1494"/>
      <c r="C7" s="1494"/>
      <c r="D7" s="1494"/>
      <c r="E7" s="1494"/>
      <c r="F7" s="1494"/>
      <c r="G7" s="1495"/>
      <c r="H7" s="807"/>
      <c r="I7" s="808"/>
      <c r="J7" s="808"/>
      <c r="K7" s="809"/>
      <c r="L7" s="809"/>
      <c r="M7" s="809"/>
      <c r="N7" s="809"/>
      <c r="O7" s="809"/>
      <c r="P7" s="809"/>
    </row>
    <row r="8" spans="1:26" ht="19.5">
      <c r="A8" s="810"/>
      <c r="B8" s="811"/>
      <c r="C8" s="812" t="s">
        <v>16</v>
      </c>
      <c r="D8" s="813" t="s">
        <v>17</v>
      </c>
      <c r="E8" s="811"/>
      <c r="F8" s="811"/>
      <c r="G8" s="814"/>
      <c r="H8" s="19" t="s">
        <v>12</v>
      </c>
      <c r="I8" s="815"/>
      <c r="J8" s="815"/>
      <c r="K8" s="816"/>
      <c r="L8" s="817">
        <f t="shared" ref="L8:N8" ca="1" si="0">L9+L10</f>
        <v>3228905</v>
      </c>
      <c r="M8" s="817">
        <f t="shared" ca="1" si="0"/>
        <v>1865685</v>
      </c>
      <c r="N8" s="817">
        <f t="shared" ca="1" si="0"/>
        <v>1491597.3</v>
      </c>
      <c r="O8" s="817">
        <f t="shared" ref="O8:O16" ca="1" si="1">IF(L8&gt;0,N8*100/L8,0)</f>
        <v>46.195143554858383</v>
      </c>
      <c r="P8" s="817">
        <f t="shared" ref="P8:P16" ca="1" si="2">IF(M8&gt;0,N8*100/M8,0)</f>
        <v>79.949042844853224</v>
      </c>
      <c r="Q8" s="818"/>
      <c r="R8" s="818"/>
      <c r="S8" s="818"/>
      <c r="T8" s="818"/>
      <c r="U8" s="818"/>
      <c r="V8" s="818"/>
      <c r="W8" s="818"/>
      <c r="X8" s="818"/>
      <c r="Y8" s="818"/>
      <c r="Z8" s="818"/>
    </row>
    <row r="9" spans="1:26" ht="18.75" hidden="1">
      <c r="A9" s="819"/>
      <c r="B9" s="820"/>
      <c r="C9" s="820"/>
      <c r="D9" s="820"/>
      <c r="E9" s="821" t="s">
        <v>18</v>
      </c>
      <c r="F9" s="820"/>
      <c r="G9" s="822"/>
      <c r="H9" s="28" t="s">
        <v>12</v>
      </c>
      <c r="I9" s="823"/>
      <c r="J9" s="823"/>
      <c r="K9" s="824"/>
      <c r="L9" s="824">
        <f t="shared" ref="L9:N10" si="3">L12+L15</f>
        <v>0</v>
      </c>
      <c r="M9" s="824">
        <f t="shared" si="3"/>
        <v>0</v>
      </c>
      <c r="N9" s="824">
        <f t="shared" si="3"/>
        <v>0</v>
      </c>
      <c r="O9" s="824">
        <f t="shared" si="1"/>
        <v>0</v>
      </c>
      <c r="P9" s="824">
        <f t="shared" si="2"/>
        <v>0</v>
      </c>
      <c r="Q9" s="825"/>
      <c r="R9" s="825"/>
      <c r="S9" s="825"/>
      <c r="T9" s="825"/>
      <c r="U9" s="825"/>
      <c r="V9" s="825"/>
      <c r="W9" s="825"/>
      <c r="X9" s="825"/>
      <c r="Y9" s="825"/>
      <c r="Z9" s="825"/>
    </row>
    <row r="10" spans="1:26" ht="18.75" hidden="1">
      <c r="A10" s="819"/>
      <c r="B10" s="820"/>
      <c r="C10" s="820"/>
      <c r="D10" s="820"/>
      <c r="E10" s="821" t="s">
        <v>19</v>
      </c>
      <c r="F10" s="820"/>
      <c r="G10" s="822"/>
      <c r="H10" s="28" t="s">
        <v>12</v>
      </c>
      <c r="I10" s="823"/>
      <c r="J10" s="823"/>
      <c r="K10" s="824"/>
      <c r="L10" s="824">
        <f t="shared" ca="1" si="3"/>
        <v>3228905</v>
      </c>
      <c r="M10" s="824">
        <f t="shared" ca="1" si="3"/>
        <v>1865685</v>
      </c>
      <c r="N10" s="824">
        <f t="shared" ca="1" si="3"/>
        <v>1491597.3</v>
      </c>
      <c r="O10" s="824">
        <f t="shared" ca="1" si="1"/>
        <v>46.195143554858383</v>
      </c>
      <c r="P10" s="824">
        <f t="shared" ca="1" si="2"/>
        <v>79.949042844853224</v>
      </c>
      <c r="Q10" s="825"/>
      <c r="R10" s="825"/>
      <c r="S10" s="825"/>
      <c r="T10" s="825"/>
      <c r="U10" s="825"/>
      <c r="V10" s="825"/>
      <c r="W10" s="825"/>
      <c r="X10" s="825"/>
      <c r="Y10" s="825"/>
      <c r="Z10" s="825"/>
    </row>
    <row r="11" spans="1:26" ht="18.75">
      <c r="A11" s="826"/>
      <c r="B11" s="827"/>
      <c r="C11" s="827"/>
      <c r="D11" s="828" t="s">
        <v>20</v>
      </c>
      <c r="E11" s="827"/>
      <c r="F11" s="827"/>
      <c r="G11" s="829"/>
      <c r="H11" s="590" t="s">
        <v>12</v>
      </c>
      <c r="I11" s="830"/>
      <c r="J11" s="830"/>
      <c r="K11" s="831"/>
      <c r="L11" s="831">
        <f t="shared" ref="L11:N11" ca="1" si="4">L12+L13</f>
        <v>3168905</v>
      </c>
      <c r="M11" s="831">
        <f t="shared" ca="1" si="4"/>
        <v>1805685</v>
      </c>
      <c r="N11" s="831">
        <f t="shared" ca="1" si="4"/>
        <v>1431597.3</v>
      </c>
      <c r="O11" s="831">
        <f t="shared" ca="1" si="1"/>
        <v>45.176403205523677</v>
      </c>
      <c r="P11" s="831">
        <f t="shared" ca="1" si="2"/>
        <v>79.282781880560563</v>
      </c>
      <c r="Q11" s="818"/>
      <c r="R11" s="818"/>
      <c r="S11" s="818"/>
      <c r="T11" s="818"/>
      <c r="U11" s="818"/>
      <c r="V11" s="818"/>
      <c r="W11" s="818"/>
      <c r="X11" s="818"/>
      <c r="Y11" s="818"/>
      <c r="Z11" s="818"/>
    </row>
    <row r="12" spans="1:26" ht="18.75" hidden="1">
      <c r="A12" s="832"/>
      <c r="B12" s="833"/>
      <c r="C12" s="833"/>
      <c r="D12" s="833"/>
      <c r="E12" s="834" t="s">
        <v>18</v>
      </c>
      <c r="F12" s="833"/>
      <c r="G12" s="835"/>
      <c r="H12" s="43" t="s">
        <v>12</v>
      </c>
      <c r="I12" s="836"/>
      <c r="J12" s="836"/>
      <c r="K12" s="837"/>
      <c r="L12" s="837">
        <f t="shared" ref="L12:N13" si="5">L22+L32</f>
        <v>0</v>
      </c>
      <c r="M12" s="837">
        <f t="shared" si="5"/>
        <v>0</v>
      </c>
      <c r="N12" s="837">
        <f t="shared" si="5"/>
        <v>0</v>
      </c>
      <c r="O12" s="837">
        <f t="shared" si="1"/>
        <v>0</v>
      </c>
      <c r="P12" s="837">
        <f t="shared" si="2"/>
        <v>0</v>
      </c>
      <c r="Q12" s="825"/>
      <c r="R12" s="825"/>
      <c r="S12" s="825"/>
      <c r="T12" s="825"/>
      <c r="U12" s="825"/>
      <c r="V12" s="825"/>
      <c r="W12" s="825"/>
      <c r="X12" s="825"/>
      <c r="Y12" s="825"/>
      <c r="Z12" s="825"/>
    </row>
    <row r="13" spans="1:26" ht="18.75" hidden="1">
      <c r="A13" s="832"/>
      <c r="B13" s="833"/>
      <c r="C13" s="833"/>
      <c r="D13" s="833"/>
      <c r="E13" s="834" t="s">
        <v>19</v>
      </c>
      <c r="F13" s="833"/>
      <c r="G13" s="835"/>
      <c r="H13" s="43" t="s">
        <v>12</v>
      </c>
      <c r="I13" s="836"/>
      <c r="J13" s="836"/>
      <c r="K13" s="837"/>
      <c r="L13" s="837">
        <f t="shared" ca="1" si="5"/>
        <v>3168905</v>
      </c>
      <c r="M13" s="837">
        <f t="shared" ca="1" si="5"/>
        <v>1805685</v>
      </c>
      <c r="N13" s="837">
        <f t="shared" ca="1" si="5"/>
        <v>1431597.3</v>
      </c>
      <c r="O13" s="837">
        <f t="shared" ca="1" si="1"/>
        <v>45.176403205523677</v>
      </c>
      <c r="P13" s="837">
        <f t="shared" ca="1" si="2"/>
        <v>79.282781880560563</v>
      </c>
      <c r="Q13" s="825"/>
      <c r="R13" s="825"/>
      <c r="S13" s="825"/>
      <c r="T13" s="825"/>
      <c r="U13" s="825"/>
      <c r="V13" s="825"/>
      <c r="W13" s="825"/>
      <c r="X13" s="825"/>
      <c r="Y13" s="825"/>
      <c r="Z13" s="825"/>
    </row>
    <row r="14" spans="1:26" ht="18.75">
      <c r="A14" s="826"/>
      <c r="B14" s="827"/>
      <c r="C14" s="827"/>
      <c r="D14" s="828" t="s">
        <v>21</v>
      </c>
      <c r="E14" s="827"/>
      <c r="F14" s="827"/>
      <c r="G14" s="829"/>
      <c r="H14" s="590" t="s">
        <v>12</v>
      </c>
      <c r="I14" s="830"/>
      <c r="J14" s="830"/>
      <c r="K14" s="831"/>
      <c r="L14" s="831">
        <f t="shared" ref="L14:N14" ca="1" si="6">L15+L16</f>
        <v>60000</v>
      </c>
      <c r="M14" s="831">
        <f t="shared" ca="1" si="6"/>
        <v>60000</v>
      </c>
      <c r="N14" s="831">
        <f t="shared" ca="1" si="6"/>
        <v>60000</v>
      </c>
      <c r="O14" s="831">
        <f t="shared" ca="1" si="1"/>
        <v>100</v>
      </c>
      <c r="P14" s="831">
        <f t="shared" ca="1" si="2"/>
        <v>100</v>
      </c>
      <c r="Q14" s="818"/>
      <c r="R14" s="818"/>
      <c r="S14" s="818"/>
      <c r="T14" s="818"/>
      <c r="U14" s="818"/>
      <c r="V14" s="818"/>
      <c r="W14" s="818"/>
      <c r="X14" s="818"/>
      <c r="Y14" s="818"/>
      <c r="Z14" s="818"/>
    </row>
    <row r="15" spans="1:26" ht="18.75" hidden="1">
      <c r="A15" s="832"/>
      <c r="B15" s="833"/>
      <c r="C15" s="833"/>
      <c r="D15" s="833"/>
      <c r="E15" s="834" t="s">
        <v>18</v>
      </c>
      <c r="F15" s="833"/>
      <c r="G15" s="835"/>
      <c r="H15" s="43" t="s">
        <v>12</v>
      </c>
      <c r="I15" s="836"/>
      <c r="J15" s="836"/>
      <c r="K15" s="837"/>
      <c r="L15" s="837">
        <f t="shared" ref="L15:N16" si="7">L25+L35</f>
        <v>0</v>
      </c>
      <c r="M15" s="837">
        <f t="shared" si="7"/>
        <v>0</v>
      </c>
      <c r="N15" s="837">
        <f t="shared" si="7"/>
        <v>0</v>
      </c>
      <c r="O15" s="837">
        <f t="shared" si="1"/>
        <v>0</v>
      </c>
      <c r="P15" s="837">
        <f t="shared" si="2"/>
        <v>0</v>
      </c>
      <c r="Q15" s="825"/>
      <c r="R15" s="825"/>
      <c r="S15" s="825"/>
      <c r="T15" s="825"/>
      <c r="U15" s="825"/>
      <c r="V15" s="825"/>
      <c r="W15" s="825"/>
      <c r="X15" s="825"/>
      <c r="Y15" s="825"/>
      <c r="Z15" s="825"/>
    </row>
    <row r="16" spans="1:26" ht="18.75" hidden="1">
      <c r="A16" s="838"/>
      <c r="B16" s="839"/>
      <c r="C16" s="839"/>
      <c r="D16" s="839"/>
      <c r="E16" s="840" t="s">
        <v>19</v>
      </c>
      <c r="F16" s="839"/>
      <c r="G16" s="841"/>
      <c r="H16" s="50" t="s">
        <v>12</v>
      </c>
      <c r="I16" s="842"/>
      <c r="J16" s="842"/>
      <c r="K16" s="843"/>
      <c r="L16" s="843">
        <f t="shared" ca="1" si="7"/>
        <v>60000</v>
      </c>
      <c r="M16" s="843">
        <f t="shared" ca="1" si="7"/>
        <v>60000</v>
      </c>
      <c r="N16" s="843">
        <f t="shared" ca="1" si="7"/>
        <v>60000</v>
      </c>
      <c r="O16" s="843">
        <f t="shared" ca="1" si="1"/>
        <v>100</v>
      </c>
      <c r="P16" s="843">
        <f t="shared" ca="1" si="2"/>
        <v>100</v>
      </c>
      <c r="Q16" s="825"/>
      <c r="R16" s="825"/>
      <c r="S16" s="825"/>
      <c r="T16" s="825"/>
      <c r="U16" s="825"/>
      <c r="V16" s="825"/>
      <c r="W16" s="825"/>
      <c r="X16" s="825"/>
      <c r="Y16" s="825"/>
      <c r="Z16" s="825"/>
    </row>
    <row r="17" spans="1:26" ht="19.5">
      <c r="A17" s="1512" t="s">
        <v>22</v>
      </c>
      <c r="B17" s="1494"/>
      <c r="C17" s="1494"/>
      <c r="D17" s="1494"/>
      <c r="E17" s="1494"/>
      <c r="F17" s="1494"/>
      <c r="G17" s="1495"/>
      <c r="H17" s="807"/>
      <c r="I17" s="808"/>
      <c r="J17" s="808"/>
      <c r="K17" s="809"/>
      <c r="L17" s="809"/>
      <c r="M17" s="809"/>
      <c r="N17" s="809"/>
      <c r="O17" s="809"/>
      <c r="P17" s="809"/>
    </row>
    <row r="18" spans="1:26" ht="19.5">
      <c r="A18" s="810"/>
      <c r="B18" s="811"/>
      <c r="C18" s="812" t="s">
        <v>16</v>
      </c>
      <c r="D18" s="813" t="s">
        <v>17</v>
      </c>
      <c r="E18" s="811"/>
      <c r="F18" s="811"/>
      <c r="G18" s="814"/>
      <c r="H18" s="19" t="s">
        <v>12</v>
      </c>
      <c r="I18" s="815"/>
      <c r="J18" s="815"/>
      <c r="K18" s="816"/>
      <c r="L18" s="817">
        <f t="shared" ref="L18:N18" ca="1" si="8">L19+L20</f>
        <v>2373920</v>
      </c>
      <c r="M18" s="817">
        <f t="shared" ca="1" si="8"/>
        <v>1865685</v>
      </c>
      <c r="N18" s="817">
        <f t="shared" ca="1" si="8"/>
        <v>1168624.3</v>
      </c>
      <c r="O18" s="817">
        <f t="shared" ref="O18:O26" ca="1" si="9">IF(L18&gt;0,N18*100/L18,0)</f>
        <v>49.227619296353708</v>
      </c>
      <c r="P18" s="817">
        <f t="shared" ref="P18:P26" ca="1" si="10">IF(M18&gt;0,N18*100/M18,0)</f>
        <v>62.637813993251811</v>
      </c>
      <c r="Q18" s="818"/>
      <c r="R18" s="818"/>
      <c r="S18" s="818"/>
      <c r="T18" s="818"/>
      <c r="U18" s="818"/>
      <c r="V18" s="818"/>
      <c r="W18" s="818"/>
      <c r="X18" s="818"/>
      <c r="Y18" s="818"/>
      <c r="Z18" s="818"/>
    </row>
    <row r="19" spans="1:26" ht="18.75" hidden="1">
      <c r="A19" s="819"/>
      <c r="B19" s="820"/>
      <c r="C19" s="820"/>
      <c r="D19" s="820"/>
      <c r="E19" s="821" t="s">
        <v>18</v>
      </c>
      <c r="F19" s="820"/>
      <c r="G19" s="822"/>
      <c r="H19" s="28" t="s">
        <v>12</v>
      </c>
      <c r="I19" s="823"/>
      <c r="J19" s="823"/>
      <c r="K19" s="824"/>
      <c r="L19" s="824">
        <f t="shared" ref="L19:N20" si="11">L22+L25</f>
        <v>0</v>
      </c>
      <c r="M19" s="824">
        <f t="shared" si="11"/>
        <v>0</v>
      </c>
      <c r="N19" s="824">
        <f t="shared" si="11"/>
        <v>0</v>
      </c>
      <c r="O19" s="824">
        <f t="shared" si="9"/>
        <v>0</v>
      </c>
      <c r="P19" s="824">
        <f t="shared" si="10"/>
        <v>0</v>
      </c>
      <c r="Q19" s="825"/>
      <c r="R19" s="825"/>
      <c r="S19" s="825"/>
      <c r="T19" s="825"/>
      <c r="U19" s="825"/>
      <c r="V19" s="825"/>
      <c r="W19" s="825"/>
      <c r="X19" s="825"/>
      <c r="Y19" s="825"/>
      <c r="Z19" s="825"/>
    </row>
    <row r="20" spans="1:26" ht="18.75" hidden="1">
      <c r="A20" s="819"/>
      <c r="B20" s="820"/>
      <c r="C20" s="820"/>
      <c r="D20" s="820"/>
      <c r="E20" s="821" t="s">
        <v>19</v>
      </c>
      <c r="F20" s="820"/>
      <c r="G20" s="822"/>
      <c r="H20" s="28" t="s">
        <v>12</v>
      </c>
      <c r="I20" s="823"/>
      <c r="J20" s="823"/>
      <c r="K20" s="824"/>
      <c r="L20" s="824">
        <f t="shared" ca="1" si="11"/>
        <v>2373920</v>
      </c>
      <c r="M20" s="824">
        <f t="shared" ca="1" si="11"/>
        <v>1865685</v>
      </c>
      <c r="N20" s="824">
        <f t="shared" ca="1" si="11"/>
        <v>1168624.3</v>
      </c>
      <c r="O20" s="824">
        <f t="shared" ca="1" si="9"/>
        <v>49.227619296353708</v>
      </c>
      <c r="P20" s="824">
        <f t="shared" ca="1" si="10"/>
        <v>62.637813993251811</v>
      </c>
      <c r="Q20" s="825"/>
      <c r="R20" s="825"/>
      <c r="S20" s="825"/>
      <c r="T20" s="825"/>
      <c r="U20" s="825"/>
      <c r="V20" s="825"/>
      <c r="W20" s="825"/>
      <c r="X20" s="825"/>
      <c r="Y20" s="825"/>
      <c r="Z20" s="825"/>
    </row>
    <row r="21" spans="1:26" ht="18.75">
      <c r="A21" s="826"/>
      <c r="B21" s="827"/>
      <c r="C21" s="827"/>
      <c r="D21" s="828" t="s">
        <v>20</v>
      </c>
      <c r="E21" s="827"/>
      <c r="F21" s="827"/>
      <c r="G21" s="829"/>
      <c r="H21" s="590" t="s">
        <v>12</v>
      </c>
      <c r="I21" s="830"/>
      <c r="J21" s="830"/>
      <c r="K21" s="831"/>
      <c r="L21" s="831">
        <f t="shared" ref="L21:N21" ca="1" si="12">L22+L23</f>
        <v>2313920</v>
      </c>
      <c r="M21" s="831">
        <f t="shared" ca="1" si="12"/>
        <v>1805685</v>
      </c>
      <c r="N21" s="831">
        <f t="shared" ca="1" si="12"/>
        <v>1108624.3</v>
      </c>
      <c r="O21" s="831">
        <f t="shared" ca="1" si="9"/>
        <v>47.91109027105518</v>
      </c>
      <c r="P21" s="831">
        <f t="shared" ca="1" si="10"/>
        <v>61.396328817041734</v>
      </c>
      <c r="Q21" s="818"/>
      <c r="R21" s="818"/>
      <c r="S21" s="818"/>
      <c r="T21" s="818"/>
      <c r="U21" s="818"/>
      <c r="V21" s="818"/>
      <c r="W21" s="818"/>
      <c r="X21" s="818"/>
      <c r="Y21" s="818"/>
      <c r="Z21" s="818"/>
    </row>
    <row r="22" spans="1:26" ht="18.75" hidden="1">
      <c r="A22" s="832"/>
      <c r="B22" s="833"/>
      <c r="C22" s="833"/>
      <c r="D22" s="833"/>
      <c r="E22" s="834" t="s">
        <v>18</v>
      </c>
      <c r="F22" s="833"/>
      <c r="G22" s="835"/>
      <c r="H22" s="43" t="s">
        <v>12</v>
      </c>
      <c r="I22" s="836"/>
      <c r="J22" s="836"/>
      <c r="K22" s="837"/>
      <c r="L22" s="837">
        <f t="shared" ref="L22:N23" si="13">L45+L57+L70+L92+L123+L136+L153+L185+L169+L265+L281+L302+L319+L332+L349+L393+L406</f>
        <v>0</v>
      </c>
      <c r="M22" s="837">
        <f t="shared" si="13"/>
        <v>0</v>
      </c>
      <c r="N22" s="837">
        <f t="shared" si="13"/>
        <v>0</v>
      </c>
      <c r="O22" s="837">
        <f t="shared" si="9"/>
        <v>0</v>
      </c>
      <c r="P22" s="837">
        <f t="shared" si="10"/>
        <v>0</v>
      </c>
      <c r="Q22" s="825"/>
      <c r="R22" s="825"/>
      <c r="S22" s="825"/>
      <c r="T22" s="825"/>
      <c r="U22" s="825"/>
      <c r="V22" s="825"/>
      <c r="W22" s="825"/>
      <c r="X22" s="825"/>
      <c r="Y22" s="825"/>
      <c r="Z22" s="825"/>
    </row>
    <row r="23" spans="1:26" ht="18.75" hidden="1">
      <c r="A23" s="832"/>
      <c r="B23" s="833"/>
      <c r="C23" s="833"/>
      <c r="D23" s="833"/>
      <c r="E23" s="834" t="s">
        <v>19</v>
      </c>
      <c r="F23" s="833"/>
      <c r="G23" s="835"/>
      <c r="H23" s="43" t="s">
        <v>12</v>
      </c>
      <c r="I23" s="836"/>
      <c r="J23" s="836"/>
      <c r="K23" s="837"/>
      <c r="L23" s="837">
        <f t="shared" ca="1" si="13"/>
        <v>2313920</v>
      </c>
      <c r="M23" s="837">
        <f t="shared" ca="1" si="13"/>
        <v>1805685</v>
      </c>
      <c r="N23" s="837">
        <f t="shared" ca="1" si="13"/>
        <v>1108624.3</v>
      </c>
      <c r="O23" s="837">
        <f t="shared" ca="1" si="9"/>
        <v>47.91109027105518</v>
      </c>
      <c r="P23" s="837">
        <f t="shared" ca="1" si="10"/>
        <v>61.396328817041734</v>
      </c>
      <c r="Q23" s="825"/>
      <c r="R23" s="825"/>
      <c r="S23" s="825"/>
      <c r="T23" s="825"/>
      <c r="U23" s="825"/>
      <c r="V23" s="825"/>
      <c r="W23" s="825"/>
      <c r="X23" s="825"/>
      <c r="Y23" s="825"/>
      <c r="Z23" s="825"/>
    </row>
    <row r="24" spans="1:26" ht="18.75">
      <c r="A24" s="826"/>
      <c r="B24" s="827"/>
      <c r="C24" s="827"/>
      <c r="D24" s="828" t="s">
        <v>21</v>
      </c>
      <c r="E24" s="827"/>
      <c r="F24" s="827"/>
      <c r="G24" s="829"/>
      <c r="H24" s="590" t="s">
        <v>12</v>
      </c>
      <c r="I24" s="830"/>
      <c r="J24" s="830"/>
      <c r="K24" s="831"/>
      <c r="L24" s="831">
        <f t="shared" ref="L24:N24" ca="1" si="14">L25+L26</f>
        <v>60000</v>
      </c>
      <c r="M24" s="831">
        <f t="shared" ca="1" si="14"/>
        <v>60000</v>
      </c>
      <c r="N24" s="831">
        <f t="shared" ca="1" si="14"/>
        <v>60000</v>
      </c>
      <c r="O24" s="831">
        <f t="shared" ca="1" si="9"/>
        <v>100</v>
      </c>
      <c r="P24" s="831">
        <f t="shared" ca="1" si="10"/>
        <v>100</v>
      </c>
      <c r="Q24" s="818"/>
      <c r="R24" s="818"/>
      <c r="S24" s="818"/>
      <c r="T24" s="818"/>
      <c r="U24" s="818"/>
      <c r="V24" s="818"/>
      <c r="W24" s="818"/>
      <c r="X24" s="818"/>
      <c r="Y24" s="818"/>
      <c r="Z24" s="818"/>
    </row>
    <row r="25" spans="1:26" ht="18.75" hidden="1">
      <c r="A25" s="832"/>
      <c r="B25" s="833"/>
      <c r="C25" s="833"/>
      <c r="D25" s="833"/>
      <c r="E25" s="834" t="s">
        <v>18</v>
      </c>
      <c r="F25" s="833"/>
      <c r="G25" s="835"/>
      <c r="H25" s="43" t="s">
        <v>12</v>
      </c>
      <c r="I25" s="836"/>
      <c r="J25" s="836"/>
      <c r="K25" s="837"/>
      <c r="L25" s="837">
        <f t="shared" ref="L25:N26" si="15">L48+L60+L73+L95+L126+L139+L156+L188+L172+L268+L284+L305+L322+L335+L352+L396+L409</f>
        <v>0</v>
      </c>
      <c r="M25" s="837">
        <f t="shared" si="15"/>
        <v>0</v>
      </c>
      <c r="N25" s="837">
        <f t="shared" si="15"/>
        <v>0</v>
      </c>
      <c r="O25" s="837">
        <f t="shared" si="9"/>
        <v>0</v>
      </c>
      <c r="P25" s="837">
        <f t="shared" si="10"/>
        <v>0</v>
      </c>
      <c r="Q25" s="825"/>
      <c r="R25" s="825"/>
      <c r="S25" s="825"/>
      <c r="T25" s="825"/>
      <c r="U25" s="825"/>
      <c r="V25" s="825"/>
      <c r="W25" s="825"/>
      <c r="X25" s="825"/>
      <c r="Y25" s="825"/>
      <c r="Z25" s="825"/>
    </row>
    <row r="26" spans="1:26" ht="18.75" hidden="1">
      <c r="A26" s="838"/>
      <c r="B26" s="839"/>
      <c r="C26" s="839"/>
      <c r="D26" s="839"/>
      <c r="E26" s="840" t="s">
        <v>19</v>
      </c>
      <c r="F26" s="839"/>
      <c r="G26" s="841"/>
      <c r="H26" s="50" t="s">
        <v>12</v>
      </c>
      <c r="I26" s="842"/>
      <c r="J26" s="842"/>
      <c r="K26" s="843"/>
      <c r="L26" s="843">
        <f t="shared" ca="1" si="15"/>
        <v>60000</v>
      </c>
      <c r="M26" s="843">
        <f t="shared" ca="1" si="15"/>
        <v>60000</v>
      </c>
      <c r="N26" s="843">
        <f t="shared" ca="1" si="15"/>
        <v>60000</v>
      </c>
      <c r="O26" s="843">
        <f t="shared" ca="1" si="9"/>
        <v>100</v>
      </c>
      <c r="P26" s="843">
        <f t="shared" ca="1" si="10"/>
        <v>100</v>
      </c>
      <c r="Q26" s="825"/>
      <c r="R26" s="825"/>
      <c r="S26" s="825"/>
      <c r="T26" s="825"/>
      <c r="U26" s="825"/>
      <c r="V26" s="825"/>
      <c r="W26" s="825"/>
      <c r="X26" s="825"/>
      <c r="Y26" s="825"/>
      <c r="Z26" s="825"/>
    </row>
    <row r="27" spans="1:26" ht="19.5">
      <c r="A27" s="1512" t="s">
        <v>23</v>
      </c>
      <c r="B27" s="1494"/>
      <c r="C27" s="1494"/>
      <c r="D27" s="1494"/>
      <c r="E27" s="1494"/>
      <c r="F27" s="1494"/>
      <c r="G27" s="1495"/>
      <c r="H27" s="807"/>
      <c r="I27" s="808"/>
      <c r="J27" s="808"/>
      <c r="K27" s="809"/>
      <c r="L27" s="809"/>
      <c r="M27" s="809"/>
      <c r="N27" s="809"/>
      <c r="O27" s="809"/>
      <c r="P27" s="809"/>
    </row>
    <row r="28" spans="1:26" ht="19.5">
      <c r="A28" s="810"/>
      <c r="B28" s="811"/>
      <c r="C28" s="812" t="s">
        <v>16</v>
      </c>
      <c r="D28" s="813" t="s">
        <v>17</v>
      </c>
      <c r="E28" s="811"/>
      <c r="F28" s="811"/>
      <c r="G28" s="814"/>
      <c r="H28" s="19" t="s">
        <v>12</v>
      </c>
      <c r="I28" s="815"/>
      <c r="J28" s="815"/>
      <c r="K28" s="816"/>
      <c r="L28" s="817">
        <f t="shared" ref="L28:N28" ca="1" si="16">L29+L30</f>
        <v>854985</v>
      </c>
      <c r="M28" s="817">
        <f t="shared" si="16"/>
        <v>0</v>
      </c>
      <c r="N28" s="817">
        <f t="shared" si="16"/>
        <v>322973</v>
      </c>
      <c r="O28" s="817">
        <f t="shared" ref="O28:O37" ca="1" si="17">IF(L28&gt;0,N28*100/L28,0)</f>
        <v>37.775282607297207</v>
      </c>
      <c r="P28" s="817">
        <f t="shared" ref="P28:P37" si="18">IF(M28&gt;0,N28*100/M28,0)</f>
        <v>0</v>
      </c>
      <c r="Q28" s="818"/>
      <c r="R28" s="818"/>
      <c r="S28" s="818"/>
      <c r="T28" s="818"/>
      <c r="U28" s="818"/>
      <c r="V28" s="818"/>
      <c r="W28" s="818"/>
      <c r="X28" s="818"/>
      <c r="Y28" s="818"/>
      <c r="Z28" s="818"/>
    </row>
    <row r="29" spans="1:26" ht="18.75" hidden="1">
      <c r="A29" s="819"/>
      <c r="B29" s="820"/>
      <c r="C29" s="820"/>
      <c r="D29" s="820"/>
      <c r="E29" s="821" t="s">
        <v>18</v>
      </c>
      <c r="F29" s="820"/>
      <c r="G29" s="822"/>
      <c r="H29" s="28" t="s">
        <v>12</v>
      </c>
      <c r="I29" s="823"/>
      <c r="J29" s="823"/>
      <c r="K29" s="824"/>
      <c r="L29" s="824">
        <f t="shared" ref="L29:N30" si="19">L32+L35</f>
        <v>0</v>
      </c>
      <c r="M29" s="824">
        <f t="shared" si="19"/>
        <v>0</v>
      </c>
      <c r="N29" s="824">
        <f t="shared" si="19"/>
        <v>0</v>
      </c>
      <c r="O29" s="824">
        <f t="shared" si="17"/>
        <v>0</v>
      </c>
      <c r="P29" s="824">
        <f t="shared" si="18"/>
        <v>0</v>
      </c>
      <c r="Q29" s="825"/>
      <c r="R29" s="825"/>
      <c r="S29" s="825"/>
      <c r="T29" s="825"/>
      <c r="U29" s="825"/>
      <c r="V29" s="825"/>
      <c r="W29" s="825"/>
      <c r="X29" s="825"/>
      <c r="Y29" s="825"/>
      <c r="Z29" s="825"/>
    </row>
    <row r="30" spans="1:26" ht="18.75" hidden="1">
      <c r="A30" s="819"/>
      <c r="B30" s="820"/>
      <c r="C30" s="820"/>
      <c r="D30" s="820"/>
      <c r="E30" s="821" t="s">
        <v>19</v>
      </c>
      <c r="F30" s="820"/>
      <c r="G30" s="822"/>
      <c r="H30" s="28" t="s">
        <v>12</v>
      </c>
      <c r="I30" s="823"/>
      <c r="J30" s="823"/>
      <c r="K30" s="824"/>
      <c r="L30" s="824">
        <f t="shared" ca="1" si="19"/>
        <v>854985</v>
      </c>
      <c r="M30" s="824">
        <f t="shared" si="19"/>
        <v>0</v>
      </c>
      <c r="N30" s="824">
        <f t="shared" si="19"/>
        <v>322973</v>
      </c>
      <c r="O30" s="824">
        <f t="shared" ca="1" si="17"/>
        <v>37.775282607297207</v>
      </c>
      <c r="P30" s="824">
        <f t="shared" si="18"/>
        <v>0</v>
      </c>
      <c r="Q30" s="825"/>
      <c r="R30" s="825"/>
      <c r="S30" s="825"/>
      <c r="T30" s="825"/>
      <c r="U30" s="825"/>
      <c r="V30" s="825"/>
      <c r="W30" s="825"/>
      <c r="X30" s="825"/>
      <c r="Y30" s="825"/>
      <c r="Z30" s="825"/>
    </row>
    <row r="31" spans="1:26" ht="18.75">
      <c r="A31" s="826"/>
      <c r="B31" s="827"/>
      <c r="C31" s="827"/>
      <c r="D31" s="828" t="s">
        <v>20</v>
      </c>
      <c r="E31" s="827"/>
      <c r="F31" s="827"/>
      <c r="G31" s="829"/>
      <c r="H31" s="590" t="s">
        <v>12</v>
      </c>
      <c r="I31" s="830"/>
      <c r="J31" s="830"/>
      <c r="K31" s="831"/>
      <c r="L31" s="831">
        <f t="shared" ref="L31:N31" ca="1" si="20">L32+L33</f>
        <v>854985</v>
      </c>
      <c r="M31" s="831">
        <f t="shared" si="20"/>
        <v>0</v>
      </c>
      <c r="N31" s="831">
        <f t="shared" si="20"/>
        <v>322973</v>
      </c>
      <c r="O31" s="831">
        <f t="shared" ca="1" si="17"/>
        <v>37.775282607297207</v>
      </c>
      <c r="P31" s="831">
        <f t="shared" si="18"/>
        <v>0</v>
      </c>
      <c r="Q31" s="818"/>
      <c r="R31" s="818"/>
      <c r="S31" s="818"/>
      <c r="T31" s="818"/>
      <c r="U31" s="818"/>
      <c r="V31" s="818"/>
      <c r="W31" s="818"/>
      <c r="X31" s="818"/>
      <c r="Y31" s="818"/>
      <c r="Z31" s="818"/>
    </row>
    <row r="32" spans="1:26" ht="18.75" hidden="1">
      <c r="A32" s="832"/>
      <c r="B32" s="833"/>
      <c r="C32" s="833"/>
      <c r="D32" s="833"/>
      <c r="E32" s="834" t="s">
        <v>18</v>
      </c>
      <c r="F32" s="833"/>
      <c r="G32" s="835"/>
      <c r="H32" s="43" t="s">
        <v>12</v>
      </c>
      <c r="I32" s="836"/>
      <c r="J32" s="836"/>
      <c r="K32" s="837"/>
      <c r="L32" s="837">
        <f t="shared" ref="L32:N33" si="21">L423+L448+L471+L506+L527+L548+L633+L659+L689+L741+L758+L774+L790+L809</f>
        <v>0</v>
      </c>
      <c r="M32" s="837">
        <f t="shared" si="21"/>
        <v>0</v>
      </c>
      <c r="N32" s="837">
        <f t="shared" si="21"/>
        <v>0</v>
      </c>
      <c r="O32" s="837">
        <f t="shared" si="17"/>
        <v>0</v>
      </c>
      <c r="P32" s="837">
        <f t="shared" si="18"/>
        <v>0</v>
      </c>
      <c r="Q32" s="825"/>
      <c r="R32" s="825"/>
      <c r="S32" s="825"/>
      <c r="T32" s="825"/>
      <c r="U32" s="825"/>
      <c r="V32" s="825"/>
      <c r="W32" s="825"/>
      <c r="X32" s="825"/>
      <c r="Y32" s="825"/>
      <c r="Z32" s="825"/>
    </row>
    <row r="33" spans="1:26" ht="18.75" hidden="1">
      <c r="A33" s="832"/>
      <c r="B33" s="833"/>
      <c r="C33" s="833"/>
      <c r="D33" s="833"/>
      <c r="E33" s="834" t="s">
        <v>19</v>
      </c>
      <c r="F33" s="833"/>
      <c r="G33" s="835"/>
      <c r="H33" s="43" t="s">
        <v>12</v>
      </c>
      <c r="I33" s="836"/>
      <c r="J33" s="836"/>
      <c r="K33" s="837"/>
      <c r="L33" s="837">
        <f t="shared" ca="1" si="21"/>
        <v>854985</v>
      </c>
      <c r="M33" s="837">
        <f t="shared" si="21"/>
        <v>0</v>
      </c>
      <c r="N33" s="837">
        <f t="shared" si="21"/>
        <v>322973</v>
      </c>
      <c r="O33" s="837">
        <f t="shared" ca="1" si="17"/>
        <v>37.775282607297207</v>
      </c>
      <c r="P33" s="837">
        <f t="shared" si="18"/>
        <v>0</v>
      </c>
      <c r="Q33" s="825"/>
      <c r="R33" s="825"/>
      <c r="S33" s="825"/>
      <c r="T33" s="825"/>
      <c r="U33" s="825"/>
      <c r="V33" s="825"/>
      <c r="W33" s="825"/>
      <c r="X33" s="825"/>
      <c r="Y33" s="825"/>
      <c r="Z33" s="825"/>
    </row>
    <row r="34" spans="1:26" ht="18.75">
      <c r="A34" s="826"/>
      <c r="B34" s="827"/>
      <c r="C34" s="827"/>
      <c r="D34" s="828" t="s">
        <v>21</v>
      </c>
      <c r="E34" s="827"/>
      <c r="F34" s="827"/>
      <c r="G34" s="829"/>
      <c r="H34" s="590" t="s">
        <v>12</v>
      </c>
      <c r="I34" s="830"/>
      <c r="J34" s="830"/>
      <c r="K34" s="831"/>
      <c r="L34" s="831">
        <f t="shared" ref="L34:N34" ca="1" si="22">L35+L36</f>
        <v>0</v>
      </c>
      <c r="M34" s="831">
        <f t="shared" si="22"/>
        <v>0</v>
      </c>
      <c r="N34" s="831">
        <f t="shared" si="22"/>
        <v>0</v>
      </c>
      <c r="O34" s="831">
        <f t="shared" ca="1" si="17"/>
        <v>0</v>
      </c>
      <c r="P34" s="831">
        <f t="shared" si="18"/>
        <v>0</v>
      </c>
      <c r="Q34" s="818"/>
      <c r="R34" s="818"/>
      <c r="S34" s="818"/>
      <c r="T34" s="818"/>
      <c r="U34" s="818"/>
      <c r="V34" s="818"/>
      <c r="W34" s="818"/>
      <c r="X34" s="818"/>
      <c r="Y34" s="818"/>
      <c r="Z34" s="818"/>
    </row>
    <row r="35" spans="1:26" ht="18.75" hidden="1">
      <c r="A35" s="832"/>
      <c r="B35" s="833"/>
      <c r="C35" s="833"/>
      <c r="D35" s="833"/>
      <c r="E35" s="834" t="s">
        <v>18</v>
      </c>
      <c r="F35" s="833"/>
      <c r="G35" s="835"/>
      <c r="H35" s="43" t="s">
        <v>12</v>
      </c>
      <c r="I35" s="836"/>
      <c r="J35" s="836"/>
      <c r="K35" s="837"/>
      <c r="L35" s="837">
        <f t="shared" ref="L35:N36" si="23">L430+L455+L478+L513+L534+L556+L640+L666+L696+L748+L765+L781+L797+L816</f>
        <v>0</v>
      </c>
      <c r="M35" s="837">
        <f t="shared" si="23"/>
        <v>0</v>
      </c>
      <c r="N35" s="837">
        <f t="shared" si="23"/>
        <v>0</v>
      </c>
      <c r="O35" s="837">
        <f t="shared" si="17"/>
        <v>0</v>
      </c>
      <c r="P35" s="837">
        <f t="shared" si="18"/>
        <v>0</v>
      </c>
      <c r="Q35" s="825"/>
      <c r="R35" s="825"/>
      <c r="S35" s="825"/>
      <c r="T35" s="825"/>
      <c r="U35" s="825"/>
      <c r="V35" s="825"/>
      <c r="W35" s="825"/>
      <c r="X35" s="825"/>
      <c r="Y35" s="825"/>
      <c r="Z35" s="825"/>
    </row>
    <row r="36" spans="1:26" ht="18.75" hidden="1">
      <c r="A36" s="838"/>
      <c r="B36" s="839"/>
      <c r="C36" s="839"/>
      <c r="D36" s="839"/>
      <c r="E36" s="840" t="s">
        <v>19</v>
      </c>
      <c r="F36" s="839"/>
      <c r="G36" s="841"/>
      <c r="H36" s="50" t="s">
        <v>12</v>
      </c>
      <c r="I36" s="842"/>
      <c r="J36" s="842"/>
      <c r="K36" s="843"/>
      <c r="L36" s="843">
        <f t="shared" ca="1" si="23"/>
        <v>0</v>
      </c>
      <c r="M36" s="843">
        <f t="shared" si="23"/>
        <v>0</v>
      </c>
      <c r="N36" s="843">
        <f t="shared" si="23"/>
        <v>0</v>
      </c>
      <c r="O36" s="843">
        <f t="shared" ca="1" si="17"/>
        <v>0</v>
      </c>
      <c r="P36" s="843">
        <f t="shared" si="18"/>
        <v>0</v>
      </c>
      <c r="Q36" s="825"/>
      <c r="R36" s="825"/>
      <c r="S36" s="825"/>
      <c r="T36" s="825"/>
      <c r="U36" s="825"/>
      <c r="V36" s="825"/>
      <c r="W36" s="825"/>
      <c r="X36" s="825"/>
      <c r="Y36" s="825"/>
      <c r="Z36" s="825"/>
    </row>
    <row r="37" spans="1:26" ht="19.5">
      <c r="A37" s="844" t="s">
        <v>24</v>
      </c>
      <c r="B37" s="845"/>
      <c r="C37" s="845"/>
      <c r="D37" s="845"/>
      <c r="E37" s="845"/>
      <c r="F37" s="845"/>
      <c r="G37" s="846"/>
      <c r="H37" s="847"/>
      <c r="I37" s="848"/>
      <c r="J37" s="848"/>
      <c r="K37" s="849"/>
      <c r="L37" s="850">
        <f t="shared" ref="L37:N37" ca="1" si="24">L41+L53+L66+L88+L119+L132+L149+L165+L181+L261+L277+L298+L315+L328+L345+L389+L402</f>
        <v>2373920</v>
      </c>
      <c r="M37" s="850">
        <f t="shared" ca="1" si="24"/>
        <v>1865685</v>
      </c>
      <c r="N37" s="850">
        <f t="shared" ca="1" si="24"/>
        <v>1168624.3</v>
      </c>
      <c r="O37" s="850">
        <f t="shared" ca="1" si="17"/>
        <v>49.227619296353708</v>
      </c>
      <c r="P37" s="850">
        <f t="shared" ca="1" si="18"/>
        <v>62.637813993251811</v>
      </c>
    </row>
    <row r="38" spans="1:26" ht="19.5">
      <c r="A38" s="851" t="s">
        <v>25</v>
      </c>
      <c r="B38" s="852"/>
      <c r="C38" s="852"/>
      <c r="D38" s="852"/>
      <c r="E38" s="852"/>
      <c r="F38" s="852"/>
      <c r="G38" s="853"/>
      <c r="H38" s="854"/>
      <c r="I38" s="855"/>
      <c r="J38" s="855"/>
      <c r="K38" s="856"/>
      <c r="L38" s="856"/>
      <c r="M38" s="856"/>
      <c r="N38" s="856"/>
      <c r="O38" s="856"/>
      <c r="P38" s="856"/>
    </row>
    <row r="39" spans="1:26" ht="19.5">
      <c r="A39" s="857"/>
      <c r="B39" s="858" t="s">
        <v>26</v>
      </c>
      <c r="C39" s="859"/>
      <c r="D39" s="859"/>
      <c r="E39" s="859"/>
      <c r="F39" s="859"/>
      <c r="G39" s="860"/>
      <c r="H39" s="861"/>
      <c r="I39" s="862"/>
      <c r="J39" s="862"/>
      <c r="K39" s="863"/>
      <c r="L39" s="863"/>
      <c r="M39" s="863"/>
      <c r="N39" s="863"/>
      <c r="O39" s="863"/>
      <c r="P39" s="863"/>
    </row>
    <row r="40" spans="1:26" ht="19.5">
      <c r="A40" s="864"/>
      <c r="B40" s="1513" t="s">
        <v>27</v>
      </c>
      <c r="C40" s="1485"/>
      <c r="D40" s="1485"/>
      <c r="E40" s="1485"/>
      <c r="F40" s="1485"/>
      <c r="G40" s="1491"/>
      <c r="H40" s="865"/>
      <c r="I40" s="866"/>
      <c r="J40" s="866"/>
      <c r="K40" s="867"/>
      <c r="L40" s="867"/>
      <c r="M40" s="867"/>
      <c r="N40" s="867"/>
      <c r="O40" s="867"/>
      <c r="P40" s="867"/>
    </row>
    <row r="41" spans="1:26" ht="19.5">
      <c r="A41" s="868"/>
      <c r="B41" s="869"/>
      <c r="C41" s="870" t="s">
        <v>16</v>
      </c>
      <c r="D41" s="871" t="s">
        <v>17</v>
      </c>
      <c r="E41" s="869"/>
      <c r="F41" s="869"/>
      <c r="G41" s="872"/>
      <c r="H41" s="82" t="s">
        <v>12</v>
      </c>
      <c r="I41" s="873"/>
      <c r="J41" s="873"/>
      <c r="K41" s="874"/>
      <c r="L41" s="875">
        <f t="shared" ref="L41:N41" ca="1" si="25">L42+L43</f>
        <v>185550</v>
      </c>
      <c r="M41" s="875">
        <f t="shared" ca="1" si="25"/>
        <v>193515</v>
      </c>
      <c r="N41" s="875">
        <f t="shared" ca="1" si="25"/>
        <v>53336</v>
      </c>
      <c r="O41" s="875">
        <f t="shared" ref="O41:O49" ca="1" si="26">IF(L41&gt;0,N41*100/L41,0)</f>
        <v>28.744812718943681</v>
      </c>
      <c r="P41" s="875">
        <f t="shared" ref="P41:P49" ca="1" si="27">IF(M41&gt;0,N41*100/M41,0)</f>
        <v>27.561687724465802</v>
      </c>
      <c r="Q41" s="818"/>
      <c r="R41" s="818"/>
      <c r="S41" s="818"/>
      <c r="T41" s="818"/>
      <c r="U41" s="818"/>
      <c r="V41" s="818"/>
      <c r="W41" s="818"/>
      <c r="X41" s="818"/>
      <c r="Y41" s="818"/>
      <c r="Z41" s="818"/>
    </row>
    <row r="42" spans="1:26" ht="18.75" hidden="1">
      <c r="A42" s="876"/>
      <c r="B42" s="877"/>
      <c r="C42" s="877"/>
      <c r="D42" s="877"/>
      <c r="E42" s="878" t="s">
        <v>18</v>
      </c>
      <c r="F42" s="877"/>
      <c r="G42" s="879"/>
      <c r="H42" s="90" t="s">
        <v>12</v>
      </c>
      <c r="I42" s="880"/>
      <c r="J42" s="880"/>
      <c r="K42" s="881"/>
      <c r="L42" s="881">
        <f t="shared" ref="L42:N43" si="28">L45+L48</f>
        <v>0</v>
      </c>
      <c r="M42" s="881">
        <f t="shared" si="28"/>
        <v>0</v>
      </c>
      <c r="N42" s="881">
        <f t="shared" si="28"/>
        <v>0</v>
      </c>
      <c r="O42" s="881">
        <f t="shared" si="26"/>
        <v>0</v>
      </c>
      <c r="P42" s="881">
        <f t="shared" si="27"/>
        <v>0</v>
      </c>
      <c r="Q42" s="825"/>
      <c r="R42" s="825"/>
      <c r="S42" s="825"/>
      <c r="T42" s="825"/>
      <c r="U42" s="825"/>
      <c r="V42" s="825"/>
      <c r="W42" s="825"/>
      <c r="X42" s="825"/>
      <c r="Y42" s="825"/>
      <c r="Z42" s="825"/>
    </row>
    <row r="43" spans="1:26" ht="18.75" hidden="1">
      <c r="A43" s="876"/>
      <c r="B43" s="877"/>
      <c r="C43" s="877"/>
      <c r="D43" s="877"/>
      <c r="E43" s="878" t="s">
        <v>19</v>
      </c>
      <c r="F43" s="877"/>
      <c r="G43" s="879"/>
      <c r="H43" s="90" t="s">
        <v>12</v>
      </c>
      <c r="I43" s="880"/>
      <c r="J43" s="880"/>
      <c r="K43" s="881"/>
      <c r="L43" s="881">
        <f t="shared" ca="1" si="28"/>
        <v>185550</v>
      </c>
      <c r="M43" s="881">
        <f t="shared" ca="1" si="28"/>
        <v>193515</v>
      </c>
      <c r="N43" s="881">
        <f t="shared" ca="1" si="28"/>
        <v>53336</v>
      </c>
      <c r="O43" s="881">
        <f t="shared" ca="1" si="26"/>
        <v>28.744812718943681</v>
      </c>
      <c r="P43" s="881">
        <f t="shared" ca="1" si="27"/>
        <v>27.561687724465802</v>
      </c>
      <c r="Q43" s="825"/>
      <c r="R43" s="825"/>
      <c r="S43" s="825"/>
      <c r="T43" s="825"/>
      <c r="U43" s="825"/>
      <c r="V43" s="825"/>
      <c r="W43" s="825"/>
      <c r="X43" s="825"/>
      <c r="Y43" s="825"/>
      <c r="Z43" s="825"/>
    </row>
    <row r="44" spans="1:26" ht="18.75">
      <c r="A44" s="826"/>
      <c r="B44" s="827"/>
      <c r="C44" s="827"/>
      <c r="D44" s="828" t="s">
        <v>20</v>
      </c>
      <c r="E44" s="827"/>
      <c r="F44" s="827"/>
      <c r="G44" s="829"/>
      <c r="H44" s="590" t="s">
        <v>12</v>
      </c>
      <c r="I44" s="830"/>
      <c r="J44" s="830"/>
      <c r="K44" s="831"/>
      <c r="L44" s="831">
        <f t="shared" ref="L44:N44" ca="1" si="29">L45+L46</f>
        <v>185550</v>
      </c>
      <c r="M44" s="831">
        <f t="shared" ca="1" si="29"/>
        <v>193515</v>
      </c>
      <c r="N44" s="831">
        <f t="shared" ca="1" si="29"/>
        <v>53336</v>
      </c>
      <c r="O44" s="831">
        <f t="shared" ca="1" si="26"/>
        <v>28.744812718943681</v>
      </c>
      <c r="P44" s="831">
        <f t="shared" ca="1" si="27"/>
        <v>27.561687724465802</v>
      </c>
      <c r="Q44" s="818"/>
      <c r="R44" s="818"/>
      <c r="S44" s="818"/>
      <c r="T44" s="818"/>
      <c r="U44" s="818"/>
      <c r="V44" s="818"/>
      <c r="W44" s="818"/>
      <c r="X44" s="818"/>
      <c r="Y44" s="818"/>
      <c r="Z44" s="818"/>
    </row>
    <row r="45" spans="1:26" ht="18.75" hidden="1">
      <c r="A45" s="832"/>
      <c r="B45" s="833"/>
      <c r="C45" s="833"/>
      <c r="D45" s="833"/>
      <c r="E45" s="834" t="s">
        <v>18</v>
      </c>
      <c r="F45" s="833"/>
      <c r="G45" s="835"/>
      <c r="H45" s="43" t="s">
        <v>12</v>
      </c>
      <c r="I45" s="836"/>
      <c r="J45" s="836"/>
      <c r="K45" s="837"/>
      <c r="L45" s="837">
        <v>0</v>
      </c>
      <c r="M45" s="837">
        <v>0</v>
      </c>
      <c r="N45" s="837">
        <v>0</v>
      </c>
      <c r="O45" s="837">
        <f t="shared" si="26"/>
        <v>0</v>
      </c>
      <c r="P45" s="837">
        <f t="shared" si="27"/>
        <v>0</v>
      </c>
      <c r="Q45" s="825"/>
      <c r="R45" s="825"/>
      <c r="S45" s="825"/>
      <c r="T45" s="825"/>
      <c r="U45" s="825"/>
      <c r="V45" s="825"/>
      <c r="W45" s="825"/>
      <c r="X45" s="825"/>
      <c r="Y45" s="825"/>
      <c r="Z45" s="825"/>
    </row>
    <row r="46" spans="1:26" ht="18.75" hidden="1">
      <c r="A46" s="832"/>
      <c r="B46" s="833"/>
      <c r="C46" s="833"/>
      <c r="D46" s="833"/>
      <c r="E46" s="834" t="s">
        <v>19</v>
      </c>
      <c r="F46" s="833"/>
      <c r="G46" s="835"/>
      <c r="H46" s="43" t="s">
        <v>12</v>
      </c>
      <c r="I46" s="836"/>
      <c r="J46" s="836"/>
      <c r="K46" s="837"/>
      <c r="L46" s="837">
        <f ca="1">IFERROR(__xludf.DUMMYFUNCTION("IMPORTRANGE(""https://docs.google.com/spreadsheets/d/1MeEWN-I1oV_STSDYn1IFDPWt_1FKiwhDph83XaGc0o0/edit?usp=sharing"",""งบพรบ!M25"")"),185550)</f>
        <v>185550</v>
      </c>
      <c r="M46" s="837">
        <f ca="1">IFERROR(__xludf.DUMMYFUNCTION("IMPORTRANGE(""https://docs.google.com/spreadsheets/d/1MeEWN-I1oV_STSDYn1IFDPWt_1FKiwhDph83XaGc0o0/edit?usp=sharing"",""งบพรบ!R25"")"),193515)</f>
        <v>193515</v>
      </c>
      <c r="N46" s="837">
        <f ca="1">IFERROR(__xludf.DUMMYFUNCTION("IMPORTRANGE(""https://docs.google.com/spreadsheets/d/1MeEWN-I1oV_STSDYn1IFDPWt_1FKiwhDph83XaGc0o0/edit?usp=sharing"",""งบพรบ!T25"")"),53336)</f>
        <v>53336</v>
      </c>
      <c r="O46" s="837">
        <f t="shared" ca="1" si="26"/>
        <v>28.744812718943681</v>
      </c>
      <c r="P46" s="837">
        <f t="shared" ca="1" si="27"/>
        <v>27.561687724465802</v>
      </c>
      <c r="Q46" s="825"/>
      <c r="R46" s="825"/>
      <c r="S46" s="825"/>
      <c r="T46" s="825"/>
      <c r="U46" s="825"/>
      <c r="V46" s="825"/>
      <c r="W46" s="825"/>
      <c r="X46" s="825"/>
      <c r="Y46" s="825"/>
      <c r="Z46" s="825"/>
    </row>
    <row r="47" spans="1:26" ht="18.75">
      <c r="A47" s="826"/>
      <c r="B47" s="827"/>
      <c r="C47" s="827"/>
      <c r="D47" s="828" t="s">
        <v>21</v>
      </c>
      <c r="E47" s="827"/>
      <c r="F47" s="827"/>
      <c r="G47" s="829"/>
      <c r="H47" s="590" t="s">
        <v>12</v>
      </c>
      <c r="I47" s="830"/>
      <c r="J47" s="830"/>
      <c r="K47" s="831"/>
      <c r="L47" s="831">
        <f t="shared" ref="L47:N47" ca="1" si="30">L48+L49</f>
        <v>0</v>
      </c>
      <c r="M47" s="831">
        <f t="shared" ca="1" si="30"/>
        <v>0</v>
      </c>
      <c r="N47" s="831">
        <f t="shared" ca="1" si="30"/>
        <v>0</v>
      </c>
      <c r="O47" s="831">
        <f t="shared" ca="1" si="26"/>
        <v>0</v>
      </c>
      <c r="P47" s="831">
        <f t="shared" ca="1" si="27"/>
        <v>0</v>
      </c>
      <c r="Q47" s="818"/>
      <c r="R47" s="818"/>
      <c r="S47" s="818"/>
      <c r="T47" s="818"/>
      <c r="U47" s="818"/>
      <c r="V47" s="818"/>
      <c r="W47" s="818"/>
      <c r="X47" s="818"/>
      <c r="Y47" s="818"/>
      <c r="Z47" s="818"/>
    </row>
    <row r="48" spans="1:26" ht="18.75" hidden="1">
      <c r="A48" s="832"/>
      <c r="B48" s="833"/>
      <c r="C48" s="833"/>
      <c r="D48" s="833"/>
      <c r="E48" s="834" t="s">
        <v>18</v>
      </c>
      <c r="F48" s="833"/>
      <c r="G48" s="835"/>
      <c r="H48" s="43" t="s">
        <v>12</v>
      </c>
      <c r="I48" s="836"/>
      <c r="J48" s="836"/>
      <c r="K48" s="837"/>
      <c r="L48" s="837">
        <v>0</v>
      </c>
      <c r="M48" s="837">
        <v>0</v>
      </c>
      <c r="N48" s="837">
        <v>0</v>
      </c>
      <c r="O48" s="837">
        <f t="shared" si="26"/>
        <v>0</v>
      </c>
      <c r="P48" s="837">
        <f t="shared" si="27"/>
        <v>0</v>
      </c>
      <c r="Q48" s="825"/>
      <c r="R48" s="825"/>
      <c r="S48" s="825"/>
      <c r="T48" s="825"/>
      <c r="U48" s="825"/>
      <c r="V48" s="825"/>
      <c r="W48" s="825"/>
      <c r="X48" s="825"/>
      <c r="Y48" s="825"/>
      <c r="Z48" s="825"/>
    </row>
    <row r="49" spans="1:26" ht="18.75" hidden="1">
      <c r="A49" s="838"/>
      <c r="B49" s="839"/>
      <c r="C49" s="839"/>
      <c r="D49" s="839"/>
      <c r="E49" s="840" t="s">
        <v>19</v>
      </c>
      <c r="F49" s="839"/>
      <c r="G49" s="841"/>
      <c r="H49" s="50" t="s">
        <v>12</v>
      </c>
      <c r="I49" s="842"/>
      <c r="J49" s="842"/>
      <c r="K49" s="843"/>
      <c r="L49" s="843">
        <f ca="1">IFERROR(__xludf.DUMMYFUNCTION("IMPORTRANGE(""https://docs.google.com/spreadsheets/d/1MeEWN-I1oV_STSDYn1IFDPWt_1FKiwhDph83XaGc0o0/edit?usp=sharing"",""งบพรบ!P25"")"),0)</f>
        <v>0</v>
      </c>
      <c r="M49" s="843">
        <f ca="1">IFERROR(__xludf.DUMMYFUNCTION("IMPORTRANGE(""https://docs.google.com/spreadsheets/d/1MeEWN-I1oV_STSDYn1IFDPWt_1FKiwhDph83XaGc0o0/edit?usp=sharing"",""งบพรบ!S25"")"),0)</f>
        <v>0</v>
      </c>
      <c r="N49" s="843">
        <f ca="1">IFERROR(__xludf.DUMMYFUNCTION("IMPORTRANGE(""https://docs.google.com/spreadsheets/d/1MeEWN-I1oV_STSDYn1IFDPWt_1FKiwhDph83XaGc0o0/edit?usp=sharing"",""งบพรบ!U25"")"),0)</f>
        <v>0</v>
      </c>
      <c r="O49" s="843">
        <f t="shared" ca="1" si="26"/>
        <v>0</v>
      </c>
      <c r="P49" s="843">
        <f t="shared" ca="1" si="27"/>
        <v>0</v>
      </c>
      <c r="Q49" s="825"/>
      <c r="R49" s="825"/>
      <c r="S49" s="825"/>
      <c r="T49" s="825"/>
      <c r="U49" s="825"/>
      <c r="V49" s="825"/>
      <c r="W49" s="825"/>
      <c r="X49" s="825"/>
      <c r="Y49" s="825"/>
      <c r="Z49" s="825"/>
    </row>
    <row r="50" spans="1:26" ht="19.5">
      <c r="A50" s="1514" t="s">
        <v>28</v>
      </c>
      <c r="B50" s="1494"/>
      <c r="C50" s="1494"/>
      <c r="D50" s="1494"/>
      <c r="E50" s="1494"/>
      <c r="F50" s="1494"/>
      <c r="G50" s="1495"/>
      <c r="H50" s="882"/>
      <c r="I50" s="883"/>
      <c r="J50" s="883"/>
      <c r="K50" s="884"/>
      <c r="L50" s="884"/>
      <c r="M50" s="884"/>
      <c r="N50" s="884"/>
      <c r="O50" s="884"/>
      <c r="P50" s="884"/>
    </row>
    <row r="51" spans="1:26" ht="19.5">
      <c r="A51" s="885"/>
      <c r="B51" s="1515" t="s">
        <v>29</v>
      </c>
      <c r="C51" s="1485"/>
      <c r="D51" s="1485"/>
      <c r="E51" s="1485"/>
      <c r="F51" s="1485"/>
      <c r="G51" s="1491"/>
      <c r="H51" s="886"/>
      <c r="I51" s="887"/>
      <c r="J51" s="887"/>
      <c r="K51" s="888"/>
      <c r="L51" s="888"/>
      <c r="M51" s="888"/>
      <c r="N51" s="888"/>
      <c r="O51" s="888"/>
      <c r="P51" s="888"/>
    </row>
    <row r="52" spans="1:26" ht="19.5">
      <c r="A52" s="889"/>
      <c r="B52" s="890" t="s">
        <v>30</v>
      </c>
      <c r="C52" s="891"/>
      <c r="D52" s="891"/>
      <c r="E52" s="891"/>
      <c r="F52" s="891"/>
      <c r="G52" s="892"/>
      <c r="H52" s="893"/>
      <c r="I52" s="894"/>
      <c r="J52" s="894"/>
      <c r="K52" s="895"/>
      <c r="L52" s="895"/>
      <c r="M52" s="895"/>
      <c r="N52" s="895"/>
      <c r="O52" s="895"/>
      <c r="P52" s="895"/>
    </row>
    <row r="53" spans="1:26" ht="19.5">
      <c r="A53" s="896"/>
      <c r="B53" s="897"/>
      <c r="C53" s="898" t="s">
        <v>16</v>
      </c>
      <c r="D53" s="899" t="s">
        <v>17</v>
      </c>
      <c r="E53" s="897"/>
      <c r="F53" s="897"/>
      <c r="G53" s="900"/>
      <c r="H53" s="113" t="s">
        <v>12</v>
      </c>
      <c r="I53" s="901"/>
      <c r="J53" s="901"/>
      <c r="K53" s="902"/>
      <c r="L53" s="903">
        <f t="shared" ref="L53:N53" ca="1" si="31">L54+L55</f>
        <v>672400</v>
      </c>
      <c r="M53" s="903">
        <f t="shared" ca="1" si="31"/>
        <v>504300</v>
      </c>
      <c r="N53" s="903">
        <f t="shared" ca="1" si="31"/>
        <v>323178.90000000002</v>
      </c>
      <c r="O53" s="903">
        <f t="shared" ref="O53:O61" ca="1" si="32">IF(L53&gt;0,N53*100/L53,0)</f>
        <v>48.06348899464605</v>
      </c>
      <c r="P53" s="903">
        <f t="shared" ref="P53:P61" ca="1" si="33">IF(M53&gt;0,N53*100/M53,0)</f>
        <v>64.084651992861396</v>
      </c>
      <c r="Q53" s="818"/>
      <c r="R53" s="818"/>
      <c r="S53" s="818"/>
      <c r="T53" s="818"/>
      <c r="U53" s="818"/>
      <c r="V53" s="818"/>
      <c r="W53" s="818"/>
      <c r="X53" s="818"/>
      <c r="Y53" s="818"/>
      <c r="Z53" s="818"/>
    </row>
    <row r="54" spans="1:26" ht="18.75" hidden="1">
      <c r="A54" s="904"/>
      <c r="B54" s="905"/>
      <c r="C54" s="905"/>
      <c r="D54" s="905"/>
      <c r="E54" s="906" t="s">
        <v>18</v>
      </c>
      <c r="F54" s="905"/>
      <c r="G54" s="907"/>
      <c r="H54" s="121" t="s">
        <v>12</v>
      </c>
      <c r="I54" s="908"/>
      <c r="J54" s="908"/>
      <c r="K54" s="909"/>
      <c r="L54" s="909">
        <f t="shared" ref="L54:N55" si="34">L57+L60</f>
        <v>0</v>
      </c>
      <c r="M54" s="909">
        <f t="shared" si="34"/>
        <v>0</v>
      </c>
      <c r="N54" s="909">
        <f t="shared" si="34"/>
        <v>0</v>
      </c>
      <c r="O54" s="909">
        <f t="shared" si="32"/>
        <v>0</v>
      </c>
      <c r="P54" s="909">
        <f t="shared" si="33"/>
        <v>0</v>
      </c>
      <c r="Q54" s="825"/>
      <c r="R54" s="825"/>
      <c r="S54" s="825"/>
      <c r="T54" s="825"/>
      <c r="U54" s="825"/>
      <c r="V54" s="825"/>
      <c r="W54" s="825"/>
      <c r="X54" s="825"/>
      <c r="Y54" s="825"/>
      <c r="Z54" s="825"/>
    </row>
    <row r="55" spans="1:26" ht="18.75" hidden="1">
      <c r="A55" s="904"/>
      <c r="B55" s="905"/>
      <c r="C55" s="905"/>
      <c r="D55" s="905"/>
      <c r="E55" s="906" t="s">
        <v>19</v>
      </c>
      <c r="F55" s="905"/>
      <c r="G55" s="907"/>
      <c r="H55" s="121" t="s">
        <v>12</v>
      </c>
      <c r="I55" s="908"/>
      <c r="J55" s="908"/>
      <c r="K55" s="909"/>
      <c r="L55" s="909">
        <f t="shared" ca="1" si="34"/>
        <v>672400</v>
      </c>
      <c r="M55" s="909">
        <f t="shared" ca="1" si="34"/>
        <v>504300</v>
      </c>
      <c r="N55" s="909">
        <f t="shared" ca="1" si="34"/>
        <v>323178.90000000002</v>
      </c>
      <c r="O55" s="909">
        <f t="shared" ca="1" si="32"/>
        <v>48.06348899464605</v>
      </c>
      <c r="P55" s="909">
        <f t="shared" ca="1" si="33"/>
        <v>64.084651992861396</v>
      </c>
      <c r="Q55" s="825"/>
      <c r="R55" s="825"/>
      <c r="S55" s="825"/>
      <c r="T55" s="825"/>
      <c r="U55" s="825"/>
      <c r="V55" s="825"/>
      <c r="W55" s="825"/>
      <c r="X55" s="825"/>
      <c r="Y55" s="825"/>
      <c r="Z55" s="825"/>
    </row>
    <row r="56" spans="1:26" ht="18.75">
      <c r="A56" s="826"/>
      <c r="B56" s="827"/>
      <c r="C56" s="827"/>
      <c r="D56" s="828" t="s">
        <v>20</v>
      </c>
      <c r="E56" s="827"/>
      <c r="F56" s="827"/>
      <c r="G56" s="829"/>
      <c r="H56" s="590" t="s">
        <v>12</v>
      </c>
      <c r="I56" s="830"/>
      <c r="J56" s="830"/>
      <c r="K56" s="831"/>
      <c r="L56" s="831">
        <f t="shared" ref="L56:N56" ca="1" si="35">L57+L58</f>
        <v>672400</v>
      </c>
      <c r="M56" s="831">
        <f t="shared" ca="1" si="35"/>
        <v>504300</v>
      </c>
      <c r="N56" s="831">
        <f t="shared" ca="1" si="35"/>
        <v>323178.90000000002</v>
      </c>
      <c r="O56" s="831">
        <f t="shared" ca="1" si="32"/>
        <v>48.06348899464605</v>
      </c>
      <c r="P56" s="831">
        <f t="shared" ca="1" si="33"/>
        <v>64.084651992861396</v>
      </c>
      <c r="Q56" s="818"/>
      <c r="R56" s="818"/>
      <c r="S56" s="818"/>
      <c r="T56" s="818"/>
      <c r="U56" s="818"/>
      <c r="V56" s="818"/>
      <c r="W56" s="818"/>
      <c r="X56" s="818"/>
      <c r="Y56" s="818"/>
      <c r="Z56" s="818"/>
    </row>
    <row r="57" spans="1:26" ht="18.75" hidden="1">
      <c r="A57" s="832"/>
      <c r="B57" s="833"/>
      <c r="C57" s="833"/>
      <c r="D57" s="833"/>
      <c r="E57" s="834" t="s">
        <v>18</v>
      </c>
      <c r="F57" s="833"/>
      <c r="G57" s="835"/>
      <c r="H57" s="43" t="s">
        <v>12</v>
      </c>
      <c r="I57" s="836"/>
      <c r="J57" s="836"/>
      <c r="K57" s="837"/>
      <c r="L57" s="837">
        <v>0</v>
      </c>
      <c r="M57" s="837">
        <v>0</v>
      </c>
      <c r="N57" s="837">
        <v>0</v>
      </c>
      <c r="O57" s="837">
        <f t="shared" si="32"/>
        <v>0</v>
      </c>
      <c r="P57" s="837">
        <f t="shared" si="33"/>
        <v>0</v>
      </c>
      <c r="Q57" s="825"/>
      <c r="R57" s="825"/>
      <c r="S57" s="825"/>
      <c r="T57" s="825"/>
      <c r="U57" s="825"/>
      <c r="V57" s="825"/>
      <c r="W57" s="825"/>
      <c r="X57" s="825"/>
      <c r="Y57" s="825"/>
      <c r="Z57" s="825"/>
    </row>
    <row r="58" spans="1:26" ht="18.75" hidden="1">
      <c r="A58" s="832"/>
      <c r="B58" s="833"/>
      <c r="C58" s="833"/>
      <c r="D58" s="833"/>
      <c r="E58" s="834" t="s">
        <v>19</v>
      </c>
      <c r="F58" s="833"/>
      <c r="G58" s="835"/>
      <c r="H58" s="43" t="s">
        <v>12</v>
      </c>
      <c r="I58" s="836"/>
      <c r="J58" s="836"/>
      <c r="K58" s="837"/>
      <c r="L58" s="837">
        <f ca="1">IFERROR(__xludf.DUMMYFUNCTION("IMPORTRANGE(""https://docs.google.com/spreadsheets/d/1MeEWN-I1oV_STSDYn1IFDPWt_1FKiwhDph83XaGc0o0/edit?usp=sharing"",""งบพรบ!W25"")"),672400)</f>
        <v>672400</v>
      </c>
      <c r="M58" s="837">
        <f ca="1">IFERROR(__xludf.DUMMYFUNCTION("IMPORTRANGE(""https://docs.google.com/spreadsheets/d/1MeEWN-I1oV_STSDYn1IFDPWt_1FKiwhDph83XaGc0o0/edit?usp=sharing"",""งบพรบ!AB25"")"),504300)</f>
        <v>504300</v>
      </c>
      <c r="N58" s="837">
        <f ca="1">IFERROR(__xludf.DUMMYFUNCTION("IMPORTRANGE(""https://docs.google.com/spreadsheets/d/1MeEWN-I1oV_STSDYn1IFDPWt_1FKiwhDph83XaGc0o0/edit?usp=sharing"",""งบพรบ!AD25"")"),323178.9)</f>
        <v>323178.90000000002</v>
      </c>
      <c r="O58" s="837">
        <f t="shared" ca="1" si="32"/>
        <v>48.06348899464605</v>
      </c>
      <c r="P58" s="837">
        <f t="shared" ca="1" si="33"/>
        <v>64.084651992861396</v>
      </c>
      <c r="Q58" s="825"/>
      <c r="R58" s="825"/>
      <c r="S58" s="825"/>
      <c r="T58" s="825"/>
      <c r="U58" s="825"/>
      <c r="V58" s="825"/>
      <c r="W58" s="825"/>
      <c r="X58" s="825"/>
      <c r="Y58" s="825"/>
      <c r="Z58" s="825"/>
    </row>
    <row r="59" spans="1:26" ht="18.75">
      <c r="A59" s="826"/>
      <c r="B59" s="827"/>
      <c r="C59" s="827"/>
      <c r="D59" s="828" t="s">
        <v>21</v>
      </c>
      <c r="E59" s="827"/>
      <c r="F59" s="827"/>
      <c r="G59" s="829"/>
      <c r="H59" s="590" t="s">
        <v>12</v>
      </c>
      <c r="I59" s="830"/>
      <c r="J59" s="830"/>
      <c r="K59" s="831"/>
      <c r="L59" s="831">
        <f t="shared" ref="L59:N59" ca="1" si="36">L60+L61</f>
        <v>0</v>
      </c>
      <c r="M59" s="831">
        <f t="shared" ca="1" si="36"/>
        <v>0</v>
      </c>
      <c r="N59" s="831">
        <f t="shared" ca="1" si="36"/>
        <v>0</v>
      </c>
      <c r="O59" s="831">
        <f t="shared" ca="1" si="32"/>
        <v>0</v>
      </c>
      <c r="P59" s="831">
        <f t="shared" ca="1" si="33"/>
        <v>0</v>
      </c>
      <c r="Q59" s="818"/>
      <c r="R59" s="818"/>
      <c r="S59" s="818"/>
      <c r="T59" s="818"/>
      <c r="U59" s="818"/>
      <c r="V59" s="818"/>
      <c r="W59" s="818"/>
      <c r="X59" s="818"/>
      <c r="Y59" s="818"/>
      <c r="Z59" s="818"/>
    </row>
    <row r="60" spans="1:26" ht="18.75" hidden="1">
      <c r="A60" s="832"/>
      <c r="B60" s="833"/>
      <c r="C60" s="833"/>
      <c r="D60" s="833"/>
      <c r="E60" s="834" t="s">
        <v>18</v>
      </c>
      <c r="F60" s="833"/>
      <c r="G60" s="835"/>
      <c r="H60" s="43" t="s">
        <v>12</v>
      </c>
      <c r="I60" s="836"/>
      <c r="J60" s="836"/>
      <c r="K60" s="837"/>
      <c r="L60" s="837">
        <v>0</v>
      </c>
      <c r="M60" s="837">
        <v>0</v>
      </c>
      <c r="N60" s="837">
        <v>0</v>
      </c>
      <c r="O60" s="837">
        <f t="shared" si="32"/>
        <v>0</v>
      </c>
      <c r="P60" s="837">
        <f t="shared" si="33"/>
        <v>0</v>
      </c>
      <c r="Q60" s="825"/>
      <c r="R60" s="825"/>
      <c r="S60" s="825"/>
      <c r="T60" s="825"/>
      <c r="U60" s="825"/>
      <c r="V60" s="825"/>
      <c r="W60" s="825"/>
      <c r="X60" s="825"/>
      <c r="Y60" s="825"/>
      <c r="Z60" s="825"/>
    </row>
    <row r="61" spans="1:26" ht="18.75" hidden="1">
      <c r="A61" s="838"/>
      <c r="B61" s="839"/>
      <c r="C61" s="839"/>
      <c r="D61" s="839"/>
      <c r="E61" s="840" t="s">
        <v>19</v>
      </c>
      <c r="F61" s="839"/>
      <c r="G61" s="841"/>
      <c r="H61" s="50" t="s">
        <v>12</v>
      </c>
      <c r="I61" s="842"/>
      <c r="J61" s="842"/>
      <c r="K61" s="843"/>
      <c r="L61" s="843">
        <f ca="1">IFERROR(__xludf.DUMMYFUNCTION("IMPORTRANGE(""https://docs.google.com/spreadsheets/d/1MeEWN-I1oV_STSDYn1IFDPWt_1FKiwhDph83XaGc0o0/edit?usp=sharing"",""งบพรบ!Z25"")"),0)</f>
        <v>0</v>
      </c>
      <c r="M61" s="843">
        <f ca="1">IFERROR(__xludf.DUMMYFUNCTION("IMPORTRANGE(""https://docs.google.com/spreadsheets/d/1MeEWN-I1oV_STSDYn1IFDPWt_1FKiwhDph83XaGc0o0/edit?usp=sharing"",""งบพรบ!AC25"")"),0)</f>
        <v>0</v>
      </c>
      <c r="N61" s="843">
        <f ca="1">IFERROR(__xludf.DUMMYFUNCTION("IMPORTRANGE(""https://docs.google.com/spreadsheets/d/1MeEWN-I1oV_STSDYn1IFDPWt_1FKiwhDph83XaGc0o0/edit?usp=sharing"",""งบพรบ!AE25"")"),0)</f>
        <v>0</v>
      </c>
      <c r="O61" s="843">
        <f t="shared" ca="1" si="32"/>
        <v>0</v>
      </c>
      <c r="P61" s="843">
        <f t="shared" ca="1" si="33"/>
        <v>0</v>
      </c>
      <c r="Q61" s="825"/>
      <c r="R61" s="825"/>
      <c r="S61" s="825"/>
      <c r="T61" s="825"/>
      <c r="U61" s="825"/>
      <c r="V61" s="825"/>
      <c r="W61" s="825"/>
      <c r="X61" s="825"/>
      <c r="Y61" s="825"/>
      <c r="Z61" s="825"/>
    </row>
    <row r="62" spans="1:26" ht="19.5">
      <c r="A62" s="910" t="s">
        <v>31</v>
      </c>
      <c r="B62" s="911"/>
      <c r="C62" s="911"/>
      <c r="D62" s="911"/>
      <c r="E62" s="912"/>
      <c r="F62" s="912"/>
      <c r="G62" s="913"/>
      <c r="H62" s="914"/>
      <c r="I62" s="915"/>
      <c r="J62" s="915"/>
      <c r="K62" s="916"/>
      <c r="L62" s="916"/>
      <c r="M62" s="916"/>
      <c r="N62" s="916"/>
      <c r="O62" s="916"/>
      <c r="P62" s="916"/>
    </row>
    <row r="63" spans="1:26" ht="19.5" hidden="1">
      <c r="A63" s="917" t="s">
        <v>32</v>
      </c>
      <c r="B63" s="918"/>
      <c r="C63" s="919"/>
      <c r="D63" s="918"/>
      <c r="E63" s="918"/>
      <c r="F63" s="918"/>
      <c r="G63" s="920"/>
      <c r="H63" s="921"/>
      <c r="I63" s="922"/>
      <c r="J63" s="922"/>
      <c r="K63" s="923"/>
      <c r="L63" s="923"/>
      <c r="M63" s="923"/>
      <c r="N63" s="923"/>
      <c r="O63" s="923"/>
      <c r="P63" s="923"/>
    </row>
    <row r="64" spans="1:26" ht="19.5" hidden="1">
      <c r="A64" s="924"/>
      <c r="B64" s="925" t="s">
        <v>33</v>
      </c>
      <c r="C64" s="926"/>
      <c r="D64" s="927"/>
      <c r="E64" s="926"/>
      <c r="F64" s="926"/>
      <c r="G64" s="928"/>
      <c r="H64" s="205" t="s">
        <v>34</v>
      </c>
      <c r="I64" s="929">
        <f t="shared" ref="I64:J65" ca="1" si="37">I76</f>
        <v>0</v>
      </c>
      <c r="J64" s="929">
        <f t="shared" si="37"/>
        <v>0</v>
      </c>
      <c r="K64" s="930">
        <f t="shared" ref="K64:K65" ca="1" si="38">IF(I64&gt;0,J64*100/I64,0)</f>
        <v>0</v>
      </c>
      <c r="L64" s="931"/>
      <c r="M64" s="931"/>
      <c r="N64" s="931"/>
      <c r="O64" s="931"/>
      <c r="P64" s="931"/>
    </row>
    <row r="65" spans="1:26" ht="19.5" hidden="1">
      <c r="A65" s="924"/>
      <c r="B65" s="926"/>
      <c r="C65" s="926"/>
      <c r="D65" s="927"/>
      <c r="E65" s="926"/>
      <c r="F65" s="926"/>
      <c r="G65" s="928"/>
      <c r="H65" s="205" t="s">
        <v>35</v>
      </c>
      <c r="I65" s="929">
        <f t="shared" ca="1" si="37"/>
        <v>0</v>
      </c>
      <c r="J65" s="929">
        <f t="shared" si="37"/>
        <v>0</v>
      </c>
      <c r="K65" s="930">
        <f t="shared" ca="1" si="38"/>
        <v>0</v>
      </c>
      <c r="L65" s="931"/>
      <c r="M65" s="931"/>
      <c r="N65" s="931"/>
      <c r="O65" s="931"/>
      <c r="P65" s="931"/>
    </row>
    <row r="66" spans="1:26" ht="19.5" hidden="1">
      <c r="A66" s="932"/>
      <c r="B66" s="933"/>
      <c r="C66" s="934" t="s">
        <v>16</v>
      </c>
      <c r="D66" s="935" t="s">
        <v>17</v>
      </c>
      <c r="E66" s="933"/>
      <c r="F66" s="933"/>
      <c r="G66" s="936"/>
      <c r="H66" s="152" t="s">
        <v>12</v>
      </c>
      <c r="I66" s="937"/>
      <c r="J66" s="937"/>
      <c r="K66" s="938"/>
      <c r="L66" s="939">
        <f t="shared" ref="L66:N66" ca="1" si="39">L67+L68</f>
        <v>0</v>
      </c>
      <c r="M66" s="939">
        <f t="shared" ca="1" si="39"/>
        <v>0</v>
      </c>
      <c r="N66" s="939">
        <f t="shared" ca="1" si="39"/>
        <v>0</v>
      </c>
      <c r="O66" s="939">
        <f t="shared" ref="O66:O74" ca="1" si="40">IF(L66&gt;0,N66*100/L66,0)</f>
        <v>0</v>
      </c>
      <c r="P66" s="939">
        <f t="shared" ref="P66:P74" ca="1" si="41">IF(M66&gt;0,N66*100/M66,0)</f>
        <v>0</v>
      </c>
      <c r="Q66" s="818"/>
      <c r="R66" s="818"/>
      <c r="S66" s="818"/>
      <c r="T66" s="818"/>
      <c r="U66" s="818"/>
      <c r="V66" s="818"/>
      <c r="W66" s="818"/>
      <c r="X66" s="818"/>
      <c r="Y66" s="818"/>
      <c r="Z66" s="818"/>
    </row>
    <row r="67" spans="1:26" ht="18.75" hidden="1">
      <c r="A67" s="940"/>
      <c r="B67" s="833"/>
      <c r="C67" s="833"/>
      <c r="D67" s="833"/>
      <c r="E67" s="834" t="s">
        <v>18</v>
      </c>
      <c r="F67" s="833"/>
      <c r="G67" s="941"/>
      <c r="H67" s="158" t="s">
        <v>12</v>
      </c>
      <c r="I67" s="836"/>
      <c r="J67" s="836"/>
      <c r="K67" s="837"/>
      <c r="L67" s="837">
        <f t="shared" ref="L67:N68" si="42">L70+L73</f>
        <v>0</v>
      </c>
      <c r="M67" s="837">
        <f t="shared" si="42"/>
        <v>0</v>
      </c>
      <c r="N67" s="837">
        <f t="shared" si="42"/>
        <v>0</v>
      </c>
      <c r="O67" s="837">
        <f t="shared" si="40"/>
        <v>0</v>
      </c>
      <c r="P67" s="837">
        <f t="shared" si="41"/>
        <v>0</v>
      </c>
      <c r="Q67" s="825"/>
      <c r="R67" s="825"/>
      <c r="S67" s="825"/>
      <c r="T67" s="825"/>
      <c r="U67" s="825"/>
      <c r="V67" s="825"/>
      <c r="W67" s="825"/>
      <c r="X67" s="825"/>
      <c r="Y67" s="825"/>
      <c r="Z67" s="825"/>
    </row>
    <row r="68" spans="1:26" ht="18.75" hidden="1">
      <c r="A68" s="940"/>
      <c r="B68" s="833"/>
      <c r="C68" s="833"/>
      <c r="D68" s="833"/>
      <c r="E68" s="834" t="s">
        <v>19</v>
      </c>
      <c r="F68" s="833"/>
      <c r="G68" s="941"/>
      <c r="H68" s="158" t="s">
        <v>12</v>
      </c>
      <c r="I68" s="836"/>
      <c r="J68" s="836"/>
      <c r="K68" s="837"/>
      <c r="L68" s="837">
        <f t="shared" ca="1" si="42"/>
        <v>0</v>
      </c>
      <c r="M68" s="837">
        <f t="shared" ca="1" si="42"/>
        <v>0</v>
      </c>
      <c r="N68" s="837">
        <f t="shared" ca="1" si="42"/>
        <v>0</v>
      </c>
      <c r="O68" s="837">
        <f t="shared" ca="1" si="40"/>
        <v>0</v>
      </c>
      <c r="P68" s="837">
        <f t="shared" ca="1" si="41"/>
        <v>0</v>
      </c>
      <c r="Q68" s="825"/>
      <c r="R68" s="825"/>
      <c r="S68" s="825"/>
      <c r="T68" s="825"/>
      <c r="U68" s="825"/>
      <c r="V68" s="825"/>
      <c r="W68" s="825"/>
      <c r="X68" s="825"/>
      <c r="Y68" s="825"/>
      <c r="Z68" s="825"/>
    </row>
    <row r="69" spans="1:26" ht="18.75" hidden="1">
      <c r="A69" s="942"/>
      <c r="B69" s="827"/>
      <c r="C69" s="943"/>
      <c r="D69" s="828" t="s">
        <v>20</v>
      </c>
      <c r="E69" s="827"/>
      <c r="F69" s="827"/>
      <c r="G69" s="829"/>
      <c r="H69" s="778" t="s">
        <v>12</v>
      </c>
      <c r="I69" s="944"/>
      <c r="J69" s="944"/>
      <c r="K69" s="945"/>
      <c r="L69" s="831">
        <f t="shared" ref="L69:N69" ca="1" si="43">L70+L71</f>
        <v>0</v>
      </c>
      <c r="M69" s="831">
        <f t="shared" ca="1" si="43"/>
        <v>0</v>
      </c>
      <c r="N69" s="831">
        <f t="shared" ca="1" si="43"/>
        <v>0</v>
      </c>
      <c r="O69" s="831">
        <f t="shared" ca="1" si="40"/>
        <v>0</v>
      </c>
      <c r="P69" s="831">
        <f t="shared" ca="1" si="41"/>
        <v>0</v>
      </c>
      <c r="Q69" s="818"/>
      <c r="R69" s="818"/>
      <c r="S69" s="818"/>
      <c r="T69" s="818"/>
      <c r="U69" s="818"/>
      <c r="V69" s="818"/>
      <c r="W69" s="818"/>
      <c r="X69" s="818"/>
      <c r="Y69" s="818"/>
      <c r="Z69" s="818"/>
    </row>
    <row r="70" spans="1:26" ht="19.5" hidden="1">
      <c r="A70" s="940"/>
      <c r="B70" s="833"/>
      <c r="C70" s="946"/>
      <c r="D70" s="833"/>
      <c r="E70" s="834" t="s">
        <v>36</v>
      </c>
      <c r="F70" s="833"/>
      <c r="G70" s="941"/>
      <c r="H70" s="165" t="s">
        <v>12</v>
      </c>
      <c r="I70" s="947"/>
      <c r="J70" s="947"/>
      <c r="K70" s="948"/>
      <c r="L70" s="837">
        <v>0</v>
      </c>
      <c r="M70" s="837">
        <v>0</v>
      </c>
      <c r="N70" s="837">
        <v>0</v>
      </c>
      <c r="O70" s="837">
        <f t="shared" si="40"/>
        <v>0</v>
      </c>
      <c r="P70" s="837">
        <f t="shared" si="41"/>
        <v>0</v>
      </c>
      <c r="Q70" s="825"/>
      <c r="R70" s="825"/>
      <c r="S70" s="825"/>
      <c r="T70" s="825"/>
      <c r="U70" s="825"/>
      <c r="V70" s="825"/>
      <c r="W70" s="825"/>
      <c r="X70" s="825"/>
      <c r="Y70" s="825"/>
      <c r="Z70" s="825"/>
    </row>
    <row r="71" spans="1:26" ht="19.5" hidden="1">
      <c r="A71" s="940"/>
      <c r="B71" s="833"/>
      <c r="C71" s="946"/>
      <c r="D71" s="833"/>
      <c r="E71" s="834" t="s">
        <v>37</v>
      </c>
      <c r="F71" s="833"/>
      <c r="G71" s="941"/>
      <c r="H71" s="165" t="s">
        <v>12</v>
      </c>
      <c r="I71" s="947"/>
      <c r="J71" s="947"/>
      <c r="K71" s="948"/>
      <c r="L71" s="837">
        <f ca="1">IFERROR(__xludf.DUMMYFUNCTION("IMPORTRANGE(""https://docs.google.com/spreadsheets/d/1MeEWN-I1oV_STSDYn1IFDPWt_1FKiwhDph83XaGc0o0/edit?usp=sharing"",""งบพรบ!AG25"")"),0)</f>
        <v>0</v>
      </c>
      <c r="M71" s="837">
        <f ca="1">IFERROR(__xludf.DUMMYFUNCTION("IMPORTRANGE(""https://docs.google.com/spreadsheets/d/1MeEWN-I1oV_STSDYn1IFDPWt_1FKiwhDph83XaGc0o0/edit?usp=sharing"",""งบพรบ!AL25"")"),0)</f>
        <v>0</v>
      </c>
      <c r="N71" s="837">
        <f ca="1">IFERROR(__xludf.DUMMYFUNCTION("IMPORTRANGE(""https://docs.google.com/spreadsheets/d/1MeEWN-I1oV_STSDYn1IFDPWt_1FKiwhDph83XaGc0o0/edit?usp=sharing"",""งบพรบ!AN25"")"),0)</f>
        <v>0</v>
      </c>
      <c r="O71" s="837">
        <f t="shared" ca="1" si="40"/>
        <v>0</v>
      </c>
      <c r="P71" s="837">
        <f t="shared" ca="1" si="41"/>
        <v>0</v>
      </c>
      <c r="Q71" s="825"/>
      <c r="R71" s="825"/>
      <c r="S71" s="825"/>
      <c r="T71" s="825"/>
      <c r="U71" s="825"/>
      <c r="V71" s="825"/>
      <c r="W71" s="825"/>
      <c r="X71" s="825"/>
      <c r="Y71" s="825"/>
      <c r="Z71" s="825"/>
    </row>
    <row r="72" spans="1:26" ht="18.75" hidden="1">
      <c r="A72" s="942"/>
      <c r="B72" s="827"/>
      <c r="C72" s="943"/>
      <c r="D72" s="828" t="s">
        <v>21</v>
      </c>
      <c r="E72" s="827"/>
      <c r="F72" s="827"/>
      <c r="G72" s="829"/>
      <c r="H72" s="168" t="s">
        <v>12</v>
      </c>
      <c r="I72" s="944"/>
      <c r="J72" s="944"/>
      <c r="K72" s="945"/>
      <c r="L72" s="831">
        <f t="shared" ref="L72:N72" ca="1" si="44">L73+L74</f>
        <v>0</v>
      </c>
      <c r="M72" s="831">
        <f t="shared" ca="1" si="44"/>
        <v>0</v>
      </c>
      <c r="N72" s="831">
        <f t="shared" ca="1" si="44"/>
        <v>0</v>
      </c>
      <c r="O72" s="831">
        <f t="shared" ca="1" si="40"/>
        <v>0</v>
      </c>
      <c r="P72" s="831">
        <f t="shared" ca="1" si="41"/>
        <v>0</v>
      </c>
      <c r="Q72" s="818"/>
      <c r="R72" s="818"/>
      <c r="S72" s="818"/>
      <c r="T72" s="818"/>
      <c r="U72" s="818"/>
      <c r="V72" s="818"/>
      <c r="W72" s="818"/>
      <c r="X72" s="818"/>
      <c r="Y72" s="818"/>
      <c r="Z72" s="818"/>
    </row>
    <row r="73" spans="1:26" ht="19.5" hidden="1">
      <c r="A73" s="940"/>
      <c r="B73" s="833"/>
      <c r="C73" s="946"/>
      <c r="D73" s="833"/>
      <c r="E73" s="834" t="s">
        <v>18</v>
      </c>
      <c r="F73" s="833"/>
      <c r="G73" s="941"/>
      <c r="H73" s="165" t="s">
        <v>12</v>
      </c>
      <c r="I73" s="947"/>
      <c r="J73" s="947"/>
      <c r="K73" s="948"/>
      <c r="L73" s="837">
        <v>0</v>
      </c>
      <c r="M73" s="837"/>
      <c r="N73" s="837"/>
      <c r="O73" s="837">
        <f t="shared" si="40"/>
        <v>0</v>
      </c>
      <c r="P73" s="837">
        <f t="shared" si="41"/>
        <v>0</v>
      </c>
      <c r="Q73" s="825"/>
      <c r="R73" s="825"/>
      <c r="S73" s="825"/>
      <c r="T73" s="825"/>
      <c r="U73" s="825"/>
      <c r="V73" s="825"/>
      <c r="W73" s="825"/>
      <c r="X73" s="825"/>
      <c r="Y73" s="825"/>
      <c r="Z73" s="825"/>
    </row>
    <row r="74" spans="1:26" ht="19.5" hidden="1">
      <c r="A74" s="940"/>
      <c r="B74" s="833"/>
      <c r="C74" s="946"/>
      <c r="D74" s="833"/>
      <c r="E74" s="834" t="s">
        <v>19</v>
      </c>
      <c r="F74" s="833"/>
      <c r="G74" s="941"/>
      <c r="H74" s="169" t="s">
        <v>12</v>
      </c>
      <c r="I74" s="947"/>
      <c r="J74" s="947"/>
      <c r="K74" s="948"/>
      <c r="L74" s="837">
        <f ca="1">IFERROR(__xludf.DUMMYFUNCTION("IMPORTRANGE(""https://docs.google.com/spreadsheets/d/1MeEWN-I1oV_STSDYn1IFDPWt_1FKiwhDph83XaGc0o0/edit?usp=sharing"",""งบพรบ!AJ25"")"),0)</f>
        <v>0</v>
      </c>
      <c r="M74" s="837">
        <f ca="1">IFERROR(__xludf.DUMMYFUNCTION("IMPORTRANGE(""https://docs.google.com/spreadsheets/d/1MeEWN-I1oV_STSDYn1IFDPWt_1FKiwhDph83XaGc0o0/edit?usp=sharing"",""งบพรบ!AM25"")"),0)</f>
        <v>0</v>
      </c>
      <c r="N74" s="837">
        <f ca="1">IFERROR(__xludf.DUMMYFUNCTION("IMPORTRANGE(""https://docs.google.com/spreadsheets/d/1MeEWN-I1oV_STSDYn1IFDPWt_1FKiwhDph83XaGc0o0/edit?usp=sharing"",""งบพรบ!AO25"")"),0)</f>
        <v>0</v>
      </c>
      <c r="O74" s="837">
        <f t="shared" ca="1" si="40"/>
        <v>0</v>
      </c>
      <c r="P74" s="837">
        <f t="shared" ca="1" si="41"/>
        <v>0</v>
      </c>
      <c r="Q74" s="825"/>
      <c r="R74" s="825"/>
      <c r="S74" s="825"/>
      <c r="T74" s="825"/>
      <c r="U74" s="825"/>
      <c r="V74" s="825"/>
      <c r="W74" s="825"/>
      <c r="X74" s="825"/>
      <c r="Y74" s="825"/>
      <c r="Z74" s="825"/>
    </row>
    <row r="75" spans="1:26" ht="19.5" hidden="1">
      <c r="A75" s="949"/>
      <c r="B75" s="950"/>
      <c r="C75" s="946" t="s">
        <v>16</v>
      </c>
      <c r="D75" s="951" t="s">
        <v>38</v>
      </c>
      <c r="E75" s="952"/>
      <c r="F75" s="952"/>
      <c r="G75" s="953"/>
      <c r="H75" s="954"/>
      <c r="I75" s="944"/>
      <c r="J75" s="944"/>
      <c r="K75" s="945"/>
      <c r="L75" s="945"/>
      <c r="M75" s="945"/>
      <c r="N75" s="945"/>
      <c r="O75" s="945"/>
      <c r="P75" s="945"/>
    </row>
    <row r="76" spans="1:26" ht="19.5" hidden="1">
      <c r="A76" s="949"/>
      <c r="B76" s="950"/>
      <c r="C76" s="950"/>
      <c r="D76" s="955" t="s">
        <v>39</v>
      </c>
      <c r="E76" s="956"/>
      <c r="F76" s="957"/>
      <c r="G76" s="958"/>
      <c r="H76" s="180" t="s">
        <v>34</v>
      </c>
      <c r="I76" s="830">
        <f t="shared" ref="I76:J77" ca="1" si="45">I78+I80+I82</f>
        <v>0</v>
      </c>
      <c r="J76" s="830">
        <f t="shared" si="45"/>
        <v>0</v>
      </c>
      <c r="K76" s="945">
        <f t="shared" ref="K76:K84" ca="1" si="46">IF(I76&gt;0,J76*100/I76,0)</f>
        <v>0</v>
      </c>
      <c r="L76" s="945"/>
      <c r="M76" s="945"/>
      <c r="N76" s="945"/>
      <c r="O76" s="945"/>
      <c r="P76" s="945"/>
    </row>
    <row r="77" spans="1:26" ht="19.5" hidden="1">
      <c r="A77" s="949"/>
      <c r="B77" s="950"/>
      <c r="C77" s="950"/>
      <c r="D77" s="950"/>
      <c r="E77" s="957"/>
      <c r="F77" s="957"/>
      <c r="G77" s="958"/>
      <c r="H77" s="180" t="s">
        <v>35</v>
      </c>
      <c r="I77" s="830">
        <f t="shared" ca="1" si="45"/>
        <v>0</v>
      </c>
      <c r="J77" s="830">
        <f t="shared" si="45"/>
        <v>0</v>
      </c>
      <c r="K77" s="945">
        <f t="shared" ca="1" si="46"/>
        <v>0</v>
      </c>
      <c r="L77" s="945"/>
      <c r="M77" s="945"/>
      <c r="N77" s="945"/>
      <c r="O77" s="945"/>
      <c r="P77" s="945"/>
    </row>
    <row r="78" spans="1:26" ht="18.75" hidden="1">
      <c r="A78" s="949"/>
      <c r="B78" s="950"/>
      <c r="C78" s="950"/>
      <c r="D78" s="950"/>
      <c r="E78" s="956" t="s">
        <v>40</v>
      </c>
      <c r="F78" s="956"/>
      <c r="G78" s="958"/>
      <c r="H78" s="730" t="s">
        <v>34</v>
      </c>
      <c r="I78" s="944">
        <f ca="1">IFERROR(__xludf.DUMMYFUNCTION("IMPORTRANGE(""https://docs.google.com/spreadsheets/d/1QqKyyYR6Q21VydFLVH3TRQUabQu_ym0Zz7PgGX0-kHA/edit?usp=sharing"",""แผน!H25"")"),0)</f>
        <v>0</v>
      </c>
      <c r="J78" s="959">
        <v>0</v>
      </c>
      <c r="K78" s="945">
        <f t="shared" ca="1" si="46"/>
        <v>0</v>
      </c>
      <c r="L78" s="945"/>
      <c r="M78" s="945"/>
      <c r="N78" s="945"/>
      <c r="O78" s="945"/>
      <c r="P78" s="945"/>
    </row>
    <row r="79" spans="1:26" ht="18.75" hidden="1">
      <c r="A79" s="949"/>
      <c r="B79" s="950"/>
      <c r="C79" s="950"/>
      <c r="D79" s="950"/>
      <c r="E79" s="957"/>
      <c r="F79" s="957"/>
      <c r="G79" s="958"/>
      <c r="H79" s="730" t="s">
        <v>35</v>
      </c>
      <c r="I79" s="944">
        <f ca="1">IFERROR(__xludf.DUMMYFUNCTION("IMPORTRANGE(""https://docs.google.com/spreadsheets/d/1QqKyyYR6Q21VydFLVH3TRQUabQu_ym0Zz7PgGX0-kHA/edit?usp=sharing"",""แผน!I25"")"),0)</f>
        <v>0</v>
      </c>
      <c r="J79" s="959">
        <v>0</v>
      </c>
      <c r="K79" s="945">
        <f t="shared" ca="1" si="46"/>
        <v>0</v>
      </c>
      <c r="L79" s="945"/>
      <c r="M79" s="945"/>
      <c r="N79" s="945"/>
      <c r="O79" s="945"/>
      <c r="P79" s="945"/>
    </row>
    <row r="80" spans="1:26" ht="18.75" hidden="1">
      <c r="A80" s="949"/>
      <c r="B80" s="950"/>
      <c r="C80" s="950"/>
      <c r="D80" s="950"/>
      <c r="E80" s="956" t="s">
        <v>41</v>
      </c>
      <c r="F80" s="956"/>
      <c r="G80" s="958"/>
      <c r="H80" s="730" t="s">
        <v>34</v>
      </c>
      <c r="I80" s="944">
        <f ca="1">IFERROR(__xludf.DUMMYFUNCTION("IMPORTRANGE(""https://docs.google.com/spreadsheets/d/1QqKyyYR6Q21VydFLVH3TRQUabQu_ym0Zz7PgGX0-kHA/edit?usp=sharing"",""แผน!F25"")"),0)</f>
        <v>0</v>
      </c>
      <c r="J80" s="959">
        <v>0</v>
      </c>
      <c r="K80" s="945">
        <f t="shared" ca="1" si="46"/>
        <v>0</v>
      </c>
      <c r="L80" s="945"/>
      <c r="M80" s="945"/>
      <c r="N80" s="945"/>
      <c r="O80" s="945"/>
      <c r="P80" s="945"/>
    </row>
    <row r="81" spans="1:26" ht="18.75" hidden="1">
      <c r="A81" s="949"/>
      <c r="B81" s="950"/>
      <c r="C81" s="950"/>
      <c r="D81" s="950"/>
      <c r="E81" s="957"/>
      <c r="F81" s="957"/>
      <c r="G81" s="958"/>
      <c r="H81" s="730" t="s">
        <v>35</v>
      </c>
      <c r="I81" s="944">
        <f ca="1">IFERROR(__xludf.DUMMYFUNCTION("IMPORTRANGE(""https://docs.google.com/spreadsheets/d/1QqKyyYR6Q21VydFLVH3TRQUabQu_ym0Zz7PgGX0-kHA/edit?usp=sharing"",""แผน!G25"")"),0)</f>
        <v>0</v>
      </c>
      <c r="J81" s="959">
        <v>0</v>
      </c>
      <c r="K81" s="945">
        <f t="shared" ca="1" si="46"/>
        <v>0</v>
      </c>
      <c r="L81" s="945"/>
      <c r="M81" s="945"/>
      <c r="N81" s="945"/>
      <c r="O81" s="945"/>
      <c r="P81" s="945"/>
    </row>
    <row r="82" spans="1:26" ht="18.75" hidden="1">
      <c r="A82" s="949"/>
      <c r="B82" s="950"/>
      <c r="C82" s="950"/>
      <c r="D82" s="950"/>
      <c r="E82" s="956" t="s">
        <v>42</v>
      </c>
      <c r="F82" s="956"/>
      <c r="G82" s="958"/>
      <c r="H82" s="730" t="s">
        <v>34</v>
      </c>
      <c r="I82" s="944">
        <f ca="1">IFERROR(__xludf.DUMMYFUNCTION("IMPORTRANGE(""https://docs.google.com/spreadsheets/d/1QqKyyYR6Q21VydFLVH3TRQUabQu_ym0Zz7PgGX0-kHA/edit?usp=sharing"",""แผน!D25"")"),0)</f>
        <v>0</v>
      </c>
      <c r="J82" s="959">
        <v>0</v>
      </c>
      <c r="K82" s="945">
        <f t="shared" ca="1" si="46"/>
        <v>0</v>
      </c>
      <c r="L82" s="945"/>
      <c r="M82" s="945"/>
      <c r="N82" s="945"/>
      <c r="O82" s="945"/>
      <c r="P82" s="945"/>
    </row>
    <row r="83" spans="1:26" ht="18.75" hidden="1">
      <c r="A83" s="949"/>
      <c r="B83" s="950"/>
      <c r="C83" s="950"/>
      <c r="D83" s="950"/>
      <c r="E83" s="957"/>
      <c r="F83" s="957"/>
      <c r="G83" s="958"/>
      <c r="H83" s="730" t="s">
        <v>35</v>
      </c>
      <c r="I83" s="944">
        <f ca="1">IFERROR(__xludf.DUMMYFUNCTION("IMPORTRANGE(""https://docs.google.com/spreadsheets/d/1QqKyyYR6Q21VydFLVH3TRQUabQu_ym0Zz7PgGX0-kHA/edit?usp=sharing"",""แผน!E25"")"),0)</f>
        <v>0</v>
      </c>
      <c r="J83" s="959">
        <v>0</v>
      </c>
      <c r="K83" s="945">
        <f t="shared" ca="1" si="46"/>
        <v>0</v>
      </c>
      <c r="L83" s="945"/>
      <c r="M83" s="945"/>
      <c r="N83" s="945"/>
      <c r="O83" s="945"/>
      <c r="P83" s="945"/>
    </row>
    <row r="84" spans="1:26" ht="18.75" hidden="1">
      <c r="A84" s="949"/>
      <c r="B84" s="950"/>
      <c r="C84" s="950"/>
      <c r="D84" s="955" t="s">
        <v>43</v>
      </c>
      <c r="E84" s="956"/>
      <c r="F84" s="957"/>
      <c r="G84" s="958"/>
      <c r="H84" s="777" t="s">
        <v>34</v>
      </c>
      <c r="I84" s="944">
        <f ca="1">IFERROR(__xludf.DUMMYFUNCTION("IMPORTRANGE(""https://docs.google.com/spreadsheets/d/1QqKyyYR6Q21VydFLVH3TRQUabQu_ym0Zz7PgGX0-kHA/edit?usp=sharing"",""แผน!J25"")"),0)</f>
        <v>0</v>
      </c>
      <c r="J84" s="959">
        <v>0</v>
      </c>
      <c r="K84" s="945">
        <f t="shared" ca="1" si="46"/>
        <v>0</v>
      </c>
      <c r="L84" s="945"/>
      <c r="M84" s="945"/>
      <c r="N84" s="945"/>
      <c r="O84" s="945"/>
      <c r="P84" s="945"/>
    </row>
    <row r="85" spans="1:26" ht="19.5">
      <c r="A85" s="917" t="s">
        <v>44</v>
      </c>
      <c r="B85" s="918"/>
      <c r="C85" s="919"/>
      <c r="D85" s="918"/>
      <c r="E85" s="918"/>
      <c r="F85" s="918"/>
      <c r="G85" s="920"/>
      <c r="H85" s="921"/>
      <c r="I85" s="922"/>
      <c r="J85" s="922"/>
      <c r="K85" s="923"/>
      <c r="L85" s="923"/>
      <c r="M85" s="923"/>
      <c r="N85" s="923"/>
      <c r="O85" s="923"/>
      <c r="P85" s="923"/>
    </row>
    <row r="86" spans="1:26" ht="19.5">
      <c r="A86" s="924"/>
      <c r="B86" s="925" t="s">
        <v>45</v>
      </c>
      <c r="C86" s="926"/>
      <c r="D86" s="927"/>
      <c r="E86" s="926"/>
      <c r="F86" s="926"/>
      <c r="G86" s="928"/>
      <c r="H86" s="205" t="s">
        <v>46</v>
      </c>
      <c r="I86" s="929">
        <f t="shared" ref="I86:J87" ca="1" si="47">I98</f>
        <v>90</v>
      </c>
      <c r="J86" s="929">
        <f t="shared" si="47"/>
        <v>90</v>
      </c>
      <c r="K86" s="930">
        <f t="shared" ref="K86:K87" ca="1" si="48">IF(I86&gt;0,J86*100/I86,0)</f>
        <v>100</v>
      </c>
      <c r="L86" s="931"/>
      <c r="M86" s="931"/>
      <c r="N86" s="931"/>
      <c r="O86" s="931"/>
      <c r="P86" s="931"/>
    </row>
    <row r="87" spans="1:26" ht="19.5">
      <c r="A87" s="924"/>
      <c r="B87" s="926"/>
      <c r="C87" s="926"/>
      <c r="D87" s="927"/>
      <c r="E87" s="926"/>
      <c r="F87" s="926"/>
      <c r="G87" s="928"/>
      <c r="H87" s="205" t="s">
        <v>35</v>
      </c>
      <c r="I87" s="929">
        <f t="shared" ca="1" si="47"/>
        <v>30</v>
      </c>
      <c r="J87" s="929">
        <f t="shared" si="47"/>
        <v>30</v>
      </c>
      <c r="K87" s="930">
        <f t="shared" ca="1" si="48"/>
        <v>100</v>
      </c>
      <c r="L87" s="931"/>
      <c r="M87" s="931"/>
      <c r="N87" s="931"/>
      <c r="O87" s="931"/>
      <c r="P87" s="931"/>
    </row>
    <row r="88" spans="1:26" ht="19.5">
      <c r="A88" s="932"/>
      <c r="B88" s="933"/>
      <c r="C88" s="934" t="s">
        <v>16</v>
      </c>
      <c r="D88" s="935" t="s">
        <v>17</v>
      </c>
      <c r="E88" s="933"/>
      <c r="F88" s="933"/>
      <c r="G88" s="936"/>
      <c r="H88" s="152" t="s">
        <v>12</v>
      </c>
      <c r="I88" s="937"/>
      <c r="J88" s="937"/>
      <c r="K88" s="938"/>
      <c r="L88" s="939">
        <f t="shared" ref="L88:N88" ca="1" si="49">L89+L90</f>
        <v>235620</v>
      </c>
      <c r="M88" s="939">
        <f t="shared" ca="1" si="49"/>
        <v>186795</v>
      </c>
      <c r="N88" s="939">
        <f t="shared" ca="1" si="49"/>
        <v>158226.4</v>
      </c>
      <c r="O88" s="939">
        <f t="shared" ref="O88:O96" ca="1" si="50">IF(L88&gt;0,N88*100/L88,0)</f>
        <v>67.153212800271618</v>
      </c>
      <c r="P88" s="939">
        <f t="shared" ref="P88:P96" ca="1" si="51">IF(M88&gt;0,N88*100/M88,0)</f>
        <v>84.705907545705188</v>
      </c>
      <c r="Q88" s="818"/>
      <c r="R88" s="818"/>
      <c r="S88" s="818"/>
      <c r="T88" s="818"/>
      <c r="U88" s="818"/>
      <c r="V88" s="818"/>
      <c r="W88" s="818"/>
      <c r="X88" s="818"/>
      <c r="Y88" s="818"/>
      <c r="Z88" s="818"/>
    </row>
    <row r="89" spans="1:26" ht="18.75" hidden="1">
      <c r="A89" s="940"/>
      <c r="B89" s="833"/>
      <c r="C89" s="833"/>
      <c r="D89" s="833"/>
      <c r="E89" s="834" t="s">
        <v>18</v>
      </c>
      <c r="F89" s="833"/>
      <c r="G89" s="941"/>
      <c r="H89" s="158" t="s">
        <v>12</v>
      </c>
      <c r="I89" s="836"/>
      <c r="J89" s="836"/>
      <c r="K89" s="837"/>
      <c r="L89" s="837">
        <f t="shared" ref="L89:N90" si="52">L92+L95</f>
        <v>0</v>
      </c>
      <c r="M89" s="837">
        <f t="shared" si="52"/>
        <v>0</v>
      </c>
      <c r="N89" s="837">
        <f t="shared" si="52"/>
        <v>0</v>
      </c>
      <c r="O89" s="837">
        <f t="shared" si="50"/>
        <v>0</v>
      </c>
      <c r="P89" s="837">
        <f t="shared" si="51"/>
        <v>0</v>
      </c>
      <c r="Q89" s="825"/>
      <c r="R89" s="825"/>
      <c r="S89" s="825"/>
      <c r="T89" s="825"/>
      <c r="U89" s="825"/>
      <c r="V89" s="825"/>
      <c r="W89" s="825"/>
      <c r="X89" s="825"/>
      <c r="Y89" s="825"/>
      <c r="Z89" s="825"/>
    </row>
    <row r="90" spans="1:26" ht="18.75" hidden="1">
      <c r="A90" s="940"/>
      <c r="B90" s="833"/>
      <c r="C90" s="833"/>
      <c r="D90" s="833"/>
      <c r="E90" s="834" t="s">
        <v>19</v>
      </c>
      <c r="F90" s="833"/>
      <c r="G90" s="941"/>
      <c r="H90" s="158" t="s">
        <v>12</v>
      </c>
      <c r="I90" s="836"/>
      <c r="J90" s="836"/>
      <c r="K90" s="837"/>
      <c r="L90" s="837">
        <f t="shared" ca="1" si="52"/>
        <v>235620</v>
      </c>
      <c r="M90" s="837">
        <f t="shared" ca="1" si="52"/>
        <v>186795</v>
      </c>
      <c r="N90" s="837">
        <f t="shared" ca="1" si="52"/>
        <v>158226.4</v>
      </c>
      <c r="O90" s="837">
        <f t="shared" ca="1" si="50"/>
        <v>67.153212800271618</v>
      </c>
      <c r="P90" s="837">
        <f t="shared" ca="1" si="51"/>
        <v>84.705907545705188</v>
      </c>
      <c r="Q90" s="825"/>
      <c r="R90" s="825"/>
      <c r="S90" s="825"/>
      <c r="T90" s="825"/>
      <c r="U90" s="825"/>
      <c r="V90" s="825"/>
      <c r="W90" s="825"/>
      <c r="X90" s="825"/>
      <c r="Y90" s="825"/>
      <c r="Z90" s="825"/>
    </row>
    <row r="91" spans="1:26" ht="18.75">
      <c r="A91" s="942"/>
      <c r="B91" s="827"/>
      <c r="C91" s="943"/>
      <c r="D91" s="828" t="s">
        <v>20</v>
      </c>
      <c r="E91" s="827"/>
      <c r="F91" s="827"/>
      <c r="G91" s="829"/>
      <c r="H91" s="778" t="s">
        <v>12</v>
      </c>
      <c r="I91" s="944"/>
      <c r="J91" s="944"/>
      <c r="K91" s="945"/>
      <c r="L91" s="831">
        <f t="shared" ref="L91:N91" ca="1" si="53">L92+L93</f>
        <v>235620</v>
      </c>
      <c r="M91" s="831">
        <f t="shared" ca="1" si="53"/>
        <v>186795</v>
      </c>
      <c r="N91" s="831">
        <f t="shared" ca="1" si="53"/>
        <v>158226.4</v>
      </c>
      <c r="O91" s="831">
        <f t="shared" ca="1" si="50"/>
        <v>67.153212800271618</v>
      </c>
      <c r="P91" s="831">
        <f t="shared" ca="1" si="51"/>
        <v>84.705907545705188</v>
      </c>
      <c r="Q91" s="818"/>
      <c r="R91" s="818"/>
      <c r="S91" s="818"/>
      <c r="T91" s="818"/>
      <c r="U91" s="818"/>
      <c r="V91" s="818"/>
      <c r="W91" s="818"/>
      <c r="X91" s="818"/>
      <c r="Y91" s="818"/>
      <c r="Z91" s="818"/>
    </row>
    <row r="92" spans="1:26" ht="19.5" hidden="1">
      <c r="A92" s="940"/>
      <c r="B92" s="833"/>
      <c r="C92" s="946"/>
      <c r="D92" s="833"/>
      <c r="E92" s="834" t="s">
        <v>36</v>
      </c>
      <c r="F92" s="833"/>
      <c r="G92" s="941"/>
      <c r="H92" s="165" t="s">
        <v>12</v>
      </c>
      <c r="I92" s="947"/>
      <c r="J92" s="947"/>
      <c r="K92" s="948"/>
      <c r="L92" s="837">
        <v>0</v>
      </c>
      <c r="M92" s="837">
        <v>0</v>
      </c>
      <c r="N92" s="837">
        <v>0</v>
      </c>
      <c r="O92" s="837">
        <f t="shared" si="50"/>
        <v>0</v>
      </c>
      <c r="P92" s="837">
        <f t="shared" si="51"/>
        <v>0</v>
      </c>
      <c r="Q92" s="825"/>
      <c r="R92" s="825"/>
      <c r="S92" s="825"/>
      <c r="T92" s="825"/>
      <c r="U92" s="825"/>
      <c r="V92" s="825"/>
      <c r="W92" s="825"/>
      <c r="X92" s="825"/>
      <c r="Y92" s="825"/>
      <c r="Z92" s="825"/>
    </row>
    <row r="93" spans="1:26" ht="19.5" hidden="1">
      <c r="A93" s="940"/>
      <c r="B93" s="833"/>
      <c r="C93" s="946"/>
      <c r="D93" s="833"/>
      <c r="E93" s="834" t="s">
        <v>37</v>
      </c>
      <c r="F93" s="833"/>
      <c r="G93" s="941"/>
      <c r="H93" s="165" t="s">
        <v>12</v>
      </c>
      <c r="I93" s="947"/>
      <c r="J93" s="947"/>
      <c r="K93" s="948"/>
      <c r="L93" s="837">
        <f ca="1">IFERROR(__xludf.DUMMYFUNCTION("IMPORTRANGE(""https://docs.google.com/spreadsheets/d/1MeEWN-I1oV_STSDYn1IFDPWt_1FKiwhDph83XaGc0o0/edit?usp=sharing"",""งบพรบ!AQ25"")"),235620)</f>
        <v>235620</v>
      </c>
      <c r="M93" s="837">
        <f ca="1">IFERROR(__xludf.DUMMYFUNCTION("IMPORTRANGE(""https://docs.google.com/spreadsheets/d/1MeEWN-I1oV_STSDYn1IFDPWt_1FKiwhDph83XaGc0o0/edit?usp=sharing"",""งบพรบ!AV25"")"),186795)</f>
        <v>186795</v>
      </c>
      <c r="N93" s="837">
        <f ca="1">IFERROR(__xludf.DUMMYFUNCTION("IMPORTRANGE(""https://docs.google.com/spreadsheets/d/1MeEWN-I1oV_STSDYn1IFDPWt_1FKiwhDph83XaGc0o0/edit?usp=sharing"",""งบพรบ!AX25"")"),158226.4)</f>
        <v>158226.4</v>
      </c>
      <c r="O93" s="837">
        <f t="shared" ca="1" si="50"/>
        <v>67.153212800271618</v>
      </c>
      <c r="P93" s="837">
        <f t="shared" ca="1" si="51"/>
        <v>84.705907545705188</v>
      </c>
      <c r="Q93" s="825"/>
      <c r="R93" s="825"/>
      <c r="S93" s="825"/>
      <c r="T93" s="825"/>
      <c r="U93" s="825"/>
      <c r="V93" s="825"/>
      <c r="W93" s="825"/>
      <c r="X93" s="825"/>
      <c r="Y93" s="825"/>
      <c r="Z93" s="825"/>
    </row>
    <row r="94" spans="1:26" ht="18.75">
      <c r="A94" s="942"/>
      <c r="B94" s="827"/>
      <c r="C94" s="943"/>
      <c r="D94" s="828" t="s">
        <v>21</v>
      </c>
      <c r="E94" s="827"/>
      <c r="F94" s="827"/>
      <c r="G94" s="829"/>
      <c r="H94" s="168" t="s">
        <v>12</v>
      </c>
      <c r="I94" s="944"/>
      <c r="J94" s="944"/>
      <c r="K94" s="945"/>
      <c r="L94" s="831">
        <f t="shared" ref="L94:N94" ca="1" si="54">L95+L96</f>
        <v>0</v>
      </c>
      <c r="M94" s="831">
        <f t="shared" ca="1" si="54"/>
        <v>0</v>
      </c>
      <c r="N94" s="831">
        <f t="shared" ca="1" si="54"/>
        <v>0</v>
      </c>
      <c r="O94" s="831">
        <f t="shared" ca="1" si="50"/>
        <v>0</v>
      </c>
      <c r="P94" s="831">
        <f t="shared" ca="1" si="51"/>
        <v>0</v>
      </c>
      <c r="Q94" s="818"/>
      <c r="R94" s="818"/>
      <c r="S94" s="818"/>
      <c r="T94" s="818"/>
      <c r="U94" s="818"/>
      <c r="V94" s="818"/>
      <c r="W94" s="818"/>
      <c r="X94" s="818"/>
      <c r="Y94" s="818"/>
      <c r="Z94" s="818"/>
    </row>
    <row r="95" spans="1:26" ht="19.5" hidden="1">
      <c r="A95" s="940"/>
      <c r="B95" s="833"/>
      <c r="C95" s="946"/>
      <c r="D95" s="833"/>
      <c r="E95" s="834" t="s">
        <v>18</v>
      </c>
      <c r="F95" s="833"/>
      <c r="G95" s="941"/>
      <c r="H95" s="165" t="s">
        <v>12</v>
      </c>
      <c r="I95" s="947"/>
      <c r="J95" s="947"/>
      <c r="K95" s="948"/>
      <c r="L95" s="837">
        <v>0</v>
      </c>
      <c r="M95" s="837">
        <v>0</v>
      </c>
      <c r="N95" s="837">
        <v>0</v>
      </c>
      <c r="O95" s="837">
        <f t="shared" si="50"/>
        <v>0</v>
      </c>
      <c r="P95" s="837">
        <f t="shared" si="51"/>
        <v>0</v>
      </c>
      <c r="Q95" s="825"/>
      <c r="R95" s="825"/>
      <c r="S95" s="825"/>
      <c r="T95" s="825"/>
      <c r="U95" s="825"/>
      <c r="V95" s="825"/>
      <c r="W95" s="825"/>
      <c r="X95" s="825"/>
      <c r="Y95" s="825"/>
      <c r="Z95" s="825"/>
    </row>
    <row r="96" spans="1:26" ht="19.5" hidden="1">
      <c r="A96" s="940"/>
      <c r="B96" s="833"/>
      <c r="C96" s="946"/>
      <c r="D96" s="833"/>
      <c r="E96" s="834" t="s">
        <v>19</v>
      </c>
      <c r="F96" s="833"/>
      <c r="G96" s="941"/>
      <c r="H96" s="169" t="s">
        <v>12</v>
      </c>
      <c r="I96" s="947"/>
      <c r="J96" s="947"/>
      <c r="K96" s="948"/>
      <c r="L96" s="837">
        <f ca="1">IFERROR(__xludf.DUMMYFUNCTION("IMPORTRANGE(""https://docs.google.com/spreadsheets/d/1MeEWN-I1oV_STSDYn1IFDPWt_1FKiwhDph83XaGc0o0/edit?usp=sharing"",""งบพรบ!AT25"")"),0)</f>
        <v>0</v>
      </c>
      <c r="M96" s="837">
        <f ca="1">IFERROR(__xludf.DUMMYFUNCTION("IMPORTRANGE(""https://docs.google.com/spreadsheets/d/1MeEWN-I1oV_STSDYn1IFDPWt_1FKiwhDph83XaGc0o0/edit?usp=sharing"",""งบพรบ!AW25"")"),0)</f>
        <v>0</v>
      </c>
      <c r="N96" s="837">
        <f ca="1">IFERROR(__xludf.DUMMYFUNCTION("IMPORTRANGE(""https://docs.google.com/spreadsheets/d/1MeEWN-I1oV_STSDYn1IFDPWt_1FKiwhDph83XaGc0o0/edit?usp=sharing"",""งบพรบ!AY25"")"),0)</f>
        <v>0</v>
      </c>
      <c r="O96" s="837">
        <f t="shared" ca="1" si="50"/>
        <v>0</v>
      </c>
      <c r="P96" s="837">
        <f t="shared" ca="1" si="51"/>
        <v>0</v>
      </c>
      <c r="Q96" s="825"/>
      <c r="R96" s="825"/>
      <c r="S96" s="825"/>
      <c r="T96" s="825"/>
      <c r="U96" s="825"/>
      <c r="V96" s="825"/>
      <c r="W96" s="825"/>
      <c r="X96" s="825"/>
      <c r="Y96" s="825"/>
      <c r="Z96" s="825"/>
    </row>
    <row r="97" spans="1:16" ht="19.5">
      <c r="A97" s="949"/>
      <c r="B97" s="950"/>
      <c r="C97" s="946" t="s">
        <v>16</v>
      </c>
      <c r="D97" s="951" t="s">
        <v>38</v>
      </c>
      <c r="E97" s="952"/>
      <c r="F97" s="952"/>
      <c r="G97" s="953"/>
      <c r="H97" s="954"/>
      <c r="I97" s="944"/>
      <c r="J97" s="830"/>
      <c r="K97" s="831"/>
      <c r="L97" s="831"/>
      <c r="M97" s="831"/>
      <c r="N97" s="831"/>
      <c r="O97" s="945"/>
      <c r="P97" s="945"/>
    </row>
    <row r="98" spans="1:16" ht="18.75">
      <c r="A98" s="949"/>
      <c r="B98" s="950"/>
      <c r="C98" s="950"/>
      <c r="D98" s="956" t="s">
        <v>47</v>
      </c>
      <c r="E98" s="956"/>
      <c r="F98" s="957"/>
      <c r="G98" s="958"/>
      <c r="H98" s="590" t="s">
        <v>46</v>
      </c>
      <c r="I98" s="830">
        <f ca="1">IFERROR(__xludf.DUMMYFUNCTION("IMPORTRANGE(""https://docs.google.com/spreadsheets/d/1QqKyyYR6Q21VydFLVH3TRQUabQu_ym0Zz7PgGX0-kHA/edit?usp=sharing"",""แผน!K25"")"),90)</f>
        <v>90</v>
      </c>
      <c r="J98" s="830">
        <f>J102</f>
        <v>90</v>
      </c>
      <c r="K98" s="831">
        <f t="shared" ref="K98:K100" ca="1" si="55">IF(I98&gt;0,J98*100/I98,0)</f>
        <v>100</v>
      </c>
      <c r="L98" s="831"/>
      <c r="M98" s="831"/>
      <c r="N98" s="831"/>
      <c r="O98" s="945"/>
      <c r="P98" s="945"/>
    </row>
    <row r="99" spans="1:16" ht="18.75">
      <c r="A99" s="949"/>
      <c r="B99" s="950"/>
      <c r="C99" s="950"/>
      <c r="D99" s="956" t="s">
        <v>48</v>
      </c>
      <c r="E99" s="956"/>
      <c r="F99" s="957"/>
      <c r="G99" s="958"/>
      <c r="H99" s="590" t="s">
        <v>35</v>
      </c>
      <c r="I99" s="830">
        <f ca="1">IFERROR(__xludf.DUMMYFUNCTION("IMPORTRANGE(""https://docs.google.com/spreadsheets/d/1QqKyyYR6Q21VydFLVH3TRQUabQu_ym0Zz7PgGX0-kHA/edit?usp=sharing"",""แผน!L25"")"),30)</f>
        <v>30</v>
      </c>
      <c r="J99" s="830">
        <f>J104</f>
        <v>30</v>
      </c>
      <c r="K99" s="831">
        <f t="shared" ca="1" si="55"/>
        <v>100</v>
      </c>
      <c r="L99" s="831"/>
      <c r="M99" s="831"/>
      <c r="N99" s="831"/>
      <c r="O99" s="945"/>
      <c r="P99" s="945"/>
    </row>
    <row r="100" spans="1:16" ht="18.75">
      <c r="A100" s="949"/>
      <c r="B100" s="950"/>
      <c r="C100" s="950"/>
      <c r="D100" s="950"/>
      <c r="E100" s="957"/>
      <c r="F100" s="957"/>
      <c r="G100" s="958"/>
      <c r="H100" s="590" t="s">
        <v>49</v>
      </c>
      <c r="I100" s="830">
        <f ca="1">IFERROR(__xludf.DUMMYFUNCTION("IMPORTRANGE(""https://docs.google.com/spreadsheets/d/1QqKyyYR6Q21VydFLVH3TRQUabQu_ym0Zz7PgGX0-kHA/edit?usp=sharing"",""แผน!M25"")"),0)</f>
        <v>0</v>
      </c>
      <c r="J100" s="830">
        <f>J107+J110</f>
        <v>0</v>
      </c>
      <c r="K100" s="831">
        <f t="shared" ca="1" si="55"/>
        <v>0</v>
      </c>
      <c r="L100" s="831"/>
      <c r="M100" s="831"/>
      <c r="N100" s="831"/>
      <c r="O100" s="945"/>
      <c r="P100" s="945"/>
    </row>
    <row r="101" spans="1:16" ht="19.5">
      <c r="A101" s="949"/>
      <c r="B101" s="950"/>
      <c r="C101" s="950"/>
      <c r="D101" s="957"/>
      <c r="E101" s="960" t="s">
        <v>50</v>
      </c>
      <c r="F101" s="957"/>
      <c r="G101" s="958"/>
      <c r="H101" s="590"/>
      <c r="I101" s="830"/>
      <c r="J101" s="830"/>
      <c r="K101" s="831"/>
      <c r="L101" s="831"/>
      <c r="M101" s="831"/>
      <c r="N101" s="831"/>
      <c r="O101" s="945"/>
      <c r="P101" s="945"/>
    </row>
    <row r="102" spans="1:16" ht="18.75">
      <c r="A102" s="949"/>
      <c r="B102" s="950"/>
      <c r="C102" s="950"/>
      <c r="D102" s="957"/>
      <c r="E102" s="961" t="s">
        <v>47</v>
      </c>
      <c r="F102" s="957"/>
      <c r="G102" s="958"/>
      <c r="H102" s="590" t="s">
        <v>46</v>
      </c>
      <c r="I102" s="830">
        <f ca="1">IFERROR(__xludf.DUMMYFUNCTION("IMPORTRANGE(""https://docs.google.com/spreadsheets/d/1QqKyyYR6Q21VydFLVH3TRQUabQu_ym0Zz7PgGX0-kHA/edit?usp=sharing"",""แผน!N25"")"),90)</f>
        <v>90</v>
      </c>
      <c r="J102" s="959">
        <v>90</v>
      </c>
      <c r="K102" s="831">
        <f t="shared" ref="K102:K104" ca="1" si="56">IF(I102&gt;0,J102*100/I102,0)</f>
        <v>100</v>
      </c>
      <c r="L102" s="831"/>
      <c r="M102" s="831"/>
      <c r="N102" s="831"/>
      <c r="O102" s="945"/>
      <c r="P102" s="945"/>
    </row>
    <row r="103" spans="1:16" ht="19.5">
      <c r="A103" s="949"/>
      <c r="B103" s="950"/>
      <c r="C103" s="950"/>
      <c r="D103" s="957"/>
      <c r="E103" s="956" t="s">
        <v>51</v>
      </c>
      <c r="F103" s="957"/>
      <c r="G103" s="958"/>
      <c r="H103" s="590" t="s">
        <v>35</v>
      </c>
      <c r="I103" s="830">
        <f ca="1">IFERROR(__xludf.DUMMYFUNCTION("IMPORTRANGE(""https://docs.google.com/spreadsheets/d/1QqKyyYR6Q21VydFLVH3TRQUabQu_ym0Zz7PgGX0-kHA/edit?usp=sharing"",""แผน!O25"")"),30)</f>
        <v>30</v>
      </c>
      <c r="J103" s="959">
        <v>30</v>
      </c>
      <c r="K103" s="831">
        <f t="shared" ca="1" si="56"/>
        <v>100</v>
      </c>
      <c r="L103" s="831"/>
      <c r="M103" s="831"/>
      <c r="N103" s="831"/>
      <c r="O103" s="945"/>
      <c r="P103" s="945"/>
    </row>
    <row r="104" spans="1:16" ht="18.75">
      <c r="A104" s="949"/>
      <c r="B104" s="950"/>
      <c r="C104" s="950"/>
      <c r="D104" s="957"/>
      <c r="E104" s="962" t="s">
        <v>52</v>
      </c>
      <c r="F104" s="957"/>
      <c r="G104" s="958"/>
      <c r="H104" s="590" t="s">
        <v>35</v>
      </c>
      <c r="I104" s="830">
        <f ca="1">IFERROR(__xludf.DUMMYFUNCTION("IMPORTRANGE(""https://docs.google.com/spreadsheets/d/1QqKyyYR6Q21VydFLVH3TRQUabQu_ym0Zz7PgGX0-kHA/edit?usp=sharing"",""แผน!O25"")"),30)</f>
        <v>30</v>
      </c>
      <c r="J104" s="959">
        <v>30</v>
      </c>
      <c r="K104" s="831">
        <f t="shared" ca="1" si="56"/>
        <v>100</v>
      </c>
      <c r="L104" s="831"/>
      <c r="M104" s="831"/>
      <c r="N104" s="831"/>
      <c r="O104" s="945"/>
      <c r="P104" s="945"/>
    </row>
    <row r="105" spans="1:16" ht="19.5">
      <c r="A105" s="949"/>
      <c r="B105" s="950"/>
      <c r="C105" s="950"/>
      <c r="D105" s="957"/>
      <c r="E105" s="960" t="s">
        <v>53</v>
      </c>
      <c r="F105" s="957"/>
      <c r="G105" s="958"/>
      <c r="H105" s="963"/>
      <c r="I105" s="830"/>
      <c r="J105" s="830"/>
      <c r="K105" s="831"/>
      <c r="L105" s="831"/>
      <c r="M105" s="831"/>
      <c r="N105" s="831"/>
      <c r="O105" s="945"/>
      <c r="P105" s="945"/>
    </row>
    <row r="106" spans="1:16" ht="19.5">
      <c r="A106" s="949"/>
      <c r="B106" s="950"/>
      <c r="C106" s="950"/>
      <c r="D106" s="957"/>
      <c r="E106" s="956" t="s">
        <v>54</v>
      </c>
      <c r="F106" s="957"/>
      <c r="G106" s="958"/>
      <c r="H106" s="590" t="s">
        <v>49</v>
      </c>
      <c r="I106" s="830">
        <f ca="1">IFERROR(__xludf.DUMMYFUNCTION("IMPORTRANGE(""https://docs.google.com/spreadsheets/d/1QqKyyYR6Q21VydFLVH3TRQUabQu_ym0Zz7PgGX0-kHA/edit?usp=sharing"",""แผน!P25"")"),0)</f>
        <v>0</v>
      </c>
      <c r="J106" s="959">
        <v>0</v>
      </c>
      <c r="K106" s="831">
        <f t="shared" ref="K106:K107" ca="1" si="57">IF(I106&gt;0,J106*100/I106,0)</f>
        <v>0</v>
      </c>
      <c r="L106" s="831"/>
      <c r="M106" s="831"/>
      <c r="N106" s="831"/>
      <c r="O106" s="945"/>
      <c r="P106" s="945"/>
    </row>
    <row r="107" spans="1:16" ht="18.75">
      <c r="A107" s="949"/>
      <c r="B107" s="950"/>
      <c r="C107" s="950"/>
      <c r="D107" s="957"/>
      <c r="E107" s="962" t="s">
        <v>55</v>
      </c>
      <c r="F107" s="957"/>
      <c r="G107" s="958"/>
      <c r="H107" s="590" t="s">
        <v>49</v>
      </c>
      <c r="I107" s="830">
        <f ca="1">IFERROR(__xludf.DUMMYFUNCTION("IMPORTRANGE(""https://docs.google.com/spreadsheets/d/1QqKyyYR6Q21VydFLVH3TRQUabQu_ym0Zz7PgGX0-kHA/edit?usp=sharing"",""แผน!P25"")"),0)</f>
        <v>0</v>
      </c>
      <c r="J107" s="959">
        <v>0</v>
      </c>
      <c r="K107" s="831">
        <f t="shared" ca="1" si="57"/>
        <v>0</v>
      </c>
      <c r="L107" s="831"/>
      <c r="M107" s="831"/>
      <c r="N107" s="831"/>
      <c r="O107" s="945"/>
      <c r="P107" s="945"/>
    </row>
    <row r="108" spans="1:16" ht="19.5">
      <c r="A108" s="949"/>
      <c r="B108" s="950"/>
      <c r="C108" s="950"/>
      <c r="D108" s="957"/>
      <c r="E108" s="960" t="s">
        <v>56</v>
      </c>
      <c r="F108" s="957"/>
      <c r="G108" s="958"/>
      <c r="H108" s="963"/>
      <c r="I108" s="830"/>
      <c r="J108" s="830"/>
      <c r="K108" s="831"/>
      <c r="L108" s="831"/>
      <c r="M108" s="831"/>
      <c r="N108" s="831"/>
      <c r="O108" s="945"/>
      <c r="P108" s="945"/>
    </row>
    <row r="109" spans="1:16" ht="19.5">
      <c r="A109" s="949"/>
      <c r="B109" s="950"/>
      <c r="C109" s="950"/>
      <c r="D109" s="957"/>
      <c r="E109" s="956" t="s">
        <v>57</v>
      </c>
      <c r="F109" s="957"/>
      <c r="G109" s="958"/>
      <c r="H109" s="590" t="s">
        <v>49</v>
      </c>
      <c r="I109" s="830">
        <f ca="1">IFERROR(__xludf.DUMMYFUNCTION("IMPORTRANGE(""https://docs.google.com/spreadsheets/d/1QqKyyYR6Q21VydFLVH3TRQUabQu_ym0Zz7PgGX0-kHA/edit?usp=sharing"",""แผน!Q25"")"),0)</f>
        <v>0</v>
      </c>
      <c r="J109" s="959">
        <v>0</v>
      </c>
      <c r="K109" s="831">
        <f t="shared" ref="K109:K116" ca="1" si="58">IF(I109&gt;0,J109*100/I109,0)</f>
        <v>0</v>
      </c>
      <c r="L109" s="831"/>
      <c r="M109" s="831"/>
      <c r="N109" s="831"/>
      <c r="O109" s="945"/>
      <c r="P109" s="945"/>
    </row>
    <row r="110" spans="1:16" ht="18.75">
      <c r="A110" s="949"/>
      <c r="B110" s="950"/>
      <c r="C110" s="950"/>
      <c r="D110" s="957"/>
      <c r="E110" s="964" t="s">
        <v>58</v>
      </c>
      <c r="F110" s="957"/>
      <c r="G110" s="958"/>
      <c r="H110" s="590" t="s">
        <v>49</v>
      </c>
      <c r="I110" s="830">
        <f ca="1">IFERROR(__xludf.DUMMYFUNCTION("IMPORTRANGE(""https://docs.google.com/spreadsheets/d/1QqKyyYR6Q21VydFLVH3TRQUabQu_ym0Zz7PgGX0-kHA/edit?usp=sharing"",""แผน!Q25"")"),0)</f>
        <v>0</v>
      </c>
      <c r="J110" s="959">
        <v>0</v>
      </c>
      <c r="K110" s="831">
        <f t="shared" ca="1" si="58"/>
        <v>0</v>
      </c>
      <c r="L110" s="831"/>
      <c r="M110" s="831"/>
      <c r="N110" s="831"/>
      <c r="O110" s="945"/>
      <c r="P110" s="945"/>
    </row>
    <row r="111" spans="1:16" ht="19.5">
      <c r="A111" s="949"/>
      <c r="B111" s="950"/>
      <c r="C111" s="950"/>
      <c r="D111" s="960" t="s">
        <v>59</v>
      </c>
      <c r="E111" s="960"/>
      <c r="F111" s="957"/>
      <c r="G111" s="958"/>
      <c r="H111" s="733" t="s">
        <v>35</v>
      </c>
      <c r="I111" s="965">
        <f ca="1">IFERROR(__xludf.DUMMYFUNCTION("IMPORTRANGE(""https://docs.google.com/spreadsheets/d/1QqKyyYR6Q21VydFLVH3TRQUabQu_ym0Zz7PgGX0-kHA/edit?usp=sharing"",""แผน!R25"")"),30)</f>
        <v>30</v>
      </c>
      <c r="J111" s="966">
        <f>J114</f>
        <v>30</v>
      </c>
      <c r="K111" s="967">
        <f t="shared" ca="1" si="58"/>
        <v>100</v>
      </c>
      <c r="L111" s="831"/>
      <c r="M111" s="831"/>
      <c r="N111" s="831"/>
      <c r="O111" s="945"/>
      <c r="P111" s="945"/>
    </row>
    <row r="112" spans="1:16" ht="19.5">
      <c r="A112" s="949"/>
      <c r="B112" s="950"/>
      <c r="C112" s="950"/>
      <c r="D112" s="950"/>
      <c r="E112" s="957"/>
      <c r="F112" s="957"/>
      <c r="G112" s="958"/>
      <c r="H112" s="196" t="s">
        <v>49</v>
      </c>
      <c r="I112" s="965">
        <f t="shared" ref="I112:J112" ca="1" si="59">I115+I116</f>
        <v>0</v>
      </c>
      <c r="J112" s="966">
        <f t="shared" si="59"/>
        <v>0</v>
      </c>
      <c r="K112" s="967">
        <f t="shared" ca="1" si="58"/>
        <v>0</v>
      </c>
      <c r="L112" s="831"/>
      <c r="M112" s="831"/>
      <c r="N112" s="831"/>
      <c r="O112" s="945"/>
      <c r="P112" s="945"/>
    </row>
    <row r="113" spans="1:26" ht="19.5">
      <c r="A113" s="949"/>
      <c r="B113" s="950"/>
      <c r="C113" s="950"/>
      <c r="D113" s="950"/>
      <c r="E113" s="968" t="s">
        <v>60</v>
      </c>
      <c r="F113" s="957"/>
      <c r="G113" s="958"/>
      <c r="H113" s="198" t="s">
        <v>35</v>
      </c>
      <c r="I113" s="944">
        <f ca="1">IFERROR(__xludf.DUMMYFUNCTION("IMPORTRANGE(""https://docs.google.com/spreadsheets/d/1QqKyyYR6Q21VydFLVH3TRQUabQu_ym0Zz7PgGX0-kHA/edit?usp=sharing"",""แผน!R25"")"),30)</f>
        <v>30</v>
      </c>
      <c r="J113" s="959">
        <v>30</v>
      </c>
      <c r="K113" s="831">
        <f t="shared" ca="1" si="58"/>
        <v>100</v>
      </c>
      <c r="L113" s="831"/>
      <c r="M113" s="831"/>
      <c r="N113" s="831"/>
      <c r="O113" s="945"/>
      <c r="P113" s="945"/>
    </row>
    <row r="114" spans="1:26" ht="19.5">
      <c r="A114" s="949"/>
      <c r="B114" s="950"/>
      <c r="C114" s="950"/>
      <c r="D114" s="950"/>
      <c r="E114" s="956" t="s">
        <v>61</v>
      </c>
      <c r="F114" s="957"/>
      <c r="G114" s="958"/>
      <c r="H114" s="199" t="s">
        <v>35</v>
      </c>
      <c r="I114" s="944">
        <f ca="1">IFERROR(__xludf.DUMMYFUNCTION("IMPORTRANGE(""https://docs.google.com/spreadsheets/d/1QqKyyYR6Q21VydFLVH3TRQUabQu_ym0Zz7PgGX0-kHA/edit?usp=sharing"",""แผน!R25"")"),30)</f>
        <v>30</v>
      </c>
      <c r="J114" s="959">
        <v>30</v>
      </c>
      <c r="K114" s="831">
        <f t="shared" ca="1" si="58"/>
        <v>100</v>
      </c>
      <c r="L114" s="831"/>
      <c r="M114" s="831"/>
      <c r="N114" s="831"/>
      <c r="O114" s="945"/>
      <c r="P114" s="945"/>
    </row>
    <row r="115" spans="1:26" ht="18.75">
      <c r="A115" s="949"/>
      <c r="B115" s="950"/>
      <c r="C115" s="950"/>
      <c r="D115" s="950"/>
      <c r="E115" s="956" t="s">
        <v>62</v>
      </c>
      <c r="F115" s="957"/>
      <c r="G115" s="958"/>
      <c r="H115" s="199" t="s">
        <v>49</v>
      </c>
      <c r="I115" s="944">
        <f ca="1">IFERROR(__xludf.DUMMYFUNCTION("IMPORTRANGE(""https://docs.google.com/spreadsheets/d/1QqKyyYR6Q21VydFLVH3TRQUabQu_ym0Zz7PgGX0-kHA/edit?usp=sharing"",""แผน!S25"")"),0)</f>
        <v>0</v>
      </c>
      <c r="J115" s="959">
        <v>0</v>
      </c>
      <c r="K115" s="831">
        <f t="shared" ca="1" si="58"/>
        <v>0</v>
      </c>
      <c r="L115" s="831"/>
      <c r="M115" s="831"/>
      <c r="N115" s="831"/>
      <c r="O115" s="945"/>
      <c r="P115" s="945"/>
    </row>
    <row r="116" spans="1:26" ht="18.75">
      <c r="A116" s="949"/>
      <c r="B116" s="950"/>
      <c r="C116" s="950"/>
      <c r="D116" s="950"/>
      <c r="E116" s="956" t="s">
        <v>63</v>
      </c>
      <c r="F116" s="957"/>
      <c r="G116" s="958"/>
      <c r="H116" s="199" t="s">
        <v>49</v>
      </c>
      <c r="I116" s="944">
        <f ca="1">IFERROR(__xludf.DUMMYFUNCTION("IMPORTRANGE(""https://docs.google.com/spreadsheets/d/1QqKyyYR6Q21VydFLVH3TRQUabQu_ym0Zz7PgGX0-kHA/edit?usp=sharing"",""แผน!T25"")"),0)</f>
        <v>0</v>
      </c>
      <c r="J116" s="959">
        <v>0</v>
      </c>
      <c r="K116" s="831">
        <f t="shared" ca="1" si="58"/>
        <v>0</v>
      </c>
      <c r="L116" s="831"/>
      <c r="M116" s="831"/>
      <c r="N116" s="831"/>
      <c r="O116" s="945"/>
      <c r="P116" s="945"/>
    </row>
    <row r="117" spans="1:26" ht="19.5" hidden="1">
      <c r="A117" s="917" t="s">
        <v>64</v>
      </c>
      <c r="B117" s="918"/>
      <c r="C117" s="969"/>
      <c r="D117" s="918"/>
      <c r="E117" s="918"/>
      <c r="F117" s="918"/>
      <c r="G117" s="918"/>
      <c r="H117" s="970"/>
      <c r="I117" s="971"/>
      <c r="J117" s="971"/>
      <c r="K117" s="972"/>
      <c r="L117" s="923"/>
      <c r="M117" s="923"/>
      <c r="N117" s="923"/>
      <c r="O117" s="923"/>
      <c r="P117" s="923"/>
    </row>
    <row r="118" spans="1:26" ht="19.5" hidden="1">
      <c r="A118" s="924"/>
      <c r="B118" s="925" t="s">
        <v>65</v>
      </c>
      <c r="C118" s="973"/>
      <c r="D118" s="927"/>
      <c r="E118" s="926"/>
      <c r="F118" s="926"/>
      <c r="G118" s="928"/>
      <c r="H118" s="205"/>
      <c r="I118" s="974"/>
      <c r="J118" s="974"/>
      <c r="K118" s="931"/>
      <c r="L118" s="931"/>
      <c r="M118" s="931"/>
      <c r="N118" s="931"/>
      <c r="O118" s="931"/>
      <c r="P118" s="931"/>
    </row>
    <row r="119" spans="1:26" ht="19.5" hidden="1">
      <c r="A119" s="932"/>
      <c r="B119" s="933"/>
      <c r="C119" s="934" t="s">
        <v>16</v>
      </c>
      <c r="D119" s="935" t="s">
        <v>17</v>
      </c>
      <c r="E119" s="933"/>
      <c r="F119" s="933"/>
      <c r="G119" s="936"/>
      <c r="H119" s="152" t="s">
        <v>12</v>
      </c>
      <c r="I119" s="937"/>
      <c r="J119" s="937"/>
      <c r="K119" s="938"/>
      <c r="L119" s="939">
        <f t="shared" ref="L119:N119" ca="1" si="60">L120+L121</f>
        <v>0</v>
      </c>
      <c r="M119" s="939">
        <f t="shared" ca="1" si="60"/>
        <v>0</v>
      </c>
      <c r="N119" s="939">
        <f t="shared" ca="1" si="60"/>
        <v>0</v>
      </c>
      <c r="O119" s="939">
        <f t="shared" ref="O119:O127" ca="1" si="61">IF(L119&gt;0,N119*100/L119,0)</f>
        <v>0</v>
      </c>
      <c r="P119" s="939">
        <f t="shared" ref="P119:P127" ca="1" si="62">IF(M119&gt;0,N119*100/M119,0)</f>
        <v>0</v>
      </c>
      <c r="Q119" s="818"/>
      <c r="R119" s="818"/>
      <c r="S119" s="818"/>
      <c r="T119" s="818"/>
      <c r="U119" s="818"/>
      <c r="V119" s="818"/>
      <c r="W119" s="818"/>
      <c r="X119" s="818"/>
      <c r="Y119" s="818"/>
      <c r="Z119" s="818"/>
    </row>
    <row r="120" spans="1:26" ht="18.75" hidden="1">
      <c r="A120" s="940"/>
      <c r="B120" s="833"/>
      <c r="C120" s="833"/>
      <c r="D120" s="833"/>
      <c r="E120" s="834" t="s">
        <v>18</v>
      </c>
      <c r="F120" s="833"/>
      <c r="G120" s="941"/>
      <c r="H120" s="158" t="s">
        <v>12</v>
      </c>
      <c r="I120" s="836"/>
      <c r="J120" s="836"/>
      <c r="K120" s="837"/>
      <c r="L120" s="837">
        <f t="shared" ref="L120:N121" si="63">L123+L126</f>
        <v>0</v>
      </c>
      <c r="M120" s="837">
        <f t="shared" si="63"/>
        <v>0</v>
      </c>
      <c r="N120" s="837">
        <f t="shared" si="63"/>
        <v>0</v>
      </c>
      <c r="O120" s="837">
        <f t="shared" si="61"/>
        <v>0</v>
      </c>
      <c r="P120" s="837">
        <f t="shared" si="62"/>
        <v>0</v>
      </c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</row>
    <row r="121" spans="1:26" ht="18.75" hidden="1">
      <c r="A121" s="940"/>
      <c r="B121" s="833"/>
      <c r="C121" s="833"/>
      <c r="D121" s="833"/>
      <c r="E121" s="834" t="s">
        <v>19</v>
      </c>
      <c r="F121" s="833"/>
      <c r="G121" s="941"/>
      <c r="H121" s="158" t="s">
        <v>12</v>
      </c>
      <c r="I121" s="836"/>
      <c r="J121" s="836"/>
      <c r="K121" s="837"/>
      <c r="L121" s="837">
        <f t="shared" ca="1" si="63"/>
        <v>0</v>
      </c>
      <c r="M121" s="837">
        <f t="shared" ca="1" si="63"/>
        <v>0</v>
      </c>
      <c r="N121" s="837">
        <f t="shared" ca="1" si="63"/>
        <v>0</v>
      </c>
      <c r="O121" s="837">
        <f t="shared" ca="1" si="61"/>
        <v>0</v>
      </c>
      <c r="P121" s="837">
        <f t="shared" ca="1" si="62"/>
        <v>0</v>
      </c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</row>
    <row r="122" spans="1:26" ht="18.75" hidden="1">
      <c r="A122" s="942"/>
      <c r="B122" s="827"/>
      <c r="C122" s="943"/>
      <c r="D122" s="828" t="s">
        <v>20</v>
      </c>
      <c r="E122" s="827"/>
      <c r="F122" s="827"/>
      <c r="G122" s="829"/>
      <c r="H122" s="778" t="s">
        <v>12</v>
      </c>
      <c r="I122" s="944"/>
      <c r="J122" s="944"/>
      <c r="K122" s="945"/>
      <c r="L122" s="831">
        <f t="shared" ref="L122:N122" ca="1" si="64">L123+L124</f>
        <v>0</v>
      </c>
      <c r="M122" s="831">
        <f t="shared" ca="1" si="64"/>
        <v>0</v>
      </c>
      <c r="N122" s="831">
        <f t="shared" ca="1" si="64"/>
        <v>0</v>
      </c>
      <c r="O122" s="831">
        <f t="shared" ca="1" si="61"/>
        <v>0</v>
      </c>
      <c r="P122" s="831">
        <f t="shared" ca="1" si="62"/>
        <v>0</v>
      </c>
      <c r="Q122" s="818"/>
      <c r="R122" s="818"/>
      <c r="S122" s="818"/>
      <c r="T122" s="818"/>
      <c r="U122" s="818"/>
      <c r="V122" s="818"/>
      <c r="W122" s="818"/>
      <c r="X122" s="818"/>
      <c r="Y122" s="818"/>
      <c r="Z122" s="818"/>
    </row>
    <row r="123" spans="1:26" ht="18.75" hidden="1">
      <c r="A123" s="940"/>
      <c r="B123" s="833"/>
      <c r="C123" s="834"/>
      <c r="D123" s="833"/>
      <c r="E123" s="834" t="s">
        <v>36</v>
      </c>
      <c r="F123" s="833"/>
      <c r="G123" s="941"/>
      <c r="H123" s="165" t="s">
        <v>12</v>
      </c>
      <c r="I123" s="947"/>
      <c r="J123" s="947"/>
      <c r="K123" s="948"/>
      <c r="L123" s="837">
        <v>0</v>
      </c>
      <c r="M123" s="837">
        <v>0</v>
      </c>
      <c r="N123" s="837">
        <v>0</v>
      </c>
      <c r="O123" s="837">
        <f t="shared" si="61"/>
        <v>0</v>
      </c>
      <c r="P123" s="837">
        <f t="shared" si="62"/>
        <v>0</v>
      </c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</row>
    <row r="124" spans="1:26" ht="18.75" hidden="1">
      <c r="A124" s="940"/>
      <c r="B124" s="833"/>
      <c r="C124" s="834"/>
      <c r="D124" s="833"/>
      <c r="E124" s="834" t="s">
        <v>37</v>
      </c>
      <c r="F124" s="833"/>
      <c r="G124" s="941"/>
      <c r="H124" s="165" t="s">
        <v>12</v>
      </c>
      <c r="I124" s="947"/>
      <c r="J124" s="947"/>
      <c r="K124" s="948"/>
      <c r="L124" s="837">
        <f ca="1">IFERROR(__xludf.DUMMYFUNCTION("IMPORTRANGE(""https://docs.google.com/spreadsheets/d/1MeEWN-I1oV_STSDYn1IFDPWt_1FKiwhDph83XaGc0o0/edit?usp=sharing"",""งบพรบ!BA25"")"),0)</f>
        <v>0</v>
      </c>
      <c r="M124" s="837">
        <f ca="1">IFERROR(__xludf.DUMMYFUNCTION("IMPORTRANGE(""https://docs.google.com/spreadsheets/d/1MeEWN-I1oV_STSDYn1IFDPWt_1FKiwhDph83XaGc0o0/edit?usp=sharing"",""งบพรบ!BF25"")"),0)</f>
        <v>0</v>
      </c>
      <c r="N124" s="837">
        <f ca="1">IFERROR(__xludf.DUMMYFUNCTION("IMPORTRANGE(""https://docs.google.com/spreadsheets/d/1MeEWN-I1oV_STSDYn1IFDPWt_1FKiwhDph83XaGc0o0/edit?usp=sharing"",""งบพรบ!BH25"")"),0)</f>
        <v>0</v>
      </c>
      <c r="O124" s="837">
        <f t="shared" ca="1" si="61"/>
        <v>0</v>
      </c>
      <c r="P124" s="837">
        <f t="shared" ca="1" si="62"/>
        <v>0</v>
      </c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</row>
    <row r="125" spans="1:26" ht="18.75" hidden="1">
      <c r="A125" s="942"/>
      <c r="B125" s="827"/>
      <c r="C125" s="943"/>
      <c r="D125" s="828" t="s">
        <v>21</v>
      </c>
      <c r="E125" s="827"/>
      <c r="F125" s="827"/>
      <c r="G125" s="829"/>
      <c r="H125" s="168" t="s">
        <v>12</v>
      </c>
      <c r="I125" s="944"/>
      <c r="J125" s="944"/>
      <c r="K125" s="945"/>
      <c r="L125" s="831">
        <f t="shared" ref="L125:N125" ca="1" si="65">L126+L127</f>
        <v>0</v>
      </c>
      <c r="M125" s="831">
        <f t="shared" ca="1" si="65"/>
        <v>0</v>
      </c>
      <c r="N125" s="831">
        <f t="shared" ca="1" si="65"/>
        <v>0</v>
      </c>
      <c r="O125" s="831">
        <f t="shared" ca="1" si="61"/>
        <v>0</v>
      </c>
      <c r="P125" s="831">
        <f t="shared" ca="1" si="62"/>
        <v>0</v>
      </c>
      <c r="Q125" s="818"/>
      <c r="R125" s="818"/>
      <c r="S125" s="818"/>
      <c r="T125" s="818"/>
      <c r="U125" s="818"/>
      <c r="V125" s="818"/>
      <c r="W125" s="818"/>
      <c r="X125" s="818"/>
      <c r="Y125" s="818"/>
      <c r="Z125" s="818"/>
    </row>
    <row r="126" spans="1:26" ht="19.5" hidden="1">
      <c r="A126" s="940"/>
      <c r="B126" s="833"/>
      <c r="C126" s="946"/>
      <c r="D126" s="833"/>
      <c r="E126" s="834" t="s">
        <v>18</v>
      </c>
      <c r="F126" s="833"/>
      <c r="G126" s="941"/>
      <c r="H126" s="165" t="s">
        <v>12</v>
      </c>
      <c r="I126" s="947"/>
      <c r="J126" s="947"/>
      <c r="K126" s="948"/>
      <c r="L126" s="837">
        <v>0</v>
      </c>
      <c r="M126" s="837">
        <v>0</v>
      </c>
      <c r="N126" s="837">
        <v>0</v>
      </c>
      <c r="O126" s="837">
        <f t="shared" si="61"/>
        <v>0</v>
      </c>
      <c r="P126" s="837">
        <f t="shared" si="62"/>
        <v>0</v>
      </c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</row>
    <row r="127" spans="1:26" ht="19.5" hidden="1">
      <c r="A127" s="940"/>
      <c r="B127" s="833"/>
      <c r="C127" s="946"/>
      <c r="D127" s="833"/>
      <c r="E127" s="834" t="s">
        <v>19</v>
      </c>
      <c r="F127" s="833"/>
      <c r="G127" s="941"/>
      <c r="H127" s="169" t="s">
        <v>12</v>
      </c>
      <c r="I127" s="947"/>
      <c r="J127" s="947"/>
      <c r="K127" s="948"/>
      <c r="L127" s="837">
        <f ca="1">IFERROR(__xludf.DUMMYFUNCTION("IMPORTRANGE(""https://docs.google.com/spreadsheets/d/1MeEWN-I1oV_STSDYn1IFDPWt_1FKiwhDph83XaGc0o0/edit?usp=sharing"",""งบพรบ!BD25"")"),0)</f>
        <v>0</v>
      </c>
      <c r="M127" s="837">
        <f ca="1">IFERROR(__xludf.DUMMYFUNCTION("IMPORTRANGE(""https://docs.google.com/spreadsheets/d/1MeEWN-I1oV_STSDYn1IFDPWt_1FKiwhDph83XaGc0o0/edit?usp=sharing"",""งบพรบ!BG25"")"),0)</f>
        <v>0</v>
      </c>
      <c r="N127" s="837">
        <f ca="1">IFERROR(__xludf.DUMMYFUNCTION("IMPORTRANGE(""https://docs.google.com/spreadsheets/d/1MeEWN-I1oV_STSDYn1IFDPWt_1FKiwhDph83XaGc0o0/edit?usp=sharing"",""งบพรบ!BI25"")"),0)</f>
        <v>0</v>
      </c>
      <c r="O127" s="837">
        <f t="shared" ca="1" si="61"/>
        <v>0</v>
      </c>
      <c r="P127" s="837">
        <f t="shared" ca="1" si="62"/>
        <v>0</v>
      </c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</row>
    <row r="128" spans="1:26" ht="19.5" hidden="1">
      <c r="A128" s="917" t="s">
        <v>67</v>
      </c>
      <c r="B128" s="918"/>
      <c r="C128" s="969"/>
      <c r="D128" s="918"/>
      <c r="E128" s="918"/>
      <c r="F128" s="918"/>
      <c r="G128" s="918"/>
      <c r="H128" s="970"/>
      <c r="I128" s="971"/>
      <c r="J128" s="971"/>
      <c r="K128" s="972"/>
      <c r="L128" s="923"/>
      <c r="M128" s="923"/>
      <c r="N128" s="923"/>
      <c r="O128" s="923"/>
      <c r="P128" s="923"/>
    </row>
    <row r="129" spans="1:26" ht="19.5" hidden="1">
      <c r="A129" s="924"/>
      <c r="B129" s="925" t="s">
        <v>68</v>
      </c>
      <c r="C129" s="973"/>
      <c r="D129" s="927"/>
      <c r="E129" s="926"/>
      <c r="F129" s="926"/>
      <c r="G129" s="926"/>
      <c r="H129" s="207"/>
      <c r="I129" s="974"/>
      <c r="J129" s="974"/>
      <c r="K129" s="931"/>
      <c r="L129" s="931"/>
      <c r="M129" s="931"/>
      <c r="N129" s="931"/>
      <c r="O129" s="931"/>
      <c r="P129" s="931"/>
    </row>
    <row r="130" spans="1:26" ht="19.5" hidden="1">
      <c r="A130" s="924"/>
      <c r="B130" s="925"/>
      <c r="C130" s="975" t="s">
        <v>69</v>
      </c>
      <c r="D130" s="927"/>
      <c r="E130" s="926"/>
      <c r="F130" s="926"/>
      <c r="G130" s="928"/>
      <c r="H130" s="205" t="s">
        <v>66</v>
      </c>
      <c r="I130" s="929">
        <f t="shared" ref="I130:J130" ca="1" si="66">I146</f>
        <v>0</v>
      </c>
      <c r="J130" s="929">
        <f t="shared" si="66"/>
        <v>0</v>
      </c>
      <c r="K130" s="930">
        <f t="shared" ref="K130:K131" ca="1" si="67">IF(I130&gt;0,J130*100/I130,0)</f>
        <v>0</v>
      </c>
      <c r="L130" s="931"/>
      <c r="M130" s="931"/>
      <c r="N130" s="931"/>
      <c r="O130" s="931"/>
      <c r="P130" s="931"/>
    </row>
    <row r="131" spans="1:26" ht="19.5" hidden="1">
      <c r="A131" s="924"/>
      <c r="B131" s="925"/>
      <c r="C131" s="975" t="s">
        <v>70</v>
      </c>
      <c r="D131" s="927"/>
      <c r="E131" s="926"/>
      <c r="F131" s="926"/>
      <c r="G131" s="928"/>
      <c r="H131" s="205" t="s">
        <v>35</v>
      </c>
      <c r="I131" s="929">
        <f t="shared" ref="I131:J131" ca="1" si="68">I143</f>
        <v>0</v>
      </c>
      <c r="J131" s="929">
        <f t="shared" ca="1" si="68"/>
        <v>0</v>
      </c>
      <c r="K131" s="930">
        <f t="shared" ca="1" si="67"/>
        <v>0</v>
      </c>
      <c r="L131" s="931"/>
      <c r="M131" s="931"/>
      <c r="N131" s="931"/>
      <c r="O131" s="931"/>
      <c r="P131" s="931"/>
    </row>
    <row r="132" spans="1:26" ht="19.5" hidden="1">
      <c r="A132" s="932"/>
      <c r="B132" s="933"/>
      <c r="C132" s="934" t="s">
        <v>16</v>
      </c>
      <c r="D132" s="935" t="s">
        <v>17</v>
      </c>
      <c r="E132" s="933"/>
      <c r="F132" s="933"/>
      <c r="G132" s="936"/>
      <c r="H132" s="152" t="s">
        <v>12</v>
      </c>
      <c r="I132" s="937"/>
      <c r="J132" s="937"/>
      <c r="K132" s="938"/>
      <c r="L132" s="939">
        <f t="shared" ref="L132:N132" ca="1" si="69">L133+L134</f>
        <v>0</v>
      </c>
      <c r="M132" s="939">
        <f t="shared" ca="1" si="69"/>
        <v>0</v>
      </c>
      <c r="N132" s="939">
        <f t="shared" ca="1" si="69"/>
        <v>0</v>
      </c>
      <c r="O132" s="939">
        <f t="shared" ref="O132:O140" ca="1" si="70">IF(L132&gt;0,N132*100/L132,0)</f>
        <v>0</v>
      </c>
      <c r="P132" s="939">
        <f t="shared" ref="P132:P140" ca="1" si="71">IF(M132&gt;0,N132*100/M132,0)</f>
        <v>0</v>
      </c>
      <c r="Q132" s="818"/>
      <c r="R132" s="818"/>
      <c r="S132" s="818"/>
      <c r="T132" s="818"/>
      <c r="U132" s="818"/>
      <c r="V132" s="818"/>
      <c r="W132" s="818"/>
      <c r="X132" s="818"/>
      <c r="Y132" s="818"/>
      <c r="Z132" s="818"/>
    </row>
    <row r="133" spans="1:26" ht="18.75" hidden="1">
      <c r="A133" s="940"/>
      <c r="B133" s="833"/>
      <c r="C133" s="833"/>
      <c r="D133" s="833"/>
      <c r="E133" s="834" t="s">
        <v>18</v>
      </c>
      <c r="F133" s="833"/>
      <c r="G133" s="941"/>
      <c r="H133" s="158" t="s">
        <v>12</v>
      </c>
      <c r="I133" s="836"/>
      <c r="J133" s="836"/>
      <c r="K133" s="837"/>
      <c r="L133" s="837">
        <f t="shared" ref="L133:N134" si="72">L136+L139</f>
        <v>0</v>
      </c>
      <c r="M133" s="837">
        <f t="shared" si="72"/>
        <v>0</v>
      </c>
      <c r="N133" s="837">
        <f t="shared" si="72"/>
        <v>0</v>
      </c>
      <c r="O133" s="837">
        <f t="shared" si="70"/>
        <v>0</v>
      </c>
      <c r="P133" s="837">
        <f t="shared" si="71"/>
        <v>0</v>
      </c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</row>
    <row r="134" spans="1:26" ht="18.75" hidden="1">
      <c r="A134" s="940"/>
      <c r="B134" s="833"/>
      <c r="C134" s="833"/>
      <c r="D134" s="833"/>
      <c r="E134" s="834" t="s">
        <v>19</v>
      </c>
      <c r="F134" s="833"/>
      <c r="G134" s="941"/>
      <c r="H134" s="158" t="s">
        <v>12</v>
      </c>
      <c r="I134" s="836"/>
      <c r="J134" s="836"/>
      <c r="K134" s="837"/>
      <c r="L134" s="837">
        <f t="shared" ca="1" si="72"/>
        <v>0</v>
      </c>
      <c r="M134" s="837">
        <f t="shared" ca="1" si="72"/>
        <v>0</v>
      </c>
      <c r="N134" s="837">
        <f t="shared" ca="1" si="72"/>
        <v>0</v>
      </c>
      <c r="O134" s="837">
        <f t="shared" ca="1" si="70"/>
        <v>0</v>
      </c>
      <c r="P134" s="837">
        <f t="shared" ca="1" si="71"/>
        <v>0</v>
      </c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</row>
    <row r="135" spans="1:26" ht="18.75" hidden="1">
      <c r="A135" s="942"/>
      <c r="B135" s="827"/>
      <c r="C135" s="943"/>
      <c r="D135" s="828" t="s">
        <v>20</v>
      </c>
      <c r="E135" s="827"/>
      <c r="F135" s="827"/>
      <c r="G135" s="829"/>
      <c r="H135" s="778" t="s">
        <v>12</v>
      </c>
      <c r="I135" s="944"/>
      <c r="J135" s="944"/>
      <c r="K135" s="945"/>
      <c r="L135" s="831">
        <f t="shared" ref="L135:N135" ca="1" si="73">L136+L137</f>
        <v>0</v>
      </c>
      <c r="M135" s="831">
        <f t="shared" ca="1" si="73"/>
        <v>0</v>
      </c>
      <c r="N135" s="831">
        <f t="shared" ca="1" si="73"/>
        <v>0</v>
      </c>
      <c r="O135" s="831">
        <f t="shared" ca="1" si="70"/>
        <v>0</v>
      </c>
      <c r="P135" s="831">
        <f t="shared" ca="1" si="71"/>
        <v>0</v>
      </c>
      <c r="Q135" s="818"/>
      <c r="R135" s="818"/>
      <c r="S135" s="818"/>
      <c r="T135" s="818"/>
      <c r="U135" s="818"/>
      <c r="V135" s="818"/>
      <c r="W135" s="818"/>
      <c r="X135" s="818"/>
      <c r="Y135" s="818"/>
      <c r="Z135" s="818"/>
    </row>
    <row r="136" spans="1:26" ht="19.5" hidden="1">
      <c r="A136" s="940"/>
      <c r="B136" s="833"/>
      <c r="C136" s="946"/>
      <c r="D136" s="833"/>
      <c r="E136" s="834" t="s">
        <v>36</v>
      </c>
      <c r="F136" s="833"/>
      <c r="G136" s="941"/>
      <c r="H136" s="165" t="s">
        <v>12</v>
      </c>
      <c r="I136" s="947"/>
      <c r="J136" s="947"/>
      <c r="K136" s="948"/>
      <c r="L136" s="837">
        <v>0</v>
      </c>
      <c r="M136" s="837">
        <v>0</v>
      </c>
      <c r="N136" s="837">
        <v>0</v>
      </c>
      <c r="O136" s="837">
        <f t="shared" si="70"/>
        <v>0</v>
      </c>
      <c r="P136" s="837">
        <f t="shared" si="71"/>
        <v>0</v>
      </c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</row>
    <row r="137" spans="1:26" ht="19.5" hidden="1">
      <c r="A137" s="940"/>
      <c r="B137" s="833"/>
      <c r="C137" s="946"/>
      <c r="D137" s="833"/>
      <c r="E137" s="834" t="s">
        <v>37</v>
      </c>
      <c r="F137" s="833"/>
      <c r="G137" s="941"/>
      <c r="H137" s="165" t="s">
        <v>12</v>
      </c>
      <c r="I137" s="947"/>
      <c r="J137" s="947"/>
      <c r="K137" s="948"/>
      <c r="L137" s="837">
        <f ca="1">IFERROR(__xludf.DUMMYFUNCTION("IMPORTRANGE(""https://docs.google.com/spreadsheets/d/1MeEWN-I1oV_STSDYn1IFDPWt_1FKiwhDph83XaGc0o0/edit?usp=sharing"",""งบพรบ!BK25"")"),0)</f>
        <v>0</v>
      </c>
      <c r="M137" s="837">
        <f ca="1">IFERROR(__xludf.DUMMYFUNCTION("IMPORTRANGE(""https://docs.google.com/spreadsheets/d/1MeEWN-I1oV_STSDYn1IFDPWt_1FKiwhDph83XaGc0o0/edit?usp=sharing"",""งบพรบ!BP25"")"),0)</f>
        <v>0</v>
      </c>
      <c r="N137" s="837">
        <f ca="1">IFERROR(__xludf.DUMMYFUNCTION("IMPORTRANGE(""https://docs.google.com/spreadsheets/d/1MeEWN-I1oV_STSDYn1IFDPWt_1FKiwhDph83XaGc0o0/edit?usp=sharing"",""งบพรบ!BR25"")"),0)</f>
        <v>0</v>
      </c>
      <c r="O137" s="837">
        <f t="shared" ca="1" si="70"/>
        <v>0</v>
      </c>
      <c r="P137" s="837">
        <f t="shared" ca="1" si="71"/>
        <v>0</v>
      </c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</row>
    <row r="138" spans="1:26" ht="18.75" hidden="1">
      <c r="A138" s="942"/>
      <c r="B138" s="827"/>
      <c r="C138" s="943"/>
      <c r="D138" s="828" t="s">
        <v>21</v>
      </c>
      <c r="E138" s="827"/>
      <c r="F138" s="827"/>
      <c r="G138" s="829"/>
      <c r="H138" s="168" t="s">
        <v>12</v>
      </c>
      <c r="I138" s="944"/>
      <c r="J138" s="944"/>
      <c r="K138" s="945"/>
      <c r="L138" s="831">
        <f t="shared" ref="L138:N138" ca="1" si="74">L139+L140</f>
        <v>0</v>
      </c>
      <c r="M138" s="831">
        <f t="shared" ca="1" si="74"/>
        <v>0</v>
      </c>
      <c r="N138" s="831">
        <f t="shared" ca="1" si="74"/>
        <v>0</v>
      </c>
      <c r="O138" s="831">
        <f t="shared" ca="1" si="70"/>
        <v>0</v>
      </c>
      <c r="P138" s="831">
        <f t="shared" ca="1" si="71"/>
        <v>0</v>
      </c>
      <c r="Q138" s="818"/>
      <c r="R138" s="818"/>
      <c r="S138" s="818"/>
      <c r="T138" s="818"/>
      <c r="U138" s="818"/>
      <c r="V138" s="818"/>
      <c r="W138" s="818"/>
      <c r="X138" s="818"/>
      <c r="Y138" s="818"/>
      <c r="Z138" s="818"/>
    </row>
    <row r="139" spans="1:26" ht="19.5" hidden="1">
      <c r="A139" s="940"/>
      <c r="B139" s="833"/>
      <c r="C139" s="946"/>
      <c r="D139" s="833"/>
      <c r="E139" s="834" t="s">
        <v>18</v>
      </c>
      <c r="F139" s="833"/>
      <c r="G139" s="941"/>
      <c r="H139" s="165" t="s">
        <v>12</v>
      </c>
      <c r="I139" s="947"/>
      <c r="J139" s="947"/>
      <c r="K139" s="948"/>
      <c r="L139" s="837">
        <v>0</v>
      </c>
      <c r="M139" s="837">
        <v>0</v>
      </c>
      <c r="N139" s="837">
        <v>0</v>
      </c>
      <c r="O139" s="837">
        <f t="shared" si="70"/>
        <v>0</v>
      </c>
      <c r="P139" s="837">
        <f t="shared" si="71"/>
        <v>0</v>
      </c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</row>
    <row r="140" spans="1:26" ht="19.5" hidden="1">
      <c r="A140" s="940"/>
      <c r="B140" s="833"/>
      <c r="C140" s="946"/>
      <c r="D140" s="833"/>
      <c r="E140" s="834" t="s">
        <v>19</v>
      </c>
      <c r="F140" s="833"/>
      <c r="G140" s="941"/>
      <c r="H140" s="169" t="s">
        <v>12</v>
      </c>
      <c r="I140" s="947"/>
      <c r="J140" s="947"/>
      <c r="K140" s="948"/>
      <c r="L140" s="837">
        <f ca="1">IFERROR(__xludf.DUMMYFUNCTION("IMPORTRANGE(""https://docs.google.com/spreadsheets/d/1MeEWN-I1oV_STSDYn1IFDPWt_1FKiwhDph83XaGc0o0/edit?usp=sharing"",""งบพรบ!BN25"")"),0)</f>
        <v>0</v>
      </c>
      <c r="M140" s="837">
        <f ca="1">IFERROR(__xludf.DUMMYFUNCTION("IMPORTRANGE(""https://docs.google.com/spreadsheets/d/1MeEWN-I1oV_STSDYn1IFDPWt_1FKiwhDph83XaGc0o0/edit?usp=sharing"",""งบพรบ!BQ25"")"),0)</f>
        <v>0</v>
      </c>
      <c r="N140" s="837">
        <f ca="1">IFERROR(__xludf.DUMMYFUNCTION("IMPORTRANGE(""https://docs.google.com/spreadsheets/d/1MeEWN-I1oV_STSDYn1IFDPWt_1FKiwhDph83XaGc0o0/edit?usp=sharing"",""งบพรบ!BS25"")"),0)</f>
        <v>0</v>
      </c>
      <c r="O140" s="837">
        <f t="shared" ca="1" si="70"/>
        <v>0</v>
      </c>
      <c r="P140" s="837">
        <f t="shared" ca="1" si="71"/>
        <v>0</v>
      </c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</row>
    <row r="141" spans="1:26" ht="19.5" hidden="1">
      <c r="A141" s="949"/>
      <c r="B141" s="950"/>
      <c r="C141" s="934" t="s">
        <v>16</v>
      </c>
      <c r="D141" s="951" t="s">
        <v>38</v>
      </c>
      <c r="E141" s="952"/>
      <c r="F141" s="952"/>
      <c r="G141" s="953"/>
      <c r="H141" s="168"/>
      <c r="I141" s="830"/>
      <c r="J141" s="830"/>
      <c r="K141" s="831"/>
      <c r="L141" s="831"/>
      <c r="M141" s="831"/>
      <c r="N141" s="831"/>
      <c r="O141" s="831"/>
      <c r="P141" s="831"/>
    </row>
    <row r="142" spans="1:26" ht="19.5" hidden="1">
      <c r="A142" s="942"/>
      <c r="B142" s="827"/>
      <c r="C142" s="976"/>
      <c r="D142" s="943" t="s">
        <v>71</v>
      </c>
      <c r="E142" s="828"/>
      <c r="F142" s="827"/>
      <c r="G142" s="977"/>
      <c r="H142" s="168"/>
      <c r="I142" s="830"/>
      <c r="J142" s="959">
        <v>0</v>
      </c>
      <c r="K142" s="831"/>
      <c r="L142" s="831"/>
      <c r="M142" s="831"/>
      <c r="N142" s="831"/>
      <c r="O142" s="831"/>
      <c r="P142" s="831"/>
    </row>
    <row r="143" spans="1:26" ht="19.5" hidden="1">
      <c r="A143" s="942"/>
      <c r="B143" s="827"/>
      <c r="C143" s="976"/>
      <c r="D143" s="943" t="s">
        <v>72</v>
      </c>
      <c r="E143" s="828"/>
      <c r="F143" s="827"/>
      <c r="G143" s="977"/>
      <c r="H143" s="168" t="s">
        <v>35</v>
      </c>
      <c r="I143" s="830">
        <f ca="1">I145</f>
        <v>0</v>
      </c>
      <c r="J143" s="830">
        <f ca="1">IF(AND(J144&gt;=I144,J145&gt;=I145),J145,0)</f>
        <v>0</v>
      </c>
      <c r="K143" s="831">
        <f t="shared" ref="K143:K146" ca="1" si="75">IF(I143&gt;0,J143*100/I143,0)</f>
        <v>0</v>
      </c>
      <c r="L143" s="831"/>
      <c r="M143" s="831"/>
      <c r="N143" s="831"/>
      <c r="O143" s="831"/>
      <c r="P143" s="831"/>
    </row>
    <row r="144" spans="1:26" ht="19.5" hidden="1">
      <c r="A144" s="942"/>
      <c r="B144" s="827"/>
      <c r="C144" s="976"/>
      <c r="D144" s="957"/>
      <c r="E144" s="943" t="s">
        <v>73</v>
      </c>
      <c r="F144" s="827"/>
      <c r="G144" s="977"/>
      <c r="H144" s="168" t="s">
        <v>35</v>
      </c>
      <c r="I144" s="830">
        <f ca="1">IFERROR(__xludf.DUMMYFUNCTION("IMPORTRANGE(""https://docs.google.com/spreadsheets/d/1QqKyyYR6Q21VydFLVH3TRQUabQu_ym0Zz7PgGX0-kHA/edit?usp=sharing"",""แผน!U25"")"),0)</f>
        <v>0</v>
      </c>
      <c r="J144" s="959">
        <v>0</v>
      </c>
      <c r="K144" s="831">
        <f t="shared" ca="1" si="75"/>
        <v>0</v>
      </c>
      <c r="L144" s="831"/>
      <c r="M144" s="831"/>
      <c r="N144" s="831"/>
      <c r="O144" s="831"/>
      <c r="P144" s="831"/>
    </row>
    <row r="145" spans="1:26" ht="19.5" hidden="1">
      <c r="A145" s="942"/>
      <c r="B145" s="827"/>
      <c r="C145" s="976"/>
      <c r="D145" s="957"/>
      <c r="E145" s="943" t="s">
        <v>74</v>
      </c>
      <c r="F145" s="827"/>
      <c r="G145" s="977"/>
      <c r="H145" s="168" t="s">
        <v>35</v>
      </c>
      <c r="I145" s="830">
        <f ca="1">IFERROR(__xludf.DUMMYFUNCTION("IMPORTRANGE(""https://docs.google.com/spreadsheets/d/1QqKyyYR6Q21VydFLVH3TRQUabQu_ym0Zz7PgGX0-kHA/edit?usp=sharing"",""แผน!V25"")"),0)</f>
        <v>0</v>
      </c>
      <c r="J145" s="959">
        <v>0</v>
      </c>
      <c r="K145" s="831">
        <f t="shared" ca="1" si="75"/>
        <v>0</v>
      </c>
      <c r="L145" s="831"/>
      <c r="M145" s="831"/>
      <c r="N145" s="831"/>
      <c r="O145" s="831"/>
      <c r="P145" s="831"/>
    </row>
    <row r="146" spans="1:26" ht="19.5" hidden="1">
      <c r="A146" s="942"/>
      <c r="B146" s="827"/>
      <c r="C146" s="976"/>
      <c r="D146" s="943" t="s">
        <v>75</v>
      </c>
      <c r="E146" s="828"/>
      <c r="F146" s="827"/>
      <c r="G146" s="977"/>
      <c r="H146" s="168" t="s">
        <v>66</v>
      </c>
      <c r="I146" s="830">
        <f ca="1">IFERROR(__xludf.DUMMYFUNCTION("IMPORTRANGE(""https://docs.google.com/spreadsheets/d/1QqKyyYR6Q21VydFLVH3TRQUabQu_ym0Zz7PgGX0-kHA/edit?usp=sharing"",""แผน!W25"")"),0)</f>
        <v>0</v>
      </c>
      <c r="J146" s="959">
        <v>0</v>
      </c>
      <c r="K146" s="831">
        <f t="shared" ca="1" si="75"/>
        <v>0</v>
      </c>
      <c r="L146" s="831"/>
      <c r="M146" s="831"/>
      <c r="N146" s="831"/>
      <c r="O146" s="831"/>
      <c r="P146" s="831"/>
    </row>
    <row r="147" spans="1:26" ht="19.5">
      <c r="A147" s="917" t="s">
        <v>76</v>
      </c>
      <c r="B147" s="918"/>
      <c r="C147" s="969"/>
      <c r="D147" s="918"/>
      <c r="E147" s="918"/>
      <c r="F147" s="918"/>
      <c r="G147" s="918"/>
      <c r="H147" s="970"/>
      <c r="I147" s="971"/>
      <c r="J147" s="971"/>
      <c r="K147" s="972"/>
      <c r="L147" s="923"/>
      <c r="M147" s="923"/>
      <c r="N147" s="923"/>
      <c r="O147" s="923"/>
      <c r="P147" s="923"/>
    </row>
    <row r="148" spans="1:26" ht="19.5">
      <c r="A148" s="978"/>
      <c r="B148" s="925" t="s">
        <v>77</v>
      </c>
      <c r="C148" s="925"/>
      <c r="D148" s="925"/>
      <c r="E148" s="979"/>
      <c r="F148" s="980"/>
      <c r="G148" s="981"/>
      <c r="H148" s="221" t="s">
        <v>35</v>
      </c>
      <c r="I148" s="929">
        <f t="shared" ref="I148:J148" ca="1" si="76">I159</f>
        <v>20</v>
      </c>
      <c r="J148" s="929">
        <f t="shared" si="76"/>
        <v>5</v>
      </c>
      <c r="K148" s="930">
        <f ca="1">IF(I148&gt;0,J148*100/I148,0)</f>
        <v>25</v>
      </c>
      <c r="L148" s="930"/>
      <c r="M148" s="930"/>
      <c r="N148" s="930"/>
      <c r="O148" s="930"/>
      <c r="P148" s="930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32"/>
      <c r="B149" s="933"/>
      <c r="C149" s="934" t="s">
        <v>16</v>
      </c>
      <c r="D149" s="935" t="s">
        <v>17</v>
      </c>
      <c r="E149" s="933"/>
      <c r="F149" s="933"/>
      <c r="G149" s="936"/>
      <c r="H149" s="152" t="s">
        <v>12</v>
      </c>
      <c r="I149" s="937"/>
      <c r="J149" s="937"/>
      <c r="K149" s="938"/>
      <c r="L149" s="939">
        <f t="shared" ref="L149:N149" ca="1" si="77">L150+L151</f>
        <v>10000</v>
      </c>
      <c r="M149" s="939">
        <f t="shared" ca="1" si="77"/>
        <v>14880</v>
      </c>
      <c r="N149" s="939">
        <f t="shared" ca="1" si="77"/>
        <v>9500</v>
      </c>
      <c r="O149" s="939">
        <f t="shared" ref="O149:O157" ca="1" si="78">IF(L149&gt;0,N149*100/L149,0)</f>
        <v>95</v>
      </c>
      <c r="P149" s="939">
        <f t="shared" ref="P149:P157" ca="1" si="79">IF(M149&gt;0,N149*100/M149,0)</f>
        <v>63.844086021505376</v>
      </c>
      <c r="Q149" s="818"/>
      <c r="R149" s="818"/>
      <c r="S149" s="818"/>
      <c r="T149" s="818"/>
      <c r="U149" s="818"/>
      <c r="V149" s="818"/>
      <c r="W149" s="818"/>
      <c r="X149" s="818"/>
      <c r="Y149" s="818"/>
      <c r="Z149" s="818"/>
    </row>
    <row r="150" spans="1:26" ht="18.75" hidden="1">
      <c r="A150" s="940"/>
      <c r="B150" s="833"/>
      <c r="C150" s="833"/>
      <c r="D150" s="833"/>
      <c r="E150" s="834" t="s">
        <v>18</v>
      </c>
      <c r="F150" s="833"/>
      <c r="G150" s="941"/>
      <c r="H150" s="158" t="s">
        <v>12</v>
      </c>
      <c r="I150" s="836"/>
      <c r="J150" s="836"/>
      <c r="K150" s="837"/>
      <c r="L150" s="837">
        <f t="shared" ref="L150:N151" si="80">L153+L156</f>
        <v>0</v>
      </c>
      <c r="M150" s="837">
        <f t="shared" si="80"/>
        <v>0</v>
      </c>
      <c r="N150" s="837">
        <f t="shared" si="80"/>
        <v>0</v>
      </c>
      <c r="O150" s="837">
        <f t="shared" si="78"/>
        <v>0</v>
      </c>
      <c r="P150" s="837">
        <f t="shared" si="79"/>
        <v>0</v>
      </c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</row>
    <row r="151" spans="1:26" ht="18.75" hidden="1">
      <c r="A151" s="940"/>
      <c r="B151" s="833"/>
      <c r="C151" s="833"/>
      <c r="D151" s="833"/>
      <c r="E151" s="834" t="s">
        <v>19</v>
      </c>
      <c r="F151" s="833"/>
      <c r="G151" s="941"/>
      <c r="H151" s="158" t="s">
        <v>12</v>
      </c>
      <c r="I151" s="836"/>
      <c r="J151" s="836"/>
      <c r="K151" s="837"/>
      <c r="L151" s="837">
        <f t="shared" ca="1" si="80"/>
        <v>10000</v>
      </c>
      <c r="M151" s="837">
        <f t="shared" ca="1" si="80"/>
        <v>14880</v>
      </c>
      <c r="N151" s="837">
        <f t="shared" ca="1" si="80"/>
        <v>9500</v>
      </c>
      <c r="O151" s="837">
        <f t="shared" ca="1" si="78"/>
        <v>95</v>
      </c>
      <c r="P151" s="837">
        <f t="shared" ca="1" si="79"/>
        <v>63.844086021505376</v>
      </c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</row>
    <row r="152" spans="1:26" ht="18.75">
      <c r="A152" s="942"/>
      <c r="B152" s="827"/>
      <c r="C152" s="943"/>
      <c r="D152" s="828" t="s">
        <v>20</v>
      </c>
      <c r="E152" s="827"/>
      <c r="F152" s="827"/>
      <c r="G152" s="829"/>
      <c r="H152" s="778" t="s">
        <v>12</v>
      </c>
      <c r="I152" s="944"/>
      <c r="J152" s="944"/>
      <c r="K152" s="945"/>
      <c r="L152" s="831">
        <f t="shared" ref="L152:N152" ca="1" si="81">L153+L154</f>
        <v>10000</v>
      </c>
      <c r="M152" s="831">
        <f t="shared" ca="1" si="81"/>
        <v>14880</v>
      </c>
      <c r="N152" s="831">
        <f t="shared" ca="1" si="81"/>
        <v>9500</v>
      </c>
      <c r="O152" s="831">
        <f t="shared" ca="1" si="78"/>
        <v>95</v>
      </c>
      <c r="P152" s="831">
        <f t="shared" ca="1" si="79"/>
        <v>63.844086021505376</v>
      </c>
      <c r="Q152" s="818"/>
      <c r="R152" s="818"/>
      <c r="S152" s="818"/>
      <c r="T152" s="818"/>
      <c r="U152" s="818"/>
      <c r="V152" s="818"/>
      <c r="W152" s="818"/>
      <c r="X152" s="818"/>
      <c r="Y152" s="818"/>
      <c r="Z152" s="818"/>
    </row>
    <row r="153" spans="1:26" ht="19.5" hidden="1">
      <c r="A153" s="940"/>
      <c r="B153" s="833"/>
      <c r="C153" s="946"/>
      <c r="D153" s="833"/>
      <c r="E153" s="834" t="s">
        <v>36</v>
      </c>
      <c r="F153" s="833"/>
      <c r="G153" s="941"/>
      <c r="H153" s="165" t="s">
        <v>12</v>
      </c>
      <c r="I153" s="947"/>
      <c r="J153" s="947"/>
      <c r="K153" s="948"/>
      <c r="L153" s="837">
        <v>0</v>
      </c>
      <c r="M153" s="837">
        <v>0</v>
      </c>
      <c r="N153" s="837">
        <v>0</v>
      </c>
      <c r="O153" s="837">
        <f t="shared" si="78"/>
        <v>0</v>
      </c>
      <c r="P153" s="837">
        <f t="shared" si="79"/>
        <v>0</v>
      </c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</row>
    <row r="154" spans="1:26" ht="19.5" hidden="1">
      <c r="A154" s="940"/>
      <c r="B154" s="833"/>
      <c r="C154" s="946"/>
      <c r="D154" s="833"/>
      <c r="E154" s="834" t="s">
        <v>37</v>
      </c>
      <c r="F154" s="833"/>
      <c r="G154" s="941"/>
      <c r="H154" s="165" t="s">
        <v>12</v>
      </c>
      <c r="I154" s="947"/>
      <c r="J154" s="947"/>
      <c r="K154" s="948"/>
      <c r="L154" s="837">
        <f ca="1">IFERROR(__xludf.DUMMYFUNCTION("IMPORTRANGE(""https://docs.google.com/spreadsheets/d/1MeEWN-I1oV_STSDYn1IFDPWt_1FKiwhDph83XaGc0o0/edit?usp=sharing"",""งบพรบ!BU25"")"),10000)</f>
        <v>10000</v>
      </c>
      <c r="M154" s="837">
        <f ca="1">IFERROR(__xludf.DUMMYFUNCTION("IMPORTRANGE(""https://docs.google.com/spreadsheets/d/1MeEWN-I1oV_STSDYn1IFDPWt_1FKiwhDph83XaGc0o0/edit?usp=sharing"",""งบพรบ!BZ25"")"),14880)</f>
        <v>14880</v>
      </c>
      <c r="N154" s="837">
        <f ca="1">IFERROR(__xludf.DUMMYFUNCTION("IMPORTRANGE(""https://docs.google.com/spreadsheets/d/1MeEWN-I1oV_STSDYn1IFDPWt_1FKiwhDph83XaGc0o0/edit?usp=sharing"",""งบพรบ!CB25"")"),9500)</f>
        <v>9500</v>
      </c>
      <c r="O154" s="837">
        <f t="shared" ca="1" si="78"/>
        <v>95</v>
      </c>
      <c r="P154" s="837">
        <f t="shared" ca="1" si="79"/>
        <v>63.844086021505376</v>
      </c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</row>
    <row r="155" spans="1:26" ht="18.75">
      <c r="A155" s="942"/>
      <c r="B155" s="827"/>
      <c r="C155" s="943"/>
      <c r="D155" s="828" t="s">
        <v>21</v>
      </c>
      <c r="E155" s="827"/>
      <c r="F155" s="827"/>
      <c r="G155" s="829"/>
      <c r="H155" s="168" t="s">
        <v>12</v>
      </c>
      <c r="I155" s="944"/>
      <c r="J155" s="944"/>
      <c r="K155" s="945"/>
      <c r="L155" s="831">
        <f t="shared" ref="L155:N155" ca="1" si="82">L156+L157</f>
        <v>0</v>
      </c>
      <c r="M155" s="831">
        <f t="shared" ca="1" si="82"/>
        <v>0</v>
      </c>
      <c r="N155" s="831">
        <f t="shared" ca="1" si="82"/>
        <v>0</v>
      </c>
      <c r="O155" s="831">
        <f t="shared" ca="1" si="78"/>
        <v>0</v>
      </c>
      <c r="P155" s="831">
        <f t="shared" ca="1" si="79"/>
        <v>0</v>
      </c>
      <c r="Q155" s="818"/>
      <c r="R155" s="818"/>
      <c r="S155" s="818"/>
      <c r="T155" s="818"/>
      <c r="U155" s="818"/>
      <c r="V155" s="818"/>
      <c r="W155" s="818"/>
      <c r="X155" s="818"/>
      <c r="Y155" s="818"/>
      <c r="Z155" s="818"/>
    </row>
    <row r="156" spans="1:26" ht="19.5" hidden="1">
      <c r="A156" s="940"/>
      <c r="B156" s="833"/>
      <c r="C156" s="946"/>
      <c r="D156" s="833"/>
      <c r="E156" s="834" t="s">
        <v>18</v>
      </c>
      <c r="F156" s="833"/>
      <c r="G156" s="941"/>
      <c r="H156" s="165" t="s">
        <v>12</v>
      </c>
      <c r="I156" s="947"/>
      <c r="J156" s="947"/>
      <c r="K156" s="948"/>
      <c r="L156" s="837">
        <v>0</v>
      </c>
      <c r="M156" s="837">
        <v>0</v>
      </c>
      <c r="N156" s="837">
        <v>0</v>
      </c>
      <c r="O156" s="837">
        <f t="shared" si="78"/>
        <v>0</v>
      </c>
      <c r="P156" s="837">
        <f t="shared" si="79"/>
        <v>0</v>
      </c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</row>
    <row r="157" spans="1:26" ht="19.5" hidden="1">
      <c r="A157" s="940"/>
      <c r="B157" s="833"/>
      <c r="C157" s="946"/>
      <c r="D157" s="833"/>
      <c r="E157" s="834" t="s">
        <v>19</v>
      </c>
      <c r="F157" s="833"/>
      <c r="G157" s="941"/>
      <c r="H157" s="169" t="s">
        <v>12</v>
      </c>
      <c r="I157" s="947"/>
      <c r="J157" s="947"/>
      <c r="K157" s="948"/>
      <c r="L157" s="837">
        <f ca="1">IFERROR(__xludf.DUMMYFUNCTION("IMPORTRANGE(""https://docs.google.com/spreadsheets/d/1MeEWN-I1oV_STSDYn1IFDPWt_1FKiwhDph83XaGc0o0/edit?usp=sharing"",""งบพรบ!BX25"")"),0)</f>
        <v>0</v>
      </c>
      <c r="M157" s="837">
        <f ca="1">IFERROR(__xludf.DUMMYFUNCTION("IMPORTRANGE(""https://docs.google.com/spreadsheets/d/1MeEWN-I1oV_STSDYn1IFDPWt_1FKiwhDph83XaGc0o0/edit?usp=sharing"",""งบพรบ!CA25"")"),0)</f>
        <v>0</v>
      </c>
      <c r="N157" s="837">
        <f ca="1">IFERROR(__xludf.DUMMYFUNCTION("IMPORTRANGE(""https://docs.google.com/spreadsheets/d/1MeEWN-I1oV_STSDYn1IFDPWt_1FKiwhDph83XaGc0o0/edit?usp=sharing"",""งบพรบ!CC25"")"),0)</f>
        <v>0</v>
      </c>
      <c r="O157" s="837">
        <f t="shared" ca="1" si="78"/>
        <v>0</v>
      </c>
      <c r="P157" s="837">
        <f t="shared" ca="1" si="79"/>
        <v>0</v>
      </c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</row>
    <row r="158" spans="1:26" ht="19.5">
      <c r="A158" s="949"/>
      <c r="B158" s="950"/>
      <c r="C158" s="946" t="s">
        <v>16</v>
      </c>
      <c r="D158" s="951" t="s">
        <v>38</v>
      </c>
      <c r="E158" s="952"/>
      <c r="F158" s="952"/>
      <c r="G158" s="953"/>
      <c r="H158" s="168"/>
      <c r="I158" s="830"/>
      <c r="J158" s="830"/>
      <c r="K158" s="831"/>
      <c r="L158" s="831"/>
      <c r="M158" s="831"/>
      <c r="N158" s="831"/>
      <c r="O158" s="831"/>
      <c r="P158" s="831"/>
    </row>
    <row r="159" spans="1:26" ht="19.5">
      <c r="A159" s="942"/>
      <c r="B159" s="827"/>
      <c r="C159" s="976"/>
      <c r="D159" s="943" t="s">
        <v>78</v>
      </c>
      <c r="E159" s="828"/>
      <c r="F159" s="827"/>
      <c r="G159" s="977"/>
      <c r="H159" s="168" t="s">
        <v>35</v>
      </c>
      <c r="I159" s="830">
        <f ca="1">IFERROR(__xludf.DUMMYFUNCTION("IMPORTRANGE(""https://docs.google.com/spreadsheets/d/1QqKyyYR6Q21VydFLVH3TRQUabQu_ym0Zz7PgGX0-kHA/edit?usp=sharing"",""แผน!X25"")"),20)</f>
        <v>20</v>
      </c>
      <c r="J159" s="959">
        <v>5</v>
      </c>
      <c r="K159" s="831">
        <f ca="1">IF(I159&gt;0,J159*100/I159,0)</f>
        <v>25</v>
      </c>
      <c r="L159" s="831"/>
      <c r="M159" s="831"/>
      <c r="N159" s="831"/>
      <c r="O159" s="831"/>
      <c r="P159" s="831"/>
    </row>
    <row r="160" spans="1:26" ht="19.5" hidden="1">
      <c r="A160" s="940"/>
      <c r="B160" s="833"/>
      <c r="C160" s="946"/>
      <c r="D160" s="834" t="s">
        <v>79</v>
      </c>
      <c r="E160" s="982"/>
      <c r="F160" s="833"/>
      <c r="G160" s="941"/>
      <c r="H160" s="169" t="s">
        <v>35</v>
      </c>
      <c r="I160" s="836"/>
      <c r="J160" s="836"/>
      <c r="K160" s="837"/>
      <c r="L160" s="837"/>
      <c r="M160" s="837"/>
      <c r="N160" s="837"/>
      <c r="O160" s="837"/>
      <c r="P160" s="83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983"/>
      <c r="B161" s="984"/>
      <c r="C161" s="985"/>
      <c r="D161" s="986" t="s">
        <v>80</v>
      </c>
      <c r="E161" s="987"/>
      <c r="F161" s="984"/>
      <c r="G161" s="988"/>
      <c r="H161" s="232" t="s">
        <v>35</v>
      </c>
      <c r="I161" s="989"/>
      <c r="J161" s="989"/>
      <c r="K161" s="990"/>
      <c r="L161" s="990"/>
      <c r="M161" s="990"/>
      <c r="N161" s="990"/>
      <c r="O161" s="990"/>
      <c r="P161" s="990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991" t="s">
        <v>81</v>
      </c>
      <c r="B162" s="992"/>
      <c r="C162" s="992"/>
      <c r="D162" s="992"/>
      <c r="E162" s="993"/>
      <c r="F162" s="993"/>
      <c r="G162" s="994"/>
      <c r="H162" s="995"/>
      <c r="I162" s="996"/>
      <c r="J162" s="996"/>
      <c r="K162" s="997"/>
      <c r="L162" s="997"/>
      <c r="M162" s="997"/>
      <c r="N162" s="997"/>
      <c r="O162" s="997"/>
      <c r="P162" s="997"/>
    </row>
    <row r="163" spans="1:26" ht="19.5">
      <c r="A163" s="998" t="s">
        <v>82</v>
      </c>
      <c r="B163" s="999"/>
      <c r="C163" s="999"/>
      <c r="D163" s="1000"/>
      <c r="E163" s="1000"/>
      <c r="F163" s="1000"/>
      <c r="G163" s="1001"/>
      <c r="H163" s="1002"/>
      <c r="I163" s="1003"/>
      <c r="J163" s="1003"/>
      <c r="K163" s="1004"/>
      <c r="L163" s="1004"/>
      <c r="M163" s="1004"/>
      <c r="N163" s="1004"/>
      <c r="O163" s="1004"/>
      <c r="P163" s="1004"/>
    </row>
    <row r="164" spans="1:26" ht="19.5">
      <c r="A164" s="1005"/>
      <c r="B164" s="1006" t="s">
        <v>83</v>
      </c>
      <c r="C164" s="1007"/>
      <c r="D164" s="952"/>
      <c r="E164" s="952"/>
      <c r="F164" s="952"/>
      <c r="G164" s="953"/>
      <c r="H164" s="252" t="s">
        <v>35</v>
      </c>
      <c r="I164" s="1008">
        <f t="shared" ref="I164:J164" ca="1" si="83">I174+I177</f>
        <v>12</v>
      </c>
      <c r="J164" s="1008">
        <f t="shared" si="83"/>
        <v>12</v>
      </c>
      <c r="K164" s="1009">
        <f ca="1">IF(I164&gt;0,J164*100/I164,0)</f>
        <v>100</v>
      </c>
      <c r="L164" s="1010"/>
      <c r="M164" s="1010"/>
      <c r="N164" s="1010"/>
      <c r="O164" s="1010"/>
      <c r="P164" s="1010"/>
    </row>
    <row r="165" spans="1:26" ht="19.5">
      <c r="A165" s="932"/>
      <c r="B165" s="933"/>
      <c r="C165" s="934" t="s">
        <v>16</v>
      </c>
      <c r="D165" s="935" t="s">
        <v>17</v>
      </c>
      <c r="E165" s="933"/>
      <c r="F165" s="933"/>
      <c r="G165" s="936"/>
      <c r="H165" s="152" t="s">
        <v>12</v>
      </c>
      <c r="I165" s="937"/>
      <c r="J165" s="937"/>
      <c r="K165" s="938"/>
      <c r="L165" s="939">
        <f t="shared" ref="L165:N165" ca="1" si="84">L166+L167</f>
        <v>23060</v>
      </c>
      <c r="M165" s="939">
        <f t="shared" ca="1" si="84"/>
        <v>43450</v>
      </c>
      <c r="N165" s="939">
        <f t="shared" ca="1" si="84"/>
        <v>43450</v>
      </c>
      <c r="O165" s="939">
        <f t="shared" ref="O165:O173" ca="1" si="85">IF(L165&gt;0,N165*100/L165,0)</f>
        <v>188.42150910667823</v>
      </c>
      <c r="P165" s="939">
        <f t="shared" ref="P165:P173" ca="1" si="86">IF(M165&gt;0,N165*100/M165,0)</f>
        <v>100</v>
      </c>
      <c r="Q165" s="818"/>
      <c r="R165" s="818"/>
      <c r="S165" s="818"/>
      <c r="T165" s="818"/>
      <c r="U165" s="818"/>
      <c r="V165" s="818"/>
      <c r="W165" s="818"/>
      <c r="X165" s="818"/>
      <c r="Y165" s="818"/>
      <c r="Z165" s="818"/>
    </row>
    <row r="166" spans="1:26" ht="18.75" hidden="1">
      <c r="A166" s="940"/>
      <c r="B166" s="833"/>
      <c r="C166" s="833"/>
      <c r="D166" s="833"/>
      <c r="E166" s="834" t="s">
        <v>18</v>
      </c>
      <c r="F166" s="833"/>
      <c r="G166" s="941"/>
      <c r="H166" s="158" t="s">
        <v>12</v>
      </c>
      <c r="I166" s="836"/>
      <c r="J166" s="836"/>
      <c r="K166" s="837"/>
      <c r="L166" s="837">
        <f t="shared" ref="L166:N167" si="87">L169+L172</f>
        <v>0</v>
      </c>
      <c r="M166" s="837">
        <f t="shared" si="87"/>
        <v>0</v>
      </c>
      <c r="N166" s="837">
        <f t="shared" si="87"/>
        <v>0</v>
      </c>
      <c r="O166" s="837">
        <f t="shared" si="85"/>
        <v>0</v>
      </c>
      <c r="P166" s="837">
        <f t="shared" si="86"/>
        <v>0</v>
      </c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</row>
    <row r="167" spans="1:26" ht="18.75" hidden="1">
      <c r="A167" s="940"/>
      <c r="B167" s="833"/>
      <c r="C167" s="833"/>
      <c r="D167" s="833"/>
      <c r="E167" s="834" t="s">
        <v>19</v>
      </c>
      <c r="F167" s="833"/>
      <c r="G167" s="941"/>
      <c r="H167" s="158" t="s">
        <v>12</v>
      </c>
      <c r="I167" s="836"/>
      <c r="J167" s="836"/>
      <c r="K167" s="837"/>
      <c r="L167" s="837">
        <f t="shared" ca="1" si="87"/>
        <v>23060</v>
      </c>
      <c r="M167" s="837">
        <f t="shared" ca="1" si="87"/>
        <v>43450</v>
      </c>
      <c r="N167" s="837">
        <f t="shared" ca="1" si="87"/>
        <v>43450</v>
      </c>
      <c r="O167" s="837">
        <f t="shared" ca="1" si="85"/>
        <v>188.42150910667823</v>
      </c>
      <c r="P167" s="837">
        <f t="shared" ca="1" si="86"/>
        <v>100</v>
      </c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</row>
    <row r="168" spans="1:26" ht="18.75">
      <c r="A168" s="942"/>
      <c r="B168" s="827"/>
      <c r="C168" s="943"/>
      <c r="D168" s="828" t="s">
        <v>20</v>
      </c>
      <c r="E168" s="827"/>
      <c r="F168" s="827"/>
      <c r="G168" s="829"/>
      <c r="H168" s="778" t="s">
        <v>12</v>
      </c>
      <c r="I168" s="944"/>
      <c r="J168" s="944"/>
      <c r="K168" s="945"/>
      <c r="L168" s="831">
        <f t="shared" ref="L168:N168" ca="1" si="88">L169+L170</f>
        <v>23060</v>
      </c>
      <c r="M168" s="831">
        <f t="shared" ca="1" si="88"/>
        <v>43450</v>
      </c>
      <c r="N168" s="831">
        <f t="shared" ca="1" si="88"/>
        <v>43450</v>
      </c>
      <c r="O168" s="831">
        <f t="shared" ca="1" si="85"/>
        <v>188.42150910667823</v>
      </c>
      <c r="P168" s="831">
        <f t="shared" ca="1" si="86"/>
        <v>100</v>
      </c>
      <c r="Q168" s="818"/>
      <c r="R168" s="818"/>
      <c r="S168" s="818"/>
      <c r="T168" s="818"/>
      <c r="U168" s="818"/>
      <c r="V168" s="818"/>
      <c r="W168" s="818"/>
      <c r="X168" s="818"/>
      <c r="Y168" s="818"/>
      <c r="Z168" s="818"/>
    </row>
    <row r="169" spans="1:26" ht="19.5" hidden="1">
      <c r="A169" s="940"/>
      <c r="B169" s="833"/>
      <c r="C169" s="946"/>
      <c r="D169" s="833"/>
      <c r="E169" s="834" t="s">
        <v>36</v>
      </c>
      <c r="F169" s="833"/>
      <c r="G169" s="941"/>
      <c r="H169" s="165" t="s">
        <v>12</v>
      </c>
      <c r="I169" s="947"/>
      <c r="J169" s="947"/>
      <c r="K169" s="948"/>
      <c r="L169" s="837">
        <v>0</v>
      </c>
      <c r="M169" s="837">
        <v>0</v>
      </c>
      <c r="N169" s="837">
        <v>0</v>
      </c>
      <c r="O169" s="837">
        <f t="shared" si="85"/>
        <v>0</v>
      </c>
      <c r="P169" s="837">
        <f t="shared" si="86"/>
        <v>0</v>
      </c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</row>
    <row r="170" spans="1:26" ht="19.5" hidden="1">
      <c r="A170" s="940"/>
      <c r="B170" s="833"/>
      <c r="C170" s="946"/>
      <c r="D170" s="833"/>
      <c r="E170" s="834" t="s">
        <v>37</v>
      </c>
      <c r="F170" s="833"/>
      <c r="G170" s="941"/>
      <c r="H170" s="165" t="s">
        <v>12</v>
      </c>
      <c r="I170" s="947"/>
      <c r="J170" s="947"/>
      <c r="K170" s="948"/>
      <c r="L170" s="837">
        <f ca="1">IFERROR(__xludf.DUMMYFUNCTION("IMPORTRANGE(""https://docs.google.com/spreadsheets/d/1MeEWN-I1oV_STSDYn1IFDPWt_1FKiwhDph83XaGc0o0/edit?usp=sharing"",""งบพรบ!CE25"")"),23060)</f>
        <v>23060</v>
      </c>
      <c r="M170" s="837">
        <f ca="1">IFERROR(__xludf.DUMMYFUNCTION("IMPORTRANGE(""https://docs.google.com/spreadsheets/d/1MeEWN-I1oV_STSDYn1IFDPWt_1FKiwhDph83XaGc0o0/edit?usp=sharing"",""งบพรบ!CJ25"")"),43450)</f>
        <v>43450</v>
      </c>
      <c r="N170" s="837">
        <f ca="1">IFERROR(__xludf.DUMMYFUNCTION("IMPORTRANGE(""https://docs.google.com/spreadsheets/d/1MeEWN-I1oV_STSDYn1IFDPWt_1FKiwhDph83XaGc0o0/edit?usp=sharing"",""งบพรบ!CL25"")"),43450)</f>
        <v>43450</v>
      </c>
      <c r="O170" s="837">
        <f t="shared" ca="1" si="85"/>
        <v>188.42150910667823</v>
      </c>
      <c r="P170" s="837">
        <f t="shared" ca="1" si="86"/>
        <v>100</v>
      </c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</row>
    <row r="171" spans="1:26" ht="18.75">
      <c r="A171" s="942"/>
      <c r="B171" s="827"/>
      <c r="C171" s="943"/>
      <c r="D171" s="828" t="s">
        <v>21</v>
      </c>
      <c r="E171" s="827"/>
      <c r="F171" s="827"/>
      <c r="G171" s="829"/>
      <c r="H171" s="168" t="s">
        <v>12</v>
      </c>
      <c r="I171" s="944"/>
      <c r="J171" s="944"/>
      <c r="K171" s="945"/>
      <c r="L171" s="831">
        <f t="shared" ref="L171:N171" ca="1" si="89">L172+L173</f>
        <v>0</v>
      </c>
      <c r="M171" s="831">
        <f t="shared" ca="1" si="89"/>
        <v>0</v>
      </c>
      <c r="N171" s="831">
        <f t="shared" ca="1" si="89"/>
        <v>0</v>
      </c>
      <c r="O171" s="831">
        <f t="shared" ca="1" si="85"/>
        <v>0</v>
      </c>
      <c r="P171" s="831">
        <f t="shared" ca="1" si="86"/>
        <v>0</v>
      </c>
      <c r="Q171" s="818"/>
      <c r="R171" s="818"/>
      <c r="S171" s="818"/>
      <c r="T171" s="818"/>
      <c r="U171" s="818"/>
      <c r="V171" s="818"/>
      <c r="W171" s="818"/>
      <c r="X171" s="818"/>
      <c r="Y171" s="818"/>
      <c r="Z171" s="818"/>
    </row>
    <row r="172" spans="1:26" ht="19.5" hidden="1">
      <c r="A172" s="940"/>
      <c r="B172" s="833"/>
      <c r="C172" s="946"/>
      <c r="D172" s="833"/>
      <c r="E172" s="834" t="s">
        <v>18</v>
      </c>
      <c r="F172" s="833"/>
      <c r="G172" s="941"/>
      <c r="H172" s="165" t="s">
        <v>12</v>
      </c>
      <c r="I172" s="947"/>
      <c r="J172" s="947"/>
      <c r="K172" s="948"/>
      <c r="L172" s="837">
        <v>0</v>
      </c>
      <c r="M172" s="837">
        <v>0</v>
      </c>
      <c r="N172" s="837">
        <v>0</v>
      </c>
      <c r="O172" s="837">
        <f t="shared" si="85"/>
        <v>0</v>
      </c>
      <c r="P172" s="837">
        <f t="shared" si="86"/>
        <v>0</v>
      </c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</row>
    <row r="173" spans="1:26" ht="19.5" hidden="1">
      <c r="A173" s="940"/>
      <c r="B173" s="833"/>
      <c r="C173" s="946"/>
      <c r="D173" s="833"/>
      <c r="E173" s="834" t="s">
        <v>19</v>
      </c>
      <c r="F173" s="833"/>
      <c r="G173" s="941"/>
      <c r="H173" s="169" t="s">
        <v>12</v>
      </c>
      <c r="I173" s="947"/>
      <c r="J173" s="947"/>
      <c r="K173" s="948"/>
      <c r="L173" s="837">
        <f ca="1">IFERROR(__xludf.DUMMYFUNCTION("IMPORTRANGE(""https://docs.google.com/spreadsheets/d/1MeEWN-I1oV_STSDYn1IFDPWt_1FKiwhDph83XaGc0o0/edit?usp=sharing"",""งบพรบ!CH25"")"),0)</f>
        <v>0</v>
      </c>
      <c r="M173" s="837">
        <f ca="1">IFERROR(__xludf.DUMMYFUNCTION("IMPORTRANGE(""https://docs.google.com/spreadsheets/d/1MeEWN-I1oV_STSDYn1IFDPWt_1FKiwhDph83XaGc0o0/edit?usp=sharing"",""งบพรบ!CK25"")"),0)</f>
        <v>0</v>
      </c>
      <c r="N173" s="837">
        <f ca="1">IFERROR(__xludf.DUMMYFUNCTION("IMPORTRANGE(""https://docs.google.com/spreadsheets/d/1MeEWN-I1oV_STSDYn1IFDPWt_1FKiwhDph83XaGc0o0/edit?usp=sharing"",""งบพรบ!CM25"")"),0)</f>
        <v>0</v>
      </c>
      <c r="O173" s="837">
        <f t="shared" ca="1" si="85"/>
        <v>0</v>
      </c>
      <c r="P173" s="837">
        <f t="shared" ca="1" si="86"/>
        <v>0</v>
      </c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</row>
    <row r="174" spans="1:26" ht="19.5">
      <c r="A174" s="1011"/>
      <c r="B174" s="1012"/>
      <c r="C174" s="1013" t="s">
        <v>84</v>
      </c>
      <c r="D174" s="1012"/>
      <c r="E174" s="1012"/>
      <c r="F174" s="1012"/>
      <c r="G174" s="1014"/>
      <c r="H174" s="260" t="s">
        <v>35</v>
      </c>
      <c r="I174" s="1015">
        <f t="shared" ref="I174:J174" ca="1" si="90">I176</f>
        <v>12</v>
      </c>
      <c r="J174" s="1015">
        <f t="shared" si="90"/>
        <v>12</v>
      </c>
      <c r="K174" s="1016">
        <f ca="1">IF(I174&gt;0,J174*100/I174,0)</f>
        <v>100</v>
      </c>
      <c r="L174" s="1016"/>
      <c r="M174" s="1016"/>
      <c r="N174" s="1016"/>
      <c r="O174" s="1016"/>
      <c r="P174" s="1016"/>
    </row>
    <row r="175" spans="1:26" ht="19.5">
      <c r="A175" s="949"/>
      <c r="B175" s="950"/>
      <c r="C175" s="946" t="s">
        <v>16</v>
      </c>
      <c r="D175" s="951" t="s">
        <v>38</v>
      </c>
      <c r="E175" s="952"/>
      <c r="F175" s="952"/>
      <c r="G175" s="953"/>
      <c r="H175" s="954"/>
      <c r="I175" s="944"/>
      <c r="J175" s="944"/>
      <c r="K175" s="945"/>
      <c r="L175" s="945"/>
      <c r="M175" s="945"/>
      <c r="N175" s="945"/>
      <c r="O175" s="945"/>
      <c r="P175" s="945"/>
    </row>
    <row r="176" spans="1:26" ht="18.75">
      <c r="A176" s="949"/>
      <c r="B176" s="950"/>
      <c r="C176" s="950"/>
      <c r="D176" s="1017" t="s">
        <v>85</v>
      </c>
      <c r="E176" s="957"/>
      <c r="F176" s="957"/>
      <c r="G176" s="958"/>
      <c r="H176" s="590" t="s">
        <v>35</v>
      </c>
      <c r="I176" s="830">
        <f ca="1">IFERROR(__xludf.DUMMYFUNCTION("IMPORTRANGE(""https://docs.google.com/spreadsheets/d/1QqKyyYR6Q21VydFLVH3TRQUabQu_ym0Zz7PgGX0-kHA/edit?usp=sharing"",""แผน!Y25"")"),12)</f>
        <v>12</v>
      </c>
      <c r="J176" s="959">
        <v>12</v>
      </c>
      <c r="K176" s="945">
        <f ca="1">IF(I176&gt;0,J176*100/I176,0)</f>
        <v>100</v>
      </c>
      <c r="L176" s="945"/>
      <c r="M176" s="945"/>
      <c r="N176" s="945"/>
      <c r="O176" s="945"/>
      <c r="P176" s="945"/>
    </row>
    <row r="177" spans="1:26" ht="19.5" hidden="1">
      <c r="A177" s="1011"/>
      <c r="B177" s="1018"/>
      <c r="C177" s="1019" t="s">
        <v>86</v>
      </c>
      <c r="D177" s="1018"/>
      <c r="E177" s="1012"/>
      <c r="F177" s="1012"/>
      <c r="G177" s="1014"/>
      <c r="H177" s="266" t="s">
        <v>35</v>
      </c>
      <c r="I177" s="1015"/>
      <c r="J177" s="1015">
        <f>J179</f>
        <v>0</v>
      </c>
      <c r="K177" s="1016"/>
      <c r="L177" s="1016"/>
      <c r="M177" s="1016"/>
      <c r="N177" s="1016"/>
      <c r="O177" s="1016"/>
      <c r="P177" s="1016"/>
    </row>
    <row r="178" spans="1:26" ht="19.5" hidden="1">
      <c r="A178" s="949"/>
      <c r="B178" s="950"/>
      <c r="C178" s="946" t="s">
        <v>16</v>
      </c>
      <c r="D178" s="1020" t="s">
        <v>38</v>
      </c>
      <c r="E178" s="952"/>
      <c r="F178" s="952"/>
      <c r="G178" s="953"/>
      <c r="H178" s="954"/>
      <c r="I178" s="944"/>
      <c r="J178" s="944"/>
      <c r="K178" s="945"/>
      <c r="L178" s="945"/>
      <c r="M178" s="945"/>
      <c r="N178" s="945"/>
      <c r="O178" s="945"/>
      <c r="P178" s="945"/>
    </row>
    <row r="179" spans="1:26" ht="18.75" hidden="1">
      <c r="A179" s="949"/>
      <c r="B179" s="950"/>
      <c r="C179" s="950"/>
      <c r="D179" s="1021" t="s">
        <v>87</v>
      </c>
      <c r="E179" s="957"/>
      <c r="F179" s="1022"/>
      <c r="G179" s="958"/>
      <c r="H179" s="43" t="s">
        <v>35</v>
      </c>
      <c r="I179" s="830"/>
      <c r="J179" s="830"/>
      <c r="K179" s="945"/>
      <c r="L179" s="945"/>
      <c r="M179" s="945"/>
      <c r="N179" s="945"/>
      <c r="O179" s="945"/>
      <c r="P179" s="945"/>
    </row>
    <row r="180" spans="1:26" ht="19.5">
      <c r="A180" s="1005"/>
      <c r="B180" s="1006" t="s">
        <v>88</v>
      </c>
      <c r="C180" s="1007"/>
      <c r="D180" s="952"/>
      <c r="E180" s="952"/>
      <c r="F180" s="952"/>
      <c r="G180" s="953"/>
      <c r="H180" s="252" t="s">
        <v>35</v>
      </c>
      <c r="I180" s="1008">
        <f t="shared" ref="I180:J180" ca="1" si="91">I225+I226</f>
        <v>0</v>
      </c>
      <c r="J180" s="1008">
        <f t="shared" si="91"/>
        <v>0</v>
      </c>
      <c r="K180" s="1009">
        <f ca="1">IF(I180&gt;0,J180*100/I180,0)</f>
        <v>0</v>
      </c>
      <c r="L180" s="1010"/>
      <c r="M180" s="1010"/>
      <c r="N180" s="1010"/>
      <c r="O180" s="1010"/>
      <c r="P180" s="1010"/>
    </row>
    <row r="181" spans="1:26" ht="19.5">
      <c r="A181" s="932"/>
      <c r="B181" s="933"/>
      <c r="C181" s="934" t="s">
        <v>16</v>
      </c>
      <c r="D181" s="935" t="s">
        <v>17</v>
      </c>
      <c r="E181" s="933"/>
      <c r="F181" s="933"/>
      <c r="G181" s="936"/>
      <c r="H181" s="152" t="s">
        <v>12</v>
      </c>
      <c r="I181" s="937"/>
      <c r="J181" s="937"/>
      <c r="K181" s="938"/>
      <c r="L181" s="939">
        <f t="shared" ref="L181:N181" ca="1" si="92">L182+L183</f>
        <v>221500</v>
      </c>
      <c r="M181" s="939">
        <f t="shared" ca="1" si="92"/>
        <v>142500</v>
      </c>
      <c r="N181" s="939">
        <f t="shared" ca="1" si="92"/>
        <v>87208</v>
      </c>
      <c r="O181" s="939">
        <f t="shared" ref="O181:O189" ca="1" si="93">IF(L181&gt;0,N181*100/L181,0)</f>
        <v>39.371557562076752</v>
      </c>
      <c r="P181" s="939">
        <f t="shared" ref="P181:P189" ca="1" si="94">IF(M181&gt;0,N181*100/M181,0)</f>
        <v>61.198596491228074</v>
      </c>
      <c r="Q181" s="818"/>
      <c r="R181" s="818"/>
      <c r="S181" s="818"/>
      <c r="T181" s="818"/>
      <c r="U181" s="818"/>
      <c r="V181" s="818"/>
      <c r="W181" s="818"/>
      <c r="X181" s="818"/>
      <c r="Y181" s="818"/>
      <c r="Z181" s="818"/>
    </row>
    <row r="182" spans="1:26" ht="18.75" hidden="1">
      <c r="A182" s="940"/>
      <c r="B182" s="833"/>
      <c r="C182" s="833"/>
      <c r="D182" s="833"/>
      <c r="E182" s="834" t="s">
        <v>18</v>
      </c>
      <c r="F182" s="833"/>
      <c r="G182" s="941"/>
      <c r="H182" s="158" t="s">
        <v>12</v>
      </c>
      <c r="I182" s="836"/>
      <c r="J182" s="836"/>
      <c r="K182" s="837"/>
      <c r="L182" s="837">
        <f t="shared" ref="L182:N183" si="95">L185+L188</f>
        <v>0</v>
      </c>
      <c r="M182" s="837">
        <f t="shared" si="95"/>
        <v>0</v>
      </c>
      <c r="N182" s="837">
        <f t="shared" si="95"/>
        <v>0</v>
      </c>
      <c r="O182" s="837">
        <f t="shared" si="93"/>
        <v>0</v>
      </c>
      <c r="P182" s="837">
        <f t="shared" si="94"/>
        <v>0</v>
      </c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</row>
    <row r="183" spans="1:26" ht="18.75" hidden="1">
      <c r="A183" s="940"/>
      <c r="B183" s="833"/>
      <c r="C183" s="833"/>
      <c r="D183" s="833"/>
      <c r="E183" s="834" t="s">
        <v>19</v>
      </c>
      <c r="F183" s="833"/>
      <c r="G183" s="941"/>
      <c r="H183" s="158" t="s">
        <v>12</v>
      </c>
      <c r="I183" s="836"/>
      <c r="J183" s="836"/>
      <c r="K183" s="837"/>
      <c r="L183" s="837">
        <f t="shared" ca="1" si="95"/>
        <v>221500</v>
      </c>
      <c r="M183" s="837">
        <f t="shared" ca="1" si="95"/>
        <v>142500</v>
      </c>
      <c r="N183" s="837">
        <f t="shared" ca="1" si="95"/>
        <v>87208</v>
      </c>
      <c r="O183" s="837">
        <f t="shared" ca="1" si="93"/>
        <v>39.371557562076752</v>
      </c>
      <c r="P183" s="837">
        <f t="shared" ca="1" si="94"/>
        <v>61.198596491228074</v>
      </c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</row>
    <row r="184" spans="1:26" ht="18.75">
      <c r="A184" s="942"/>
      <c r="B184" s="827"/>
      <c r="C184" s="943"/>
      <c r="D184" s="828" t="s">
        <v>20</v>
      </c>
      <c r="E184" s="827"/>
      <c r="F184" s="827"/>
      <c r="G184" s="829"/>
      <c r="H184" s="778" t="s">
        <v>12</v>
      </c>
      <c r="I184" s="944"/>
      <c r="J184" s="944"/>
      <c r="K184" s="945"/>
      <c r="L184" s="831">
        <f t="shared" ref="L184:N184" ca="1" si="96">L185+L186</f>
        <v>221500</v>
      </c>
      <c r="M184" s="831">
        <f t="shared" ca="1" si="96"/>
        <v>142500</v>
      </c>
      <c r="N184" s="831">
        <f t="shared" ca="1" si="96"/>
        <v>87208</v>
      </c>
      <c r="O184" s="831">
        <f t="shared" ca="1" si="93"/>
        <v>39.371557562076752</v>
      </c>
      <c r="P184" s="831">
        <f t="shared" ca="1" si="94"/>
        <v>61.198596491228074</v>
      </c>
      <c r="Q184" s="818"/>
      <c r="R184" s="818"/>
      <c r="S184" s="818"/>
      <c r="T184" s="818"/>
      <c r="U184" s="818"/>
      <c r="V184" s="818"/>
      <c r="W184" s="818"/>
      <c r="X184" s="818"/>
      <c r="Y184" s="818"/>
      <c r="Z184" s="818"/>
    </row>
    <row r="185" spans="1:26" ht="19.5" hidden="1">
      <c r="A185" s="940"/>
      <c r="B185" s="833"/>
      <c r="C185" s="946"/>
      <c r="D185" s="833"/>
      <c r="E185" s="834" t="s">
        <v>36</v>
      </c>
      <c r="F185" s="833"/>
      <c r="G185" s="941"/>
      <c r="H185" s="165" t="s">
        <v>12</v>
      </c>
      <c r="I185" s="947"/>
      <c r="J185" s="947"/>
      <c r="K185" s="948"/>
      <c r="L185" s="837">
        <v>0</v>
      </c>
      <c r="M185" s="837">
        <v>0</v>
      </c>
      <c r="N185" s="837">
        <v>0</v>
      </c>
      <c r="O185" s="837">
        <f t="shared" si="93"/>
        <v>0</v>
      </c>
      <c r="P185" s="837">
        <f t="shared" si="94"/>
        <v>0</v>
      </c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</row>
    <row r="186" spans="1:26" ht="19.5" hidden="1">
      <c r="A186" s="940"/>
      <c r="B186" s="833"/>
      <c r="C186" s="946"/>
      <c r="D186" s="833"/>
      <c r="E186" s="834" t="s">
        <v>37</v>
      </c>
      <c r="F186" s="833"/>
      <c r="G186" s="941"/>
      <c r="H186" s="165" t="s">
        <v>12</v>
      </c>
      <c r="I186" s="947"/>
      <c r="J186" s="947"/>
      <c r="K186" s="948"/>
      <c r="L186" s="837">
        <f ca="1">IFERROR(__xludf.DUMMYFUNCTION("IMPORTRANGE(""https://docs.google.com/spreadsheets/d/1MeEWN-I1oV_STSDYn1IFDPWt_1FKiwhDph83XaGc0o0/edit?usp=sharing"",""งบพรบ!CO25"")"),221500)</f>
        <v>221500</v>
      </c>
      <c r="M186" s="837">
        <f ca="1">IFERROR(__xludf.DUMMYFUNCTION("IMPORTRANGE(""https://docs.google.com/spreadsheets/d/1MeEWN-I1oV_STSDYn1IFDPWt_1FKiwhDph83XaGc0o0/edit?usp=sharing"",""งบพรบ!CT25"")"),142500)</f>
        <v>142500</v>
      </c>
      <c r="N186" s="837">
        <f ca="1">IFERROR(__xludf.DUMMYFUNCTION("IMPORTRANGE(""https://docs.google.com/spreadsheets/d/1MeEWN-I1oV_STSDYn1IFDPWt_1FKiwhDph83XaGc0o0/edit?usp=sharing"",""งบพรบ!CV25"")"),87208)</f>
        <v>87208</v>
      </c>
      <c r="O186" s="837">
        <f t="shared" ca="1" si="93"/>
        <v>39.371557562076752</v>
      </c>
      <c r="P186" s="837">
        <f t="shared" ca="1" si="94"/>
        <v>61.198596491228074</v>
      </c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</row>
    <row r="187" spans="1:26" ht="18.75">
      <c r="A187" s="942"/>
      <c r="B187" s="827"/>
      <c r="C187" s="943"/>
      <c r="D187" s="828" t="s">
        <v>21</v>
      </c>
      <c r="E187" s="827"/>
      <c r="F187" s="827"/>
      <c r="G187" s="829"/>
      <c r="H187" s="168" t="s">
        <v>12</v>
      </c>
      <c r="I187" s="944"/>
      <c r="J187" s="944"/>
      <c r="K187" s="945"/>
      <c r="L187" s="831">
        <f t="shared" ref="L187:N187" ca="1" si="97">L188+L189</f>
        <v>0</v>
      </c>
      <c r="M187" s="831">
        <f t="shared" ca="1" si="97"/>
        <v>0</v>
      </c>
      <c r="N187" s="831">
        <f t="shared" ca="1" si="97"/>
        <v>0</v>
      </c>
      <c r="O187" s="831">
        <f t="shared" ca="1" si="93"/>
        <v>0</v>
      </c>
      <c r="P187" s="831">
        <f t="shared" ca="1" si="94"/>
        <v>0</v>
      </c>
      <c r="Q187" s="818"/>
      <c r="R187" s="818"/>
      <c r="S187" s="818"/>
      <c r="T187" s="818"/>
      <c r="U187" s="818"/>
      <c r="V187" s="818"/>
      <c r="W187" s="818"/>
      <c r="X187" s="818"/>
      <c r="Y187" s="818"/>
      <c r="Z187" s="818"/>
    </row>
    <row r="188" spans="1:26" ht="19.5" hidden="1">
      <c r="A188" s="940"/>
      <c r="B188" s="833"/>
      <c r="C188" s="946"/>
      <c r="D188" s="833"/>
      <c r="E188" s="834" t="s">
        <v>18</v>
      </c>
      <c r="F188" s="833"/>
      <c r="G188" s="941"/>
      <c r="H188" s="165" t="s">
        <v>12</v>
      </c>
      <c r="I188" s="947"/>
      <c r="J188" s="947"/>
      <c r="K188" s="948"/>
      <c r="L188" s="837">
        <v>0</v>
      </c>
      <c r="M188" s="837">
        <v>0</v>
      </c>
      <c r="N188" s="837">
        <v>0</v>
      </c>
      <c r="O188" s="837">
        <f t="shared" si="93"/>
        <v>0</v>
      </c>
      <c r="P188" s="837">
        <f t="shared" si="94"/>
        <v>0</v>
      </c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</row>
    <row r="189" spans="1:26" ht="19.5" hidden="1">
      <c r="A189" s="940"/>
      <c r="B189" s="833"/>
      <c r="C189" s="946"/>
      <c r="D189" s="833"/>
      <c r="E189" s="834" t="s">
        <v>19</v>
      </c>
      <c r="F189" s="833"/>
      <c r="G189" s="941"/>
      <c r="H189" s="169" t="s">
        <v>12</v>
      </c>
      <c r="I189" s="947"/>
      <c r="J189" s="947"/>
      <c r="K189" s="948"/>
      <c r="L189" s="837">
        <f ca="1">IFERROR(__xludf.DUMMYFUNCTION("IMPORTRANGE(""https://docs.google.com/spreadsheets/d/1MeEWN-I1oV_STSDYn1IFDPWt_1FKiwhDph83XaGc0o0/edit?usp=sharing"",""งบพรบ!CR25"")"),0)</f>
        <v>0</v>
      </c>
      <c r="M189" s="837">
        <f ca="1">IFERROR(__xludf.DUMMYFUNCTION("IMPORTRANGE(""https://docs.google.com/spreadsheets/d/1MeEWN-I1oV_STSDYn1IFDPWt_1FKiwhDph83XaGc0o0/edit?usp=sharing"",""งบพรบ!CU25"")"),0)</f>
        <v>0</v>
      </c>
      <c r="N189" s="837">
        <f ca="1">IFERROR(__xludf.DUMMYFUNCTION("IMPORTRANGE(""https://docs.google.com/spreadsheets/d/1MeEWN-I1oV_STSDYn1IFDPWt_1FKiwhDph83XaGc0o0/edit?usp=sharing"",""งบพรบ!CW25"")"),0)</f>
        <v>0</v>
      </c>
      <c r="O189" s="837">
        <f t="shared" ca="1" si="93"/>
        <v>0</v>
      </c>
      <c r="P189" s="837">
        <f t="shared" ca="1" si="94"/>
        <v>0</v>
      </c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</row>
    <row r="190" spans="1:26" ht="19.5">
      <c r="A190" s="1011"/>
      <c r="B190" s="1018"/>
      <c r="C190" s="1023" t="s">
        <v>89</v>
      </c>
      <c r="D190" s="1012"/>
      <c r="E190" s="1012"/>
      <c r="F190" s="1012"/>
      <c r="G190" s="1014"/>
      <c r="H190" s="260" t="s">
        <v>90</v>
      </c>
      <c r="I190" s="1024">
        <f t="shared" ref="I190:J190" ca="1" si="98">I193</f>
        <v>4</v>
      </c>
      <c r="J190" s="1024">
        <f t="shared" si="98"/>
        <v>1</v>
      </c>
      <c r="K190" s="1025">
        <f ca="1">IF(I190&gt;0,J190*100/I190,0)</f>
        <v>25</v>
      </c>
      <c r="L190" s="1016"/>
      <c r="M190" s="1016"/>
      <c r="N190" s="1016"/>
      <c r="O190" s="1016"/>
      <c r="P190" s="1016"/>
    </row>
    <row r="191" spans="1:26" ht="19.5">
      <c r="A191" s="932"/>
      <c r="B191" s="933"/>
      <c r="C191" s="934" t="s">
        <v>16</v>
      </c>
      <c r="D191" s="1026" t="s">
        <v>17</v>
      </c>
      <c r="E191" s="933"/>
      <c r="F191" s="933"/>
      <c r="G191" s="936"/>
      <c r="H191" s="275" t="s">
        <v>12</v>
      </c>
      <c r="I191" s="937"/>
      <c r="J191" s="937"/>
      <c r="K191" s="938"/>
      <c r="L191" s="939">
        <f ca="1">IFERROR(__xludf.DUMMYFUNCTION("IMPORTRANGE(""https://docs.google.com/spreadsheets/d/1QqKyyYR6Q21VydFLVH3TRQUabQu_ym0Zz7PgGX0-kHA/edit?usp=sharing"",""แผน!Z25"")"),6000)</f>
        <v>6000</v>
      </c>
      <c r="M191" s="939"/>
      <c r="N191" s="1027">
        <v>1240</v>
      </c>
      <c r="O191" s="939">
        <f ca="1">IF(L191&gt;0,N191*100/L191,0)</f>
        <v>20.666666666666668</v>
      </c>
      <c r="P191" s="939">
        <f>IF(M191&gt;0,N191*100/M191,0)</f>
        <v>0</v>
      </c>
      <c r="Q191" s="818"/>
      <c r="R191" s="818"/>
      <c r="S191" s="818"/>
      <c r="T191" s="818"/>
      <c r="U191" s="818"/>
      <c r="V191" s="818"/>
      <c r="W191" s="818"/>
      <c r="X191" s="818"/>
      <c r="Y191" s="818"/>
      <c r="Z191" s="818"/>
    </row>
    <row r="192" spans="1:26" ht="19.5">
      <c r="A192" s="949"/>
      <c r="B192" s="950"/>
      <c r="C192" s="976" t="s">
        <v>16</v>
      </c>
      <c r="D192" s="951" t="s">
        <v>38</v>
      </c>
      <c r="E192" s="952"/>
      <c r="F192" s="952"/>
      <c r="G192" s="953"/>
      <c r="H192" s="954"/>
      <c r="I192" s="830"/>
      <c r="J192" s="830"/>
      <c r="K192" s="831"/>
      <c r="L192" s="831"/>
      <c r="M192" s="831"/>
      <c r="N192" s="831"/>
      <c r="O192" s="831"/>
      <c r="P192" s="831"/>
      <c r="Q192" s="818"/>
      <c r="R192" s="818"/>
      <c r="S192" s="818"/>
      <c r="T192" s="818"/>
      <c r="U192" s="818"/>
      <c r="V192" s="818"/>
      <c r="W192" s="818"/>
      <c r="X192" s="818"/>
      <c r="Y192" s="818"/>
      <c r="Z192" s="818"/>
    </row>
    <row r="193" spans="1:26" ht="18.75">
      <c r="A193" s="949"/>
      <c r="B193" s="950"/>
      <c r="C193" s="950"/>
      <c r="D193" s="956" t="s">
        <v>91</v>
      </c>
      <c r="E193" s="957"/>
      <c r="F193" s="957"/>
      <c r="G193" s="958"/>
      <c r="H193" s="730" t="s">
        <v>90</v>
      </c>
      <c r="I193" s="830">
        <f ca="1">IFERROR(__xludf.DUMMYFUNCTION("IMPORTRANGE(""https://docs.google.com/spreadsheets/d/1QqKyyYR6Q21VydFLVH3TRQUabQu_ym0Zz7PgGX0-kHA/edit?usp=sharing"",""แผน!AC25"")"),4)</f>
        <v>4</v>
      </c>
      <c r="J193" s="959">
        <v>1</v>
      </c>
      <c r="K193" s="831">
        <f ca="1">IF(I193&gt;0,J193*100/I193,0)</f>
        <v>25</v>
      </c>
      <c r="L193" s="831"/>
      <c r="M193" s="831"/>
      <c r="N193" s="831"/>
      <c r="O193" s="831"/>
      <c r="P193" s="831"/>
      <c r="Q193" s="818"/>
      <c r="R193" s="818"/>
      <c r="S193" s="818"/>
      <c r="T193" s="818"/>
      <c r="U193" s="818"/>
      <c r="V193" s="818"/>
      <c r="W193" s="818"/>
      <c r="X193" s="818"/>
      <c r="Y193" s="818"/>
      <c r="Z193" s="818"/>
    </row>
    <row r="194" spans="1:26" ht="18.75">
      <c r="A194" s="949"/>
      <c r="B194" s="950"/>
      <c r="C194" s="950"/>
      <c r="D194" s="956" t="s">
        <v>92</v>
      </c>
      <c r="E194" s="957"/>
      <c r="F194" s="957"/>
      <c r="G194" s="958"/>
      <c r="H194" s="277" t="s">
        <v>35</v>
      </c>
      <c r="I194" s="830"/>
      <c r="J194" s="830">
        <f>J195+J196</f>
        <v>26</v>
      </c>
      <c r="K194" s="831"/>
      <c r="L194" s="831"/>
      <c r="M194" s="831"/>
      <c r="N194" s="831"/>
      <c r="O194" s="831"/>
      <c r="P194" s="831"/>
      <c r="Q194" s="818"/>
      <c r="R194" s="818"/>
      <c r="S194" s="818"/>
      <c r="T194" s="818"/>
      <c r="U194" s="818"/>
      <c r="V194" s="818"/>
      <c r="W194" s="818"/>
      <c r="X194" s="818"/>
      <c r="Y194" s="818"/>
      <c r="Z194" s="818"/>
    </row>
    <row r="195" spans="1:26" ht="18.75">
      <c r="A195" s="949"/>
      <c r="B195" s="950"/>
      <c r="C195" s="950"/>
      <c r="D195" s="950"/>
      <c r="E195" s="956" t="s">
        <v>93</v>
      </c>
      <c r="F195" s="957"/>
      <c r="G195" s="958"/>
      <c r="H195" s="277" t="s">
        <v>35</v>
      </c>
      <c r="I195" s="830"/>
      <c r="J195" s="959">
        <v>26</v>
      </c>
      <c r="K195" s="831"/>
      <c r="L195" s="831"/>
      <c r="M195" s="831"/>
      <c r="N195" s="831"/>
      <c r="O195" s="831"/>
      <c r="P195" s="831"/>
      <c r="Q195" s="818"/>
      <c r="R195" s="818"/>
      <c r="S195" s="818"/>
      <c r="T195" s="818"/>
      <c r="U195" s="818"/>
      <c r="V195" s="818"/>
      <c r="W195" s="818"/>
      <c r="X195" s="818"/>
      <c r="Y195" s="818"/>
      <c r="Z195" s="818"/>
    </row>
    <row r="196" spans="1:26" ht="18.75">
      <c r="A196" s="949"/>
      <c r="B196" s="950"/>
      <c r="C196" s="950"/>
      <c r="D196" s="950"/>
      <c r="E196" s="956" t="s">
        <v>94</v>
      </c>
      <c r="F196" s="957"/>
      <c r="G196" s="958"/>
      <c r="H196" s="277" t="s">
        <v>35</v>
      </c>
      <c r="I196" s="830"/>
      <c r="J196" s="959">
        <v>0</v>
      </c>
      <c r="K196" s="831"/>
      <c r="L196" s="831"/>
      <c r="M196" s="831"/>
      <c r="N196" s="831"/>
      <c r="O196" s="831"/>
      <c r="P196" s="831"/>
      <c r="Q196" s="818"/>
      <c r="R196" s="818"/>
      <c r="S196" s="818"/>
      <c r="T196" s="818"/>
      <c r="U196" s="818"/>
      <c r="V196" s="818"/>
      <c r="W196" s="818"/>
      <c r="X196" s="818"/>
      <c r="Y196" s="818"/>
      <c r="Z196" s="818"/>
    </row>
    <row r="197" spans="1:26" ht="19.5">
      <c r="A197" s="1011"/>
      <c r="B197" s="1018"/>
      <c r="C197" s="1023" t="s">
        <v>95</v>
      </c>
      <c r="D197" s="1012"/>
      <c r="E197" s="1012"/>
      <c r="F197" s="1012"/>
      <c r="G197" s="1014"/>
      <c r="H197" s="278" t="s">
        <v>96</v>
      </c>
      <c r="I197" s="1024">
        <f t="shared" ref="I197:J197" ca="1" si="99">I204</f>
        <v>2</v>
      </c>
      <c r="J197" s="1024">
        <f t="shared" si="99"/>
        <v>2</v>
      </c>
      <c r="K197" s="1025">
        <f ca="1">IF(I197&gt;0,J197*100/I197,0)</f>
        <v>100</v>
      </c>
      <c r="L197" s="1016"/>
      <c r="M197" s="1016"/>
      <c r="N197" s="1016"/>
      <c r="O197" s="1016"/>
      <c r="P197" s="1016"/>
    </row>
    <row r="198" spans="1:26" ht="19.5">
      <c r="A198" s="932"/>
      <c r="B198" s="933"/>
      <c r="C198" s="934" t="s">
        <v>16</v>
      </c>
      <c r="D198" s="1026" t="s">
        <v>17</v>
      </c>
      <c r="E198" s="933"/>
      <c r="F198" s="933"/>
      <c r="G198" s="936"/>
      <c r="H198" s="275" t="s">
        <v>12</v>
      </c>
      <c r="I198" s="1028"/>
      <c r="J198" s="1028"/>
      <c r="K198" s="1029"/>
      <c r="L198" s="939">
        <f ca="1">L199+L200+L201+L202</f>
        <v>26000</v>
      </c>
      <c r="M198" s="939"/>
      <c r="N198" s="939">
        <f>N199+N200+N201+N202</f>
        <v>16910</v>
      </c>
      <c r="O198" s="939">
        <f ca="1">IF(L198&gt;0,N198*100/L198,0)</f>
        <v>65.038461538461533</v>
      </c>
      <c r="P198" s="939">
        <f>IF(M198&gt;0,N198*100/M198,0)</f>
        <v>0</v>
      </c>
      <c r="Q198" s="818"/>
      <c r="R198" s="818"/>
      <c r="S198" s="818"/>
      <c r="T198" s="818"/>
      <c r="U198" s="818"/>
      <c r="V198" s="818"/>
      <c r="W198" s="818"/>
      <c r="X198" s="818"/>
      <c r="Y198" s="818"/>
      <c r="Z198" s="818"/>
    </row>
    <row r="199" spans="1:26" ht="18.75">
      <c r="A199" s="942"/>
      <c r="B199" s="1030"/>
      <c r="C199" s="827"/>
      <c r="D199" s="943" t="s">
        <v>97</v>
      </c>
      <c r="E199" s="827"/>
      <c r="F199" s="827"/>
      <c r="G199" s="829"/>
      <c r="H199" s="778" t="s">
        <v>12</v>
      </c>
      <c r="I199" s="944"/>
      <c r="J199" s="944"/>
      <c r="K199" s="945"/>
      <c r="L199" s="831">
        <f ca="1">IFERROR(__xludf.DUMMYFUNCTION("IMPORTRANGE(""https://docs.google.com/spreadsheets/d/1QqKyyYR6Q21VydFLVH3TRQUabQu_ym0Zz7PgGX0-kHA/edit?usp=sharing"",""แผน!AE25"")"),2000)</f>
        <v>2000</v>
      </c>
      <c r="M199" s="831"/>
      <c r="N199" s="1031">
        <v>910</v>
      </c>
      <c r="O199" s="831"/>
      <c r="P199" s="831"/>
      <c r="Q199" s="818"/>
      <c r="R199" s="818"/>
      <c r="S199" s="818"/>
      <c r="T199" s="818"/>
      <c r="U199" s="818"/>
      <c r="V199" s="818"/>
      <c r="W199" s="818"/>
      <c r="X199" s="818"/>
      <c r="Y199" s="818"/>
      <c r="Z199" s="818"/>
    </row>
    <row r="200" spans="1:26" ht="19.5">
      <c r="A200" s="1032"/>
      <c r="B200" s="1030"/>
      <c r="C200" s="976"/>
      <c r="D200" s="943" t="s">
        <v>98</v>
      </c>
      <c r="E200" s="827"/>
      <c r="F200" s="827"/>
      <c r="G200" s="829"/>
      <c r="H200" s="590" t="s">
        <v>12</v>
      </c>
      <c r="I200" s="830"/>
      <c r="J200" s="830"/>
      <c r="K200" s="831"/>
      <c r="L200" s="831">
        <f ca="1">IFERROR(__xludf.DUMMYFUNCTION("IMPORTRANGE(""https://docs.google.com/spreadsheets/d/1QqKyyYR6Q21VydFLVH3TRQUabQu_ym0Zz7PgGX0-kHA/edit?usp=sharing"",""แผน!AF25"")"),16000)</f>
        <v>16000</v>
      </c>
      <c r="M200" s="831"/>
      <c r="N200" s="1031">
        <v>16000</v>
      </c>
      <c r="O200" s="831"/>
      <c r="P200" s="831"/>
      <c r="Q200" s="1033"/>
      <c r="R200" s="1033"/>
      <c r="S200" s="1033"/>
      <c r="T200" s="1033"/>
      <c r="U200" s="1033"/>
      <c r="V200" s="1033"/>
      <c r="W200" s="1033"/>
      <c r="X200" s="1033"/>
      <c r="Y200" s="1033"/>
      <c r="Z200" s="1033"/>
    </row>
    <row r="201" spans="1:26" ht="19.5">
      <c r="A201" s="1032"/>
      <c r="B201" s="1030"/>
      <c r="C201" s="976"/>
      <c r="D201" s="943" t="s">
        <v>99</v>
      </c>
      <c r="E201" s="827"/>
      <c r="F201" s="827"/>
      <c r="G201" s="829"/>
      <c r="H201" s="590" t="s">
        <v>12</v>
      </c>
      <c r="I201" s="830"/>
      <c r="J201" s="830"/>
      <c r="K201" s="831"/>
      <c r="L201" s="831">
        <f ca="1">IFERROR(__xludf.DUMMYFUNCTION("IMPORTRANGE(""https://docs.google.com/spreadsheets/d/1QqKyyYR6Q21VydFLVH3TRQUabQu_ym0Zz7PgGX0-kHA/edit?usp=sharing"",""แผน!AG25"")"),8000)</f>
        <v>8000</v>
      </c>
      <c r="M201" s="831"/>
      <c r="N201" s="1031"/>
      <c r="O201" s="831"/>
      <c r="P201" s="831"/>
      <c r="Q201" s="1033"/>
      <c r="R201" s="1033"/>
      <c r="S201" s="1033"/>
      <c r="T201" s="1033"/>
      <c r="U201" s="1033"/>
      <c r="V201" s="1033"/>
      <c r="W201" s="1033"/>
      <c r="X201" s="1033"/>
      <c r="Y201" s="1033"/>
      <c r="Z201" s="1033"/>
    </row>
    <row r="202" spans="1:26" ht="19.5">
      <c r="A202" s="1032"/>
      <c r="B202" s="1030"/>
      <c r="C202" s="976"/>
      <c r="D202" s="943" t="s">
        <v>100</v>
      </c>
      <c r="E202" s="827"/>
      <c r="F202" s="827"/>
      <c r="G202" s="829"/>
      <c r="H202" s="590" t="s">
        <v>12</v>
      </c>
      <c r="I202" s="830"/>
      <c r="J202" s="830"/>
      <c r="K202" s="831"/>
      <c r="L202" s="831">
        <f ca="1">IFERROR(__xludf.DUMMYFUNCTION("IMPORTRANGE(""https://docs.google.com/spreadsheets/d/1QqKyyYR6Q21VydFLVH3TRQUabQu_ym0Zz7PgGX0-kHA/edit?usp=sharing"",""แผน!AH25"")"),0)</f>
        <v>0</v>
      </c>
      <c r="M202" s="831"/>
      <c r="N202" s="1031">
        <v>0</v>
      </c>
      <c r="O202" s="831"/>
      <c r="P202" s="831"/>
      <c r="Q202" s="1033"/>
      <c r="R202" s="1033"/>
      <c r="S202" s="1033"/>
      <c r="T202" s="1033"/>
      <c r="U202" s="1033"/>
      <c r="V202" s="1033"/>
      <c r="W202" s="1033"/>
      <c r="X202" s="1033"/>
      <c r="Y202" s="1033"/>
      <c r="Z202" s="1033"/>
    </row>
    <row r="203" spans="1:26" ht="19.5">
      <c r="A203" s="949"/>
      <c r="B203" s="950"/>
      <c r="C203" s="976" t="s">
        <v>16</v>
      </c>
      <c r="D203" s="951" t="s">
        <v>38</v>
      </c>
      <c r="E203" s="952"/>
      <c r="F203" s="952"/>
      <c r="G203" s="953"/>
      <c r="H203" s="954"/>
      <c r="I203" s="944"/>
      <c r="J203" s="944"/>
      <c r="K203" s="945"/>
      <c r="L203" s="945"/>
      <c r="M203" s="945"/>
      <c r="N203" s="945"/>
      <c r="O203" s="945"/>
      <c r="P203" s="945"/>
      <c r="Q203" s="818"/>
      <c r="R203" s="818"/>
      <c r="S203" s="818"/>
      <c r="T203" s="818"/>
      <c r="U203" s="818"/>
      <c r="V203" s="818"/>
      <c r="W203" s="818"/>
      <c r="X203" s="818"/>
      <c r="Y203" s="818"/>
      <c r="Z203" s="818"/>
    </row>
    <row r="204" spans="1:26" ht="18.75">
      <c r="A204" s="949"/>
      <c r="B204" s="950"/>
      <c r="C204" s="950"/>
      <c r="D204" s="955" t="s">
        <v>101</v>
      </c>
      <c r="E204" s="957"/>
      <c r="F204" s="957"/>
      <c r="G204" s="958"/>
      <c r="H204" s="954" t="s">
        <v>96</v>
      </c>
      <c r="I204" s="830">
        <f ca="1">IFERROR(__xludf.DUMMYFUNCTION("IMPORTRANGE(""https://docs.google.com/spreadsheets/d/1QqKyyYR6Q21VydFLVH3TRQUabQu_ym0Zz7PgGX0-kHA/edit?usp=sharing"",""แผน!AI25"")"),2)</f>
        <v>2</v>
      </c>
      <c r="J204" s="959">
        <v>2</v>
      </c>
      <c r="K204" s="945">
        <f ca="1">IF(I204&gt;0,J204*100/I204,0)</f>
        <v>100</v>
      </c>
      <c r="L204" s="831"/>
      <c r="M204" s="831"/>
      <c r="N204" s="831"/>
      <c r="O204" s="831"/>
      <c r="P204" s="831"/>
      <c r="Q204" s="818"/>
      <c r="R204" s="818"/>
      <c r="S204" s="818"/>
      <c r="T204" s="818"/>
      <c r="U204" s="818"/>
      <c r="V204" s="818"/>
      <c r="W204" s="818"/>
      <c r="X204" s="818"/>
      <c r="Y204" s="818"/>
      <c r="Z204" s="818"/>
    </row>
    <row r="205" spans="1:26" ht="18.75">
      <c r="A205" s="949"/>
      <c r="B205" s="950"/>
      <c r="C205" s="950"/>
      <c r="D205" s="956" t="s">
        <v>59</v>
      </c>
      <c r="E205" s="957"/>
      <c r="F205" s="957"/>
      <c r="G205" s="958"/>
      <c r="H205" s="954"/>
      <c r="I205" s="830"/>
      <c r="J205" s="830"/>
      <c r="K205" s="945"/>
      <c r="L205" s="831"/>
      <c r="M205" s="831"/>
      <c r="N205" s="831"/>
      <c r="O205" s="831"/>
      <c r="P205" s="831"/>
      <c r="Q205" s="818"/>
      <c r="R205" s="818"/>
      <c r="S205" s="818"/>
      <c r="T205" s="818"/>
      <c r="U205" s="818"/>
      <c r="V205" s="818"/>
      <c r="W205" s="818"/>
      <c r="X205" s="818"/>
      <c r="Y205" s="818"/>
      <c r="Z205" s="818"/>
    </row>
    <row r="206" spans="1:26" ht="18.75">
      <c r="A206" s="949"/>
      <c r="B206" s="950"/>
      <c r="C206" s="950"/>
      <c r="D206" s="957"/>
      <c r="E206" s="968" t="s">
        <v>102</v>
      </c>
      <c r="F206" s="1034"/>
      <c r="G206" s="1035"/>
      <c r="H206" s="1036" t="s">
        <v>96</v>
      </c>
      <c r="I206" s="830">
        <v>2</v>
      </c>
      <c r="J206" s="959">
        <v>0</v>
      </c>
      <c r="K206" s="945">
        <f t="shared" ref="K206:K208" si="100">IF(I206&gt;0,J206*100/I206,0)</f>
        <v>0</v>
      </c>
      <c r="L206" s="831"/>
      <c r="M206" s="831"/>
      <c r="N206" s="831"/>
      <c r="O206" s="831"/>
      <c r="P206" s="831"/>
      <c r="Q206" s="818"/>
      <c r="R206" s="818"/>
      <c r="S206" s="818"/>
      <c r="T206" s="818"/>
      <c r="U206" s="818"/>
      <c r="V206" s="818"/>
      <c r="W206" s="818"/>
      <c r="X206" s="818"/>
      <c r="Y206" s="818"/>
      <c r="Z206" s="818"/>
    </row>
    <row r="207" spans="1:26" ht="18.75">
      <c r="A207" s="949"/>
      <c r="B207" s="950"/>
      <c r="C207" s="950"/>
      <c r="D207" s="956"/>
      <c r="E207" s="956" t="s">
        <v>103</v>
      </c>
      <c r="F207" s="957"/>
      <c r="G207" s="957"/>
      <c r="H207" s="290" t="s">
        <v>104</v>
      </c>
      <c r="I207" s="830">
        <v>0</v>
      </c>
      <c r="J207" s="959">
        <v>0</v>
      </c>
      <c r="K207" s="945">
        <f t="shared" si="100"/>
        <v>0</v>
      </c>
      <c r="L207" s="831"/>
      <c r="M207" s="831"/>
      <c r="N207" s="831"/>
      <c r="O207" s="831"/>
      <c r="P207" s="831"/>
      <c r="Q207" s="818"/>
      <c r="R207" s="818"/>
      <c r="S207" s="818"/>
      <c r="T207" s="818"/>
      <c r="U207" s="818"/>
      <c r="V207" s="818"/>
      <c r="W207" s="818"/>
      <c r="X207" s="818"/>
      <c r="Y207" s="818"/>
      <c r="Z207" s="818"/>
    </row>
    <row r="208" spans="1:26" ht="19.5" hidden="1">
      <c r="A208" s="1011"/>
      <c r="B208" s="1018"/>
      <c r="C208" s="1023" t="s">
        <v>105</v>
      </c>
      <c r="D208" s="1012"/>
      <c r="E208" s="1012"/>
      <c r="F208" s="1037"/>
      <c r="G208" s="1014"/>
      <c r="H208" s="278" t="s">
        <v>96</v>
      </c>
      <c r="I208" s="1024">
        <f t="shared" ref="I208:J208" ca="1" si="101">I215</f>
        <v>0</v>
      </c>
      <c r="J208" s="1024">
        <f t="shared" si="101"/>
        <v>0</v>
      </c>
      <c r="K208" s="1025">
        <f t="shared" ca="1" si="100"/>
        <v>0</v>
      </c>
      <c r="L208" s="1016"/>
      <c r="M208" s="1016"/>
      <c r="N208" s="1016"/>
      <c r="O208" s="1016"/>
      <c r="P208" s="1016"/>
    </row>
    <row r="209" spans="1:26" ht="19.5" hidden="1">
      <c r="A209" s="932"/>
      <c r="B209" s="933"/>
      <c r="C209" s="934" t="s">
        <v>16</v>
      </c>
      <c r="D209" s="1026" t="s">
        <v>17</v>
      </c>
      <c r="E209" s="933"/>
      <c r="F209" s="933"/>
      <c r="G209" s="936"/>
      <c r="H209" s="275" t="s">
        <v>12</v>
      </c>
      <c r="I209" s="1028"/>
      <c r="J209" s="1028"/>
      <c r="K209" s="1029"/>
      <c r="L209" s="939">
        <f ca="1">L210+L211+L212</f>
        <v>0</v>
      </c>
      <c r="M209" s="939"/>
      <c r="N209" s="939">
        <f>N210+N211+N212</f>
        <v>0</v>
      </c>
      <c r="O209" s="939">
        <f ca="1">IF(L209&gt;0,N209*100/L209,0)</f>
        <v>0</v>
      </c>
      <c r="P209" s="939">
        <f>IF(M209&gt;0,N209*100/M209,0)</f>
        <v>0</v>
      </c>
      <c r="Q209" s="818"/>
      <c r="R209" s="818"/>
      <c r="S209" s="818"/>
      <c r="T209" s="818"/>
      <c r="U209" s="818"/>
      <c r="V209" s="818"/>
      <c r="W209" s="818"/>
      <c r="X209" s="818"/>
      <c r="Y209" s="818"/>
      <c r="Z209" s="818"/>
    </row>
    <row r="210" spans="1:26" ht="18.75" hidden="1">
      <c r="A210" s="942"/>
      <c r="B210" s="1030"/>
      <c r="C210" s="827"/>
      <c r="D210" s="943" t="s">
        <v>97</v>
      </c>
      <c r="E210" s="827"/>
      <c r="F210" s="827"/>
      <c r="G210" s="829"/>
      <c r="H210" s="778" t="s">
        <v>12</v>
      </c>
      <c r="I210" s="944"/>
      <c r="J210" s="944"/>
      <c r="K210" s="945"/>
      <c r="L210" s="831">
        <f ca="1">IFERROR(__xludf.DUMMYFUNCTION("IMPORTRANGE(""https://docs.google.com/spreadsheets/d/1QqKyyYR6Q21VydFLVH3TRQUabQu_ym0Zz7PgGX0-kHA/edit?usp=sharing"",""แผน!AK25"")"),0)</f>
        <v>0</v>
      </c>
      <c r="M210" s="831"/>
      <c r="N210" s="1031">
        <v>0</v>
      </c>
      <c r="O210" s="831"/>
      <c r="P210" s="831"/>
      <c r="Q210" s="818"/>
      <c r="R210" s="818"/>
      <c r="S210" s="818"/>
      <c r="T210" s="818"/>
      <c r="U210" s="818"/>
      <c r="V210" s="818"/>
      <c r="W210" s="818"/>
      <c r="X210" s="818"/>
      <c r="Y210" s="818"/>
      <c r="Z210" s="818"/>
    </row>
    <row r="211" spans="1:26" ht="19.5" hidden="1">
      <c r="A211" s="1032"/>
      <c r="B211" s="1030"/>
      <c r="C211" s="1038"/>
      <c r="D211" s="943" t="s">
        <v>99</v>
      </c>
      <c r="E211" s="827"/>
      <c r="F211" s="827"/>
      <c r="G211" s="829"/>
      <c r="H211" s="778" t="s">
        <v>12</v>
      </c>
      <c r="I211" s="830"/>
      <c r="J211" s="830"/>
      <c r="K211" s="831"/>
      <c r="L211" s="831">
        <f ca="1">IFERROR(__xludf.DUMMYFUNCTION("IMPORTRANGE(""https://docs.google.com/spreadsheets/d/1QqKyyYR6Q21VydFLVH3TRQUabQu_ym0Zz7PgGX0-kHA/edit?usp=sharing"",""แผน!AL25"")"),0)</f>
        <v>0</v>
      </c>
      <c r="M211" s="831"/>
      <c r="N211" s="1031">
        <v>0</v>
      </c>
      <c r="O211" s="831"/>
      <c r="P211" s="831"/>
      <c r="Q211" s="1033"/>
      <c r="R211" s="1033"/>
      <c r="S211" s="1033"/>
      <c r="T211" s="1033"/>
      <c r="U211" s="1033"/>
      <c r="V211" s="1033"/>
      <c r="W211" s="1033"/>
      <c r="X211" s="1033"/>
      <c r="Y211" s="1033"/>
      <c r="Z211" s="1033"/>
    </row>
    <row r="212" spans="1:26" ht="19.5" hidden="1">
      <c r="A212" s="1032"/>
      <c r="B212" s="1030"/>
      <c r="C212" s="1038"/>
      <c r="D212" s="943" t="s">
        <v>98</v>
      </c>
      <c r="E212" s="827"/>
      <c r="F212" s="827"/>
      <c r="G212" s="829"/>
      <c r="H212" s="778" t="s">
        <v>12</v>
      </c>
      <c r="I212" s="830"/>
      <c r="J212" s="830"/>
      <c r="K212" s="831"/>
      <c r="L212" s="831">
        <f ca="1">IFERROR(__xludf.DUMMYFUNCTION("IMPORTRANGE(""https://docs.google.com/spreadsheets/d/1QqKyyYR6Q21VydFLVH3TRQUabQu_ym0Zz7PgGX0-kHA/edit?usp=sharing"",""แผน!AM25"")"),0)</f>
        <v>0</v>
      </c>
      <c r="M212" s="831"/>
      <c r="N212" s="1031">
        <v>0</v>
      </c>
      <c r="O212" s="831"/>
      <c r="P212" s="831"/>
      <c r="Q212" s="1033"/>
      <c r="R212" s="1033"/>
      <c r="S212" s="1033"/>
      <c r="T212" s="1033"/>
      <c r="U212" s="1033"/>
      <c r="V212" s="1033"/>
      <c r="W212" s="1033"/>
      <c r="X212" s="1033"/>
      <c r="Y212" s="1033"/>
      <c r="Z212" s="1033"/>
    </row>
    <row r="213" spans="1:26" ht="19.5" hidden="1">
      <c r="A213" s="949"/>
      <c r="B213" s="950"/>
      <c r="C213" s="1038" t="s">
        <v>16</v>
      </c>
      <c r="D213" s="951" t="s">
        <v>38</v>
      </c>
      <c r="E213" s="952"/>
      <c r="F213" s="952"/>
      <c r="G213" s="953"/>
      <c r="H213" s="954"/>
      <c r="I213" s="944"/>
      <c r="J213" s="830"/>
      <c r="K213" s="831"/>
      <c r="L213" s="831"/>
      <c r="M213" s="831"/>
      <c r="N213" s="831"/>
      <c r="O213" s="945"/>
      <c r="P213" s="945"/>
      <c r="Q213" s="818"/>
      <c r="R213" s="818"/>
      <c r="S213" s="818"/>
      <c r="T213" s="818"/>
      <c r="U213" s="818"/>
      <c r="V213" s="818"/>
      <c r="W213" s="818"/>
      <c r="X213" s="818"/>
      <c r="Y213" s="818"/>
      <c r="Z213" s="818"/>
    </row>
    <row r="214" spans="1:26" ht="18.75" hidden="1">
      <c r="A214" s="949"/>
      <c r="B214" s="950"/>
      <c r="C214" s="950"/>
      <c r="D214" s="955" t="s">
        <v>106</v>
      </c>
      <c r="E214" s="957"/>
      <c r="F214" s="957"/>
      <c r="G214" s="958"/>
      <c r="H214" s="954" t="s">
        <v>96</v>
      </c>
      <c r="I214" s="830">
        <f ca="1">IFERROR(__xludf.DUMMYFUNCTION("IMPORTRANGE(""https://docs.google.com/spreadsheets/d/1QqKyyYR6Q21VydFLVH3TRQUabQu_ym0Zz7PgGX0-kHA/edit?usp=sharing"",""แผน!AN25"")"),0)</f>
        <v>0</v>
      </c>
      <c r="J214" s="959">
        <v>0</v>
      </c>
      <c r="K214" s="831">
        <f t="shared" ref="K214:K216" ca="1" si="102">IF(I214&gt;0,J214*100/I214,0)</f>
        <v>0</v>
      </c>
      <c r="L214" s="831"/>
      <c r="M214" s="831"/>
      <c r="N214" s="831"/>
      <c r="O214" s="831"/>
      <c r="P214" s="831"/>
      <c r="Q214" s="818"/>
      <c r="R214" s="818"/>
      <c r="S214" s="818"/>
      <c r="T214" s="818"/>
      <c r="U214" s="818"/>
      <c r="V214" s="818"/>
      <c r="W214" s="818"/>
      <c r="X214" s="818"/>
      <c r="Y214" s="818"/>
      <c r="Z214" s="818"/>
    </row>
    <row r="215" spans="1:26" ht="18.75" hidden="1">
      <c r="A215" s="949"/>
      <c r="B215" s="950"/>
      <c r="C215" s="950"/>
      <c r="D215" s="955" t="s">
        <v>107</v>
      </c>
      <c r="E215" s="957"/>
      <c r="F215" s="957"/>
      <c r="G215" s="958"/>
      <c r="H215" s="954" t="s">
        <v>96</v>
      </c>
      <c r="I215" s="830">
        <f ca="1">IFERROR(__xludf.DUMMYFUNCTION("IMPORTRANGE(""https://docs.google.com/spreadsheets/d/1QqKyyYR6Q21VydFLVH3TRQUabQu_ym0Zz7PgGX0-kHA/edit?usp=sharing"",""แผน!AN25"")"),0)</f>
        <v>0</v>
      </c>
      <c r="J215" s="959">
        <v>0</v>
      </c>
      <c r="K215" s="831">
        <f t="shared" ca="1" si="102"/>
        <v>0</v>
      </c>
      <c r="L215" s="831"/>
      <c r="M215" s="831"/>
      <c r="N215" s="831"/>
      <c r="O215" s="831"/>
      <c r="P215" s="831"/>
      <c r="Q215" s="818"/>
      <c r="R215" s="818"/>
      <c r="S215" s="818"/>
      <c r="T215" s="818"/>
      <c r="U215" s="818"/>
      <c r="V215" s="818"/>
      <c r="W215" s="818"/>
      <c r="X215" s="818"/>
      <c r="Y215" s="818"/>
      <c r="Z215" s="818"/>
    </row>
    <row r="216" spans="1:26" ht="19.5">
      <c r="A216" s="1011"/>
      <c r="B216" s="1018"/>
      <c r="C216" s="1023" t="s">
        <v>108</v>
      </c>
      <c r="D216" s="1012"/>
      <c r="E216" s="1012"/>
      <c r="F216" s="1037"/>
      <c r="G216" s="1014"/>
      <c r="H216" s="260" t="s">
        <v>109</v>
      </c>
      <c r="I216" s="1024">
        <f t="shared" ref="I216:J216" ca="1" si="103">I224</f>
        <v>150000</v>
      </c>
      <c r="J216" s="1024">
        <f t="shared" si="103"/>
        <v>0</v>
      </c>
      <c r="K216" s="1025">
        <f t="shared" ca="1" si="102"/>
        <v>0</v>
      </c>
      <c r="L216" s="1016"/>
      <c r="M216" s="1016"/>
      <c r="N216" s="1016"/>
      <c r="O216" s="1016"/>
      <c r="P216" s="1016"/>
    </row>
    <row r="217" spans="1:26" ht="19.5">
      <c r="A217" s="932"/>
      <c r="B217" s="933"/>
      <c r="C217" s="934" t="s">
        <v>16</v>
      </c>
      <c r="D217" s="1026" t="s">
        <v>17</v>
      </c>
      <c r="E217" s="933"/>
      <c r="F217" s="933"/>
      <c r="G217" s="936"/>
      <c r="H217" s="275" t="s">
        <v>12</v>
      </c>
      <c r="I217" s="1028"/>
      <c r="J217" s="1028"/>
      <c r="K217" s="1029"/>
      <c r="L217" s="939">
        <f ca="1">L218+L219+L220</f>
        <v>46500</v>
      </c>
      <c r="M217" s="939"/>
      <c r="N217" s="939">
        <f>N218+N219+N220</f>
        <v>0</v>
      </c>
      <c r="O217" s="939">
        <f ca="1">IF(L217&gt;0,N217*100/L217,0)</f>
        <v>0</v>
      </c>
      <c r="P217" s="939">
        <f>IF(M217&gt;0,N217*100/M217,0)</f>
        <v>0</v>
      </c>
      <c r="Q217" s="818"/>
      <c r="R217" s="818"/>
      <c r="S217" s="818"/>
      <c r="T217" s="818"/>
      <c r="U217" s="818"/>
      <c r="V217" s="818"/>
      <c r="W217" s="818"/>
      <c r="X217" s="818"/>
      <c r="Y217" s="818"/>
      <c r="Z217" s="818"/>
    </row>
    <row r="218" spans="1:26" ht="18.75">
      <c r="A218" s="942"/>
      <c r="B218" s="1030"/>
      <c r="C218" s="827"/>
      <c r="D218" s="943" t="s">
        <v>97</v>
      </c>
      <c r="E218" s="827"/>
      <c r="F218" s="827"/>
      <c r="G218" s="829"/>
      <c r="H218" s="778" t="s">
        <v>12</v>
      </c>
      <c r="I218" s="944"/>
      <c r="J218" s="944"/>
      <c r="K218" s="945"/>
      <c r="L218" s="831">
        <f ca="1">IFERROR(__xludf.DUMMYFUNCTION("IMPORTRANGE(""https://docs.google.com/spreadsheets/d/1QqKyyYR6Q21VydFLVH3TRQUabQu_ym0Zz7PgGX0-kHA/edit?usp=sharing"",""แผน!AP25"")"),8000)</f>
        <v>8000</v>
      </c>
      <c r="M218" s="831"/>
      <c r="N218" s="1031">
        <v>0</v>
      </c>
      <c r="O218" s="831"/>
      <c r="P218" s="831"/>
      <c r="Q218" s="818"/>
      <c r="R218" s="818"/>
      <c r="S218" s="818"/>
      <c r="T218" s="818"/>
      <c r="U218" s="818"/>
      <c r="V218" s="818"/>
      <c r="W218" s="818"/>
      <c r="X218" s="818"/>
      <c r="Y218" s="818"/>
      <c r="Z218" s="818"/>
    </row>
    <row r="219" spans="1:26" ht="19.5">
      <c r="A219" s="1032"/>
      <c r="B219" s="1030"/>
      <c r="C219" s="1038"/>
      <c r="D219" s="943" t="s">
        <v>110</v>
      </c>
      <c r="E219" s="827"/>
      <c r="F219" s="827"/>
      <c r="G219" s="829"/>
      <c r="H219" s="778" t="s">
        <v>12</v>
      </c>
      <c r="I219" s="830"/>
      <c r="J219" s="830"/>
      <c r="K219" s="831"/>
      <c r="L219" s="831">
        <f ca="1">IFERROR(__xludf.DUMMYFUNCTION("IMPORTRANGE(""https://docs.google.com/spreadsheets/d/1QqKyyYR6Q21VydFLVH3TRQUabQu_ym0Zz7PgGX0-kHA/edit?usp=sharing"",""แผน!AQ25"")"),38500)</f>
        <v>38500</v>
      </c>
      <c r="M219" s="831"/>
      <c r="N219" s="1031">
        <v>0</v>
      </c>
      <c r="O219" s="831"/>
      <c r="P219" s="831"/>
      <c r="Q219" s="1033"/>
      <c r="R219" s="1033"/>
      <c r="S219" s="1033"/>
      <c r="T219" s="1033"/>
      <c r="U219" s="1033"/>
      <c r="V219" s="1033"/>
      <c r="W219" s="1033"/>
      <c r="X219" s="1033"/>
      <c r="Y219" s="1033"/>
      <c r="Z219" s="1033"/>
    </row>
    <row r="220" spans="1:26" ht="19.5">
      <c r="A220" s="1032"/>
      <c r="B220" s="1030"/>
      <c r="C220" s="1038"/>
      <c r="D220" s="943" t="s">
        <v>98</v>
      </c>
      <c r="E220" s="827"/>
      <c r="F220" s="827"/>
      <c r="G220" s="829"/>
      <c r="H220" s="778" t="s">
        <v>12</v>
      </c>
      <c r="I220" s="830"/>
      <c r="J220" s="830"/>
      <c r="K220" s="831"/>
      <c r="L220" s="831">
        <f ca="1">IFERROR(__xludf.DUMMYFUNCTION("IMPORTRANGE(""https://docs.google.com/spreadsheets/d/1QqKyyYR6Q21VydFLVH3TRQUabQu_ym0Zz7PgGX0-kHA/edit?usp=sharing"",""แผน!AR25"")"),0)</f>
        <v>0</v>
      </c>
      <c r="M220" s="831"/>
      <c r="N220" s="1031">
        <v>0</v>
      </c>
      <c r="O220" s="831"/>
      <c r="P220" s="831"/>
      <c r="Q220" s="1033"/>
      <c r="R220" s="1033"/>
      <c r="S220" s="1033"/>
      <c r="T220" s="1033"/>
      <c r="U220" s="1033"/>
      <c r="V220" s="1033"/>
      <c r="W220" s="1033"/>
      <c r="X220" s="1033"/>
      <c r="Y220" s="1033"/>
      <c r="Z220" s="1033"/>
    </row>
    <row r="221" spans="1:26" ht="19.5">
      <c r="A221" s="949"/>
      <c r="B221" s="950"/>
      <c r="C221" s="1038" t="s">
        <v>16</v>
      </c>
      <c r="D221" s="951" t="s">
        <v>38</v>
      </c>
      <c r="E221" s="952"/>
      <c r="F221" s="952"/>
      <c r="G221" s="953"/>
      <c r="H221" s="954"/>
      <c r="I221" s="944"/>
      <c r="J221" s="944"/>
      <c r="K221" s="945"/>
      <c r="L221" s="945"/>
      <c r="M221" s="945"/>
      <c r="N221" s="945"/>
      <c r="O221" s="945"/>
      <c r="P221" s="945"/>
      <c r="Q221" s="818"/>
      <c r="R221" s="818"/>
      <c r="S221" s="818"/>
      <c r="T221" s="818"/>
      <c r="U221" s="818"/>
      <c r="V221" s="818"/>
      <c r="W221" s="818"/>
      <c r="X221" s="818"/>
      <c r="Y221" s="818"/>
      <c r="Z221" s="818"/>
    </row>
    <row r="222" spans="1:26" ht="18.75">
      <c r="A222" s="949"/>
      <c r="B222" s="950"/>
      <c r="C222" s="950"/>
      <c r="D222" s="943" t="s">
        <v>111</v>
      </c>
      <c r="E222" s="957"/>
      <c r="F222" s="957"/>
      <c r="G222" s="958"/>
      <c r="H222" s="954"/>
      <c r="I222" s="830"/>
      <c r="J222" s="830"/>
      <c r="K222" s="945"/>
      <c r="L222" s="945"/>
      <c r="M222" s="945"/>
      <c r="N222" s="945"/>
      <c r="O222" s="945"/>
      <c r="P222" s="945"/>
      <c r="Q222" s="818"/>
      <c r="R222" s="818"/>
      <c r="S222" s="818"/>
      <c r="T222" s="818"/>
      <c r="U222" s="818"/>
      <c r="V222" s="818"/>
      <c r="W222" s="818"/>
      <c r="X222" s="818"/>
      <c r="Y222" s="818"/>
      <c r="Z222" s="818"/>
    </row>
    <row r="223" spans="1:26" ht="18.75">
      <c r="A223" s="949"/>
      <c r="B223" s="950"/>
      <c r="C223" s="950"/>
      <c r="D223" s="950"/>
      <c r="E223" s="955" t="s">
        <v>112</v>
      </c>
      <c r="F223" s="957"/>
      <c r="G223" s="958"/>
      <c r="H223" s="730" t="s">
        <v>109</v>
      </c>
      <c r="I223" s="830">
        <f ca="1">IFERROR(__xludf.DUMMYFUNCTION("IMPORTRANGE(""https://docs.google.com/spreadsheets/d/1QqKyyYR6Q21VydFLVH3TRQUabQu_ym0Zz7PgGX0-kHA/edit?usp=sharing"",""แผน!AT25"")"),150000)</f>
        <v>150000</v>
      </c>
      <c r="J223" s="959">
        <v>0</v>
      </c>
      <c r="K223" s="945">
        <f t="shared" ref="K223:K226" ca="1" si="104">IF(I223&gt;0,J223*100/I223,0)</f>
        <v>0</v>
      </c>
      <c r="L223" s="945"/>
      <c r="M223" s="945"/>
      <c r="N223" s="945"/>
      <c r="O223" s="945"/>
      <c r="P223" s="945"/>
      <c r="Q223" s="818"/>
      <c r="R223" s="818"/>
      <c r="S223" s="818"/>
      <c r="T223" s="818"/>
      <c r="U223" s="818"/>
      <c r="V223" s="818"/>
      <c r="W223" s="818"/>
      <c r="X223" s="818"/>
      <c r="Y223" s="818"/>
      <c r="Z223" s="818"/>
    </row>
    <row r="224" spans="1:26" ht="18.75">
      <c r="A224" s="949"/>
      <c r="B224" s="950"/>
      <c r="C224" s="950"/>
      <c r="D224" s="950"/>
      <c r="E224" s="955" t="s">
        <v>113</v>
      </c>
      <c r="F224" s="957"/>
      <c r="G224" s="958"/>
      <c r="H224" s="730" t="s">
        <v>109</v>
      </c>
      <c r="I224" s="830">
        <f ca="1">IFERROR(__xludf.DUMMYFUNCTION("IMPORTRANGE(""https://docs.google.com/spreadsheets/d/1QqKyyYR6Q21VydFLVH3TRQUabQu_ym0Zz7PgGX0-kHA/edit?usp=sharing"",""แผน!AT25"")"),150000)</f>
        <v>150000</v>
      </c>
      <c r="J224" s="959">
        <v>0</v>
      </c>
      <c r="K224" s="945">
        <f t="shared" ca="1" si="104"/>
        <v>0</v>
      </c>
      <c r="L224" s="831"/>
      <c r="M224" s="831"/>
      <c r="N224" s="831"/>
      <c r="O224" s="831"/>
      <c r="P224" s="831"/>
      <c r="Q224" s="818"/>
      <c r="R224" s="818"/>
      <c r="S224" s="818"/>
      <c r="T224" s="818"/>
      <c r="U224" s="818"/>
      <c r="V224" s="818"/>
      <c r="W224" s="818"/>
      <c r="X224" s="818"/>
      <c r="Y224" s="818"/>
      <c r="Z224" s="818"/>
    </row>
    <row r="225" spans="1:26" ht="18.75">
      <c r="A225" s="949"/>
      <c r="B225" s="950"/>
      <c r="C225" s="950"/>
      <c r="D225" s="943" t="s">
        <v>114</v>
      </c>
      <c r="E225" s="957"/>
      <c r="F225" s="957"/>
      <c r="G225" s="958"/>
      <c r="H225" s="730" t="s">
        <v>35</v>
      </c>
      <c r="I225" s="830">
        <f ca="1">IFERROR(__xludf.DUMMYFUNCTION("IMPORTRANGE(""https://docs.google.com/spreadsheets/d/1QqKyyYR6Q21VydFLVH3TRQUabQu_ym0Zz7PgGX0-kHA/edit?usp=sharing"",""แผน!AS25"")"),0)</f>
        <v>0</v>
      </c>
      <c r="J225" s="959">
        <v>0</v>
      </c>
      <c r="K225" s="945">
        <f t="shared" ca="1" si="104"/>
        <v>0</v>
      </c>
      <c r="L225" s="831"/>
      <c r="M225" s="831"/>
      <c r="N225" s="831"/>
      <c r="O225" s="831"/>
      <c r="P225" s="831"/>
      <c r="Q225" s="818"/>
      <c r="R225" s="818"/>
      <c r="S225" s="818"/>
      <c r="T225" s="818"/>
      <c r="U225" s="818"/>
      <c r="V225" s="818"/>
      <c r="W225" s="818"/>
      <c r="X225" s="818"/>
      <c r="Y225" s="818"/>
      <c r="Z225" s="818"/>
    </row>
    <row r="226" spans="1:26" ht="19.5" hidden="1">
      <c r="A226" s="1011"/>
      <c r="B226" s="1018"/>
      <c r="C226" s="1039" t="s">
        <v>115</v>
      </c>
      <c r="D226" s="1012"/>
      <c r="E226" s="1012"/>
      <c r="F226" s="1012"/>
      <c r="G226" s="1014"/>
      <c r="H226" s="266" t="s">
        <v>35</v>
      </c>
      <c r="I226" s="1040">
        <f t="shared" ref="I226:J226" ca="1" si="105">I237+I248</f>
        <v>0</v>
      </c>
      <c r="J226" s="1040">
        <f t="shared" si="105"/>
        <v>0</v>
      </c>
      <c r="K226" s="1041">
        <f t="shared" ca="1" si="104"/>
        <v>0</v>
      </c>
      <c r="L226" s="1016"/>
      <c r="M226" s="1016"/>
      <c r="N226" s="1016"/>
      <c r="O226" s="1016"/>
      <c r="P226" s="1016"/>
    </row>
    <row r="227" spans="1:26" ht="19.5" hidden="1">
      <c r="A227" s="1042"/>
      <c r="B227" s="1043"/>
      <c r="C227" s="1044" t="s">
        <v>16</v>
      </c>
      <c r="D227" s="1045" t="s">
        <v>17</v>
      </c>
      <c r="E227" s="1043"/>
      <c r="F227" s="1043"/>
      <c r="G227" s="1046"/>
      <c r="H227" s="1047" t="s">
        <v>12</v>
      </c>
      <c r="I227" s="1048"/>
      <c r="J227" s="1048"/>
      <c r="K227" s="1049"/>
      <c r="L227" s="1050">
        <f t="shared" ref="L227:L231" ca="1" si="106">L238+L249</f>
        <v>0</v>
      </c>
      <c r="M227" s="1050"/>
      <c r="N227" s="1050">
        <f t="shared" ref="N227:N231" si="107">N238+N249</f>
        <v>0</v>
      </c>
      <c r="O227" s="1051"/>
      <c r="P227" s="1051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</row>
    <row r="228" spans="1:26" ht="18.75" hidden="1">
      <c r="A228" s="940"/>
      <c r="B228" s="1052"/>
      <c r="C228" s="833"/>
      <c r="D228" s="834" t="s">
        <v>97</v>
      </c>
      <c r="E228" s="833"/>
      <c r="F228" s="833"/>
      <c r="G228" s="835"/>
      <c r="H228" s="165" t="s">
        <v>12</v>
      </c>
      <c r="I228" s="947"/>
      <c r="J228" s="947"/>
      <c r="K228" s="948"/>
      <c r="L228" s="837">
        <f t="shared" ca="1" si="106"/>
        <v>0</v>
      </c>
      <c r="M228" s="837"/>
      <c r="N228" s="837">
        <f t="shared" si="107"/>
        <v>0</v>
      </c>
      <c r="O228" s="837"/>
      <c r="P228" s="837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</row>
    <row r="229" spans="1:26" ht="19.5" hidden="1">
      <c r="A229" s="1053"/>
      <c r="B229" s="1052"/>
      <c r="C229" s="1054"/>
      <c r="D229" s="834" t="s">
        <v>98</v>
      </c>
      <c r="E229" s="833"/>
      <c r="F229" s="833"/>
      <c r="G229" s="835"/>
      <c r="H229" s="165" t="s">
        <v>12</v>
      </c>
      <c r="I229" s="836"/>
      <c r="J229" s="836"/>
      <c r="K229" s="837"/>
      <c r="L229" s="837">
        <f t="shared" ca="1" si="106"/>
        <v>0</v>
      </c>
      <c r="M229" s="837"/>
      <c r="N229" s="837">
        <f t="shared" si="107"/>
        <v>0</v>
      </c>
      <c r="O229" s="837"/>
      <c r="P229" s="837"/>
      <c r="Q229" s="1055"/>
      <c r="R229" s="1055"/>
      <c r="S229" s="1055"/>
      <c r="T229" s="1055"/>
      <c r="U229" s="1055"/>
      <c r="V229" s="1055"/>
      <c r="W229" s="1055"/>
      <c r="X229" s="1055"/>
      <c r="Y229" s="1055"/>
      <c r="Z229" s="1055"/>
    </row>
    <row r="230" spans="1:26" ht="19.5" hidden="1">
      <c r="A230" s="1053"/>
      <c r="B230" s="1052"/>
      <c r="C230" s="1054"/>
      <c r="D230" s="834" t="s">
        <v>116</v>
      </c>
      <c r="E230" s="833"/>
      <c r="F230" s="833"/>
      <c r="G230" s="835"/>
      <c r="H230" s="165" t="s">
        <v>12</v>
      </c>
      <c r="I230" s="836"/>
      <c r="J230" s="836"/>
      <c r="K230" s="837"/>
      <c r="L230" s="837">
        <f t="shared" ca="1" si="106"/>
        <v>0</v>
      </c>
      <c r="M230" s="837"/>
      <c r="N230" s="837">
        <f t="shared" si="107"/>
        <v>0</v>
      </c>
      <c r="O230" s="837"/>
      <c r="P230" s="837"/>
      <c r="Q230" s="1055"/>
      <c r="R230" s="1055"/>
      <c r="S230" s="1055"/>
      <c r="T230" s="1055"/>
      <c r="U230" s="1055"/>
      <c r="V230" s="1055"/>
      <c r="W230" s="1055"/>
      <c r="X230" s="1055"/>
      <c r="Y230" s="1055"/>
      <c r="Z230" s="1055"/>
    </row>
    <row r="231" spans="1:26" ht="19.5" hidden="1">
      <c r="A231" s="1053"/>
      <c r="B231" s="1052"/>
      <c r="C231" s="1054"/>
      <c r="D231" s="834" t="s">
        <v>100</v>
      </c>
      <c r="E231" s="833"/>
      <c r="F231" s="833"/>
      <c r="G231" s="835"/>
      <c r="H231" s="165" t="s">
        <v>12</v>
      </c>
      <c r="I231" s="836"/>
      <c r="J231" s="836"/>
      <c r="K231" s="837"/>
      <c r="L231" s="837">
        <f t="shared" ca="1" si="106"/>
        <v>0</v>
      </c>
      <c r="M231" s="837"/>
      <c r="N231" s="837">
        <f t="shared" si="107"/>
        <v>0</v>
      </c>
      <c r="O231" s="837"/>
      <c r="P231" s="837"/>
      <c r="Q231" s="1055"/>
      <c r="R231" s="1055"/>
      <c r="S231" s="1055"/>
      <c r="T231" s="1055"/>
      <c r="U231" s="1055"/>
      <c r="V231" s="1055"/>
      <c r="W231" s="1055"/>
      <c r="X231" s="1055"/>
      <c r="Y231" s="1055"/>
      <c r="Z231" s="1055"/>
    </row>
    <row r="232" spans="1:26" ht="19.5" hidden="1">
      <c r="A232" s="1056"/>
      <c r="B232" s="1057"/>
      <c r="C232" s="1054" t="s">
        <v>16</v>
      </c>
      <c r="D232" s="1020" t="s">
        <v>38</v>
      </c>
      <c r="E232" s="1058"/>
      <c r="F232" s="1058"/>
      <c r="G232" s="1059"/>
      <c r="H232" s="1060"/>
      <c r="I232" s="947"/>
      <c r="J232" s="836"/>
      <c r="K232" s="837"/>
      <c r="L232" s="837"/>
      <c r="M232" s="837"/>
      <c r="N232" s="837"/>
      <c r="O232" s="948"/>
      <c r="P232" s="948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</row>
    <row r="233" spans="1:26" ht="18.75" hidden="1">
      <c r="A233" s="1056"/>
      <c r="B233" s="1057"/>
      <c r="C233" s="1057"/>
      <c r="D233" s="1022" t="s">
        <v>117</v>
      </c>
      <c r="E233" s="1061"/>
      <c r="F233" s="1061"/>
      <c r="G233" s="1062"/>
      <c r="H233" s="583" t="s">
        <v>35</v>
      </c>
      <c r="I233" s="836">
        <f t="shared" ref="I233:J233" ca="1" si="108">I244+I255</f>
        <v>0</v>
      </c>
      <c r="J233" s="836">
        <f t="shared" si="108"/>
        <v>0</v>
      </c>
      <c r="K233" s="837">
        <f ca="1">IF(I233&gt;0,J233*100/I233,0)</f>
        <v>0</v>
      </c>
      <c r="L233" s="837"/>
      <c r="M233" s="837"/>
      <c r="N233" s="837"/>
      <c r="O233" s="837"/>
      <c r="P233" s="837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</row>
    <row r="234" spans="1:26" ht="18.75" hidden="1">
      <c r="A234" s="1056"/>
      <c r="B234" s="1057"/>
      <c r="C234" s="1057"/>
      <c r="D234" s="1063" t="s">
        <v>43</v>
      </c>
      <c r="E234" s="1061"/>
      <c r="F234" s="1061"/>
      <c r="G234" s="1062"/>
      <c r="H234" s="583"/>
      <c r="I234" s="836"/>
      <c r="J234" s="836"/>
      <c r="K234" s="837"/>
      <c r="L234" s="837"/>
      <c r="M234" s="837"/>
      <c r="N234" s="837"/>
      <c r="O234" s="948"/>
      <c r="P234" s="948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</row>
    <row r="235" spans="1:26" ht="18.75" hidden="1">
      <c r="A235" s="1056"/>
      <c r="B235" s="1057"/>
      <c r="C235" s="1057"/>
      <c r="D235" s="1057"/>
      <c r="E235" s="1021" t="s">
        <v>118</v>
      </c>
      <c r="F235" s="1061"/>
      <c r="G235" s="1062"/>
      <c r="H235" s="583" t="s">
        <v>35</v>
      </c>
      <c r="I235" s="836">
        <f t="shared" ref="I235:J236" si="109">I246+I257</f>
        <v>0</v>
      </c>
      <c r="J235" s="836">
        <f t="shared" si="109"/>
        <v>0</v>
      </c>
      <c r="K235" s="837">
        <f t="shared" ref="K235:K237" si="110">IF(I235&gt;0,J235*100/I235,0)</f>
        <v>0</v>
      </c>
      <c r="L235" s="837"/>
      <c r="M235" s="837"/>
      <c r="N235" s="837"/>
      <c r="O235" s="837"/>
      <c r="P235" s="837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</row>
    <row r="236" spans="1:26" ht="18.75" hidden="1">
      <c r="A236" s="1056"/>
      <c r="B236" s="1057"/>
      <c r="C236" s="1057"/>
      <c r="D236" s="1057"/>
      <c r="E236" s="1021" t="s">
        <v>119</v>
      </c>
      <c r="F236" s="1061"/>
      <c r="G236" s="1062"/>
      <c r="H236" s="583" t="s">
        <v>66</v>
      </c>
      <c r="I236" s="836">
        <f t="shared" si="109"/>
        <v>0</v>
      </c>
      <c r="J236" s="836">
        <f t="shared" si="109"/>
        <v>0</v>
      </c>
      <c r="K236" s="837">
        <f t="shared" si="110"/>
        <v>0</v>
      </c>
      <c r="L236" s="837"/>
      <c r="M236" s="837"/>
      <c r="N236" s="837"/>
      <c r="O236" s="837"/>
      <c r="P236" s="837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</row>
    <row r="237" spans="1:26" ht="19.5" hidden="1">
      <c r="A237" s="1011"/>
      <c r="B237" s="1018"/>
      <c r="C237" s="1023" t="s">
        <v>331</v>
      </c>
      <c r="D237" s="1012"/>
      <c r="E237" s="1012"/>
      <c r="F237" s="1012"/>
      <c r="G237" s="1014"/>
      <c r="H237" s="260" t="s">
        <v>35</v>
      </c>
      <c r="I237" s="1024">
        <f t="shared" ref="I237:J237" ca="1" si="111">I244</f>
        <v>0</v>
      </c>
      <c r="J237" s="1024">
        <f t="shared" si="111"/>
        <v>0</v>
      </c>
      <c r="K237" s="1025">
        <f t="shared" ca="1" si="110"/>
        <v>0</v>
      </c>
      <c r="L237" s="1016"/>
      <c r="M237" s="1016"/>
      <c r="N237" s="1016"/>
      <c r="O237" s="1016"/>
      <c r="P237" s="1016"/>
    </row>
    <row r="238" spans="1:26" ht="19.5" hidden="1">
      <c r="A238" s="932"/>
      <c r="B238" s="933"/>
      <c r="C238" s="934" t="s">
        <v>16</v>
      </c>
      <c r="D238" s="935" t="s">
        <v>17</v>
      </c>
      <c r="E238" s="933"/>
      <c r="F238" s="933"/>
      <c r="G238" s="936"/>
      <c r="H238" s="275" t="s">
        <v>12</v>
      </c>
      <c r="I238" s="1028"/>
      <c r="J238" s="1028"/>
      <c r="K238" s="1029"/>
      <c r="L238" s="939">
        <f ca="1">L239+L240+L241+L242</f>
        <v>0</v>
      </c>
      <c r="M238" s="939"/>
      <c r="N238" s="939">
        <f>N239+N240+N241+N242</f>
        <v>0</v>
      </c>
      <c r="O238" s="939">
        <f ca="1">IF(L238&gt;0,N238*100/L238,0)</f>
        <v>0</v>
      </c>
      <c r="P238" s="939">
        <f>IF(M238&gt;0,N238*100/M238,0)</f>
        <v>0</v>
      </c>
      <c r="Q238" s="818"/>
      <c r="R238" s="818"/>
      <c r="S238" s="818"/>
      <c r="T238" s="818"/>
      <c r="U238" s="818"/>
      <c r="V238" s="818"/>
      <c r="W238" s="818"/>
      <c r="X238" s="818"/>
      <c r="Y238" s="818"/>
      <c r="Z238" s="818"/>
    </row>
    <row r="239" spans="1:26" ht="18.75" hidden="1">
      <c r="A239" s="1064"/>
      <c r="B239" s="1065"/>
      <c r="C239" s="1066"/>
      <c r="D239" s="1067" t="s">
        <v>97</v>
      </c>
      <c r="E239" s="1066"/>
      <c r="F239" s="1066"/>
      <c r="G239" s="1068"/>
      <c r="H239" s="319" t="s">
        <v>12</v>
      </c>
      <c r="I239" s="1069"/>
      <c r="J239" s="1069"/>
      <c r="K239" s="1070"/>
      <c r="L239" s="1071">
        <f ca="1">IFERROR(__xludf.DUMMYFUNCTION("IMPORTRANGE(""https://docs.google.com/spreadsheets/d/1QqKyyYR6Q21VydFLVH3TRQUabQu_ym0Zz7PgGX0-kHA/edit?usp=sharing"",""แผน!AV25"")"),0)</f>
        <v>0</v>
      </c>
      <c r="M239" s="1071"/>
      <c r="N239" s="1072">
        <v>0</v>
      </c>
      <c r="O239" s="1071"/>
      <c r="P239" s="1071"/>
      <c r="Q239" s="1073"/>
      <c r="R239" s="1073"/>
      <c r="S239" s="1073"/>
      <c r="T239" s="1073"/>
      <c r="U239" s="1073"/>
      <c r="V239" s="1073"/>
      <c r="W239" s="1073"/>
      <c r="X239" s="1073"/>
      <c r="Y239" s="1073"/>
      <c r="Z239" s="1073"/>
    </row>
    <row r="240" spans="1:26" ht="19.5" hidden="1">
      <c r="A240" s="1074"/>
      <c r="B240" s="1065"/>
      <c r="C240" s="1075"/>
      <c r="D240" s="1067" t="s">
        <v>98</v>
      </c>
      <c r="E240" s="1066"/>
      <c r="F240" s="1066"/>
      <c r="G240" s="1068"/>
      <c r="H240" s="319" t="s">
        <v>12</v>
      </c>
      <c r="I240" s="1076"/>
      <c r="J240" s="1076"/>
      <c r="K240" s="1071"/>
      <c r="L240" s="1071">
        <f ca="1">IFERROR(__xludf.DUMMYFUNCTION("IMPORTRANGE(""https://docs.google.com/spreadsheets/d/1QqKyyYR6Q21VydFLVH3TRQUabQu_ym0Zz7PgGX0-kHA/edit?usp=sharing"",""แผน!AW25"")"),0)</f>
        <v>0</v>
      </c>
      <c r="M240" s="1071"/>
      <c r="N240" s="1072">
        <v>0</v>
      </c>
      <c r="O240" s="1071"/>
      <c r="P240" s="1071"/>
      <c r="Q240" s="1077"/>
      <c r="R240" s="1077"/>
      <c r="S240" s="1077"/>
      <c r="T240" s="1077"/>
      <c r="U240" s="1077"/>
      <c r="V240" s="1077"/>
      <c r="W240" s="1077"/>
      <c r="X240" s="1077"/>
      <c r="Y240" s="1077"/>
      <c r="Z240" s="1077"/>
    </row>
    <row r="241" spans="1:26" ht="19.5" hidden="1">
      <c r="A241" s="1074"/>
      <c r="B241" s="1065"/>
      <c r="C241" s="1075"/>
      <c r="D241" s="1067" t="s">
        <v>116</v>
      </c>
      <c r="E241" s="1066"/>
      <c r="F241" s="1066"/>
      <c r="G241" s="1068"/>
      <c r="H241" s="319" t="s">
        <v>12</v>
      </c>
      <c r="I241" s="1076"/>
      <c r="J241" s="1076"/>
      <c r="K241" s="1071"/>
      <c r="L241" s="1071">
        <f ca="1">IFERROR(__xludf.DUMMYFUNCTION("IMPORTRANGE(""https://docs.google.com/spreadsheets/d/1QqKyyYR6Q21VydFLVH3TRQUabQu_ym0Zz7PgGX0-kHA/edit?usp=sharing"",""แผน!AX25"")"),0)</f>
        <v>0</v>
      </c>
      <c r="M241" s="1071"/>
      <c r="N241" s="1072">
        <v>0</v>
      </c>
      <c r="O241" s="1071"/>
      <c r="P241" s="1071"/>
      <c r="Q241" s="1077"/>
      <c r="R241" s="1077"/>
      <c r="S241" s="1077"/>
      <c r="T241" s="1077"/>
      <c r="U241" s="1077"/>
      <c r="V241" s="1077"/>
      <c r="W241" s="1077"/>
      <c r="X241" s="1077"/>
      <c r="Y241" s="1077"/>
      <c r="Z241" s="1077"/>
    </row>
    <row r="242" spans="1:26" ht="19.5" hidden="1">
      <c r="A242" s="1074"/>
      <c r="B242" s="1065"/>
      <c r="C242" s="1075"/>
      <c r="D242" s="1067" t="s">
        <v>100</v>
      </c>
      <c r="E242" s="1066"/>
      <c r="F242" s="1066"/>
      <c r="G242" s="1068"/>
      <c r="H242" s="319" t="s">
        <v>12</v>
      </c>
      <c r="I242" s="1076"/>
      <c r="J242" s="1076"/>
      <c r="K242" s="1071"/>
      <c r="L242" s="1071">
        <f ca="1">IFERROR(__xludf.DUMMYFUNCTION("IMPORTRANGE(""https://docs.google.com/spreadsheets/d/1QqKyyYR6Q21VydFLVH3TRQUabQu_ym0Zz7PgGX0-kHA/edit?usp=sharing"",""แผน!AY25"")"),0)</f>
        <v>0</v>
      </c>
      <c r="M242" s="1071"/>
      <c r="N242" s="1072">
        <v>0</v>
      </c>
      <c r="O242" s="1071"/>
      <c r="P242" s="1071"/>
      <c r="Q242" s="1077"/>
      <c r="R242" s="1077"/>
      <c r="S242" s="1077"/>
      <c r="T242" s="1077"/>
      <c r="U242" s="1077"/>
      <c r="V242" s="1077"/>
      <c r="W242" s="1077"/>
      <c r="X242" s="1077"/>
      <c r="Y242" s="1077"/>
      <c r="Z242" s="1077"/>
    </row>
    <row r="243" spans="1:26" ht="19.5" hidden="1">
      <c r="A243" s="949"/>
      <c r="B243" s="950"/>
      <c r="C243" s="1038" t="s">
        <v>16</v>
      </c>
      <c r="D243" s="951" t="s">
        <v>38</v>
      </c>
      <c r="E243" s="952"/>
      <c r="F243" s="952"/>
      <c r="G243" s="953"/>
      <c r="H243" s="954"/>
      <c r="I243" s="944"/>
      <c r="J243" s="830"/>
      <c r="K243" s="831"/>
      <c r="L243" s="831"/>
      <c r="M243" s="831"/>
      <c r="N243" s="831"/>
      <c r="O243" s="945"/>
      <c r="P243" s="945"/>
      <c r="Q243" s="818"/>
      <c r="R243" s="818"/>
      <c r="S243" s="818"/>
      <c r="T243" s="818"/>
      <c r="U243" s="818"/>
      <c r="V243" s="818"/>
      <c r="W243" s="818"/>
      <c r="X243" s="818"/>
      <c r="Y243" s="818"/>
      <c r="Z243" s="818"/>
    </row>
    <row r="244" spans="1:26" ht="18.75" hidden="1">
      <c r="A244" s="949"/>
      <c r="B244" s="950"/>
      <c r="C244" s="950"/>
      <c r="D244" s="956" t="s">
        <v>117</v>
      </c>
      <c r="E244" s="957"/>
      <c r="F244" s="957"/>
      <c r="G244" s="958"/>
      <c r="H244" s="730" t="s">
        <v>35</v>
      </c>
      <c r="I244" s="830">
        <f ca="1">IFERROR(__xludf.DUMMYFUNCTION("IMPORTRANGE(""https://docs.google.com/spreadsheets/d/1QqKyyYR6Q21VydFLVH3TRQUabQu_ym0Zz7PgGX0-kHA/edit?usp=sharing"",""แผน!BE25"")"),0)</f>
        <v>0</v>
      </c>
      <c r="J244" s="959">
        <v>0</v>
      </c>
      <c r="K244" s="831">
        <f ca="1">IF(I244&gt;0,J244*100/I244,0)</f>
        <v>0</v>
      </c>
      <c r="L244" s="831"/>
      <c r="M244" s="831"/>
      <c r="N244" s="831"/>
      <c r="O244" s="831"/>
      <c r="P244" s="831"/>
      <c r="Q244" s="818"/>
      <c r="R244" s="818"/>
      <c r="S244" s="818"/>
      <c r="T244" s="818"/>
      <c r="U244" s="818"/>
      <c r="V244" s="818"/>
      <c r="W244" s="818"/>
      <c r="X244" s="818"/>
      <c r="Y244" s="818"/>
      <c r="Z244" s="818"/>
    </row>
    <row r="245" spans="1:26" ht="18.75" hidden="1">
      <c r="A245" s="949"/>
      <c r="B245" s="950"/>
      <c r="C245" s="950"/>
      <c r="D245" s="1078" t="s">
        <v>43</v>
      </c>
      <c r="E245" s="957"/>
      <c r="F245" s="957"/>
      <c r="G245" s="958"/>
      <c r="H245" s="730"/>
      <c r="I245" s="830"/>
      <c r="J245" s="830"/>
      <c r="K245" s="831"/>
      <c r="L245" s="831"/>
      <c r="M245" s="831"/>
      <c r="N245" s="831"/>
      <c r="O245" s="945"/>
      <c r="P245" s="945"/>
      <c r="Q245" s="818"/>
      <c r="R245" s="818"/>
      <c r="S245" s="818"/>
      <c r="T245" s="818"/>
      <c r="U245" s="818"/>
      <c r="V245" s="818"/>
      <c r="W245" s="818"/>
      <c r="X245" s="818"/>
      <c r="Y245" s="818"/>
      <c r="Z245" s="818"/>
    </row>
    <row r="246" spans="1:26" ht="18.75" hidden="1">
      <c r="A246" s="949"/>
      <c r="B246" s="950"/>
      <c r="C246" s="950"/>
      <c r="D246" s="950"/>
      <c r="E246" s="955" t="s">
        <v>118</v>
      </c>
      <c r="F246" s="957"/>
      <c r="G246" s="958"/>
      <c r="H246" s="730" t="s">
        <v>35</v>
      </c>
      <c r="I246" s="830"/>
      <c r="J246" s="959">
        <v>0</v>
      </c>
      <c r="K246" s="831">
        <f t="shared" ref="K246:K248" si="112">IF(I246&gt;0,J246*100/I246,0)</f>
        <v>0</v>
      </c>
      <c r="L246" s="831"/>
      <c r="M246" s="831"/>
      <c r="N246" s="831"/>
      <c r="O246" s="831"/>
      <c r="P246" s="831"/>
      <c r="Q246" s="818"/>
      <c r="R246" s="818"/>
      <c r="S246" s="818"/>
      <c r="T246" s="818"/>
      <c r="U246" s="818"/>
      <c r="V246" s="818"/>
      <c r="W246" s="818"/>
      <c r="X246" s="818"/>
      <c r="Y246" s="818"/>
      <c r="Z246" s="818"/>
    </row>
    <row r="247" spans="1:26" ht="18.75" hidden="1">
      <c r="A247" s="949"/>
      <c r="B247" s="950"/>
      <c r="C247" s="950"/>
      <c r="D247" s="950"/>
      <c r="E247" s="955" t="s">
        <v>119</v>
      </c>
      <c r="F247" s="957"/>
      <c r="G247" s="958"/>
      <c r="H247" s="730" t="s">
        <v>66</v>
      </c>
      <c r="I247" s="830"/>
      <c r="J247" s="959">
        <v>0</v>
      </c>
      <c r="K247" s="831">
        <f t="shared" si="112"/>
        <v>0</v>
      </c>
      <c r="L247" s="831"/>
      <c r="M247" s="831"/>
      <c r="N247" s="831"/>
      <c r="O247" s="831"/>
      <c r="P247" s="831"/>
      <c r="Q247" s="818"/>
      <c r="R247" s="818"/>
      <c r="S247" s="818"/>
      <c r="T247" s="818"/>
      <c r="U247" s="818"/>
      <c r="V247" s="818"/>
      <c r="W247" s="818"/>
      <c r="X247" s="818"/>
      <c r="Y247" s="818"/>
      <c r="Z247" s="818"/>
    </row>
    <row r="248" spans="1:26" ht="19.5" hidden="1">
      <c r="A248" s="1011"/>
      <c r="B248" s="1018"/>
      <c r="C248" s="1023" t="s">
        <v>332</v>
      </c>
      <c r="D248" s="1012"/>
      <c r="E248" s="1012"/>
      <c r="F248" s="1012"/>
      <c r="G248" s="1014"/>
      <c r="H248" s="260" t="s">
        <v>35</v>
      </c>
      <c r="I248" s="1024">
        <f t="shared" ref="I248:J248" ca="1" si="113">I255</f>
        <v>0</v>
      </c>
      <c r="J248" s="1024">
        <f t="shared" si="113"/>
        <v>0</v>
      </c>
      <c r="K248" s="1025">
        <f t="shared" ca="1" si="112"/>
        <v>0</v>
      </c>
      <c r="L248" s="1016"/>
      <c r="M248" s="1016"/>
      <c r="N248" s="1016"/>
      <c r="O248" s="1016"/>
      <c r="P248" s="1016"/>
    </row>
    <row r="249" spans="1:26" ht="19.5" hidden="1">
      <c r="A249" s="932"/>
      <c r="B249" s="933"/>
      <c r="C249" s="934" t="s">
        <v>16</v>
      </c>
      <c r="D249" s="1026" t="s">
        <v>17</v>
      </c>
      <c r="E249" s="933"/>
      <c r="F249" s="933"/>
      <c r="G249" s="936"/>
      <c r="H249" s="275" t="s">
        <v>12</v>
      </c>
      <c r="I249" s="1028"/>
      <c r="J249" s="1028"/>
      <c r="K249" s="1029"/>
      <c r="L249" s="939">
        <f ca="1">L250+L251+L252+L253</f>
        <v>0</v>
      </c>
      <c r="M249" s="939"/>
      <c r="N249" s="939">
        <f>N250+N251+N252+N253</f>
        <v>0</v>
      </c>
      <c r="O249" s="939">
        <f ca="1">IF(L249&gt;0,N249*100/L249,0)</f>
        <v>0</v>
      </c>
      <c r="P249" s="939">
        <f>IF(M249&gt;0,N249*100/M249,0)</f>
        <v>0</v>
      </c>
      <c r="Q249" s="818"/>
      <c r="R249" s="818"/>
      <c r="S249" s="818"/>
      <c r="T249" s="818"/>
      <c r="U249" s="818"/>
      <c r="V249" s="818"/>
      <c r="W249" s="818"/>
      <c r="X249" s="818"/>
      <c r="Y249" s="818"/>
      <c r="Z249" s="818"/>
    </row>
    <row r="250" spans="1:26" ht="18.75" hidden="1">
      <c r="A250" s="1064"/>
      <c r="B250" s="1065"/>
      <c r="C250" s="1066"/>
      <c r="D250" s="1067" t="s">
        <v>97</v>
      </c>
      <c r="E250" s="1066"/>
      <c r="F250" s="1066"/>
      <c r="G250" s="1068"/>
      <c r="H250" s="319" t="s">
        <v>12</v>
      </c>
      <c r="I250" s="1069"/>
      <c r="J250" s="1069"/>
      <c r="K250" s="1070"/>
      <c r="L250" s="1071">
        <f ca="1">IFERROR(__xludf.DUMMYFUNCTION("IMPORTRANGE(""https://docs.google.com/spreadsheets/d/1QqKyyYR6Q21VydFLVH3TRQUabQu_ym0Zz7PgGX0-kHA/edit?usp=sharing"",""แผน!AZ25"")"),0)</f>
        <v>0</v>
      </c>
      <c r="M250" s="1071"/>
      <c r="N250" s="1072">
        <v>0</v>
      </c>
      <c r="O250" s="1071"/>
      <c r="P250" s="1071"/>
      <c r="Q250" s="1073"/>
      <c r="R250" s="1073"/>
      <c r="S250" s="1073"/>
      <c r="T250" s="1073"/>
      <c r="U250" s="1073"/>
      <c r="V250" s="1073"/>
      <c r="W250" s="1073"/>
      <c r="X250" s="1073"/>
      <c r="Y250" s="1073"/>
      <c r="Z250" s="1073"/>
    </row>
    <row r="251" spans="1:26" ht="19.5" hidden="1">
      <c r="A251" s="1074"/>
      <c r="B251" s="1065"/>
      <c r="C251" s="1075"/>
      <c r="D251" s="1067" t="s">
        <v>98</v>
      </c>
      <c r="E251" s="1066"/>
      <c r="F251" s="1066"/>
      <c r="G251" s="1068"/>
      <c r="H251" s="319" t="s">
        <v>12</v>
      </c>
      <c r="I251" s="1076"/>
      <c r="J251" s="1076"/>
      <c r="K251" s="1071"/>
      <c r="L251" s="1071">
        <f ca="1">IFERROR(__xludf.DUMMYFUNCTION("IMPORTRANGE(""https://docs.google.com/spreadsheets/d/1QqKyyYR6Q21VydFLVH3TRQUabQu_ym0Zz7PgGX0-kHA/edit?usp=sharing"",""แผน!BA25"")"),0)</f>
        <v>0</v>
      </c>
      <c r="M251" s="1071"/>
      <c r="N251" s="1072">
        <v>0</v>
      </c>
      <c r="O251" s="1071"/>
      <c r="P251" s="1071"/>
      <c r="Q251" s="1077"/>
      <c r="R251" s="1077"/>
      <c r="S251" s="1077"/>
      <c r="T251" s="1077"/>
      <c r="U251" s="1077"/>
      <c r="V251" s="1077"/>
      <c r="W251" s="1077"/>
      <c r="X251" s="1077"/>
      <c r="Y251" s="1077"/>
      <c r="Z251" s="1077"/>
    </row>
    <row r="252" spans="1:26" ht="19.5" hidden="1">
      <c r="A252" s="1074"/>
      <c r="B252" s="1065"/>
      <c r="C252" s="1075"/>
      <c r="D252" s="1067" t="s">
        <v>116</v>
      </c>
      <c r="E252" s="1066"/>
      <c r="F252" s="1066"/>
      <c r="G252" s="1068"/>
      <c r="H252" s="319" t="s">
        <v>12</v>
      </c>
      <c r="I252" s="1076"/>
      <c r="J252" s="1076"/>
      <c r="K252" s="1071"/>
      <c r="L252" s="1071">
        <f ca="1">IFERROR(__xludf.DUMMYFUNCTION("IMPORTRANGE(""https://docs.google.com/spreadsheets/d/1QqKyyYR6Q21VydFLVH3TRQUabQu_ym0Zz7PgGX0-kHA/edit?usp=sharing"",""แผน!BB25"")"),0)</f>
        <v>0</v>
      </c>
      <c r="M252" s="1071"/>
      <c r="N252" s="1072">
        <v>0</v>
      </c>
      <c r="O252" s="1071"/>
      <c r="P252" s="1071"/>
      <c r="Q252" s="1077"/>
      <c r="R252" s="1077"/>
      <c r="S252" s="1077"/>
      <c r="T252" s="1077"/>
      <c r="U252" s="1077"/>
      <c r="V252" s="1077"/>
      <c r="W252" s="1077"/>
      <c r="X252" s="1077"/>
      <c r="Y252" s="1077"/>
      <c r="Z252" s="1077"/>
    </row>
    <row r="253" spans="1:26" ht="19.5" hidden="1">
      <c r="A253" s="1074"/>
      <c r="B253" s="1065"/>
      <c r="C253" s="1075"/>
      <c r="D253" s="1067" t="s">
        <v>100</v>
      </c>
      <c r="E253" s="1066"/>
      <c r="F253" s="1066"/>
      <c r="G253" s="1068"/>
      <c r="H253" s="319" t="s">
        <v>12</v>
      </c>
      <c r="I253" s="1076"/>
      <c r="J253" s="1076"/>
      <c r="K253" s="1071"/>
      <c r="L253" s="1071">
        <f ca="1">IFERROR(__xludf.DUMMYFUNCTION("IMPORTRANGE(""https://docs.google.com/spreadsheets/d/1QqKyyYR6Q21VydFLVH3TRQUabQu_ym0Zz7PgGX0-kHA/edit?usp=sharing"",""แผน!BC25"")"),0)</f>
        <v>0</v>
      </c>
      <c r="M253" s="1071"/>
      <c r="N253" s="1072">
        <v>0</v>
      </c>
      <c r="O253" s="1071"/>
      <c r="P253" s="1071"/>
      <c r="Q253" s="1077"/>
      <c r="R253" s="1077"/>
      <c r="S253" s="1077"/>
      <c r="T253" s="1077"/>
      <c r="U253" s="1077"/>
      <c r="V253" s="1077"/>
      <c r="W253" s="1077"/>
      <c r="X253" s="1077"/>
      <c r="Y253" s="1077"/>
      <c r="Z253" s="1077"/>
    </row>
    <row r="254" spans="1:26" ht="19.5" hidden="1">
      <c r="A254" s="949"/>
      <c r="B254" s="950"/>
      <c r="C254" s="1038" t="s">
        <v>16</v>
      </c>
      <c r="D254" s="951" t="s">
        <v>38</v>
      </c>
      <c r="E254" s="952"/>
      <c r="F254" s="952"/>
      <c r="G254" s="953"/>
      <c r="H254" s="954"/>
      <c r="I254" s="944"/>
      <c r="J254" s="830"/>
      <c r="K254" s="831"/>
      <c r="L254" s="831"/>
      <c r="M254" s="831"/>
      <c r="N254" s="831"/>
      <c r="O254" s="945"/>
      <c r="P254" s="945"/>
      <c r="Q254" s="818"/>
      <c r="R254" s="818"/>
      <c r="S254" s="818"/>
      <c r="T254" s="818"/>
      <c r="U254" s="818"/>
      <c r="V254" s="818"/>
      <c r="W254" s="818"/>
      <c r="X254" s="818"/>
      <c r="Y254" s="818"/>
      <c r="Z254" s="818"/>
    </row>
    <row r="255" spans="1:26" ht="18.75" hidden="1">
      <c r="A255" s="949"/>
      <c r="B255" s="950"/>
      <c r="C255" s="950"/>
      <c r="D255" s="956" t="s">
        <v>117</v>
      </c>
      <c r="E255" s="957"/>
      <c r="F255" s="957"/>
      <c r="G255" s="958"/>
      <c r="H255" s="730" t="s">
        <v>35</v>
      </c>
      <c r="I255" s="830">
        <f ca="1">IFERROR(__xludf.DUMMYFUNCTION("IMPORTRANGE(""https://docs.google.com/spreadsheets/d/1QqKyyYR6Q21VydFLVH3TRQUabQu_ym0Zz7PgGX0-kHA/edit?usp=sharing"",""แผน!BF25"")"),0)</f>
        <v>0</v>
      </c>
      <c r="J255" s="959">
        <v>0</v>
      </c>
      <c r="K255" s="831">
        <f ca="1">IF(I255&gt;0,J255*100/I255,0)</f>
        <v>0</v>
      </c>
      <c r="L255" s="831"/>
      <c r="M255" s="831"/>
      <c r="N255" s="831"/>
      <c r="O255" s="831"/>
      <c r="P255" s="831"/>
      <c r="Q255" s="818"/>
      <c r="R255" s="818"/>
      <c r="S255" s="818"/>
      <c r="T255" s="818"/>
      <c r="U255" s="818"/>
      <c r="V255" s="818"/>
      <c r="W255" s="818"/>
      <c r="X255" s="818"/>
      <c r="Y255" s="818"/>
      <c r="Z255" s="818"/>
    </row>
    <row r="256" spans="1:26" ht="18.75" hidden="1">
      <c r="A256" s="949"/>
      <c r="B256" s="950"/>
      <c r="C256" s="950"/>
      <c r="D256" s="1078" t="s">
        <v>43</v>
      </c>
      <c r="E256" s="957"/>
      <c r="F256" s="957"/>
      <c r="G256" s="958"/>
      <c r="H256" s="730"/>
      <c r="I256" s="830"/>
      <c r="J256" s="830"/>
      <c r="K256" s="831"/>
      <c r="L256" s="831"/>
      <c r="M256" s="831"/>
      <c r="N256" s="831"/>
      <c r="O256" s="945"/>
      <c r="P256" s="945"/>
      <c r="Q256" s="818"/>
      <c r="R256" s="818"/>
      <c r="S256" s="818"/>
      <c r="T256" s="818"/>
      <c r="U256" s="818"/>
      <c r="V256" s="818"/>
      <c r="W256" s="818"/>
      <c r="X256" s="818"/>
      <c r="Y256" s="818"/>
      <c r="Z256" s="818"/>
    </row>
    <row r="257" spans="1:26" ht="18.75" hidden="1">
      <c r="A257" s="949"/>
      <c r="B257" s="950"/>
      <c r="C257" s="950"/>
      <c r="D257" s="950"/>
      <c r="E257" s="955" t="s">
        <v>118</v>
      </c>
      <c r="F257" s="957"/>
      <c r="G257" s="958"/>
      <c r="H257" s="730" t="s">
        <v>35</v>
      </c>
      <c r="I257" s="830"/>
      <c r="J257" s="959">
        <v>0</v>
      </c>
      <c r="K257" s="831">
        <f t="shared" ref="K257:K258" si="114">IF(I257&gt;0,J257*100/I257,0)</f>
        <v>0</v>
      </c>
      <c r="L257" s="831"/>
      <c r="M257" s="831"/>
      <c r="N257" s="831"/>
      <c r="O257" s="831"/>
      <c r="P257" s="831"/>
      <c r="Q257" s="818"/>
      <c r="R257" s="818"/>
      <c r="S257" s="818"/>
      <c r="T257" s="818"/>
      <c r="U257" s="818"/>
      <c r="V257" s="818"/>
      <c r="W257" s="818"/>
      <c r="X257" s="818"/>
      <c r="Y257" s="818"/>
      <c r="Z257" s="818"/>
    </row>
    <row r="258" spans="1:26" ht="18.75" hidden="1">
      <c r="A258" s="949"/>
      <c r="B258" s="950"/>
      <c r="C258" s="950"/>
      <c r="D258" s="950"/>
      <c r="E258" s="955" t="s">
        <v>119</v>
      </c>
      <c r="F258" s="957"/>
      <c r="G258" s="958"/>
      <c r="H258" s="730" t="s">
        <v>66</v>
      </c>
      <c r="I258" s="830"/>
      <c r="J258" s="959">
        <v>0</v>
      </c>
      <c r="K258" s="831">
        <f t="shared" si="114"/>
        <v>0</v>
      </c>
      <c r="L258" s="831"/>
      <c r="M258" s="831"/>
      <c r="N258" s="831"/>
      <c r="O258" s="831"/>
      <c r="P258" s="831"/>
      <c r="Q258" s="818"/>
      <c r="R258" s="818"/>
      <c r="S258" s="818"/>
      <c r="T258" s="818"/>
      <c r="U258" s="818"/>
      <c r="V258" s="818"/>
      <c r="W258" s="818"/>
      <c r="X258" s="818"/>
      <c r="Y258" s="818"/>
      <c r="Z258" s="818"/>
    </row>
    <row r="259" spans="1:26" ht="19.5">
      <c r="A259" s="998" t="s">
        <v>122</v>
      </c>
      <c r="B259" s="999"/>
      <c r="C259" s="999"/>
      <c r="D259" s="1000"/>
      <c r="E259" s="1000"/>
      <c r="F259" s="1000"/>
      <c r="G259" s="1001"/>
      <c r="H259" s="1002"/>
      <c r="I259" s="1003"/>
      <c r="J259" s="1003"/>
      <c r="K259" s="1004"/>
      <c r="L259" s="1004"/>
      <c r="M259" s="1004"/>
      <c r="N259" s="1004"/>
      <c r="O259" s="1004"/>
      <c r="P259" s="1004"/>
    </row>
    <row r="260" spans="1:26" ht="19.5">
      <c r="A260" s="1005"/>
      <c r="B260" s="1006" t="s">
        <v>123</v>
      </c>
      <c r="C260" s="1007"/>
      <c r="D260" s="952"/>
      <c r="E260" s="952"/>
      <c r="F260" s="952"/>
      <c r="G260" s="953"/>
      <c r="H260" s="252" t="s">
        <v>35</v>
      </c>
      <c r="I260" s="1008">
        <f t="shared" ref="I260:J260" ca="1" si="115">I271</f>
        <v>20</v>
      </c>
      <c r="J260" s="1008">
        <f t="shared" si="115"/>
        <v>20</v>
      </c>
      <c r="K260" s="1009">
        <f ca="1">IF(I260&gt;0,J260*100/I260,0)</f>
        <v>100</v>
      </c>
      <c r="L260" s="1010"/>
      <c r="M260" s="1010"/>
      <c r="N260" s="1010"/>
      <c r="O260" s="1010"/>
      <c r="P260" s="1010"/>
    </row>
    <row r="261" spans="1:26" ht="19.5">
      <c r="A261" s="932"/>
      <c r="B261" s="933"/>
      <c r="C261" s="934" t="s">
        <v>16</v>
      </c>
      <c r="D261" s="935" t="s">
        <v>17</v>
      </c>
      <c r="E261" s="933"/>
      <c r="F261" s="933"/>
      <c r="G261" s="936"/>
      <c r="H261" s="152" t="s">
        <v>12</v>
      </c>
      <c r="I261" s="937"/>
      <c r="J261" s="937"/>
      <c r="K261" s="938"/>
      <c r="L261" s="939">
        <f t="shared" ref="L261:N261" ca="1" si="116">L262+L263</f>
        <v>25000</v>
      </c>
      <c r="M261" s="939">
        <f t="shared" ca="1" si="116"/>
        <v>22000</v>
      </c>
      <c r="N261" s="939">
        <f t="shared" ca="1" si="116"/>
        <v>22000</v>
      </c>
      <c r="O261" s="939">
        <f t="shared" ref="O261:O269" ca="1" si="117">IF(L261&gt;0,N261*100/L261,0)</f>
        <v>88</v>
      </c>
      <c r="P261" s="939">
        <f t="shared" ref="P261:P269" ca="1" si="118">IF(M261&gt;0,N261*100/M261,0)</f>
        <v>100</v>
      </c>
      <c r="Q261" s="818"/>
      <c r="R261" s="818"/>
      <c r="S261" s="818"/>
      <c r="T261" s="818"/>
      <c r="U261" s="818"/>
      <c r="V261" s="818"/>
      <c r="W261" s="818"/>
      <c r="X261" s="818"/>
      <c r="Y261" s="818"/>
      <c r="Z261" s="818"/>
    </row>
    <row r="262" spans="1:26" ht="18.75" hidden="1">
      <c r="A262" s="940"/>
      <c r="B262" s="833"/>
      <c r="C262" s="833"/>
      <c r="D262" s="833"/>
      <c r="E262" s="834" t="s">
        <v>18</v>
      </c>
      <c r="F262" s="833"/>
      <c r="G262" s="941"/>
      <c r="H262" s="158" t="s">
        <v>12</v>
      </c>
      <c r="I262" s="836"/>
      <c r="J262" s="836"/>
      <c r="K262" s="837"/>
      <c r="L262" s="837">
        <f t="shared" ref="L262:N263" si="119">L265+L268</f>
        <v>0</v>
      </c>
      <c r="M262" s="837">
        <f t="shared" si="119"/>
        <v>0</v>
      </c>
      <c r="N262" s="837">
        <f t="shared" si="119"/>
        <v>0</v>
      </c>
      <c r="O262" s="837">
        <f t="shared" si="117"/>
        <v>0</v>
      </c>
      <c r="P262" s="837">
        <f t="shared" si="118"/>
        <v>0</v>
      </c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</row>
    <row r="263" spans="1:26" ht="18.75" hidden="1">
      <c r="A263" s="940"/>
      <c r="B263" s="833"/>
      <c r="C263" s="833"/>
      <c r="D263" s="833"/>
      <c r="E263" s="834" t="s">
        <v>19</v>
      </c>
      <c r="F263" s="833"/>
      <c r="G263" s="941"/>
      <c r="H263" s="158" t="s">
        <v>12</v>
      </c>
      <c r="I263" s="836"/>
      <c r="J263" s="836"/>
      <c r="K263" s="837"/>
      <c r="L263" s="837">
        <f t="shared" ca="1" si="119"/>
        <v>25000</v>
      </c>
      <c r="M263" s="837">
        <f t="shared" ca="1" si="119"/>
        <v>22000</v>
      </c>
      <c r="N263" s="837">
        <f t="shared" ca="1" si="119"/>
        <v>22000</v>
      </c>
      <c r="O263" s="837">
        <f t="shared" ca="1" si="117"/>
        <v>88</v>
      </c>
      <c r="P263" s="837">
        <f t="shared" ca="1" si="118"/>
        <v>100</v>
      </c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</row>
    <row r="264" spans="1:26" ht="18.75">
      <c r="A264" s="942"/>
      <c r="B264" s="827"/>
      <c r="C264" s="943"/>
      <c r="D264" s="828" t="s">
        <v>20</v>
      </c>
      <c r="E264" s="827"/>
      <c r="F264" s="827"/>
      <c r="G264" s="829"/>
      <c r="H264" s="778" t="s">
        <v>12</v>
      </c>
      <c r="I264" s="944"/>
      <c r="J264" s="944"/>
      <c r="K264" s="945"/>
      <c r="L264" s="831">
        <f t="shared" ref="L264:N264" ca="1" si="120">L265+L266</f>
        <v>25000</v>
      </c>
      <c r="M264" s="831">
        <f t="shared" ca="1" si="120"/>
        <v>22000</v>
      </c>
      <c r="N264" s="831">
        <f t="shared" ca="1" si="120"/>
        <v>22000</v>
      </c>
      <c r="O264" s="831">
        <f t="shared" ca="1" si="117"/>
        <v>88</v>
      </c>
      <c r="P264" s="831">
        <f t="shared" ca="1" si="118"/>
        <v>100</v>
      </c>
      <c r="Q264" s="818"/>
      <c r="R264" s="818"/>
      <c r="S264" s="818"/>
      <c r="T264" s="818"/>
      <c r="U264" s="818"/>
      <c r="V264" s="818"/>
      <c r="W264" s="818"/>
      <c r="X264" s="818"/>
      <c r="Y264" s="818"/>
      <c r="Z264" s="818"/>
    </row>
    <row r="265" spans="1:26" ht="19.5" hidden="1">
      <c r="A265" s="940"/>
      <c r="B265" s="833"/>
      <c r="C265" s="946"/>
      <c r="D265" s="833"/>
      <c r="E265" s="834" t="s">
        <v>36</v>
      </c>
      <c r="F265" s="833"/>
      <c r="G265" s="941"/>
      <c r="H265" s="165" t="s">
        <v>12</v>
      </c>
      <c r="I265" s="947"/>
      <c r="J265" s="947"/>
      <c r="K265" s="948"/>
      <c r="L265" s="837">
        <v>0</v>
      </c>
      <c r="M265" s="837">
        <v>0</v>
      </c>
      <c r="N265" s="837">
        <v>0</v>
      </c>
      <c r="O265" s="837">
        <f t="shared" si="117"/>
        <v>0</v>
      </c>
      <c r="P265" s="837">
        <f t="shared" si="118"/>
        <v>0</v>
      </c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</row>
    <row r="266" spans="1:26" ht="19.5" hidden="1">
      <c r="A266" s="940"/>
      <c r="B266" s="833"/>
      <c r="C266" s="946"/>
      <c r="D266" s="833"/>
      <c r="E266" s="834" t="s">
        <v>37</v>
      </c>
      <c r="F266" s="833"/>
      <c r="G266" s="941"/>
      <c r="H266" s="165" t="s">
        <v>12</v>
      </c>
      <c r="I266" s="947"/>
      <c r="J266" s="947"/>
      <c r="K266" s="948"/>
      <c r="L266" s="837">
        <f ca="1">IFERROR(__xludf.DUMMYFUNCTION("IMPORTRANGE(""https://docs.google.com/spreadsheets/d/1MeEWN-I1oV_STSDYn1IFDPWt_1FKiwhDph83XaGc0o0/edit?usp=sharing"",""งบพรบ!CY25"")"),25000)</f>
        <v>25000</v>
      </c>
      <c r="M266" s="837">
        <f ca="1">IFERROR(__xludf.DUMMYFUNCTION("IMPORTRANGE(""https://docs.google.com/spreadsheets/d/1MeEWN-I1oV_STSDYn1IFDPWt_1FKiwhDph83XaGc0o0/edit?usp=sharing"",""งบพรบ!DD25"")"),22000)</f>
        <v>22000</v>
      </c>
      <c r="N266" s="837">
        <f ca="1">IFERROR(__xludf.DUMMYFUNCTION("IMPORTRANGE(""https://docs.google.com/spreadsheets/d/1MeEWN-I1oV_STSDYn1IFDPWt_1FKiwhDph83XaGc0o0/edit?usp=sharing"",""งบพรบ!DF25"")"),22000)</f>
        <v>22000</v>
      </c>
      <c r="O266" s="837">
        <f t="shared" ca="1" si="117"/>
        <v>88</v>
      </c>
      <c r="P266" s="837">
        <f t="shared" ca="1" si="118"/>
        <v>100</v>
      </c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</row>
    <row r="267" spans="1:26" ht="18.75">
      <c r="A267" s="942"/>
      <c r="B267" s="827"/>
      <c r="C267" s="943"/>
      <c r="D267" s="828" t="s">
        <v>21</v>
      </c>
      <c r="E267" s="827"/>
      <c r="F267" s="827"/>
      <c r="G267" s="829"/>
      <c r="H267" s="168" t="s">
        <v>12</v>
      </c>
      <c r="I267" s="944"/>
      <c r="J267" s="944"/>
      <c r="K267" s="945"/>
      <c r="L267" s="831">
        <f t="shared" ref="L267:N267" ca="1" si="121">L268+L269</f>
        <v>0</v>
      </c>
      <c r="M267" s="831">
        <f t="shared" ca="1" si="121"/>
        <v>0</v>
      </c>
      <c r="N267" s="831">
        <f t="shared" ca="1" si="121"/>
        <v>0</v>
      </c>
      <c r="O267" s="831">
        <f t="shared" ca="1" si="117"/>
        <v>0</v>
      </c>
      <c r="P267" s="831">
        <f t="shared" ca="1" si="118"/>
        <v>0</v>
      </c>
      <c r="Q267" s="818"/>
      <c r="R267" s="818"/>
      <c r="S267" s="818"/>
      <c r="T267" s="818"/>
      <c r="U267" s="818"/>
      <c r="V267" s="818"/>
      <c r="W267" s="818"/>
      <c r="X267" s="818"/>
      <c r="Y267" s="818"/>
      <c r="Z267" s="818"/>
    </row>
    <row r="268" spans="1:26" ht="19.5" hidden="1">
      <c r="A268" s="940"/>
      <c r="B268" s="833"/>
      <c r="C268" s="946"/>
      <c r="D268" s="833"/>
      <c r="E268" s="834" t="s">
        <v>18</v>
      </c>
      <c r="F268" s="833"/>
      <c r="G268" s="941"/>
      <c r="H268" s="165" t="s">
        <v>12</v>
      </c>
      <c r="I268" s="947"/>
      <c r="J268" s="947"/>
      <c r="K268" s="948"/>
      <c r="L268" s="837">
        <v>0</v>
      </c>
      <c r="M268" s="837">
        <v>0</v>
      </c>
      <c r="N268" s="837">
        <v>0</v>
      </c>
      <c r="O268" s="837">
        <f t="shared" si="117"/>
        <v>0</v>
      </c>
      <c r="P268" s="837">
        <f t="shared" si="118"/>
        <v>0</v>
      </c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</row>
    <row r="269" spans="1:26" ht="19.5" hidden="1">
      <c r="A269" s="940"/>
      <c r="B269" s="833"/>
      <c r="C269" s="946"/>
      <c r="D269" s="833"/>
      <c r="E269" s="834" t="s">
        <v>19</v>
      </c>
      <c r="F269" s="833"/>
      <c r="G269" s="941"/>
      <c r="H269" s="169" t="s">
        <v>12</v>
      </c>
      <c r="I269" s="947"/>
      <c r="J269" s="947"/>
      <c r="K269" s="948"/>
      <c r="L269" s="837">
        <f ca="1">IFERROR(__xludf.DUMMYFUNCTION("IMPORTRANGE(""https://docs.google.com/spreadsheets/d/1MeEWN-I1oV_STSDYn1IFDPWt_1FKiwhDph83XaGc0o0/edit?usp=sharing"",""งบพรบ!DB25"")"),0)</f>
        <v>0</v>
      </c>
      <c r="M269" s="837">
        <f ca="1">IFERROR(__xludf.DUMMYFUNCTION("IMPORTRANGE(""https://docs.google.com/spreadsheets/d/1MeEWN-I1oV_STSDYn1IFDPWt_1FKiwhDph83XaGc0o0/edit?usp=sharing"",""งบพรบ!DE25"")"),0)</f>
        <v>0</v>
      </c>
      <c r="N269" s="837">
        <f ca="1">IFERROR(__xludf.DUMMYFUNCTION("IMPORTRANGE(""https://docs.google.com/spreadsheets/d/1MeEWN-I1oV_STSDYn1IFDPWt_1FKiwhDph83XaGc0o0/edit?usp=sharing"",""งบพรบ!DG25"")"),0)</f>
        <v>0</v>
      </c>
      <c r="O269" s="837">
        <f t="shared" ca="1" si="117"/>
        <v>0</v>
      </c>
      <c r="P269" s="837">
        <f t="shared" ca="1" si="118"/>
        <v>0</v>
      </c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</row>
    <row r="270" spans="1:26" ht="19.5">
      <c r="A270" s="949"/>
      <c r="B270" s="950"/>
      <c r="C270" s="943" t="s">
        <v>16</v>
      </c>
      <c r="D270" s="951" t="s">
        <v>38</v>
      </c>
      <c r="E270" s="952"/>
      <c r="F270" s="952"/>
      <c r="G270" s="953"/>
      <c r="H270" s="954"/>
      <c r="I270" s="944"/>
      <c r="J270" s="944"/>
      <c r="K270" s="945"/>
      <c r="L270" s="945"/>
      <c r="M270" s="945"/>
      <c r="N270" s="945"/>
      <c r="O270" s="945"/>
      <c r="P270" s="945"/>
    </row>
    <row r="271" spans="1:26" ht="18.75">
      <c r="A271" s="949"/>
      <c r="B271" s="950"/>
      <c r="C271" s="950"/>
      <c r="D271" s="1079" t="s">
        <v>124</v>
      </c>
      <c r="E271" s="957"/>
      <c r="F271" s="1022"/>
      <c r="G271" s="958"/>
      <c r="H271" s="346" t="s">
        <v>35</v>
      </c>
      <c r="I271" s="830">
        <f ca="1">IFERROR(__xludf.DUMMYFUNCTION("IMPORTRANGE(""https://docs.google.com/spreadsheets/d/1QqKyyYR6Q21VydFLVH3TRQUabQu_ym0Zz7PgGX0-kHA/edit?usp=sharing"",""แผน!EA25"")"),20)</f>
        <v>20</v>
      </c>
      <c r="J271" s="959">
        <v>20</v>
      </c>
      <c r="K271" s="945">
        <f ca="1">IF(I271&gt;0,J271*100/I271,0)</f>
        <v>100</v>
      </c>
      <c r="L271" s="945"/>
      <c r="M271" s="945"/>
      <c r="N271" s="945"/>
      <c r="O271" s="945"/>
      <c r="P271" s="945"/>
    </row>
    <row r="272" spans="1:26" ht="18.75" hidden="1">
      <c r="A272" s="1080"/>
      <c r="B272" s="1081"/>
      <c r="C272" s="1081"/>
      <c r="D272" s="1082" t="s">
        <v>125</v>
      </c>
      <c r="E272" s="1083"/>
      <c r="F272" s="1083"/>
      <c r="G272" s="1084"/>
      <c r="H272" s="50" t="s">
        <v>35</v>
      </c>
      <c r="I272" s="1085">
        <v>0</v>
      </c>
      <c r="J272" s="1085">
        <v>0</v>
      </c>
      <c r="K272" s="1086">
        <v>0</v>
      </c>
      <c r="L272" s="1086"/>
      <c r="M272" s="1086"/>
      <c r="N272" s="1086"/>
      <c r="O272" s="1086"/>
      <c r="P272" s="1086"/>
    </row>
    <row r="273" spans="1:26" ht="19.5" hidden="1">
      <c r="A273" s="1087" t="s">
        <v>126</v>
      </c>
      <c r="B273" s="1088"/>
      <c r="C273" s="1088"/>
      <c r="D273" s="1088"/>
      <c r="E273" s="1089"/>
      <c r="F273" s="1089"/>
      <c r="G273" s="1090"/>
      <c r="H273" s="1091"/>
      <c r="I273" s="1092"/>
      <c r="J273" s="1092"/>
      <c r="K273" s="1093"/>
      <c r="L273" s="1093"/>
      <c r="M273" s="1093"/>
      <c r="N273" s="1093"/>
      <c r="O273" s="1093"/>
      <c r="P273" s="1093"/>
    </row>
    <row r="274" spans="1:26" ht="19.5" hidden="1">
      <c r="A274" s="1094" t="s">
        <v>127</v>
      </c>
      <c r="B274" s="1095"/>
      <c r="C274" s="1096"/>
      <c r="D274" s="1095"/>
      <c r="E274" s="1095"/>
      <c r="F274" s="1095"/>
      <c r="G274" s="1095"/>
      <c r="H274" s="1097"/>
      <c r="I274" s="1098"/>
      <c r="J274" s="1099"/>
      <c r="K274" s="1100"/>
      <c r="L274" s="1100"/>
      <c r="M274" s="1100"/>
      <c r="N274" s="1100"/>
      <c r="O274" s="1100"/>
      <c r="P274" s="1100"/>
    </row>
    <row r="275" spans="1:26" ht="19.5" hidden="1">
      <c r="A275" s="1101"/>
      <c r="B275" s="1102" t="s">
        <v>128</v>
      </c>
      <c r="C275" s="1103"/>
      <c r="D275" s="1104"/>
      <c r="E275" s="1103"/>
      <c r="F275" s="1103"/>
      <c r="G275" s="1105"/>
      <c r="H275" s="374" t="s">
        <v>35</v>
      </c>
      <c r="I275" s="1106">
        <f t="shared" ref="I275:J275" ca="1" si="122">I288</f>
        <v>0</v>
      </c>
      <c r="J275" s="1106">
        <f t="shared" ca="1" si="122"/>
        <v>0</v>
      </c>
      <c r="K275" s="1107">
        <f t="shared" ref="K275:K276" ca="1" si="123">IF(I275&gt;0,J275*100/I275,0)</f>
        <v>0</v>
      </c>
      <c r="L275" s="1108"/>
      <c r="M275" s="1108"/>
      <c r="N275" s="1108"/>
      <c r="O275" s="1108"/>
      <c r="P275" s="1108"/>
    </row>
    <row r="276" spans="1:26" ht="19.5" hidden="1">
      <c r="A276" s="1101"/>
      <c r="B276" s="1102"/>
      <c r="C276" s="1103"/>
      <c r="D276" s="1104"/>
      <c r="E276" s="1103"/>
      <c r="F276" s="1103"/>
      <c r="G276" s="1105"/>
      <c r="H276" s="374" t="s">
        <v>46</v>
      </c>
      <c r="I276" s="1435">
        <f t="shared" ref="I276:J276" ca="1" si="124">I287</f>
        <v>0</v>
      </c>
      <c r="J276" s="1435">
        <f t="shared" si="124"/>
        <v>0</v>
      </c>
      <c r="K276" s="1108">
        <f t="shared" ca="1" si="123"/>
        <v>0</v>
      </c>
      <c r="L276" s="1108"/>
      <c r="M276" s="1108"/>
      <c r="N276" s="1108"/>
      <c r="O276" s="1108"/>
      <c r="P276" s="1108"/>
    </row>
    <row r="277" spans="1:26" ht="19.5" hidden="1">
      <c r="A277" s="932"/>
      <c r="B277" s="933"/>
      <c r="C277" s="934" t="s">
        <v>16</v>
      </c>
      <c r="D277" s="935" t="s">
        <v>17</v>
      </c>
      <c r="E277" s="933"/>
      <c r="F277" s="933"/>
      <c r="G277" s="936"/>
      <c r="H277" s="152" t="s">
        <v>12</v>
      </c>
      <c r="I277" s="937"/>
      <c r="J277" s="937"/>
      <c r="K277" s="938"/>
      <c r="L277" s="939">
        <f t="shared" ref="L277:N277" ca="1" si="125">L278+L279</f>
        <v>0</v>
      </c>
      <c r="M277" s="939">
        <f t="shared" ca="1" si="125"/>
        <v>0</v>
      </c>
      <c r="N277" s="939">
        <f t="shared" ca="1" si="125"/>
        <v>0</v>
      </c>
      <c r="O277" s="939">
        <f t="shared" ref="O277:O285" ca="1" si="126">IF(L277&gt;0,N277*100/L277,0)</f>
        <v>0</v>
      </c>
      <c r="P277" s="939">
        <f t="shared" ref="P277:P285" ca="1" si="127">IF(M277&gt;0,N277*100/M277,0)</f>
        <v>0</v>
      </c>
      <c r="Q277" s="818"/>
      <c r="R277" s="818"/>
      <c r="S277" s="818"/>
      <c r="T277" s="818"/>
      <c r="U277" s="818"/>
      <c r="V277" s="818"/>
      <c r="W277" s="818"/>
      <c r="X277" s="818"/>
      <c r="Y277" s="818"/>
      <c r="Z277" s="818"/>
    </row>
    <row r="278" spans="1:26" ht="18.75" hidden="1">
      <c r="A278" s="940"/>
      <c r="B278" s="833"/>
      <c r="C278" s="833"/>
      <c r="D278" s="833"/>
      <c r="E278" s="834" t="s">
        <v>18</v>
      </c>
      <c r="F278" s="833"/>
      <c r="G278" s="941"/>
      <c r="H278" s="158" t="s">
        <v>12</v>
      </c>
      <c r="I278" s="836"/>
      <c r="J278" s="836"/>
      <c r="K278" s="837"/>
      <c r="L278" s="837">
        <f t="shared" ref="L278:N279" si="128">L281+L284</f>
        <v>0</v>
      </c>
      <c r="M278" s="837">
        <f t="shared" si="128"/>
        <v>0</v>
      </c>
      <c r="N278" s="837">
        <f t="shared" si="128"/>
        <v>0</v>
      </c>
      <c r="O278" s="837">
        <f t="shared" si="126"/>
        <v>0</v>
      </c>
      <c r="P278" s="837">
        <f t="shared" si="127"/>
        <v>0</v>
      </c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</row>
    <row r="279" spans="1:26" ht="18.75" hidden="1">
      <c r="A279" s="940"/>
      <c r="B279" s="833"/>
      <c r="C279" s="833"/>
      <c r="D279" s="833"/>
      <c r="E279" s="834" t="s">
        <v>19</v>
      </c>
      <c r="F279" s="833"/>
      <c r="G279" s="941"/>
      <c r="H279" s="158" t="s">
        <v>12</v>
      </c>
      <c r="I279" s="836"/>
      <c r="J279" s="836"/>
      <c r="K279" s="837"/>
      <c r="L279" s="837">
        <f t="shared" ca="1" si="128"/>
        <v>0</v>
      </c>
      <c r="M279" s="837">
        <f t="shared" ca="1" si="128"/>
        <v>0</v>
      </c>
      <c r="N279" s="837">
        <f t="shared" ca="1" si="128"/>
        <v>0</v>
      </c>
      <c r="O279" s="837">
        <f t="shared" ca="1" si="126"/>
        <v>0</v>
      </c>
      <c r="P279" s="837">
        <f t="shared" ca="1" si="127"/>
        <v>0</v>
      </c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</row>
    <row r="280" spans="1:26" ht="18.75" hidden="1">
      <c r="A280" s="942"/>
      <c r="B280" s="827"/>
      <c r="C280" s="943"/>
      <c r="D280" s="828" t="s">
        <v>20</v>
      </c>
      <c r="E280" s="827"/>
      <c r="F280" s="827"/>
      <c r="G280" s="829"/>
      <c r="H280" s="778" t="s">
        <v>12</v>
      </c>
      <c r="I280" s="944"/>
      <c r="J280" s="944"/>
      <c r="K280" s="945"/>
      <c r="L280" s="831">
        <f t="shared" ref="L280:N280" ca="1" si="129">L281+L282</f>
        <v>0</v>
      </c>
      <c r="M280" s="831">
        <f t="shared" ca="1" si="129"/>
        <v>0</v>
      </c>
      <c r="N280" s="831">
        <f t="shared" ca="1" si="129"/>
        <v>0</v>
      </c>
      <c r="O280" s="831">
        <f t="shared" ca="1" si="126"/>
        <v>0</v>
      </c>
      <c r="P280" s="831">
        <f t="shared" ca="1" si="127"/>
        <v>0</v>
      </c>
      <c r="Q280" s="818"/>
      <c r="R280" s="818"/>
      <c r="S280" s="818"/>
      <c r="T280" s="818"/>
      <c r="U280" s="818"/>
      <c r="V280" s="818"/>
      <c r="W280" s="818"/>
      <c r="X280" s="818"/>
      <c r="Y280" s="818"/>
      <c r="Z280" s="818"/>
    </row>
    <row r="281" spans="1:26" ht="19.5" hidden="1">
      <c r="A281" s="940"/>
      <c r="B281" s="833"/>
      <c r="C281" s="946"/>
      <c r="D281" s="833"/>
      <c r="E281" s="834" t="s">
        <v>36</v>
      </c>
      <c r="F281" s="833"/>
      <c r="G281" s="941"/>
      <c r="H281" s="165" t="s">
        <v>12</v>
      </c>
      <c r="I281" s="947"/>
      <c r="J281" s="947"/>
      <c r="K281" s="948"/>
      <c r="L281" s="837">
        <v>0</v>
      </c>
      <c r="M281" s="837">
        <v>0</v>
      </c>
      <c r="N281" s="837">
        <v>0</v>
      </c>
      <c r="O281" s="837">
        <f t="shared" si="126"/>
        <v>0</v>
      </c>
      <c r="P281" s="837">
        <f t="shared" si="127"/>
        <v>0</v>
      </c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</row>
    <row r="282" spans="1:26" ht="19.5" hidden="1">
      <c r="A282" s="940"/>
      <c r="B282" s="833"/>
      <c r="C282" s="946"/>
      <c r="D282" s="833"/>
      <c r="E282" s="834" t="s">
        <v>37</v>
      </c>
      <c r="F282" s="833"/>
      <c r="G282" s="941"/>
      <c r="H282" s="165" t="s">
        <v>12</v>
      </c>
      <c r="I282" s="947"/>
      <c r="J282" s="947"/>
      <c r="K282" s="948"/>
      <c r="L282" s="837">
        <f ca="1">IFERROR(__xludf.DUMMYFUNCTION("IMPORTRANGE(""https://docs.google.com/spreadsheets/d/1MeEWN-I1oV_STSDYn1IFDPWt_1FKiwhDph83XaGc0o0/edit?usp=sharing"",""งบพรบ!DI25"")"),0)</f>
        <v>0</v>
      </c>
      <c r="M282" s="837">
        <f ca="1">IFERROR(__xludf.DUMMYFUNCTION("IMPORTRANGE(""https://docs.google.com/spreadsheets/d/1MeEWN-I1oV_STSDYn1IFDPWt_1FKiwhDph83XaGc0o0/edit?usp=sharing"",""งบพรบ!DN25"")"),0)</f>
        <v>0</v>
      </c>
      <c r="N282" s="837">
        <f ca="1">IFERROR(__xludf.DUMMYFUNCTION("IMPORTRANGE(""https://docs.google.com/spreadsheets/d/1MeEWN-I1oV_STSDYn1IFDPWt_1FKiwhDph83XaGc0o0/edit?usp=sharing"",""งบพรบ!DP25"")"),0)</f>
        <v>0</v>
      </c>
      <c r="O282" s="837">
        <f t="shared" ca="1" si="126"/>
        <v>0</v>
      </c>
      <c r="P282" s="837">
        <f t="shared" ca="1" si="127"/>
        <v>0</v>
      </c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</row>
    <row r="283" spans="1:26" ht="18.75" hidden="1">
      <c r="A283" s="942"/>
      <c r="B283" s="827"/>
      <c r="C283" s="943"/>
      <c r="D283" s="828" t="s">
        <v>21</v>
      </c>
      <c r="E283" s="827"/>
      <c r="F283" s="827"/>
      <c r="G283" s="829"/>
      <c r="H283" s="168" t="s">
        <v>12</v>
      </c>
      <c r="I283" s="944"/>
      <c r="J283" s="944"/>
      <c r="K283" s="945"/>
      <c r="L283" s="831">
        <f t="shared" ref="L283:N283" ca="1" si="130">L284+L285</f>
        <v>0</v>
      </c>
      <c r="M283" s="831">
        <f t="shared" ca="1" si="130"/>
        <v>0</v>
      </c>
      <c r="N283" s="831">
        <f t="shared" ca="1" si="130"/>
        <v>0</v>
      </c>
      <c r="O283" s="831">
        <f t="shared" ca="1" si="126"/>
        <v>0</v>
      </c>
      <c r="P283" s="831">
        <f t="shared" ca="1" si="127"/>
        <v>0</v>
      </c>
      <c r="Q283" s="818"/>
      <c r="R283" s="818"/>
      <c r="S283" s="818"/>
      <c r="T283" s="818"/>
      <c r="U283" s="818"/>
      <c r="V283" s="818"/>
      <c r="W283" s="818"/>
      <c r="X283" s="818"/>
      <c r="Y283" s="818"/>
      <c r="Z283" s="818"/>
    </row>
    <row r="284" spans="1:26" ht="19.5" hidden="1">
      <c r="A284" s="940"/>
      <c r="B284" s="833"/>
      <c r="C284" s="946"/>
      <c r="D284" s="833"/>
      <c r="E284" s="834" t="s">
        <v>18</v>
      </c>
      <c r="F284" s="833"/>
      <c r="G284" s="941"/>
      <c r="H284" s="165" t="s">
        <v>12</v>
      </c>
      <c r="I284" s="947"/>
      <c r="J284" s="947"/>
      <c r="K284" s="948"/>
      <c r="L284" s="837">
        <v>0</v>
      </c>
      <c r="M284" s="837">
        <v>0</v>
      </c>
      <c r="N284" s="837">
        <v>0</v>
      </c>
      <c r="O284" s="837">
        <f t="shared" si="126"/>
        <v>0</v>
      </c>
      <c r="P284" s="837">
        <f t="shared" si="127"/>
        <v>0</v>
      </c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</row>
    <row r="285" spans="1:26" ht="19.5" hidden="1">
      <c r="A285" s="940"/>
      <c r="B285" s="833"/>
      <c r="C285" s="946"/>
      <c r="D285" s="833"/>
      <c r="E285" s="834" t="s">
        <v>19</v>
      </c>
      <c r="F285" s="833"/>
      <c r="G285" s="941"/>
      <c r="H285" s="169" t="s">
        <v>12</v>
      </c>
      <c r="I285" s="947"/>
      <c r="J285" s="947"/>
      <c r="K285" s="948"/>
      <c r="L285" s="837">
        <f ca="1">IFERROR(__xludf.DUMMYFUNCTION("IMPORTRANGE(""https://docs.google.com/spreadsheets/d/1MeEWN-I1oV_STSDYn1IFDPWt_1FKiwhDph83XaGc0o0/edit?usp=sharing"",""งบพรบ!DL25"")"),0)</f>
        <v>0</v>
      </c>
      <c r="M285" s="837">
        <f ca="1">IFERROR(__xludf.DUMMYFUNCTION("IMPORTRANGE(""https://docs.google.com/spreadsheets/d/1MeEWN-I1oV_STSDYn1IFDPWt_1FKiwhDph83XaGc0o0/edit?usp=sharing"",""งบพรบ!DO25"")"),0)</f>
        <v>0</v>
      </c>
      <c r="N285" s="837">
        <f ca="1">IFERROR(__xludf.DUMMYFUNCTION("IMPORTRANGE(""https://docs.google.com/spreadsheets/d/1MeEWN-I1oV_STSDYn1IFDPWt_1FKiwhDph83XaGc0o0/edit?usp=sharing"",""งบพรบ!DQ25"")"),0)</f>
        <v>0</v>
      </c>
      <c r="O285" s="837">
        <f t="shared" ca="1" si="126"/>
        <v>0</v>
      </c>
      <c r="P285" s="837">
        <f t="shared" ca="1" si="127"/>
        <v>0</v>
      </c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</row>
    <row r="286" spans="1:26" ht="19.5" hidden="1">
      <c r="A286" s="949"/>
      <c r="B286" s="950"/>
      <c r="C286" s="946" t="s">
        <v>16</v>
      </c>
      <c r="D286" s="951" t="s">
        <v>38</v>
      </c>
      <c r="E286" s="952"/>
      <c r="F286" s="952"/>
      <c r="G286" s="953"/>
      <c r="H286" s="954"/>
      <c r="I286" s="944"/>
      <c r="J286" s="944"/>
      <c r="K286" s="945"/>
      <c r="L286" s="945"/>
      <c r="M286" s="945"/>
      <c r="N286" s="945"/>
      <c r="O286" s="945"/>
      <c r="P286" s="945"/>
    </row>
    <row r="287" spans="1:26" ht="18.75" hidden="1">
      <c r="A287" s="949"/>
      <c r="B287" s="950"/>
      <c r="C287" s="950"/>
      <c r="D287" s="961" t="s">
        <v>129</v>
      </c>
      <c r="E287" s="950"/>
      <c r="F287" s="957"/>
      <c r="G287" s="958"/>
      <c r="H287" s="777" t="s">
        <v>46</v>
      </c>
      <c r="I287" s="830">
        <f ca="1">IFERROR(__xludf.DUMMYFUNCTION("IMPORTRANGE(""https://docs.google.com/spreadsheets/d/1QqKyyYR6Q21VydFLVH3TRQUabQu_ym0Zz7PgGX0-kHA/edit?usp=sharing"",""แผน!EC25"")"),0)</f>
        <v>0</v>
      </c>
      <c r="J287" s="959">
        <v>0</v>
      </c>
      <c r="K287" s="945">
        <f t="shared" ref="K287:K288" ca="1" si="131">IF(I287&gt;0,J287*100/I287,0)</f>
        <v>0</v>
      </c>
      <c r="L287" s="945"/>
      <c r="M287" s="945"/>
      <c r="N287" s="945"/>
      <c r="O287" s="945"/>
      <c r="P287" s="945"/>
    </row>
    <row r="288" spans="1:26" ht="19.5" hidden="1">
      <c r="A288" s="949"/>
      <c r="B288" s="950"/>
      <c r="C288" s="950"/>
      <c r="D288" s="961" t="s">
        <v>130</v>
      </c>
      <c r="E288" s="950"/>
      <c r="F288" s="957"/>
      <c r="G288" s="958"/>
      <c r="H288" s="180" t="s">
        <v>35</v>
      </c>
      <c r="I288" s="966">
        <f ca="1">IFERROR(__xludf.DUMMYFUNCTION("IMPORTRANGE(""https://docs.google.com/spreadsheets/d/1QqKyyYR6Q21VydFLVH3TRQUabQu_ym0Zz7PgGX0-kHA/edit?usp=sharing"",""แผน!EB25"")"),0)</f>
        <v>0</v>
      </c>
      <c r="J288" s="966">
        <f ca="1">IF(AND(J291&gt;=I288,J294&gt;=I288),J294,0)</f>
        <v>0</v>
      </c>
      <c r="K288" s="1109">
        <f t="shared" ca="1" si="131"/>
        <v>0</v>
      </c>
      <c r="L288" s="945"/>
      <c r="M288" s="945"/>
      <c r="N288" s="945"/>
      <c r="O288" s="945"/>
      <c r="P288" s="945"/>
    </row>
    <row r="289" spans="1:26" ht="19.5" hidden="1">
      <c r="A289" s="949"/>
      <c r="B289" s="950"/>
      <c r="C289" s="950"/>
      <c r="D289" s="1110"/>
      <c r="E289" s="1111" t="s">
        <v>131</v>
      </c>
      <c r="F289" s="957"/>
      <c r="G289" s="958"/>
      <c r="H289" s="730"/>
      <c r="I289" s="944"/>
      <c r="J289" s="830"/>
      <c r="K289" s="945"/>
      <c r="L289" s="945"/>
      <c r="M289" s="945"/>
      <c r="N289" s="945"/>
      <c r="O289" s="945"/>
      <c r="P289" s="945"/>
    </row>
    <row r="290" spans="1:26" ht="19.5" hidden="1">
      <c r="A290" s="949"/>
      <c r="B290" s="950"/>
      <c r="C290" s="950"/>
      <c r="D290" s="1110"/>
      <c r="E290" s="961" t="s">
        <v>132</v>
      </c>
      <c r="F290" s="957"/>
      <c r="G290" s="958"/>
      <c r="H290" s="730" t="s">
        <v>35</v>
      </c>
      <c r="I290" s="944">
        <f ca="1">IFERROR(__xludf.DUMMYFUNCTION("IMPORTRANGE(""https://docs.google.com/spreadsheets/d/1QqKyyYR6Q21VydFLVH3TRQUabQu_ym0Zz7PgGX0-kHA/edit?usp=sharing"",""แผน!EB25"")"),0)</f>
        <v>0</v>
      </c>
      <c r="J290" s="959">
        <v>0</v>
      </c>
      <c r="K290" s="945">
        <f t="shared" ref="K290:K291" ca="1" si="132">IF(I290&gt;0,J290*100/I290,0)</f>
        <v>0</v>
      </c>
      <c r="L290" s="945"/>
      <c r="M290" s="945"/>
      <c r="N290" s="945"/>
      <c r="O290" s="945"/>
      <c r="P290" s="945"/>
    </row>
    <row r="291" spans="1:26" ht="19.5" hidden="1">
      <c r="A291" s="949"/>
      <c r="B291" s="950"/>
      <c r="C291" s="950"/>
      <c r="D291" s="957"/>
      <c r="E291" s="961" t="s">
        <v>349</v>
      </c>
      <c r="F291" s="957"/>
      <c r="G291" s="958"/>
      <c r="H291" s="730" t="s">
        <v>35</v>
      </c>
      <c r="I291" s="944">
        <f ca="1">IFERROR(__xludf.DUMMYFUNCTION("IMPORTRANGE(""https://docs.google.com/spreadsheets/d/1QqKyyYR6Q21VydFLVH3TRQUabQu_ym0Zz7PgGX0-kHA/edit?usp=sharing"",""แผน!EB25"")"),0)</f>
        <v>0</v>
      </c>
      <c r="J291" s="959">
        <v>0</v>
      </c>
      <c r="K291" s="945">
        <f t="shared" ca="1" si="132"/>
        <v>0</v>
      </c>
      <c r="L291" s="945"/>
      <c r="M291" s="945"/>
      <c r="N291" s="945"/>
      <c r="O291" s="945"/>
      <c r="P291" s="945"/>
    </row>
    <row r="292" spans="1:26" ht="19.5" hidden="1">
      <c r="A292" s="1112"/>
      <c r="B292" s="1113"/>
      <c r="C292" s="1113"/>
      <c r="D292" s="1114"/>
      <c r="E292" s="1115" t="s">
        <v>134</v>
      </c>
      <c r="F292" s="1034"/>
      <c r="G292" s="1035"/>
      <c r="H292" s="387"/>
      <c r="I292" s="1028"/>
      <c r="J292" s="937"/>
      <c r="K292" s="1029"/>
      <c r="L292" s="1029"/>
      <c r="M292" s="1029"/>
      <c r="N292" s="1029"/>
      <c r="O292" s="1029"/>
      <c r="P292" s="1029"/>
    </row>
    <row r="293" spans="1:26" ht="19.5" hidden="1">
      <c r="A293" s="949"/>
      <c r="B293" s="950"/>
      <c r="C293" s="950"/>
      <c r="D293" s="1110"/>
      <c r="E293" s="961" t="s">
        <v>132</v>
      </c>
      <c r="F293" s="957"/>
      <c r="G293" s="958"/>
      <c r="H293" s="730" t="s">
        <v>35</v>
      </c>
      <c r="I293" s="944">
        <f ca="1">IFERROR(__xludf.DUMMYFUNCTION("IMPORTRANGE(""https://docs.google.com/spreadsheets/d/1QqKyyYR6Q21VydFLVH3TRQUabQu_ym0Zz7PgGX0-kHA/edit?usp=sharing"",""แผน!EB25"")"),0)</f>
        <v>0</v>
      </c>
      <c r="J293" s="959">
        <v>0</v>
      </c>
      <c r="K293" s="945">
        <f t="shared" ref="K293:K294" ca="1" si="133">IF(I293&gt;0,J293*100/I293,0)</f>
        <v>0</v>
      </c>
      <c r="L293" s="945"/>
      <c r="M293" s="945"/>
      <c r="N293" s="945"/>
      <c r="O293" s="945"/>
      <c r="P293" s="945"/>
    </row>
    <row r="294" spans="1:26" ht="19.5" hidden="1">
      <c r="A294" s="1080"/>
      <c r="B294" s="1081"/>
      <c r="C294" s="1081"/>
      <c r="D294" s="1083"/>
      <c r="E294" s="1116" t="s">
        <v>349</v>
      </c>
      <c r="F294" s="1083"/>
      <c r="G294" s="1084"/>
      <c r="H294" s="391" t="s">
        <v>35</v>
      </c>
      <c r="I294" s="1117">
        <f ca="1">IFERROR(__xludf.DUMMYFUNCTION("IMPORTRANGE(""https://docs.google.com/spreadsheets/d/1QqKyyYR6Q21VydFLVH3TRQUabQu_ym0Zz7PgGX0-kHA/edit?usp=sharing"",""แผน!EB25"")"),0)</f>
        <v>0</v>
      </c>
      <c r="J294" s="1118">
        <v>0</v>
      </c>
      <c r="K294" s="1086">
        <f t="shared" ca="1" si="133"/>
        <v>0</v>
      </c>
      <c r="L294" s="1086"/>
      <c r="M294" s="1086"/>
      <c r="N294" s="1086"/>
      <c r="O294" s="1086"/>
      <c r="P294" s="1086"/>
    </row>
    <row r="295" spans="1:26" ht="19.5">
      <c r="A295" s="1119" t="s">
        <v>137</v>
      </c>
      <c r="B295" s="1120"/>
      <c r="C295" s="1120"/>
      <c r="D295" s="1120"/>
      <c r="E295" s="1121"/>
      <c r="F295" s="1121"/>
      <c r="G295" s="1122"/>
      <c r="H295" s="1123"/>
      <c r="I295" s="1124"/>
      <c r="J295" s="1124"/>
      <c r="K295" s="1125"/>
      <c r="L295" s="1125"/>
      <c r="M295" s="1125"/>
      <c r="N295" s="1125"/>
      <c r="O295" s="1125"/>
      <c r="P295" s="1125"/>
    </row>
    <row r="296" spans="1:26" ht="19.5" hidden="1">
      <c r="A296" s="1126" t="s">
        <v>138</v>
      </c>
      <c r="B296" s="1127"/>
      <c r="C296" s="1127"/>
      <c r="D296" s="1128"/>
      <c r="E296" s="1128"/>
      <c r="F296" s="1128"/>
      <c r="G296" s="1129"/>
      <c r="H296" s="1130"/>
      <c r="I296" s="1131"/>
      <c r="J296" s="1131"/>
      <c r="K296" s="1132"/>
      <c r="L296" s="1132"/>
      <c r="M296" s="1132"/>
      <c r="N296" s="1132"/>
      <c r="O296" s="1132"/>
      <c r="P296" s="1132"/>
    </row>
    <row r="297" spans="1:26" ht="19.5" hidden="1">
      <c r="A297" s="1133"/>
      <c r="B297" s="1134" t="s">
        <v>139</v>
      </c>
      <c r="C297" s="1135"/>
      <c r="D297" s="1135"/>
      <c r="E297" s="1135"/>
      <c r="F297" s="1135"/>
      <c r="G297" s="1136"/>
      <c r="H297" s="412" t="s">
        <v>35</v>
      </c>
      <c r="I297" s="1137">
        <f t="shared" ref="I297:J297" ca="1" si="134">I309</f>
        <v>0</v>
      </c>
      <c r="J297" s="1137">
        <f t="shared" si="134"/>
        <v>0</v>
      </c>
      <c r="K297" s="1138">
        <f ca="1">IF(I297&gt;0,J297*100/I297,0)</f>
        <v>0</v>
      </c>
      <c r="L297" s="1139"/>
      <c r="M297" s="1139"/>
      <c r="N297" s="1139"/>
      <c r="O297" s="1139"/>
      <c r="P297" s="1139"/>
    </row>
    <row r="298" spans="1:26" ht="19.5" hidden="1">
      <c r="A298" s="932"/>
      <c r="B298" s="933"/>
      <c r="C298" s="934" t="s">
        <v>16</v>
      </c>
      <c r="D298" s="935" t="s">
        <v>17</v>
      </c>
      <c r="E298" s="933"/>
      <c r="F298" s="933"/>
      <c r="G298" s="936"/>
      <c r="H298" s="152" t="s">
        <v>12</v>
      </c>
      <c r="I298" s="937"/>
      <c r="J298" s="937"/>
      <c r="K298" s="938"/>
      <c r="L298" s="939">
        <f t="shared" ref="L298:N298" ca="1" si="135">L299+L300</f>
        <v>0</v>
      </c>
      <c r="M298" s="939">
        <f t="shared" ca="1" si="135"/>
        <v>0</v>
      </c>
      <c r="N298" s="939">
        <f t="shared" ca="1" si="135"/>
        <v>0</v>
      </c>
      <c r="O298" s="939">
        <f t="shared" ref="O298:O306" ca="1" si="136">IF(L298&gt;0,N298*100/L298,0)</f>
        <v>0</v>
      </c>
      <c r="P298" s="939">
        <f t="shared" ref="P298:P306" ca="1" si="137">IF(M298&gt;0,N298*100/M298,0)</f>
        <v>0</v>
      </c>
      <c r="Q298" s="818"/>
      <c r="R298" s="818"/>
      <c r="S298" s="818"/>
      <c r="T298" s="818"/>
      <c r="U298" s="818"/>
      <c r="V298" s="818"/>
      <c r="W298" s="818"/>
      <c r="X298" s="818"/>
      <c r="Y298" s="818"/>
      <c r="Z298" s="818"/>
    </row>
    <row r="299" spans="1:26" ht="18.75" hidden="1">
      <c r="A299" s="940"/>
      <c r="B299" s="833"/>
      <c r="C299" s="833"/>
      <c r="D299" s="833"/>
      <c r="E299" s="834" t="s">
        <v>18</v>
      </c>
      <c r="F299" s="833"/>
      <c r="G299" s="941"/>
      <c r="H299" s="158" t="s">
        <v>12</v>
      </c>
      <c r="I299" s="836"/>
      <c r="J299" s="836"/>
      <c r="K299" s="837"/>
      <c r="L299" s="837">
        <f t="shared" ref="L299:N300" si="138">L302+L305</f>
        <v>0</v>
      </c>
      <c r="M299" s="837">
        <f t="shared" si="138"/>
        <v>0</v>
      </c>
      <c r="N299" s="837">
        <f t="shared" si="138"/>
        <v>0</v>
      </c>
      <c r="O299" s="837">
        <f t="shared" si="136"/>
        <v>0</v>
      </c>
      <c r="P299" s="837">
        <f t="shared" si="137"/>
        <v>0</v>
      </c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</row>
    <row r="300" spans="1:26" ht="18.75" hidden="1">
      <c r="A300" s="940"/>
      <c r="B300" s="833"/>
      <c r="C300" s="833"/>
      <c r="D300" s="833"/>
      <c r="E300" s="834" t="s">
        <v>19</v>
      </c>
      <c r="F300" s="833"/>
      <c r="G300" s="941"/>
      <c r="H300" s="158" t="s">
        <v>12</v>
      </c>
      <c r="I300" s="836"/>
      <c r="J300" s="836"/>
      <c r="K300" s="837"/>
      <c r="L300" s="837">
        <f t="shared" ca="1" si="138"/>
        <v>0</v>
      </c>
      <c r="M300" s="837">
        <f t="shared" ca="1" si="138"/>
        <v>0</v>
      </c>
      <c r="N300" s="837">
        <f t="shared" ca="1" si="138"/>
        <v>0</v>
      </c>
      <c r="O300" s="837">
        <f t="shared" ca="1" si="136"/>
        <v>0</v>
      </c>
      <c r="P300" s="837">
        <f t="shared" ca="1" si="137"/>
        <v>0</v>
      </c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</row>
    <row r="301" spans="1:26" ht="18.75" hidden="1">
      <c r="A301" s="942"/>
      <c r="B301" s="827"/>
      <c r="C301" s="943"/>
      <c r="D301" s="828" t="s">
        <v>20</v>
      </c>
      <c r="E301" s="827"/>
      <c r="F301" s="827"/>
      <c r="G301" s="829"/>
      <c r="H301" s="778" t="s">
        <v>12</v>
      </c>
      <c r="I301" s="944"/>
      <c r="J301" s="944"/>
      <c r="K301" s="945"/>
      <c r="L301" s="831">
        <f t="shared" ref="L301:N301" ca="1" si="139">L302+L303</f>
        <v>0</v>
      </c>
      <c r="M301" s="831">
        <f t="shared" ca="1" si="139"/>
        <v>0</v>
      </c>
      <c r="N301" s="831">
        <f t="shared" ca="1" si="139"/>
        <v>0</v>
      </c>
      <c r="O301" s="831">
        <f t="shared" ca="1" si="136"/>
        <v>0</v>
      </c>
      <c r="P301" s="831">
        <f t="shared" ca="1" si="137"/>
        <v>0</v>
      </c>
      <c r="Q301" s="818"/>
      <c r="R301" s="818"/>
      <c r="S301" s="818"/>
      <c r="T301" s="818"/>
      <c r="U301" s="818"/>
      <c r="V301" s="818"/>
      <c r="W301" s="818"/>
      <c r="X301" s="818"/>
      <c r="Y301" s="818"/>
      <c r="Z301" s="818"/>
    </row>
    <row r="302" spans="1:26" ht="19.5" hidden="1">
      <c r="A302" s="940"/>
      <c r="B302" s="833"/>
      <c r="C302" s="946"/>
      <c r="D302" s="833"/>
      <c r="E302" s="834" t="s">
        <v>36</v>
      </c>
      <c r="F302" s="833"/>
      <c r="G302" s="941"/>
      <c r="H302" s="165" t="s">
        <v>12</v>
      </c>
      <c r="I302" s="947"/>
      <c r="J302" s="947"/>
      <c r="K302" s="948"/>
      <c r="L302" s="837">
        <v>0</v>
      </c>
      <c r="M302" s="837">
        <v>0</v>
      </c>
      <c r="N302" s="837">
        <v>0</v>
      </c>
      <c r="O302" s="837">
        <f t="shared" si="136"/>
        <v>0</v>
      </c>
      <c r="P302" s="837">
        <f t="shared" si="137"/>
        <v>0</v>
      </c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</row>
    <row r="303" spans="1:26" ht="19.5" hidden="1">
      <c r="A303" s="940"/>
      <c r="B303" s="833"/>
      <c r="C303" s="946"/>
      <c r="D303" s="833"/>
      <c r="E303" s="834" t="s">
        <v>37</v>
      </c>
      <c r="F303" s="833"/>
      <c r="G303" s="941"/>
      <c r="H303" s="165" t="s">
        <v>12</v>
      </c>
      <c r="I303" s="947"/>
      <c r="J303" s="947"/>
      <c r="K303" s="948"/>
      <c r="L303" s="837">
        <f ca="1">IFERROR(__xludf.DUMMYFUNCTION("IMPORTRANGE(""https://docs.google.com/spreadsheets/d/1MeEWN-I1oV_STSDYn1IFDPWt_1FKiwhDph83XaGc0o0/edit?usp=sharing"",""งบพรบ!DS25"")"),0)</f>
        <v>0</v>
      </c>
      <c r="M303" s="837">
        <f ca="1">IFERROR(__xludf.DUMMYFUNCTION("IMPORTRANGE(""https://docs.google.com/spreadsheets/d/1MeEWN-I1oV_STSDYn1IFDPWt_1FKiwhDph83XaGc0o0/edit?usp=sharing"",""งบพรบ!DX25"")"),0)</f>
        <v>0</v>
      </c>
      <c r="N303" s="837">
        <f ca="1">IFERROR(__xludf.DUMMYFUNCTION("IMPORTRANGE(""https://docs.google.com/spreadsheets/d/1MeEWN-I1oV_STSDYn1IFDPWt_1FKiwhDph83XaGc0o0/edit?usp=sharing"",""งบพรบ!DZ25"")"),0)</f>
        <v>0</v>
      </c>
      <c r="O303" s="837">
        <f t="shared" ca="1" si="136"/>
        <v>0</v>
      </c>
      <c r="P303" s="837">
        <f t="shared" ca="1" si="137"/>
        <v>0</v>
      </c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</row>
    <row r="304" spans="1:26" ht="18.75" hidden="1">
      <c r="A304" s="942"/>
      <c r="B304" s="827"/>
      <c r="C304" s="943"/>
      <c r="D304" s="828" t="s">
        <v>21</v>
      </c>
      <c r="E304" s="827"/>
      <c r="F304" s="827"/>
      <c r="G304" s="829"/>
      <c r="H304" s="168" t="s">
        <v>12</v>
      </c>
      <c r="I304" s="944"/>
      <c r="J304" s="944"/>
      <c r="K304" s="945"/>
      <c r="L304" s="831">
        <f t="shared" ref="L304:N304" ca="1" si="140">L305+L306</f>
        <v>0</v>
      </c>
      <c r="M304" s="831">
        <f t="shared" ca="1" si="140"/>
        <v>0</v>
      </c>
      <c r="N304" s="831">
        <f t="shared" ca="1" si="140"/>
        <v>0</v>
      </c>
      <c r="O304" s="831">
        <f t="shared" ca="1" si="136"/>
        <v>0</v>
      </c>
      <c r="P304" s="831">
        <f t="shared" ca="1" si="137"/>
        <v>0</v>
      </c>
      <c r="Q304" s="818"/>
      <c r="R304" s="818"/>
      <c r="S304" s="818"/>
      <c r="T304" s="818"/>
      <c r="U304" s="818"/>
      <c r="V304" s="818"/>
      <c r="W304" s="818"/>
      <c r="X304" s="818"/>
      <c r="Y304" s="818"/>
      <c r="Z304" s="818"/>
    </row>
    <row r="305" spans="1:26" ht="19.5" hidden="1">
      <c r="A305" s="940"/>
      <c r="B305" s="833"/>
      <c r="C305" s="946"/>
      <c r="D305" s="833"/>
      <c r="E305" s="834" t="s">
        <v>18</v>
      </c>
      <c r="F305" s="833"/>
      <c r="G305" s="941"/>
      <c r="H305" s="165" t="s">
        <v>12</v>
      </c>
      <c r="I305" s="947"/>
      <c r="J305" s="947"/>
      <c r="K305" s="948"/>
      <c r="L305" s="837">
        <v>0</v>
      </c>
      <c r="M305" s="837">
        <v>0</v>
      </c>
      <c r="N305" s="837">
        <v>0</v>
      </c>
      <c r="O305" s="837">
        <f t="shared" si="136"/>
        <v>0</v>
      </c>
      <c r="P305" s="837">
        <f t="shared" si="137"/>
        <v>0</v>
      </c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</row>
    <row r="306" spans="1:26" ht="19.5" hidden="1">
      <c r="A306" s="940"/>
      <c r="B306" s="833"/>
      <c r="C306" s="946"/>
      <c r="D306" s="833"/>
      <c r="E306" s="834" t="s">
        <v>19</v>
      </c>
      <c r="F306" s="833"/>
      <c r="G306" s="941"/>
      <c r="H306" s="169" t="s">
        <v>12</v>
      </c>
      <c r="I306" s="947"/>
      <c r="J306" s="947"/>
      <c r="K306" s="948"/>
      <c r="L306" s="837">
        <f ca="1">IFERROR(__xludf.DUMMYFUNCTION("IMPORTRANGE(""https://docs.google.com/spreadsheets/d/1MeEWN-I1oV_STSDYn1IFDPWt_1FKiwhDph83XaGc0o0/edit?usp=sharing"",""งบพรบ!DV25"")"),0)</f>
        <v>0</v>
      </c>
      <c r="M306" s="837">
        <f ca="1">IFERROR(__xludf.DUMMYFUNCTION("IMPORTRANGE(""https://docs.google.com/spreadsheets/d/1MeEWN-I1oV_STSDYn1IFDPWt_1FKiwhDph83XaGc0o0/edit?usp=sharing"",""งบพรบ!DY25"")"),0)</f>
        <v>0</v>
      </c>
      <c r="N306" s="837">
        <f ca="1">IFERROR(__xludf.DUMMYFUNCTION("IMPORTRANGE(""https://docs.google.com/spreadsheets/d/1MeEWN-I1oV_STSDYn1IFDPWt_1FKiwhDph83XaGc0o0/edit?usp=sharing"",""งบพรบ!EA25"")"),0)</f>
        <v>0</v>
      </c>
      <c r="O306" s="837">
        <f t="shared" ca="1" si="136"/>
        <v>0</v>
      </c>
      <c r="P306" s="837">
        <f t="shared" ca="1" si="137"/>
        <v>0</v>
      </c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</row>
    <row r="307" spans="1:26" ht="19.5" hidden="1">
      <c r="A307" s="949"/>
      <c r="B307" s="950"/>
      <c r="C307" s="946" t="s">
        <v>16</v>
      </c>
      <c r="D307" s="951" t="s">
        <v>38</v>
      </c>
      <c r="E307" s="952"/>
      <c r="F307" s="952"/>
      <c r="G307" s="953"/>
      <c r="H307" s="954"/>
      <c r="I307" s="830"/>
      <c r="J307" s="830"/>
      <c r="K307" s="831"/>
      <c r="L307" s="831"/>
      <c r="M307" s="831"/>
      <c r="N307" s="831"/>
      <c r="O307" s="831"/>
      <c r="P307" s="831"/>
    </row>
    <row r="308" spans="1:26" ht="18.75" hidden="1">
      <c r="A308" s="949"/>
      <c r="B308" s="950"/>
      <c r="C308" s="950"/>
      <c r="D308" s="956" t="s">
        <v>140</v>
      </c>
      <c r="E308" s="956"/>
      <c r="F308" s="956"/>
      <c r="G308" s="958"/>
      <c r="H308" s="730"/>
      <c r="I308" s="830"/>
      <c r="J308" s="959">
        <v>0</v>
      </c>
      <c r="K308" s="831"/>
      <c r="L308" s="831"/>
      <c r="M308" s="831"/>
      <c r="N308" s="831"/>
      <c r="O308" s="831"/>
      <c r="P308" s="831"/>
    </row>
    <row r="309" spans="1:26" ht="18.75" hidden="1">
      <c r="A309" s="949"/>
      <c r="B309" s="950"/>
      <c r="C309" s="950"/>
      <c r="D309" s="956" t="s">
        <v>141</v>
      </c>
      <c r="E309" s="956"/>
      <c r="F309" s="956"/>
      <c r="G309" s="958"/>
      <c r="H309" s="730" t="s">
        <v>35</v>
      </c>
      <c r="I309" s="830">
        <f ca="1">IFERROR(__xludf.DUMMYFUNCTION("IMPORTRANGE(""https://docs.google.com/spreadsheets/d/1QqKyyYR6Q21VydFLVH3TRQUabQu_ym0Zz7PgGX0-kHA/edit?usp=sharing"",""แผน!ED25"")"),0)</f>
        <v>0</v>
      </c>
      <c r="J309" s="959">
        <v>0</v>
      </c>
      <c r="K309" s="831">
        <f t="shared" ref="K309:K312" ca="1" si="141">IF(I309&gt;0,J309*100/I309,0)</f>
        <v>0</v>
      </c>
      <c r="L309" s="831"/>
      <c r="M309" s="831"/>
      <c r="N309" s="831"/>
      <c r="O309" s="831"/>
      <c r="P309" s="831"/>
    </row>
    <row r="310" spans="1:26" ht="18.75" hidden="1">
      <c r="A310" s="949"/>
      <c r="B310" s="950"/>
      <c r="C310" s="950"/>
      <c r="D310" s="956" t="s">
        <v>142</v>
      </c>
      <c r="E310" s="956"/>
      <c r="F310" s="956"/>
      <c r="G310" s="958"/>
      <c r="H310" s="730" t="s">
        <v>35</v>
      </c>
      <c r="I310" s="830">
        <f ca="1">IFERROR(__xludf.DUMMYFUNCTION("IMPORTRANGE(""https://docs.google.com/spreadsheets/d/1QqKyyYR6Q21VydFLVH3TRQUabQu_ym0Zz7PgGX0-kHA/edit?usp=sharing"",""แผน!ED25"")"),0)</f>
        <v>0</v>
      </c>
      <c r="J310" s="959">
        <v>0</v>
      </c>
      <c r="K310" s="831">
        <f t="shared" ca="1" si="141"/>
        <v>0</v>
      </c>
      <c r="L310" s="831"/>
      <c r="M310" s="831"/>
      <c r="N310" s="831"/>
      <c r="O310" s="831"/>
      <c r="P310" s="831"/>
    </row>
    <row r="311" spans="1:26" ht="18.75" hidden="1">
      <c r="A311" s="949"/>
      <c r="B311" s="950"/>
      <c r="C311" s="950"/>
      <c r="D311" s="956" t="s">
        <v>59</v>
      </c>
      <c r="E311" s="956"/>
      <c r="F311" s="956"/>
      <c r="G311" s="958"/>
      <c r="H311" s="730" t="s">
        <v>35</v>
      </c>
      <c r="I311" s="830">
        <f ca="1">IFERROR(__xludf.DUMMYFUNCTION("IMPORTRANGE(""https://docs.google.com/spreadsheets/d/1QqKyyYR6Q21VydFLVH3TRQUabQu_ym0Zz7PgGX0-kHA/edit?usp=sharing"",""แผน!ED25"")"),0)</f>
        <v>0</v>
      </c>
      <c r="J311" s="959">
        <v>0</v>
      </c>
      <c r="K311" s="831">
        <f t="shared" ca="1" si="141"/>
        <v>0</v>
      </c>
      <c r="L311" s="831"/>
      <c r="M311" s="831"/>
      <c r="N311" s="831"/>
      <c r="O311" s="831"/>
      <c r="P311" s="831"/>
    </row>
    <row r="312" spans="1:26" ht="18.75" hidden="1">
      <c r="A312" s="949"/>
      <c r="B312" s="950"/>
      <c r="C312" s="950"/>
      <c r="D312" s="956" t="s">
        <v>143</v>
      </c>
      <c r="E312" s="956"/>
      <c r="F312" s="956"/>
      <c r="G312" s="958"/>
      <c r="H312" s="730" t="s">
        <v>35</v>
      </c>
      <c r="I312" s="830">
        <f ca="1">IFERROR(__xludf.DUMMYFUNCTION("IMPORTRANGE(""https://docs.google.com/spreadsheets/d/1QqKyyYR6Q21VydFLVH3TRQUabQu_ym0Zz7PgGX0-kHA/edit?usp=sharing"",""แผน!EE25"")"),0)</f>
        <v>0</v>
      </c>
      <c r="J312" s="959">
        <v>0</v>
      </c>
      <c r="K312" s="831">
        <f t="shared" ca="1" si="141"/>
        <v>0</v>
      </c>
      <c r="L312" s="831"/>
      <c r="M312" s="831"/>
      <c r="N312" s="831"/>
      <c r="O312" s="831"/>
      <c r="P312" s="831"/>
    </row>
    <row r="313" spans="1:26" ht="19.5" hidden="1">
      <c r="A313" s="1126" t="s">
        <v>144</v>
      </c>
      <c r="B313" s="1127"/>
      <c r="C313" s="1127"/>
      <c r="D313" s="1128"/>
      <c r="E313" s="1127"/>
      <c r="F313" s="1127"/>
      <c r="G313" s="1127"/>
      <c r="H313" s="1140"/>
      <c r="I313" s="1131"/>
      <c r="J313" s="1131"/>
      <c r="K313" s="1132"/>
      <c r="L313" s="1132"/>
      <c r="M313" s="1132"/>
      <c r="N313" s="1132"/>
      <c r="O313" s="1132"/>
      <c r="P313" s="1132"/>
    </row>
    <row r="314" spans="1:26" ht="19.5" hidden="1">
      <c r="A314" s="1141"/>
      <c r="B314" s="1134" t="s">
        <v>145</v>
      </c>
      <c r="C314" s="1142"/>
      <c r="D314" s="1143"/>
      <c r="E314" s="1135"/>
      <c r="F314" s="1135"/>
      <c r="G314" s="1136"/>
      <c r="H314" s="412" t="s">
        <v>146</v>
      </c>
      <c r="I314" s="1137">
        <f t="shared" ref="I314:J314" ca="1" si="142">I325</f>
        <v>0</v>
      </c>
      <c r="J314" s="1137">
        <f t="shared" si="142"/>
        <v>0</v>
      </c>
      <c r="K314" s="1138">
        <f ca="1">IF(I314&gt;0,J314*100/I314,0)</f>
        <v>0</v>
      </c>
      <c r="L314" s="1139"/>
      <c r="M314" s="1139"/>
      <c r="N314" s="1139"/>
      <c r="O314" s="1139"/>
      <c r="P314" s="1139"/>
    </row>
    <row r="315" spans="1:26" ht="19.5" hidden="1">
      <c r="A315" s="932"/>
      <c r="B315" s="933"/>
      <c r="C315" s="934" t="s">
        <v>16</v>
      </c>
      <c r="D315" s="935" t="s">
        <v>17</v>
      </c>
      <c r="E315" s="933"/>
      <c r="F315" s="933"/>
      <c r="G315" s="936"/>
      <c r="H315" s="152" t="s">
        <v>12</v>
      </c>
      <c r="I315" s="937"/>
      <c r="J315" s="937"/>
      <c r="K315" s="938"/>
      <c r="L315" s="939">
        <f t="shared" ref="L315:N315" ca="1" si="143">L316+L317</f>
        <v>0</v>
      </c>
      <c r="M315" s="939">
        <f t="shared" ca="1" si="143"/>
        <v>0</v>
      </c>
      <c r="N315" s="939">
        <f t="shared" ca="1" si="143"/>
        <v>0</v>
      </c>
      <c r="O315" s="939">
        <f t="shared" ref="O315:O323" ca="1" si="144">IF(L315&gt;0,N315*100/L315,0)</f>
        <v>0</v>
      </c>
      <c r="P315" s="939">
        <f t="shared" ref="P315:P323" ca="1" si="145">IF(M315&gt;0,N315*100/M315,0)</f>
        <v>0</v>
      </c>
      <c r="Q315" s="818"/>
      <c r="R315" s="818"/>
      <c r="S315" s="818"/>
      <c r="T315" s="818"/>
      <c r="U315" s="818"/>
      <c r="V315" s="818"/>
      <c r="W315" s="818"/>
      <c r="X315" s="818"/>
      <c r="Y315" s="818"/>
      <c r="Z315" s="818"/>
    </row>
    <row r="316" spans="1:26" ht="18.75" hidden="1">
      <c r="A316" s="940"/>
      <c r="B316" s="833"/>
      <c r="C316" s="833"/>
      <c r="D316" s="833"/>
      <c r="E316" s="834" t="s">
        <v>18</v>
      </c>
      <c r="F316" s="833"/>
      <c r="G316" s="941"/>
      <c r="H316" s="158" t="s">
        <v>12</v>
      </c>
      <c r="I316" s="836"/>
      <c r="J316" s="836"/>
      <c r="K316" s="837"/>
      <c r="L316" s="837">
        <f t="shared" ref="L316:N317" si="146">L319+L322</f>
        <v>0</v>
      </c>
      <c r="M316" s="837">
        <f t="shared" si="146"/>
        <v>0</v>
      </c>
      <c r="N316" s="837">
        <f t="shared" si="146"/>
        <v>0</v>
      </c>
      <c r="O316" s="837">
        <f t="shared" si="144"/>
        <v>0</v>
      </c>
      <c r="P316" s="837">
        <f t="shared" si="145"/>
        <v>0</v>
      </c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</row>
    <row r="317" spans="1:26" ht="18.75" hidden="1">
      <c r="A317" s="940"/>
      <c r="B317" s="833"/>
      <c r="C317" s="833"/>
      <c r="D317" s="833"/>
      <c r="E317" s="834" t="s">
        <v>19</v>
      </c>
      <c r="F317" s="833"/>
      <c r="G317" s="941"/>
      <c r="H317" s="158" t="s">
        <v>12</v>
      </c>
      <c r="I317" s="836"/>
      <c r="J317" s="836"/>
      <c r="K317" s="837"/>
      <c r="L317" s="837">
        <f t="shared" ca="1" si="146"/>
        <v>0</v>
      </c>
      <c r="M317" s="837">
        <f t="shared" ca="1" si="146"/>
        <v>0</v>
      </c>
      <c r="N317" s="837">
        <f t="shared" ca="1" si="146"/>
        <v>0</v>
      </c>
      <c r="O317" s="837">
        <f t="shared" ca="1" si="144"/>
        <v>0</v>
      </c>
      <c r="P317" s="837">
        <f t="shared" ca="1" si="145"/>
        <v>0</v>
      </c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</row>
    <row r="318" spans="1:26" ht="18.75" hidden="1">
      <c r="A318" s="942"/>
      <c r="B318" s="827"/>
      <c r="C318" s="943"/>
      <c r="D318" s="828" t="s">
        <v>20</v>
      </c>
      <c r="E318" s="827"/>
      <c r="F318" s="827"/>
      <c r="G318" s="829"/>
      <c r="H318" s="778" t="s">
        <v>12</v>
      </c>
      <c r="I318" s="944"/>
      <c r="J318" s="944"/>
      <c r="K318" s="945"/>
      <c r="L318" s="831">
        <f t="shared" ref="L318:N318" ca="1" si="147">L319+L320</f>
        <v>0</v>
      </c>
      <c r="M318" s="831">
        <f t="shared" ca="1" si="147"/>
        <v>0</v>
      </c>
      <c r="N318" s="831">
        <f t="shared" ca="1" si="147"/>
        <v>0</v>
      </c>
      <c r="O318" s="831">
        <f t="shared" ca="1" si="144"/>
        <v>0</v>
      </c>
      <c r="P318" s="831">
        <f t="shared" ca="1" si="145"/>
        <v>0</v>
      </c>
      <c r="Q318" s="818"/>
      <c r="R318" s="818"/>
      <c r="S318" s="818"/>
      <c r="T318" s="818"/>
      <c r="U318" s="818"/>
      <c r="V318" s="818"/>
      <c r="W318" s="818"/>
      <c r="X318" s="818"/>
      <c r="Y318" s="818"/>
      <c r="Z318" s="818"/>
    </row>
    <row r="319" spans="1:26" ht="19.5" hidden="1">
      <c r="A319" s="940"/>
      <c r="B319" s="833"/>
      <c r="C319" s="946"/>
      <c r="D319" s="833"/>
      <c r="E319" s="834" t="s">
        <v>36</v>
      </c>
      <c r="F319" s="833"/>
      <c r="G319" s="941"/>
      <c r="H319" s="165" t="s">
        <v>12</v>
      </c>
      <c r="I319" s="947"/>
      <c r="J319" s="947"/>
      <c r="K319" s="948"/>
      <c r="L319" s="837">
        <v>0</v>
      </c>
      <c r="M319" s="837">
        <v>0</v>
      </c>
      <c r="N319" s="837">
        <v>0</v>
      </c>
      <c r="O319" s="837">
        <f t="shared" si="144"/>
        <v>0</v>
      </c>
      <c r="P319" s="837">
        <f t="shared" si="145"/>
        <v>0</v>
      </c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</row>
    <row r="320" spans="1:26" ht="19.5" hidden="1">
      <c r="A320" s="940"/>
      <c r="B320" s="833"/>
      <c r="C320" s="946"/>
      <c r="D320" s="833"/>
      <c r="E320" s="834" t="s">
        <v>37</v>
      </c>
      <c r="F320" s="833"/>
      <c r="G320" s="941"/>
      <c r="H320" s="165" t="s">
        <v>12</v>
      </c>
      <c r="I320" s="947"/>
      <c r="J320" s="947"/>
      <c r="K320" s="948"/>
      <c r="L320" s="837">
        <f ca="1">IFERROR(__xludf.DUMMYFUNCTION("IMPORTRANGE(""https://docs.google.com/spreadsheets/d/1MeEWN-I1oV_STSDYn1IFDPWt_1FKiwhDph83XaGc0o0/edit?usp=sharing"",""งบพรบ!EC25"")"),0)</f>
        <v>0</v>
      </c>
      <c r="M320" s="837">
        <f ca="1">IFERROR(__xludf.DUMMYFUNCTION("IMPORTRANGE(""https://docs.google.com/spreadsheets/d/1MeEWN-I1oV_STSDYn1IFDPWt_1FKiwhDph83XaGc0o0/edit?usp=sharing"",""งบพรบ!EH25"")"),0)</f>
        <v>0</v>
      </c>
      <c r="N320" s="837">
        <f ca="1">IFERROR(__xludf.DUMMYFUNCTION("IMPORTRANGE(""https://docs.google.com/spreadsheets/d/1MeEWN-I1oV_STSDYn1IFDPWt_1FKiwhDph83XaGc0o0/edit?usp=sharing"",""งบพรบ!EJ25"")"),0)</f>
        <v>0</v>
      </c>
      <c r="O320" s="837">
        <f t="shared" ca="1" si="144"/>
        <v>0</v>
      </c>
      <c r="P320" s="837">
        <f t="shared" ca="1" si="145"/>
        <v>0</v>
      </c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</row>
    <row r="321" spans="1:26" ht="18.75" hidden="1">
      <c r="A321" s="942"/>
      <c r="B321" s="827"/>
      <c r="C321" s="943"/>
      <c r="D321" s="828" t="s">
        <v>21</v>
      </c>
      <c r="E321" s="827"/>
      <c r="F321" s="827"/>
      <c r="G321" s="829"/>
      <c r="H321" s="168" t="s">
        <v>12</v>
      </c>
      <c r="I321" s="944"/>
      <c r="J321" s="944"/>
      <c r="K321" s="945"/>
      <c r="L321" s="831">
        <f t="shared" ref="L321:N321" ca="1" si="148">L322+L323</f>
        <v>0</v>
      </c>
      <c r="M321" s="831">
        <f t="shared" ca="1" si="148"/>
        <v>0</v>
      </c>
      <c r="N321" s="831">
        <f t="shared" ca="1" si="148"/>
        <v>0</v>
      </c>
      <c r="O321" s="831">
        <f t="shared" ca="1" si="144"/>
        <v>0</v>
      </c>
      <c r="P321" s="831">
        <f t="shared" ca="1" si="145"/>
        <v>0</v>
      </c>
      <c r="Q321" s="818"/>
      <c r="R321" s="818"/>
      <c r="S321" s="818"/>
      <c r="T321" s="818"/>
      <c r="U321" s="818"/>
      <c r="V321" s="818"/>
      <c r="W321" s="818"/>
      <c r="X321" s="818"/>
      <c r="Y321" s="818"/>
      <c r="Z321" s="818"/>
    </row>
    <row r="322" spans="1:26" ht="19.5" hidden="1">
      <c r="A322" s="940"/>
      <c r="B322" s="833"/>
      <c r="C322" s="946"/>
      <c r="D322" s="833"/>
      <c r="E322" s="834" t="s">
        <v>18</v>
      </c>
      <c r="F322" s="833"/>
      <c r="G322" s="941"/>
      <c r="H322" s="165" t="s">
        <v>12</v>
      </c>
      <c r="I322" s="947"/>
      <c r="J322" s="947"/>
      <c r="K322" s="948"/>
      <c r="L322" s="837">
        <v>0</v>
      </c>
      <c r="M322" s="837">
        <v>0</v>
      </c>
      <c r="N322" s="837">
        <v>0</v>
      </c>
      <c r="O322" s="837">
        <f t="shared" si="144"/>
        <v>0</v>
      </c>
      <c r="P322" s="837">
        <f t="shared" si="145"/>
        <v>0</v>
      </c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</row>
    <row r="323" spans="1:26" ht="19.5" hidden="1">
      <c r="A323" s="940"/>
      <c r="B323" s="833"/>
      <c r="C323" s="946"/>
      <c r="D323" s="833"/>
      <c r="E323" s="834" t="s">
        <v>19</v>
      </c>
      <c r="F323" s="833"/>
      <c r="G323" s="941"/>
      <c r="H323" s="169" t="s">
        <v>12</v>
      </c>
      <c r="I323" s="947"/>
      <c r="J323" s="947"/>
      <c r="K323" s="948"/>
      <c r="L323" s="837">
        <f ca="1">IFERROR(__xludf.DUMMYFUNCTION("IMPORTRANGE(""https://docs.google.com/spreadsheets/d/1MeEWN-I1oV_STSDYn1IFDPWt_1FKiwhDph83XaGc0o0/edit?usp=sharing"",""งบพรบ!EF25"")"),0)</f>
        <v>0</v>
      </c>
      <c r="M323" s="837">
        <f ca="1">IFERROR(__xludf.DUMMYFUNCTION("IMPORTRANGE(""https://docs.google.com/spreadsheets/d/1MeEWN-I1oV_STSDYn1IFDPWt_1FKiwhDph83XaGc0o0/edit?usp=sharing"",""งบพรบ!EI25"")"),0)</f>
        <v>0</v>
      </c>
      <c r="N323" s="837">
        <f ca="1">IFERROR(__xludf.DUMMYFUNCTION("IMPORTRANGE(""https://docs.google.com/spreadsheets/d/1MeEWN-I1oV_STSDYn1IFDPWt_1FKiwhDph83XaGc0o0/edit?usp=sharing"",""งบพรบ!EK25"")"),0)</f>
        <v>0</v>
      </c>
      <c r="O323" s="837">
        <f t="shared" ca="1" si="144"/>
        <v>0</v>
      </c>
      <c r="P323" s="837">
        <f t="shared" ca="1" si="145"/>
        <v>0</v>
      </c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</row>
    <row r="324" spans="1:26" ht="19.5" hidden="1">
      <c r="A324" s="949"/>
      <c r="B324" s="950"/>
      <c r="C324" s="946" t="s">
        <v>16</v>
      </c>
      <c r="D324" s="951" t="s">
        <v>38</v>
      </c>
      <c r="E324" s="952"/>
      <c r="F324" s="952"/>
      <c r="G324" s="953"/>
      <c r="H324" s="954"/>
      <c r="I324" s="944"/>
      <c r="J324" s="830"/>
      <c r="K324" s="831"/>
      <c r="L324" s="831"/>
      <c r="M324" s="831"/>
      <c r="N324" s="831"/>
      <c r="O324" s="945"/>
      <c r="P324" s="945"/>
    </row>
    <row r="325" spans="1:26" ht="18.75" hidden="1">
      <c r="A325" s="949"/>
      <c r="B325" s="950"/>
      <c r="C325" s="950"/>
      <c r="D325" s="955" t="s">
        <v>147</v>
      </c>
      <c r="E325" s="957"/>
      <c r="F325" s="956"/>
      <c r="G325" s="958"/>
      <c r="H325" s="590" t="s">
        <v>146</v>
      </c>
      <c r="I325" s="830">
        <f ca="1">IFERROR(__xludf.DUMMYFUNCTION("IMPORTRANGE(""https://docs.google.com/spreadsheets/d/1QqKyyYR6Q21VydFLVH3TRQUabQu_ym0Zz7PgGX0-kHA/edit?usp=sharing"",""แผน!EF25"")"),0)</f>
        <v>0</v>
      </c>
      <c r="J325" s="959">
        <v>0</v>
      </c>
      <c r="K325" s="831">
        <f ca="1">IF(I325&gt;0,J325*100/I325,0)</f>
        <v>0</v>
      </c>
      <c r="L325" s="831"/>
      <c r="M325" s="831"/>
      <c r="N325" s="831"/>
      <c r="O325" s="945"/>
      <c r="P325" s="945"/>
    </row>
    <row r="326" spans="1:26" ht="19.5">
      <c r="A326" s="1126" t="s">
        <v>148</v>
      </c>
      <c r="B326" s="1127"/>
      <c r="C326" s="1127"/>
      <c r="D326" s="1128"/>
      <c r="E326" s="1127"/>
      <c r="F326" s="1127"/>
      <c r="G326" s="1127"/>
      <c r="H326" s="1140"/>
      <c r="I326" s="1131"/>
      <c r="J326" s="1131"/>
      <c r="K326" s="1132"/>
      <c r="L326" s="1132"/>
      <c r="M326" s="1132"/>
      <c r="N326" s="1132"/>
      <c r="O326" s="1132"/>
      <c r="P326" s="1132"/>
    </row>
    <row r="327" spans="1:26" ht="19.5">
      <c r="A327" s="1133"/>
      <c r="B327" s="1134" t="s">
        <v>149</v>
      </c>
      <c r="C327" s="1143"/>
      <c r="D327" s="1135"/>
      <c r="E327" s="1135"/>
      <c r="F327" s="1135"/>
      <c r="G327" s="1136"/>
      <c r="H327" s="412" t="s">
        <v>35</v>
      </c>
      <c r="I327" s="1137">
        <f ca="1">IFERROR(__xludf.DUMMYFUNCTION("IMPORTRANGE(""https://docs.google.com/spreadsheets/d/1QqKyyYR6Q21VydFLVH3TRQUabQu_ym0Zz7PgGX0-kHA/edit?usp=sharing"",""แผน!EG25"")"),400)</f>
        <v>400</v>
      </c>
      <c r="J327" s="1137">
        <f ca="1">J338+J341+J342+J343</f>
        <v>232</v>
      </c>
      <c r="K327" s="1138">
        <f ca="1">IF(I327&gt;0,J327*100/I327,0)</f>
        <v>58</v>
      </c>
      <c r="L327" s="1139"/>
      <c r="M327" s="1139"/>
      <c r="N327" s="1139"/>
      <c r="O327" s="1139"/>
      <c r="P327" s="1139"/>
    </row>
    <row r="328" spans="1:26" ht="19.5">
      <c r="A328" s="932"/>
      <c r="B328" s="933"/>
      <c r="C328" s="934" t="s">
        <v>16</v>
      </c>
      <c r="D328" s="935" t="s">
        <v>17</v>
      </c>
      <c r="E328" s="933"/>
      <c r="F328" s="933"/>
      <c r="G328" s="936"/>
      <c r="H328" s="152" t="s">
        <v>12</v>
      </c>
      <c r="I328" s="937"/>
      <c r="J328" s="937"/>
      <c r="K328" s="938"/>
      <c r="L328" s="939">
        <f t="shared" ref="L328:N328" ca="1" si="149">L329+L330</f>
        <v>165000</v>
      </c>
      <c r="M328" s="939">
        <f t="shared" ca="1" si="149"/>
        <v>126250</v>
      </c>
      <c r="N328" s="939">
        <f t="shared" ca="1" si="149"/>
        <v>69851</v>
      </c>
      <c r="O328" s="939">
        <f t="shared" ref="O328:O336" ca="1" si="150">IF(L328&gt;0,N328*100/L328,0)</f>
        <v>42.333939393939396</v>
      </c>
      <c r="P328" s="939">
        <f t="shared" ref="P328:P336" ca="1" si="151">IF(M328&gt;0,N328*100/M328,0)</f>
        <v>55.327524752475249</v>
      </c>
      <c r="Q328" s="818"/>
      <c r="R328" s="818"/>
      <c r="S328" s="818"/>
      <c r="T328" s="818"/>
      <c r="U328" s="818"/>
      <c r="V328" s="818"/>
      <c r="W328" s="818"/>
      <c r="X328" s="818"/>
      <c r="Y328" s="818"/>
      <c r="Z328" s="818"/>
    </row>
    <row r="329" spans="1:26" ht="18.75" hidden="1">
      <c r="A329" s="940"/>
      <c r="B329" s="833"/>
      <c r="C329" s="833"/>
      <c r="D329" s="833"/>
      <c r="E329" s="834" t="s">
        <v>18</v>
      </c>
      <c r="F329" s="833"/>
      <c r="G329" s="941"/>
      <c r="H329" s="158" t="s">
        <v>12</v>
      </c>
      <c r="I329" s="836"/>
      <c r="J329" s="836"/>
      <c r="K329" s="837"/>
      <c r="L329" s="837">
        <f t="shared" ref="L329:N330" si="152">L332+L335</f>
        <v>0</v>
      </c>
      <c r="M329" s="837">
        <f t="shared" si="152"/>
        <v>0</v>
      </c>
      <c r="N329" s="837">
        <f t="shared" si="152"/>
        <v>0</v>
      </c>
      <c r="O329" s="837">
        <f t="shared" si="150"/>
        <v>0</v>
      </c>
      <c r="P329" s="837">
        <f t="shared" si="151"/>
        <v>0</v>
      </c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</row>
    <row r="330" spans="1:26" ht="18.75" hidden="1">
      <c r="A330" s="940"/>
      <c r="B330" s="833"/>
      <c r="C330" s="833"/>
      <c r="D330" s="833"/>
      <c r="E330" s="834" t="s">
        <v>19</v>
      </c>
      <c r="F330" s="833"/>
      <c r="G330" s="941"/>
      <c r="H330" s="158" t="s">
        <v>12</v>
      </c>
      <c r="I330" s="836"/>
      <c r="J330" s="836"/>
      <c r="K330" s="837"/>
      <c r="L330" s="837">
        <f t="shared" ca="1" si="152"/>
        <v>165000</v>
      </c>
      <c r="M330" s="837">
        <f t="shared" ca="1" si="152"/>
        <v>126250</v>
      </c>
      <c r="N330" s="837">
        <f t="shared" ca="1" si="152"/>
        <v>69851</v>
      </c>
      <c r="O330" s="837">
        <f t="shared" ca="1" si="150"/>
        <v>42.333939393939396</v>
      </c>
      <c r="P330" s="837">
        <f t="shared" ca="1" si="151"/>
        <v>55.327524752475249</v>
      </c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</row>
    <row r="331" spans="1:26" ht="18.75">
      <c r="A331" s="942"/>
      <c r="B331" s="827"/>
      <c r="C331" s="943"/>
      <c r="D331" s="828" t="s">
        <v>20</v>
      </c>
      <c r="E331" s="827"/>
      <c r="F331" s="827"/>
      <c r="G331" s="829"/>
      <c r="H331" s="778" t="s">
        <v>12</v>
      </c>
      <c r="I331" s="944"/>
      <c r="J331" s="944"/>
      <c r="K331" s="945"/>
      <c r="L331" s="831">
        <f t="shared" ref="L331:N331" ca="1" si="153">L332+L333</f>
        <v>165000</v>
      </c>
      <c r="M331" s="831">
        <f t="shared" ca="1" si="153"/>
        <v>126250</v>
      </c>
      <c r="N331" s="831">
        <f t="shared" ca="1" si="153"/>
        <v>69851</v>
      </c>
      <c r="O331" s="831">
        <f t="shared" ca="1" si="150"/>
        <v>42.333939393939396</v>
      </c>
      <c r="P331" s="831">
        <f t="shared" ca="1" si="151"/>
        <v>55.327524752475249</v>
      </c>
      <c r="Q331" s="818"/>
      <c r="R331" s="818"/>
      <c r="S331" s="818"/>
      <c r="T331" s="818"/>
      <c r="U331" s="818"/>
      <c r="V331" s="818"/>
      <c r="W331" s="818"/>
      <c r="X331" s="818"/>
      <c r="Y331" s="818"/>
      <c r="Z331" s="818"/>
    </row>
    <row r="332" spans="1:26" ht="19.5" hidden="1">
      <c r="A332" s="940"/>
      <c r="B332" s="833"/>
      <c r="C332" s="946"/>
      <c r="D332" s="833"/>
      <c r="E332" s="834" t="s">
        <v>36</v>
      </c>
      <c r="F332" s="833"/>
      <c r="G332" s="941"/>
      <c r="H332" s="165" t="s">
        <v>12</v>
      </c>
      <c r="I332" s="947"/>
      <c r="J332" s="947"/>
      <c r="K332" s="948"/>
      <c r="L332" s="837">
        <v>0</v>
      </c>
      <c r="M332" s="837">
        <v>0</v>
      </c>
      <c r="N332" s="837">
        <v>0</v>
      </c>
      <c r="O332" s="837">
        <f t="shared" si="150"/>
        <v>0</v>
      </c>
      <c r="P332" s="837">
        <f t="shared" si="151"/>
        <v>0</v>
      </c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</row>
    <row r="333" spans="1:26" ht="19.5" hidden="1">
      <c r="A333" s="940"/>
      <c r="B333" s="833"/>
      <c r="C333" s="946"/>
      <c r="D333" s="833"/>
      <c r="E333" s="834" t="s">
        <v>37</v>
      </c>
      <c r="F333" s="833"/>
      <c r="G333" s="941"/>
      <c r="H333" s="165" t="s">
        <v>12</v>
      </c>
      <c r="I333" s="947"/>
      <c r="J333" s="947"/>
      <c r="K333" s="948"/>
      <c r="L333" s="837">
        <f ca="1">IFERROR(__xludf.DUMMYFUNCTION("IMPORTRANGE(""https://docs.google.com/spreadsheets/d/1MeEWN-I1oV_STSDYn1IFDPWt_1FKiwhDph83XaGc0o0/edit?usp=sharing"",""งบพรบ!EM25"")"),165000)</f>
        <v>165000</v>
      </c>
      <c r="M333" s="837">
        <f ca="1">IFERROR(__xludf.DUMMYFUNCTION("IMPORTRANGE(""https://docs.google.com/spreadsheets/d/1MeEWN-I1oV_STSDYn1IFDPWt_1FKiwhDph83XaGc0o0/edit?usp=sharing"",""งบพรบ!ER25"")"),126250)</f>
        <v>126250</v>
      </c>
      <c r="N333" s="837">
        <f ca="1">IFERROR(__xludf.DUMMYFUNCTION("IMPORTRANGE(""https://docs.google.com/spreadsheets/d/1MeEWN-I1oV_STSDYn1IFDPWt_1FKiwhDph83XaGc0o0/edit?usp=sharing"",""งบพรบ!ET25"")"),69851)</f>
        <v>69851</v>
      </c>
      <c r="O333" s="837">
        <f t="shared" ca="1" si="150"/>
        <v>42.333939393939396</v>
      </c>
      <c r="P333" s="837">
        <f t="shared" ca="1" si="151"/>
        <v>55.327524752475249</v>
      </c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</row>
    <row r="334" spans="1:26" ht="18.75">
      <c r="A334" s="942"/>
      <c r="B334" s="827"/>
      <c r="C334" s="943"/>
      <c r="D334" s="828" t="s">
        <v>21</v>
      </c>
      <c r="E334" s="827"/>
      <c r="F334" s="827"/>
      <c r="G334" s="829"/>
      <c r="H334" s="168" t="s">
        <v>12</v>
      </c>
      <c r="I334" s="944"/>
      <c r="J334" s="944"/>
      <c r="K334" s="945"/>
      <c r="L334" s="831">
        <f t="shared" ref="L334:N334" ca="1" si="154">L335+L336</f>
        <v>0</v>
      </c>
      <c r="M334" s="831">
        <f t="shared" ca="1" si="154"/>
        <v>0</v>
      </c>
      <c r="N334" s="831">
        <f t="shared" ca="1" si="154"/>
        <v>0</v>
      </c>
      <c r="O334" s="831">
        <f t="shared" ca="1" si="150"/>
        <v>0</v>
      </c>
      <c r="P334" s="831">
        <f t="shared" ca="1" si="151"/>
        <v>0</v>
      </c>
      <c r="Q334" s="818"/>
      <c r="R334" s="818"/>
      <c r="S334" s="818"/>
      <c r="T334" s="818"/>
      <c r="U334" s="818"/>
      <c r="V334" s="818"/>
      <c r="W334" s="818"/>
      <c r="X334" s="818"/>
      <c r="Y334" s="818"/>
      <c r="Z334" s="818"/>
    </row>
    <row r="335" spans="1:26" ht="19.5" hidden="1">
      <c r="A335" s="940"/>
      <c r="B335" s="833"/>
      <c r="C335" s="946"/>
      <c r="D335" s="833"/>
      <c r="E335" s="834" t="s">
        <v>18</v>
      </c>
      <c r="F335" s="833"/>
      <c r="G335" s="941"/>
      <c r="H335" s="165" t="s">
        <v>12</v>
      </c>
      <c r="I335" s="947"/>
      <c r="J335" s="947"/>
      <c r="K335" s="948"/>
      <c r="L335" s="837">
        <v>0</v>
      </c>
      <c r="M335" s="837">
        <v>0</v>
      </c>
      <c r="N335" s="837">
        <v>0</v>
      </c>
      <c r="O335" s="837">
        <f t="shared" si="150"/>
        <v>0</v>
      </c>
      <c r="P335" s="837">
        <f t="shared" si="151"/>
        <v>0</v>
      </c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</row>
    <row r="336" spans="1:26" ht="19.5" hidden="1">
      <c r="A336" s="940"/>
      <c r="B336" s="833"/>
      <c r="C336" s="946"/>
      <c r="D336" s="833"/>
      <c r="E336" s="834" t="s">
        <v>19</v>
      </c>
      <c r="F336" s="833"/>
      <c r="G336" s="941"/>
      <c r="H336" s="169" t="s">
        <v>12</v>
      </c>
      <c r="I336" s="947"/>
      <c r="J336" s="947"/>
      <c r="K336" s="948"/>
      <c r="L336" s="837">
        <f ca="1">IFERROR(__xludf.DUMMYFUNCTION("IMPORTRANGE(""https://docs.google.com/spreadsheets/d/1MeEWN-I1oV_STSDYn1IFDPWt_1FKiwhDph83XaGc0o0/edit?usp=sharing"",""งบพรบ!EP25"")"),0)</f>
        <v>0</v>
      </c>
      <c r="M336" s="837">
        <f ca="1">IFERROR(__xludf.DUMMYFUNCTION("IMPORTRANGE(""https://docs.google.com/spreadsheets/d/1MeEWN-I1oV_STSDYn1IFDPWt_1FKiwhDph83XaGc0o0/edit?usp=sharing"",""งบพรบ!ES25"")"),0)</f>
        <v>0</v>
      </c>
      <c r="N336" s="837">
        <f ca="1">IFERROR(__xludf.DUMMYFUNCTION("IMPORTRANGE(""https://docs.google.com/spreadsheets/d/1MeEWN-I1oV_STSDYn1IFDPWt_1FKiwhDph83XaGc0o0/edit?usp=sharing"",""งบพรบ!EU25"")"),0)</f>
        <v>0</v>
      </c>
      <c r="O336" s="837">
        <f t="shared" ca="1" si="150"/>
        <v>0</v>
      </c>
      <c r="P336" s="837">
        <f t="shared" ca="1" si="151"/>
        <v>0</v>
      </c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</row>
    <row r="337" spans="1:26" ht="19.5">
      <c r="A337" s="949"/>
      <c r="B337" s="950"/>
      <c r="C337" s="946" t="s">
        <v>16</v>
      </c>
      <c r="D337" s="951" t="s">
        <v>38</v>
      </c>
      <c r="E337" s="952"/>
      <c r="F337" s="952"/>
      <c r="G337" s="953"/>
      <c r="H337" s="954"/>
      <c r="I337" s="944"/>
      <c r="J337" s="830"/>
      <c r="K337" s="831"/>
      <c r="L337" s="831"/>
      <c r="M337" s="831"/>
      <c r="N337" s="831"/>
      <c r="O337" s="945"/>
      <c r="P337" s="945"/>
    </row>
    <row r="338" spans="1:26" ht="18.75">
      <c r="A338" s="1032"/>
      <c r="B338" s="827"/>
      <c r="C338" s="1030"/>
      <c r="D338" s="956" t="s">
        <v>150</v>
      </c>
      <c r="E338" s="950"/>
      <c r="F338" s="827"/>
      <c r="G338" s="829"/>
      <c r="H338" s="277" t="s">
        <v>35</v>
      </c>
      <c r="I338" s="830">
        <f ca="1">IFERROR(__xludf.DUMMYFUNCTION("IMPORTRANGE(""https://docs.google.com/spreadsheets/d/1QqKyyYR6Q21VydFLVH3TRQUabQu_ym0Zz7PgGX0-kHA/edit?usp=sharing"",""แผน!EG25"")"),400)</f>
        <v>400</v>
      </c>
      <c r="J338" s="830">
        <f ca="1">IFERROR(__xludf.DUMMYFUNCTION("IMPORTRANGE(""https://docs.google.com/spreadsheets/d/1kVcqe37tkHyjCSG3S0O1AXqVkqjo8mSIZil3BcpIysc/edit?usp=sharing"",""ศูนย์!D25"")"),62)</f>
        <v>62</v>
      </c>
      <c r="K338" s="831">
        <f ca="1">IF(I338&gt;0,J338*100/I338,0)</f>
        <v>15.5</v>
      </c>
      <c r="L338" s="831"/>
      <c r="M338" s="831"/>
      <c r="N338" s="831"/>
      <c r="O338" s="831"/>
      <c r="P338" s="831"/>
    </row>
    <row r="339" spans="1:26" ht="18.75">
      <c r="A339" s="1032"/>
      <c r="B339" s="827"/>
      <c r="C339" s="1030"/>
      <c r="D339" s="956" t="s">
        <v>151</v>
      </c>
      <c r="E339" s="950"/>
      <c r="F339" s="827"/>
      <c r="G339" s="829"/>
      <c r="H339" s="277"/>
      <c r="I339" s="830"/>
      <c r="J339" s="830"/>
      <c r="K339" s="831"/>
      <c r="L339" s="831"/>
      <c r="M339" s="831"/>
      <c r="N339" s="831"/>
      <c r="O339" s="831"/>
      <c r="P339" s="831"/>
    </row>
    <row r="340" spans="1:26" ht="18.75">
      <c r="A340" s="1032"/>
      <c r="B340" s="827"/>
      <c r="C340" s="1030"/>
      <c r="D340" s="957"/>
      <c r="E340" s="956" t="s">
        <v>152</v>
      </c>
      <c r="F340" s="827"/>
      <c r="G340" s="829"/>
      <c r="H340" s="277" t="s">
        <v>153</v>
      </c>
      <c r="I340" s="830">
        <f ca="1">IFERROR(__xludf.DUMMYFUNCTION("IMPORTRANGE(""https://docs.google.com/spreadsheets/d/1QqKyyYR6Q21VydFLVH3TRQUabQu_ym0Zz7PgGX0-kHA/edit?usp=sharing"",""แผน!EH25"")"),6)</f>
        <v>6</v>
      </c>
      <c r="J340" s="830">
        <f ca="1">IFERROR(__xludf.DUMMYFUNCTION("IMPORTRANGE(""https://docs.google.com/spreadsheets/d/1kVcqe37tkHyjCSG3S0O1AXqVkqjo8mSIZil3BcpIysc/edit?usp=sharing"",""ศูนย์!E25"")"),3)</f>
        <v>3</v>
      </c>
      <c r="K340" s="831">
        <f ca="1">IF(I340&gt;0,J340*100/I340,0)</f>
        <v>50</v>
      </c>
      <c r="L340" s="831"/>
      <c r="M340" s="831"/>
      <c r="N340" s="831"/>
      <c r="O340" s="831"/>
      <c r="P340" s="831"/>
    </row>
    <row r="341" spans="1:26" ht="18.75">
      <c r="A341" s="1032"/>
      <c r="B341" s="827"/>
      <c r="C341" s="1030"/>
      <c r="D341" s="957"/>
      <c r="E341" s="956" t="s">
        <v>154</v>
      </c>
      <c r="F341" s="827"/>
      <c r="G341" s="829"/>
      <c r="H341" s="277" t="s">
        <v>35</v>
      </c>
      <c r="I341" s="830"/>
      <c r="J341" s="830">
        <f ca="1">IFERROR(__xludf.DUMMYFUNCTION("IMPORTRANGE(""https://docs.google.com/spreadsheets/d/1kVcqe37tkHyjCSG3S0O1AXqVkqjo8mSIZil3BcpIysc/edit?usp=sharing"",""ศูนย์!F25"")"),154)</f>
        <v>154</v>
      </c>
      <c r="K341" s="831"/>
      <c r="L341" s="831"/>
      <c r="M341" s="831"/>
      <c r="N341" s="831"/>
      <c r="O341" s="831"/>
      <c r="P341" s="831"/>
    </row>
    <row r="342" spans="1:26" ht="18.75">
      <c r="A342" s="1032"/>
      <c r="B342" s="827"/>
      <c r="C342" s="1030"/>
      <c r="D342" s="956" t="s">
        <v>155</v>
      </c>
      <c r="E342" s="957"/>
      <c r="F342" s="957"/>
      <c r="G342" s="829"/>
      <c r="H342" s="277" t="s">
        <v>35</v>
      </c>
      <c r="I342" s="830"/>
      <c r="J342" s="830">
        <f ca="1">IFERROR(__xludf.DUMMYFUNCTION("IMPORTRANGE(""https://docs.google.com/spreadsheets/d/1kVcqe37tkHyjCSG3S0O1AXqVkqjo8mSIZil3BcpIysc/edit?usp=sharing"",""ศูนย์!G25"")"),0)</f>
        <v>0</v>
      </c>
      <c r="K342" s="831"/>
      <c r="L342" s="831"/>
      <c r="M342" s="831"/>
      <c r="N342" s="831"/>
      <c r="O342" s="831"/>
      <c r="P342" s="831"/>
    </row>
    <row r="343" spans="1:26" ht="18.75">
      <c r="A343" s="1032"/>
      <c r="B343" s="827"/>
      <c r="C343" s="1030"/>
      <c r="D343" s="956" t="s">
        <v>156</v>
      </c>
      <c r="E343" s="957"/>
      <c r="F343" s="957"/>
      <c r="G343" s="829"/>
      <c r="H343" s="277" t="s">
        <v>35</v>
      </c>
      <c r="I343" s="830"/>
      <c r="J343" s="830">
        <f ca="1">IFERROR(__xludf.DUMMYFUNCTION("IMPORTRANGE(""https://docs.google.com/spreadsheets/d/1kVcqe37tkHyjCSG3S0O1AXqVkqjo8mSIZil3BcpIysc/edit?usp=sharing"",""ศูนย์!H25"")"),16)</f>
        <v>16</v>
      </c>
      <c r="K343" s="831"/>
      <c r="L343" s="831"/>
      <c r="M343" s="831"/>
      <c r="N343" s="831"/>
      <c r="O343" s="831"/>
      <c r="P343" s="831"/>
    </row>
    <row r="344" spans="1:26" ht="19.5">
      <c r="A344" s="1133"/>
      <c r="B344" s="1134" t="s">
        <v>157</v>
      </c>
      <c r="C344" s="1143"/>
      <c r="D344" s="1135"/>
      <c r="E344" s="1135"/>
      <c r="F344" s="1135"/>
      <c r="G344" s="1136"/>
      <c r="H344" s="412"/>
      <c r="I344" s="1144"/>
      <c r="J344" s="1144"/>
      <c r="K344" s="1139"/>
      <c r="L344" s="1139"/>
      <c r="M344" s="1139"/>
      <c r="N344" s="1139"/>
      <c r="O344" s="1139"/>
      <c r="P344" s="1139"/>
    </row>
    <row r="345" spans="1:26" ht="19.5">
      <c r="A345" s="932"/>
      <c r="B345" s="933"/>
      <c r="C345" s="934" t="s">
        <v>16</v>
      </c>
      <c r="D345" s="935" t="s">
        <v>17</v>
      </c>
      <c r="E345" s="933"/>
      <c r="F345" s="933"/>
      <c r="G345" s="936"/>
      <c r="H345" s="152" t="s">
        <v>12</v>
      </c>
      <c r="I345" s="937"/>
      <c r="J345" s="937"/>
      <c r="K345" s="938"/>
      <c r="L345" s="939">
        <f t="shared" ref="L345:N345" ca="1" si="155">L346+L347</f>
        <v>835790</v>
      </c>
      <c r="M345" s="939">
        <f t="shared" ca="1" si="155"/>
        <v>631995</v>
      </c>
      <c r="N345" s="939">
        <f t="shared" ca="1" si="155"/>
        <v>401874</v>
      </c>
      <c r="O345" s="939">
        <f t="shared" ref="O345:O353" ca="1" si="156">IF(L345&gt;0,N345*100/L345,0)</f>
        <v>48.083130930018307</v>
      </c>
      <c r="P345" s="939">
        <f t="shared" ref="P345:P353" ca="1" si="157">IF(M345&gt;0,N345*100/M345,0)</f>
        <v>63.588161298744453</v>
      </c>
      <c r="Q345" s="818"/>
      <c r="R345" s="818"/>
      <c r="S345" s="818"/>
      <c r="T345" s="818"/>
      <c r="U345" s="818"/>
      <c r="V345" s="818"/>
      <c r="W345" s="818"/>
      <c r="X345" s="818"/>
      <c r="Y345" s="818"/>
      <c r="Z345" s="818"/>
    </row>
    <row r="346" spans="1:26" ht="18.75" hidden="1">
      <c r="A346" s="940"/>
      <c r="B346" s="833"/>
      <c r="C346" s="833"/>
      <c r="D346" s="833"/>
      <c r="E346" s="834" t="s">
        <v>18</v>
      </c>
      <c r="F346" s="833"/>
      <c r="G346" s="941"/>
      <c r="H346" s="158" t="s">
        <v>12</v>
      </c>
      <c r="I346" s="836"/>
      <c r="J346" s="836"/>
      <c r="K346" s="837"/>
      <c r="L346" s="837">
        <f t="shared" ref="L346:N347" si="158">L349+L352</f>
        <v>0</v>
      </c>
      <c r="M346" s="837">
        <f t="shared" si="158"/>
        <v>0</v>
      </c>
      <c r="N346" s="837">
        <f t="shared" si="158"/>
        <v>0</v>
      </c>
      <c r="O346" s="837">
        <f t="shared" si="156"/>
        <v>0</v>
      </c>
      <c r="P346" s="837">
        <f t="shared" si="157"/>
        <v>0</v>
      </c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</row>
    <row r="347" spans="1:26" ht="18.75" hidden="1">
      <c r="A347" s="940"/>
      <c r="B347" s="833"/>
      <c r="C347" s="833"/>
      <c r="D347" s="833"/>
      <c r="E347" s="834" t="s">
        <v>19</v>
      </c>
      <c r="F347" s="833"/>
      <c r="G347" s="941"/>
      <c r="H347" s="158" t="s">
        <v>12</v>
      </c>
      <c r="I347" s="836"/>
      <c r="J347" s="836"/>
      <c r="K347" s="837"/>
      <c r="L347" s="837">
        <f t="shared" ca="1" si="158"/>
        <v>835790</v>
      </c>
      <c r="M347" s="837">
        <f t="shared" ca="1" si="158"/>
        <v>631995</v>
      </c>
      <c r="N347" s="837">
        <f t="shared" ca="1" si="158"/>
        <v>401874</v>
      </c>
      <c r="O347" s="837">
        <f t="shared" ca="1" si="156"/>
        <v>48.083130930018307</v>
      </c>
      <c r="P347" s="837">
        <f t="shared" ca="1" si="157"/>
        <v>63.588161298744453</v>
      </c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</row>
    <row r="348" spans="1:26" ht="18.75">
      <c r="A348" s="942"/>
      <c r="B348" s="827"/>
      <c r="C348" s="943"/>
      <c r="D348" s="828" t="s">
        <v>20</v>
      </c>
      <c r="E348" s="827"/>
      <c r="F348" s="827"/>
      <c r="G348" s="829"/>
      <c r="H348" s="778" t="s">
        <v>12</v>
      </c>
      <c r="I348" s="944"/>
      <c r="J348" s="944"/>
      <c r="K348" s="945"/>
      <c r="L348" s="831">
        <f t="shared" ref="L348:N348" ca="1" si="159">L349+L350</f>
        <v>775790</v>
      </c>
      <c r="M348" s="831">
        <f t="shared" ca="1" si="159"/>
        <v>571995</v>
      </c>
      <c r="N348" s="831">
        <f t="shared" ca="1" si="159"/>
        <v>341874</v>
      </c>
      <c r="O348" s="831">
        <f t="shared" ca="1" si="156"/>
        <v>44.067853413939339</v>
      </c>
      <c r="P348" s="831">
        <f t="shared" ca="1" si="157"/>
        <v>59.768704271890492</v>
      </c>
      <c r="Q348" s="818"/>
      <c r="R348" s="818"/>
      <c r="S348" s="818"/>
      <c r="T348" s="818"/>
      <c r="U348" s="818"/>
      <c r="V348" s="818"/>
      <c r="W348" s="818"/>
      <c r="X348" s="818"/>
      <c r="Y348" s="818"/>
      <c r="Z348" s="818"/>
    </row>
    <row r="349" spans="1:26" ht="19.5" hidden="1">
      <c r="A349" s="940"/>
      <c r="B349" s="833"/>
      <c r="C349" s="946"/>
      <c r="D349" s="833"/>
      <c r="E349" s="834" t="s">
        <v>36</v>
      </c>
      <c r="F349" s="833"/>
      <c r="G349" s="941"/>
      <c r="H349" s="165" t="s">
        <v>12</v>
      </c>
      <c r="I349" s="947"/>
      <c r="J349" s="947"/>
      <c r="K349" s="948"/>
      <c r="L349" s="837">
        <v>0</v>
      </c>
      <c r="M349" s="837">
        <v>0</v>
      </c>
      <c r="N349" s="837">
        <v>0</v>
      </c>
      <c r="O349" s="837">
        <f t="shared" si="156"/>
        <v>0</v>
      </c>
      <c r="P349" s="837">
        <f t="shared" si="157"/>
        <v>0</v>
      </c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</row>
    <row r="350" spans="1:26" ht="19.5" hidden="1">
      <c r="A350" s="940"/>
      <c r="B350" s="833"/>
      <c r="C350" s="946"/>
      <c r="D350" s="833"/>
      <c r="E350" s="834" t="s">
        <v>37</v>
      </c>
      <c r="F350" s="833"/>
      <c r="G350" s="941"/>
      <c r="H350" s="165" t="s">
        <v>12</v>
      </c>
      <c r="I350" s="947"/>
      <c r="J350" s="947"/>
      <c r="K350" s="948"/>
      <c r="L350" s="837">
        <f ca="1">IFERROR(__xludf.DUMMYFUNCTION("IMPORTRANGE(""https://docs.google.com/spreadsheets/d/1MeEWN-I1oV_STSDYn1IFDPWt_1FKiwhDph83XaGc0o0/edit?usp=sharing"",""งบพรบ!EW25"")"),775790)</f>
        <v>775790</v>
      </c>
      <c r="M350" s="837">
        <f ca="1">IFERROR(__xludf.DUMMYFUNCTION("IMPORTRANGE(""https://docs.google.com/spreadsheets/d/1MeEWN-I1oV_STSDYn1IFDPWt_1FKiwhDph83XaGc0o0/edit?usp=sharing"",""งบพรบ!FB25"")"),571995)</f>
        <v>571995</v>
      </c>
      <c r="N350" s="837">
        <f ca="1">IFERROR(__xludf.DUMMYFUNCTION("IMPORTRANGE(""https://docs.google.com/spreadsheets/d/1MeEWN-I1oV_STSDYn1IFDPWt_1FKiwhDph83XaGc0o0/edit?usp=sharing"",""งบพรบ!FD25"")"),341874)</f>
        <v>341874</v>
      </c>
      <c r="O350" s="837">
        <f t="shared" ca="1" si="156"/>
        <v>44.067853413939339</v>
      </c>
      <c r="P350" s="837">
        <f t="shared" ca="1" si="157"/>
        <v>59.768704271890492</v>
      </c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</row>
    <row r="351" spans="1:26" ht="18.75">
      <c r="A351" s="942"/>
      <c r="B351" s="827"/>
      <c r="C351" s="943"/>
      <c r="D351" s="828" t="s">
        <v>21</v>
      </c>
      <c r="E351" s="827"/>
      <c r="F351" s="827"/>
      <c r="G351" s="829"/>
      <c r="H351" s="168" t="s">
        <v>12</v>
      </c>
      <c r="I351" s="944"/>
      <c r="J351" s="944"/>
      <c r="K351" s="945"/>
      <c r="L351" s="831">
        <f t="shared" ref="L351:N351" ca="1" si="160">L352+L353</f>
        <v>60000</v>
      </c>
      <c r="M351" s="831">
        <f t="shared" ca="1" si="160"/>
        <v>60000</v>
      </c>
      <c r="N351" s="831">
        <f t="shared" ca="1" si="160"/>
        <v>60000</v>
      </c>
      <c r="O351" s="831">
        <f t="shared" ca="1" si="156"/>
        <v>100</v>
      </c>
      <c r="P351" s="831">
        <f t="shared" ca="1" si="157"/>
        <v>100</v>
      </c>
      <c r="Q351" s="818"/>
      <c r="R351" s="818"/>
      <c r="S351" s="818"/>
      <c r="T351" s="818"/>
      <c r="U351" s="818"/>
      <c r="V351" s="818"/>
      <c r="W351" s="818"/>
      <c r="X351" s="818"/>
      <c r="Y351" s="818"/>
      <c r="Z351" s="818"/>
    </row>
    <row r="352" spans="1:26" ht="19.5" hidden="1">
      <c r="A352" s="940"/>
      <c r="B352" s="833"/>
      <c r="C352" s="946"/>
      <c r="D352" s="833"/>
      <c r="E352" s="834" t="s">
        <v>18</v>
      </c>
      <c r="F352" s="833"/>
      <c r="G352" s="941"/>
      <c r="H352" s="165" t="s">
        <v>12</v>
      </c>
      <c r="I352" s="947"/>
      <c r="J352" s="947"/>
      <c r="K352" s="948"/>
      <c r="L352" s="837">
        <v>0</v>
      </c>
      <c r="M352" s="837">
        <v>0</v>
      </c>
      <c r="N352" s="837">
        <v>0</v>
      </c>
      <c r="O352" s="837">
        <f t="shared" si="156"/>
        <v>0</v>
      </c>
      <c r="P352" s="837">
        <f t="shared" si="157"/>
        <v>0</v>
      </c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</row>
    <row r="353" spans="1:26" ht="19.5" hidden="1">
      <c r="A353" s="940"/>
      <c r="B353" s="833"/>
      <c r="C353" s="946"/>
      <c r="D353" s="833"/>
      <c r="E353" s="834" t="s">
        <v>19</v>
      </c>
      <c r="F353" s="833"/>
      <c r="G353" s="941"/>
      <c r="H353" s="169" t="s">
        <v>12</v>
      </c>
      <c r="I353" s="947"/>
      <c r="J353" s="947"/>
      <c r="K353" s="948"/>
      <c r="L353" s="837">
        <f ca="1">IFERROR(__xludf.DUMMYFUNCTION("IMPORTRANGE(""https://docs.google.com/spreadsheets/d/1MeEWN-I1oV_STSDYn1IFDPWt_1FKiwhDph83XaGc0o0/edit?usp=sharing"",""งบพรบ!EZ25"")"),60000)</f>
        <v>60000</v>
      </c>
      <c r="M353" s="837">
        <f ca="1">IFERROR(__xludf.DUMMYFUNCTION("IMPORTRANGE(""https://docs.google.com/spreadsheets/d/1MeEWN-I1oV_STSDYn1IFDPWt_1FKiwhDph83XaGc0o0/edit?usp=sharing"",""งบพรบ!FC25"")"),60000)</f>
        <v>60000</v>
      </c>
      <c r="N353" s="837">
        <f ca="1">IFERROR(__xludf.DUMMYFUNCTION("IMPORTRANGE(""https://docs.google.com/spreadsheets/d/1MeEWN-I1oV_STSDYn1IFDPWt_1FKiwhDph83XaGc0o0/edit?usp=sharing"",""งบพรบ!FE25"")"),60000)</f>
        <v>60000</v>
      </c>
      <c r="O353" s="837">
        <f t="shared" ca="1" si="156"/>
        <v>100</v>
      </c>
      <c r="P353" s="837">
        <f t="shared" ca="1" si="157"/>
        <v>100</v>
      </c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</row>
    <row r="354" spans="1:26" ht="19.5">
      <c r="A354" s="1011"/>
      <c r="B354" s="1018"/>
      <c r="C354" s="1012"/>
      <c r="D354" s="1145" t="s">
        <v>158</v>
      </c>
      <c r="E354" s="1012"/>
      <c r="F354" s="1012"/>
      <c r="G354" s="1014"/>
      <c r="H354" s="1146"/>
      <c r="I354" s="1015"/>
      <c r="J354" s="1015"/>
      <c r="K354" s="1016"/>
      <c r="L354" s="1016"/>
      <c r="M354" s="1016"/>
      <c r="N354" s="1016"/>
      <c r="O354" s="1016"/>
      <c r="P354" s="1016"/>
    </row>
    <row r="355" spans="1:26" ht="19.5">
      <c r="A355" s="1147"/>
      <c r="B355" s="1148"/>
      <c r="C355" s="1149"/>
      <c r="D355" s="1150" t="s">
        <v>159</v>
      </c>
      <c r="E355" s="1151"/>
      <c r="F355" s="1151"/>
      <c r="G355" s="1152"/>
      <c r="H355" s="431" t="s">
        <v>35</v>
      </c>
      <c r="I355" s="1153">
        <f ca="1">IFERROR(__xludf.DUMMYFUNCTION("IMPORTRANGE(""https://docs.google.com/spreadsheets/d/1QqKyyYR6Q21VydFLVH3TRQUabQu_ym0Zz7PgGX0-kHA/edit?usp=sharing"",""แผน!EP25"")"),59)</f>
        <v>59</v>
      </c>
      <c r="J355" s="1153">
        <f ca="1">J362</f>
        <v>6</v>
      </c>
      <c r="K355" s="1154">
        <f ca="1">IF(I355&gt;0,J355*100/I355,0)</f>
        <v>10.169491525423728</v>
      </c>
      <c r="L355" s="1155"/>
      <c r="M355" s="1155"/>
      <c r="N355" s="1155"/>
      <c r="O355" s="1155"/>
      <c r="P355" s="1155"/>
    </row>
    <row r="356" spans="1:26" ht="19.5">
      <c r="A356" s="1147"/>
      <c r="B356" s="1148"/>
      <c r="C356" s="1149"/>
      <c r="D356" s="1156" t="s">
        <v>160</v>
      </c>
      <c r="E356" s="1151"/>
      <c r="F356" s="1151"/>
      <c r="G356" s="1152"/>
      <c r="H356" s="1157"/>
      <c r="I356" s="1158"/>
      <c r="J356" s="1158"/>
      <c r="K356" s="1155"/>
      <c r="L356" s="1155"/>
      <c r="M356" s="1155"/>
      <c r="N356" s="1155"/>
      <c r="O356" s="1155"/>
      <c r="P356" s="1155"/>
    </row>
    <row r="357" spans="1:26" ht="19.5">
      <c r="A357" s="949"/>
      <c r="B357" s="950"/>
      <c r="C357" s="946" t="s">
        <v>16</v>
      </c>
      <c r="D357" s="951" t="s">
        <v>38</v>
      </c>
      <c r="E357" s="952"/>
      <c r="F357" s="952"/>
      <c r="G357" s="953"/>
      <c r="H357" s="954"/>
      <c r="I357" s="830"/>
      <c r="J357" s="830"/>
      <c r="K357" s="831"/>
      <c r="L357" s="945"/>
      <c r="M357" s="945"/>
      <c r="N357" s="945"/>
      <c r="O357" s="945"/>
      <c r="P357" s="945"/>
    </row>
    <row r="358" spans="1:26" ht="18.75">
      <c r="A358" s="949"/>
      <c r="B358" s="957"/>
      <c r="C358" s="950"/>
      <c r="D358" s="957"/>
      <c r="E358" s="955" t="s">
        <v>161</v>
      </c>
      <c r="F358" s="957"/>
      <c r="G358" s="958"/>
      <c r="H358" s="777" t="s">
        <v>35</v>
      </c>
      <c r="I358" s="830">
        <v>0</v>
      </c>
      <c r="J358" s="830">
        <f ca="1">IFERROR(__xludf.DUMMYFUNCTION("IMPORTRANGE(""https://docs.google.com/spreadsheets/d/1XWAQStnk-4SwqDmLtmXYiTMKHgktTP8We1SCoS47DrQ/edit?usp=sharing"",""จัดที่ดิน!W25"")"),20)</f>
        <v>20</v>
      </c>
      <c r="K358" s="831">
        <f t="shared" ref="K358:K365" si="161">IF(I358&gt;0,J358*100/I358,0)</f>
        <v>0</v>
      </c>
      <c r="L358" s="945"/>
      <c r="M358" s="945"/>
      <c r="N358" s="945"/>
      <c r="O358" s="945"/>
      <c r="P358" s="945"/>
    </row>
    <row r="359" spans="1:26" ht="18.75">
      <c r="A359" s="949"/>
      <c r="B359" s="957"/>
      <c r="C359" s="950"/>
      <c r="D359" s="957"/>
      <c r="E359" s="957"/>
      <c r="F359" s="957"/>
      <c r="G359" s="958"/>
      <c r="H359" s="777" t="s">
        <v>46</v>
      </c>
      <c r="I359" s="830">
        <f ca="1">IFERROR(__xludf.DUMMYFUNCTION("IMPORTRANGE(""https://docs.google.com/spreadsheets/d/1QqKyyYR6Q21VydFLVH3TRQUabQu_ym0Zz7PgGX0-kHA/edit?usp=sharing"",""แผน!EO25"")"),390)</f>
        <v>390</v>
      </c>
      <c r="J359" s="830">
        <f ca="1">IFERROR(__xludf.DUMMYFUNCTION("IMPORTRANGE(""https://docs.google.com/spreadsheets/d/1XWAQStnk-4SwqDmLtmXYiTMKHgktTP8We1SCoS47DrQ/edit?usp=sharing"",""จัดที่ดิน!X25"")"),38.81)</f>
        <v>38.81</v>
      </c>
      <c r="K359" s="831">
        <f t="shared" ca="1" si="161"/>
        <v>9.9512820512820515</v>
      </c>
      <c r="L359" s="945"/>
      <c r="M359" s="945"/>
      <c r="N359" s="945"/>
      <c r="O359" s="945"/>
      <c r="P359" s="945"/>
    </row>
    <row r="360" spans="1:26" ht="18.75">
      <c r="A360" s="949"/>
      <c r="B360" s="957"/>
      <c r="C360" s="950"/>
      <c r="D360" s="957"/>
      <c r="E360" s="955" t="s">
        <v>162</v>
      </c>
      <c r="F360" s="957"/>
      <c r="G360" s="958"/>
      <c r="H360" s="730" t="s">
        <v>35</v>
      </c>
      <c r="I360" s="830">
        <f ca="1">IFERROR(__xludf.DUMMYFUNCTION("IMPORTRANGE(""https://docs.google.com/spreadsheets/d/1QqKyyYR6Q21VydFLVH3TRQUabQu_ym0Zz7PgGX0-kHA/edit?usp=sharing"",""แผน!EP25"")"),59)</f>
        <v>59</v>
      </c>
      <c r="J360" s="830">
        <f ca="1">IFERROR(__xludf.DUMMYFUNCTION("IMPORTRANGE(""https://docs.google.com/spreadsheets/d/1XWAQStnk-4SwqDmLtmXYiTMKHgktTP8We1SCoS47DrQ/edit?usp=sharing"",""จัดที่ดิน!Y25"")"),7)</f>
        <v>7</v>
      </c>
      <c r="K360" s="831">
        <f t="shared" ca="1" si="161"/>
        <v>11.864406779661017</v>
      </c>
      <c r="L360" s="945"/>
      <c r="M360" s="945"/>
      <c r="N360" s="945"/>
      <c r="O360" s="945"/>
      <c r="P360" s="945"/>
    </row>
    <row r="361" spans="1:26" ht="18.75">
      <c r="A361" s="949"/>
      <c r="B361" s="957"/>
      <c r="C361" s="950"/>
      <c r="D361" s="957"/>
      <c r="E361" s="957"/>
      <c r="F361" s="957"/>
      <c r="G361" s="958"/>
      <c r="H361" s="730" t="s">
        <v>46</v>
      </c>
      <c r="I361" s="830">
        <v>0</v>
      </c>
      <c r="J361" s="830">
        <f ca="1">IFERROR(__xludf.DUMMYFUNCTION("IMPORTRANGE(""https://docs.google.com/spreadsheets/d/1XWAQStnk-4SwqDmLtmXYiTMKHgktTP8We1SCoS47DrQ/edit?usp=sharing"",""จัดที่ดิน!Z25"")"),8.78)</f>
        <v>8.7799999999999994</v>
      </c>
      <c r="K361" s="831">
        <f t="shared" si="161"/>
        <v>0</v>
      </c>
      <c r="L361" s="945"/>
      <c r="M361" s="945"/>
      <c r="N361" s="945"/>
      <c r="O361" s="945"/>
      <c r="P361" s="945"/>
    </row>
    <row r="362" spans="1:26" ht="18.75">
      <c r="A362" s="949"/>
      <c r="B362" s="957"/>
      <c r="C362" s="950"/>
      <c r="D362" s="957"/>
      <c r="E362" s="955" t="s">
        <v>163</v>
      </c>
      <c r="F362" s="957"/>
      <c r="G362" s="958"/>
      <c r="H362" s="730" t="s">
        <v>35</v>
      </c>
      <c r="I362" s="830">
        <f ca="1">IFERROR(__xludf.DUMMYFUNCTION("IMPORTRANGE(""https://docs.google.com/spreadsheets/d/1QqKyyYR6Q21VydFLVH3TRQUabQu_ym0Zz7PgGX0-kHA/edit?usp=sharing"",""แผน!EP25"")"),59)</f>
        <v>59</v>
      </c>
      <c r="J362" s="830">
        <f ca="1">IFERROR(__xludf.DUMMYFUNCTION("IMPORTRANGE(""https://docs.google.com/spreadsheets/d/1XWAQStnk-4SwqDmLtmXYiTMKHgktTP8We1SCoS47DrQ/edit?usp=sharing"",""จัดที่ดิน!AA25"")"),6)</f>
        <v>6</v>
      </c>
      <c r="K362" s="831">
        <f t="shared" ca="1" si="161"/>
        <v>10.169491525423728</v>
      </c>
      <c r="L362" s="945"/>
      <c r="M362" s="945"/>
      <c r="N362" s="945"/>
      <c r="O362" s="945"/>
      <c r="P362" s="945"/>
    </row>
    <row r="363" spans="1:26" ht="18.75">
      <c r="A363" s="1159" t="s">
        <v>164</v>
      </c>
      <c r="B363" s="957"/>
      <c r="C363" s="950"/>
      <c r="D363" s="957"/>
      <c r="E363" s="956"/>
      <c r="F363" s="957"/>
      <c r="G363" s="958"/>
      <c r="H363" s="730" t="s">
        <v>46</v>
      </c>
      <c r="I363" s="830">
        <v>0</v>
      </c>
      <c r="J363" s="830">
        <f ca="1">IFERROR(__xludf.DUMMYFUNCTION("IMPORTRANGE(""https://docs.google.com/spreadsheets/d/1XWAQStnk-4SwqDmLtmXYiTMKHgktTP8We1SCoS47DrQ/edit?usp=sharing"",""จัดที่ดิน!AB25"")"),8.08)</f>
        <v>8.08</v>
      </c>
      <c r="K363" s="831">
        <f t="shared" si="161"/>
        <v>0</v>
      </c>
      <c r="L363" s="945"/>
      <c r="M363" s="945"/>
      <c r="N363" s="945"/>
      <c r="O363" s="945"/>
      <c r="P363" s="945"/>
    </row>
    <row r="364" spans="1:26" ht="19.5">
      <c r="A364" s="1160"/>
      <c r="B364" s="1161"/>
      <c r="C364" s="1162"/>
      <c r="D364" s="1163" t="s">
        <v>165</v>
      </c>
      <c r="E364" s="1164"/>
      <c r="F364" s="1164"/>
      <c r="G364" s="1165"/>
      <c r="H364" s="446" t="s">
        <v>35</v>
      </c>
      <c r="I364" s="1166">
        <f t="shared" ref="I364:J364" ca="1" si="162">I365+I374</f>
        <v>119</v>
      </c>
      <c r="J364" s="1166">
        <f t="shared" ca="1" si="162"/>
        <v>19</v>
      </c>
      <c r="K364" s="1167">
        <f t="shared" ca="1" si="161"/>
        <v>15.966386554621849</v>
      </c>
      <c r="L364" s="1168"/>
      <c r="M364" s="1168"/>
      <c r="N364" s="1168"/>
      <c r="O364" s="1168"/>
      <c r="P364" s="1168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69"/>
      <c r="B365" s="1170"/>
      <c r="C365" s="1171"/>
      <c r="D365" s="1171" t="s">
        <v>166</v>
      </c>
      <c r="E365" s="1172"/>
      <c r="F365" s="1172"/>
      <c r="G365" s="1173"/>
      <c r="H365" s="457" t="s">
        <v>35</v>
      </c>
      <c r="I365" s="1174">
        <f ca="1">IFERROR(__xludf.DUMMYFUNCTION("IMPORTRANGE(""https://docs.google.com/spreadsheets/d/1QqKyyYR6Q21VydFLVH3TRQUabQu_ym0Zz7PgGX0-kHA/edit?usp=sharing"",""แผน!EJ25"")"),18)</f>
        <v>18</v>
      </c>
      <c r="J365" s="1174">
        <f ca="1">J372</f>
        <v>6</v>
      </c>
      <c r="K365" s="1175">
        <f t="shared" ca="1" si="161"/>
        <v>33.333333333333336</v>
      </c>
      <c r="L365" s="1176"/>
      <c r="M365" s="1176"/>
      <c r="N365" s="1176"/>
      <c r="O365" s="1176"/>
      <c r="P365" s="1176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69"/>
      <c r="B366" s="1170"/>
      <c r="C366" s="1171"/>
      <c r="D366" s="1177" t="s">
        <v>167</v>
      </c>
      <c r="E366" s="1172"/>
      <c r="F366" s="1172"/>
      <c r="G366" s="1173"/>
      <c r="H366" s="1178"/>
      <c r="I366" s="1179"/>
      <c r="J366" s="1179"/>
      <c r="K366" s="1176"/>
      <c r="L366" s="1176"/>
      <c r="M366" s="1176"/>
      <c r="N366" s="1176"/>
      <c r="O366" s="1176"/>
      <c r="P366" s="1176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49"/>
      <c r="B367" s="950"/>
      <c r="C367" s="946" t="s">
        <v>16</v>
      </c>
      <c r="D367" s="951" t="s">
        <v>38</v>
      </c>
      <c r="E367" s="952"/>
      <c r="F367" s="952"/>
      <c r="G367" s="953"/>
      <c r="H367" s="954"/>
      <c r="I367" s="830"/>
      <c r="J367" s="830"/>
      <c r="K367" s="831"/>
      <c r="L367" s="945"/>
      <c r="M367" s="945"/>
      <c r="N367" s="945"/>
      <c r="O367" s="945"/>
      <c r="P367" s="945"/>
    </row>
    <row r="368" spans="1:26" ht="18.75">
      <c r="A368" s="949"/>
      <c r="B368" s="957"/>
      <c r="C368" s="950"/>
      <c r="D368" s="957"/>
      <c r="E368" s="955" t="s">
        <v>161</v>
      </c>
      <c r="F368" s="957"/>
      <c r="G368" s="958"/>
      <c r="H368" s="777" t="s">
        <v>35</v>
      </c>
      <c r="I368" s="830">
        <v>0</v>
      </c>
      <c r="J368" s="830">
        <f ca="1">IFERROR(__xludf.DUMMYFUNCTION("IMPORTRANGE(""https://docs.google.com/spreadsheets/d/1XWAQStnk-4SwqDmLtmXYiTMKHgktTP8We1SCoS47DrQ/edit?usp=sharing"",""จัดที่ดิน!E25"")"),20)</f>
        <v>20</v>
      </c>
      <c r="K368" s="831">
        <f t="shared" ref="K368:K374" si="163">IF(I368&gt;0,J368*100/I368,0)</f>
        <v>0</v>
      </c>
      <c r="L368" s="945"/>
      <c r="M368" s="945"/>
      <c r="N368" s="945"/>
      <c r="O368" s="945"/>
      <c r="P368" s="945"/>
    </row>
    <row r="369" spans="1:26" ht="18.75">
      <c r="A369" s="949"/>
      <c r="B369" s="957"/>
      <c r="C369" s="950"/>
      <c r="D369" s="957"/>
      <c r="E369" s="957"/>
      <c r="F369" s="957"/>
      <c r="G369" s="958"/>
      <c r="H369" s="777" t="s">
        <v>46</v>
      </c>
      <c r="I369" s="830">
        <f ca="1">IFERROR(__xludf.DUMMYFUNCTION("IMPORTRANGE(""https://docs.google.com/spreadsheets/d/1QqKyyYR6Q21VydFLVH3TRQUabQu_ym0Zz7PgGX0-kHA/edit?usp=sharing"",""แผน!EI25"")"),90)</f>
        <v>90</v>
      </c>
      <c r="J369" s="830">
        <f ca="1">IFERROR(__xludf.DUMMYFUNCTION("IMPORTRANGE(""https://docs.google.com/spreadsheets/d/1XWAQStnk-4SwqDmLtmXYiTMKHgktTP8We1SCoS47DrQ/edit?usp=sharing"",""จัดที่ดิน!F25"")"),38.81)</f>
        <v>38.81</v>
      </c>
      <c r="K369" s="831">
        <f t="shared" ca="1" si="163"/>
        <v>43.12222222222222</v>
      </c>
      <c r="L369" s="945"/>
      <c r="M369" s="945"/>
      <c r="N369" s="945"/>
      <c r="O369" s="945"/>
      <c r="P369" s="945"/>
    </row>
    <row r="370" spans="1:26" ht="18.75">
      <c r="A370" s="949"/>
      <c r="B370" s="957"/>
      <c r="C370" s="950"/>
      <c r="D370" s="957"/>
      <c r="E370" s="955" t="s">
        <v>162</v>
      </c>
      <c r="F370" s="957"/>
      <c r="G370" s="958"/>
      <c r="H370" s="730" t="s">
        <v>35</v>
      </c>
      <c r="I370" s="830">
        <f ca="1">IFERROR(__xludf.DUMMYFUNCTION("IMPORTRANGE(""https://docs.google.com/spreadsheets/d/1QqKyyYR6Q21VydFLVH3TRQUabQu_ym0Zz7PgGX0-kHA/edit?usp=sharing"",""แผน!EJ25"")"),18)</f>
        <v>18</v>
      </c>
      <c r="J370" s="830">
        <f ca="1">IFERROR(__xludf.DUMMYFUNCTION("IMPORTRANGE(""https://docs.google.com/spreadsheets/d/1XWAQStnk-4SwqDmLtmXYiTMKHgktTP8We1SCoS47DrQ/edit?usp=sharing"",""จัดที่ดิน!G25"")"),7)</f>
        <v>7</v>
      </c>
      <c r="K370" s="831">
        <f t="shared" ca="1" si="163"/>
        <v>38.888888888888886</v>
      </c>
      <c r="L370" s="945"/>
      <c r="M370" s="945"/>
      <c r="N370" s="945"/>
      <c r="O370" s="945"/>
      <c r="P370" s="945"/>
    </row>
    <row r="371" spans="1:26" ht="18.75">
      <c r="A371" s="949"/>
      <c r="B371" s="957"/>
      <c r="C371" s="950"/>
      <c r="D371" s="957"/>
      <c r="E371" s="957"/>
      <c r="F371" s="957"/>
      <c r="G371" s="958"/>
      <c r="H371" s="730" t="s">
        <v>46</v>
      </c>
      <c r="I371" s="830">
        <v>0</v>
      </c>
      <c r="J371" s="830">
        <f ca="1">IFERROR(__xludf.DUMMYFUNCTION("IMPORTRANGE(""https://docs.google.com/spreadsheets/d/1XWAQStnk-4SwqDmLtmXYiTMKHgktTP8We1SCoS47DrQ/edit?usp=sharing"",""จัดที่ดิน!H25"")"),8.78)</f>
        <v>8.7799999999999994</v>
      </c>
      <c r="K371" s="831">
        <f t="shared" si="163"/>
        <v>0</v>
      </c>
      <c r="L371" s="945"/>
      <c r="M371" s="945"/>
      <c r="N371" s="945"/>
      <c r="O371" s="945"/>
      <c r="P371" s="945"/>
    </row>
    <row r="372" spans="1:26" ht="18.75">
      <c r="A372" s="949"/>
      <c r="B372" s="957"/>
      <c r="C372" s="950"/>
      <c r="D372" s="957"/>
      <c r="E372" s="955" t="s">
        <v>163</v>
      </c>
      <c r="F372" s="957"/>
      <c r="G372" s="958"/>
      <c r="H372" s="730" t="s">
        <v>35</v>
      </c>
      <c r="I372" s="830">
        <f ca="1">IFERROR(__xludf.DUMMYFUNCTION("IMPORTRANGE(""https://docs.google.com/spreadsheets/d/1QqKyyYR6Q21VydFLVH3TRQUabQu_ym0Zz7PgGX0-kHA/edit?usp=sharing"",""แผน!EJ25"")"),18)</f>
        <v>18</v>
      </c>
      <c r="J372" s="830">
        <f ca="1">IFERROR(__xludf.DUMMYFUNCTION("IMPORTRANGE(""https://docs.google.com/spreadsheets/d/1XWAQStnk-4SwqDmLtmXYiTMKHgktTP8We1SCoS47DrQ/edit?usp=sharing"",""จัดที่ดิน!I25"")"),6)</f>
        <v>6</v>
      </c>
      <c r="K372" s="831">
        <f t="shared" ca="1" si="163"/>
        <v>33.333333333333336</v>
      </c>
      <c r="L372" s="945"/>
      <c r="M372" s="945"/>
      <c r="N372" s="945"/>
      <c r="O372" s="945"/>
      <c r="P372" s="945"/>
    </row>
    <row r="373" spans="1:26" ht="18.75">
      <c r="A373" s="1159" t="s">
        <v>164</v>
      </c>
      <c r="B373" s="957"/>
      <c r="C373" s="950"/>
      <c r="D373" s="957"/>
      <c r="E373" s="956"/>
      <c r="F373" s="957"/>
      <c r="G373" s="958"/>
      <c r="H373" s="730" t="s">
        <v>46</v>
      </c>
      <c r="I373" s="830">
        <v>0</v>
      </c>
      <c r="J373" s="830">
        <f ca="1">IFERROR(__xludf.DUMMYFUNCTION("IMPORTRANGE(""https://docs.google.com/spreadsheets/d/1XWAQStnk-4SwqDmLtmXYiTMKHgktTP8We1SCoS47DrQ/edit?usp=sharing"",""จัดที่ดิน!J25"")"),8.08)</f>
        <v>8.08</v>
      </c>
      <c r="K373" s="831">
        <f t="shared" si="163"/>
        <v>0</v>
      </c>
      <c r="L373" s="945"/>
      <c r="M373" s="945"/>
      <c r="N373" s="945"/>
      <c r="O373" s="945"/>
      <c r="P373" s="945"/>
    </row>
    <row r="374" spans="1:26" ht="19.5">
      <c r="A374" s="1169"/>
      <c r="B374" s="1170"/>
      <c r="C374" s="1171"/>
      <c r="D374" s="1171" t="s">
        <v>168</v>
      </c>
      <c r="E374" s="1172"/>
      <c r="F374" s="1172"/>
      <c r="G374" s="1173"/>
      <c r="H374" s="457" t="s">
        <v>35</v>
      </c>
      <c r="I374" s="1180">
        <f ca="1">IFERROR(__xludf.DUMMYFUNCTION("IMPORTRANGE(""https://docs.google.com/spreadsheets/d/1QqKyyYR6Q21VydFLVH3TRQUabQu_ym0Zz7PgGX0-kHA/edit?usp=sharing"",""แผน!EU25"")"),101)</f>
        <v>101</v>
      </c>
      <c r="J374" s="1174">
        <f ca="1">J381</f>
        <v>13</v>
      </c>
      <c r="K374" s="1175">
        <f t="shared" ca="1" si="163"/>
        <v>12.871287128712872</v>
      </c>
      <c r="L374" s="1176"/>
      <c r="M374" s="1176"/>
      <c r="N374" s="1176"/>
      <c r="O374" s="1176"/>
      <c r="P374" s="1176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69"/>
      <c r="B375" s="1170"/>
      <c r="C375" s="1171"/>
      <c r="D375" s="1177" t="s">
        <v>169</v>
      </c>
      <c r="E375" s="1172"/>
      <c r="F375" s="1172"/>
      <c r="G375" s="1173"/>
      <c r="H375" s="1178"/>
      <c r="I375" s="1179"/>
      <c r="J375" s="1179"/>
      <c r="K375" s="1176"/>
      <c r="L375" s="1176"/>
      <c r="M375" s="1176"/>
      <c r="N375" s="1176"/>
      <c r="O375" s="1176"/>
      <c r="P375" s="1176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49"/>
      <c r="B376" s="950"/>
      <c r="C376" s="946" t="s">
        <v>16</v>
      </c>
      <c r="D376" s="951" t="s">
        <v>38</v>
      </c>
      <c r="E376" s="952"/>
      <c r="F376" s="952"/>
      <c r="G376" s="953"/>
      <c r="H376" s="954"/>
      <c r="I376" s="830"/>
      <c r="J376" s="830"/>
      <c r="K376" s="831"/>
      <c r="L376" s="945"/>
      <c r="M376" s="945"/>
      <c r="N376" s="945"/>
      <c r="O376" s="945"/>
      <c r="P376" s="945"/>
    </row>
    <row r="377" spans="1:26" ht="18.75">
      <c r="A377" s="949"/>
      <c r="B377" s="957"/>
      <c r="C377" s="950"/>
      <c r="D377" s="957"/>
      <c r="E377" s="955" t="s">
        <v>161</v>
      </c>
      <c r="F377" s="957"/>
      <c r="G377" s="958"/>
      <c r="H377" s="777" t="s">
        <v>35</v>
      </c>
      <c r="I377" s="830">
        <v>0</v>
      </c>
      <c r="J377" s="830">
        <f ca="1">IFERROR(__xludf.DUMMYFUNCTION("IMPORTRANGE(""https://docs.google.com/spreadsheets/d/1XWAQStnk-4SwqDmLtmXYiTMKHgktTP8We1SCoS47DrQ/edit?usp=sharing"",""จัดที่ดิน!AH25"")"),0)</f>
        <v>0</v>
      </c>
      <c r="K377" s="831">
        <f t="shared" ref="K377:K382" si="164">IF(I377&gt;0,J377*100/I377,0)</f>
        <v>0</v>
      </c>
      <c r="L377" s="945"/>
      <c r="M377" s="945"/>
      <c r="N377" s="945"/>
      <c r="O377" s="945"/>
      <c r="P377" s="945"/>
    </row>
    <row r="378" spans="1:26" ht="18.75">
      <c r="A378" s="949"/>
      <c r="B378" s="957"/>
      <c r="C378" s="950"/>
      <c r="D378" s="957"/>
      <c r="E378" s="957"/>
      <c r="F378" s="957"/>
      <c r="G378" s="958"/>
      <c r="H378" s="777" t="s">
        <v>46</v>
      </c>
      <c r="I378" s="830">
        <f ca="1">IFERROR(__xludf.DUMMYFUNCTION("IMPORTRANGE(""https://docs.google.com/spreadsheets/d/1QqKyyYR6Q21VydFLVH3TRQUabQu_ym0Zz7PgGX0-kHA/edit?usp=sharing"",""แผน!ET25"")"),300)</f>
        <v>300</v>
      </c>
      <c r="J378" s="830">
        <f ca="1">IFERROR(__xludf.DUMMYFUNCTION("IMPORTRANGE(""https://docs.google.com/spreadsheets/d/1XWAQStnk-4SwqDmLtmXYiTMKHgktTP8We1SCoS47DrQ/edit?usp=sharing"",""จัดที่ดิน!AI25"")"),0)</f>
        <v>0</v>
      </c>
      <c r="K378" s="831">
        <f t="shared" ca="1" si="164"/>
        <v>0</v>
      </c>
      <c r="L378" s="945"/>
      <c r="M378" s="945"/>
      <c r="N378" s="945"/>
      <c r="O378" s="945"/>
      <c r="P378" s="945"/>
    </row>
    <row r="379" spans="1:26" ht="18.75">
      <c r="A379" s="949"/>
      <c r="B379" s="957"/>
      <c r="C379" s="950"/>
      <c r="D379" s="957"/>
      <c r="E379" s="955" t="s">
        <v>162</v>
      </c>
      <c r="F379" s="957"/>
      <c r="G379" s="958"/>
      <c r="H379" s="730" t="s">
        <v>35</v>
      </c>
      <c r="I379" s="830">
        <f ca="1">IFERROR(__xludf.DUMMYFUNCTION("IMPORTRANGE(""https://docs.google.com/spreadsheets/d/1QqKyyYR6Q21VydFLVH3TRQUabQu_ym0Zz7PgGX0-kHA/edit?usp=sharing"",""แผน!EU25"")"),101)</f>
        <v>101</v>
      </c>
      <c r="J379" s="830">
        <f ca="1">IFERROR(__xludf.DUMMYFUNCTION("IMPORTRANGE(""https://docs.google.com/spreadsheets/d/1XWAQStnk-4SwqDmLtmXYiTMKHgktTP8We1SCoS47DrQ/edit?usp=sharing"",""จัดที่ดิน!AJ25"")"),13)</f>
        <v>13</v>
      </c>
      <c r="K379" s="831">
        <f t="shared" ca="1" si="164"/>
        <v>12.871287128712872</v>
      </c>
      <c r="L379" s="945"/>
      <c r="M379" s="945"/>
      <c r="N379" s="945"/>
      <c r="O379" s="945"/>
      <c r="P379" s="945"/>
    </row>
    <row r="380" spans="1:26" ht="18.75">
      <c r="A380" s="949"/>
      <c r="B380" s="957"/>
      <c r="C380" s="950"/>
      <c r="D380" s="957"/>
      <c r="E380" s="957"/>
      <c r="F380" s="957"/>
      <c r="G380" s="958"/>
      <c r="H380" s="730" t="s">
        <v>46</v>
      </c>
      <c r="I380" s="830">
        <v>0</v>
      </c>
      <c r="J380" s="830">
        <f ca="1">IFERROR(__xludf.DUMMYFUNCTION("IMPORTRANGE(""https://docs.google.com/spreadsheets/d/1XWAQStnk-4SwqDmLtmXYiTMKHgktTP8We1SCoS47DrQ/edit?usp=sharing"",""จัดที่ดิน!AK25"")"),54.25)</f>
        <v>54.25</v>
      </c>
      <c r="K380" s="831">
        <f t="shared" si="164"/>
        <v>0</v>
      </c>
      <c r="L380" s="945"/>
      <c r="M380" s="945"/>
      <c r="N380" s="945"/>
      <c r="O380" s="945"/>
      <c r="P380" s="945"/>
    </row>
    <row r="381" spans="1:26" ht="18.75">
      <c r="A381" s="949"/>
      <c r="B381" s="957"/>
      <c r="C381" s="950"/>
      <c r="D381" s="957"/>
      <c r="E381" s="955" t="s">
        <v>163</v>
      </c>
      <c r="F381" s="957"/>
      <c r="G381" s="958"/>
      <c r="H381" s="730" t="s">
        <v>35</v>
      </c>
      <c r="I381" s="830">
        <f ca="1">IFERROR(__xludf.DUMMYFUNCTION("IMPORTRANGE(""https://docs.google.com/spreadsheets/d/1QqKyyYR6Q21VydFLVH3TRQUabQu_ym0Zz7PgGX0-kHA/edit?usp=sharing"",""แผน!EU25"")"),101)</f>
        <v>101</v>
      </c>
      <c r="J381" s="830">
        <f ca="1">IFERROR(__xludf.DUMMYFUNCTION("IMPORTRANGE(""https://docs.google.com/spreadsheets/d/1XWAQStnk-4SwqDmLtmXYiTMKHgktTP8We1SCoS47DrQ/edit?usp=sharing"",""จัดที่ดิน!AL25"")"),13)</f>
        <v>13</v>
      </c>
      <c r="K381" s="831">
        <f t="shared" ca="1" si="164"/>
        <v>12.871287128712872</v>
      </c>
      <c r="L381" s="945"/>
      <c r="M381" s="945"/>
      <c r="N381" s="945"/>
      <c r="O381" s="945"/>
      <c r="P381" s="945"/>
    </row>
    <row r="382" spans="1:26" ht="18.75">
      <c r="A382" s="1159" t="s">
        <v>164</v>
      </c>
      <c r="B382" s="957"/>
      <c r="C382" s="950"/>
      <c r="D382" s="957"/>
      <c r="E382" s="956"/>
      <c r="F382" s="957"/>
      <c r="G382" s="958"/>
      <c r="H382" s="730" t="s">
        <v>46</v>
      </c>
      <c r="I382" s="830">
        <v>0</v>
      </c>
      <c r="J382" s="830">
        <f ca="1">IFERROR(__xludf.DUMMYFUNCTION("IMPORTRANGE(""https://docs.google.com/spreadsheets/d/1XWAQStnk-4SwqDmLtmXYiTMKHgktTP8We1SCoS47DrQ/edit?usp=sharing"",""จัดที่ดิน!AM25"")"),54.25)</f>
        <v>54.25</v>
      </c>
      <c r="K382" s="831">
        <f t="shared" si="164"/>
        <v>0</v>
      </c>
      <c r="L382" s="945"/>
      <c r="M382" s="945"/>
      <c r="N382" s="945"/>
      <c r="O382" s="945"/>
      <c r="P382" s="945"/>
    </row>
    <row r="383" spans="1:26" ht="19.5">
      <c r="A383" s="1011"/>
      <c r="B383" s="1018"/>
      <c r="C383" s="1012"/>
      <c r="D383" s="1145" t="s">
        <v>170</v>
      </c>
      <c r="E383" s="1012"/>
      <c r="F383" s="1012"/>
      <c r="G383" s="1014"/>
      <c r="H383" s="1146"/>
      <c r="I383" s="1015"/>
      <c r="J383" s="1015"/>
      <c r="K383" s="1016"/>
      <c r="L383" s="1016"/>
      <c r="M383" s="1016"/>
      <c r="N383" s="1016"/>
      <c r="O383" s="1016"/>
      <c r="P383" s="1016"/>
    </row>
    <row r="384" spans="1:26" ht="19.5">
      <c r="A384" s="949"/>
      <c r="B384" s="950"/>
      <c r="C384" s="827" t="s">
        <v>16</v>
      </c>
      <c r="D384" s="951" t="s">
        <v>38</v>
      </c>
      <c r="E384" s="952"/>
      <c r="F384" s="952"/>
      <c r="G384" s="953"/>
      <c r="H384" s="954"/>
      <c r="I384" s="830"/>
      <c r="J384" s="830"/>
      <c r="K384" s="831"/>
      <c r="L384" s="945"/>
      <c r="M384" s="945"/>
      <c r="N384" s="945"/>
      <c r="O384" s="945"/>
      <c r="P384" s="945"/>
    </row>
    <row r="385" spans="1:26" ht="18.75">
      <c r="A385" s="1080"/>
      <c r="B385" s="1083"/>
      <c r="C385" s="1081"/>
      <c r="D385" s="1083"/>
      <c r="E385" s="1181" t="s">
        <v>163</v>
      </c>
      <c r="F385" s="1083"/>
      <c r="G385" s="1084"/>
      <c r="H385" s="468" t="s">
        <v>35</v>
      </c>
      <c r="I385" s="1085">
        <f ca="1">IFERROR(__xludf.DUMMYFUNCTION("IMPORTRANGE(""https://docs.google.com/spreadsheets/d/1QqKyyYR6Q21VydFLVH3TRQUabQu_ym0Zz7PgGX0-kHA/edit?usp=sharing"",""แผน!EW25"")"),20)</f>
        <v>20</v>
      </c>
      <c r="J385" s="1085">
        <f ca="1">IFERROR(__xludf.DUMMYFUNCTION("IMPORTRANGE(""https://docs.google.com/spreadsheets/d/1XWAQStnk-4SwqDmLtmXYiTMKHgktTP8We1SCoS47DrQ/edit?usp=sharing"",""จัดที่ดิน!AP25"")"),0)</f>
        <v>0</v>
      </c>
      <c r="K385" s="1182">
        <f ca="1">IF(I385&gt;0,J385*100/I385,0)</f>
        <v>0</v>
      </c>
      <c r="L385" s="1086"/>
      <c r="M385" s="1086"/>
      <c r="N385" s="1086"/>
      <c r="O385" s="1086"/>
      <c r="P385" s="1086"/>
    </row>
    <row r="386" spans="1:26" ht="19.5" hidden="1">
      <c r="A386" s="1183" t="s">
        <v>171</v>
      </c>
      <c r="B386" s="1184"/>
      <c r="C386" s="1184"/>
      <c r="D386" s="1184"/>
      <c r="E386" s="1185"/>
      <c r="F386" s="1185"/>
      <c r="G386" s="1186"/>
      <c r="H386" s="1187"/>
      <c r="I386" s="1188"/>
      <c r="J386" s="1188"/>
      <c r="K386" s="1189"/>
      <c r="L386" s="1189"/>
      <c r="M386" s="1189"/>
      <c r="N386" s="1189"/>
      <c r="O386" s="1189"/>
      <c r="P386" s="1189"/>
    </row>
    <row r="387" spans="1:26" ht="19.5" hidden="1">
      <c r="A387" s="1190" t="s">
        <v>172</v>
      </c>
      <c r="B387" s="1191"/>
      <c r="C387" s="1191"/>
      <c r="D387" s="1192"/>
      <c r="E387" s="1191"/>
      <c r="F387" s="1191"/>
      <c r="G387" s="1191"/>
      <c r="H387" s="1193"/>
      <c r="I387" s="1194"/>
      <c r="J387" s="1194"/>
      <c r="K387" s="1195"/>
      <c r="L387" s="1195"/>
      <c r="M387" s="1195"/>
      <c r="N387" s="1195"/>
      <c r="O387" s="1195"/>
      <c r="P387" s="1195"/>
    </row>
    <row r="388" spans="1:26" ht="19.5" hidden="1">
      <c r="A388" s="1196"/>
      <c r="B388" s="1197" t="s">
        <v>173</v>
      </c>
      <c r="C388" s="1198"/>
      <c r="D388" s="1199"/>
      <c r="E388" s="1199"/>
      <c r="F388" s="1199"/>
      <c r="G388" s="1200"/>
      <c r="H388" s="489" t="s">
        <v>66</v>
      </c>
      <c r="I388" s="1201">
        <f t="shared" ref="I388:J388" si="165">I400</f>
        <v>0</v>
      </c>
      <c r="J388" s="1201">
        <f t="shared" si="165"/>
        <v>0</v>
      </c>
      <c r="K388" s="1202">
        <f>IF(I388&gt;0,J388*100/I388,0)</f>
        <v>0</v>
      </c>
      <c r="L388" s="1203"/>
      <c r="M388" s="1203"/>
      <c r="N388" s="1203"/>
      <c r="O388" s="1203"/>
      <c r="P388" s="1203"/>
    </row>
    <row r="389" spans="1:26" ht="19.5" hidden="1">
      <c r="A389" s="932"/>
      <c r="B389" s="933"/>
      <c r="C389" s="934" t="s">
        <v>16</v>
      </c>
      <c r="D389" s="935" t="s">
        <v>17</v>
      </c>
      <c r="E389" s="933"/>
      <c r="F389" s="933"/>
      <c r="G389" s="936"/>
      <c r="H389" s="152" t="s">
        <v>12</v>
      </c>
      <c r="I389" s="937"/>
      <c r="J389" s="937"/>
      <c r="K389" s="938"/>
      <c r="L389" s="939">
        <f t="shared" ref="L389:N389" ca="1" si="166">L390+L391</f>
        <v>0</v>
      </c>
      <c r="M389" s="939">
        <f t="shared" ca="1" si="166"/>
        <v>0</v>
      </c>
      <c r="N389" s="939">
        <f t="shared" ca="1" si="166"/>
        <v>0</v>
      </c>
      <c r="O389" s="939">
        <f t="shared" ref="O389:O397" ca="1" si="167">IF(L389&gt;0,N389*100/L389,0)</f>
        <v>0</v>
      </c>
      <c r="P389" s="939">
        <f t="shared" ref="P389:P397" ca="1" si="168">IF(M389&gt;0,N389*100/M389,0)</f>
        <v>0</v>
      </c>
      <c r="Q389" s="818"/>
      <c r="R389" s="818"/>
      <c r="S389" s="818"/>
      <c r="T389" s="818"/>
      <c r="U389" s="818"/>
      <c r="V389" s="818"/>
      <c r="W389" s="818"/>
      <c r="X389" s="818"/>
      <c r="Y389" s="818"/>
      <c r="Z389" s="818"/>
    </row>
    <row r="390" spans="1:26" ht="18.75" hidden="1">
      <c r="A390" s="940"/>
      <c r="B390" s="833"/>
      <c r="C390" s="833"/>
      <c r="D390" s="833"/>
      <c r="E390" s="834" t="s">
        <v>18</v>
      </c>
      <c r="F390" s="833"/>
      <c r="G390" s="941"/>
      <c r="H390" s="158" t="s">
        <v>12</v>
      </c>
      <c r="I390" s="836"/>
      <c r="J390" s="836"/>
      <c r="K390" s="837"/>
      <c r="L390" s="837">
        <f t="shared" ref="L390:N391" si="169">L393+L396</f>
        <v>0</v>
      </c>
      <c r="M390" s="837">
        <f t="shared" si="169"/>
        <v>0</v>
      </c>
      <c r="N390" s="837">
        <f t="shared" si="169"/>
        <v>0</v>
      </c>
      <c r="O390" s="837">
        <f t="shared" si="167"/>
        <v>0</v>
      </c>
      <c r="P390" s="837">
        <f t="shared" si="168"/>
        <v>0</v>
      </c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</row>
    <row r="391" spans="1:26" ht="18.75" hidden="1">
      <c r="A391" s="940"/>
      <c r="B391" s="833"/>
      <c r="C391" s="833"/>
      <c r="D391" s="833"/>
      <c r="E391" s="834" t="s">
        <v>19</v>
      </c>
      <c r="F391" s="833"/>
      <c r="G391" s="941"/>
      <c r="H391" s="158" t="s">
        <v>12</v>
      </c>
      <c r="I391" s="836"/>
      <c r="J391" s="836"/>
      <c r="K391" s="837"/>
      <c r="L391" s="837">
        <f t="shared" ca="1" si="169"/>
        <v>0</v>
      </c>
      <c r="M391" s="837">
        <f t="shared" ca="1" si="169"/>
        <v>0</v>
      </c>
      <c r="N391" s="837">
        <f t="shared" ca="1" si="169"/>
        <v>0</v>
      </c>
      <c r="O391" s="837">
        <f t="shared" ca="1" si="167"/>
        <v>0</v>
      </c>
      <c r="P391" s="837">
        <f t="shared" ca="1" si="168"/>
        <v>0</v>
      </c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</row>
    <row r="392" spans="1:26" ht="18.75" hidden="1">
      <c r="A392" s="942"/>
      <c r="B392" s="827"/>
      <c r="C392" s="943"/>
      <c r="D392" s="828" t="s">
        <v>20</v>
      </c>
      <c r="E392" s="827"/>
      <c r="F392" s="827"/>
      <c r="G392" s="829"/>
      <c r="H392" s="778" t="s">
        <v>12</v>
      </c>
      <c r="I392" s="944"/>
      <c r="J392" s="944"/>
      <c r="K392" s="945"/>
      <c r="L392" s="831">
        <f t="shared" ref="L392:N392" ca="1" si="170">L393+L394</f>
        <v>0</v>
      </c>
      <c r="M392" s="831">
        <f t="shared" ca="1" si="170"/>
        <v>0</v>
      </c>
      <c r="N392" s="831">
        <f t="shared" ca="1" si="170"/>
        <v>0</v>
      </c>
      <c r="O392" s="831">
        <f t="shared" ca="1" si="167"/>
        <v>0</v>
      </c>
      <c r="P392" s="831">
        <f t="shared" ca="1" si="168"/>
        <v>0</v>
      </c>
      <c r="Q392" s="818"/>
      <c r="R392" s="818"/>
      <c r="S392" s="818"/>
      <c r="T392" s="818"/>
      <c r="U392" s="818"/>
      <c r="V392" s="818"/>
      <c r="W392" s="818"/>
      <c r="X392" s="818"/>
      <c r="Y392" s="818"/>
      <c r="Z392" s="818"/>
    </row>
    <row r="393" spans="1:26" ht="19.5" hidden="1">
      <c r="A393" s="940"/>
      <c r="B393" s="833"/>
      <c r="C393" s="946"/>
      <c r="D393" s="833"/>
      <c r="E393" s="834" t="s">
        <v>36</v>
      </c>
      <c r="F393" s="833"/>
      <c r="G393" s="941"/>
      <c r="H393" s="165" t="s">
        <v>12</v>
      </c>
      <c r="I393" s="947"/>
      <c r="J393" s="947"/>
      <c r="K393" s="948"/>
      <c r="L393" s="837">
        <v>0</v>
      </c>
      <c r="M393" s="837">
        <v>0</v>
      </c>
      <c r="N393" s="837">
        <v>0</v>
      </c>
      <c r="O393" s="837">
        <f t="shared" si="167"/>
        <v>0</v>
      </c>
      <c r="P393" s="837">
        <f t="shared" si="168"/>
        <v>0</v>
      </c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</row>
    <row r="394" spans="1:26" ht="19.5" hidden="1">
      <c r="A394" s="940"/>
      <c r="B394" s="833"/>
      <c r="C394" s="946"/>
      <c r="D394" s="833"/>
      <c r="E394" s="834" t="s">
        <v>37</v>
      </c>
      <c r="F394" s="833"/>
      <c r="G394" s="941"/>
      <c r="H394" s="165" t="s">
        <v>12</v>
      </c>
      <c r="I394" s="947"/>
      <c r="J394" s="947"/>
      <c r="K394" s="948"/>
      <c r="L394" s="837">
        <f ca="1">IFERROR(__xludf.DUMMYFUNCTION("IMPORTRANGE(""https://docs.google.com/spreadsheets/d/1MeEWN-I1oV_STSDYn1IFDPWt_1FKiwhDph83XaGc0o0/edit?usp=sharing"",""งบพรบ!FG25"")"),0)</f>
        <v>0</v>
      </c>
      <c r="M394" s="837">
        <f ca="1">IFERROR(__xludf.DUMMYFUNCTION("IMPORTRANGE(""https://docs.google.com/spreadsheets/d/1MeEWN-I1oV_STSDYn1IFDPWt_1FKiwhDph83XaGc0o0/edit?usp=sharing"",""งบพรบ!FL25"")"),0)</f>
        <v>0</v>
      </c>
      <c r="N394" s="837">
        <f ca="1">IFERROR(__xludf.DUMMYFUNCTION("IMPORTRANGE(""https://docs.google.com/spreadsheets/d/1MeEWN-I1oV_STSDYn1IFDPWt_1FKiwhDph83XaGc0o0/edit?usp=sharing"",""งบพรบ!FN25"")"),0)</f>
        <v>0</v>
      </c>
      <c r="O394" s="837">
        <f t="shared" ca="1" si="167"/>
        <v>0</v>
      </c>
      <c r="P394" s="837">
        <f t="shared" ca="1" si="168"/>
        <v>0</v>
      </c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</row>
    <row r="395" spans="1:26" ht="18.75" hidden="1">
      <c r="A395" s="942"/>
      <c r="B395" s="827"/>
      <c r="C395" s="943"/>
      <c r="D395" s="828" t="s">
        <v>21</v>
      </c>
      <c r="E395" s="827"/>
      <c r="F395" s="827"/>
      <c r="G395" s="829"/>
      <c r="H395" s="168" t="s">
        <v>12</v>
      </c>
      <c r="I395" s="944"/>
      <c r="J395" s="944"/>
      <c r="K395" s="945"/>
      <c r="L395" s="831">
        <f t="shared" ref="L395:N395" ca="1" si="171">L396+L397</f>
        <v>0</v>
      </c>
      <c r="M395" s="831">
        <f t="shared" ca="1" si="171"/>
        <v>0</v>
      </c>
      <c r="N395" s="831">
        <f t="shared" ca="1" si="171"/>
        <v>0</v>
      </c>
      <c r="O395" s="831">
        <f t="shared" ca="1" si="167"/>
        <v>0</v>
      </c>
      <c r="P395" s="831">
        <f t="shared" ca="1" si="168"/>
        <v>0</v>
      </c>
      <c r="Q395" s="818"/>
      <c r="R395" s="818"/>
      <c r="S395" s="818"/>
      <c r="T395" s="818"/>
      <c r="U395" s="818"/>
      <c r="V395" s="818"/>
      <c r="W395" s="818"/>
      <c r="X395" s="818"/>
      <c r="Y395" s="818"/>
      <c r="Z395" s="818"/>
    </row>
    <row r="396" spans="1:26" ht="19.5" hidden="1">
      <c r="A396" s="940"/>
      <c r="B396" s="833"/>
      <c r="C396" s="946"/>
      <c r="D396" s="833"/>
      <c r="E396" s="834" t="s">
        <v>18</v>
      </c>
      <c r="F396" s="833"/>
      <c r="G396" s="941"/>
      <c r="H396" s="165" t="s">
        <v>12</v>
      </c>
      <c r="I396" s="947"/>
      <c r="J396" s="947"/>
      <c r="K396" s="948"/>
      <c r="L396" s="837">
        <v>0</v>
      </c>
      <c r="M396" s="837">
        <v>0</v>
      </c>
      <c r="N396" s="837">
        <v>0</v>
      </c>
      <c r="O396" s="837">
        <f t="shared" si="167"/>
        <v>0</v>
      </c>
      <c r="P396" s="837">
        <f t="shared" si="168"/>
        <v>0</v>
      </c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</row>
    <row r="397" spans="1:26" ht="19.5" hidden="1">
      <c r="A397" s="940"/>
      <c r="B397" s="833"/>
      <c r="C397" s="946"/>
      <c r="D397" s="833"/>
      <c r="E397" s="834" t="s">
        <v>19</v>
      </c>
      <c r="F397" s="833"/>
      <c r="G397" s="941"/>
      <c r="H397" s="169" t="s">
        <v>12</v>
      </c>
      <c r="I397" s="947"/>
      <c r="J397" s="947"/>
      <c r="K397" s="948"/>
      <c r="L397" s="837">
        <f ca="1">IFERROR(__xludf.DUMMYFUNCTION("IMPORTRANGE(""https://docs.google.com/spreadsheets/d/1MeEWN-I1oV_STSDYn1IFDPWt_1FKiwhDph83XaGc0o0/edit?usp=sharing"",""งบพรบ!FJ25"")"),0)</f>
        <v>0</v>
      </c>
      <c r="M397" s="837">
        <f ca="1">IFERROR(__xludf.DUMMYFUNCTION("IMPORTRANGE(""https://docs.google.com/spreadsheets/d/1MeEWN-I1oV_STSDYn1IFDPWt_1FKiwhDph83XaGc0o0/edit?usp=sharing"",""งบพรบ!FM25"")"),0)</f>
        <v>0</v>
      </c>
      <c r="N397" s="837">
        <f ca="1">IFERROR(__xludf.DUMMYFUNCTION("IMPORTRANGE(""https://docs.google.com/spreadsheets/d/1MeEWN-I1oV_STSDYn1IFDPWt_1FKiwhDph83XaGc0o0/edit?usp=sharing"",""งบพรบ!FO25"")"),0)</f>
        <v>0</v>
      </c>
      <c r="O397" s="837">
        <f t="shared" ca="1" si="167"/>
        <v>0</v>
      </c>
      <c r="P397" s="837">
        <f t="shared" ca="1" si="168"/>
        <v>0</v>
      </c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</row>
    <row r="398" spans="1:26" ht="19.5" hidden="1">
      <c r="A398" s="949"/>
      <c r="B398" s="950"/>
      <c r="C398" s="946" t="s">
        <v>16</v>
      </c>
      <c r="D398" s="951" t="s">
        <v>38</v>
      </c>
      <c r="E398" s="952"/>
      <c r="F398" s="952"/>
      <c r="G398" s="953"/>
      <c r="H398" s="954"/>
      <c r="I398" s="944"/>
      <c r="J398" s="830"/>
      <c r="K398" s="831"/>
      <c r="L398" s="831"/>
      <c r="M398" s="831"/>
      <c r="N398" s="831"/>
      <c r="O398" s="945"/>
      <c r="P398" s="945"/>
    </row>
    <row r="399" spans="1:26" ht="18.75" hidden="1">
      <c r="A399" s="1204"/>
      <c r="B399" s="933"/>
      <c r="C399" s="1205"/>
      <c r="D399" s="968" t="s">
        <v>174</v>
      </c>
      <c r="E399" s="1113"/>
      <c r="F399" s="933"/>
      <c r="G399" s="936"/>
      <c r="H399" s="496" t="s">
        <v>9</v>
      </c>
      <c r="I399" s="830">
        <v>0</v>
      </c>
      <c r="J399" s="959">
        <v>0</v>
      </c>
      <c r="K399" s="831">
        <f t="shared" ref="K399:K401" si="172">IF(I399&gt;0,J399*100/I399,0)</f>
        <v>0</v>
      </c>
      <c r="L399" s="1206"/>
      <c r="M399" s="1206"/>
      <c r="N399" s="1206"/>
      <c r="O399" s="1206"/>
      <c r="P399" s="1206"/>
      <c r="Q399" s="818"/>
      <c r="R399" s="818"/>
      <c r="S399" s="818"/>
      <c r="T399" s="818"/>
      <c r="U399" s="818"/>
      <c r="V399" s="818"/>
      <c r="W399" s="818"/>
      <c r="X399" s="818"/>
      <c r="Y399" s="818"/>
      <c r="Z399" s="818"/>
    </row>
    <row r="400" spans="1:26" ht="18.75" hidden="1">
      <c r="A400" s="1032"/>
      <c r="B400" s="827"/>
      <c r="C400" s="1030"/>
      <c r="D400" s="956" t="s">
        <v>175</v>
      </c>
      <c r="E400" s="950"/>
      <c r="F400" s="827"/>
      <c r="G400" s="829"/>
      <c r="H400" s="277" t="s">
        <v>66</v>
      </c>
      <c r="I400" s="830">
        <v>0</v>
      </c>
      <c r="J400" s="959">
        <v>0</v>
      </c>
      <c r="K400" s="831">
        <f t="shared" si="172"/>
        <v>0</v>
      </c>
      <c r="L400" s="831"/>
      <c r="M400" s="831"/>
      <c r="N400" s="831"/>
      <c r="O400" s="831"/>
      <c r="P400" s="831"/>
    </row>
    <row r="401" spans="1:26" ht="19.5" hidden="1">
      <c r="A401" s="1196"/>
      <c r="B401" s="1197" t="s">
        <v>176</v>
      </c>
      <c r="C401" s="1198"/>
      <c r="D401" s="1199"/>
      <c r="E401" s="1199"/>
      <c r="F401" s="1199"/>
      <c r="G401" s="1200"/>
      <c r="H401" s="489" t="s">
        <v>66</v>
      </c>
      <c r="I401" s="1201">
        <f t="shared" ref="I401:J401" si="173">I412</f>
        <v>0</v>
      </c>
      <c r="J401" s="1201">
        <f t="shared" si="173"/>
        <v>0</v>
      </c>
      <c r="K401" s="1202">
        <f t="shared" si="172"/>
        <v>0</v>
      </c>
      <c r="L401" s="1203"/>
      <c r="M401" s="1203"/>
      <c r="N401" s="1203"/>
      <c r="O401" s="1203"/>
      <c r="P401" s="1203"/>
    </row>
    <row r="402" spans="1:26" ht="19.5" hidden="1">
      <c r="A402" s="932"/>
      <c r="B402" s="933"/>
      <c r="C402" s="934" t="s">
        <v>16</v>
      </c>
      <c r="D402" s="935" t="s">
        <v>17</v>
      </c>
      <c r="E402" s="933"/>
      <c r="F402" s="933"/>
      <c r="G402" s="936"/>
      <c r="H402" s="152" t="s">
        <v>12</v>
      </c>
      <c r="I402" s="937"/>
      <c r="J402" s="937"/>
      <c r="K402" s="938"/>
      <c r="L402" s="939">
        <f t="shared" ref="L402:N402" ca="1" si="174">L403+L404</f>
        <v>0</v>
      </c>
      <c r="M402" s="939">
        <f t="shared" ca="1" si="174"/>
        <v>0</v>
      </c>
      <c r="N402" s="939">
        <f t="shared" ca="1" si="174"/>
        <v>0</v>
      </c>
      <c r="O402" s="939">
        <f t="shared" ref="O402:O410" ca="1" si="175">IF(L402&gt;0,N402*100/L402,0)</f>
        <v>0</v>
      </c>
      <c r="P402" s="939">
        <f t="shared" ref="P402:P410" ca="1" si="176">IF(M402&gt;0,N402*100/M402,0)</f>
        <v>0</v>
      </c>
      <c r="Q402" s="818"/>
      <c r="R402" s="818"/>
      <c r="S402" s="818"/>
      <c r="T402" s="818"/>
      <c r="U402" s="818"/>
      <c r="V402" s="818"/>
      <c r="W402" s="818"/>
      <c r="X402" s="818"/>
      <c r="Y402" s="818"/>
      <c r="Z402" s="818"/>
    </row>
    <row r="403" spans="1:26" ht="18.75" hidden="1">
      <c r="A403" s="940"/>
      <c r="B403" s="833"/>
      <c r="C403" s="833"/>
      <c r="D403" s="833"/>
      <c r="E403" s="834" t="s">
        <v>18</v>
      </c>
      <c r="F403" s="833"/>
      <c r="G403" s="941"/>
      <c r="H403" s="158" t="s">
        <v>12</v>
      </c>
      <c r="I403" s="836"/>
      <c r="J403" s="836"/>
      <c r="K403" s="837"/>
      <c r="L403" s="837">
        <f t="shared" ref="L403:N404" si="177">L406+L409</f>
        <v>0</v>
      </c>
      <c r="M403" s="837">
        <f t="shared" si="177"/>
        <v>0</v>
      </c>
      <c r="N403" s="837">
        <f t="shared" si="177"/>
        <v>0</v>
      </c>
      <c r="O403" s="837">
        <f t="shared" si="175"/>
        <v>0</v>
      </c>
      <c r="P403" s="837">
        <f t="shared" si="176"/>
        <v>0</v>
      </c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</row>
    <row r="404" spans="1:26" ht="18.75" hidden="1">
      <c r="A404" s="940"/>
      <c r="B404" s="833"/>
      <c r="C404" s="833"/>
      <c r="D404" s="833"/>
      <c r="E404" s="834" t="s">
        <v>19</v>
      </c>
      <c r="F404" s="833"/>
      <c r="G404" s="941"/>
      <c r="H404" s="158" t="s">
        <v>12</v>
      </c>
      <c r="I404" s="836"/>
      <c r="J404" s="836"/>
      <c r="K404" s="837"/>
      <c r="L404" s="837">
        <f t="shared" ca="1" si="177"/>
        <v>0</v>
      </c>
      <c r="M404" s="837">
        <f t="shared" ca="1" si="177"/>
        <v>0</v>
      </c>
      <c r="N404" s="837">
        <f t="shared" ca="1" si="177"/>
        <v>0</v>
      </c>
      <c r="O404" s="837">
        <f t="shared" ca="1" si="175"/>
        <v>0</v>
      </c>
      <c r="P404" s="837">
        <f t="shared" ca="1" si="176"/>
        <v>0</v>
      </c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</row>
    <row r="405" spans="1:26" ht="18.75" hidden="1">
      <c r="A405" s="942"/>
      <c r="B405" s="827"/>
      <c r="C405" s="943"/>
      <c r="D405" s="828" t="s">
        <v>20</v>
      </c>
      <c r="E405" s="827"/>
      <c r="F405" s="827"/>
      <c r="G405" s="829"/>
      <c r="H405" s="778" t="s">
        <v>12</v>
      </c>
      <c r="I405" s="944"/>
      <c r="J405" s="944"/>
      <c r="K405" s="945"/>
      <c r="L405" s="831">
        <f t="shared" ref="L405:N405" ca="1" si="178">L406+L407</f>
        <v>0</v>
      </c>
      <c r="M405" s="831">
        <f t="shared" ca="1" si="178"/>
        <v>0</v>
      </c>
      <c r="N405" s="831">
        <f t="shared" ca="1" si="178"/>
        <v>0</v>
      </c>
      <c r="O405" s="831">
        <f t="shared" ca="1" si="175"/>
        <v>0</v>
      </c>
      <c r="P405" s="831">
        <f t="shared" ca="1" si="176"/>
        <v>0</v>
      </c>
      <c r="Q405" s="818"/>
      <c r="R405" s="818"/>
      <c r="S405" s="818"/>
      <c r="T405" s="818"/>
      <c r="U405" s="818"/>
      <c r="V405" s="818"/>
      <c r="W405" s="818"/>
      <c r="X405" s="818"/>
      <c r="Y405" s="818"/>
      <c r="Z405" s="818"/>
    </row>
    <row r="406" spans="1:26" ht="19.5" hidden="1">
      <c r="A406" s="940"/>
      <c r="B406" s="833"/>
      <c r="C406" s="946"/>
      <c r="D406" s="833"/>
      <c r="E406" s="834" t="s">
        <v>36</v>
      </c>
      <c r="F406" s="833"/>
      <c r="G406" s="941"/>
      <c r="H406" s="165" t="s">
        <v>12</v>
      </c>
      <c r="I406" s="947"/>
      <c r="J406" s="947"/>
      <c r="K406" s="948"/>
      <c r="L406" s="837">
        <v>0</v>
      </c>
      <c r="M406" s="837">
        <v>0</v>
      </c>
      <c r="N406" s="837">
        <v>0</v>
      </c>
      <c r="O406" s="837">
        <f t="shared" si="175"/>
        <v>0</v>
      </c>
      <c r="P406" s="837">
        <f t="shared" si="176"/>
        <v>0</v>
      </c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</row>
    <row r="407" spans="1:26" ht="19.5" hidden="1">
      <c r="A407" s="940"/>
      <c r="B407" s="833"/>
      <c r="C407" s="946"/>
      <c r="D407" s="833"/>
      <c r="E407" s="834" t="s">
        <v>37</v>
      </c>
      <c r="F407" s="833"/>
      <c r="G407" s="941"/>
      <c r="H407" s="165" t="s">
        <v>12</v>
      </c>
      <c r="I407" s="947"/>
      <c r="J407" s="947"/>
      <c r="K407" s="948"/>
      <c r="L407" s="837">
        <f ca="1">IFERROR(__xludf.DUMMYFUNCTION("IMPORTRANGE(""https://docs.google.com/spreadsheets/d/1MeEWN-I1oV_STSDYn1IFDPWt_1FKiwhDph83XaGc0o0/edit?usp=sharing"",""งบพรบ!FQ25"")"),0)</f>
        <v>0</v>
      </c>
      <c r="M407" s="837">
        <f ca="1">IFERROR(__xludf.DUMMYFUNCTION("IMPORTRANGE(""https://docs.google.com/spreadsheets/d/1MeEWN-I1oV_STSDYn1IFDPWt_1FKiwhDph83XaGc0o0/edit?usp=sharing"",""งบพรบ!FV25"")"),0)</f>
        <v>0</v>
      </c>
      <c r="N407" s="837">
        <f ca="1">IFERROR(__xludf.DUMMYFUNCTION("IMPORTRANGE(""https://docs.google.com/spreadsheets/d/1MeEWN-I1oV_STSDYn1IFDPWt_1FKiwhDph83XaGc0o0/edit?usp=sharing"",""งบพรบ!FX25"")"),0)</f>
        <v>0</v>
      </c>
      <c r="O407" s="837">
        <f t="shared" ca="1" si="175"/>
        <v>0</v>
      </c>
      <c r="P407" s="837">
        <f t="shared" ca="1" si="176"/>
        <v>0</v>
      </c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</row>
    <row r="408" spans="1:26" ht="18.75" hidden="1">
      <c r="A408" s="942"/>
      <c r="B408" s="827"/>
      <c r="C408" s="943"/>
      <c r="D408" s="828" t="s">
        <v>21</v>
      </c>
      <c r="E408" s="827"/>
      <c r="F408" s="827"/>
      <c r="G408" s="829"/>
      <c r="H408" s="168" t="s">
        <v>12</v>
      </c>
      <c r="I408" s="944"/>
      <c r="J408" s="944"/>
      <c r="K408" s="945"/>
      <c r="L408" s="831">
        <f t="shared" ref="L408:N408" ca="1" si="179">L409+L410</f>
        <v>0</v>
      </c>
      <c r="M408" s="831">
        <f t="shared" ca="1" si="179"/>
        <v>0</v>
      </c>
      <c r="N408" s="831">
        <f t="shared" ca="1" si="179"/>
        <v>0</v>
      </c>
      <c r="O408" s="831">
        <f t="shared" ca="1" si="175"/>
        <v>0</v>
      </c>
      <c r="P408" s="831">
        <f t="shared" ca="1" si="176"/>
        <v>0</v>
      </c>
      <c r="Q408" s="818"/>
      <c r="R408" s="818"/>
      <c r="S408" s="818"/>
      <c r="T408" s="818"/>
      <c r="U408" s="818"/>
      <c r="V408" s="818"/>
      <c r="W408" s="818"/>
      <c r="X408" s="818"/>
      <c r="Y408" s="818"/>
      <c r="Z408" s="818"/>
    </row>
    <row r="409" spans="1:26" ht="19.5" hidden="1">
      <c r="A409" s="940"/>
      <c r="B409" s="833"/>
      <c r="C409" s="946"/>
      <c r="D409" s="833"/>
      <c r="E409" s="834" t="s">
        <v>18</v>
      </c>
      <c r="F409" s="833"/>
      <c r="G409" s="941"/>
      <c r="H409" s="165" t="s">
        <v>12</v>
      </c>
      <c r="I409" s="947"/>
      <c r="J409" s="947"/>
      <c r="K409" s="948"/>
      <c r="L409" s="837">
        <v>0</v>
      </c>
      <c r="M409" s="837">
        <v>0</v>
      </c>
      <c r="N409" s="837">
        <v>0</v>
      </c>
      <c r="O409" s="837">
        <f t="shared" si="175"/>
        <v>0</v>
      </c>
      <c r="P409" s="837">
        <f t="shared" si="176"/>
        <v>0</v>
      </c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</row>
    <row r="410" spans="1:26" ht="19.5" hidden="1">
      <c r="A410" s="940"/>
      <c r="B410" s="833"/>
      <c r="C410" s="946"/>
      <c r="D410" s="833"/>
      <c r="E410" s="834" t="s">
        <v>19</v>
      </c>
      <c r="F410" s="833"/>
      <c r="G410" s="941"/>
      <c r="H410" s="169" t="s">
        <v>12</v>
      </c>
      <c r="I410" s="947"/>
      <c r="J410" s="947"/>
      <c r="K410" s="948"/>
      <c r="L410" s="837">
        <f ca="1">IFERROR(__xludf.DUMMYFUNCTION("IMPORTRANGE(""https://docs.google.com/spreadsheets/d/1MeEWN-I1oV_STSDYn1IFDPWt_1FKiwhDph83XaGc0o0/edit?usp=sharing"",""งบพรบ!FT25"")"),0)</f>
        <v>0</v>
      </c>
      <c r="M410" s="837">
        <f ca="1">IFERROR(__xludf.DUMMYFUNCTION("IMPORTRANGE(""https://docs.google.com/spreadsheets/d/1MeEWN-I1oV_STSDYn1IFDPWt_1FKiwhDph83XaGc0o0/edit?usp=sharing"",""งบพรบ!FW25"")"),0)</f>
        <v>0</v>
      </c>
      <c r="N410" s="837">
        <f ca="1">IFERROR(__xludf.DUMMYFUNCTION("IMPORTRANGE(""https://docs.google.com/spreadsheets/d/1MeEWN-I1oV_STSDYn1IFDPWt_1FKiwhDph83XaGc0o0/edit?usp=sharing"",""งบพรบ!FY25"")"),0)</f>
        <v>0</v>
      </c>
      <c r="O410" s="837">
        <f t="shared" ca="1" si="175"/>
        <v>0</v>
      </c>
      <c r="P410" s="837">
        <f t="shared" ca="1" si="176"/>
        <v>0</v>
      </c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</row>
    <row r="411" spans="1:26" ht="19.5" hidden="1">
      <c r="A411" s="949"/>
      <c r="B411" s="950"/>
      <c r="C411" s="946" t="s">
        <v>16</v>
      </c>
      <c r="D411" s="1207" t="s">
        <v>38</v>
      </c>
      <c r="E411" s="1208"/>
      <c r="F411" s="1208"/>
      <c r="G411" s="1209"/>
      <c r="H411" s="954"/>
      <c r="I411" s="830"/>
      <c r="J411" s="830"/>
      <c r="K411" s="831"/>
      <c r="L411" s="945"/>
      <c r="M411" s="945"/>
      <c r="N411" s="945"/>
      <c r="O411" s="945"/>
      <c r="P411" s="945"/>
    </row>
    <row r="412" spans="1:26" ht="18.75" hidden="1">
      <c r="A412" s="949"/>
      <c r="B412" s="957"/>
      <c r="C412" s="957"/>
      <c r="D412" s="956" t="s">
        <v>177</v>
      </c>
      <c r="E412" s="957"/>
      <c r="F412" s="957"/>
      <c r="G412" s="958"/>
      <c r="H412" s="501" t="s">
        <v>66</v>
      </c>
      <c r="I412" s="830">
        <v>0</v>
      </c>
      <c r="J412" s="959">
        <v>0</v>
      </c>
      <c r="K412" s="831">
        <f t="shared" ref="K412:K413" si="180">IF(I412&gt;0,J412*100/I412,0)</f>
        <v>0</v>
      </c>
      <c r="L412" s="945"/>
      <c r="M412" s="945"/>
      <c r="N412" s="945"/>
      <c r="O412" s="945"/>
      <c r="P412" s="945"/>
    </row>
    <row r="413" spans="1:26" ht="19.5" hidden="1" thickBot="1">
      <c r="A413" s="1210"/>
      <c r="B413" s="1211"/>
      <c r="C413" s="1211"/>
      <c r="D413" s="1212" t="s">
        <v>178</v>
      </c>
      <c r="E413" s="1211"/>
      <c r="F413" s="1211"/>
      <c r="G413" s="1213"/>
      <c r="H413" s="506" t="s">
        <v>179</v>
      </c>
      <c r="I413" s="1214">
        <v>0</v>
      </c>
      <c r="J413" s="1215">
        <v>0</v>
      </c>
      <c r="K413" s="1216">
        <f t="shared" si="180"/>
        <v>0</v>
      </c>
      <c r="L413" s="1217"/>
      <c r="M413" s="1217"/>
      <c r="N413" s="1217"/>
      <c r="O413" s="1217"/>
      <c r="P413" s="1217"/>
    </row>
    <row r="414" spans="1:26" ht="19.5">
      <c r="A414" s="1218" t="s">
        <v>180</v>
      </c>
      <c r="B414" s="1219"/>
      <c r="C414" s="1219"/>
      <c r="D414" s="1219"/>
      <c r="E414" s="1219"/>
      <c r="F414" s="1219"/>
      <c r="G414" s="1220"/>
      <c r="H414" s="1221"/>
      <c r="I414" s="1222"/>
      <c r="J414" s="1222"/>
      <c r="K414" s="1223"/>
      <c r="L414" s="1224">
        <f t="shared" ref="L414:N414" ca="1" si="181">L419+L444+L467+L502+L523+L544+L629+L655+L685+L737+L754+L770+L786+L805</f>
        <v>854985</v>
      </c>
      <c r="M414" s="1224">
        <f t="shared" si="181"/>
        <v>0</v>
      </c>
      <c r="N414" s="1224">
        <f t="shared" si="181"/>
        <v>322973</v>
      </c>
      <c r="O414" s="1224">
        <f ca="1">IF(L414&gt;0,N414*100/L414,0)</f>
        <v>37.775282607297207</v>
      </c>
      <c r="P414" s="1224">
        <f>IF(M414&gt;0,N414*100/M414,0)</f>
        <v>0</v>
      </c>
    </row>
    <row r="415" spans="1:26" ht="19.5">
      <c r="A415" s="1225" t="s">
        <v>181</v>
      </c>
      <c r="B415" s="1226"/>
      <c r="C415" s="1226"/>
      <c r="D415" s="1226"/>
      <c r="E415" s="1226"/>
      <c r="F415" s="1226"/>
      <c r="G415" s="1226"/>
      <c r="H415" s="1227"/>
      <c r="I415" s="1228"/>
      <c r="J415" s="1228"/>
      <c r="K415" s="1229"/>
      <c r="L415" s="1230"/>
      <c r="M415" s="1230"/>
      <c r="N415" s="1230"/>
      <c r="O415" s="1230"/>
      <c r="P415" s="1230"/>
    </row>
    <row r="416" spans="1:26" ht="19.5">
      <c r="A416" s="1225" t="s">
        <v>182</v>
      </c>
      <c r="B416" s="1226"/>
      <c r="C416" s="1226"/>
      <c r="D416" s="1226"/>
      <c r="E416" s="1226"/>
      <c r="F416" s="1226"/>
      <c r="G416" s="1231"/>
      <c r="H416" s="1232"/>
      <c r="I416" s="1233"/>
      <c r="J416" s="1233"/>
      <c r="K416" s="1230"/>
      <c r="L416" s="1230"/>
      <c r="M416" s="1230"/>
      <c r="N416" s="1230"/>
      <c r="O416" s="1230"/>
      <c r="P416" s="1230"/>
    </row>
    <row r="417" spans="1:26" ht="39">
      <c r="A417" s="527">
        <v>1</v>
      </c>
      <c r="B417" s="1234" t="s">
        <v>183</v>
      </c>
      <c r="C417" s="1234"/>
      <c r="D417" s="1235"/>
      <c r="E417" s="1235"/>
      <c r="F417" s="1235"/>
      <c r="G417" s="1236"/>
      <c r="H417" s="532" t="s">
        <v>35</v>
      </c>
      <c r="I417" s="1237">
        <f t="shared" ref="I417:J418" ca="1" si="182">I433</f>
        <v>25</v>
      </c>
      <c r="J417" s="1237">
        <f t="shared" ca="1" si="182"/>
        <v>25</v>
      </c>
      <c r="K417" s="1238">
        <f t="shared" ref="K417:K418" ca="1" si="183">IF(I417&gt;0,J417*100/I417,0)</f>
        <v>100</v>
      </c>
      <c r="L417" s="1239"/>
      <c r="M417" s="1239"/>
      <c r="N417" s="1239"/>
      <c r="O417" s="1239"/>
      <c r="P417" s="1239"/>
    </row>
    <row r="418" spans="1:26" ht="19.5">
      <c r="A418" s="1240"/>
      <c r="B418" s="527"/>
      <c r="C418" s="1234"/>
      <c r="D418" s="1235"/>
      <c r="E418" s="1235"/>
      <c r="F418" s="1235"/>
      <c r="G418" s="1236"/>
      <c r="H418" s="532" t="s">
        <v>49</v>
      </c>
      <c r="I418" s="1237">
        <f t="shared" ca="1" si="182"/>
        <v>1</v>
      </c>
      <c r="J418" s="1237">
        <f t="shared" si="182"/>
        <v>1</v>
      </c>
      <c r="K418" s="1238">
        <f t="shared" ca="1" si="183"/>
        <v>100</v>
      </c>
      <c r="L418" s="1239"/>
      <c r="M418" s="1239"/>
      <c r="N418" s="1239"/>
      <c r="O418" s="1239"/>
      <c r="P418" s="1239"/>
    </row>
    <row r="419" spans="1:26" ht="19.5">
      <c r="A419" s="932"/>
      <c r="B419" s="933"/>
      <c r="C419" s="933" t="s">
        <v>16</v>
      </c>
      <c r="D419" s="1510" t="s">
        <v>17</v>
      </c>
      <c r="E419" s="1487"/>
      <c r="F419" s="1487"/>
      <c r="G419" s="936"/>
      <c r="H419" s="275" t="s">
        <v>12</v>
      </c>
      <c r="I419" s="937"/>
      <c r="J419" s="937"/>
      <c r="K419" s="938"/>
      <c r="L419" s="939">
        <f t="shared" ref="L419:N419" ca="1" si="184">L420+L421</f>
        <v>86860</v>
      </c>
      <c r="M419" s="939">
        <f t="shared" si="184"/>
        <v>0</v>
      </c>
      <c r="N419" s="939">
        <f t="shared" si="184"/>
        <v>58780</v>
      </c>
      <c r="O419" s="939">
        <f t="shared" ref="O419:O424" ca="1" si="185">IF(L419&gt;0,N419*100/L419,0)</f>
        <v>67.672116048814189</v>
      </c>
      <c r="P419" s="939">
        <f t="shared" ref="P419:P424" si="186">IF(M419&gt;0,N419*100/M419,0)</f>
        <v>0</v>
      </c>
      <c r="Q419" s="818"/>
      <c r="R419" s="818"/>
      <c r="S419" s="818"/>
      <c r="T419" s="818"/>
      <c r="U419" s="818"/>
      <c r="V419" s="818"/>
      <c r="W419" s="818"/>
      <c r="X419" s="818"/>
      <c r="Y419" s="818"/>
      <c r="Z419" s="818"/>
    </row>
    <row r="420" spans="1:26" ht="18.75" hidden="1">
      <c r="A420" s="940"/>
      <c r="B420" s="833"/>
      <c r="C420" s="833"/>
      <c r="D420" s="1061"/>
      <c r="E420" s="834" t="s">
        <v>184</v>
      </c>
      <c r="F420" s="833"/>
      <c r="G420" s="941"/>
      <c r="H420" s="165" t="s">
        <v>12</v>
      </c>
      <c r="I420" s="836"/>
      <c r="J420" s="836"/>
      <c r="K420" s="837"/>
      <c r="L420" s="837">
        <f t="shared" ref="L420:N421" si="187">L423+L430</f>
        <v>0</v>
      </c>
      <c r="M420" s="837">
        <f t="shared" si="187"/>
        <v>0</v>
      </c>
      <c r="N420" s="837">
        <f t="shared" si="187"/>
        <v>0</v>
      </c>
      <c r="O420" s="837">
        <f t="shared" si="185"/>
        <v>0</v>
      </c>
      <c r="P420" s="837">
        <f t="shared" si="186"/>
        <v>0</v>
      </c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</row>
    <row r="421" spans="1:26" ht="18.75" hidden="1">
      <c r="A421" s="940"/>
      <c r="B421" s="833"/>
      <c r="C421" s="833"/>
      <c r="D421" s="1061"/>
      <c r="E421" s="834" t="s">
        <v>185</v>
      </c>
      <c r="F421" s="833"/>
      <c r="G421" s="941"/>
      <c r="H421" s="165" t="s">
        <v>12</v>
      </c>
      <c r="I421" s="836"/>
      <c r="J421" s="836"/>
      <c r="K421" s="837"/>
      <c r="L421" s="837">
        <f t="shared" ca="1" si="187"/>
        <v>86860</v>
      </c>
      <c r="M421" s="837">
        <f t="shared" si="187"/>
        <v>0</v>
      </c>
      <c r="N421" s="837">
        <f t="shared" si="187"/>
        <v>58780</v>
      </c>
      <c r="O421" s="837">
        <f t="shared" ca="1" si="185"/>
        <v>67.672116048814189</v>
      </c>
      <c r="P421" s="837">
        <f t="shared" si="186"/>
        <v>0</v>
      </c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</row>
    <row r="422" spans="1:26" ht="18.75">
      <c r="A422" s="942"/>
      <c r="B422" s="1030"/>
      <c r="C422" s="827"/>
      <c r="D422" s="828" t="s">
        <v>20</v>
      </c>
      <c r="E422" s="827"/>
      <c r="F422" s="827"/>
      <c r="G422" s="829"/>
      <c r="H422" s="778" t="s">
        <v>12</v>
      </c>
      <c r="I422" s="944"/>
      <c r="J422" s="944"/>
      <c r="K422" s="945"/>
      <c r="L422" s="831">
        <f t="shared" ref="L422:N422" ca="1" si="188">L423+L424</f>
        <v>86860</v>
      </c>
      <c r="M422" s="831">
        <f t="shared" si="188"/>
        <v>0</v>
      </c>
      <c r="N422" s="831">
        <f t="shared" si="188"/>
        <v>58780</v>
      </c>
      <c r="O422" s="831">
        <f t="shared" ca="1" si="185"/>
        <v>67.672116048814189</v>
      </c>
      <c r="P422" s="831">
        <f t="shared" si="186"/>
        <v>0</v>
      </c>
      <c r="Q422" s="818"/>
      <c r="R422" s="818"/>
      <c r="S422" s="818"/>
      <c r="T422" s="818"/>
      <c r="U422" s="818"/>
      <c r="V422" s="818"/>
      <c r="W422" s="818"/>
      <c r="X422" s="818"/>
      <c r="Y422" s="818"/>
      <c r="Z422" s="818"/>
    </row>
    <row r="423" spans="1:26" ht="18.75" hidden="1">
      <c r="A423" s="940"/>
      <c r="B423" s="833"/>
      <c r="C423" s="833"/>
      <c r="D423" s="1061"/>
      <c r="E423" s="834" t="s">
        <v>184</v>
      </c>
      <c r="F423" s="833"/>
      <c r="G423" s="941"/>
      <c r="H423" s="165" t="s">
        <v>12</v>
      </c>
      <c r="I423" s="836"/>
      <c r="J423" s="836"/>
      <c r="K423" s="837"/>
      <c r="L423" s="837">
        <v>0</v>
      </c>
      <c r="M423" s="837">
        <v>0</v>
      </c>
      <c r="N423" s="837">
        <v>0</v>
      </c>
      <c r="O423" s="837">
        <f t="shared" si="185"/>
        <v>0</v>
      </c>
      <c r="P423" s="837">
        <f t="shared" si="186"/>
        <v>0</v>
      </c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</row>
    <row r="424" spans="1:26" ht="18.75" hidden="1">
      <c r="A424" s="940"/>
      <c r="B424" s="833"/>
      <c r="C424" s="833"/>
      <c r="D424" s="1061"/>
      <c r="E424" s="834" t="s">
        <v>185</v>
      </c>
      <c r="F424" s="833"/>
      <c r="G424" s="941"/>
      <c r="H424" s="165" t="s">
        <v>12</v>
      </c>
      <c r="I424" s="836"/>
      <c r="J424" s="836"/>
      <c r="K424" s="837"/>
      <c r="L424" s="837">
        <f ca="1">IFERROR(__xludf.DUMMYFUNCTION("IMPORTRANGE(""https://docs.google.com/spreadsheets/d/1QqKyyYR6Q21VydFLVH3TRQUabQu_ym0Zz7PgGX0-kHA/edit?usp=sharing"",""แผน!EY25"")"),86860)</f>
        <v>86860</v>
      </c>
      <c r="M424" s="837">
        <v>0</v>
      </c>
      <c r="N424" s="837">
        <f>N425+N426+N427+N428</f>
        <v>58780</v>
      </c>
      <c r="O424" s="837">
        <f t="shared" ca="1" si="185"/>
        <v>67.672116048814189</v>
      </c>
      <c r="P424" s="837">
        <f t="shared" si="186"/>
        <v>0</v>
      </c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</row>
    <row r="425" spans="1:26" ht="18.75">
      <c r="A425" s="1241"/>
      <c r="B425" s="1242"/>
      <c r="C425" s="1243"/>
      <c r="D425" s="1243"/>
      <c r="E425" s="1243"/>
      <c r="F425" s="1243" t="s">
        <v>186</v>
      </c>
      <c r="G425" s="963"/>
      <c r="H425" s="778" t="s">
        <v>12</v>
      </c>
      <c r="I425" s="830"/>
      <c r="J425" s="830"/>
      <c r="K425" s="831"/>
      <c r="L425" s="831"/>
      <c r="M425" s="831"/>
      <c r="N425" s="1031">
        <v>56600</v>
      </c>
      <c r="O425" s="831"/>
      <c r="P425" s="831"/>
      <c r="Q425" s="1244"/>
      <c r="R425" s="1244"/>
      <c r="S425" s="1244"/>
      <c r="T425" s="1244"/>
      <c r="U425" s="1244"/>
      <c r="V425" s="1244"/>
      <c r="W425" s="1244"/>
      <c r="X425" s="1244"/>
      <c r="Y425" s="1244"/>
      <c r="Z425" s="1244"/>
    </row>
    <row r="426" spans="1:26" ht="18.75">
      <c r="A426" s="1241"/>
      <c r="B426" s="1242"/>
      <c r="C426" s="1243"/>
      <c r="D426" s="1243"/>
      <c r="E426" s="1243"/>
      <c r="F426" s="1243" t="s">
        <v>187</v>
      </c>
      <c r="G426" s="963"/>
      <c r="H426" s="778" t="s">
        <v>12</v>
      </c>
      <c r="I426" s="830"/>
      <c r="J426" s="830"/>
      <c r="K426" s="831"/>
      <c r="L426" s="831"/>
      <c r="M426" s="831"/>
      <c r="N426" s="1031">
        <v>0</v>
      </c>
      <c r="O426" s="831"/>
      <c r="P426" s="831"/>
      <c r="Q426" s="1244"/>
      <c r="R426" s="1244"/>
      <c r="S426" s="1244"/>
      <c r="T426" s="1244"/>
      <c r="U426" s="1244"/>
      <c r="V426" s="1244"/>
      <c r="W426" s="1244"/>
      <c r="X426" s="1244"/>
      <c r="Y426" s="1244"/>
      <c r="Z426" s="1244"/>
    </row>
    <row r="427" spans="1:26" ht="18.75">
      <c r="A427" s="1241"/>
      <c r="B427" s="1242"/>
      <c r="C427" s="1243"/>
      <c r="D427" s="1243"/>
      <c r="E427" s="1243"/>
      <c r="F427" s="1243" t="s">
        <v>188</v>
      </c>
      <c r="G427" s="963"/>
      <c r="H427" s="778" t="s">
        <v>12</v>
      </c>
      <c r="I427" s="830"/>
      <c r="J427" s="830"/>
      <c r="K427" s="831"/>
      <c r="L427" s="831"/>
      <c r="M427" s="831"/>
      <c r="N427" s="1031">
        <v>0</v>
      </c>
      <c r="O427" s="831"/>
      <c r="P427" s="831"/>
      <c r="Q427" s="1244"/>
      <c r="R427" s="1244"/>
      <c r="S427" s="1244"/>
      <c r="T427" s="1244"/>
      <c r="U427" s="1244"/>
      <c r="V427" s="1244"/>
      <c r="W427" s="1244"/>
      <c r="X427" s="1244"/>
      <c r="Y427" s="1244"/>
      <c r="Z427" s="1244"/>
    </row>
    <row r="428" spans="1:26" ht="18.75">
      <c r="A428" s="1032"/>
      <c r="B428" s="1030"/>
      <c r="C428" s="827"/>
      <c r="D428" s="827"/>
      <c r="E428" s="827"/>
      <c r="F428" s="943" t="s">
        <v>189</v>
      </c>
      <c r="G428" s="977"/>
      <c r="H428" s="778" t="s">
        <v>12</v>
      </c>
      <c r="I428" s="830"/>
      <c r="J428" s="830"/>
      <c r="K428" s="831"/>
      <c r="L428" s="831"/>
      <c r="M428" s="831"/>
      <c r="N428" s="1031">
        <v>2180</v>
      </c>
      <c r="O428" s="831"/>
      <c r="P428" s="831"/>
      <c r="Q428" s="818"/>
      <c r="R428" s="818"/>
      <c r="S428" s="818"/>
      <c r="T428" s="818"/>
      <c r="U428" s="818"/>
      <c r="V428" s="818"/>
      <c r="W428" s="818"/>
      <c r="X428" s="818"/>
      <c r="Y428" s="818"/>
      <c r="Z428" s="818"/>
    </row>
    <row r="429" spans="1:26" ht="18.75">
      <c r="A429" s="942"/>
      <c r="B429" s="1030"/>
      <c r="C429" s="827"/>
      <c r="D429" s="828" t="s">
        <v>21</v>
      </c>
      <c r="E429" s="827"/>
      <c r="F429" s="827"/>
      <c r="G429" s="829"/>
      <c r="H429" s="168" t="s">
        <v>12</v>
      </c>
      <c r="I429" s="944"/>
      <c r="J429" s="944"/>
      <c r="K429" s="945"/>
      <c r="L429" s="831">
        <f t="shared" ref="L429:N429" ca="1" si="189">L430+L431</f>
        <v>0</v>
      </c>
      <c r="M429" s="831">
        <f t="shared" si="189"/>
        <v>0</v>
      </c>
      <c r="N429" s="831">
        <f t="shared" si="189"/>
        <v>0</v>
      </c>
      <c r="O429" s="831">
        <f t="shared" ref="O429:O431" ca="1" si="190">IF(L429&gt;0,N429*100/L429,0)</f>
        <v>0</v>
      </c>
      <c r="P429" s="831">
        <f t="shared" ref="P429:P431" si="191">IF(M429&gt;0,N429*100/M429,0)</f>
        <v>0</v>
      </c>
      <c r="Q429" s="818"/>
      <c r="R429" s="818"/>
      <c r="S429" s="818"/>
      <c r="T429" s="818"/>
      <c r="U429" s="818"/>
      <c r="V429" s="818"/>
      <c r="W429" s="818"/>
      <c r="X429" s="818"/>
      <c r="Y429" s="818"/>
      <c r="Z429" s="818"/>
    </row>
    <row r="430" spans="1:26" ht="18.75" hidden="1">
      <c r="A430" s="940"/>
      <c r="B430" s="1052"/>
      <c r="C430" s="833"/>
      <c r="D430" s="833"/>
      <c r="E430" s="834" t="s">
        <v>18</v>
      </c>
      <c r="F430" s="833"/>
      <c r="G430" s="835"/>
      <c r="H430" s="165" t="s">
        <v>12</v>
      </c>
      <c r="I430" s="947"/>
      <c r="J430" s="947"/>
      <c r="K430" s="948"/>
      <c r="L430" s="837">
        <v>0</v>
      </c>
      <c r="M430" s="837">
        <v>0</v>
      </c>
      <c r="N430" s="837">
        <v>0</v>
      </c>
      <c r="O430" s="837">
        <f t="shared" si="190"/>
        <v>0</v>
      </c>
      <c r="P430" s="837">
        <f t="shared" si="191"/>
        <v>0</v>
      </c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</row>
    <row r="431" spans="1:26" ht="18.75" hidden="1">
      <c r="A431" s="940"/>
      <c r="B431" s="1052"/>
      <c r="C431" s="833"/>
      <c r="D431" s="833"/>
      <c r="E431" s="834" t="s">
        <v>19</v>
      </c>
      <c r="F431" s="833"/>
      <c r="G431" s="835"/>
      <c r="H431" s="169" t="s">
        <v>12</v>
      </c>
      <c r="I431" s="947"/>
      <c r="J431" s="947"/>
      <c r="K431" s="948"/>
      <c r="L431" s="837">
        <f ca="1">IFERROR(__xludf.DUMMYFUNCTION("IMPORTRANGE(""https://docs.google.com/spreadsheets/d/1QqKyyYR6Q21VydFLVH3TRQUabQu_ym0Zz7PgGX0-kHA/edit?usp=sharing"",""แผน!FB25"")"),0)</f>
        <v>0</v>
      </c>
      <c r="M431" s="837">
        <v>0</v>
      </c>
      <c r="N431" s="837">
        <v>0</v>
      </c>
      <c r="O431" s="837">
        <f t="shared" ca="1" si="190"/>
        <v>0</v>
      </c>
      <c r="P431" s="837">
        <f t="shared" si="191"/>
        <v>0</v>
      </c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</row>
    <row r="432" spans="1:26" ht="19.5">
      <c r="A432" s="1112"/>
      <c r="B432" s="1113"/>
      <c r="C432" s="933" t="s">
        <v>16</v>
      </c>
      <c r="D432" s="1245" t="s">
        <v>38</v>
      </c>
      <c r="E432" s="1246"/>
      <c r="F432" s="1246"/>
      <c r="G432" s="1247"/>
      <c r="H432" s="1248"/>
      <c r="I432" s="937"/>
      <c r="J432" s="937"/>
      <c r="K432" s="938"/>
      <c r="L432" s="938"/>
      <c r="M432" s="938"/>
      <c r="N432" s="938"/>
      <c r="O432" s="938"/>
      <c r="P432" s="938"/>
      <c r="Q432" s="818"/>
      <c r="R432" s="818"/>
      <c r="S432" s="818"/>
      <c r="T432" s="818"/>
      <c r="U432" s="818"/>
      <c r="V432" s="818"/>
      <c r="W432" s="818"/>
      <c r="X432" s="818"/>
      <c r="Y432" s="818"/>
      <c r="Z432" s="818"/>
    </row>
    <row r="433" spans="1:26" ht="19.5">
      <c r="A433" s="949"/>
      <c r="B433" s="950"/>
      <c r="C433" s="950"/>
      <c r="D433" s="960" t="s">
        <v>190</v>
      </c>
      <c r="E433" s="957"/>
      <c r="F433" s="957"/>
      <c r="G433" s="958"/>
      <c r="H433" s="196" t="s">
        <v>35</v>
      </c>
      <c r="I433" s="966">
        <f ca="1">I435</f>
        <v>25</v>
      </c>
      <c r="J433" s="966">
        <f ca="1">IF(AND(J435=I435,J437=I437,J439=I439),I437+I439,IF(AND(J435=I437,J437=I437),I437,IF(AND(J435=I439,J439=I439),I439,0)))</f>
        <v>25</v>
      </c>
      <c r="K433" s="967">
        <f t="shared" ref="K433:K435" ca="1" si="192">IF(I433&gt;0,J433*100/I433,0)</f>
        <v>100</v>
      </c>
      <c r="L433" s="831"/>
      <c r="M433" s="831"/>
      <c r="N433" s="831"/>
      <c r="O433" s="831"/>
      <c r="P433" s="831"/>
      <c r="Q433" s="818"/>
      <c r="R433" s="818"/>
      <c r="S433" s="818"/>
      <c r="T433" s="818"/>
      <c r="U433" s="818"/>
      <c r="V433" s="818"/>
      <c r="W433" s="818"/>
      <c r="X433" s="818"/>
      <c r="Y433" s="818"/>
      <c r="Z433" s="818"/>
    </row>
    <row r="434" spans="1:26" ht="19.5">
      <c r="A434" s="949"/>
      <c r="B434" s="950"/>
      <c r="C434" s="950"/>
      <c r="D434" s="960" t="s">
        <v>191</v>
      </c>
      <c r="E434" s="957"/>
      <c r="F434" s="957"/>
      <c r="G434" s="958"/>
      <c r="H434" s="196" t="s">
        <v>49</v>
      </c>
      <c r="I434" s="966">
        <f t="shared" ref="I434:J434" ca="1" si="193">I438+I440</f>
        <v>1</v>
      </c>
      <c r="J434" s="966">
        <f t="shared" si="193"/>
        <v>1</v>
      </c>
      <c r="K434" s="967">
        <f t="shared" ca="1" si="192"/>
        <v>100</v>
      </c>
      <c r="L434" s="831"/>
      <c r="M434" s="831"/>
      <c r="N434" s="831"/>
      <c r="O434" s="831"/>
      <c r="P434" s="831"/>
      <c r="Q434" s="818"/>
      <c r="R434" s="818"/>
      <c r="S434" s="818"/>
      <c r="T434" s="818"/>
      <c r="U434" s="818"/>
      <c r="V434" s="818"/>
      <c r="W434" s="818"/>
      <c r="X434" s="818"/>
      <c r="Y434" s="818"/>
      <c r="Z434" s="818"/>
    </row>
    <row r="435" spans="1:26" ht="18.75">
      <c r="A435" s="949"/>
      <c r="B435" s="950"/>
      <c r="C435" s="950"/>
      <c r="D435" s="956" t="s">
        <v>192</v>
      </c>
      <c r="E435" s="957"/>
      <c r="F435" s="957"/>
      <c r="G435" s="958"/>
      <c r="H435" s="590" t="s">
        <v>35</v>
      </c>
      <c r="I435" s="548">
        <f ca="1">IFERROR(__xludf.DUMMYFUNCTION("IMPORTRANGE(""https://docs.google.com/spreadsheets/d/1QqKyyYR6Q21VydFLVH3TRQUabQu_ym0Zz7PgGX0-kHA/edit?usp=sharing"",""แผน!FC25"")"),25)</f>
        <v>25</v>
      </c>
      <c r="J435" s="549">
        <v>25</v>
      </c>
      <c r="K435" s="831">
        <f t="shared" ca="1" si="192"/>
        <v>100</v>
      </c>
      <c r="L435" s="831"/>
      <c r="M435" s="831"/>
      <c r="N435" s="831"/>
      <c r="O435" s="831"/>
      <c r="P435" s="831"/>
      <c r="Q435" s="818"/>
      <c r="R435" s="818"/>
      <c r="S435" s="818"/>
      <c r="T435" s="818"/>
      <c r="U435" s="818"/>
      <c r="V435" s="818"/>
      <c r="W435" s="818"/>
      <c r="X435" s="818"/>
      <c r="Y435" s="818"/>
      <c r="Z435" s="818"/>
    </row>
    <row r="436" spans="1:26" ht="18.75">
      <c r="A436" s="949"/>
      <c r="B436" s="950"/>
      <c r="C436" s="950"/>
      <c r="D436" s="956" t="s">
        <v>193</v>
      </c>
      <c r="E436" s="957"/>
      <c r="F436" s="957"/>
      <c r="G436" s="958"/>
      <c r="H436" s="590"/>
      <c r="I436" s="830"/>
      <c r="J436" s="830"/>
      <c r="K436" s="831"/>
      <c r="L436" s="831"/>
      <c r="M436" s="831"/>
      <c r="N436" s="831"/>
      <c r="O436" s="831"/>
      <c r="P436" s="831"/>
      <c r="Q436" s="818"/>
      <c r="R436" s="818"/>
      <c r="S436" s="818"/>
      <c r="T436" s="818"/>
      <c r="U436" s="818"/>
      <c r="V436" s="818"/>
      <c r="W436" s="818"/>
      <c r="X436" s="818"/>
      <c r="Y436" s="818"/>
      <c r="Z436" s="818"/>
    </row>
    <row r="437" spans="1:26" ht="18.75">
      <c r="A437" s="949"/>
      <c r="B437" s="950"/>
      <c r="C437" s="950"/>
      <c r="D437" s="956" t="s">
        <v>194</v>
      </c>
      <c r="E437" s="957"/>
      <c r="F437" s="957"/>
      <c r="G437" s="958"/>
      <c r="H437" s="590" t="s">
        <v>35</v>
      </c>
      <c r="I437" s="548">
        <f ca="1">IFERROR(__xludf.DUMMYFUNCTION("IMPORTRANGE(""https://docs.google.com/spreadsheets/d/1QqKyyYR6Q21VydFLVH3TRQUabQu_ym0Zz7PgGX0-kHA/edit?usp=sharing"",""แผน!FD25"")"),0)</f>
        <v>0</v>
      </c>
      <c r="J437" s="549">
        <v>0</v>
      </c>
      <c r="K437" s="831">
        <f t="shared" ref="K437:K443" ca="1" si="194">IF(I437&gt;0,J437*100/I437,0)</f>
        <v>0</v>
      </c>
      <c r="L437" s="831"/>
      <c r="M437" s="831"/>
      <c r="N437" s="831"/>
      <c r="O437" s="831"/>
      <c r="P437" s="831"/>
      <c r="Q437" s="818"/>
      <c r="R437" s="818"/>
      <c r="S437" s="818"/>
      <c r="T437" s="818"/>
      <c r="U437" s="818"/>
      <c r="V437" s="818"/>
      <c r="W437" s="818"/>
      <c r="X437" s="818"/>
      <c r="Y437" s="818"/>
      <c r="Z437" s="818"/>
    </row>
    <row r="438" spans="1:26" ht="18.75">
      <c r="A438" s="949"/>
      <c r="B438" s="950"/>
      <c r="C438" s="950"/>
      <c r="D438" s="956" t="s">
        <v>195</v>
      </c>
      <c r="E438" s="957"/>
      <c r="F438" s="957"/>
      <c r="G438" s="958"/>
      <c r="H438" s="590" t="s">
        <v>49</v>
      </c>
      <c r="I438" s="830">
        <f ca="1">IFERROR(__xludf.DUMMYFUNCTION("IMPORTRANGE(""https://docs.google.com/spreadsheets/d/1QqKyyYR6Q21VydFLVH3TRQUabQu_ym0Zz7PgGX0-kHA/edit?usp=sharing"",""แผน!FE25"")"),0)</f>
        <v>0</v>
      </c>
      <c r="J438" s="959">
        <v>0</v>
      </c>
      <c r="K438" s="831">
        <f t="shared" ca="1" si="194"/>
        <v>0</v>
      </c>
      <c r="L438" s="831"/>
      <c r="M438" s="831"/>
      <c r="N438" s="831"/>
      <c r="O438" s="831"/>
      <c r="P438" s="831"/>
      <c r="Q438" s="818"/>
      <c r="R438" s="818"/>
      <c r="S438" s="818"/>
      <c r="T438" s="818"/>
      <c r="U438" s="818"/>
      <c r="V438" s="818"/>
      <c r="W438" s="818"/>
      <c r="X438" s="818"/>
      <c r="Y438" s="818"/>
      <c r="Z438" s="818"/>
    </row>
    <row r="439" spans="1:26" ht="18.75">
      <c r="A439" s="949"/>
      <c r="B439" s="950"/>
      <c r="C439" s="950"/>
      <c r="D439" s="956" t="s">
        <v>196</v>
      </c>
      <c r="E439" s="957"/>
      <c r="F439" s="957"/>
      <c r="G439" s="958"/>
      <c r="H439" s="590" t="s">
        <v>35</v>
      </c>
      <c r="I439" s="548">
        <f ca="1">IFERROR(__xludf.DUMMYFUNCTION("IMPORTRANGE(""https://docs.google.com/spreadsheets/d/1QqKyyYR6Q21VydFLVH3TRQUabQu_ym0Zz7PgGX0-kHA/edit?usp=sharing"",""แผน!FF25"")"),25)</f>
        <v>25</v>
      </c>
      <c r="J439" s="549">
        <v>25</v>
      </c>
      <c r="K439" s="831">
        <f t="shared" ca="1" si="194"/>
        <v>100</v>
      </c>
      <c r="L439" s="831"/>
      <c r="M439" s="831"/>
      <c r="N439" s="831"/>
      <c r="O439" s="831"/>
      <c r="P439" s="831"/>
      <c r="Q439" s="818"/>
      <c r="R439" s="818"/>
      <c r="S439" s="818"/>
      <c r="T439" s="818"/>
      <c r="U439" s="818"/>
      <c r="V439" s="818"/>
      <c r="W439" s="818"/>
      <c r="X439" s="818"/>
      <c r="Y439" s="818"/>
      <c r="Z439" s="818"/>
    </row>
    <row r="440" spans="1:26" ht="18.75">
      <c r="A440" s="949"/>
      <c r="B440" s="950"/>
      <c r="C440" s="950"/>
      <c r="D440" s="956" t="s">
        <v>197</v>
      </c>
      <c r="E440" s="957"/>
      <c r="F440" s="957"/>
      <c r="G440" s="958"/>
      <c r="H440" s="590" t="s">
        <v>49</v>
      </c>
      <c r="I440" s="830">
        <f ca="1">IFERROR(__xludf.DUMMYFUNCTION("IMPORTRANGE(""https://docs.google.com/spreadsheets/d/1QqKyyYR6Q21VydFLVH3TRQUabQu_ym0Zz7PgGX0-kHA/edit?usp=sharing"",""แผน!FG25"")"),1)</f>
        <v>1</v>
      </c>
      <c r="J440" s="959">
        <v>1</v>
      </c>
      <c r="K440" s="831">
        <f t="shared" ca="1" si="194"/>
        <v>100</v>
      </c>
      <c r="L440" s="831"/>
      <c r="M440" s="831"/>
      <c r="N440" s="831"/>
      <c r="O440" s="831"/>
      <c r="P440" s="831"/>
      <c r="Q440" s="818"/>
      <c r="R440" s="818"/>
      <c r="S440" s="818"/>
      <c r="T440" s="818"/>
      <c r="U440" s="818"/>
      <c r="V440" s="818"/>
      <c r="W440" s="818"/>
      <c r="X440" s="818"/>
      <c r="Y440" s="818"/>
      <c r="Z440" s="818"/>
    </row>
    <row r="441" spans="1:26" ht="18.75" hidden="1">
      <c r="A441" s="949"/>
      <c r="B441" s="950"/>
      <c r="C441" s="950"/>
      <c r="D441" s="956" t="s">
        <v>198</v>
      </c>
      <c r="E441" s="957"/>
      <c r="F441" s="957"/>
      <c r="G441" s="958"/>
      <c r="H441" s="590" t="s">
        <v>35</v>
      </c>
      <c r="I441" s="830">
        <f ca="1">IFERROR(__xludf.DUMMYFUNCTION("IMPORTRANGE(""https://docs.google.com/spreadsheets/d/1QqKyyYR6Q21VydFLVH3TRQUabQu_ym0Zz7PgGX0-kHA/edit?usp=sharing"",""แผน!FH25"")"),0)</f>
        <v>0</v>
      </c>
      <c r="J441" s="830">
        <v>0</v>
      </c>
      <c r="K441" s="831">
        <f t="shared" ca="1" si="194"/>
        <v>0</v>
      </c>
      <c r="L441" s="831"/>
      <c r="M441" s="831"/>
      <c r="N441" s="831"/>
      <c r="O441" s="831"/>
      <c r="P441" s="831"/>
      <c r="Q441" s="818"/>
      <c r="R441" s="818"/>
      <c r="S441" s="818"/>
      <c r="T441" s="818"/>
      <c r="U441" s="818"/>
      <c r="V441" s="818"/>
      <c r="W441" s="818"/>
      <c r="X441" s="818"/>
      <c r="Y441" s="818"/>
      <c r="Z441" s="818"/>
    </row>
    <row r="442" spans="1:26" ht="19.5">
      <c r="A442" s="550">
        <v>2</v>
      </c>
      <c r="B442" s="1249" t="s">
        <v>199</v>
      </c>
      <c r="C442" s="1250"/>
      <c r="D442" s="1250"/>
      <c r="E442" s="1250"/>
      <c r="F442" s="1250"/>
      <c r="G442" s="1251"/>
      <c r="H442" s="554" t="s">
        <v>35</v>
      </c>
      <c r="I442" s="1252">
        <f t="shared" ref="I442:J442" ca="1" si="195">I460</f>
        <v>50</v>
      </c>
      <c r="J442" s="1252">
        <f t="shared" si="195"/>
        <v>50</v>
      </c>
      <c r="K442" s="1253">
        <f t="shared" ca="1" si="194"/>
        <v>100</v>
      </c>
      <c r="L442" s="1254"/>
      <c r="M442" s="1254"/>
      <c r="N442" s="1254"/>
      <c r="O442" s="1254"/>
      <c r="P442" s="1254"/>
      <c r="Q442" s="1244"/>
      <c r="R442" s="1244"/>
      <c r="S442" s="1244"/>
      <c r="T442" s="1244"/>
      <c r="U442" s="1244"/>
      <c r="V442" s="1244"/>
      <c r="W442" s="1244"/>
      <c r="X442" s="1244"/>
      <c r="Y442" s="1244"/>
      <c r="Z442" s="1244"/>
    </row>
    <row r="443" spans="1:26" ht="19.5">
      <c r="A443" s="1255"/>
      <c r="B443" s="1256"/>
      <c r="C443" s="1257"/>
      <c r="D443" s="1257"/>
      <c r="E443" s="1257"/>
      <c r="F443" s="1257"/>
      <c r="G443" s="1258"/>
      <c r="H443" s="532" t="s">
        <v>46</v>
      </c>
      <c r="I443" s="1237">
        <f t="shared" ref="I443:J443" ca="1" si="196">I462</f>
        <v>110</v>
      </c>
      <c r="J443" s="1237">
        <f t="shared" si="196"/>
        <v>110</v>
      </c>
      <c r="K443" s="1238">
        <f t="shared" ca="1" si="194"/>
        <v>100</v>
      </c>
      <c r="L443" s="1239"/>
      <c r="M443" s="1239"/>
      <c r="N443" s="1239"/>
      <c r="O443" s="1239"/>
      <c r="P443" s="1239"/>
      <c r="Q443" s="1244"/>
      <c r="R443" s="1244"/>
      <c r="S443" s="1244"/>
      <c r="T443" s="1244"/>
      <c r="U443" s="1244"/>
      <c r="V443" s="1244"/>
      <c r="W443" s="1244"/>
      <c r="X443" s="1244"/>
      <c r="Y443" s="1244"/>
      <c r="Z443" s="1244"/>
    </row>
    <row r="444" spans="1:26" ht="19.5">
      <c r="A444" s="1259"/>
      <c r="B444" s="1243"/>
      <c r="C444" s="1243" t="s">
        <v>16</v>
      </c>
      <c r="D444" s="1507" t="s">
        <v>17</v>
      </c>
      <c r="E444" s="1485"/>
      <c r="F444" s="1485"/>
      <c r="G444" s="963"/>
      <c r="H444" s="563" t="s">
        <v>12</v>
      </c>
      <c r="I444" s="830"/>
      <c r="J444" s="830"/>
      <c r="K444" s="831"/>
      <c r="L444" s="967">
        <f t="shared" ref="L444:N444" ca="1" si="197">L445+L446</f>
        <v>354800</v>
      </c>
      <c r="M444" s="967">
        <f t="shared" si="197"/>
        <v>0</v>
      </c>
      <c r="N444" s="967">
        <f t="shared" si="197"/>
        <v>234274</v>
      </c>
      <c r="O444" s="967">
        <f t="shared" ref="O444:O449" ca="1" si="198">IF(L444&gt;0,N444*100/L444,0)</f>
        <v>66.029875986471254</v>
      </c>
      <c r="P444" s="967">
        <f t="shared" ref="P444:P449" si="199">IF(M444&gt;0,N444*100/M444,0)</f>
        <v>0</v>
      </c>
      <c r="Q444" s="1244"/>
      <c r="R444" s="1244"/>
      <c r="S444" s="1244"/>
      <c r="T444" s="1244"/>
      <c r="U444" s="1244"/>
      <c r="V444" s="1244"/>
      <c r="W444" s="1244"/>
      <c r="X444" s="1244"/>
      <c r="Y444" s="1244"/>
      <c r="Z444" s="1244"/>
    </row>
    <row r="445" spans="1:26" ht="18.75" hidden="1">
      <c r="A445" s="1260"/>
      <c r="B445" s="1261"/>
      <c r="C445" s="1261"/>
      <c r="D445" s="1262"/>
      <c r="E445" s="1261" t="s">
        <v>184</v>
      </c>
      <c r="F445" s="1261"/>
      <c r="G445" s="1263"/>
      <c r="H445" s="165" t="s">
        <v>12</v>
      </c>
      <c r="I445" s="836"/>
      <c r="J445" s="836"/>
      <c r="K445" s="837"/>
      <c r="L445" s="837">
        <f t="shared" ref="L445:N446" si="200">L448+L455</f>
        <v>0</v>
      </c>
      <c r="M445" s="837">
        <f t="shared" si="200"/>
        <v>0</v>
      </c>
      <c r="N445" s="837">
        <f t="shared" si="200"/>
        <v>0</v>
      </c>
      <c r="O445" s="837">
        <f t="shared" si="198"/>
        <v>0</v>
      </c>
      <c r="P445" s="837">
        <f t="shared" si="199"/>
        <v>0</v>
      </c>
      <c r="Q445" s="1264"/>
      <c r="R445" s="1264"/>
      <c r="S445" s="1264"/>
      <c r="T445" s="1264"/>
      <c r="U445" s="1264"/>
      <c r="V445" s="1264"/>
      <c r="W445" s="1264"/>
      <c r="X445" s="1264"/>
      <c r="Y445" s="1264"/>
      <c r="Z445" s="1264"/>
    </row>
    <row r="446" spans="1:26" ht="18.75" hidden="1">
      <c r="A446" s="1260"/>
      <c r="B446" s="1265"/>
      <c r="C446" s="1261"/>
      <c r="D446" s="1262"/>
      <c r="E446" s="1261" t="s">
        <v>185</v>
      </c>
      <c r="F446" s="1261"/>
      <c r="G446" s="1263"/>
      <c r="H446" s="165" t="s">
        <v>12</v>
      </c>
      <c r="I446" s="836"/>
      <c r="J446" s="836"/>
      <c r="K446" s="837"/>
      <c r="L446" s="837">
        <f t="shared" ca="1" si="200"/>
        <v>354800</v>
      </c>
      <c r="M446" s="837">
        <f t="shared" si="200"/>
        <v>0</v>
      </c>
      <c r="N446" s="837">
        <f t="shared" si="200"/>
        <v>234274</v>
      </c>
      <c r="O446" s="837">
        <f t="shared" ca="1" si="198"/>
        <v>66.029875986471254</v>
      </c>
      <c r="P446" s="837">
        <f t="shared" si="199"/>
        <v>0</v>
      </c>
      <c r="Q446" s="1264"/>
      <c r="R446" s="1264"/>
      <c r="S446" s="1264"/>
      <c r="T446" s="1264"/>
      <c r="U446" s="1264"/>
      <c r="V446" s="1264"/>
      <c r="W446" s="1264"/>
      <c r="X446" s="1264"/>
      <c r="Y446" s="1264"/>
      <c r="Z446" s="1264"/>
    </row>
    <row r="447" spans="1:26" ht="18.75">
      <c r="A447" s="1259"/>
      <c r="B447" s="1242"/>
      <c r="C447" s="1243"/>
      <c r="D447" s="1266" t="s">
        <v>20</v>
      </c>
      <c r="E447" s="1243"/>
      <c r="F447" s="1243"/>
      <c r="G447" s="963"/>
      <c r="H447" s="778" t="s">
        <v>12</v>
      </c>
      <c r="I447" s="944"/>
      <c r="J447" s="944"/>
      <c r="K447" s="945"/>
      <c r="L447" s="831">
        <f t="shared" ref="L447:N447" ca="1" si="201">L448+L449</f>
        <v>354800</v>
      </c>
      <c r="M447" s="831">
        <f t="shared" si="201"/>
        <v>0</v>
      </c>
      <c r="N447" s="831">
        <f t="shared" si="201"/>
        <v>234274</v>
      </c>
      <c r="O447" s="831">
        <f t="shared" ca="1" si="198"/>
        <v>66.029875986471254</v>
      </c>
      <c r="P447" s="831">
        <f t="shared" si="199"/>
        <v>0</v>
      </c>
      <c r="Q447" s="1244"/>
      <c r="R447" s="1244"/>
      <c r="S447" s="1244"/>
      <c r="T447" s="1244"/>
      <c r="U447" s="1244"/>
      <c r="V447" s="1244"/>
      <c r="W447" s="1244"/>
      <c r="X447" s="1244"/>
      <c r="Y447" s="1244"/>
      <c r="Z447" s="1244"/>
    </row>
    <row r="448" spans="1:26" ht="18.75" hidden="1">
      <c r="A448" s="1260"/>
      <c r="B448" s="1265"/>
      <c r="C448" s="1261"/>
      <c r="D448" s="1262"/>
      <c r="E448" s="1261" t="s">
        <v>184</v>
      </c>
      <c r="F448" s="1261"/>
      <c r="G448" s="1263"/>
      <c r="H448" s="165" t="s">
        <v>12</v>
      </c>
      <c r="I448" s="836"/>
      <c r="J448" s="836"/>
      <c r="K448" s="837"/>
      <c r="L448" s="837">
        <v>0</v>
      </c>
      <c r="M448" s="837">
        <v>0</v>
      </c>
      <c r="N448" s="837">
        <v>0</v>
      </c>
      <c r="O448" s="837">
        <f t="shared" si="198"/>
        <v>0</v>
      </c>
      <c r="P448" s="837">
        <f t="shared" si="199"/>
        <v>0</v>
      </c>
      <c r="Q448" s="1264"/>
      <c r="R448" s="1264"/>
      <c r="S448" s="1264"/>
      <c r="T448" s="1264"/>
      <c r="U448" s="1264"/>
      <c r="V448" s="1264"/>
      <c r="W448" s="1264"/>
      <c r="X448" s="1264"/>
      <c r="Y448" s="1264"/>
      <c r="Z448" s="1264"/>
    </row>
    <row r="449" spans="1:26" ht="18.75" hidden="1">
      <c r="A449" s="1260"/>
      <c r="B449" s="1265"/>
      <c r="C449" s="1261"/>
      <c r="D449" s="1262"/>
      <c r="E449" s="1261" t="s">
        <v>185</v>
      </c>
      <c r="F449" s="1261"/>
      <c r="G449" s="1263"/>
      <c r="H449" s="165" t="s">
        <v>12</v>
      </c>
      <c r="I449" s="836"/>
      <c r="J449" s="836"/>
      <c r="K449" s="837"/>
      <c r="L449" s="837">
        <f ca="1">IFERROR(__xludf.DUMMYFUNCTION("IMPORTRANGE(""https://docs.google.com/spreadsheets/d/1QqKyyYR6Q21VydFLVH3TRQUabQu_ym0Zz7PgGX0-kHA/edit?usp=sharing"",""แผน!FJ25"")"),354800)</f>
        <v>354800</v>
      </c>
      <c r="M449" s="837">
        <v>0</v>
      </c>
      <c r="N449" s="837">
        <f>N450+N451+N452+N453</f>
        <v>234274</v>
      </c>
      <c r="O449" s="837">
        <f t="shared" ca="1" si="198"/>
        <v>66.029875986471254</v>
      </c>
      <c r="P449" s="837">
        <f t="shared" si="199"/>
        <v>0</v>
      </c>
      <c r="Q449" s="1264"/>
      <c r="R449" s="1264"/>
      <c r="S449" s="1264"/>
      <c r="T449" s="1264"/>
      <c r="U449" s="1264"/>
      <c r="V449" s="1264"/>
      <c r="W449" s="1264"/>
      <c r="X449" s="1264"/>
      <c r="Y449" s="1264"/>
      <c r="Z449" s="1264"/>
    </row>
    <row r="450" spans="1:26" ht="18.75">
      <c r="A450" s="1241"/>
      <c r="B450" s="1242"/>
      <c r="C450" s="1243"/>
      <c r="D450" s="1243"/>
      <c r="E450" s="1243"/>
      <c r="F450" s="1243" t="s">
        <v>186</v>
      </c>
      <c r="G450" s="963"/>
      <c r="H450" s="778" t="s">
        <v>12</v>
      </c>
      <c r="I450" s="830"/>
      <c r="J450" s="830"/>
      <c r="K450" s="831"/>
      <c r="L450" s="831"/>
      <c r="M450" s="831"/>
      <c r="N450" s="1031">
        <v>66800</v>
      </c>
      <c r="O450" s="831"/>
      <c r="P450" s="831"/>
      <c r="Q450" s="1244"/>
      <c r="R450" s="1244"/>
      <c r="S450" s="1244"/>
      <c r="T450" s="1244"/>
      <c r="U450" s="1244"/>
      <c r="V450" s="1244"/>
      <c r="W450" s="1244"/>
      <c r="X450" s="1244"/>
      <c r="Y450" s="1244"/>
      <c r="Z450" s="1244"/>
    </row>
    <row r="451" spans="1:26" ht="18.75">
      <c r="A451" s="1241"/>
      <c r="B451" s="1242"/>
      <c r="C451" s="1243"/>
      <c r="D451" s="1243"/>
      <c r="E451" s="1243"/>
      <c r="F451" s="1243" t="s">
        <v>187</v>
      </c>
      <c r="G451" s="963"/>
      <c r="H451" s="778" t="s">
        <v>12</v>
      </c>
      <c r="I451" s="830"/>
      <c r="J451" s="830"/>
      <c r="K451" s="831"/>
      <c r="L451" s="831"/>
      <c r="M451" s="831"/>
      <c r="N451" s="1031">
        <v>98000</v>
      </c>
      <c r="O451" s="831"/>
      <c r="P451" s="831"/>
      <c r="Q451" s="1244"/>
      <c r="R451" s="1244"/>
      <c r="S451" s="1244"/>
      <c r="T451" s="1244"/>
      <c r="U451" s="1244"/>
      <c r="V451" s="1244"/>
      <c r="W451" s="1244"/>
      <c r="X451" s="1244"/>
      <c r="Y451" s="1244"/>
      <c r="Z451" s="1244"/>
    </row>
    <row r="452" spans="1:26" ht="18.75">
      <c r="A452" s="1241"/>
      <c r="B452" s="1242"/>
      <c r="C452" s="1242"/>
      <c r="D452" s="1242"/>
      <c r="E452" s="1242"/>
      <c r="F452" s="1243" t="s">
        <v>188</v>
      </c>
      <c r="G452" s="963"/>
      <c r="H452" s="778" t="s">
        <v>12</v>
      </c>
      <c r="I452" s="830"/>
      <c r="J452" s="830"/>
      <c r="K452" s="831"/>
      <c r="L452" s="831"/>
      <c r="M452" s="831"/>
      <c r="N452" s="1031">
        <v>37714</v>
      </c>
      <c r="O452" s="831"/>
      <c r="P452" s="831"/>
      <c r="Q452" s="1244"/>
      <c r="R452" s="1244"/>
      <c r="S452" s="1244"/>
      <c r="T452" s="1244"/>
      <c r="U452" s="1244"/>
      <c r="V452" s="1244"/>
      <c r="W452" s="1244"/>
      <c r="X452" s="1244"/>
      <c r="Y452" s="1244"/>
      <c r="Z452" s="1244"/>
    </row>
    <row r="453" spans="1:26" ht="18.75">
      <c r="A453" s="1241"/>
      <c r="B453" s="1242"/>
      <c r="C453" s="1242"/>
      <c r="D453" s="1242"/>
      <c r="E453" s="1242"/>
      <c r="F453" s="1243" t="s">
        <v>189</v>
      </c>
      <c r="G453" s="963"/>
      <c r="H453" s="778" t="s">
        <v>12</v>
      </c>
      <c r="I453" s="830"/>
      <c r="J453" s="830"/>
      <c r="K453" s="831"/>
      <c r="L453" s="831"/>
      <c r="M453" s="831"/>
      <c r="N453" s="1031">
        <v>31760</v>
      </c>
      <c r="O453" s="831"/>
      <c r="P453" s="831"/>
      <c r="Q453" s="1244"/>
      <c r="R453" s="1244"/>
      <c r="S453" s="1244"/>
      <c r="T453" s="1244"/>
      <c r="U453" s="1244"/>
      <c r="V453" s="1244"/>
      <c r="W453" s="1244"/>
      <c r="X453" s="1244"/>
      <c r="Y453" s="1244"/>
      <c r="Z453" s="1244"/>
    </row>
    <row r="454" spans="1:26" ht="18.75">
      <c r="A454" s="1259"/>
      <c r="B454" s="1242"/>
      <c r="C454" s="1242"/>
      <c r="D454" s="1266" t="s">
        <v>21</v>
      </c>
      <c r="E454" s="1242"/>
      <c r="F454" s="1243"/>
      <c r="G454" s="963"/>
      <c r="H454" s="168" t="s">
        <v>12</v>
      </c>
      <c r="I454" s="944"/>
      <c r="J454" s="944"/>
      <c r="K454" s="945"/>
      <c r="L454" s="831">
        <f t="shared" ref="L454:N454" ca="1" si="202">L455+L456</f>
        <v>0</v>
      </c>
      <c r="M454" s="831">
        <f t="shared" si="202"/>
        <v>0</v>
      </c>
      <c r="N454" s="831">
        <f t="shared" si="202"/>
        <v>0</v>
      </c>
      <c r="O454" s="831">
        <f t="shared" ref="O454:O456" ca="1" si="203">IF(L454&gt;0,N454*100/L454,0)</f>
        <v>0</v>
      </c>
      <c r="P454" s="831">
        <f t="shared" ref="P454:P456" si="204">IF(M454&gt;0,N454*100/M454,0)</f>
        <v>0</v>
      </c>
      <c r="Q454" s="1244"/>
      <c r="R454" s="1244"/>
      <c r="S454" s="1244"/>
      <c r="T454" s="1244"/>
      <c r="U454" s="1244"/>
      <c r="V454" s="1244"/>
      <c r="W454" s="1244"/>
      <c r="X454" s="1244"/>
      <c r="Y454" s="1244"/>
      <c r="Z454" s="1244"/>
    </row>
    <row r="455" spans="1:26" ht="18.75" hidden="1">
      <c r="A455" s="1260"/>
      <c r="B455" s="1265"/>
      <c r="C455" s="1265"/>
      <c r="D455" s="1265"/>
      <c r="E455" s="1265" t="s">
        <v>18</v>
      </c>
      <c r="F455" s="1261"/>
      <c r="G455" s="1263"/>
      <c r="H455" s="165" t="s">
        <v>12</v>
      </c>
      <c r="I455" s="947"/>
      <c r="J455" s="947"/>
      <c r="K455" s="948"/>
      <c r="L455" s="837">
        <v>0</v>
      </c>
      <c r="M455" s="837">
        <v>0</v>
      </c>
      <c r="N455" s="837">
        <v>0</v>
      </c>
      <c r="O455" s="837">
        <f t="shared" si="203"/>
        <v>0</v>
      </c>
      <c r="P455" s="837">
        <f t="shared" si="204"/>
        <v>0</v>
      </c>
      <c r="Q455" s="1264"/>
      <c r="R455" s="1264"/>
      <c r="S455" s="1264"/>
      <c r="T455" s="1264"/>
      <c r="U455" s="1264"/>
      <c r="V455" s="1264"/>
      <c r="W455" s="1264"/>
      <c r="X455" s="1264"/>
      <c r="Y455" s="1264"/>
      <c r="Z455" s="1264"/>
    </row>
    <row r="456" spans="1:26" ht="18.75" hidden="1">
      <c r="A456" s="1260"/>
      <c r="B456" s="1265"/>
      <c r="C456" s="1265"/>
      <c r="D456" s="1265"/>
      <c r="E456" s="1265" t="s">
        <v>19</v>
      </c>
      <c r="F456" s="1261"/>
      <c r="G456" s="1263"/>
      <c r="H456" s="169" t="s">
        <v>12</v>
      </c>
      <c r="I456" s="947"/>
      <c r="J456" s="947"/>
      <c r="K456" s="948"/>
      <c r="L456" s="837">
        <f ca="1">IFERROR(__xludf.DUMMYFUNCTION("IMPORTRANGE(""https://docs.google.com/spreadsheets/d/1QqKyyYR6Q21VydFLVH3TRQUabQu_ym0Zz7PgGX0-kHA/edit?usp=sharing"",""แผน!FM25"")"),0)</f>
        <v>0</v>
      </c>
      <c r="M456" s="837">
        <v>0</v>
      </c>
      <c r="N456" s="837">
        <v>0</v>
      </c>
      <c r="O456" s="837">
        <f t="shared" ca="1" si="203"/>
        <v>0</v>
      </c>
      <c r="P456" s="837">
        <f t="shared" si="204"/>
        <v>0</v>
      </c>
      <c r="Q456" s="1264"/>
      <c r="R456" s="1264"/>
      <c r="S456" s="1264"/>
      <c r="T456" s="1264"/>
      <c r="U456" s="1264"/>
      <c r="V456" s="1264"/>
      <c r="W456" s="1264"/>
      <c r="X456" s="1264"/>
      <c r="Y456" s="1264"/>
      <c r="Z456" s="1264"/>
    </row>
    <row r="457" spans="1:26" ht="19.5">
      <c r="A457" s="1267"/>
      <c r="B457" s="1268"/>
      <c r="C457" s="1242" t="s">
        <v>16</v>
      </c>
      <c r="D457" s="1269" t="s">
        <v>38</v>
      </c>
      <c r="E457" s="1270"/>
      <c r="F457" s="1271"/>
      <c r="G457" s="1272"/>
      <c r="H457" s="954"/>
      <c r="I457" s="830"/>
      <c r="J457" s="830"/>
      <c r="K457" s="831"/>
      <c r="L457" s="831"/>
      <c r="M457" s="831"/>
      <c r="N457" s="831"/>
      <c r="O457" s="831"/>
      <c r="P457" s="831"/>
      <c r="Q457" s="1244"/>
      <c r="R457" s="1244"/>
      <c r="S457" s="1244"/>
      <c r="T457" s="1244"/>
      <c r="U457" s="1244"/>
      <c r="V457" s="1244"/>
      <c r="W457" s="1244"/>
      <c r="X457" s="1244"/>
      <c r="Y457" s="1244"/>
      <c r="Z457" s="1244"/>
    </row>
    <row r="458" spans="1:26" ht="18.75" hidden="1">
      <c r="A458" s="1273"/>
      <c r="B458" s="1274"/>
      <c r="C458" s="1274"/>
      <c r="D458" s="1274" t="s">
        <v>200</v>
      </c>
      <c r="E458" s="1274"/>
      <c r="F458" s="1262"/>
      <c r="G458" s="1060"/>
      <c r="H458" s="583" t="s">
        <v>35</v>
      </c>
      <c r="I458" s="836">
        <v>0</v>
      </c>
      <c r="J458" s="836">
        <v>0</v>
      </c>
      <c r="K458" s="837">
        <f>IF(I458&gt;0,J458*100/I458,0)</f>
        <v>0</v>
      </c>
      <c r="L458" s="837"/>
      <c r="M458" s="837"/>
      <c r="N458" s="837"/>
      <c r="O458" s="837"/>
      <c r="P458" s="837"/>
      <c r="Q458" s="1264"/>
      <c r="R458" s="1264"/>
      <c r="S458" s="1264"/>
      <c r="T458" s="1264"/>
      <c r="U458" s="1264"/>
      <c r="V458" s="1264"/>
      <c r="W458" s="1264"/>
      <c r="X458" s="1264"/>
      <c r="Y458" s="1264"/>
      <c r="Z458" s="1264"/>
    </row>
    <row r="459" spans="1:26" ht="18.75" hidden="1">
      <c r="A459" s="1273"/>
      <c r="B459" s="1274"/>
      <c r="C459" s="1274"/>
      <c r="D459" s="1274" t="s">
        <v>201</v>
      </c>
      <c r="E459" s="1274"/>
      <c r="F459" s="1262"/>
      <c r="G459" s="1060"/>
      <c r="H459" s="583"/>
      <c r="I459" s="836"/>
      <c r="J459" s="836"/>
      <c r="K459" s="837"/>
      <c r="L459" s="837"/>
      <c r="M459" s="837"/>
      <c r="N459" s="837"/>
      <c r="O459" s="837"/>
      <c r="P459" s="837"/>
      <c r="Q459" s="1264"/>
      <c r="R459" s="1264"/>
      <c r="S459" s="1264"/>
      <c r="T459" s="1264"/>
      <c r="U459" s="1264"/>
      <c r="V459" s="1264"/>
      <c r="W459" s="1264"/>
      <c r="X459" s="1264"/>
      <c r="Y459" s="1264"/>
      <c r="Z459" s="1264"/>
    </row>
    <row r="460" spans="1:26" ht="18.75">
      <c r="A460" s="1267"/>
      <c r="B460" s="1268"/>
      <c r="C460" s="1268"/>
      <c r="D460" s="1268" t="s">
        <v>202</v>
      </c>
      <c r="E460" s="1268"/>
      <c r="F460" s="961"/>
      <c r="G460" s="954"/>
      <c r="H460" s="730" t="s">
        <v>35</v>
      </c>
      <c r="I460" s="830">
        <f ca="1">IFERROR(__xludf.DUMMYFUNCTION("IMPORTRANGE(""https://docs.google.com/spreadsheets/d/1QqKyyYR6Q21VydFLVH3TRQUabQu_ym0Zz7PgGX0-kHA/edit?usp=sharing"",""แผน!FN25"")"),50)</f>
        <v>50</v>
      </c>
      <c r="J460" s="959">
        <v>50</v>
      </c>
      <c r="K460" s="831">
        <f ca="1">IF(I460&gt;0,J460*100/I460,0)</f>
        <v>100</v>
      </c>
      <c r="L460" s="831"/>
      <c r="M460" s="831"/>
      <c r="N460" s="831"/>
      <c r="O460" s="831"/>
      <c r="P460" s="831"/>
      <c r="Q460" s="1244"/>
      <c r="R460" s="1244"/>
      <c r="S460" s="1244"/>
      <c r="T460" s="1244"/>
      <c r="U460" s="1244"/>
      <c r="V460" s="1244"/>
      <c r="W460" s="1244"/>
      <c r="X460" s="1244"/>
      <c r="Y460" s="1244"/>
      <c r="Z460" s="1244"/>
    </row>
    <row r="461" spans="1:26" ht="18.75">
      <c r="A461" s="1267"/>
      <c r="B461" s="1268"/>
      <c r="C461" s="1268"/>
      <c r="D461" s="1268" t="s">
        <v>203</v>
      </c>
      <c r="E461" s="961"/>
      <c r="F461" s="961"/>
      <c r="G461" s="954"/>
      <c r="H461" s="730"/>
      <c r="I461" s="830"/>
      <c r="J461" s="830"/>
      <c r="K461" s="831"/>
      <c r="L461" s="831"/>
      <c r="M461" s="831"/>
      <c r="N461" s="831"/>
      <c r="O461" s="831"/>
      <c r="P461" s="831"/>
      <c r="Q461" s="1244"/>
      <c r="R461" s="1244"/>
      <c r="S461" s="1244"/>
      <c r="T461" s="1244"/>
      <c r="U461" s="1244"/>
      <c r="V461" s="1244"/>
      <c r="W461" s="1244"/>
      <c r="X461" s="1244"/>
      <c r="Y461" s="1244"/>
      <c r="Z461" s="1244"/>
    </row>
    <row r="462" spans="1:26" ht="18.75">
      <c r="A462" s="1267"/>
      <c r="B462" s="1268"/>
      <c r="C462" s="1268"/>
      <c r="D462" s="1268" t="s">
        <v>204</v>
      </c>
      <c r="E462" s="961"/>
      <c r="F462" s="961"/>
      <c r="G462" s="954"/>
      <c r="H462" s="730" t="s">
        <v>46</v>
      </c>
      <c r="I462" s="830">
        <f ca="1">IFERROR(__xludf.DUMMYFUNCTION("IMPORTRANGE(""https://docs.google.com/spreadsheets/d/1QqKyyYR6Q21VydFLVH3TRQUabQu_ym0Zz7PgGX0-kHA/edit?usp=sharing"",""แผน!FO25"")"),110)</f>
        <v>110</v>
      </c>
      <c r="J462" s="959">
        <v>110</v>
      </c>
      <c r="K462" s="831">
        <f ca="1">IF(I462&gt;0,J462*100/I462,0)</f>
        <v>100</v>
      </c>
      <c r="L462" s="831"/>
      <c r="M462" s="831"/>
      <c r="N462" s="831"/>
      <c r="O462" s="831"/>
      <c r="P462" s="831"/>
      <c r="Q462" s="1244"/>
      <c r="R462" s="1244"/>
      <c r="S462" s="1244"/>
      <c r="T462" s="1244"/>
      <c r="U462" s="1244"/>
      <c r="V462" s="1244"/>
      <c r="W462" s="1244"/>
      <c r="X462" s="1244"/>
      <c r="Y462" s="1244"/>
      <c r="Z462" s="1244"/>
    </row>
    <row r="463" spans="1:26" ht="18.75">
      <c r="A463" s="1267"/>
      <c r="B463" s="1268"/>
      <c r="C463" s="1268"/>
      <c r="D463" s="1268" t="s">
        <v>59</v>
      </c>
      <c r="E463" s="961"/>
      <c r="F463" s="1243"/>
      <c r="G463" s="963"/>
      <c r="H463" s="730" t="s">
        <v>46</v>
      </c>
      <c r="I463" s="830">
        <f ca="1">IFERROR(__xludf.DUMMYFUNCTION("IMPORTRANGE(""https://docs.google.com/spreadsheets/d/1QqKyyYR6Q21VydFLVH3TRQUabQu_ym0Zz7PgGX0-kHA/edit?usp=sharing"",""แผน!FO25"")"),110)</f>
        <v>110</v>
      </c>
      <c r="J463" s="959">
        <v>110</v>
      </c>
      <c r="K463" s="831"/>
      <c r="L463" s="831"/>
      <c r="M463" s="831"/>
      <c r="N463" s="831"/>
      <c r="O463" s="831"/>
      <c r="P463" s="831"/>
      <c r="Q463" s="1244"/>
      <c r="R463" s="1244"/>
      <c r="S463" s="1244"/>
      <c r="T463" s="1244"/>
      <c r="U463" s="1244"/>
      <c r="V463" s="1244"/>
      <c r="W463" s="1244"/>
      <c r="X463" s="1244"/>
      <c r="Y463" s="1244"/>
      <c r="Z463" s="1244"/>
    </row>
    <row r="464" spans="1:26" ht="19.5">
      <c r="A464" s="1267"/>
      <c r="B464" s="1268"/>
      <c r="C464" s="1268"/>
      <c r="D464" s="1268"/>
      <c r="E464" s="961"/>
      <c r="F464" s="961"/>
      <c r="G464" s="1275"/>
      <c r="H464" s="730" t="s">
        <v>35</v>
      </c>
      <c r="I464" s="830">
        <f ca="1">IFERROR(__xludf.DUMMYFUNCTION("IMPORTRANGE(""https://docs.google.com/spreadsheets/d/1QqKyyYR6Q21VydFLVH3TRQUabQu_ym0Zz7PgGX0-kHA/edit?usp=sharing"",""แผน!FN25"")"),50)</f>
        <v>50</v>
      </c>
      <c r="J464" s="959">
        <v>50</v>
      </c>
      <c r="K464" s="831"/>
      <c r="L464" s="831"/>
      <c r="M464" s="831"/>
      <c r="N464" s="831"/>
      <c r="O464" s="831"/>
      <c r="P464" s="831"/>
      <c r="Q464" s="1244"/>
      <c r="R464" s="1244"/>
      <c r="S464" s="1244"/>
      <c r="T464" s="1244"/>
      <c r="U464" s="1244"/>
      <c r="V464" s="1244"/>
      <c r="W464" s="1244"/>
      <c r="X464" s="1244"/>
      <c r="Y464" s="1244"/>
      <c r="Z464" s="1244"/>
    </row>
    <row r="465" spans="1:26" ht="19.5">
      <c r="A465" s="550">
        <v>3</v>
      </c>
      <c r="B465" s="1249" t="s">
        <v>205</v>
      </c>
      <c r="C465" s="1250"/>
      <c r="D465" s="1250"/>
      <c r="E465" s="1250"/>
      <c r="F465" s="1250"/>
      <c r="G465" s="1251"/>
      <c r="H465" s="554" t="s">
        <v>35</v>
      </c>
      <c r="I465" s="1252">
        <f ca="1">IFERROR(__xludf.DUMMYFUNCTION("IMPORTRANGE(""https://docs.google.com/spreadsheets/d/1QqKyyYR6Q21VydFLVH3TRQUabQu_ym0Zz7PgGX0-kHA/edit?usp=sharing"",""แผน!FX25"")"),11)</f>
        <v>11</v>
      </c>
      <c r="J465" s="1252">
        <f>J485+J489+J492</f>
        <v>11</v>
      </c>
      <c r="K465" s="1253">
        <f t="shared" ref="K465:K466" ca="1" si="205">IF(I465&gt;0,J465*100/I465,0)</f>
        <v>100</v>
      </c>
      <c r="L465" s="1254"/>
      <c r="M465" s="1254"/>
      <c r="N465" s="1254"/>
      <c r="O465" s="1254"/>
      <c r="P465" s="1254"/>
      <c r="Q465" s="1244"/>
      <c r="R465" s="1244"/>
      <c r="S465" s="1244"/>
      <c r="T465" s="1244"/>
      <c r="U465" s="1244"/>
      <c r="V465" s="1244"/>
      <c r="W465" s="1244"/>
      <c r="X465" s="1244"/>
      <c r="Y465" s="1244"/>
      <c r="Z465" s="1244"/>
    </row>
    <row r="466" spans="1:26" ht="19.5">
      <c r="A466" s="1255"/>
      <c r="B466" s="1256"/>
      <c r="C466" s="1257"/>
      <c r="D466" s="1257"/>
      <c r="E466" s="1257"/>
      <c r="F466" s="1257"/>
      <c r="G466" s="1258"/>
      <c r="H466" s="532" t="s">
        <v>46</v>
      </c>
      <c r="I466" s="1237">
        <f ca="1">IFERROR(__xludf.DUMMYFUNCTION("IMPORTRANGE(""https://docs.google.com/spreadsheets/d/1QqKyyYR6Q21VydFLVH3TRQUabQu_ym0Zz7PgGX0-kHA/edit?usp=sharing"",""แผน!FW25"")"),100)</f>
        <v>100</v>
      </c>
      <c r="J466" s="1237">
        <f>J495+J498</f>
        <v>0</v>
      </c>
      <c r="K466" s="1238">
        <f t="shared" ca="1" si="205"/>
        <v>0</v>
      </c>
      <c r="L466" s="1239"/>
      <c r="M466" s="1239"/>
      <c r="N466" s="1239"/>
      <c r="O466" s="1239"/>
      <c r="P466" s="1239"/>
      <c r="Q466" s="1244"/>
      <c r="R466" s="1244"/>
      <c r="S466" s="1244"/>
      <c r="T466" s="1244"/>
      <c r="U466" s="1244"/>
      <c r="V466" s="1244"/>
      <c r="W466" s="1244"/>
      <c r="X466" s="1244"/>
      <c r="Y466" s="1244"/>
      <c r="Z466" s="1244"/>
    </row>
    <row r="467" spans="1:26" ht="19.5">
      <c r="A467" s="1259"/>
      <c r="B467" s="1243"/>
      <c r="C467" s="1243" t="s">
        <v>16</v>
      </c>
      <c r="D467" s="1507" t="s">
        <v>17</v>
      </c>
      <c r="E467" s="1485"/>
      <c r="F467" s="1485"/>
      <c r="G467" s="963"/>
      <c r="H467" s="563" t="s">
        <v>12</v>
      </c>
      <c r="I467" s="830"/>
      <c r="J467" s="830"/>
      <c r="K467" s="831"/>
      <c r="L467" s="967">
        <f t="shared" ref="L467:N467" ca="1" si="206">L468+L469</f>
        <v>112825</v>
      </c>
      <c r="M467" s="967">
        <f t="shared" si="206"/>
        <v>0</v>
      </c>
      <c r="N467" s="967">
        <f t="shared" si="206"/>
        <v>29919</v>
      </c>
      <c r="O467" s="967">
        <f t="shared" ref="O467:O472" ca="1" si="207">IF(L467&gt;0,N467*100/L467,0)</f>
        <v>26.51805894083758</v>
      </c>
      <c r="P467" s="967">
        <f t="shared" ref="P467:P472" si="208">IF(M467&gt;0,N467*100/M467,0)</f>
        <v>0</v>
      </c>
      <c r="Q467" s="1244"/>
      <c r="R467" s="1244"/>
      <c r="S467" s="1244"/>
      <c r="T467" s="1244"/>
      <c r="U467" s="1244"/>
      <c r="V467" s="1244"/>
      <c r="W467" s="1244"/>
      <c r="X467" s="1244"/>
      <c r="Y467" s="1244"/>
      <c r="Z467" s="1244"/>
    </row>
    <row r="468" spans="1:26" ht="18.75" hidden="1">
      <c r="A468" s="1260"/>
      <c r="B468" s="1261"/>
      <c r="C468" s="1261"/>
      <c r="D468" s="1262"/>
      <c r="E468" s="1261" t="s">
        <v>184</v>
      </c>
      <c r="F468" s="1261"/>
      <c r="G468" s="1263"/>
      <c r="H468" s="165" t="s">
        <v>12</v>
      </c>
      <c r="I468" s="836"/>
      <c r="J468" s="836"/>
      <c r="K468" s="837"/>
      <c r="L468" s="837">
        <f t="shared" ref="L468:N469" si="209">L471+L478</f>
        <v>0</v>
      </c>
      <c r="M468" s="837">
        <f t="shared" si="209"/>
        <v>0</v>
      </c>
      <c r="N468" s="837">
        <f t="shared" si="209"/>
        <v>0</v>
      </c>
      <c r="O468" s="837">
        <f t="shared" si="207"/>
        <v>0</v>
      </c>
      <c r="P468" s="837">
        <f t="shared" si="208"/>
        <v>0</v>
      </c>
      <c r="Q468" s="1264"/>
      <c r="R468" s="1264"/>
      <c r="S468" s="1264"/>
      <c r="T468" s="1264"/>
      <c r="U468" s="1264"/>
      <c r="V468" s="1264"/>
      <c r="W468" s="1264"/>
      <c r="X468" s="1264"/>
      <c r="Y468" s="1264"/>
      <c r="Z468" s="1264"/>
    </row>
    <row r="469" spans="1:26" ht="18.75" hidden="1">
      <c r="A469" s="1260"/>
      <c r="B469" s="1265"/>
      <c r="C469" s="1261"/>
      <c r="D469" s="1262"/>
      <c r="E469" s="1261" t="s">
        <v>185</v>
      </c>
      <c r="F469" s="1261"/>
      <c r="G469" s="1263"/>
      <c r="H469" s="165" t="s">
        <v>12</v>
      </c>
      <c r="I469" s="836"/>
      <c r="J469" s="836"/>
      <c r="K469" s="837"/>
      <c r="L469" s="837">
        <f t="shared" ca="1" si="209"/>
        <v>112825</v>
      </c>
      <c r="M469" s="837">
        <f t="shared" si="209"/>
        <v>0</v>
      </c>
      <c r="N469" s="837">
        <f t="shared" si="209"/>
        <v>29919</v>
      </c>
      <c r="O469" s="837">
        <f t="shared" ca="1" si="207"/>
        <v>26.51805894083758</v>
      </c>
      <c r="P469" s="837">
        <f t="shared" si="208"/>
        <v>0</v>
      </c>
      <c r="Q469" s="1264"/>
      <c r="R469" s="1264"/>
      <c r="S469" s="1264"/>
      <c r="T469" s="1264"/>
      <c r="U469" s="1264"/>
      <c r="V469" s="1264"/>
      <c r="W469" s="1264"/>
      <c r="X469" s="1264"/>
      <c r="Y469" s="1264"/>
      <c r="Z469" s="1264"/>
    </row>
    <row r="470" spans="1:26" ht="18.75">
      <c r="A470" s="1259"/>
      <c r="B470" s="1242"/>
      <c r="C470" s="1243"/>
      <c r="D470" s="1266" t="s">
        <v>20</v>
      </c>
      <c r="E470" s="1243"/>
      <c r="F470" s="1243"/>
      <c r="G470" s="963"/>
      <c r="H470" s="778" t="s">
        <v>12</v>
      </c>
      <c r="I470" s="944"/>
      <c r="J470" s="944"/>
      <c r="K470" s="945"/>
      <c r="L470" s="831">
        <f t="shared" ref="L470:N470" ca="1" si="210">L471+L472</f>
        <v>112825</v>
      </c>
      <c r="M470" s="831">
        <f t="shared" si="210"/>
        <v>0</v>
      </c>
      <c r="N470" s="831">
        <f t="shared" si="210"/>
        <v>29919</v>
      </c>
      <c r="O470" s="831">
        <f t="shared" ca="1" si="207"/>
        <v>26.51805894083758</v>
      </c>
      <c r="P470" s="831">
        <f t="shared" si="208"/>
        <v>0</v>
      </c>
      <c r="Q470" s="1244"/>
      <c r="R470" s="1244"/>
      <c r="S470" s="1244"/>
      <c r="T470" s="1244"/>
      <c r="U470" s="1244"/>
      <c r="V470" s="1244"/>
      <c r="W470" s="1244"/>
      <c r="X470" s="1244"/>
      <c r="Y470" s="1244"/>
      <c r="Z470" s="1244"/>
    </row>
    <row r="471" spans="1:26" ht="18.75" hidden="1">
      <c r="A471" s="1260"/>
      <c r="B471" s="1265"/>
      <c r="C471" s="1261"/>
      <c r="D471" s="1262"/>
      <c r="E471" s="1261" t="s">
        <v>184</v>
      </c>
      <c r="F471" s="1261"/>
      <c r="G471" s="1263"/>
      <c r="H471" s="165" t="s">
        <v>12</v>
      </c>
      <c r="I471" s="836"/>
      <c r="J471" s="836"/>
      <c r="K471" s="837"/>
      <c r="L471" s="837">
        <v>0</v>
      </c>
      <c r="M471" s="837">
        <v>0</v>
      </c>
      <c r="N471" s="837">
        <v>0</v>
      </c>
      <c r="O471" s="837">
        <f t="shared" si="207"/>
        <v>0</v>
      </c>
      <c r="P471" s="837">
        <f t="shared" si="208"/>
        <v>0</v>
      </c>
      <c r="Q471" s="1264"/>
      <c r="R471" s="1264"/>
      <c r="S471" s="1264"/>
      <c r="T471" s="1264"/>
      <c r="U471" s="1264"/>
      <c r="V471" s="1264"/>
      <c r="W471" s="1264"/>
      <c r="X471" s="1264"/>
      <c r="Y471" s="1264"/>
      <c r="Z471" s="1264"/>
    </row>
    <row r="472" spans="1:26" ht="18.75" hidden="1">
      <c r="A472" s="1260"/>
      <c r="B472" s="1265"/>
      <c r="C472" s="1261"/>
      <c r="D472" s="1262"/>
      <c r="E472" s="1261" t="s">
        <v>185</v>
      </c>
      <c r="F472" s="1261"/>
      <c r="G472" s="1263"/>
      <c r="H472" s="165" t="s">
        <v>12</v>
      </c>
      <c r="I472" s="836"/>
      <c r="J472" s="836"/>
      <c r="K472" s="837"/>
      <c r="L472" s="837">
        <f ca="1">IFERROR(__xludf.DUMMYFUNCTION("IMPORTRANGE(""https://docs.google.com/spreadsheets/d/1QqKyyYR6Q21VydFLVH3TRQUabQu_ym0Zz7PgGX0-kHA/edit?usp=sharing"",""แผน!FS25"")"),112825)</f>
        <v>112825</v>
      </c>
      <c r="M472" s="837">
        <v>0</v>
      </c>
      <c r="N472" s="837">
        <f>N473+N474+N475+N476</f>
        <v>29919</v>
      </c>
      <c r="O472" s="837">
        <f t="shared" ca="1" si="207"/>
        <v>26.51805894083758</v>
      </c>
      <c r="P472" s="837">
        <f t="shared" si="208"/>
        <v>0</v>
      </c>
      <c r="Q472" s="1264"/>
      <c r="R472" s="1264"/>
      <c r="S472" s="1264"/>
      <c r="T472" s="1264"/>
      <c r="U472" s="1264"/>
      <c r="V472" s="1264"/>
      <c r="W472" s="1264"/>
      <c r="X472" s="1264"/>
      <c r="Y472" s="1264"/>
      <c r="Z472" s="1264"/>
    </row>
    <row r="473" spans="1:26" ht="18.75">
      <c r="A473" s="1241"/>
      <c r="B473" s="1242"/>
      <c r="C473" s="1243"/>
      <c r="D473" s="1243"/>
      <c r="E473" s="1243"/>
      <c r="F473" s="1243" t="s">
        <v>186</v>
      </c>
      <c r="G473" s="963"/>
      <c r="H473" s="778" t="s">
        <v>12</v>
      </c>
      <c r="I473" s="830"/>
      <c r="J473" s="830"/>
      <c r="K473" s="831"/>
      <c r="L473" s="831"/>
      <c r="M473" s="831"/>
      <c r="N473" s="1031">
        <v>13095</v>
      </c>
      <c r="O473" s="831"/>
      <c r="P473" s="831"/>
      <c r="Q473" s="1244"/>
      <c r="R473" s="1244"/>
      <c r="S473" s="1244"/>
      <c r="T473" s="1244"/>
      <c r="U473" s="1244"/>
      <c r="V473" s="1244"/>
      <c r="W473" s="1244"/>
      <c r="X473" s="1244"/>
      <c r="Y473" s="1244"/>
      <c r="Z473" s="1244"/>
    </row>
    <row r="474" spans="1:26" ht="18.75">
      <c r="A474" s="1241"/>
      <c r="B474" s="1242"/>
      <c r="C474" s="1243"/>
      <c r="D474" s="1243"/>
      <c r="E474" s="1243"/>
      <c r="F474" s="1243" t="s">
        <v>187</v>
      </c>
      <c r="G474" s="963"/>
      <c r="H474" s="778" t="s">
        <v>12</v>
      </c>
      <c r="I474" s="830"/>
      <c r="J474" s="830"/>
      <c r="K474" s="831"/>
      <c r="L474" s="831"/>
      <c r="M474" s="831"/>
      <c r="N474" s="1031">
        <v>0</v>
      </c>
      <c r="O474" s="831"/>
      <c r="P474" s="831"/>
      <c r="Q474" s="1244"/>
      <c r="R474" s="1244"/>
      <c r="S474" s="1244"/>
      <c r="T474" s="1244"/>
      <c r="U474" s="1244"/>
      <c r="V474" s="1244"/>
      <c r="W474" s="1244"/>
      <c r="X474" s="1244"/>
      <c r="Y474" s="1244"/>
      <c r="Z474" s="1244"/>
    </row>
    <row r="475" spans="1:26" ht="18.75">
      <c r="A475" s="1241"/>
      <c r="B475" s="1242"/>
      <c r="C475" s="1242"/>
      <c r="D475" s="1242"/>
      <c r="E475" s="1242"/>
      <c r="F475" s="1243" t="s">
        <v>188</v>
      </c>
      <c r="G475" s="963"/>
      <c r="H475" s="778" t="s">
        <v>12</v>
      </c>
      <c r="I475" s="830"/>
      <c r="J475" s="830"/>
      <c r="K475" s="831"/>
      <c r="L475" s="831"/>
      <c r="M475" s="831"/>
      <c r="N475" s="1031">
        <v>0</v>
      </c>
      <c r="O475" s="831"/>
      <c r="P475" s="831"/>
      <c r="Q475" s="1244"/>
      <c r="R475" s="1244"/>
      <c r="S475" s="1244"/>
      <c r="T475" s="1244"/>
      <c r="U475" s="1244"/>
      <c r="V475" s="1244"/>
      <c r="W475" s="1244"/>
      <c r="X475" s="1244"/>
      <c r="Y475" s="1244"/>
      <c r="Z475" s="1244"/>
    </row>
    <row r="476" spans="1:26" ht="18.75">
      <c r="A476" s="1241"/>
      <c r="B476" s="1242"/>
      <c r="C476" s="1242"/>
      <c r="D476" s="1242"/>
      <c r="E476" s="1242"/>
      <c r="F476" s="1243" t="s">
        <v>189</v>
      </c>
      <c r="G476" s="963"/>
      <c r="H476" s="778" t="s">
        <v>12</v>
      </c>
      <c r="I476" s="830"/>
      <c r="J476" s="830"/>
      <c r="K476" s="831"/>
      <c r="L476" s="831"/>
      <c r="M476" s="831"/>
      <c r="N476" s="1031">
        <v>16824</v>
      </c>
      <c r="O476" s="831"/>
      <c r="P476" s="831"/>
      <c r="Q476" s="1244"/>
      <c r="R476" s="1244"/>
      <c r="S476" s="1244"/>
      <c r="T476" s="1244"/>
      <c r="U476" s="1244"/>
      <c r="V476" s="1244"/>
      <c r="W476" s="1244"/>
      <c r="X476" s="1244"/>
      <c r="Y476" s="1244"/>
      <c r="Z476" s="1244"/>
    </row>
    <row r="477" spans="1:26" ht="18.75">
      <c r="A477" s="1259"/>
      <c r="B477" s="1242"/>
      <c r="C477" s="1242"/>
      <c r="D477" s="1266" t="s">
        <v>21</v>
      </c>
      <c r="E477" s="1242"/>
      <c r="F477" s="1242"/>
      <c r="G477" s="963"/>
      <c r="H477" s="168" t="s">
        <v>12</v>
      </c>
      <c r="I477" s="944"/>
      <c r="J477" s="944"/>
      <c r="K477" s="945"/>
      <c r="L477" s="831">
        <f t="shared" ref="L477:N477" ca="1" si="211">L478+L479</f>
        <v>0</v>
      </c>
      <c r="M477" s="831">
        <f t="shared" si="211"/>
        <v>0</v>
      </c>
      <c r="N477" s="831">
        <f t="shared" si="211"/>
        <v>0</v>
      </c>
      <c r="O477" s="831">
        <f t="shared" ref="O477:O479" ca="1" si="212">IF(L477&gt;0,N477*100/L477,0)</f>
        <v>0</v>
      </c>
      <c r="P477" s="831">
        <f t="shared" ref="P477:P479" si="213">IF(M477&gt;0,N477*100/M477,0)</f>
        <v>0</v>
      </c>
      <c r="Q477" s="1244"/>
      <c r="R477" s="1244"/>
      <c r="S477" s="1244"/>
      <c r="T477" s="1244"/>
      <c r="U477" s="1244"/>
      <c r="V477" s="1244"/>
      <c r="W477" s="1244"/>
      <c r="X477" s="1244"/>
      <c r="Y477" s="1244"/>
      <c r="Z477" s="1244"/>
    </row>
    <row r="478" spans="1:26" ht="18.75" hidden="1">
      <c r="A478" s="1260"/>
      <c r="B478" s="1265"/>
      <c r="C478" s="1265"/>
      <c r="D478" s="1265"/>
      <c r="E478" s="1265" t="s">
        <v>18</v>
      </c>
      <c r="F478" s="1265"/>
      <c r="G478" s="1263"/>
      <c r="H478" s="165" t="s">
        <v>12</v>
      </c>
      <c r="I478" s="947"/>
      <c r="J478" s="947"/>
      <c r="K478" s="948"/>
      <c r="L478" s="837">
        <v>0</v>
      </c>
      <c r="M478" s="837">
        <v>0</v>
      </c>
      <c r="N478" s="837">
        <v>0</v>
      </c>
      <c r="O478" s="837">
        <f t="shared" si="212"/>
        <v>0</v>
      </c>
      <c r="P478" s="837">
        <f t="shared" si="213"/>
        <v>0</v>
      </c>
      <c r="Q478" s="1264"/>
      <c r="R478" s="1264"/>
      <c r="S478" s="1264"/>
      <c r="T478" s="1264"/>
      <c r="U478" s="1264"/>
      <c r="V478" s="1264"/>
      <c r="W478" s="1264"/>
      <c r="X478" s="1264"/>
      <c r="Y478" s="1264"/>
      <c r="Z478" s="1264"/>
    </row>
    <row r="479" spans="1:26" ht="18.75" hidden="1">
      <c r="A479" s="1260"/>
      <c r="B479" s="1265"/>
      <c r="C479" s="1265"/>
      <c r="D479" s="1265"/>
      <c r="E479" s="1265" t="s">
        <v>19</v>
      </c>
      <c r="F479" s="1265"/>
      <c r="G479" s="1263"/>
      <c r="H479" s="169" t="s">
        <v>12</v>
      </c>
      <c r="I479" s="947"/>
      <c r="J479" s="947"/>
      <c r="K479" s="948"/>
      <c r="L479" s="837">
        <f ca="1">IFERROR(__xludf.DUMMYFUNCTION("IMPORTRANGE(""https://docs.google.com/spreadsheets/d/1QqKyyYR6Q21VydFLVH3TRQUabQu_ym0Zz7PgGX0-kHA/edit?usp=sharing"",""แผน!FV25"")"),0)</f>
        <v>0</v>
      </c>
      <c r="M479" s="837">
        <v>0</v>
      </c>
      <c r="N479" s="837">
        <v>0</v>
      </c>
      <c r="O479" s="837">
        <f t="shared" ca="1" si="212"/>
        <v>0</v>
      </c>
      <c r="P479" s="837">
        <f t="shared" si="213"/>
        <v>0</v>
      </c>
      <c r="Q479" s="1264"/>
      <c r="R479" s="1264"/>
      <c r="S479" s="1264"/>
      <c r="T479" s="1264"/>
      <c r="U479" s="1264"/>
      <c r="V479" s="1264"/>
      <c r="W479" s="1264"/>
      <c r="X479" s="1264"/>
      <c r="Y479" s="1264"/>
      <c r="Z479" s="1264"/>
    </row>
    <row r="480" spans="1:26" ht="19.5">
      <c r="A480" s="1267"/>
      <c r="B480" s="1268"/>
      <c r="C480" s="1242" t="s">
        <v>16</v>
      </c>
      <c r="D480" s="1276" t="s">
        <v>38</v>
      </c>
      <c r="E480" s="1270"/>
      <c r="F480" s="1271"/>
      <c r="G480" s="1272"/>
      <c r="H480" s="954"/>
      <c r="I480" s="830"/>
      <c r="J480" s="830"/>
      <c r="K480" s="831"/>
      <c r="L480" s="831"/>
      <c r="M480" s="831"/>
      <c r="N480" s="831"/>
      <c r="O480" s="831"/>
      <c r="P480" s="831"/>
      <c r="Q480" s="1244"/>
      <c r="R480" s="1244"/>
      <c r="S480" s="1244"/>
      <c r="T480" s="1244"/>
      <c r="U480" s="1244"/>
      <c r="V480" s="1244"/>
      <c r="W480" s="1244"/>
      <c r="X480" s="1244"/>
      <c r="Y480" s="1244"/>
      <c r="Z480" s="1244"/>
    </row>
    <row r="481" spans="1:26" ht="19.5">
      <c r="A481" s="1267"/>
      <c r="B481" s="1268"/>
      <c r="C481" s="1268"/>
      <c r="D481" s="1277" t="s">
        <v>206</v>
      </c>
      <c r="E481" s="1268"/>
      <c r="F481" s="1268"/>
      <c r="G481" s="954"/>
      <c r="H481" s="963"/>
      <c r="I481" s="830"/>
      <c r="J481" s="830"/>
      <c r="K481" s="831"/>
      <c r="L481" s="831"/>
      <c r="M481" s="831"/>
      <c r="N481" s="831"/>
      <c r="O481" s="831"/>
      <c r="P481" s="831"/>
      <c r="Q481" s="1244"/>
      <c r="R481" s="1244"/>
      <c r="S481" s="1244"/>
      <c r="T481" s="1244"/>
      <c r="U481" s="1244"/>
      <c r="V481" s="1244"/>
      <c r="W481" s="1244"/>
      <c r="X481" s="1244"/>
      <c r="Y481" s="1244"/>
      <c r="Z481" s="1244"/>
    </row>
    <row r="482" spans="1:26" ht="18.75">
      <c r="A482" s="1267"/>
      <c r="B482" s="1268"/>
      <c r="C482" s="1268"/>
      <c r="D482" s="1268"/>
      <c r="E482" s="1268" t="s">
        <v>207</v>
      </c>
      <c r="F482" s="1268"/>
      <c r="G482" s="954"/>
      <c r="H482" s="963"/>
      <c r="I482" s="830"/>
      <c r="J482" s="830"/>
      <c r="K482" s="831"/>
      <c r="L482" s="831"/>
      <c r="M482" s="831"/>
      <c r="N482" s="831"/>
      <c r="O482" s="831"/>
      <c r="P482" s="831"/>
      <c r="Q482" s="1244"/>
      <c r="R482" s="1244"/>
      <c r="S482" s="1244"/>
      <c r="T482" s="1244"/>
      <c r="U482" s="1244"/>
      <c r="V482" s="1244"/>
      <c r="W482" s="1244"/>
      <c r="X482" s="1244"/>
      <c r="Y482" s="1244"/>
      <c r="Z482" s="1244"/>
    </row>
    <row r="483" spans="1:26" ht="18.75">
      <c r="A483" s="1267"/>
      <c r="B483" s="1268"/>
      <c r="C483" s="1268"/>
      <c r="D483" s="1268"/>
      <c r="E483" s="1268"/>
      <c r="F483" s="1268" t="s">
        <v>208</v>
      </c>
      <c r="G483" s="954"/>
      <c r="H483" s="590" t="s">
        <v>46</v>
      </c>
      <c r="I483" s="830">
        <f ca="1">IFERROR(__xludf.DUMMYFUNCTION("IMPORTRANGE(""https://docs.google.com/spreadsheets/d/1QqKyyYR6Q21VydFLVH3TRQUabQu_ym0Zz7PgGX0-kHA/edit?usp=sharing"",""แผน!FY25"")"),90)</f>
        <v>90</v>
      </c>
      <c r="J483" s="959">
        <v>7</v>
      </c>
      <c r="K483" s="831">
        <f ca="1">IF(I483&gt;0,J483*100/I483,0)</f>
        <v>7.7777777777777777</v>
      </c>
      <c r="L483" s="831"/>
      <c r="M483" s="831"/>
      <c r="N483" s="831"/>
      <c r="O483" s="831"/>
      <c r="P483" s="831"/>
      <c r="Q483" s="1244"/>
      <c r="R483" s="1244"/>
      <c r="S483" s="1244"/>
      <c r="T483" s="1244"/>
      <c r="U483" s="1244"/>
      <c r="V483" s="1244"/>
      <c r="W483" s="1244"/>
      <c r="X483" s="1244"/>
      <c r="Y483" s="1244"/>
      <c r="Z483" s="1244"/>
    </row>
    <row r="484" spans="1:26" ht="18.75">
      <c r="A484" s="1267"/>
      <c r="B484" s="1268"/>
      <c r="C484" s="1268"/>
      <c r="D484" s="1268"/>
      <c r="E484" s="1268"/>
      <c r="F484" s="1268" t="s">
        <v>209</v>
      </c>
      <c r="G484" s="954"/>
      <c r="H484" s="590" t="s">
        <v>35</v>
      </c>
      <c r="I484" s="830"/>
      <c r="J484" s="959">
        <v>0</v>
      </c>
      <c r="K484" s="831"/>
      <c r="L484" s="831"/>
      <c r="M484" s="831"/>
      <c r="N484" s="831"/>
      <c r="O484" s="831"/>
      <c r="P484" s="831"/>
      <c r="Q484" s="1244"/>
      <c r="R484" s="1244"/>
      <c r="S484" s="1244"/>
      <c r="T484" s="1244"/>
      <c r="U484" s="1244"/>
      <c r="V484" s="1244"/>
      <c r="W484" s="1244"/>
      <c r="X484" s="1244"/>
      <c r="Y484" s="1244"/>
      <c r="Z484" s="1244"/>
    </row>
    <row r="485" spans="1:26" ht="18.75">
      <c r="A485" s="1267"/>
      <c r="B485" s="1268"/>
      <c r="C485" s="1268"/>
      <c r="D485" s="1268"/>
      <c r="E485" s="1268"/>
      <c r="F485" s="1268" t="s">
        <v>210</v>
      </c>
      <c r="G485" s="954"/>
      <c r="H485" s="590" t="s">
        <v>35</v>
      </c>
      <c r="I485" s="830">
        <f ca="1">IFERROR(__xludf.DUMMYFUNCTION("IMPORTRANGE(""https://docs.google.com/spreadsheets/d/1QqKyyYR6Q21VydFLVH3TRQUabQu_ym0Zz7PgGX0-kHA/edit?usp=sharing"",""แผน!FZ25"")"),9)</f>
        <v>9</v>
      </c>
      <c r="J485" s="959">
        <v>9</v>
      </c>
      <c r="K485" s="831">
        <f ca="1">IF(I485&gt;0,J485*100/I485,0)</f>
        <v>100</v>
      </c>
      <c r="L485" s="831"/>
      <c r="M485" s="831"/>
      <c r="N485" s="831"/>
      <c r="O485" s="831"/>
      <c r="P485" s="831"/>
      <c r="Q485" s="1244"/>
      <c r="R485" s="1244"/>
      <c r="S485" s="1244"/>
      <c r="T485" s="1244"/>
      <c r="U485" s="1244"/>
      <c r="V485" s="1244"/>
      <c r="W485" s="1244"/>
      <c r="X485" s="1244"/>
      <c r="Y485" s="1244"/>
      <c r="Z485" s="1244"/>
    </row>
    <row r="486" spans="1:26" ht="18.75">
      <c r="A486" s="1267"/>
      <c r="B486" s="1268"/>
      <c r="C486" s="1268"/>
      <c r="D486" s="1268"/>
      <c r="E486" s="1268" t="s">
        <v>62</v>
      </c>
      <c r="F486" s="1268"/>
      <c r="G486" s="954"/>
      <c r="H486" s="590"/>
      <c r="I486" s="830"/>
      <c r="J486" s="830"/>
      <c r="K486" s="831"/>
      <c r="L486" s="831"/>
      <c r="M486" s="831"/>
      <c r="N486" s="831"/>
      <c r="O486" s="831"/>
      <c r="P486" s="831"/>
      <c r="Q486" s="1244"/>
      <c r="R486" s="1244"/>
      <c r="S486" s="1244"/>
      <c r="T486" s="1244"/>
      <c r="U486" s="1244"/>
      <c r="V486" s="1244"/>
      <c r="W486" s="1244"/>
      <c r="X486" s="1244"/>
      <c r="Y486" s="1244"/>
      <c r="Z486" s="1244"/>
    </row>
    <row r="487" spans="1:26" ht="18.75">
      <c r="A487" s="1267"/>
      <c r="B487" s="1268"/>
      <c r="C487" s="1268"/>
      <c r="D487" s="1268"/>
      <c r="E487" s="1268"/>
      <c r="F487" s="1268" t="s">
        <v>208</v>
      </c>
      <c r="G487" s="954"/>
      <c r="H487" s="590" t="s">
        <v>46</v>
      </c>
      <c r="I487" s="830">
        <f ca="1">IFERROR(__xludf.DUMMYFUNCTION("IMPORTRANGE(""https://docs.google.com/spreadsheets/d/1QqKyyYR6Q21VydFLVH3TRQUabQu_ym0Zz7PgGX0-kHA/edit?usp=sharing"",""แผน!GA25"")"),10)</f>
        <v>10</v>
      </c>
      <c r="J487" s="959">
        <v>7</v>
      </c>
      <c r="K487" s="831">
        <f ca="1">IF(I487&gt;0,J487*100/I487,0)</f>
        <v>70</v>
      </c>
      <c r="L487" s="831"/>
      <c r="M487" s="831"/>
      <c r="N487" s="831"/>
      <c r="O487" s="831"/>
      <c r="P487" s="831"/>
      <c r="Q487" s="1244"/>
      <c r="R487" s="1244"/>
      <c r="S487" s="1244"/>
      <c r="T487" s="1244"/>
      <c r="U487" s="1244"/>
      <c r="V487" s="1244"/>
      <c r="W487" s="1244"/>
      <c r="X487" s="1244"/>
      <c r="Y487" s="1244"/>
      <c r="Z487" s="1244"/>
    </row>
    <row r="488" spans="1:26" ht="18.75">
      <c r="A488" s="1267"/>
      <c r="B488" s="1268"/>
      <c r="C488" s="1268"/>
      <c r="D488" s="1268"/>
      <c r="E488" s="1268"/>
      <c r="F488" s="1268" t="s">
        <v>211</v>
      </c>
      <c r="G488" s="954"/>
      <c r="H488" s="590" t="s">
        <v>35</v>
      </c>
      <c r="I488" s="830"/>
      <c r="J488" s="959">
        <v>0</v>
      </c>
      <c r="K488" s="831"/>
      <c r="L488" s="831"/>
      <c r="M488" s="831"/>
      <c r="N488" s="831"/>
      <c r="O488" s="831"/>
      <c r="P488" s="831"/>
      <c r="Q488" s="1244"/>
      <c r="R488" s="1244"/>
      <c r="S488" s="1244"/>
      <c r="T488" s="1244"/>
      <c r="U488" s="1244"/>
      <c r="V488" s="1244"/>
      <c r="W488" s="1244"/>
      <c r="X488" s="1244"/>
      <c r="Y488" s="1244"/>
      <c r="Z488" s="1244"/>
    </row>
    <row r="489" spans="1:26" ht="18.75">
      <c r="A489" s="1267"/>
      <c r="B489" s="1268"/>
      <c r="C489" s="1268"/>
      <c r="D489" s="1268"/>
      <c r="E489" s="1268"/>
      <c r="F489" s="1268" t="s">
        <v>212</v>
      </c>
      <c r="G489" s="954"/>
      <c r="H489" s="590" t="s">
        <v>35</v>
      </c>
      <c r="I489" s="830">
        <f ca="1">IFERROR(__xludf.DUMMYFUNCTION("IMPORTRANGE(""https://docs.google.com/spreadsheets/d/1QqKyyYR6Q21VydFLVH3TRQUabQu_ym0Zz7PgGX0-kHA/edit?usp=sharing"",""แผน!GB25"")"),1)</f>
        <v>1</v>
      </c>
      <c r="J489" s="959">
        <v>1</v>
      </c>
      <c r="K489" s="831">
        <f ca="1">IF(I489&gt;0,J489*100/I489,0)</f>
        <v>100</v>
      </c>
      <c r="L489" s="831"/>
      <c r="M489" s="831"/>
      <c r="N489" s="831"/>
      <c r="O489" s="831"/>
      <c r="P489" s="831"/>
      <c r="Q489" s="1244"/>
      <c r="R489" s="1244"/>
      <c r="S489" s="1244"/>
      <c r="T489" s="1244"/>
      <c r="U489" s="1244"/>
      <c r="V489" s="1244"/>
      <c r="W489" s="1244"/>
      <c r="X489" s="1244"/>
      <c r="Y489" s="1244"/>
      <c r="Z489" s="1244"/>
    </row>
    <row r="490" spans="1:26" ht="18.75">
      <c r="A490" s="1267"/>
      <c r="B490" s="1268"/>
      <c r="C490" s="1268"/>
      <c r="D490" s="1268"/>
      <c r="E490" s="1268" t="s">
        <v>63</v>
      </c>
      <c r="F490" s="961"/>
      <c r="G490" s="954"/>
      <c r="H490" s="590"/>
      <c r="I490" s="830"/>
      <c r="J490" s="830"/>
      <c r="K490" s="831"/>
      <c r="L490" s="831"/>
      <c r="M490" s="831"/>
      <c r="N490" s="831"/>
      <c r="O490" s="831"/>
      <c r="P490" s="831"/>
      <c r="Q490" s="1244"/>
      <c r="R490" s="1244"/>
      <c r="S490" s="1244"/>
      <c r="T490" s="1244"/>
      <c r="U490" s="1244"/>
      <c r="V490" s="1244"/>
      <c r="W490" s="1244"/>
      <c r="X490" s="1244"/>
      <c r="Y490" s="1244"/>
      <c r="Z490" s="1244"/>
    </row>
    <row r="491" spans="1:26" ht="18.75">
      <c r="A491" s="1267"/>
      <c r="B491" s="1268"/>
      <c r="C491" s="1268"/>
      <c r="D491" s="1268"/>
      <c r="E491" s="1268"/>
      <c r="F491" s="1268" t="s">
        <v>213</v>
      </c>
      <c r="G491" s="954"/>
      <c r="H491" s="590" t="s">
        <v>35</v>
      </c>
      <c r="I491" s="830"/>
      <c r="J491" s="959">
        <v>0</v>
      </c>
      <c r="K491" s="831"/>
      <c r="L491" s="831"/>
      <c r="M491" s="831"/>
      <c r="N491" s="831"/>
      <c r="O491" s="831"/>
      <c r="P491" s="831"/>
      <c r="Q491" s="1244"/>
      <c r="R491" s="1244"/>
      <c r="S491" s="1244"/>
      <c r="T491" s="1244"/>
      <c r="U491" s="1244"/>
      <c r="V491" s="1244"/>
      <c r="W491" s="1244"/>
      <c r="X491" s="1244"/>
      <c r="Y491" s="1244"/>
      <c r="Z491" s="1244"/>
    </row>
    <row r="492" spans="1:26" ht="18.75">
      <c r="A492" s="1267"/>
      <c r="B492" s="1268"/>
      <c r="C492" s="1268"/>
      <c r="D492" s="1268"/>
      <c r="E492" s="1268"/>
      <c r="F492" s="1268" t="s">
        <v>214</v>
      </c>
      <c r="G492" s="954"/>
      <c r="H492" s="590" t="s">
        <v>35</v>
      </c>
      <c r="I492" s="830">
        <f ca="1">IFERROR(__xludf.DUMMYFUNCTION("IMPORTRANGE(""https://docs.google.com/spreadsheets/d/1QqKyyYR6Q21VydFLVH3TRQUabQu_ym0Zz7PgGX0-kHA/edit?usp=sharing"",""แผน!GC25"")"),1)</f>
        <v>1</v>
      </c>
      <c r="J492" s="959">
        <v>1</v>
      </c>
      <c r="K492" s="831">
        <f ca="1">IF(I492&gt;0,J492*100/I492,0)</f>
        <v>100</v>
      </c>
      <c r="L492" s="831"/>
      <c r="M492" s="831"/>
      <c r="N492" s="831"/>
      <c r="O492" s="831"/>
      <c r="P492" s="831"/>
      <c r="Q492" s="1244"/>
      <c r="R492" s="1244"/>
      <c r="S492" s="1244"/>
      <c r="T492" s="1244"/>
      <c r="U492" s="1244"/>
      <c r="V492" s="1244"/>
      <c r="W492" s="1244"/>
      <c r="X492" s="1244"/>
      <c r="Y492" s="1244"/>
      <c r="Z492" s="1244"/>
    </row>
    <row r="493" spans="1:26" ht="19.5">
      <c r="A493" s="1267"/>
      <c r="B493" s="1268"/>
      <c r="C493" s="1268"/>
      <c r="D493" s="1277" t="s">
        <v>59</v>
      </c>
      <c r="E493" s="1268"/>
      <c r="F493" s="961"/>
      <c r="G493" s="954"/>
      <c r="H493" s="963"/>
      <c r="I493" s="830"/>
      <c r="J493" s="830"/>
      <c r="K493" s="831"/>
      <c r="L493" s="831"/>
      <c r="M493" s="831"/>
      <c r="N493" s="831"/>
      <c r="O493" s="831"/>
      <c r="P493" s="831"/>
      <c r="Q493" s="1244"/>
      <c r="R493" s="1244"/>
      <c r="S493" s="1244"/>
      <c r="T493" s="1244"/>
      <c r="U493" s="1244"/>
      <c r="V493" s="1244"/>
      <c r="W493" s="1244"/>
      <c r="X493" s="1244"/>
      <c r="Y493" s="1244"/>
      <c r="Z493" s="1244"/>
    </row>
    <row r="494" spans="1:26" ht="18.75">
      <c r="A494" s="1267"/>
      <c r="B494" s="1268"/>
      <c r="C494" s="1268"/>
      <c r="D494" s="1268"/>
      <c r="E494" s="1268" t="s">
        <v>207</v>
      </c>
      <c r="F494" s="961"/>
      <c r="G494" s="954"/>
      <c r="H494" s="963"/>
      <c r="I494" s="830"/>
      <c r="J494" s="830"/>
      <c r="K494" s="831"/>
      <c r="L494" s="831"/>
      <c r="M494" s="831"/>
      <c r="N494" s="831"/>
      <c r="O494" s="831"/>
      <c r="P494" s="831"/>
      <c r="Q494" s="1244"/>
      <c r="R494" s="1244"/>
      <c r="S494" s="1244"/>
      <c r="T494" s="1244"/>
      <c r="U494" s="1244"/>
      <c r="V494" s="1244"/>
      <c r="W494" s="1244"/>
      <c r="X494" s="1244"/>
      <c r="Y494" s="1244"/>
      <c r="Z494" s="1244"/>
    </row>
    <row r="495" spans="1:26" ht="18.75">
      <c r="A495" s="1267"/>
      <c r="B495" s="1268"/>
      <c r="C495" s="1268"/>
      <c r="D495" s="1268"/>
      <c r="E495" s="1268"/>
      <c r="F495" s="961" t="s">
        <v>215</v>
      </c>
      <c r="G495" s="954"/>
      <c r="H495" s="590" t="s">
        <v>46</v>
      </c>
      <c r="I495" s="830">
        <f ca="1">IFERROR(__xludf.DUMMYFUNCTION("IMPORTRANGE(""https://docs.google.com/spreadsheets/d/1QqKyyYR6Q21VydFLVH3TRQUabQu_ym0Zz7PgGX0-kHA/edit?usp=sharing"",""แผน!FY25"")"),90)</f>
        <v>90</v>
      </c>
      <c r="J495" s="959">
        <v>0</v>
      </c>
      <c r="K495" s="831">
        <f ca="1">IF(I495&gt;0,J495*100/I495,0)</f>
        <v>0</v>
      </c>
      <c r="L495" s="831"/>
      <c r="M495" s="831"/>
      <c r="N495" s="831"/>
      <c r="O495" s="831"/>
      <c r="P495" s="831"/>
      <c r="Q495" s="1244"/>
      <c r="R495" s="1244"/>
      <c r="S495" s="1244"/>
      <c r="T495" s="1244"/>
      <c r="U495" s="1244"/>
      <c r="V495" s="1244"/>
      <c r="W495" s="1244"/>
      <c r="X495" s="1244"/>
      <c r="Y495" s="1244"/>
      <c r="Z495" s="1244"/>
    </row>
    <row r="496" spans="1:26" ht="18.75">
      <c r="A496" s="1267"/>
      <c r="B496" s="1268"/>
      <c r="C496" s="1268"/>
      <c r="D496" s="1268"/>
      <c r="E496" s="1268"/>
      <c r="F496" s="961" t="s">
        <v>216</v>
      </c>
      <c r="G496" s="954"/>
      <c r="H496" s="590" t="s">
        <v>46</v>
      </c>
      <c r="I496" s="830"/>
      <c r="J496" s="959">
        <v>0</v>
      </c>
      <c r="K496" s="831"/>
      <c r="L496" s="831"/>
      <c r="M496" s="831"/>
      <c r="N496" s="831"/>
      <c r="O496" s="831"/>
      <c r="P496" s="831"/>
      <c r="Q496" s="1244"/>
      <c r="R496" s="1244"/>
      <c r="S496" s="1244"/>
      <c r="T496" s="1244"/>
      <c r="U496" s="1244"/>
      <c r="V496" s="1244"/>
      <c r="W496" s="1244"/>
      <c r="X496" s="1244"/>
      <c r="Y496" s="1244"/>
      <c r="Z496" s="1244"/>
    </row>
    <row r="497" spans="1:26" ht="18.75">
      <c r="A497" s="1267"/>
      <c r="B497" s="1268"/>
      <c r="C497" s="1268"/>
      <c r="D497" s="1268"/>
      <c r="E497" s="1268" t="s">
        <v>62</v>
      </c>
      <c r="F497" s="961"/>
      <c r="G497" s="954"/>
      <c r="H497" s="963"/>
      <c r="I497" s="830"/>
      <c r="J497" s="830"/>
      <c r="K497" s="831"/>
      <c r="L497" s="831"/>
      <c r="M497" s="831"/>
      <c r="N497" s="831"/>
      <c r="O497" s="831"/>
      <c r="P497" s="831"/>
      <c r="Q497" s="1244"/>
      <c r="R497" s="1244"/>
      <c r="S497" s="1244"/>
      <c r="T497" s="1244"/>
      <c r="U497" s="1244"/>
      <c r="V497" s="1244"/>
      <c r="W497" s="1244"/>
      <c r="X497" s="1244"/>
      <c r="Y497" s="1244"/>
      <c r="Z497" s="1244"/>
    </row>
    <row r="498" spans="1:26" ht="18.75">
      <c r="A498" s="1267"/>
      <c r="B498" s="1268"/>
      <c r="C498" s="1268"/>
      <c r="D498" s="1268"/>
      <c r="E498" s="961"/>
      <c r="F498" s="961" t="s">
        <v>217</v>
      </c>
      <c r="G498" s="954"/>
      <c r="H498" s="590" t="s">
        <v>46</v>
      </c>
      <c r="I498" s="830">
        <f ca="1">IFERROR(__xludf.DUMMYFUNCTION("IMPORTRANGE(""https://docs.google.com/spreadsheets/d/1QqKyyYR6Q21VydFLVH3TRQUabQu_ym0Zz7PgGX0-kHA/edit?usp=sharing"",""แผน!GA25"")"),10)</f>
        <v>10</v>
      </c>
      <c r="J498" s="959">
        <v>0</v>
      </c>
      <c r="K498" s="831">
        <f ca="1">IF(I498&gt;0,J498*100/I498,0)</f>
        <v>0</v>
      </c>
      <c r="L498" s="831"/>
      <c r="M498" s="831"/>
      <c r="N498" s="831"/>
      <c r="O498" s="831"/>
      <c r="P498" s="831"/>
      <c r="Q498" s="1244"/>
      <c r="R498" s="1244"/>
      <c r="S498" s="1244"/>
      <c r="T498" s="1244"/>
      <c r="U498" s="1244"/>
      <c r="V498" s="1244"/>
      <c r="W498" s="1244"/>
      <c r="X498" s="1244"/>
      <c r="Y498" s="1244"/>
      <c r="Z498" s="1244"/>
    </row>
    <row r="499" spans="1:26" ht="18.75">
      <c r="A499" s="1267"/>
      <c r="B499" s="1268"/>
      <c r="C499" s="1268"/>
      <c r="D499" s="1268"/>
      <c r="E499" s="961"/>
      <c r="F499" s="961" t="s">
        <v>218</v>
      </c>
      <c r="G499" s="954"/>
      <c r="H499" s="590" t="s">
        <v>46</v>
      </c>
      <c r="I499" s="830"/>
      <c r="J499" s="959">
        <v>0</v>
      </c>
      <c r="K499" s="831"/>
      <c r="L499" s="831"/>
      <c r="M499" s="831"/>
      <c r="N499" s="831"/>
      <c r="O499" s="831"/>
      <c r="P499" s="831"/>
      <c r="Q499" s="1244"/>
      <c r="R499" s="1244"/>
      <c r="S499" s="1244"/>
      <c r="T499" s="1244"/>
      <c r="U499" s="1244"/>
      <c r="V499" s="1244"/>
      <c r="W499" s="1244"/>
      <c r="X499" s="1244"/>
      <c r="Y499" s="1244"/>
      <c r="Z499" s="1244"/>
    </row>
    <row r="500" spans="1:26" ht="19.5" hidden="1">
      <c r="A500" s="594">
        <v>4</v>
      </c>
      <c r="B500" s="1278" t="s">
        <v>219</v>
      </c>
      <c r="C500" s="1279"/>
      <c r="D500" s="1280"/>
      <c r="E500" s="1280"/>
      <c r="F500" s="1280"/>
      <c r="G500" s="1281"/>
      <c r="H500" s="599" t="s">
        <v>109</v>
      </c>
      <c r="I500" s="1282"/>
      <c r="J500" s="1282">
        <f t="shared" ref="J500:J501" si="214">J516</f>
        <v>0</v>
      </c>
      <c r="K500" s="1283">
        <f t="shared" ref="K500:K501" si="215">IF(I500&gt;0,J500*100/I500,0)</f>
        <v>0</v>
      </c>
      <c r="L500" s="1284"/>
      <c r="M500" s="1284"/>
      <c r="N500" s="1284"/>
      <c r="O500" s="1284"/>
      <c r="P500" s="1284"/>
      <c r="Q500" s="1264"/>
      <c r="R500" s="1264"/>
      <c r="S500" s="1264"/>
      <c r="T500" s="1264"/>
      <c r="U500" s="1264"/>
      <c r="V500" s="1264"/>
      <c r="W500" s="1264"/>
      <c r="X500" s="1264"/>
      <c r="Y500" s="1264"/>
      <c r="Z500" s="1264"/>
    </row>
    <row r="501" spans="1:26" ht="19.5" hidden="1">
      <c r="A501" s="1285"/>
      <c r="B501" s="1286" t="s">
        <v>220</v>
      </c>
      <c r="C501" s="1286"/>
      <c r="D501" s="1287"/>
      <c r="E501" s="1287"/>
      <c r="F501" s="1287"/>
      <c r="G501" s="1288"/>
      <c r="H501" s="608" t="s">
        <v>35</v>
      </c>
      <c r="I501" s="1289"/>
      <c r="J501" s="1289">
        <f t="shared" si="214"/>
        <v>0</v>
      </c>
      <c r="K501" s="1290">
        <f t="shared" si="215"/>
        <v>0</v>
      </c>
      <c r="L501" s="1291"/>
      <c r="M501" s="1291"/>
      <c r="N501" s="1291"/>
      <c r="O501" s="1291"/>
      <c r="P501" s="1291"/>
      <c r="Q501" s="1264"/>
      <c r="R501" s="1264"/>
      <c r="S501" s="1264"/>
      <c r="T501" s="1264"/>
      <c r="U501" s="1264"/>
      <c r="V501" s="1264"/>
      <c r="W501" s="1264"/>
      <c r="X501" s="1264"/>
      <c r="Y501" s="1264"/>
      <c r="Z501" s="1264"/>
    </row>
    <row r="502" spans="1:26" ht="19.5" hidden="1">
      <c r="A502" s="1260"/>
      <c r="B502" s="1261"/>
      <c r="C502" s="1261" t="s">
        <v>16</v>
      </c>
      <c r="D502" s="1508" t="s">
        <v>17</v>
      </c>
      <c r="E502" s="1485"/>
      <c r="F502" s="1485"/>
      <c r="G502" s="1263"/>
      <c r="H502" s="612" t="s">
        <v>12</v>
      </c>
      <c r="I502" s="836"/>
      <c r="J502" s="836"/>
      <c r="K502" s="837"/>
      <c r="L502" s="1292">
        <f t="shared" ref="L502:N502" si="216">L503+L504</f>
        <v>0</v>
      </c>
      <c r="M502" s="1292">
        <f t="shared" si="216"/>
        <v>0</v>
      </c>
      <c r="N502" s="1292">
        <f t="shared" si="216"/>
        <v>0</v>
      </c>
      <c r="O502" s="1292">
        <f t="shared" ref="O502:O507" si="217">IF(L502&gt;0,N502*100/L502,0)</f>
        <v>0</v>
      </c>
      <c r="P502" s="1292">
        <f t="shared" ref="P502:P507" si="218">IF(M502&gt;0,N502*100/M502,0)</f>
        <v>0</v>
      </c>
      <c r="Q502" s="1264"/>
      <c r="R502" s="1264"/>
      <c r="S502" s="1264"/>
      <c r="T502" s="1264"/>
      <c r="U502" s="1264"/>
      <c r="V502" s="1264"/>
      <c r="W502" s="1264"/>
      <c r="X502" s="1264"/>
      <c r="Y502" s="1264"/>
      <c r="Z502" s="1264"/>
    </row>
    <row r="503" spans="1:26" ht="18.75" hidden="1">
      <c r="A503" s="1260"/>
      <c r="B503" s="1261"/>
      <c r="C503" s="1261"/>
      <c r="D503" s="1262"/>
      <c r="E503" s="1261" t="s">
        <v>184</v>
      </c>
      <c r="F503" s="1261"/>
      <c r="G503" s="1263"/>
      <c r="H503" s="165" t="s">
        <v>12</v>
      </c>
      <c r="I503" s="836"/>
      <c r="J503" s="836"/>
      <c r="K503" s="837"/>
      <c r="L503" s="837">
        <f t="shared" ref="L503:N504" si="219">L506+L513</f>
        <v>0</v>
      </c>
      <c r="M503" s="837">
        <f t="shared" si="219"/>
        <v>0</v>
      </c>
      <c r="N503" s="837">
        <f t="shared" si="219"/>
        <v>0</v>
      </c>
      <c r="O503" s="837">
        <f t="shared" si="217"/>
        <v>0</v>
      </c>
      <c r="P503" s="837">
        <f t="shared" si="218"/>
        <v>0</v>
      </c>
      <c r="Q503" s="1264"/>
      <c r="R503" s="1264"/>
      <c r="S503" s="1264"/>
      <c r="T503" s="1264"/>
      <c r="U503" s="1264"/>
      <c r="V503" s="1264"/>
      <c r="W503" s="1264"/>
      <c r="X503" s="1264"/>
      <c r="Y503" s="1264"/>
      <c r="Z503" s="1264"/>
    </row>
    <row r="504" spans="1:26" ht="18.75" hidden="1">
      <c r="A504" s="1260"/>
      <c r="B504" s="1265"/>
      <c r="C504" s="1261"/>
      <c r="D504" s="1262"/>
      <c r="E504" s="1261" t="s">
        <v>185</v>
      </c>
      <c r="F504" s="1261"/>
      <c r="G504" s="1263"/>
      <c r="H504" s="165" t="s">
        <v>12</v>
      </c>
      <c r="I504" s="836"/>
      <c r="J504" s="836"/>
      <c r="K504" s="837"/>
      <c r="L504" s="837">
        <f t="shared" si="219"/>
        <v>0</v>
      </c>
      <c r="M504" s="837">
        <f t="shared" si="219"/>
        <v>0</v>
      </c>
      <c r="N504" s="837">
        <f t="shared" si="219"/>
        <v>0</v>
      </c>
      <c r="O504" s="837">
        <f t="shared" si="217"/>
        <v>0</v>
      </c>
      <c r="P504" s="837">
        <f t="shared" si="218"/>
        <v>0</v>
      </c>
      <c r="Q504" s="1264"/>
      <c r="R504" s="1264"/>
      <c r="S504" s="1264"/>
      <c r="T504" s="1264"/>
      <c r="U504" s="1264"/>
      <c r="V504" s="1264"/>
      <c r="W504" s="1264"/>
      <c r="X504" s="1264"/>
      <c r="Y504" s="1264"/>
      <c r="Z504" s="1264"/>
    </row>
    <row r="505" spans="1:26" ht="18.75" hidden="1">
      <c r="A505" s="1260"/>
      <c r="B505" s="1265"/>
      <c r="C505" s="1261"/>
      <c r="D505" s="1293" t="s">
        <v>20</v>
      </c>
      <c r="E505" s="1261"/>
      <c r="F505" s="1261"/>
      <c r="G505" s="1263"/>
      <c r="H505" s="165" t="s">
        <v>12</v>
      </c>
      <c r="I505" s="947"/>
      <c r="J505" s="947"/>
      <c r="K505" s="948"/>
      <c r="L505" s="837">
        <f t="shared" ref="L505:N505" si="220">L506+L507</f>
        <v>0</v>
      </c>
      <c r="M505" s="837">
        <f t="shared" si="220"/>
        <v>0</v>
      </c>
      <c r="N505" s="837">
        <f t="shared" si="220"/>
        <v>0</v>
      </c>
      <c r="O505" s="837">
        <f t="shared" si="217"/>
        <v>0</v>
      </c>
      <c r="P505" s="837">
        <f t="shared" si="218"/>
        <v>0</v>
      </c>
      <c r="Q505" s="1264"/>
      <c r="R505" s="1264"/>
      <c r="S505" s="1264"/>
      <c r="T505" s="1264"/>
      <c r="U505" s="1264"/>
      <c r="V505" s="1264"/>
      <c r="W505" s="1264"/>
      <c r="X505" s="1264"/>
      <c r="Y505" s="1264"/>
      <c r="Z505" s="1264"/>
    </row>
    <row r="506" spans="1:26" ht="18.75" hidden="1">
      <c r="A506" s="1260"/>
      <c r="B506" s="1265"/>
      <c r="C506" s="1261"/>
      <c r="D506" s="1262"/>
      <c r="E506" s="1261" t="s">
        <v>184</v>
      </c>
      <c r="F506" s="1261"/>
      <c r="G506" s="1263"/>
      <c r="H506" s="165" t="s">
        <v>12</v>
      </c>
      <c r="I506" s="836"/>
      <c r="J506" s="836"/>
      <c r="K506" s="837"/>
      <c r="L506" s="837">
        <v>0</v>
      </c>
      <c r="M506" s="837">
        <v>0</v>
      </c>
      <c r="N506" s="837">
        <v>0</v>
      </c>
      <c r="O506" s="837">
        <f t="shared" si="217"/>
        <v>0</v>
      </c>
      <c r="P506" s="837">
        <f t="shared" si="218"/>
        <v>0</v>
      </c>
      <c r="Q506" s="1264"/>
      <c r="R506" s="1264"/>
      <c r="S506" s="1264"/>
      <c r="T506" s="1264"/>
      <c r="U506" s="1264"/>
      <c r="V506" s="1264"/>
      <c r="W506" s="1264"/>
      <c r="X506" s="1264"/>
      <c r="Y506" s="1264"/>
      <c r="Z506" s="1264"/>
    </row>
    <row r="507" spans="1:26" ht="18.75" hidden="1">
      <c r="A507" s="1260"/>
      <c r="B507" s="1265"/>
      <c r="C507" s="1261"/>
      <c r="D507" s="1262"/>
      <c r="E507" s="1261" t="s">
        <v>185</v>
      </c>
      <c r="F507" s="1261"/>
      <c r="G507" s="1263"/>
      <c r="H507" s="165" t="s">
        <v>12</v>
      </c>
      <c r="I507" s="836"/>
      <c r="J507" s="836"/>
      <c r="K507" s="837"/>
      <c r="L507" s="837">
        <v>0</v>
      </c>
      <c r="M507" s="837">
        <v>0</v>
      </c>
      <c r="N507" s="837">
        <f>N508+N509+N510+N511</f>
        <v>0</v>
      </c>
      <c r="O507" s="837">
        <f t="shared" si="217"/>
        <v>0</v>
      </c>
      <c r="P507" s="837">
        <f t="shared" si="218"/>
        <v>0</v>
      </c>
      <c r="Q507" s="1264"/>
      <c r="R507" s="1264"/>
      <c r="S507" s="1264"/>
      <c r="T507" s="1264"/>
      <c r="U507" s="1264"/>
      <c r="V507" s="1264"/>
      <c r="W507" s="1264"/>
      <c r="X507" s="1264"/>
      <c r="Y507" s="1264"/>
      <c r="Z507" s="1264"/>
    </row>
    <row r="508" spans="1:26" ht="18.75" hidden="1">
      <c r="A508" s="1294"/>
      <c r="B508" s="1265"/>
      <c r="C508" s="1261"/>
      <c r="D508" s="1261"/>
      <c r="E508" s="1261"/>
      <c r="F508" s="1261" t="s">
        <v>186</v>
      </c>
      <c r="G508" s="1263"/>
      <c r="H508" s="165" t="s">
        <v>12</v>
      </c>
      <c r="I508" s="836"/>
      <c r="J508" s="836"/>
      <c r="K508" s="837"/>
      <c r="L508" s="837"/>
      <c r="M508" s="837"/>
      <c r="N508" s="837">
        <v>0</v>
      </c>
      <c r="O508" s="837"/>
      <c r="P508" s="837"/>
      <c r="Q508" s="1264"/>
      <c r="R508" s="1264"/>
      <c r="S508" s="1264"/>
      <c r="T508" s="1264"/>
      <c r="U508" s="1264"/>
      <c r="V508" s="1264"/>
      <c r="W508" s="1264"/>
      <c r="X508" s="1264"/>
      <c r="Y508" s="1264"/>
      <c r="Z508" s="1264"/>
    </row>
    <row r="509" spans="1:26" ht="18.75" hidden="1">
      <c r="A509" s="1294"/>
      <c r="B509" s="1265"/>
      <c r="C509" s="1261"/>
      <c r="D509" s="1261"/>
      <c r="E509" s="1261"/>
      <c r="F509" s="1261" t="s">
        <v>187</v>
      </c>
      <c r="G509" s="1263"/>
      <c r="H509" s="165" t="s">
        <v>12</v>
      </c>
      <c r="I509" s="836"/>
      <c r="J509" s="836"/>
      <c r="K509" s="837"/>
      <c r="L509" s="837"/>
      <c r="M509" s="837"/>
      <c r="N509" s="837">
        <v>0</v>
      </c>
      <c r="O509" s="837"/>
      <c r="P509" s="837"/>
      <c r="Q509" s="1264"/>
      <c r="R509" s="1264"/>
      <c r="S509" s="1264"/>
      <c r="T509" s="1264"/>
      <c r="U509" s="1264"/>
      <c r="V509" s="1264"/>
      <c r="W509" s="1264"/>
      <c r="X509" s="1264"/>
      <c r="Y509" s="1264"/>
      <c r="Z509" s="1264"/>
    </row>
    <row r="510" spans="1:26" ht="18.75" hidden="1">
      <c r="A510" s="1294"/>
      <c r="B510" s="1265"/>
      <c r="C510" s="1265"/>
      <c r="D510" s="1265"/>
      <c r="E510" s="1261"/>
      <c r="F510" s="1261" t="s">
        <v>188</v>
      </c>
      <c r="G510" s="1263"/>
      <c r="H510" s="165" t="s">
        <v>12</v>
      </c>
      <c r="I510" s="836"/>
      <c r="J510" s="836"/>
      <c r="K510" s="837"/>
      <c r="L510" s="837"/>
      <c r="M510" s="837"/>
      <c r="N510" s="837">
        <v>0</v>
      </c>
      <c r="O510" s="837"/>
      <c r="P510" s="837"/>
      <c r="Q510" s="1264"/>
      <c r="R510" s="1264"/>
      <c r="S510" s="1264"/>
      <c r="T510" s="1264"/>
      <c r="U510" s="1264"/>
      <c r="V510" s="1264"/>
      <c r="W510" s="1264"/>
      <c r="X510" s="1264"/>
      <c r="Y510" s="1264"/>
      <c r="Z510" s="1264"/>
    </row>
    <row r="511" spans="1:26" ht="18.75" hidden="1">
      <c r="A511" s="1294"/>
      <c r="B511" s="1265"/>
      <c r="C511" s="1265"/>
      <c r="D511" s="1265"/>
      <c r="E511" s="1261"/>
      <c r="F511" s="1261" t="s">
        <v>189</v>
      </c>
      <c r="G511" s="1263"/>
      <c r="H511" s="165" t="s">
        <v>12</v>
      </c>
      <c r="I511" s="836"/>
      <c r="J511" s="836"/>
      <c r="K511" s="837"/>
      <c r="L511" s="837"/>
      <c r="M511" s="837"/>
      <c r="N511" s="837">
        <v>0</v>
      </c>
      <c r="O511" s="837"/>
      <c r="P511" s="837"/>
      <c r="Q511" s="1264"/>
      <c r="R511" s="1264"/>
      <c r="S511" s="1264"/>
      <c r="T511" s="1264"/>
      <c r="U511" s="1264"/>
      <c r="V511" s="1264"/>
      <c r="W511" s="1264"/>
      <c r="X511" s="1264"/>
      <c r="Y511" s="1264"/>
      <c r="Z511" s="1264"/>
    </row>
    <row r="512" spans="1:26" ht="18.75" hidden="1">
      <c r="A512" s="1260"/>
      <c r="B512" s="1265"/>
      <c r="C512" s="1265"/>
      <c r="D512" s="1293" t="s">
        <v>21</v>
      </c>
      <c r="E512" s="1265"/>
      <c r="F512" s="1261"/>
      <c r="G512" s="1263"/>
      <c r="H512" s="169" t="s">
        <v>12</v>
      </c>
      <c r="I512" s="947"/>
      <c r="J512" s="947"/>
      <c r="K512" s="948"/>
      <c r="L512" s="837">
        <f t="shared" ref="L512:N512" si="221">L513+L514</f>
        <v>0</v>
      </c>
      <c r="M512" s="837">
        <f t="shared" si="221"/>
        <v>0</v>
      </c>
      <c r="N512" s="837">
        <f t="shared" si="221"/>
        <v>0</v>
      </c>
      <c r="O512" s="837">
        <f t="shared" ref="O512:O514" si="222">IF(L512&gt;0,N512*100/L512,0)</f>
        <v>0</v>
      </c>
      <c r="P512" s="837">
        <f t="shared" ref="P512:P514" si="223">IF(M512&gt;0,N512*100/M512,0)</f>
        <v>0</v>
      </c>
      <c r="Q512" s="1264"/>
      <c r="R512" s="1264"/>
      <c r="S512" s="1264"/>
      <c r="T512" s="1264"/>
      <c r="U512" s="1264"/>
      <c r="V512" s="1264"/>
      <c r="W512" s="1264"/>
      <c r="X512" s="1264"/>
      <c r="Y512" s="1264"/>
      <c r="Z512" s="1264"/>
    </row>
    <row r="513" spans="1:26" ht="18.75" hidden="1">
      <c r="A513" s="1260"/>
      <c r="B513" s="1265"/>
      <c r="C513" s="1265"/>
      <c r="D513" s="1265"/>
      <c r="E513" s="1265" t="s">
        <v>18</v>
      </c>
      <c r="F513" s="1261"/>
      <c r="G513" s="1263"/>
      <c r="H513" s="165" t="s">
        <v>12</v>
      </c>
      <c r="I513" s="947"/>
      <c r="J513" s="947"/>
      <c r="K513" s="948"/>
      <c r="L513" s="837">
        <v>0</v>
      </c>
      <c r="M513" s="837">
        <v>0</v>
      </c>
      <c r="N513" s="837">
        <v>0</v>
      </c>
      <c r="O513" s="837">
        <f t="shared" si="222"/>
        <v>0</v>
      </c>
      <c r="P513" s="837">
        <f t="shared" si="223"/>
        <v>0</v>
      </c>
      <c r="Q513" s="1264"/>
      <c r="R513" s="1264"/>
      <c r="S513" s="1264"/>
      <c r="T513" s="1264"/>
      <c r="U513" s="1264"/>
      <c r="V513" s="1264"/>
      <c r="W513" s="1264"/>
      <c r="X513" s="1264"/>
      <c r="Y513" s="1264"/>
      <c r="Z513" s="1264"/>
    </row>
    <row r="514" spans="1:26" ht="18.75" hidden="1">
      <c r="A514" s="1260"/>
      <c r="B514" s="1265"/>
      <c r="C514" s="1265"/>
      <c r="D514" s="1261"/>
      <c r="E514" s="1265" t="s">
        <v>19</v>
      </c>
      <c r="F514" s="1261"/>
      <c r="G514" s="1263"/>
      <c r="H514" s="169" t="s">
        <v>12</v>
      </c>
      <c r="I514" s="947"/>
      <c r="J514" s="947"/>
      <c r="K514" s="948"/>
      <c r="L514" s="837">
        <v>0</v>
      </c>
      <c r="M514" s="837">
        <v>0</v>
      </c>
      <c r="N514" s="837">
        <v>0</v>
      </c>
      <c r="O514" s="837">
        <f t="shared" si="222"/>
        <v>0</v>
      </c>
      <c r="P514" s="837">
        <f t="shared" si="223"/>
        <v>0</v>
      </c>
      <c r="Q514" s="1264"/>
      <c r="R514" s="1264"/>
      <c r="S514" s="1264"/>
      <c r="T514" s="1264"/>
      <c r="U514" s="1264"/>
      <c r="V514" s="1264"/>
      <c r="W514" s="1264"/>
      <c r="X514" s="1264"/>
      <c r="Y514" s="1264"/>
      <c r="Z514" s="1264"/>
    </row>
    <row r="515" spans="1:26" ht="19.5" hidden="1">
      <c r="A515" s="1273"/>
      <c r="B515" s="1274"/>
      <c r="C515" s="1265" t="s">
        <v>16</v>
      </c>
      <c r="D515" s="1295" t="s">
        <v>38</v>
      </c>
      <c r="E515" s="1296"/>
      <c r="F515" s="1296"/>
      <c r="G515" s="1297"/>
      <c r="H515" s="1060"/>
      <c r="I515" s="947"/>
      <c r="J515" s="947"/>
      <c r="K515" s="948"/>
      <c r="L515" s="948"/>
      <c r="M515" s="948"/>
      <c r="N515" s="948"/>
      <c r="O515" s="948"/>
      <c r="P515" s="948"/>
      <c r="Q515" s="1264"/>
      <c r="R515" s="1264"/>
      <c r="S515" s="1264"/>
      <c r="T515" s="1264"/>
      <c r="U515" s="1264"/>
      <c r="V515" s="1264"/>
      <c r="W515" s="1264"/>
      <c r="X515" s="1264"/>
      <c r="Y515" s="1264"/>
      <c r="Z515" s="1264"/>
    </row>
    <row r="516" spans="1:26" ht="18.75" hidden="1">
      <c r="A516" s="1273"/>
      <c r="B516" s="1274"/>
      <c r="C516" s="1274"/>
      <c r="D516" s="1274" t="s">
        <v>221</v>
      </c>
      <c r="E516" s="1262"/>
      <c r="F516" s="1262"/>
      <c r="G516" s="1060"/>
      <c r="H516" s="619" t="s">
        <v>109</v>
      </c>
      <c r="I516" s="836"/>
      <c r="J516" s="836">
        <v>0</v>
      </c>
      <c r="K516" s="948">
        <f t="shared" ref="K516:K517" si="224">IF(I516&gt;0,J516*100/I516,0)</f>
        <v>0</v>
      </c>
      <c r="L516" s="948"/>
      <c r="M516" s="948"/>
      <c r="N516" s="948"/>
      <c r="O516" s="948"/>
      <c r="P516" s="948"/>
      <c r="Q516" s="1264"/>
      <c r="R516" s="1264"/>
      <c r="S516" s="1264"/>
      <c r="T516" s="1264"/>
      <c r="U516" s="1264"/>
      <c r="V516" s="1264"/>
      <c r="W516" s="1264"/>
      <c r="X516" s="1264"/>
      <c r="Y516" s="1264"/>
      <c r="Z516" s="1264"/>
    </row>
    <row r="517" spans="1:26" ht="19.5" hidden="1">
      <c r="A517" s="1273"/>
      <c r="B517" s="1274"/>
      <c r="C517" s="1274"/>
      <c r="D517" s="1274" t="s">
        <v>222</v>
      </c>
      <c r="E517" s="1262"/>
      <c r="F517" s="1262"/>
      <c r="G517" s="1060"/>
      <c r="H517" s="620" t="s">
        <v>35</v>
      </c>
      <c r="I517" s="1298"/>
      <c r="J517" s="1298">
        <f>J518+J519</f>
        <v>0</v>
      </c>
      <c r="K517" s="1299">
        <f t="shared" si="224"/>
        <v>0</v>
      </c>
      <c r="L517" s="948"/>
      <c r="M517" s="948"/>
      <c r="N517" s="948"/>
      <c r="O517" s="948"/>
      <c r="P517" s="948"/>
      <c r="Q517" s="1264"/>
      <c r="R517" s="1264"/>
      <c r="S517" s="1264"/>
      <c r="T517" s="1264"/>
      <c r="U517" s="1264"/>
      <c r="V517" s="1264"/>
      <c r="W517" s="1264"/>
      <c r="X517" s="1264"/>
      <c r="Y517" s="1264"/>
      <c r="Z517" s="1264"/>
    </row>
    <row r="518" spans="1:26" ht="18.75" hidden="1">
      <c r="A518" s="1273"/>
      <c r="B518" s="1274"/>
      <c r="C518" s="1274"/>
      <c r="D518" s="1274"/>
      <c r="E518" s="1274" t="s">
        <v>223</v>
      </c>
      <c r="F518" s="1262"/>
      <c r="G518" s="1060"/>
      <c r="H518" s="583" t="s">
        <v>35</v>
      </c>
      <c r="I518" s="836"/>
      <c r="J518" s="836"/>
      <c r="K518" s="948"/>
      <c r="L518" s="948"/>
      <c r="M518" s="948"/>
      <c r="N518" s="948"/>
      <c r="O518" s="948"/>
      <c r="P518" s="948"/>
      <c r="Q518" s="1264"/>
      <c r="R518" s="1264"/>
      <c r="S518" s="1264"/>
      <c r="T518" s="1264"/>
      <c r="U518" s="1264"/>
      <c r="V518" s="1264"/>
      <c r="W518" s="1264"/>
      <c r="X518" s="1264"/>
      <c r="Y518" s="1264"/>
      <c r="Z518" s="1264"/>
    </row>
    <row r="519" spans="1:26" ht="18.75" hidden="1">
      <c r="A519" s="1273"/>
      <c r="B519" s="1274"/>
      <c r="C519" s="1274"/>
      <c r="D519" s="1274"/>
      <c r="E519" s="1274" t="s">
        <v>224</v>
      </c>
      <c r="F519" s="1262"/>
      <c r="G519" s="1060"/>
      <c r="H519" s="619" t="s">
        <v>35</v>
      </c>
      <c r="I519" s="836"/>
      <c r="J519" s="836"/>
      <c r="K519" s="948"/>
      <c r="L519" s="948"/>
      <c r="M519" s="948"/>
      <c r="N519" s="948"/>
      <c r="O519" s="948"/>
      <c r="P519" s="948"/>
      <c r="Q519" s="1264"/>
      <c r="R519" s="1264"/>
      <c r="S519" s="1264"/>
      <c r="T519" s="1264"/>
      <c r="U519" s="1264"/>
      <c r="V519" s="1264"/>
      <c r="W519" s="1264"/>
      <c r="X519" s="1264"/>
      <c r="Y519" s="1264"/>
      <c r="Z519" s="1264"/>
    </row>
    <row r="520" spans="1:26" ht="19.5">
      <c r="A520" s="1300" t="s">
        <v>137</v>
      </c>
      <c r="B520" s="1301"/>
      <c r="C520" s="1301"/>
      <c r="D520" s="1302"/>
      <c r="E520" s="1302"/>
      <c r="F520" s="1302"/>
      <c r="G520" s="1303"/>
      <c r="H520" s="1304"/>
      <c r="I520" s="1305"/>
      <c r="J520" s="1305"/>
      <c r="K520" s="1306"/>
      <c r="L520" s="1306"/>
      <c r="M520" s="1306"/>
      <c r="N520" s="1306"/>
      <c r="O520" s="1306"/>
      <c r="P520" s="1306"/>
    </row>
    <row r="521" spans="1:26" ht="19.5" hidden="1">
      <c r="A521" s="630">
        <v>5</v>
      </c>
      <c r="B521" s="1307" t="s">
        <v>225</v>
      </c>
      <c r="C521" s="1308"/>
      <c r="D521" s="1309"/>
      <c r="E521" s="1309"/>
      <c r="F521" s="1309"/>
      <c r="G521" s="1309"/>
      <c r="H521" s="1310"/>
      <c r="I521" s="1311"/>
      <c r="J521" s="1311"/>
      <c r="K521" s="1312"/>
      <c r="L521" s="1312"/>
      <c r="M521" s="1312"/>
      <c r="N521" s="1312"/>
      <c r="O521" s="1312"/>
      <c r="P521" s="1312"/>
      <c r="Q521" s="1244"/>
      <c r="R521" s="1244"/>
      <c r="S521" s="1244"/>
      <c r="T521" s="1244"/>
      <c r="U521" s="1244"/>
      <c r="V521" s="1244"/>
      <c r="W521" s="1244"/>
      <c r="X521" s="1244"/>
      <c r="Y521" s="1244"/>
      <c r="Z521" s="1244"/>
    </row>
    <row r="522" spans="1:26" ht="19.5" hidden="1">
      <c r="A522" s="1313"/>
      <c r="B522" s="1314" t="s">
        <v>226</v>
      </c>
      <c r="C522" s="1315"/>
      <c r="D522" s="1315"/>
      <c r="E522" s="1315"/>
      <c r="F522" s="1315"/>
      <c r="G522" s="1316"/>
      <c r="H522" s="641" t="s">
        <v>35</v>
      </c>
      <c r="I522" s="1317">
        <f t="shared" ref="I522:J522" ca="1" si="225">I537</f>
        <v>0</v>
      </c>
      <c r="J522" s="1317">
        <f t="shared" ca="1" si="225"/>
        <v>0</v>
      </c>
      <c r="K522" s="1318">
        <f ca="1">IF(I522&gt;0,J522*100/I522,0)</f>
        <v>0</v>
      </c>
      <c r="L522" s="1319"/>
      <c r="M522" s="1319"/>
      <c r="N522" s="1319"/>
      <c r="O522" s="1319"/>
      <c r="P522" s="1319"/>
      <c r="Q522" s="1244"/>
      <c r="R522" s="1244"/>
      <c r="S522" s="1244"/>
      <c r="T522" s="1244"/>
      <c r="U522" s="1244"/>
      <c r="V522" s="1244"/>
      <c r="W522" s="1244"/>
      <c r="X522" s="1244"/>
      <c r="Y522" s="1244"/>
      <c r="Z522" s="1244"/>
    </row>
    <row r="523" spans="1:26" ht="19.5" hidden="1">
      <c r="A523" s="1259"/>
      <c r="B523" s="1243"/>
      <c r="C523" s="1243" t="s">
        <v>16</v>
      </c>
      <c r="D523" s="1507" t="s">
        <v>17</v>
      </c>
      <c r="E523" s="1485"/>
      <c r="F523" s="1485"/>
      <c r="G523" s="963"/>
      <c r="H523" s="563" t="s">
        <v>12</v>
      </c>
      <c r="I523" s="830"/>
      <c r="J523" s="830"/>
      <c r="K523" s="831"/>
      <c r="L523" s="967">
        <f t="shared" ref="L523:N523" ca="1" si="226">L524+L525</f>
        <v>0</v>
      </c>
      <c r="M523" s="967">
        <f t="shared" si="226"/>
        <v>0</v>
      </c>
      <c r="N523" s="967">
        <f t="shared" si="226"/>
        <v>0</v>
      </c>
      <c r="O523" s="967">
        <f t="shared" ref="O523:O528" ca="1" si="227">IF(L523&gt;0,N523*100/L523,0)</f>
        <v>0</v>
      </c>
      <c r="P523" s="967">
        <f t="shared" ref="P523:P528" si="228">IF(M523&gt;0,N523*100/M523,0)</f>
        <v>0</v>
      </c>
      <c r="Q523" s="1244"/>
      <c r="R523" s="1244"/>
      <c r="S523" s="1244"/>
      <c r="T523" s="1244"/>
      <c r="U523" s="1244"/>
      <c r="V523" s="1244"/>
      <c r="W523" s="1244"/>
      <c r="X523" s="1244"/>
      <c r="Y523" s="1244"/>
      <c r="Z523" s="1244"/>
    </row>
    <row r="524" spans="1:26" ht="18.75" hidden="1">
      <c r="A524" s="1260"/>
      <c r="B524" s="1261"/>
      <c r="C524" s="1261"/>
      <c r="D524" s="1262"/>
      <c r="E524" s="1261" t="s">
        <v>184</v>
      </c>
      <c r="F524" s="1261"/>
      <c r="G524" s="1263"/>
      <c r="H524" s="165" t="s">
        <v>12</v>
      </c>
      <c r="I524" s="836"/>
      <c r="J524" s="836"/>
      <c r="K524" s="837"/>
      <c r="L524" s="837">
        <f t="shared" ref="L524:N525" si="229">L527+L534</f>
        <v>0</v>
      </c>
      <c r="M524" s="837">
        <f t="shared" si="229"/>
        <v>0</v>
      </c>
      <c r="N524" s="837">
        <f t="shared" si="229"/>
        <v>0</v>
      </c>
      <c r="O524" s="837">
        <f t="shared" si="227"/>
        <v>0</v>
      </c>
      <c r="P524" s="837">
        <f t="shared" si="228"/>
        <v>0</v>
      </c>
      <c r="Q524" s="1264"/>
      <c r="R524" s="1264"/>
      <c r="S524" s="1264"/>
      <c r="T524" s="1264"/>
      <c r="U524" s="1264"/>
      <c r="V524" s="1264"/>
      <c r="W524" s="1264"/>
      <c r="X524" s="1264"/>
      <c r="Y524" s="1264"/>
      <c r="Z524" s="1264"/>
    </row>
    <row r="525" spans="1:26" ht="18.75" hidden="1">
      <c r="A525" s="1260"/>
      <c r="B525" s="1265"/>
      <c r="C525" s="1261"/>
      <c r="D525" s="1262"/>
      <c r="E525" s="1261" t="s">
        <v>185</v>
      </c>
      <c r="F525" s="1261"/>
      <c r="G525" s="1263"/>
      <c r="H525" s="165" t="s">
        <v>12</v>
      </c>
      <c r="I525" s="836"/>
      <c r="J525" s="836"/>
      <c r="K525" s="837"/>
      <c r="L525" s="837">
        <f t="shared" ca="1" si="229"/>
        <v>0</v>
      </c>
      <c r="M525" s="837">
        <f t="shared" si="229"/>
        <v>0</v>
      </c>
      <c r="N525" s="837">
        <f t="shared" si="229"/>
        <v>0</v>
      </c>
      <c r="O525" s="837">
        <f t="shared" ca="1" si="227"/>
        <v>0</v>
      </c>
      <c r="P525" s="837">
        <f t="shared" si="228"/>
        <v>0</v>
      </c>
      <c r="Q525" s="1264"/>
      <c r="R525" s="1264"/>
      <c r="S525" s="1264"/>
      <c r="T525" s="1264"/>
      <c r="U525" s="1264"/>
      <c r="V525" s="1264"/>
      <c r="W525" s="1264"/>
      <c r="X525" s="1264"/>
      <c r="Y525" s="1264"/>
      <c r="Z525" s="1264"/>
    </row>
    <row r="526" spans="1:26" ht="18.75" hidden="1">
      <c r="A526" s="1259"/>
      <c r="B526" s="1242"/>
      <c r="C526" s="1243"/>
      <c r="D526" s="1266" t="s">
        <v>20</v>
      </c>
      <c r="E526" s="1243"/>
      <c r="F526" s="1243"/>
      <c r="G526" s="963"/>
      <c r="H526" s="778" t="s">
        <v>12</v>
      </c>
      <c r="I526" s="944"/>
      <c r="J526" s="944"/>
      <c r="K526" s="945"/>
      <c r="L526" s="831">
        <f t="shared" ref="L526:N526" ca="1" si="230">L527+L528</f>
        <v>0</v>
      </c>
      <c r="M526" s="831">
        <f t="shared" si="230"/>
        <v>0</v>
      </c>
      <c r="N526" s="831">
        <f t="shared" si="230"/>
        <v>0</v>
      </c>
      <c r="O526" s="831">
        <f t="shared" ca="1" si="227"/>
        <v>0</v>
      </c>
      <c r="P526" s="831">
        <f t="shared" si="228"/>
        <v>0</v>
      </c>
      <c r="Q526" s="1244"/>
      <c r="R526" s="1244"/>
      <c r="S526" s="1244"/>
      <c r="T526" s="1244"/>
      <c r="U526" s="1244"/>
      <c r="V526" s="1244"/>
      <c r="W526" s="1244"/>
      <c r="X526" s="1244"/>
      <c r="Y526" s="1244"/>
      <c r="Z526" s="1244"/>
    </row>
    <row r="527" spans="1:26" ht="18.75" hidden="1">
      <c r="A527" s="1260"/>
      <c r="B527" s="1265"/>
      <c r="C527" s="1261"/>
      <c r="D527" s="1262"/>
      <c r="E527" s="1261" t="s">
        <v>184</v>
      </c>
      <c r="F527" s="1261"/>
      <c r="G527" s="1263"/>
      <c r="H527" s="165" t="s">
        <v>12</v>
      </c>
      <c r="I527" s="836"/>
      <c r="J527" s="836"/>
      <c r="K527" s="837"/>
      <c r="L527" s="837">
        <v>0</v>
      </c>
      <c r="M527" s="837">
        <v>0</v>
      </c>
      <c r="N527" s="837">
        <v>0</v>
      </c>
      <c r="O527" s="837">
        <f t="shared" si="227"/>
        <v>0</v>
      </c>
      <c r="P527" s="837">
        <f t="shared" si="228"/>
        <v>0</v>
      </c>
      <c r="Q527" s="1264"/>
      <c r="R527" s="1264"/>
      <c r="S527" s="1264"/>
      <c r="T527" s="1264"/>
      <c r="U527" s="1264"/>
      <c r="V527" s="1264"/>
      <c r="W527" s="1264"/>
      <c r="X527" s="1264"/>
      <c r="Y527" s="1264"/>
      <c r="Z527" s="1264"/>
    </row>
    <row r="528" spans="1:26" ht="18.75" hidden="1">
      <c r="A528" s="1260"/>
      <c r="B528" s="1265"/>
      <c r="C528" s="1261"/>
      <c r="D528" s="1262"/>
      <c r="E528" s="1261" t="s">
        <v>185</v>
      </c>
      <c r="F528" s="1261"/>
      <c r="G528" s="1263"/>
      <c r="H528" s="165" t="s">
        <v>12</v>
      </c>
      <c r="I528" s="836"/>
      <c r="J528" s="836"/>
      <c r="K528" s="837"/>
      <c r="L528" s="837">
        <f ca="1">IFERROR(__xludf.DUMMYFUNCTION("IMPORTRANGE(""https://docs.google.com/spreadsheets/d/1QqKyyYR6Q21VydFLVH3TRQUabQu_ym0Zz7PgGX0-kHA/edit?usp=sharing"",""แผน!GQ25"")"),0)</f>
        <v>0</v>
      </c>
      <c r="M528" s="837">
        <v>0</v>
      </c>
      <c r="N528" s="837">
        <f>N529+N530+N531+N532</f>
        <v>0</v>
      </c>
      <c r="O528" s="837">
        <f t="shared" ca="1" si="227"/>
        <v>0</v>
      </c>
      <c r="P528" s="837">
        <f t="shared" si="228"/>
        <v>0</v>
      </c>
      <c r="Q528" s="1264"/>
      <c r="R528" s="1264"/>
      <c r="S528" s="1264"/>
      <c r="T528" s="1264"/>
      <c r="U528" s="1264"/>
      <c r="V528" s="1264"/>
      <c r="W528" s="1264"/>
      <c r="X528" s="1264"/>
      <c r="Y528" s="1264"/>
      <c r="Z528" s="1264"/>
    </row>
    <row r="529" spans="1:26" ht="18.75" hidden="1">
      <c r="A529" s="1241"/>
      <c r="B529" s="1242"/>
      <c r="C529" s="1243"/>
      <c r="D529" s="1243"/>
      <c r="E529" s="1243"/>
      <c r="F529" s="1243" t="s">
        <v>186</v>
      </c>
      <c r="G529" s="963"/>
      <c r="H529" s="778" t="s">
        <v>12</v>
      </c>
      <c r="I529" s="830"/>
      <c r="J529" s="830"/>
      <c r="K529" s="831"/>
      <c r="L529" s="831"/>
      <c r="M529" s="831"/>
      <c r="N529" s="1031">
        <v>0</v>
      </c>
      <c r="O529" s="831"/>
      <c r="P529" s="831"/>
      <c r="Q529" s="1244"/>
      <c r="R529" s="1244"/>
      <c r="S529" s="1244"/>
      <c r="T529" s="1244"/>
      <c r="U529" s="1244"/>
      <c r="V529" s="1244"/>
      <c r="W529" s="1244"/>
      <c r="X529" s="1244"/>
      <c r="Y529" s="1244"/>
      <c r="Z529" s="1244"/>
    </row>
    <row r="530" spans="1:26" ht="18.75" hidden="1">
      <c r="A530" s="1241"/>
      <c r="B530" s="1242"/>
      <c r="C530" s="1243"/>
      <c r="D530" s="1243"/>
      <c r="E530" s="1243"/>
      <c r="F530" s="1243" t="s">
        <v>187</v>
      </c>
      <c r="G530" s="963"/>
      <c r="H530" s="778" t="s">
        <v>12</v>
      </c>
      <c r="I530" s="830"/>
      <c r="J530" s="830"/>
      <c r="K530" s="831"/>
      <c r="L530" s="831"/>
      <c r="M530" s="831"/>
      <c r="N530" s="1031">
        <v>0</v>
      </c>
      <c r="O530" s="831"/>
      <c r="P530" s="831"/>
      <c r="Q530" s="1244"/>
      <c r="R530" s="1244"/>
      <c r="S530" s="1244"/>
      <c r="T530" s="1244"/>
      <c r="U530" s="1244"/>
      <c r="V530" s="1244"/>
      <c r="W530" s="1244"/>
      <c r="X530" s="1244"/>
      <c r="Y530" s="1244"/>
      <c r="Z530" s="1244"/>
    </row>
    <row r="531" spans="1:26" ht="18.75" hidden="1">
      <c r="A531" s="1241"/>
      <c r="B531" s="1242"/>
      <c r="C531" s="1243"/>
      <c r="D531" s="1243"/>
      <c r="E531" s="1243"/>
      <c r="F531" s="1243" t="s">
        <v>188</v>
      </c>
      <c r="G531" s="963"/>
      <c r="H531" s="778" t="s">
        <v>12</v>
      </c>
      <c r="I531" s="830"/>
      <c r="J531" s="830"/>
      <c r="K531" s="831"/>
      <c r="L531" s="831"/>
      <c r="M531" s="831"/>
      <c r="N531" s="1031">
        <v>0</v>
      </c>
      <c r="O531" s="831"/>
      <c r="P531" s="831"/>
      <c r="Q531" s="1244"/>
      <c r="R531" s="1244"/>
      <c r="S531" s="1244"/>
      <c r="T531" s="1244"/>
      <c r="U531" s="1244"/>
      <c r="V531" s="1244"/>
      <c r="W531" s="1244"/>
      <c r="X531" s="1244"/>
      <c r="Y531" s="1244"/>
      <c r="Z531" s="1244"/>
    </row>
    <row r="532" spans="1:26" ht="18.75" hidden="1">
      <c r="A532" s="1241"/>
      <c r="B532" s="1242"/>
      <c r="C532" s="1243"/>
      <c r="D532" s="1243"/>
      <c r="E532" s="1243"/>
      <c r="F532" s="1243" t="s">
        <v>189</v>
      </c>
      <c r="G532" s="963"/>
      <c r="H532" s="778" t="s">
        <v>12</v>
      </c>
      <c r="I532" s="830"/>
      <c r="J532" s="830"/>
      <c r="K532" s="831"/>
      <c r="L532" s="831"/>
      <c r="M532" s="831"/>
      <c r="N532" s="1031">
        <v>0</v>
      </c>
      <c r="O532" s="831"/>
      <c r="P532" s="831"/>
      <c r="Q532" s="1244"/>
      <c r="R532" s="1244"/>
      <c r="S532" s="1244"/>
      <c r="T532" s="1244"/>
      <c r="U532" s="1244"/>
      <c r="V532" s="1244"/>
      <c r="W532" s="1244"/>
      <c r="X532" s="1244"/>
      <c r="Y532" s="1244"/>
      <c r="Z532" s="1244"/>
    </row>
    <row r="533" spans="1:26" ht="18.75" hidden="1">
      <c r="A533" s="1259"/>
      <c r="B533" s="1242"/>
      <c r="C533" s="1243"/>
      <c r="D533" s="1266" t="s">
        <v>21</v>
      </c>
      <c r="E533" s="1243"/>
      <c r="F533" s="1243"/>
      <c r="G533" s="963"/>
      <c r="H533" s="168" t="s">
        <v>12</v>
      </c>
      <c r="I533" s="944"/>
      <c r="J533" s="944"/>
      <c r="K533" s="945"/>
      <c r="L533" s="831">
        <f t="shared" ref="L533:N533" ca="1" si="231">L534+L535</f>
        <v>0</v>
      </c>
      <c r="M533" s="831">
        <f t="shared" si="231"/>
        <v>0</v>
      </c>
      <c r="N533" s="831">
        <f t="shared" si="231"/>
        <v>0</v>
      </c>
      <c r="O533" s="831">
        <f t="shared" ref="O533:O535" ca="1" si="232">IF(L533&gt;0,N533*100/L533,0)</f>
        <v>0</v>
      </c>
      <c r="P533" s="831">
        <f t="shared" ref="P533:P535" si="233">IF(M533&gt;0,N533*100/M533,0)</f>
        <v>0</v>
      </c>
      <c r="Q533" s="1244"/>
      <c r="R533" s="1244"/>
      <c r="S533" s="1244"/>
      <c r="T533" s="1244"/>
      <c r="U533" s="1244"/>
      <c r="V533" s="1244"/>
      <c r="W533" s="1244"/>
      <c r="X533" s="1244"/>
      <c r="Y533" s="1244"/>
      <c r="Z533" s="1244"/>
    </row>
    <row r="534" spans="1:26" ht="18.75" hidden="1">
      <c r="A534" s="1260"/>
      <c r="B534" s="1265"/>
      <c r="C534" s="1261"/>
      <c r="D534" s="1261"/>
      <c r="E534" s="1261" t="s">
        <v>18</v>
      </c>
      <c r="F534" s="1261"/>
      <c r="G534" s="1263"/>
      <c r="H534" s="165" t="s">
        <v>12</v>
      </c>
      <c r="I534" s="947"/>
      <c r="J534" s="947"/>
      <c r="K534" s="948"/>
      <c r="L534" s="837">
        <v>0</v>
      </c>
      <c r="M534" s="837">
        <v>0</v>
      </c>
      <c r="N534" s="837">
        <v>0</v>
      </c>
      <c r="O534" s="837">
        <f t="shared" si="232"/>
        <v>0</v>
      </c>
      <c r="P534" s="837">
        <f t="shared" si="233"/>
        <v>0</v>
      </c>
      <c r="Q534" s="1264"/>
      <c r="R534" s="1264"/>
      <c r="S534" s="1264"/>
      <c r="T534" s="1264"/>
      <c r="U534" s="1264"/>
      <c r="V534" s="1264"/>
      <c r="W534" s="1264"/>
      <c r="X534" s="1264"/>
      <c r="Y534" s="1264"/>
      <c r="Z534" s="1264"/>
    </row>
    <row r="535" spans="1:26" ht="18.75" hidden="1">
      <c r="A535" s="1260"/>
      <c r="B535" s="1265"/>
      <c r="C535" s="1261"/>
      <c r="D535" s="1261"/>
      <c r="E535" s="1261" t="s">
        <v>19</v>
      </c>
      <c r="F535" s="1261"/>
      <c r="G535" s="1263"/>
      <c r="H535" s="169" t="s">
        <v>12</v>
      </c>
      <c r="I535" s="947"/>
      <c r="J535" s="947"/>
      <c r="K535" s="948"/>
      <c r="L535" s="837">
        <f ca="1">IFERROR(__xludf.DUMMYFUNCTION("IMPORTRANGE(""https://docs.google.com/spreadsheets/d/1QqKyyYR6Q21VydFLVH3TRQUabQu_ym0Zz7PgGX0-kHA/edit?usp=sharing"",""แผน!GT25"")"),0)</f>
        <v>0</v>
      </c>
      <c r="M535" s="837">
        <v>0</v>
      </c>
      <c r="N535" s="837">
        <v>0</v>
      </c>
      <c r="O535" s="837">
        <f t="shared" ca="1" si="232"/>
        <v>0</v>
      </c>
      <c r="P535" s="837">
        <f t="shared" si="233"/>
        <v>0</v>
      </c>
      <c r="Q535" s="1264"/>
      <c r="R535" s="1264"/>
      <c r="S535" s="1264"/>
      <c r="T535" s="1264"/>
      <c r="U535" s="1264"/>
      <c r="V535" s="1264"/>
      <c r="W535" s="1264"/>
      <c r="X535" s="1264"/>
      <c r="Y535" s="1264"/>
      <c r="Z535" s="1264"/>
    </row>
    <row r="536" spans="1:26" ht="19.5" hidden="1">
      <c r="A536" s="1267"/>
      <c r="B536" s="1268"/>
      <c r="C536" s="1243" t="s">
        <v>16</v>
      </c>
      <c r="D536" s="1320" t="s">
        <v>38</v>
      </c>
      <c r="E536" s="1271"/>
      <c r="F536" s="1271"/>
      <c r="G536" s="1272"/>
      <c r="H536" s="954"/>
      <c r="I536" s="944"/>
      <c r="J536" s="944"/>
      <c r="K536" s="945"/>
      <c r="L536" s="945"/>
      <c r="M536" s="945"/>
      <c r="N536" s="945"/>
      <c r="O536" s="945"/>
      <c r="P536" s="945"/>
      <c r="Q536" s="1244"/>
      <c r="R536" s="1244"/>
      <c r="S536" s="1244"/>
      <c r="T536" s="1244"/>
      <c r="U536" s="1244"/>
      <c r="V536" s="1244"/>
      <c r="W536" s="1244"/>
      <c r="X536" s="1244"/>
      <c r="Y536" s="1244"/>
      <c r="Z536" s="1244"/>
    </row>
    <row r="537" spans="1:26" ht="19.5" hidden="1">
      <c r="A537" s="1241"/>
      <c r="B537" s="1242"/>
      <c r="C537" s="1243"/>
      <c r="D537" s="1243" t="s">
        <v>227</v>
      </c>
      <c r="E537" s="1243"/>
      <c r="F537" s="1243"/>
      <c r="G537" s="963"/>
      <c r="H537" s="590" t="s">
        <v>35</v>
      </c>
      <c r="I537" s="966">
        <f ca="1">IFERROR(__xludf.DUMMYFUNCTION("IMPORTRANGE(""https://docs.google.com/spreadsheets/d/1QqKyyYR6Q21VydFLVH3TRQUabQu_ym0Zz7PgGX0-kHA/edit?usp=sharing"",""แผน!GU25"")"),0)</f>
        <v>0</v>
      </c>
      <c r="J537" s="966">
        <f ca="1">IF(AND(J538=I538,J539=I539,J540=I540,J541=I541),I537,0)</f>
        <v>0</v>
      </c>
      <c r="K537" s="831">
        <f t="shared" ref="K537:K543" ca="1" si="234">IF(I537&gt;0,J537*100/I537,0)</f>
        <v>0</v>
      </c>
      <c r="L537" s="831"/>
      <c r="M537" s="831"/>
      <c r="N537" s="831"/>
      <c r="O537" s="831"/>
      <c r="P537" s="831"/>
      <c r="Q537" s="1321"/>
      <c r="R537" s="1321"/>
      <c r="S537" s="1321"/>
      <c r="T537" s="1321"/>
      <c r="U537" s="1321"/>
      <c r="V537" s="1321"/>
      <c r="W537" s="1321"/>
      <c r="X537" s="1321"/>
      <c r="Y537" s="1321"/>
      <c r="Z537" s="1321"/>
    </row>
    <row r="538" spans="1:26" ht="18.75" hidden="1">
      <c r="A538" s="1241"/>
      <c r="B538" s="1242"/>
      <c r="C538" s="1243"/>
      <c r="D538" s="1243"/>
      <c r="E538" s="1243" t="s">
        <v>228</v>
      </c>
      <c r="F538" s="1243"/>
      <c r="G538" s="963"/>
      <c r="H538" s="590" t="s">
        <v>35</v>
      </c>
      <c r="I538" s="830">
        <f ca="1">IFERROR(__xludf.DUMMYFUNCTION("IMPORTRANGE(""https://docs.google.com/spreadsheets/d/1QqKyyYR6Q21VydFLVH3TRQUabQu_ym0Zz7PgGX0-kHA/edit?usp=sharing"",""แผน!GV25"")"),0)</f>
        <v>0</v>
      </c>
      <c r="J538" s="959">
        <v>0</v>
      </c>
      <c r="K538" s="831">
        <f t="shared" ca="1" si="234"/>
        <v>0</v>
      </c>
      <c r="L538" s="831"/>
      <c r="M538" s="831"/>
      <c r="N538" s="831"/>
      <c r="O538" s="831"/>
      <c r="P538" s="831"/>
      <c r="Q538" s="1321"/>
      <c r="R538" s="1321"/>
      <c r="S538" s="1321"/>
      <c r="T538" s="1321"/>
      <c r="U538" s="1321"/>
      <c r="V538" s="1321"/>
      <c r="W538" s="1321"/>
      <c r="X538" s="1321"/>
      <c r="Y538" s="1321"/>
      <c r="Z538" s="1321"/>
    </row>
    <row r="539" spans="1:26" ht="18.75" hidden="1">
      <c r="A539" s="1241"/>
      <c r="B539" s="1242"/>
      <c r="C539" s="1243"/>
      <c r="D539" s="1243"/>
      <c r="E539" s="1243" t="s">
        <v>229</v>
      </c>
      <c r="F539" s="1243"/>
      <c r="G539" s="963"/>
      <c r="H539" s="590" t="s">
        <v>35</v>
      </c>
      <c r="I539" s="830">
        <f ca="1">IFERROR(__xludf.DUMMYFUNCTION("IMPORTRANGE(""https://docs.google.com/spreadsheets/d/1QqKyyYR6Q21VydFLVH3TRQUabQu_ym0Zz7PgGX0-kHA/edit?usp=sharing"",""แผน!GW25"")"),0)</f>
        <v>0</v>
      </c>
      <c r="J539" s="959">
        <v>0</v>
      </c>
      <c r="K539" s="831">
        <f t="shared" ca="1" si="234"/>
        <v>0</v>
      </c>
      <c r="L539" s="831"/>
      <c r="M539" s="831"/>
      <c r="N539" s="831"/>
      <c r="O539" s="831"/>
      <c r="P539" s="831"/>
      <c r="Q539" s="1321"/>
      <c r="R539" s="1321"/>
      <c r="S539" s="1321"/>
      <c r="T539" s="1321"/>
      <c r="U539" s="1321"/>
      <c r="V539" s="1321"/>
      <c r="W539" s="1321"/>
      <c r="X539" s="1321"/>
      <c r="Y539" s="1321"/>
      <c r="Z539" s="1321"/>
    </row>
    <row r="540" spans="1:26" ht="18.75" hidden="1">
      <c r="A540" s="1241"/>
      <c r="B540" s="1242"/>
      <c r="C540" s="1243"/>
      <c r="D540" s="1243"/>
      <c r="E540" s="1243" t="s">
        <v>230</v>
      </c>
      <c r="F540" s="1243"/>
      <c r="G540" s="963"/>
      <c r="H540" s="590" t="s">
        <v>35</v>
      </c>
      <c r="I540" s="830">
        <f ca="1">IFERROR(__xludf.DUMMYFUNCTION("IMPORTRANGE(""https://docs.google.com/spreadsheets/d/1QqKyyYR6Q21VydFLVH3TRQUabQu_ym0Zz7PgGX0-kHA/edit?usp=sharing"",""แผน!GX25"")"),0)</f>
        <v>0</v>
      </c>
      <c r="J540" s="959">
        <v>0</v>
      </c>
      <c r="K540" s="831">
        <f t="shared" ca="1" si="234"/>
        <v>0</v>
      </c>
      <c r="L540" s="831"/>
      <c r="M540" s="831"/>
      <c r="N540" s="831"/>
      <c r="O540" s="831"/>
      <c r="P540" s="831"/>
      <c r="Q540" s="1321"/>
      <c r="R540" s="1321"/>
      <c r="S540" s="1321"/>
      <c r="T540" s="1321"/>
      <c r="U540" s="1321"/>
      <c r="V540" s="1321"/>
      <c r="W540" s="1321"/>
      <c r="X540" s="1321"/>
      <c r="Y540" s="1321"/>
      <c r="Z540" s="1321"/>
    </row>
    <row r="541" spans="1:26" ht="18.75" hidden="1">
      <c r="A541" s="1241"/>
      <c r="B541" s="1242"/>
      <c r="C541" s="1243"/>
      <c r="D541" s="1243"/>
      <c r="E541" s="1322" t="s">
        <v>231</v>
      </c>
      <c r="F541" s="1243"/>
      <c r="G541" s="963"/>
      <c r="H541" s="590" t="s">
        <v>35</v>
      </c>
      <c r="I541" s="830">
        <f ca="1">IFERROR(__xludf.DUMMYFUNCTION("IMPORTRANGE(""https://docs.google.com/spreadsheets/d/1QqKyyYR6Q21VydFLVH3TRQUabQu_ym0Zz7PgGX0-kHA/edit?usp=sharing"",""แผน!GY25"")"),0)</f>
        <v>0</v>
      </c>
      <c r="J541" s="959">
        <v>0</v>
      </c>
      <c r="K541" s="831">
        <f t="shared" ca="1" si="234"/>
        <v>0</v>
      </c>
      <c r="L541" s="831"/>
      <c r="M541" s="831"/>
      <c r="N541" s="831"/>
      <c r="O541" s="831"/>
      <c r="P541" s="831"/>
      <c r="Q541" s="1321"/>
      <c r="R541" s="1321"/>
      <c r="S541" s="1321"/>
      <c r="T541" s="1321"/>
      <c r="U541" s="1321"/>
      <c r="V541" s="1321"/>
      <c r="W541" s="1321"/>
      <c r="X541" s="1321"/>
      <c r="Y541" s="1321"/>
      <c r="Z541" s="1321"/>
    </row>
    <row r="542" spans="1:26" ht="18.75" hidden="1">
      <c r="A542" s="1241"/>
      <c r="B542" s="1242"/>
      <c r="C542" s="1243"/>
      <c r="D542" s="1243" t="s">
        <v>59</v>
      </c>
      <c r="E542" s="1243"/>
      <c r="F542" s="1243"/>
      <c r="G542" s="963"/>
      <c r="H542" s="590" t="s">
        <v>35</v>
      </c>
      <c r="I542" s="830">
        <f ca="1">IFERROR(__xludf.DUMMYFUNCTION("IMPORTRANGE(""https://docs.google.com/spreadsheets/d/1QqKyyYR6Q21VydFLVH3TRQUabQu_ym0Zz7PgGX0-kHA/edit?usp=sharing"",""แผน!GZ25"")"),0)</f>
        <v>0</v>
      </c>
      <c r="J542" s="959">
        <v>0</v>
      </c>
      <c r="K542" s="831">
        <f t="shared" ca="1" si="234"/>
        <v>0</v>
      </c>
      <c r="L542" s="831"/>
      <c r="M542" s="831"/>
      <c r="N542" s="831"/>
      <c r="O542" s="831"/>
      <c r="P542" s="831"/>
      <c r="Q542" s="1321"/>
      <c r="R542" s="1321"/>
      <c r="S542" s="1321"/>
      <c r="T542" s="1321"/>
      <c r="U542" s="1321"/>
      <c r="V542" s="1321"/>
      <c r="W542" s="1321"/>
      <c r="X542" s="1321"/>
      <c r="Y542" s="1321"/>
      <c r="Z542" s="1321"/>
    </row>
    <row r="543" spans="1:26" ht="19.5">
      <c r="A543" s="630">
        <v>6</v>
      </c>
      <c r="B543" s="1323" t="s">
        <v>232</v>
      </c>
      <c r="C543" s="1309"/>
      <c r="D543" s="1309"/>
      <c r="E543" s="1309"/>
      <c r="F543" s="1309"/>
      <c r="G543" s="1310"/>
      <c r="H543" s="652" t="s">
        <v>46</v>
      </c>
      <c r="I543" s="1324">
        <f t="shared" ref="I543:J543" ca="1" si="235">I559</f>
        <v>0</v>
      </c>
      <c r="J543" s="1324">
        <f t="shared" si="235"/>
        <v>0</v>
      </c>
      <c r="K543" s="1325">
        <f t="shared" ca="1" si="234"/>
        <v>0</v>
      </c>
      <c r="L543" s="1312"/>
      <c r="M543" s="1312"/>
      <c r="N543" s="1312"/>
      <c r="O543" s="1312"/>
      <c r="P543" s="1312"/>
      <c r="Q543" s="1244"/>
      <c r="R543" s="1244"/>
      <c r="S543" s="1244"/>
      <c r="T543" s="1244"/>
      <c r="U543" s="1244"/>
      <c r="V543" s="1244"/>
      <c r="W543" s="1244"/>
      <c r="X543" s="1244"/>
      <c r="Y543" s="1244"/>
      <c r="Z543" s="1244"/>
    </row>
    <row r="544" spans="1:26" ht="19.5">
      <c r="A544" s="1326"/>
      <c r="B544" s="1327"/>
      <c r="C544" s="1327" t="s">
        <v>16</v>
      </c>
      <c r="D544" s="1511" t="s">
        <v>17</v>
      </c>
      <c r="E544" s="1487"/>
      <c r="F544" s="1487"/>
      <c r="G544" s="1328"/>
      <c r="H544" s="275" t="s">
        <v>12</v>
      </c>
      <c r="I544" s="937"/>
      <c r="J544" s="937"/>
      <c r="K544" s="938"/>
      <c r="L544" s="939">
        <f t="shared" ref="L544:N544" ca="1" si="236">L545+L546</f>
        <v>300500</v>
      </c>
      <c r="M544" s="939">
        <f t="shared" si="236"/>
        <v>0</v>
      </c>
      <c r="N544" s="939">
        <f t="shared" si="236"/>
        <v>0</v>
      </c>
      <c r="O544" s="939">
        <f t="shared" ref="O544:O549" ca="1" si="237">IF(L544&gt;0,N544*100/L544,0)</f>
        <v>0</v>
      </c>
      <c r="P544" s="939">
        <f t="shared" ref="P544:P549" si="238">IF(M544&gt;0,N544*100/M544,0)</f>
        <v>0</v>
      </c>
      <c r="Q544" s="1244"/>
      <c r="R544" s="1244"/>
      <c r="S544" s="1244"/>
      <c r="T544" s="1244"/>
      <c r="U544" s="1244"/>
      <c r="V544" s="1244"/>
      <c r="W544" s="1244"/>
      <c r="X544" s="1244"/>
      <c r="Y544" s="1244"/>
      <c r="Z544" s="1244"/>
    </row>
    <row r="545" spans="1:26" ht="18.75" hidden="1">
      <c r="A545" s="1260"/>
      <c r="B545" s="1261"/>
      <c r="C545" s="1261"/>
      <c r="D545" s="1261"/>
      <c r="E545" s="1261" t="s">
        <v>184</v>
      </c>
      <c r="F545" s="1261"/>
      <c r="G545" s="1263"/>
      <c r="H545" s="165" t="s">
        <v>12</v>
      </c>
      <c r="I545" s="836"/>
      <c r="J545" s="836"/>
      <c r="K545" s="837"/>
      <c r="L545" s="837">
        <f t="shared" ref="L545:L546" si="239">L548+L556</f>
        <v>0</v>
      </c>
      <c r="M545" s="837">
        <f t="shared" ref="M545:N546" si="240">M548+M555</f>
        <v>0</v>
      </c>
      <c r="N545" s="837">
        <f t="shared" si="240"/>
        <v>0</v>
      </c>
      <c r="O545" s="837">
        <f t="shared" si="237"/>
        <v>0</v>
      </c>
      <c r="P545" s="837">
        <f t="shared" si="238"/>
        <v>0</v>
      </c>
      <c r="Q545" s="1264"/>
      <c r="R545" s="1264"/>
      <c r="S545" s="1264"/>
      <c r="T545" s="1264"/>
      <c r="U545" s="1264"/>
      <c r="V545" s="1264"/>
      <c r="W545" s="1264"/>
      <c r="X545" s="1264"/>
      <c r="Y545" s="1264"/>
      <c r="Z545" s="1264"/>
    </row>
    <row r="546" spans="1:26" ht="18.75" hidden="1">
      <c r="A546" s="1260"/>
      <c r="B546" s="1265"/>
      <c r="C546" s="1261"/>
      <c r="D546" s="1261"/>
      <c r="E546" s="1261" t="s">
        <v>185</v>
      </c>
      <c r="F546" s="1261"/>
      <c r="G546" s="1263"/>
      <c r="H546" s="165" t="s">
        <v>12</v>
      </c>
      <c r="I546" s="836"/>
      <c r="J546" s="836"/>
      <c r="K546" s="837"/>
      <c r="L546" s="837">
        <f t="shared" ca="1" si="239"/>
        <v>300500</v>
      </c>
      <c r="M546" s="837">
        <f t="shared" si="240"/>
        <v>0</v>
      </c>
      <c r="N546" s="837">
        <f t="shared" si="240"/>
        <v>0</v>
      </c>
      <c r="O546" s="837">
        <f t="shared" ca="1" si="237"/>
        <v>0</v>
      </c>
      <c r="P546" s="837">
        <f t="shared" si="238"/>
        <v>0</v>
      </c>
      <c r="Q546" s="1264"/>
      <c r="R546" s="1264"/>
      <c r="S546" s="1264"/>
      <c r="T546" s="1264"/>
      <c r="U546" s="1264"/>
      <c r="V546" s="1264"/>
      <c r="W546" s="1264"/>
      <c r="X546" s="1264"/>
      <c r="Y546" s="1264"/>
      <c r="Z546" s="1264"/>
    </row>
    <row r="547" spans="1:26" ht="18.75">
      <c r="A547" s="1259"/>
      <c r="B547" s="1242"/>
      <c r="C547" s="1243"/>
      <c r="D547" s="1266" t="s">
        <v>20</v>
      </c>
      <c r="E547" s="1243"/>
      <c r="F547" s="1243"/>
      <c r="G547" s="963"/>
      <c r="H547" s="778" t="s">
        <v>12</v>
      </c>
      <c r="I547" s="944"/>
      <c r="J547" s="944"/>
      <c r="K547" s="945"/>
      <c r="L547" s="831">
        <f t="shared" ref="L547:N547" ca="1" si="241">L548+L549</f>
        <v>300500</v>
      </c>
      <c r="M547" s="831">
        <f t="shared" si="241"/>
        <v>0</v>
      </c>
      <c r="N547" s="831">
        <f t="shared" si="241"/>
        <v>0</v>
      </c>
      <c r="O547" s="831">
        <f t="shared" ca="1" si="237"/>
        <v>0</v>
      </c>
      <c r="P547" s="831">
        <f t="shared" si="238"/>
        <v>0</v>
      </c>
      <c r="Q547" s="1244"/>
      <c r="R547" s="1244"/>
      <c r="S547" s="1244"/>
      <c r="T547" s="1244"/>
      <c r="U547" s="1244"/>
      <c r="V547" s="1244"/>
      <c r="W547" s="1244"/>
      <c r="X547" s="1244"/>
      <c r="Y547" s="1244"/>
      <c r="Z547" s="1244"/>
    </row>
    <row r="548" spans="1:26" ht="18.75" hidden="1">
      <c r="A548" s="1260"/>
      <c r="B548" s="1265"/>
      <c r="C548" s="1261"/>
      <c r="D548" s="1262"/>
      <c r="E548" s="1261" t="s">
        <v>184</v>
      </c>
      <c r="F548" s="1261"/>
      <c r="G548" s="1263"/>
      <c r="H548" s="165" t="s">
        <v>12</v>
      </c>
      <c r="I548" s="836"/>
      <c r="J548" s="836"/>
      <c r="K548" s="837"/>
      <c r="L548" s="837">
        <v>0</v>
      </c>
      <c r="M548" s="837">
        <v>0</v>
      </c>
      <c r="N548" s="837">
        <v>0</v>
      </c>
      <c r="O548" s="837">
        <f t="shared" si="237"/>
        <v>0</v>
      </c>
      <c r="P548" s="837">
        <f t="shared" si="238"/>
        <v>0</v>
      </c>
      <c r="Q548" s="1264"/>
      <c r="R548" s="1264"/>
      <c r="S548" s="1264"/>
      <c r="T548" s="1264"/>
      <c r="U548" s="1264"/>
      <c r="V548" s="1264"/>
      <c r="W548" s="1264"/>
      <c r="X548" s="1264"/>
      <c r="Y548" s="1264"/>
      <c r="Z548" s="1264"/>
    </row>
    <row r="549" spans="1:26" ht="18.75" hidden="1">
      <c r="A549" s="1260"/>
      <c r="B549" s="1265"/>
      <c r="C549" s="1261"/>
      <c r="D549" s="1262"/>
      <c r="E549" s="1261" t="s">
        <v>185</v>
      </c>
      <c r="F549" s="1261"/>
      <c r="G549" s="1263"/>
      <c r="H549" s="165" t="s">
        <v>12</v>
      </c>
      <c r="I549" s="836"/>
      <c r="J549" s="836"/>
      <c r="K549" s="837"/>
      <c r="L549" s="837">
        <f ca="1">IFERROR(__xludf.DUMMYFUNCTION("IMPORTRANGE(""https://docs.google.com/spreadsheets/d/1QqKyyYR6Q21VydFLVH3TRQUabQu_ym0Zz7PgGX0-kHA/edit?usp=sharing"",""แผน!HB25"")"),300500)</f>
        <v>300500</v>
      </c>
      <c r="M549" s="837">
        <v>0</v>
      </c>
      <c r="N549" s="837">
        <f>N550+N551+N552+N553+N554</f>
        <v>0</v>
      </c>
      <c r="O549" s="837">
        <f t="shared" ca="1" si="237"/>
        <v>0</v>
      </c>
      <c r="P549" s="837">
        <f t="shared" si="238"/>
        <v>0</v>
      </c>
      <c r="Q549" s="1264"/>
      <c r="R549" s="1264"/>
      <c r="S549" s="1264"/>
      <c r="T549" s="1264"/>
      <c r="U549" s="1264"/>
      <c r="V549" s="1264"/>
      <c r="W549" s="1264"/>
      <c r="X549" s="1264"/>
      <c r="Y549" s="1264"/>
      <c r="Z549" s="1264"/>
    </row>
    <row r="550" spans="1:26" ht="18.75">
      <c r="A550" s="1241"/>
      <c r="B550" s="1242"/>
      <c r="C550" s="1243"/>
      <c r="D550" s="1243"/>
      <c r="E550" s="1243"/>
      <c r="F550" s="1243" t="s">
        <v>186</v>
      </c>
      <c r="G550" s="963"/>
      <c r="H550" s="778" t="s">
        <v>12</v>
      </c>
      <c r="I550" s="830"/>
      <c r="J550" s="830"/>
      <c r="K550" s="831"/>
      <c r="L550" s="831"/>
      <c r="M550" s="831"/>
      <c r="N550" s="1031">
        <v>0</v>
      </c>
      <c r="O550" s="831"/>
      <c r="P550" s="831"/>
      <c r="Q550" s="1244"/>
      <c r="R550" s="1244"/>
      <c r="S550" s="1244"/>
      <c r="T550" s="1244"/>
      <c r="U550" s="1244"/>
      <c r="V550" s="1244"/>
      <c r="W550" s="1244"/>
      <c r="X550" s="1244"/>
      <c r="Y550" s="1244"/>
      <c r="Z550" s="1244"/>
    </row>
    <row r="551" spans="1:26" ht="18.75">
      <c r="A551" s="1241"/>
      <c r="B551" s="1242"/>
      <c r="C551" s="1242"/>
      <c r="D551" s="1242"/>
      <c r="E551" s="1243"/>
      <c r="F551" s="1243" t="s">
        <v>187</v>
      </c>
      <c r="G551" s="963"/>
      <c r="H551" s="778" t="s">
        <v>12</v>
      </c>
      <c r="I551" s="830"/>
      <c r="J551" s="830"/>
      <c r="K551" s="831"/>
      <c r="L551" s="831"/>
      <c r="M551" s="831"/>
      <c r="N551" s="1031">
        <v>0</v>
      </c>
      <c r="O551" s="831"/>
      <c r="P551" s="831"/>
      <c r="Q551" s="1244"/>
      <c r="R551" s="1244"/>
      <c r="S551" s="1244"/>
      <c r="T551" s="1244"/>
      <c r="U551" s="1244"/>
      <c r="V551" s="1244"/>
      <c r="W551" s="1244"/>
      <c r="X551" s="1244"/>
      <c r="Y551" s="1244"/>
      <c r="Z551" s="1244"/>
    </row>
    <row r="552" spans="1:26" ht="18.75">
      <c r="A552" s="1241"/>
      <c r="B552" s="1242"/>
      <c r="C552" s="1243"/>
      <c r="D552" s="1243"/>
      <c r="E552" s="1243"/>
      <c r="F552" s="1243" t="s">
        <v>188</v>
      </c>
      <c r="G552" s="963"/>
      <c r="H552" s="778" t="s">
        <v>12</v>
      </c>
      <c r="I552" s="830"/>
      <c r="J552" s="830"/>
      <c r="K552" s="831"/>
      <c r="L552" s="831"/>
      <c r="M552" s="831"/>
      <c r="N552" s="1031">
        <v>0</v>
      </c>
      <c r="O552" s="831"/>
      <c r="P552" s="831"/>
      <c r="Q552" s="1244"/>
      <c r="R552" s="1244"/>
      <c r="S552" s="1244"/>
      <c r="T552" s="1244"/>
      <c r="U552" s="1244"/>
      <c r="V552" s="1244"/>
      <c r="W552" s="1244"/>
      <c r="X552" s="1244"/>
      <c r="Y552" s="1244"/>
      <c r="Z552" s="1244"/>
    </row>
    <row r="553" spans="1:26" ht="18.75">
      <c r="A553" s="1241"/>
      <c r="B553" s="1242"/>
      <c r="C553" s="1242"/>
      <c r="D553" s="1242"/>
      <c r="E553" s="1243"/>
      <c r="F553" s="1243" t="s">
        <v>189</v>
      </c>
      <c r="G553" s="963"/>
      <c r="H553" s="778" t="s">
        <v>12</v>
      </c>
      <c r="I553" s="830"/>
      <c r="J553" s="830"/>
      <c r="K553" s="831"/>
      <c r="L553" s="831"/>
      <c r="M553" s="831"/>
      <c r="N553" s="1031">
        <v>0</v>
      </c>
      <c r="O553" s="831"/>
      <c r="P553" s="831"/>
      <c r="Q553" s="1244"/>
      <c r="R553" s="1244"/>
      <c r="S553" s="1244"/>
      <c r="T553" s="1244"/>
      <c r="U553" s="1244"/>
      <c r="V553" s="1244"/>
      <c r="W553" s="1244"/>
      <c r="X553" s="1244"/>
      <c r="Y553" s="1244"/>
      <c r="Z553" s="1244"/>
    </row>
    <row r="554" spans="1:26" ht="18.75">
      <c r="A554" s="1241"/>
      <c r="B554" s="1242"/>
      <c r="C554" s="1242"/>
      <c r="D554" s="1242"/>
      <c r="E554" s="1243"/>
      <c r="F554" s="1243" t="s">
        <v>233</v>
      </c>
      <c r="G554" s="963"/>
      <c r="H554" s="778" t="s">
        <v>12</v>
      </c>
      <c r="I554" s="830"/>
      <c r="J554" s="830"/>
      <c r="K554" s="831"/>
      <c r="L554" s="831"/>
      <c r="M554" s="831"/>
      <c r="N554" s="1031">
        <v>0</v>
      </c>
      <c r="O554" s="831"/>
      <c r="P554" s="831"/>
      <c r="Q554" s="1244"/>
      <c r="R554" s="1244"/>
      <c r="S554" s="1244"/>
      <c r="T554" s="1244"/>
      <c r="U554" s="1244"/>
      <c r="V554" s="1244"/>
      <c r="W554" s="1244"/>
      <c r="X554" s="1244"/>
      <c r="Y554" s="1244"/>
      <c r="Z554" s="1244"/>
    </row>
    <row r="555" spans="1:26" ht="18.75">
      <c r="A555" s="1259"/>
      <c r="B555" s="1242"/>
      <c r="C555" s="1242"/>
      <c r="D555" s="1266" t="s">
        <v>21</v>
      </c>
      <c r="E555" s="1243"/>
      <c r="F555" s="1243"/>
      <c r="G555" s="963"/>
      <c r="H555" s="168" t="s">
        <v>12</v>
      </c>
      <c r="I555" s="944"/>
      <c r="J555" s="944"/>
      <c r="K555" s="945"/>
      <c r="L555" s="831">
        <f t="shared" ref="L555:N555" ca="1" si="242">L556+L557</f>
        <v>0</v>
      </c>
      <c r="M555" s="831">
        <f t="shared" si="242"/>
        <v>0</v>
      </c>
      <c r="N555" s="831">
        <f t="shared" si="242"/>
        <v>0</v>
      </c>
      <c r="O555" s="831">
        <f t="shared" ref="O555:O557" ca="1" si="243">IF(L555&gt;0,N555*100/L555,0)</f>
        <v>0</v>
      </c>
      <c r="P555" s="831">
        <f t="shared" ref="P555:P557" si="244">IF(M555&gt;0,N555*100/M555,0)</f>
        <v>0</v>
      </c>
      <c r="Q555" s="1244"/>
      <c r="R555" s="1244"/>
      <c r="S555" s="1244"/>
      <c r="T555" s="1244"/>
      <c r="U555" s="1244"/>
      <c r="V555" s="1244"/>
      <c r="W555" s="1244"/>
      <c r="X555" s="1244"/>
      <c r="Y555" s="1244"/>
      <c r="Z555" s="1244"/>
    </row>
    <row r="556" spans="1:26" ht="18.75" hidden="1">
      <c r="A556" s="1260"/>
      <c r="B556" s="1265"/>
      <c r="C556" s="1265"/>
      <c r="D556" s="1261"/>
      <c r="E556" s="1261" t="s">
        <v>18</v>
      </c>
      <c r="F556" s="1261"/>
      <c r="G556" s="1263"/>
      <c r="H556" s="165" t="s">
        <v>12</v>
      </c>
      <c r="I556" s="947"/>
      <c r="J556" s="947"/>
      <c r="K556" s="948"/>
      <c r="L556" s="837">
        <v>0</v>
      </c>
      <c r="M556" s="837">
        <v>0</v>
      </c>
      <c r="N556" s="837">
        <v>0</v>
      </c>
      <c r="O556" s="837">
        <f t="shared" si="243"/>
        <v>0</v>
      </c>
      <c r="P556" s="837">
        <f t="shared" si="244"/>
        <v>0</v>
      </c>
      <c r="Q556" s="1264"/>
      <c r="R556" s="1264"/>
      <c r="S556" s="1264"/>
      <c r="T556" s="1264"/>
      <c r="U556" s="1264"/>
      <c r="V556" s="1264"/>
      <c r="W556" s="1264"/>
      <c r="X556" s="1264"/>
      <c r="Y556" s="1264"/>
      <c r="Z556" s="1264"/>
    </row>
    <row r="557" spans="1:26" ht="18.75" hidden="1">
      <c r="A557" s="1260"/>
      <c r="B557" s="1265"/>
      <c r="C557" s="1265"/>
      <c r="D557" s="1261"/>
      <c r="E557" s="1261" t="s">
        <v>19</v>
      </c>
      <c r="F557" s="1261"/>
      <c r="G557" s="1263"/>
      <c r="H557" s="169" t="s">
        <v>12</v>
      </c>
      <c r="I557" s="947"/>
      <c r="J557" s="947"/>
      <c r="K557" s="948"/>
      <c r="L557" s="837">
        <f ca="1">IFERROR(__xludf.DUMMYFUNCTION("IMPORTRANGE(""https://docs.google.com/spreadsheets/d/1QqKyyYR6Q21VydFLVH3TRQUabQu_ym0Zz7PgGX0-kHA/edit?usp=sharing"",""แผน!HF25"")"),0)</f>
        <v>0</v>
      </c>
      <c r="M557" s="837">
        <v>0</v>
      </c>
      <c r="N557" s="837">
        <v>0</v>
      </c>
      <c r="O557" s="837">
        <f t="shared" ca="1" si="243"/>
        <v>0</v>
      </c>
      <c r="P557" s="837">
        <f t="shared" si="244"/>
        <v>0</v>
      </c>
      <c r="Q557" s="1264"/>
      <c r="R557" s="1264"/>
      <c r="S557" s="1264"/>
      <c r="T557" s="1264"/>
      <c r="U557" s="1264"/>
      <c r="V557" s="1264"/>
      <c r="W557" s="1264"/>
      <c r="X557" s="1264"/>
      <c r="Y557" s="1264"/>
      <c r="Z557" s="1264"/>
    </row>
    <row r="558" spans="1:26" ht="19.5">
      <c r="A558" s="1267"/>
      <c r="B558" s="1268"/>
      <c r="C558" s="1242" t="s">
        <v>16</v>
      </c>
      <c r="D558" s="1320" t="s">
        <v>38</v>
      </c>
      <c r="E558" s="1271"/>
      <c r="F558" s="1271"/>
      <c r="G558" s="1272"/>
      <c r="H558" s="954"/>
      <c r="I558" s="944"/>
      <c r="J558" s="944"/>
      <c r="K558" s="945"/>
      <c r="L558" s="945"/>
      <c r="M558" s="945"/>
      <c r="N558" s="945"/>
      <c r="O558" s="945"/>
      <c r="P558" s="945"/>
      <c r="Q558" s="1244"/>
      <c r="R558" s="1244"/>
      <c r="S558" s="1244"/>
      <c r="T558" s="1244"/>
      <c r="U558" s="1244"/>
      <c r="V558" s="1244"/>
      <c r="W558" s="1244"/>
      <c r="X558" s="1244"/>
      <c r="Y558" s="1244"/>
      <c r="Z558" s="1244"/>
    </row>
    <row r="559" spans="1:26" ht="19.5" hidden="1">
      <c r="A559" s="1329"/>
      <c r="B559" s="1330" t="s">
        <v>234</v>
      </c>
      <c r="C559" s="1331"/>
      <c r="D559" s="1331"/>
      <c r="E559" s="1315"/>
      <c r="F559" s="1315"/>
      <c r="G559" s="1316"/>
      <c r="H559" s="661" t="s">
        <v>46</v>
      </c>
      <c r="I559" s="1317">
        <f t="shared" ref="I559:J559" ca="1" si="245">I576</f>
        <v>0</v>
      </c>
      <c r="J559" s="1317">
        <f t="shared" si="245"/>
        <v>0</v>
      </c>
      <c r="K559" s="1318">
        <f t="shared" ref="K559:K561" ca="1" si="246">IF(I559&gt;0,J559*100/I559,0)</f>
        <v>0</v>
      </c>
      <c r="L559" s="1319"/>
      <c r="M559" s="1319"/>
      <c r="N559" s="1319"/>
      <c r="O559" s="1319"/>
      <c r="P559" s="1319"/>
      <c r="Q559" s="1244"/>
      <c r="R559" s="1244"/>
      <c r="S559" s="1244"/>
      <c r="T559" s="1244"/>
      <c r="U559" s="1244"/>
      <c r="V559" s="1244"/>
      <c r="W559" s="1244"/>
      <c r="X559" s="1244"/>
      <c r="Y559" s="1244"/>
      <c r="Z559" s="1244"/>
    </row>
    <row r="560" spans="1:26" ht="19.5" hidden="1">
      <c r="A560" s="1267"/>
      <c r="B560" s="1268"/>
      <c r="C560" s="1277" t="s">
        <v>235</v>
      </c>
      <c r="D560" s="1268"/>
      <c r="E560" s="961"/>
      <c r="F560" s="961"/>
      <c r="G560" s="954"/>
      <c r="H560" s="733" t="s">
        <v>46</v>
      </c>
      <c r="I560" s="965">
        <f ca="1">IFERROR(__xludf.DUMMYFUNCTION("IMPORTRANGE(""https://docs.google.com/spreadsheets/d/1QqKyyYR6Q21VydFLVH3TRQUabQu_ym0Zz7PgGX0-kHA/edit?usp=sharing"",""แผน!HH25"")"),0)</f>
        <v>0</v>
      </c>
      <c r="J560" s="965">
        <f t="shared" ref="J560:J561" si="247">J562+J564+J566</f>
        <v>0</v>
      </c>
      <c r="K560" s="1109">
        <f t="shared" ca="1" si="246"/>
        <v>0</v>
      </c>
      <c r="L560" s="945"/>
      <c r="M560" s="945"/>
      <c r="N560" s="945"/>
      <c r="O560" s="945"/>
      <c r="P560" s="945"/>
      <c r="Q560" s="1244"/>
      <c r="R560" s="1244"/>
      <c r="S560" s="1244"/>
      <c r="T560" s="1244"/>
      <c r="U560" s="1244"/>
      <c r="V560" s="1244"/>
      <c r="W560" s="1244"/>
      <c r="X560" s="1244"/>
      <c r="Y560" s="1244"/>
      <c r="Z560" s="1244"/>
    </row>
    <row r="561" spans="1:26" ht="19.5" hidden="1">
      <c r="A561" s="1267"/>
      <c r="B561" s="1268"/>
      <c r="C561" s="1268"/>
      <c r="D561" s="961"/>
      <c r="E561" s="961"/>
      <c r="F561" s="961"/>
      <c r="G561" s="954"/>
      <c r="H561" s="733" t="s">
        <v>34</v>
      </c>
      <c r="I561" s="965">
        <f ca="1">IFERROR(__xludf.DUMMYFUNCTION("IMPORTRANGE(""https://docs.google.com/spreadsheets/d/1QqKyyYR6Q21VydFLVH3TRQUabQu_ym0Zz7PgGX0-kHA/edit?usp=sharing"",""แผน!HG25"")"),0)</f>
        <v>0</v>
      </c>
      <c r="J561" s="965">
        <f t="shared" si="247"/>
        <v>0</v>
      </c>
      <c r="K561" s="1109">
        <f t="shared" ca="1" si="246"/>
        <v>0</v>
      </c>
      <c r="L561" s="945"/>
      <c r="M561" s="945"/>
      <c r="N561" s="945"/>
      <c r="O561" s="945"/>
      <c r="P561" s="945"/>
      <c r="Q561" s="1244"/>
      <c r="R561" s="1244"/>
      <c r="S561" s="1244"/>
      <c r="T561" s="1244"/>
      <c r="U561" s="1244"/>
      <c r="V561" s="1244"/>
      <c r="W561" s="1244"/>
      <c r="X561" s="1244"/>
      <c r="Y561" s="1244"/>
      <c r="Z561" s="1244"/>
    </row>
    <row r="562" spans="1:26" ht="18.75" hidden="1">
      <c r="A562" s="1267"/>
      <c r="B562" s="1268"/>
      <c r="C562" s="1268"/>
      <c r="D562" s="961" t="s">
        <v>236</v>
      </c>
      <c r="E562" s="961"/>
      <c r="F562" s="961"/>
      <c r="G562" s="954"/>
      <c r="H562" s="730" t="s">
        <v>46</v>
      </c>
      <c r="I562" s="944"/>
      <c r="J562" s="959">
        <v>0</v>
      </c>
      <c r="K562" s="945"/>
      <c r="L562" s="945"/>
      <c r="M562" s="945"/>
      <c r="N562" s="945"/>
      <c r="O562" s="945"/>
      <c r="P562" s="945"/>
      <c r="Q562" s="1244"/>
      <c r="R562" s="1244"/>
      <c r="S562" s="1244"/>
      <c r="T562" s="1244"/>
      <c r="U562" s="1244"/>
      <c r="V562" s="1244"/>
      <c r="W562" s="1244"/>
      <c r="X562" s="1244"/>
      <c r="Y562" s="1244"/>
      <c r="Z562" s="1244"/>
    </row>
    <row r="563" spans="1:26" ht="18.75" hidden="1">
      <c r="A563" s="1267"/>
      <c r="B563" s="1268"/>
      <c r="C563" s="1268"/>
      <c r="D563" s="1268"/>
      <c r="E563" s="961"/>
      <c r="F563" s="961"/>
      <c r="G563" s="954"/>
      <c r="H563" s="730" t="s">
        <v>34</v>
      </c>
      <c r="I563" s="944"/>
      <c r="J563" s="959">
        <v>0</v>
      </c>
      <c r="K563" s="945"/>
      <c r="L563" s="945"/>
      <c r="M563" s="945"/>
      <c r="N563" s="945"/>
      <c r="O563" s="945"/>
      <c r="P563" s="945"/>
      <c r="Q563" s="1244"/>
      <c r="R563" s="1244"/>
      <c r="S563" s="1244"/>
      <c r="T563" s="1244"/>
      <c r="U563" s="1244"/>
      <c r="V563" s="1244"/>
      <c r="W563" s="1244"/>
      <c r="X563" s="1244"/>
      <c r="Y563" s="1244"/>
      <c r="Z563" s="1244"/>
    </row>
    <row r="564" spans="1:26" ht="18.75" hidden="1">
      <c r="A564" s="1267"/>
      <c r="B564" s="1268"/>
      <c r="C564" s="1268"/>
      <c r="D564" s="961" t="s">
        <v>237</v>
      </c>
      <c r="E564" s="961"/>
      <c r="F564" s="961"/>
      <c r="G564" s="954"/>
      <c r="H564" s="730" t="s">
        <v>46</v>
      </c>
      <c r="I564" s="944"/>
      <c r="J564" s="959">
        <v>0</v>
      </c>
      <c r="K564" s="945"/>
      <c r="L564" s="945"/>
      <c r="M564" s="945"/>
      <c r="N564" s="945"/>
      <c r="O564" s="945"/>
      <c r="P564" s="945"/>
      <c r="Q564" s="1244"/>
      <c r="R564" s="1244"/>
      <c r="S564" s="1244"/>
      <c r="T564" s="1244"/>
      <c r="U564" s="1244"/>
      <c r="V564" s="1244"/>
      <c r="W564" s="1244"/>
      <c r="X564" s="1244"/>
      <c r="Y564" s="1244"/>
      <c r="Z564" s="1244"/>
    </row>
    <row r="565" spans="1:26" ht="18.75" hidden="1">
      <c r="A565" s="1267"/>
      <c r="B565" s="1268"/>
      <c r="C565" s="1268"/>
      <c r="D565" s="961"/>
      <c r="E565" s="961"/>
      <c r="F565" s="961"/>
      <c r="G565" s="954"/>
      <c r="H565" s="730" t="s">
        <v>34</v>
      </c>
      <c r="I565" s="944"/>
      <c r="J565" s="959">
        <v>0</v>
      </c>
      <c r="K565" s="945"/>
      <c r="L565" s="945"/>
      <c r="M565" s="945"/>
      <c r="N565" s="945"/>
      <c r="O565" s="945"/>
      <c r="P565" s="945"/>
      <c r="Q565" s="1244"/>
      <c r="R565" s="1244"/>
      <c r="S565" s="1244"/>
      <c r="T565" s="1244"/>
      <c r="U565" s="1244"/>
      <c r="V565" s="1244"/>
      <c r="W565" s="1244"/>
      <c r="X565" s="1244"/>
      <c r="Y565" s="1244"/>
      <c r="Z565" s="1244"/>
    </row>
    <row r="566" spans="1:26" ht="18.75" hidden="1">
      <c r="A566" s="1267"/>
      <c r="B566" s="1268"/>
      <c r="C566" s="1268"/>
      <c r="D566" s="961" t="s">
        <v>238</v>
      </c>
      <c r="E566" s="961"/>
      <c r="F566" s="961"/>
      <c r="G566" s="954"/>
      <c r="H566" s="730" t="s">
        <v>46</v>
      </c>
      <c r="I566" s="944"/>
      <c r="J566" s="959">
        <v>0</v>
      </c>
      <c r="K566" s="945"/>
      <c r="L566" s="945"/>
      <c r="M566" s="945"/>
      <c r="N566" s="945"/>
      <c r="O566" s="945"/>
      <c r="P566" s="945"/>
      <c r="Q566" s="1244"/>
      <c r="R566" s="1244"/>
      <c r="S566" s="1244"/>
      <c r="T566" s="1244"/>
      <c r="U566" s="1244"/>
      <c r="V566" s="1244"/>
      <c r="W566" s="1244"/>
      <c r="X566" s="1244"/>
      <c r="Y566" s="1244"/>
      <c r="Z566" s="1244"/>
    </row>
    <row r="567" spans="1:26" ht="18.75" hidden="1">
      <c r="A567" s="1267"/>
      <c r="B567" s="1268"/>
      <c r="C567" s="1268"/>
      <c r="D567" s="961"/>
      <c r="E567" s="961"/>
      <c r="F567" s="961"/>
      <c r="G567" s="954"/>
      <c r="H567" s="730" t="s">
        <v>34</v>
      </c>
      <c r="I567" s="944"/>
      <c r="J567" s="959">
        <v>0</v>
      </c>
      <c r="K567" s="945"/>
      <c r="L567" s="945"/>
      <c r="M567" s="945"/>
      <c r="N567" s="945"/>
      <c r="O567" s="945"/>
      <c r="P567" s="945"/>
      <c r="Q567" s="1244"/>
      <c r="R567" s="1244"/>
      <c r="S567" s="1244"/>
      <c r="T567" s="1244"/>
      <c r="U567" s="1244"/>
      <c r="V567" s="1244"/>
      <c r="W567" s="1244"/>
      <c r="X567" s="1244"/>
      <c r="Y567" s="1244"/>
      <c r="Z567" s="1244"/>
    </row>
    <row r="568" spans="1:26" ht="19.5" hidden="1">
      <c r="A568" s="1267"/>
      <c r="B568" s="1268"/>
      <c r="C568" s="1277" t="s">
        <v>239</v>
      </c>
      <c r="D568" s="961"/>
      <c r="E568" s="961"/>
      <c r="F568" s="961"/>
      <c r="G568" s="954"/>
      <c r="H568" s="733" t="s">
        <v>46</v>
      </c>
      <c r="I568" s="965">
        <f ca="1">IFERROR(__xludf.DUMMYFUNCTION("IMPORTRANGE(""https://docs.google.com/spreadsheets/d/1QqKyyYR6Q21VydFLVH3TRQUabQu_ym0Zz7PgGX0-kHA/edit?usp=sharing"",""แผน!HH25"")"),0)</f>
        <v>0</v>
      </c>
      <c r="J568" s="966">
        <f t="shared" ref="J568:J569" si="248">J570+J572+J574</f>
        <v>0</v>
      </c>
      <c r="K568" s="1109">
        <f t="shared" ref="K568:K569" ca="1" si="249">IF(I568&gt;0,J568*100/I568,0)</f>
        <v>0</v>
      </c>
      <c r="L568" s="945"/>
      <c r="M568" s="945"/>
      <c r="N568" s="945"/>
      <c r="O568" s="945"/>
      <c r="P568" s="945"/>
      <c r="Q568" s="1244"/>
      <c r="R568" s="1244"/>
      <c r="S568" s="1244"/>
      <c r="T568" s="1244"/>
      <c r="U568" s="1244"/>
      <c r="V568" s="1244"/>
      <c r="W568" s="1244"/>
      <c r="X568" s="1244"/>
      <c r="Y568" s="1244"/>
      <c r="Z568" s="1244"/>
    </row>
    <row r="569" spans="1:26" ht="19.5" hidden="1">
      <c r="A569" s="1267"/>
      <c r="B569" s="1268"/>
      <c r="C569" s="1268"/>
      <c r="D569" s="1268"/>
      <c r="E569" s="961"/>
      <c r="F569" s="961"/>
      <c r="G569" s="954"/>
      <c r="H569" s="733" t="s">
        <v>34</v>
      </c>
      <c r="I569" s="965">
        <f ca="1">IFERROR(__xludf.DUMMYFUNCTION("IMPORTRANGE(""https://docs.google.com/spreadsheets/d/1QqKyyYR6Q21VydFLVH3TRQUabQu_ym0Zz7PgGX0-kHA/edit?usp=sharing"",""แผน!HG25"")"),0)</f>
        <v>0</v>
      </c>
      <c r="J569" s="966">
        <f t="shared" si="248"/>
        <v>0</v>
      </c>
      <c r="K569" s="1109">
        <f t="shared" ca="1" si="249"/>
        <v>0</v>
      </c>
      <c r="L569" s="945"/>
      <c r="M569" s="945"/>
      <c r="N569" s="945"/>
      <c r="O569" s="945"/>
      <c r="P569" s="945"/>
      <c r="Q569" s="1244"/>
      <c r="R569" s="1244"/>
      <c r="S569" s="1244"/>
      <c r="T569" s="1244"/>
      <c r="U569" s="1244"/>
      <c r="V569" s="1244"/>
      <c r="W569" s="1244"/>
      <c r="X569" s="1244"/>
      <c r="Y569" s="1244"/>
      <c r="Z569" s="1244"/>
    </row>
    <row r="570" spans="1:26" ht="18.75" hidden="1">
      <c r="A570" s="1267"/>
      <c r="B570" s="1268"/>
      <c r="C570" s="1268"/>
      <c r="D570" s="961" t="s">
        <v>240</v>
      </c>
      <c r="E570" s="1268"/>
      <c r="F570" s="961"/>
      <c r="G570" s="954"/>
      <c r="H570" s="730" t="s">
        <v>46</v>
      </c>
      <c r="I570" s="944"/>
      <c r="J570" s="959">
        <v>0</v>
      </c>
      <c r="K570" s="945"/>
      <c r="L570" s="945"/>
      <c r="M570" s="945"/>
      <c r="N570" s="945"/>
      <c r="O570" s="945"/>
      <c r="P570" s="945"/>
      <c r="Q570" s="1244"/>
      <c r="R570" s="1244"/>
      <c r="S570" s="1244"/>
      <c r="T570" s="1244"/>
      <c r="U570" s="1244"/>
      <c r="V570" s="1244"/>
      <c r="W570" s="1244"/>
      <c r="X570" s="1244"/>
      <c r="Y570" s="1244"/>
      <c r="Z570" s="1244"/>
    </row>
    <row r="571" spans="1:26" ht="18.75" hidden="1">
      <c r="A571" s="1267"/>
      <c r="B571" s="1268"/>
      <c r="C571" s="1268"/>
      <c r="D571" s="1268"/>
      <c r="E571" s="961"/>
      <c r="F571" s="961"/>
      <c r="G571" s="954"/>
      <c r="H571" s="730" t="s">
        <v>34</v>
      </c>
      <c r="I571" s="944"/>
      <c r="J571" s="959">
        <v>0</v>
      </c>
      <c r="K571" s="945"/>
      <c r="L571" s="945"/>
      <c r="M571" s="945"/>
      <c r="N571" s="945"/>
      <c r="O571" s="945"/>
      <c r="P571" s="945"/>
      <c r="Q571" s="1244"/>
      <c r="R571" s="1244"/>
      <c r="S571" s="1244"/>
      <c r="T571" s="1244"/>
      <c r="U571" s="1244"/>
      <c r="V571" s="1244"/>
      <c r="W571" s="1244"/>
      <c r="X571" s="1244"/>
      <c r="Y571" s="1244"/>
      <c r="Z571" s="1244"/>
    </row>
    <row r="572" spans="1:26" ht="18.75" hidden="1">
      <c r="A572" s="1267"/>
      <c r="B572" s="1268"/>
      <c r="C572" s="1268"/>
      <c r="D572" s="961" t="s">
        <v>241</v>
      </c>
      <c r="E572" s="961"/>
      <c r="F572" s="961"/>
      <c r="G572" s="954"/>
      <c r="H572" s="730" t="s">
        <v>46</v>
      </c>
      <c r="I572" s="944"/>
      <c r="J572" s="959">
        <v>0</v>
      </c>
      <c r="K572" s="945"/>
      <c r="L572" s="945"/>
      <c r="M572" s="945"/>
      <c r="N572" s="945"/>
      <c r="O572" s="945"/>
      <c r="P572" s="945"/>
      <c r="Q572" s="1244"/>
      <c r="R572" s="1244"/>
      <c r="S572" s="1244"/>
      <c r="T572" s="1244"/>
      <c r="U572" s="1244"/>
      <c r="V572" s="1244"/>
      <c r="W572" s="1244"/>
      <c r="X572" s="1244"/>
      <c r="Y572" s="1244"/>
      <c r="Z572" s="1244"/>
    </row>
    <row r="573" spans="1:26" ht="18.75" hidden="1">
      <c r="A573" s="1267"/>
      <c r="B573" s="1268"/>
      <c r="C573" s="1268"/>
      <c r="D573" s="961"/>
      <c r="E573" s="961"/>
      <c r="F573" s="961"/>
      <c r="G573" s="954"/>
      <c r="H573" s="730" t="s">
        <v>34</v>
      </c>
      <c r="I573" s="944"/>
      <c r="J573" s="959">
        <v>0</v>
      </c>
      <c r="K573" s="945"/>
      <c r="L573" s="945"/>
      <c r="M573" s="945"/>
      <c r="N573" s="945"/>
      <c r="O573" s="945"/>
      <c r="P573" s="945"/>
      <c r="Q573" s="1244"/>
      <c r="R573" s="1244"/>
      <c r="S573" s="1244"/>
      <c r="T573" s="1244"/>
      <c r="U573" s="1244"/>
      <c r="V573" s="1244"/>
      <c r="W573" s="1244"/>
      <c r="X573" s="1244"/>
      <c r="Y573" s="1244"/>
      <c r="Z573" s="1244"/>
    </row>
    <row r="574" spans="1:26" ht="18.75" hidden="1">
      <c r="A574" s="1267"/>
      <c r="B574" s="1268"/>
      <c r="C574" s="1268"/>
      <c r="D574" s="961" t="s">
        <v>242</v>
      </c>
      <c r="E574" s="961"/>
      <c r="F574" s="961"/>
      <c r="G574" s="954"/>
      <c r="H574" s="730" t="s">
        <v>46</v>
      </c>
      <c r="I574" s="944"/>
      <c r="J574" s="959">
        <v>0</v>
      </c>
      <c r="K574" s="945"/>
      <c r="L574" s="945"/>
      <c r="M574" s="945"/>
      <c r="N574" s="945"/>
      <c r="O574" s="945"/>
      <c r="P574" s="945"/>
      <c r="Q574" s="1244"/>
      <c r="R574" s="1244"/>
      <c r="S574" s="1244"/>
      <c r="T574" s="1244"/>
      <c r="U574" s="1244"/>
      <c r="V574" s="1244"/>
      <c r="W574" s="1244"/>
      <c r="X574" s="1244"/>
      <c r="Y574" s="1244"/>
      <c r="Z574" s="1244"/>
    </row>
    <row r="575" spans="1:26" ht="18.75" hidden="1">
      <c r="A575" s="1267"/>
      <c r="B575" s="1268"/>
      <c r="C575" s="1268"/>
      <c r="D575" s="1268"/>
      <c r="E575" s="961"/>
      <c r="F575" s="961"/>
      <c r="G575" s="954"/>
      <c r="H575" s="730" t="s">
        <v>34</v>
      </c>
      <c r="I575" s="944"/>
      <c r="J575" s="959">
        <v>0</v>
      </c>
      <c r="K575" s="945"/>
      <c r="L575" s="945"/>
      <c r="M575" s="945"/>
      <c r="N575" s="945"/>
      <c r="O575" s="945"/>
      <c r="P575" s="945"/>
      <c r="Q575" s="1244"/>
      <c r="R575" s="1244"/>
      <c r="S575" s="1244"/>
      <c r="T575" s="1244"/>
      <c r="U575" s="1244"/>
      <c r="V575" s="1244"/>
      <c r="W575" s="1244"/>
      <c r="X575" s="1244"/>
      <c r="Y575" s="1244"/>
      <c r="Z575" s="1244"/>
    </row>
    <row r="576" spans="1:26" ht="19.5" hidden="1">
      <c r="A576" s="1267"/>
      <c r="B576" s="1268"/>
      <c r="C576" s="1277" t="s">
        <v>243</v>
      </c>
      <c r="D576" s="1268"/>
      <c r="E576" s="1268"/>
      <c r="F576" s="961"/>
      <c r="G576" s="954"/>
      <c r="H576" s="733" t="s">
        <v>46</v>
      </c>
      <c r="I576" s="965">
        <f ca="1">IFERROR(__xludf.DUMMYFUNCTION("IMPORTRANGE(""https://docs.google.com/spreadsheets/d/1QqKyyYR6Q21VydFLVH3TRQUabQu_ym0Zz7PgGX0-kHA/edit?usp=sharing"",""แผน!HH25"")"),0)</f>
        <v>0</v>
      </c>
      <c r="J576" s="966">
        <f t="shared" ref="J576:J577" si="250">J578+J580+J582+J588+J590</f>
        <v>0</v>
      </c>
      <c r="K576" s="1109">
        <f t="shared" ref="K576:K577" ca="1" si="251">IF(I576&gt;0,J576*100/I576,0)</f>
        <v>0</v>
      </c>
      <c r="L576" s="945"/>
      <c r="M576" s="945"/>
      <c r="N576" s="945"/>
      <c r="O576" s="945"/>
      <c r="P576" s="945"/>
      <c r="Q576" s="1244"/>
      <c r="R576" s="1244"/>
      <c r="S576" s="1244"/>
      <c r="T576" s="1244"/>
      <c r="U576" s="1244"/>
      <c r="V576" s="1244"/>
      <c r="W576" s="1244"/>
      <c r="X576" s="1244"/>
      <c r="Y576" s="1244"/>
      <c r="Z576" s="1244"/>
    </row>
    <row r="577" spans="1:26" ht="19.5" hidden="1">
      <c r="A577" s="1267"/>
      <c r="B577" s="1268"/>
      <c r="C577" s="1268"/>
      <c r="D577" s="1268"/>
      <c r="E577" s="961"/>
      <c r="F577" s="961"/>
      <c r="G577" s="954"/>
      <c r="H577" s="733" t="s">
        <v>34</v>
      </c>
      <c r="I577" s="965">
        <f ca="1">IFERROR(__xludf.DUMMYFUNCTION("IMPORTRANGE(""https://docs.google.com/spreadsheets/d/1QqKyyYR6Q21VydFLVH3TRQUabQu_ym0Zz7PgGX0-kHA/edit?usp=sharing"",""แผน!HG25"")"),0)</f>
        <v>0</v>
      </c>
      <c r="J577" s="966">
        <f t="shared" si="250"/>
        <v>0</v>
      </c>
      <c r="K577" s="1109">
        <f t="shared" ca="1" si="251"/>
        <v>0</v>
      </c>
      <c r="L577" s="945"/>
      <c r="M577" s="945"/>
      <c r="N577" s="945"/>
      <c r="O577" s="945"/>
      <c r="P577" s="945"/>
      <c r="Q577" s="1244"/>
      <c r="R577" s="1244"/>
      <c r="S577" s="1244"/>
      <c r="T577" s="1244"/>
      <c r="U577" s="1244"/>
      <c r="V577" s="1244"/>
      <c r="W577" s="1244"/>
      <c r="X577" s="1244"/>
      <c r="Y577" s="1244"/>
      <c r="Z577" s="1244"/>
    </row>
    <row r="578" spans="1:26" ht="18.75" hidden="1">
      <c r="A578" s="1267"/>
      <c r="B578" s="1268"/>
      <c r="C578" s="1268"/>
      <c r="D578" s="961" t="s">
        <v>244</v>
      </c>
      <c r="E578" s="961"/>
      <c r="F578" s="961"/>
      <c r="G578" s="954"/>
      <c r="H578" s="730" t="s">
        <v>46</v>
      </c>
      <c r="I578" s="944"/>
      <c r="J578" s="959">
        <v>0</v>
      </c>
      <c r="K578" s="945"/>
      <c r="L578" s="945"/>
      <c r="M578" s="945"/>
      <c r="N578" s="945"/>
      <c r="O578" s="945"/>
      <c r="P578" s="945"/>
      <c r="Q578" s="1244"/>
      <c r="R578" s="1244"/>
      <c r="S578" s="1244"/>
      <c r="T578" s="1244"/>
      <c r="U578" s="1244"/>
      <c r="V578" s="1244"/>
      <c r="W578" s="1244"/>
      <c r="X578" s="1244"/>
      <c r="Y578" s="1244"/>
      <c r="Z578" s="1244"/>
    </row>
    <row r="579" spans="1:26" ht="18.75" hidden="1">
      <c r="A579" s="1267"/>
      <c r="B579" s="1268"/>
      <c r="C579" s="1268"/>
      <c r="D579" s="1268"/>
      <c r="E579" s="961"/>
      <c r="F579" s="961"/>
      <c r="G579" s="954"/>
      <c r="H579" s="730" t="s">
        <v>34</v>
      </c>
      <c r="I579" s="944"/>
      <c r="J579" s="959">
        <v>0</v>
      </c>
      <c r="K579" s="945"/>
      <c r="L579" s="945"/>
      <c r="M579" s="945"/>
      <c r="N579" s="945"/>
      <c r="O579" s="945"/>
      <c r="P579" s="945"/>
      <c r="Q579" s="1244"/>
      <c r="R579" s="1244"/>
      <c r="S579" s="1244"/>
      <c r="T579" s="1244"/>
      <c r="U579" s="1244"/>
      <c r="V579" s="1244"/>
      <c r="W579" s="1244"/>
      <c r="X579" s="1244"/>
      <c r="Y579" s="1244"/>
      <c r="Z579" s="1244"/>
    </row>
    <row r="580" spans="1:26" ht="18.75" hidden="1">
      <c r="A580" s="1267"/>
      <c r="B580" s="1268"/>
      <c r="C580" s="1268"/>
      <c r="D580" s="961" t="s">
        <v>245</v>
      </c>
      <c r="E580" s="961"/>
      <c r="F580" s="961"/>
      <c r="G580" s="954"/>
      <c r="H580" s="730" t="s">
        <v>46</v>
      </c>
      <c r="I580" s="944"/>
      <c r="J580" s="959">
        <v>0</v>
      </c>
      <c r="K580" s="945"/>
      <c r="L580" s="945"/>
      <c r="M580" s="945"/>
      <c r="N580" s="945"/>
      <c r="O580" s="945"/>
      <c r="P580" s="945"/>
      <c r="Q580" s="1244"/>
      <c r="R580" s="1244"/>
      <c r="S580" s="1244"/>
      <c r="T580" s="1244"/>
      <c r="U580" s="1244"/>
      <c r="V580" s="1244"/>
      <c r="W580" s="1244"/>
      <c r="X580" s="1244"/>
      <c r="Y580" s="1244"/>
      <c r="Z580" s="1244"/>
    </row>
    <row r="581" spans="1:26" ht="18.75" hidden="1">
      <c r="A581" s="1267"/>
      <c r="B581" s="1268"/>
      <c r="C581" s="1268"/>
      <c r="D581" s="1268"/>
      <c r="E581" s="961"/>
      <c r="F581" s="961"/>
      <c r="G581" s="954"/>
      <c r="H581" s="730" t="s">
        <v>34</v>
      </c>
      <c r="I581" s="944"/>
      <c r="J581" s="959">
        <v>0</v>
      </c>
      <c r="K581" s="945"/>
      <c r="L581" s="945"/>
      <c r="M581" s="945"/>
      <c r="N581" s="945"/>
      <c r="O581" s="945"/>
      <c r="P581" s="945"/>
      <c r="Q581" s="1244"/>
      <c r="R581" s="1244"/>
      <c r="S581" s="1244"/>
      <c r="T581" s="1244"/>
      <c r="U581" s="1244"/>
      <c r="V581" s="1244"/>
      <c r="W581" s="1244"/>
      <c r="X581" s="1244"/>
      <c r="Y581" s="1244"/>
      <c r="Z581" s="1244"/>
    </row>
    <row r="582" spans="1:26" ht="19.5" hidden="1">
      <c r="A582" s="1267"/>
      <c r="B582" s="1268"/>
      <c r="C582" s="1268"/>
      <c r="D582" s="961" t="s">
        <v>246</v>
      </c>
      <c r="E582" s="961"/>
      <c r="F582" s="961"/>
      <c r="G582" s="954"/>
      <c r="H582" s="730" t="s">
        <v>46</v>
      </c>
      <c r="I582" s="944"/>
      <c r="J582" s="966">
        <f t="shared" ref="J582:J583" si="252">J584+J586</f>
        <v>0</v>
      </c>
      <c r="K582" s="1109"/>
      <c r="L582" s="945"/>
      <c r="M582" s="945"/>
      <c r="N582" s="945"/>
      <c r="O582" s="945"/>
      <c r="P582" s="945"/>
      <c r="Q582" s="1244"/>
      <c r="R582" s="1244"/>
      <c r="S582" s="1244"/>
      <c r="T582" s="1244"/>
      <c r="U582" s="1244"/>
      <c r="V582" s="1244"/>
      <c r="W582" s="1244"/>
      <c r="X582" s="1244"/>
      <c r="Y582" s="1244"/>
      <c r="Z582" s="1244"/>
    </row>
    <row r="583" spans="1:26" ht="19.5" hidden="1">
      <c r="A583" s="1267"/>
      <c r="B583" s="1268"/>
      <c r="C583" s="1268"/>
      <c r="D583" s="1268"/>
      <c r="E583" s="961"/>
      <c r="F583" s="961"/>
      <c r="G583" s="954"/>
      <c r="H583" s="730" t="s">
        <v>34</v>
      </c>
      <c r="I583" s="944"/>
      <c r="J583" s="966">
        <f t="shared" si="252"/>
        <v>0</v>
      </c>
      <c r="K583" s="1109"/>
      <c r="L583" s="945"/>
      <c r="M583" s="945"/>
      <c r="N583" s="945"/>
      <c r="O583" s="945"/>
      <c r="P583" s="945"/>
      <c r="Q583" s="1244"/>
      <c r="R583" s="1244"/>
      <c r="S583" s="1244"/>
      <c r="T583" s="1244"/>
      <c r="U583" s="1244"/>
      <c r="V583" s="1244"/>
      <c r="W583" s="1244"/>
      <c r="X583" s="1244"/>
      <c r="Y583" s="1244"/>
      <c r="Z583" s="1244"/>
    </row>
    <row r="584" spans="1:26" ht="18.75" hidden="1">
      <c r="A584" s="1267"/>
      <c r="B584" s="1268"/>
      <c r="C584" s="1268"/>
      <c r="D584" s="1268"/>
      <c r="E584" s="961" t="s">
        <v>247</v>
      </c>
      <c r="F584" s="961"/>
      <c r="G584" s="954"/>
      <c r="H584" s="730" t="s">
        <v>46</v>
      </c>
      <c r="I584" s="944"/>
      <c r="J584" s="959">
        <v>0</v>
      </c>
      <c r="K584" s="945"/>
      <c r="L584" s="945"/>
      <c r="M584" s="945"/>
      <c r="N584" s="945"/>
      <c r="O584" s="945"/>
      <c r="P584" s="945"/>
      <c r="Q584" s="1244"/>
      <c r="R584" s="1244"/>
      <c r="S584" s="1244"/>
      <c r="T584" s="1244"/>
      <c r="U584" s="1244"/>
      <c r="V584" s="1244"/>
      <c r="W584" s="1244"/>
      <c r="X584" s="1244"/>
      <c r="Y584" s="1244"/>
      <c r="Z584" s="1244"/>
    </row>
    <row r="585" spans="1:26" ht="18.75" hidden="1">
      <c r="A585" s="1267"/>
      <c r="B585" s="1268"/>
      <c r="C585" s="1268"/>
      <c r="D585" s="1268"/>
      <c r="E585" s="961"/>
      <c r="F585" s="961"/>
      <c r="G585" s="954"/>
      <c r="H585" s="730" t="s">
        <v>34</v>
      </c>
      <c r="I585" s="944"/>
      <c r="J585" s="959">
        <v>0</v>
      </c>
      <c r="K585" s="945"/>
      <c r="L585" s="945"/>
      <c r="M585" s="945"/>
      <c r="N585" s="945"/>
      <c r="O585" s="945"/>
      <c r="P585" s="945"/>
      <c r="Q585" s="1244"/>
      <c r="R585" s="1244"/>
      <c r="S585" s="1244"/>
      <c r="T585" s="1244"/>
      <c r="U585" s="1244"/>
      <c r="V585" s="1244"/>
      <c r="W585" s="1244"/>
      <c r="X585" s="1244"/>
      <c r="Y585" s="1244"/>
      <c r="Z585" s="1244"/>
    </row>
    <row r="586" spans="1:26" ht="18.75" hidden="1">
      <c r="A586" s="1267"/>
      <c r="B586" s="1268"/>
      <c r="C586" s="1268"/>
      <c r="D586" s="1268"/>
      <c r="E586" s="961" t="s">
        <v>248</v>
      </c>
      <c r="F586" s="961"/>
      <c r="G586" s="954"/>
      <c r="H586" s="730" t="s">
        <v>46</v>
      </c>
      <c r="I586" s="944"/>
      <c r="J586" s="959">
        <v>0</v>
      </c>
      <c r="K586" s="945"/>
      <c r="L586" s="945"/>
      <c r="M586" s="945"/>
      <c r="N586" s="945"/>
      <c r="O586" s="945"/>
      <c r="P586" s="945"/>
      <c r="Q586" s="1244"/>
      <c r="R586" s="1244"/>
      <c r="S586" s="1244"/>
      <c r="T586" s="1244"/>
      <c r="U586" s="1244"/>
      <c r="V586" s="1244"/>
      <c r="W586" s="1244"/>
      <c r="X586" s="1244"/>
      <c r="Y586" s="1244"/>
      <c r="Z586" s="1244"/>
    </row>
    <row r="587" spans="1:26" ht="18.75" hidden="1">
      <c r="A587" s="1267"/>
      <c r="B587" s="1268"/>
      <c r="C587" s="1268"/>
      <c r="D587" s="1268"/>
      <c r="E587" s="1268"/>
      <c r="F587" s="961"/>
      <c r="G587" s="954"/>
      <c r="H587" s="730" t="s">
        <v>34</v>
      </c>
      <c r="I587" s="944"/>
      <c r="J587" s="959">
        <v>0</v>
      </c>
      <c r="K587" s="945"/>
      <c r="L587" s="945"/>
      <c r="M587" s="945"/>
      <c r="N587" s="945"/>
      <c r="O587" s="945"/>
      <c r="P587" s="945"/>
      <c r="Q587" s="1244"/>
      <c r="R587" s="1244"/>
      <c r="S587" s="1244"/>
      <c r="T587" s="1244"/>
      <c r="U587" s="1244"/>
      <c r="V587" s="1244"/>
      <c r="W587" s="1244"/>
      <c r="X587" s="1244"/>
      <c r="Y587" s="1244"/>
      <c r="Z587" s="1244"/>
    </row>
    <row r="588" spans="1:26" ht="18.75" hidden="1">
      <c r="A588" s="1267"/>
      <c r="B588" s="1268"/>
      <c r="C588" s="1268"/>
      <c r="D588" s="961" t="s">
        <v>249</v>
      </c>
      <c r="E588" s="961"/>
      <c r="F588" s="961"/>
      <c r="G588" s="954"/>
      <c r="H588" s="730" t="s">
        <v>46</v>
      </c>
      <c r="I588" s="944"/>
      <c r="J588" s="959">
        <v>0</v>
      </c>
      <c r="K588" s="945"/>
      <c r="L588" s="945"/>
      <c r="M588" s="945"/>
      <c r="N588" s="945"/>
      <c r="O588" s="945"/>
      <c r="P588" s="945"/>
      <c r="Q588" s="1244"/>
      <c r="R588" s="1244"/>
      <c r="S588" s="1244"/>
      <c r="T588" s="1244"/>
      <c r="U588" s="1244"/>
      <c r="V588" s="1244"/>
      <c r="W588" s="1244"/>
      <c r="X588" s="1244"/>
      <c r="Y588" s="1244"/>
      <c r="Z588" s="1244"/>
    </row>
    <row r="589" spans="1:26" ht="18.75" hidden="1">
      <c r="A589" s="1267"/>
      <c r="B589" s="1268"/>
      <c r="C589" s="1268"/>
      <c r="D589" s="1268"/>
      <c r="E589" s="1268"/>
      <c r="F589" s="961"/>
      <c r="G589" s="954"/>
      <c r="H589" s="730" t="s">
        <v>34</v>
      </c>
      <c r="I589" s="944"/>
      <c r="J589" s="959">
        <v>0</v>
      </c>
      <c r="K589" s="945"/>
      <c r="L589" s="945"/>
      <c r="M589" s="945"/>
      <c r="N589" s="945"/>
      <c r="O589" s="945"/>
      <c r="P589" s="945"/>
      <c r="Q589" s="1244"/>
      <c r="R589" s="1244"/>
      <c r="S589" s="1244"/>
      <c r="T589" s="1244"/>
      <c r="U589" s="1244"/>
      <c r="V589" s="1244"/>
      <c r="W589" s="1244"/>
      <c r="X589" s="1244"/>
      <c r="Y589" s="1244"/>
      <c r="Z589" s="1244"/>
    </row>
    <row r="590" spans="1:26" ht="18.75" hidden="1">
      <c r="A590" s="1267"/>
      <c r="B590" s="1268"/>
      <c r="C590" s="1268"/>
      <c r="D590" s="961" t="s">
        <v>250</v>
      </c>
      <c r="E590" s="961"/>
      <c r="F590" s="961"/>
      <c r="G590" s="954"/>
      <c r="H590" s="730" t="s">
        <v>46</v>
      </c>
      <c r="I590" s="944"/>
      <c r="J590" s="959">
        <v>0</v>
      </c>
      <c r="K590" s="945"/>
      <c r="L590" s="945"/>
      <c r="M590" s="945"/>
      <c r="N590" s="945"/>
      <c r="O590" s="945"/>
      <c r="P590" s="945"/>
      <c r="Q590" s="1244"/>
      <c r="R590" s="1244"/>
      <c r="S590" s="1244"/>
      <c r="T590" s="1244"/>
      <c r="U590" s="1244"/>
      <c r="V590" s="1244"/>
      <c r="W590" s="1244"/>
      <c r="X590" s="1244"/>
      <c r="Y590" s="1244"/>
      <c r="Z590" s="1244"/>
    </row>
    <row r="591" spans="1:26" ht="18.75" hidden="1">
      <c r="A591" s="1332"/>
      <c r="B591" s="1333"/>
      <c r="C591" s="1333"/>
      <c r="D591" s="1333"/>
      <c r="E591" s="1244"/>
      <c r="F591" s="1244"/>
      <c r="G591" s="1334"/>
      <c r="H591" s="665" t="s">
        <v>34</v>
      </c>
      <c r="I591" s="1335"/>
      <c r="J591" s="1336">
        <v>0</v>
      </c>
      <c r="K591" s="1337"/>
      <c r="L591" s="1337"/>
      <c r="M591" s="1337"/>
      <c r="N591" s="1337"/>
      <c r="O591" s="1337"/>
      <c r="P591" s="1337"/>
      <c r="Q591" s="1244"/>
      <c r="R591" s="1244"/>
      <c r="S591" s="1244"/>
      <c r="T591" s="1244"/>
      <c r="U591" s="1244"/>
      <c r="V591" s="1244"/>
      <c r="W591" s="1244"/>
      <c r="X591" s="1244"/>
      <c r="Y591" s="1244"/>
      <c r="Z591" s="1244"/>
    </row>
    <row r="592" spans="1:26" ht="19.5">
      <c r="A592" s="1329"/>
      <c r="B592" s="1330" t="s">
        <v>251</v>
      </c>
      <c r="C592" s="1331"/>
      <c r="D592" s="1331"/>
      <c r="E592" s="1315"/>
      <c r="F592" s="1315"/>
      <c r="G592" s="1316"/>
      <c r="H592" s="661" t="s">
        <v>46</v>
      </c>
      <c r="I592" s="1338">
        <f t="shared" ref="I592:J592" ca="1" si="253">I593</f>
        <v>1174.1199999999999</v>
      </c>
      <c r="J592" s="1317">
        <f t="shared" si="253"/>
        <v>0</v>
      </c>
      <c r="K592" s="1318">
        <f t="shared" ref="K592:K594" ca="1" si="254">IF(I592&gt;0,J592*100/I592,0)</f>
        <v>0</v>
      </c>
      <c r="L592" s="1319"/>
      <c r="M592" s="1319"/>
      <c r="N592" s="1319"/>
      <c r="O592" s="1319"/>
      <c r="P592" s="1319"/>
      <c r="Q592" s="1244"/>
      <c r="R592" s="1244"/>
      <c r="S592" s="1244"/>
      <c r="T592" s="1244"/>
      <c r="U592" s="1244"/>
      <c r="V592" s="1244"/>
      <c r="W592" s="1244"/>
      <c r="X592" s="1244"/>
      <c r="Y592" s="1244"/>
      <c r="Z592" s="1244"/>
    </row>
    <row r="593" spans="1:26" ht="19.5">
      <c r="A593" s="1267"/>
      <c r="B593" s="1268"/>
      <c r="C593" s="1277" t="s">
        <v>252</v>
      </c>
      <c r="D593" s="1268"/>
      <c r="E593" s="1268"/>
      <c r="F593" s="961"/>
      <c r="G593" s="954"/>
      <c r="H593" s="733" t="s">
        <v>46</v>
      </c>
      <c r="I593" s="1339">
        <f ca="1">IFERROR(__xludf.DUMMYFUNCTION("IMPORTRANGE(""https://docs.google.com/spreadsheets/d/1QqKyyYR6Q21VydFLVH3TRQUabQu_ym0Zz7PgGX0-kHA/edit?usp=sharing"",""แผน!HJ25"")"),1174.12)</f>
        <v>1174.1199999999999</v>
      </c>
      <c r="J593" s="965">
        <f t="shared" ref="J593:J594" si="255">J595+J603+J609</f>
        <v>0</v>
      </c>
      <c r="K593" s="1109">
        <f t="shared" ca="1" si="254"/>
        <v>0</v>
      </c>
      <c r="L593" s="945"/>
      <c r="M593" s="945"/>
      <c r="N593" s="945"/>
      <c r="O593" s="945"/>
      <c r="P593" s="945"/>
      <c r="Q593" s="1244"/>
      <c r="R593" s="1244"/>
      <c r="S593" s="1244"/>
      <c r="T593" s="1244"/>
      <c r="U593" s="1244"/>
      <c r="V593" s="1244"/>
      <c r="W593" s="1244"/>
      <c r="X593" s="1244"/>
      <c r="Y593" s="1244"/>
      <c r="Z593" s="1244"/>
    </row>
    <row r="594" spans="1:26" ht="19.5">
      <c r="A594" s="1267"/>
      <c r="B594" s="1268"/>
      <c r="C594" s="1268"/>
      <c r="D594" s="1268"/>
      <c r="E594" s="961"/>
      <c r="F594" s="961"/>
      <c r="G594" s="954"/>
      <c r="H594" s="733" t="s">
        <v>34</v>
      </c>
      <c r="I594" s="965">
        <f ca="1">IFERROR(__xludf.DUMMYFUNCTION("IMPORTRANGE(""https://docs.google.com/spreadsheets/d/1QqKyyYR6Q21VydFLVH3TRQUabQu_ym0Zz7PgGX0-kHA/edit?usp=sharing"",""แผน!HI25"")"),295)</f>
        <v>295</v>
      </c>
      <c r="J594" s="965">
        <f t="shared" si="255"/>
        <v>0</v>
      </c>
      <c r="K594" s="1109">
        <f t="shared" ca="1" si="254"/>
        <v>0</v>
      </c>
      <c r="L594" s="945"/>
      <c r="M594" s="945"/>
      <c r="N594" s="945"/>
      <c r="O594" s="945"/>
      <c r="P594" s="945"/>
      <c r="Q594" s="1244"/>
      <c r="R594" s="1244"/>
      <c r="S594" s="1244"/>
      <c r="T594" s="1244"/>
      <c r="U594" s="1244"/>
      <c r="V594" s="1244"/>
      <c r="W594" s="1244"/>
      <c r="X594" s="1244"/>
      <c r="Y594" s="1244"/>
      <c r="Z594" s="1244"/>
    </row>
    <row r="595" spans="1:26" ht="18.75">
      <c r="A595" s="1267"/>
      <c r="B595" s="1268"/>
      <c r="C595" s="1268" t="s">
        <v>253</v>
      </c>
      <c r="D595" s="1268"/>
      <c r="E595" s="1268"/>
      <c r="F595" s="961"/>
      <c r="G595" s="954"/>
      <c r="H595" s="730" t="s">
        <v>46</v>
      </c>
      <c r="I595" s="944"/>
      <c r="J595" s="944">
        <f t="shared" ref="J595:J596" si="256">J597+J599</f>
        <v>0</v>
      </c>
      <c r="K595" s="945"/>
      <c r="L595" s="945"/>
      <c r="M595" s="945"/>
      <c r="N595" s="945"/>
      <c r="O595" s="945"/>
      <c r="P595" s="945"/>
      <c r="Q595" s="1244"/>
      <c r="R595" s="1244"/>
      <c r="S595" s="1244"/>
      <c r="T595" s="1244"/>
      <c r="U595" s="1244"/>
      <c r="V595" s="1244"/>
      <c r="W595" s="1244"/>
      <c r="X595" s="1244"/>
      <c r="Y595" s="1244"/>
      <c r="Z595" s="1244"/>
    </row>
    <row r="596" spans="1:26" ht="18.75">
      <c r="A596" s="1267"/>
      <c r="B596" s="1268"/>
      <c r="C596" s="1268"/>
      <c r="D596" s="1268"/>
      <c r="E596" s="961"/>
      <c r="F596" s="961"/>
      <c r="G596" s="954"/>
      <c r="H596" s="730" t="s">
        <v>34</v>
      </c>
      <c r="I596" s="944"/>
      <c r="J596" s="944">
        <f t="shared" si="256"/>
        <v>0</v>
      </c>
      <c r="K596" s="945"/>
      <c r="L596" s="945"/>
      <c r="M596" s="945"/>
      <c r="N596" s="945"/>
      <c r="O596" s="945"/>
      <c r="P596" s="945"/>
      <c r="Q596" s="1244"/>
      <c r="R596" s="1244"/>
      <c r="S596" s="1244"/>
      <c r="T596" s="1244"/>
      <c r="U596" s="1244"/>
      <c r="V596" s="1244"/>
      <c r="W596" s="1244"/>
      <c r="X596" s="1244"/>
      <c r="Y596" s="1244"/>
      <c r="Z596" s="1244"/>
    </row>
    <row r="597" spans="1:26" ht="18.75">
      <c r="A597" s="1267"/>
      <c r="B597" s="1268"/>
      <c r="C597" s="1268"/>
      <c r="D597" s="1017" t="s">
        <v>254</v>
      </c>
      <c r="E597" s="961"/>
      <c r="F597" s="961"/>
      <c r="G597" s="954"/>
      <c r="H597" s="730" t="s">
        <v>46</v>
      </c>
      <c r="I597" s="944"/>
      <c r="J597" s="959">
        <v>0</v>
      </c>
      <c r="K597" s="945"/>
      <c r="L597" s="945"/>
      <c r="M597" s="945"/>
      <c r="N597" s="945"/>
      <c r="O597" s="945"/>
      <c r="P597" s="945"/>
      <c r="Q597" s="1244"/>
      <c r="R597" s="1244"/>
      <c r="S597" s="1244"/>
      <c r="T597" s="1244"/>
      <c r="U597" s="1244"/>
      <c r="V597" s="1244"/>
      <c r="W597" s="1244"/>
      <c r="X597" s="1244"/>
      <c r="Y597" s="1244"/>
      <c r="Z597" s="1244"/>
    </row>
    <row r="598" spans="1:26" ht="18.75">
      <c r="A598" s="1267"/>
      <c r="B598" s="1268"/>
      <c r="C598" s="1268"/>
      <c r="D598" s="1268"/>
      <c r="E598" s="961"/>
      <c r="F598" s="961"/>
      <c r="G598" s="954"/>
      <c r="H598" s="730" t="s">
        <v>34</v>
      </c>
      <c r="I598" s="830"/>
      <c r="J598" s="959">
        <v>0</v>
      </c>
      <c r="K598" s="945"/>
      <c r="L598" s="945"/>
      <c r="M598" s="945"/>
      <c r="N598" s="945"/>
      <c r="O598" s="945"/>
      <c r="P598" s="945"/>
      <c r="Q598" s="1244"/>
      <c r="R598" s="1244"/>
      <c r="S598" s="1244"/>
      <c r="T598" s="1244"/>
      <c r="U598" s="1244"/>
      <c r="V598" s="1244"/>
      <c r="W598" s="1244"/>
      <c r="X598" s="1244"/>
      <c r="Y598" s="1244"/>
      <c r="Z598" s="1244"/>
    </row>
    <row r="599" spans="1:26" ht="18.75">
      <c r="A599" s="1267"/>
      <c r="B599" s="1268"/>
      <c r="C599" s="1268"/>
      <c r="D599" s="1017" t="s">
        <v>255</v>
      </c>
      <c r="E599" s="961"/>
      <c r="F599" s="961"/>
      <c r="G599" s="954"/>
      <c r="H599" s="730" t="s">
        <v>46</v>
      </c>
      <c r="I599" s="830"/>
      <c r="J599" s="959">
        <v>0</v>
      </c>
      <c r="K599" s="945"/>
      <c r="L599" s="945"/>
      <c r="M599" s="945"/>
      <c r="N599" s="945"/>
      <c r="O599" s="945"/>
      <c r="P599" s="945"/>
      <c r="Q599" s="1244"/>
      <c r="R599" s="1244"/>
      <c r="S599" s="1244"/>
      <c r="T599" s="1244"/>
      <c r="U599" s="1244"/>
      <c r="V599" s="1244"/>
      <c r="W599" s="1244"/>
      <c r="X599" s="1244"/>
      <c r="Y599" s="1244"/>
      <c r="Z599" s="1244"/>
    </row>
    <row r="600" spans="1:26" ht="18.75">
      <c r="A600" s="1267"/>
      <c r="B600" s="1268"/>
      <c r="C600" s="1268"/>
      <c r="D600" s="1268"/>
      <c r="E600" s="961"/>
      <c r="F600" s="961"/>
      <c r="G600" s="954"/>
      <c r="H600" s="730" t="s">
        <v>34</v>
      </c>
      <c r="I600" s="830"/>
      <c r="J600" s="959">
        <v>0</v>
      </c>
      <c r="K600" s="945"/>
      <c r="L600" s="945"/>
      <c r="M600" s="945"/>
      <c r="N600" s="945"/>
      <c r="O600" s="945"/>
      <c r="P600" s="945"/>
      <c r="Q600" s="1244"/>
      <c r="R600" s="1244"/>
      <c r="S600" s="1244"/>
      <c r="T600" s="1244"/>
      <c r="U600" s="1244"/>
      <c r="V600" s="1244"/>
      <c r="W600" s="1244"/>
      <c r="X600" s="1244"/>
      <c r="Y600" s="1244"/>
      <c r="Z600" s="1244"/>
    </row>
    <row r="601" spans="1:26" ht="18.75">
      <c r="A601" s="1267"/>
      <c r="B601" s="1268"/>
      <c r="C601" s="1268"/>
      <c r="D601" s="1017" t="s">
        <v>256</v>
      </c>
      <c r="E601" s="961"/>
      <c r="F601" s="961"/>
      <c r="G601" s="954"/>
      <c r="H601" s="730" t="s">
        <v>46</v>
      </c>
      <c r="I601" s="830"/>
      <c r="J601" s="959">
        <v>0</v>
      </c>
      <c r="K601" s="945"/>
      <c r="L601" s="945"/>
      <c r="M601" s="945"/>
      <c r="N601" s="945"/>
      <c r="O601" s="945"/>
      <c r="P601" s="945"/>
      <c r="Q601" s="1244"/>
      <c r="R601" s="1244"/>
      <c r="S601" s="1244"/>
      <c r="T601" s="1244"/>
      <c r="U601" s="1244"/>
      <c r="V601" s="1244"/>
      <c r="W601" s="1244"/>
      <c r="X601" s="1244"/>
      <c r="Y601" s="1244"/>
      <c r="Z601" s="1244"/>
    </row>
    <row r="602" spans="1:26" ht="18.75">
      <c r="A602" s="1267"/>
      <c r="B602" s="1268"/>
      <c r="C602" s="1268"/>
      <c r="D602" s="1268"/>
      <c r="E602" s="961"/>
      <c r="F602" s="961"/>
      <c r="G602" s="954"/>
      <c r="H602" s="730" t="s">
        <v>34</v>
      </c>
      <c r="I602" s="830"/>
      <c r="J602" s="959">
        <v>0</v>
      </c>
      <c r="K602" s="945"/>
      <c r="L602" s="945"/>
      <c r="M602" s="945"/>
      <c r="N602" s="945"/>
      <c r="O602" s="945"/>
      <c r="P602" s="945"/>
      <c r="Q602" s="1244"/>
      <c r="R602" s="1244"/>
      <c r="S602" s="1244"/>
      <c r="T602" s="1244"/>
      <c r="U602" s="1244"/>
      <c r="V602" s="1244"/>
      <c r="W602" s="1244"/>
      <c r="X602" s="1244"/>
      <c r="Y602" s="1244"/>
      <c r="Z602" s="1244"/>
    </row>
    <row r="603" spans="1:26" ht="18.75">
      <c r="A603" s="1267"/>
      <c r="B603" s="1268"/>
      <c r="C603" s="1340" t="s">
        <v>257</v>
      </c>
      <c r="D603" s="1268"/>
      <c r="E603" s="1268"/>
      <c r="F603" s="961"/>
      <c r="G603" s="954"/>
      <c r="H603" s="730" t="s">
        <v>46</v>
      </c>
      <c r="I603" s="830"/>
      <c r="J603" s="830">
        <f t="shared" ref="J603:J604" si="257">J605+J607</f>
        <v>0</v>
      </c>
      <c r="K603" s="945"/>
      <c r="L603" s="945"/>
      <c r="M603" s="945"/>
      <c r="N603" s="945"/>
      <c r="O603" s="945"/>
      <c r="P603" s="945"/>
      <c r="Q603" s="1244"/>
      <c r="R603" s="1244"/>
      <c r="S603" s="1244"/>
      <c r="T603" s="1244"/>
      <c r="U603" s="1244"/>
      <c r="V603" s="1244"/>
      <c r="W603" s="1244"/>
      <c r="X603" s="1244"/>
      <c r="Y603" s="1244"/>
      <c r="Z603" s="1244"/>
    </row>
    <row r="604" spans="1:26" ht="18.75">
      <c r="A604" s="1267"/>
      <c r="B604" s="1268"/>
      <c r="C604" s="1268"/>
      <c r="D604" s="1268"/>
      <c r="E604" s="961"/>
      <c r="F604" s="961"/>
      <c r="G604" s="954"/>
      <c r="H604" s="730" t="s">
        <v>34</v>
      </c>
      <c r="I604" s="830"/>
      <c r="J604" s="830">
        <f t="shared" si="257"/>
        <v>0</v>
      </c>
      <c r="K604" s="945"/>
      <c r="L604" s="945"/>
      <c r="M604" s="945"/>
      <c r="N604" s="945"/>
      <c r="O604" s="945"/>
      <c r="P604" s="945"/>
      <c r="Q604" s="1244"/>
      <c r="R604" s="1244"/>
      <c r="S604" s="1244"/>
      <c r="T604" s="1244"/>
      <c r="U604" s="1244"/>
      <c r="V604" s="1244"/>
      <c r="W604" s="1244"/>
      <c r="X604" s="1244"/>
      <c r="Y604" s="1244"/>
      <c r="Z604" s="1244"/>
    </row>
    <row r="605" spans="1:26" ht="18.75">
      <c r="A605" s="1267"/>
      <c r="B605" s="1268"/>
      <c r="C605" s="1268"/>
      <c r="D605" s="1340" t="s">
        <v>258</v>
      </c>
      <c r="E605" s="961"/>
      <c r="F605" s="961"/>
      <c r="G605" s="954"/>
      <c r="H605" s="730" t="s">
        <v>46</v>
      </c>
      <c r="I605" s="830"/>
      <c r="J605" s="959">
        <v>0</v>
      </c>
      <c r="K605" s="945"/>
      <c r="L605" s="945"/>
      <c r="M605" s="945"/>
      <c r="N605" s="945"/>
      <c r="O605" s="945"/>
      <c r="P605" s="945"/>
      <c r="Q605" s="1244"/>
      <c r="R605" s="1244"/>
      <c r="S605" s="1244"/>
      <c r="T605" s="1244"/>
      <c r="U605" s="1244"/>
      <c r="V605" s="1244"/>
      <c r="W605" s="1244"/>
      <c r="X605" s="1244"/>
      <c r="Y605" s="1244"/>
      <c r="Z605" s="1244"/>
    </row>
    <row r="606" spans="1:26" ht="18.75">
      <c r="A606" s="1267"/>
      <c r="B606" s="1268"/>
      <c r="C606" s="1268"/>
      <c r="D606" s="1268"/>
      <c r="E606" s="1268"/>
      <c r="F606" s="961"/>
      <c r="G606" s="954"/>
      <c r="H606" s="730" t="s">
        <v>34</v>
      </c>
      <c r="I606" s="830"/>
      <c r="J606" s="959">
        <v>0</v>
      </c>
      <c r="K606" s="945"/>
      <c r="L606" s="945"/>
      <c r="M606" s="945"/>
      <c r="N606" s="945"/>
      <c r="O606" s="945"/>
      <c r="P606" s="945"/>
      <c r="Q606" s="1244"/>
      <c r="R606" s="1244"/>
      <c r="S606" s="1244"/>
      <c r="T606" s="1244"/>
      <c r="U606" s="1244"/>
      <c r="V606" s="1244"/>
      <c r="W606" s="1244"/>
      <c r="X606" s="1244"/>
      <c r="Y606" s="1244"/>
      <c r="Z606" s="1244"/>
    </row>
    <row r="607" spans="1:26" ht="18.75">
      <c r="A607" s="1267"/>
      <c r="B607" s="1268"/>
      <c r="C607" s="1268"/>
      <c r="D607" s="1340" t="s">
        <v>259</v>
      </c>
      <c r="E607" s="1268"/>
      <c r="F607" s="961"/>
      <c r="G607" s="954"/>
      <c r="H607" s="730" t="s">
        <v>46</v>
      </c>
      <c r="I607" s="830"/>
      <c r="J607" s="959">
        <v>0</v>
      </c>
      <c r="K607" s="945"/>
      <c r="L607" s="945"/>
      <c r="M607" s="945"/>
      <c r="N607" s="945"/>
      <c r="O607" s="945"/>
      <c r="P607" s="945"/>
      <c r="Q607" s="1244"/>
      <c r="R607" s="1244"/>
      <c r="S607" s="1244"/>
      <c r="T607" s="1244"/>
      <c r="U607" s="1244"/>
      <c r="V607" s="1244"/>
      <c r="W607" s="1244"/>
      <c r="X607" s="1244"/>
      <c r="Y607" s="1244"/>
      <c r="Z607" s="1244"/>
    </row>
    <row r="608" spans="1:26" ht="18.75">
      <c r="A608" s="1267"/>
      <c r="B608" s="1268"/>
      <c r="C608" s="1268"/>
      <c r="D608" s="1268"/>
      <c r="E608" s="961"/>
      <c r="F608" s="961"/>
      <c r="G608" s="954"/>
      <c r="H608" s="730" t="s">
        <v>34</v>
      </c>
      <c r="I608" s="830"/>
      <c r="J608" s="959">
        <v>0</v>
      </c>
      <c r="K608" s="945"/>
      <c r="L608" s="945"/>
      <c r="M608" s="945"/>
      <c r="N608" s="945"/>
      <c r="O608" s="945"/>
      <c r="P608" s="945"/>
      <c r="Q608" s="1244"/>
      <c r="R608" s="1244"/>
      <c r="S608" s="1244"/>
      <c r="T608" s="1244"/>
      <c r="U608" s="1244"/>
      <c r="V608" s="1244"/>
      <c r="W608" s="1244"/>
      <c r="X608" s="1244"/>
      <c r="Y608" s="1244"/>
      <c r="Z608" s="1244"/>
    </row>
    <row r="609" spans="1:26" ht="18.75">
      <c r="A609" s="1267"/>
      <c r="B609" s="1268"/>
      <c r="C609" s="1268" t="s">
        <v>260</v>
      </c>
      <c r="D609" s="1268"/>
      <c r="E609" s="1268"/>
      <c r="F609" s="961"/>
      <c r="G609" s="954"/>
      <c r="H609" s="730" t="s">
        <v>46</v>
      </c>
      <c r="I609" s="830"/>
      <c r="J609" s="959">
        <v>0</v>
      </c>
      <c r="K609" s="945"/>
      <c r="L609" s="945"/>
      <c r="M609" s="945"/>
      <c r="N609" s="945"/>
      <c r="O609" s="945"/>
      <c r="P609" s="945"/>
      <c r="Q609" s="1244"/>
      <c r="R609" s="1244"/>
      <c r="S609" s="1244"/>
      <c r="T609" s="1244"/>
      <c r="U609" s="1244"/>
      <c r="V609" s="1244"/>
      <c r="W609" s="1244"/>
      <c r="X609" s="1244"/>
      <c r="Y609" s="1244"/>
      <c r="Z609" s="1244"/>
    </row>
    <row r="610" spans="1:26" ht="18.75">
      <c r="A610" s="1267"/>
      <c r="B610" s="1268"/>
      <c r="C610" s="1268"/>
      <c r="D610" s="1268"/>
      <c r="E610" s="961"/>
      <c r="F610" s="961"/>
      <c r="G610" s="954"/>
      <c r="H610" s="730" t="s">
        <v>34</v>
      </c>
      <c r="I610" s="830"/>
      <c r="J610" s="959">
        <v>0</v>
      </c>
      <c r="K610" s="945"/>
      <c r="L610" s="945"/>
      <c r="M610" s="945"/>
      <c r="N610" s="945"/>
      <c r="O610" s="945"/>
      <c r="P610" s="945"/>
      <c r="Q610" s="1244"/>
      <c r="R610" s="1244"/>
      <c r="S610" s="1244"/>
      <c r="T610" s="1244"/>
      <c r="U610" s="1244"/>
      <c r="V610" s="1244"/>
      <c r="W610" s="1244"/>
      <c r="X610" s="1244"/>
      <c r="Y610" s="1244"/>
      <c r="Z610" s="1244"/>
    </row>
    <row r="611" spans="1:26" ht="19.5" hidden="1">
      <c r="A611" s="1329"/>
      <c r="B611" s="1341" t="s">
        <v>261</v>
      </c>
      <c r="C611" s="1331"/>
      <c r="D611" s="1331"/>
      <c r="E611" s="1315"/>
      <c r="F611" s="1315"/>
      <c r="G611" s="1316"/>
      <c r="H611" s="673" t="s">
        <v>46</v>
      </c>
      <c r="I611" s="1317">
        <v>0</v>
      </c>
      <c r="J611" s="1317">
        <f>J614+J616</f>
        <v>0</v>
      </c>
      <c r="K611" s="1318">
        <f t="shared" ref="K611:K613" si="258">IF(I611&gt;0,J611*100/I611,0)</f>
        <v>0</v>
      </c>
      <c r="L611" s="1319"/>
      <c r="M611" s="1319"/>
      <c r="N611" s="1319"/>
      <c r="O611" s="1319"/>
      <c r="P611" s="1319"/>
      <c r="Q611" s="1244"/>
      <c r="R611" s="1244"/>
      <c r="S611" s="1244"/>
      <c r="T611" s="1244"/>
      <c r="U611" s="1244"/>
      <c r="V611" s="1244"/>
      <c r="W611" s="1244"/>
      <c r="X611" s="1244"/>
      <c r="Y611" s="1244"/>
      <c r="Z611" s="1244"/>
    </row>
    <row r="612" spans="1:26" ht="19.5" hidden="1">
      <c r="A612" s="1342"/>
      <c r="B612" s="1343"/>
      <c r="C612" s="1344" t="s">
        <v>262</v>
      </c>
      <c r="D612" s="1343"/>
      <c r="E612" s="1343"/>
      <c r="F612" s="1345"/>
      <c r="G612" s="1346"/>
      <c r="H612" s="680" t="s">
        <v>46</v>
      </c>
      <c r="I612" s="1347">
        <v>0</v>
      </c>
      <c r="J612" s="1347">
        <f t="shared" ref="J612:J613" si="259">J614+J616</f>
        <v>0</v>
      </c>
      <c r="K612" s="1348">
        <f t="shared" si="258"/>
        <v>0</v>
      </c>
      <c r="L612" s="1349"/>
      <c r="M612" s="1349"/>
      <c r="N612" s="1349"/>
      <c r="O612" s="1349"/>
      <c r="P612" s="1349"/>
      <c r="Q612" s="1264"/>
      <c r="R612" s="1264"/>
      <c r="S612" s="1264"/>
      <c r="T612" s="1264"/>
      <c r="U612" s="1264"/>
      <c r="V612" s="1264"/>
      <c r="W612" s="1264"/>
      <c r="X612" s="1264"/>
      <c r="Y612" s="1264"/>
      <c r="Z612" s="1264"/>
    </row>
    <row r="613" spans="1:26" ht="19.5" hidden="1">
      <c r="A613" s="1342"/>
      <c r="B613" s="1343"/>
      <c r="C613" s="1343" t="s">
        <v>263</v>
      </c>
      <c r="D613" s="1343"/>
      <c r="E613" s="1343"/>
      <c r="F613" s="1345"/>
      <c r="G613" s="1346"/>
      <c r="H613" s="680" t="s">
        <v>34</v>
      </c>
      <c r="I613" s="1347">
        <v>0</v>
      </c>
      <c r="J613" s="1347">
        <f t="shared" si="259"/>
        <v>0</v>
      </c>
      <c r="K613" s="1348">
        <f t="shared" si="258"/>
        <v>0</v>
      </c>
      <c r="L613" s="1349"/>
      <c r="M613" s="1349"/>
      <c r="N613" s="1349"/>
      <c r="O613" s="1349"/>
      <c r="P613" s="1349"/>
      <c r="Q613" s="1264"/>
      <c r="R613" s="1264"/>
      <c r="S613" s="1264"/>
      <c r="T613" s="1264"/>
      <c r="U613" s="1264"/>
      <c r="V613" s="1264"/>
      <c r="W613" s="1264"/>
      <c r="X613" s="1264"/>
      <c r="Y613" s="1264"/>
      <c r="Z613" s="1264"/>
    </row>
    <row r="614" spans="1:26" ht="18.75" hidden="1">
      <c r="A614" s="1273"/>
      <c r="B614" s="1274"/>
      <c r="C614" s="1274"/>
      <c r="D614" s="1262" t="s">
        <v>264</v>
      </c>
      <c r="E614" s="1274"/>
      <c r="F614" s="1262"/>
      <c r="G614" s="1060"/>
      <c r="H614" s="583" t="s">
        <v>46</v>
      </c>
      <c r="I614" s="836"/>
      <c r="J614" s="836">
        <v>0</v>
      </c>
      <c r="K614" s="948"/>
      <c r="L614" s="948"/>
      <c r="M614" s="948"/>
      <c r="N614" s="948"/>
      <c r="O614" s="948"/>
      <c r="P614" s="948"/>
      <c r="Q614" s="1264"/>
      <c r="R614" s="1264"/>
      <c r="S614" s="1264"/>
      <c r="T614" s="1264"/>
      <c r="U614" s="1264"/>
      <c r="V614" s="1264"/>
      <c r="W614" s="1264"/>
      <c r="X614" s="1264"/>
      <c r="Y614" s="1264"/>
      <c r="Z614" s="1264"/>
    </row>
    <row r="615" spans="1:26" ht="18.75" hidden="1">
      <c r="A615" s="1273"/>
      <c r="B615" s="1274"/>
      <c r="C615" s="1274"/>
      <c r="D615" s="1274"/>
      <c r="E615" s="1274"/>
      <c r="F615" s="1262"/>
      <c r="G615" s="1060"/>
      <c r="H615" s="583" t="s">
        <v>34</v>
      </c>
      <c r="I615" s="836"/>
      <c r="J615" s="836">
        <v>0</v>
      </c>
      <c r="K615" s="948"/>
      <c r="L615" s="948"/>
      <c r="M615" s="948"/>
      <c r="N615" s="948"/>
      <c r="O615" s="948"/>
      <c r="P615" s="948"/>
      <c r="Q615" s="1264"/>
      <c r="R615" s="1264"/>
      <c r="S615" s="1264"/>
      <c r="T615" s="1264"/>
      <c r="U615" s="1264"/>
      <c r="V615" s="1264"/>
      <c r="W615" s="1264"/>
      <c r="X615" s="1264"/>
      <c r="Y615" s="1264"/>
      <c r="Z615" s="1264"/>
    </row>
    <row r="616" spans="1:26" ht="18.75" hidden="1">
      <c r="A616" s="1273"/>
      <c r="B616" s="1274"/>
      <c r="C616" s="1274"/>
      <c r="D616" s="1350" t="s">
        <v>264</v>
      </c>
      <c r="E616" s="1262"/>
      <c r="F616" s="1262"/>
      <c r="G616" s="1060"/>
      <c r="H616" s="583" t="s">
        <v>46</v>
      </c>
      <c r="I616" s="836"/>
      <c r="J616" s="836">
        <v>0</v>
      </c>
      <c r="K616" s="948"/>
      <c r="L616" s="948"/>
      <c r="M616" s="948"/>
      <c r="N616" s="948"/>
      <c r="O616" s="948"/>
      <c r="P616" s="948"/>
      <c r="Q616" s="1264"/>
      <c r="R616" s="1264"/>
      <c r="S616" s="1264"/>
      <c r="T616" s="1264"/>
      <c r="U616" s="1264"/>
      <c r="V616" s="1264"/>
      <c r="W616" s="1264"/>
      <c r="X616" s="1264"/>
      <c r="Y616" s="1264"/>
      <c r="Z616" s="1264"/>
    </row>
    <row r="617" spans="1:26" ht="18.75" hidden="1">
      <c r="A617" s="1273"/>
      <c r="B617" s="1274"/>
      <c r="C617" s="1274"/>
      <c r="D617" s="1274"/>
      <c r="E617" s="1262"/>
      <c r="F617" s="1262"/>
      <c r="G617" s="1060"/>
      <c r="H617" s="583" t="s">
        <v>34</v>
      </c>
      <c r="I617" s="836"/>
      <c r="J617" s="836">
        <v>0</v>
      </c>
      <c r="K617" s="948"/>
      <c r="L617" s="948"/>
      <c r="M617" s="948"/>
      <c r="N617" s="948"/>
      <c r="O617" s="948"/>
      <c r="P617" s="948"/>
      <c r="Q617" s="1264"/>
      <c r="R617" s="1264"/>
      <c r="S617" s="1264"/>
      <c r="T617" s="1264"/>
      <c r="U617" s="1264"/>
      <c r="V617" s="1264"/>
      <c r="W617" s="1264"/>
      <c r="X617" s="1264"/>
      <c r="Y617" s="1264"/>
      <c r="Z617" s="1264"/>
    </row>
    <row r="618" spans="1:26" ht="18.75" hidden="1">
      <c r="A618" s="1273"/>
      <c r="B618" s="1274"/>
      <c r="C618" s="1274"/>
      <c r="D618" s="1350" t="s">
        <v>265</v>
      </c>
      <c r="E618" s="1262"/>
      <c r="F618" s="1262"/>
      <c r="G618" s="1060"/>
      <c r="H618" s="583" t="s">
        <v>46</v>
      </c>
      <c r="I618" s="836"/>
      <c r="J618" s="836">
        <v>0</v>
      </c>
      <c r="K618" s="948"/>
      <c r="L618" s="948"/>
      <c r="M618" s="948"/>
      <c r="N618" s="948"/>
      <c r="O618" s="948"/>
      <c r="P618" s="948"/>
      <c r="Q618" s="1264"/>
      <c r="R618" s="1264"/>
      <c r="S618" s="1264"/>
      <c r="T618" s="1264"/>
      <c r="U618" s="1264"/>
      <c r="V618" s="1264"/>
      <c r="W618" s="1264"/>
      <c r="X618" s="1264"/>
      <c r="Y618" s="1264"/>
      <c r="Z618" s="1264"/>
    </row>
    <row r="619" spans="1:26" ht="18.75" hidden="1">
      <c r="A619" s="1273"/>
      <c r="B619" s="1274"/>
      <c r="C619" s="1274"/>
      <c r="D619" s="1274"/>
      <c r="E619" s="1262"/>
      <c r="F619" s="1262"/>
      <c r="G619" s="1060"/>
      <c r="H619" s="583" t="s">
        <v>34</v>
      </c>
      <c r="I619" s="836"/>
      <c r="J619" s="836">
        <v>0</v>
      </c>
      <c r="K619" s="948"/>
      <c r="L619" s="948"/>
      <c r="M619" s="948"/>
      <c r="N619" s="948"/>
      <c r="O619" s="948"/>
      <c r="P619" s="948"/>
      <c r="Q619" s="1264"/>
      <c r="R619" s="1264"/>
      <c r="S619" s="1264"/>
      <c r="T619" s="1264"/>
      <c r="U619" s="1264"/>
      <c r="V619" s="1264"/>
      <c r="W619" s="1264"/>
      <c r="X619" s="1264"/>
      <c r="Y619" s="1264"/>
      <c r="Z619" s="1264"/>
    </row>
    <row r="620" spans="1:26" ht="19.5" hidden="1">
      <c r="A620" s="1351"/>
      <c r="B620" s="1352"/>
      <c r="C620" s="1353" t="s">
        <v>266</v>
      </c>
      <c r="D620" s="1352"/>
      <c r="E620" s="1352"/>
      <c r="F620" s="1354"/>
      <c r="G620" s="1355"/>
      <c r="H620" s="693" t="s">
        <v>46</v>
      </c>
      <c r="I620" s="1356">
        <f ca="1">IFERROR(__xludf.DUMMYFUNCTION("IMPORTRANGE(""https://docs.google.com/spreadsheets/d/1QqKyyYR6Q21VydFLVH3TRQUabQu_ym0Zz7PgGX0-kHA/edit?usp=sharing"",""แผน!HL25"")"),0)</f>
        <v>0</v>
      </c>
      <c r="J620" s="1356">
        <f t="shared" ref="J620:J621" si="260">J622+J624+J626</f>
        <v>0</v>
      </c>
      <c r="K620" s="1357">
        <f t="shared" ref="K620:K621" ca="1" si="261">IF(I620&gt;0,J620*100/I620,0)</f>
        <v>0</v>
      </c>
      <c r="L620" s="1358"/>
      <c r="M620" s="1358"/>
      <c r="N620" s="1358"/>
      <c r="O620" s="1358"/>
      <c r="P620" s="1358"/>
      <c r="Q620" s="1244"/>
      <c r="R620" s="1244"/>
      <c r="S620" s="1244"/>
      <c r="T620" s="1244"/>
      <c r="U620" s="1244"/>
      <c r="V620" s="1244"/>
      <c r="W620" s="1244"/>
      <c r="X620" s="1244"/>
      <c r="Y620" s="1244"/>
      <c r="Z620" s="1244"/>
    </row>
    <row r="621" spans="1:26" ht="19.5" hidden="1">
      <c r="A621" s="1351"/>
      <c r="B621" s="1352"/>
      <c r="C621" s="1352" t="s">
        <v>267</v>
      </c>
      <c r="D621" s="1352"/>
      <c r="E621" s="1352"/>
      <c r="F621" s="1354"/>
      <c r="G621" s="1355"/>
      <c r="H621" s="693" t="s">
        <v>34</v>
      </c>
      <c r="I621" s="1356">
        <f ca="1">IFERROR(__xludf.DUMMYFUNCTION("IMPORTRANGE(""https://docs.google.com/spreadsheets/d/1QqKyyYR6Q21VydFLVH3TRQUabQu_ym0Zz7PgGX0-kHA/edit?usp=sharing"",""แผน!HK25"")"),0)</f>
        <v>0</v>
      </c>
      <c r="J621" s="1356">
        <f t="shared" si="260"/>
        <v>0</v>
      </c>
      <c r="K621" s="1357">
        <f t="shared" ca="1" si="261"/>
        <v>0</v>
      </c>
      <c r="L621" s="1358"/>
      <c r="M621" s="1358"/>
      <c r="N621" s="1358"/>
      <c r="O621" s="1358"/>
      <c r="P621" s="1358"/>
      <c r="Q621" s="1244"/>
      <c r="R621" s="1244"/>
      <c r="S621" s="1244"/>
      <c r="T621" s="1244"/>
      <c r="U621" s="1244"/>
      <c r="V621" s="1244"/>
      <c r="W621" s="1244"/>
      <c r="X621" s="1244"/>
      <c r="Y621" s="1244"/>
      <c r="Z621" s="1244"/>
    </row>
    <row r="622" spans="1:26" ht="18.75" hidden="1">
      <c r="A622" s="1267"/>
      <c r="B622" s="1268"/>
      <c r="C622" s="1268"/>
      <c r="D622" s="1017" t="s">
        <v>268</v>
      </c>
      <c r="E622" s="961"/>
      <c r="F622" s="961"/>
      <c r="G622" s="954"/>
      <c r="H622" s="730" t="s">
        <v>46</v>
      </c>
      <c r="I622" s="830"/>
      <c r="J622" s="959">
        <v>0</v>
      </c>
      <c r="K622" s="945"/>
      <c r="L622" s="945"/>
      <c r="M622" s="945"/>
      <c r="N622" s="945"/>
      <c r="O622" s="945"/>
      <c r="P622" s="945"/>
      <c r="Q622" s="1244"/>
      <c r="R622" s="1244"/>
      <c r="S622" s="1244"/>
      <c r="T622" s="1244"/>
      <c r="U622" s="1244"/>
      <c r="V622" s="1244"/>
      <c r="W622" s="1244"/>
      <c r="X622" s="1244"/>
      <c r="Y622" s="1244"/>
      <c r="Z622" s="1244"/>
    </row>
    <row r="623" spans="1:26" ht="18.75" hidden="1">
      <c r="A623" s="1267"/>
      <c r="B623" s="1268"/>
      <c r="C623" s="1268"/>
      <c r="D623" s="1268"/>
      <c r="E623" s="961"/>
      <c r="F623" s="961"/>
      <c r="G623" s="954"/>
      <c r="H623" s="730" t="s">
        <v>34</v>
      </c>
      <c r="I623" s="830"/>
      <c r="J623" s="959">
        <v>0</v>
      </c>
      <c r="K623" s="945"/>
      <c r="L623" s="945"/>
      <c r="M623" s="945"/>
      <c r="N623" s="945"/>
      <c r="O623" s="945"/>
      <c r="P623" s="945"/>
      <c r="Q623" s="1244"/>
      <c r="R623" s="1244"/>
      <c r="S623" s="1244"/>
      <c r="T623" s="1244"/>
      <c r="U623" s="1244"/>
      <c r="V623" s="1244"/>
      <c r="W623" s="1244"/>
      <c r="X623" s="1244"/>
      <c r="Y623" s="1244"/>
      <c r="Z623" s="1244"/>
    </row>
    <row r="624" spans="1:26" ht="18.75" hidden="1">
      <c r="A624" s="1267"/>
      <c r="B624" s="1268"/>
      <c r="C624" s="1268"/>
      <c r="D624" s="1017" t="s">
        <v>264</v>
      </c>
      <c r="E624" s="961"/>
      <c r="F624" s="961"/>
      <c r="G624" s="954"/>
      <c r="H624" s="730" t="s">
        <v>46</v>
      </c>
      <c r="I624" s="830"/>
      <c r="J624" s="959">
        <v>0</v>
      </c>
      <c r="K624" s="945"/>
      <c r="L624" s="945"/>
      <c r="M624" s="945"/>
      <c r="N624" s="945"/>
      <c r="O624" s="945"/>
      <c r="P624" s="945"/>
      <c r="Q624" s="1244"/>
      <c r="R624" s="1244"/>
      <c r="S624" s="1244"/>
      <c r="T624" s="1244"/>
      <c r="U624" s="1244"/>
      <c r="V624" s="1244"/>
      <c r="W624" s="1244"/>
      <c r="X624" s="1244"/>
      <c r="Y624" s="1244"/>
      <c r="Z624" s="1244"/>
    </row>
    <row r="625" spans="1:26" ht="18.75" hidden="1">
      <c r="A625" s="1267"/>
      <c r="B625" s="1268"/>
      <c r="C625" s="1268"/>
      <c r="D625" s="1268"/>
      <c r="E625" s="961"/>
      <c r="F625" s="961"/>
      <c r="G625" s="954"/>
      <c r="H625" s="730" t="s">
        <v>34</v>
      </c>
      <c r="I625" s="830"/>
      <c r="J625" s="959">
        <v>0</v>
      </c>
      <c r="K625" s="945"/>
      <c r="L625" s="945"/>
      <c r="M625" s="945"/>
      <c r="N625" s="945"/>
      <c r="O625" s="945"/>
      <c r="P625" s="945"/>
      <c r="Q625" s="1244"/>
      <c r="R625" s="1244"/>
      <c r="S625" s="1244"/>
      <c r="T625" s="1244"/>
      <c r="U625" s="1244"/>
      <c r="V625" s="1244"/>
      <c r="W625" s="1244"/>
      <c r="X625" s="1244"/>
      <c r="Y625" s="1244"/>
      <c r="Z625" s="1244"/>
    </row>
    <row r="626" spans="1:26" ht="18.75" hidden="1">
      <c r="A626" s="1267"/>
      <c r="B626" s="1268"/>
      <c r="C626" s="1268"/>
      <c r="D626" s="1017" t="s">
        <v>269</v>
      </c>
      <c r="E626" s="961"/>
      <c r="F626" s="961"/>
      <c r="G626" s="954"/>
      <c r="H626" s="730" t="s">
        <v>46</v>
      </c>
      <c r="I626" s="830"/>
      <c r="J626" s="959">
        <v>0</v>
      </c>
      <c r="K626" s="945"/>
      <c r="L626" s="945"/>
      <c r="M626" s="945"/>
      <c r="N626" s="945"/>
      <c r="O626" s="945"/>
      <c r="P626" s="945"/>
      <c r="Q626" s="1244"/>
      <c r="R626" s="1244"/>
      <c r="S626" s="1244"/>
      <c r="T626" s="1244"/>
      <c r="U626" s="1244"/>
      <c r="V626" s="1244"/>
      <c r="W626" s="1244"/>
      <c r="X626" s="1244"/>
      <c r="Y626" s="1244"/>
      <c r="Z626" s="1244"/>
    </row>
    <row r="627" spans="1:26" ht="18.75" hidden="1">
      <c r="A627" s="1359"/>
      <c r="B627" s="1360"/>
      <c r="C627" s="1360"/>
      <c r="D627" s="1360"/>
      <c r="E627" s="1116"/>
      <c r="F627" s="1116"/>
      <c r="G627" s="1361"/>
      <c r="H627" s="391" t="s">
        <v>34</v>
      </c>
      <c r="I627" s="1085"/>
      <c r="J627" s="1118">
        <v>0</v>
      </c>
      <c r="K627" s="1086"/>
      <c r="L627" s="1086"/>
      <c r="M627" s="1086"/>
      <c r="N627" s="1086"/>
      <c r="O627" s="1086"/>
      <c r="P627" s="1086"/>
      <c r="Q627" s="1244"/>
      <c r="R627" s="1244"/>
      <c r="S627" s="1244"/>
      <c r="T627" s="1244"/>
      <c r="U627" s="1244"/>
      <c r="V627" s="1244"/>
      <c r="W627" s="1244"/>
      <c r="X627" s="1244"/>
      <c r="Y627" s="1244"/>
      <c r="Z627" s="1244"/>
    </row>
    <row r="628" spans="1:26" ht="19.5" hidden="1">
      <c r="A628" s="702">
        <v>7</v>
      </c>
      <c r="B628" s="1362" t="s">
        <v>270</v>
      </c>
      <c r="C628" s="1363"/>
      <c r="D628" s="1363"/>
      <c r="E628" s="1363"/>
      <c r="F628" s="1363"/>
      <c r="G628" s="1364"/>
      <c r="H628" s="706" t="s">
        <v>35</v>
      </c>
      <c r="I628" s="1365">
        <f t="shared" ref="I628:J628" ca="1" si="262">I651</f>
        <v>0</v>
      </c>
      <c r="J628" s="1365">
        <f t="shared" ca="1" si="262"/>
        <v>0</v>
      </c>
      <c r="K628" s="1366">
        <f ca="1">IF(I628&gt;0,J628*100/I628,0)</f>
        <v>0</v>
      </c>
      <c r="L628" s="1367"/>
      <c r="M628" s="1367"/>
      <c r="N628" s="1367"/>
      <c r="O628" s="1367"/>
      <c r="P628" s="1367"/>
      <c r="Q628" s="1244"/>
      <c r="R628" s="1244"/>
      <c r="S628" s="1244"/>
      <c r="T628" s="1244"/>
      <c r="U628" s="1244"/>
      <c r="V628" s="1244"/>
      <c r="W628" s="1244"/>
      <c r="X628" s="1244"/>
      <c r="Y628" s="1244"/>
      <c r="Z628" s="1244"/>
    </row>
    <row r="629" spans="1:26" ht="19.5" hidden="1">
      <c r="A629" s="1259"/>
      <c r="B629" s="1243"/>
      <c r="C629" s="1243" t="s">
        <v>16</v>
      </c>
      <c r="D629" s="1507" t="s">
        <v>17</v>
      </c>
      <c r="E629" s="1485"/>
      <c r="F629" s="1485"/>
      <c r="G629" s="963"/>
      <c r="H629" s="563" t="s">
        <v>12</v>
      </c>
      <c r="I629" s="830"/>
      <c r="J629" s="830"/>
      <c r="K629" s="831"/>
      <c r="L629" s="967">
        <f t="shared" ref="L629:N629" ca="1" si="263">L630+L631</f>
        <v>0</v>
      </c>
      <c r="M629" s="967">
        <f t="shared" si="263"/>
        <v>0</v>
      </c>
      <c r="N629" s="967">
        <f t="shared" si="263"/>
        <v>0</v>
      </c>
      <c r="O629" s="967">
        <f t="shared" ref="O629:O634" ca="1" si="264">IF(L629&gt;0,N629*100/L629,0)</f>
        <v>0</v>
      </c>
      <c r="P629" s="967">
        <f t="shared" ref="P629:P634" si="265">IF(M629&gt;0,N629*100/M629,0)</f>
        <v>0</v>
      </c>
      <c r="Q629" s="1244"/>
      <c r="R629" s="1244"/>
      <c r="S629" s="1244"/>
      <c r="T629" s="1244"/>
      <c r="U629" s="1244"/>
      <c r="V629" s="1244"/>
      <c r="W629" s="1244"/>
      <c r="X629" s="1244"/>
      <c r="Y629" s="1244"/>
      <c r="Z629" s="1244"/>
    </row>
    <row r="630" spans="1:26" ht="18.75" hidden="1">
      <c r="A630" s="1260"/>
      <c r="B630" s="1261"/>
      <c r="C630" s="1261"/>
      <c r="D630" s="1262"/>
      <c r="E630" s="1261" t="s">
        <v>184</v>
      </c>
      <c r="F630" s="1261"/>
      <c r="G630" s="1263"/>
      <c r="H630" s="165" t="s">
        <v>12</v>
      </c>
      <c r="I630" s="836"/>
      <c r="J630" s="836"/>
      <c r="K630" s="837"/>
      <c r="L630" s="837">
        <f t="shared" ref="L630:N631" si="266">L633+L640</f>
        <v>0</v>
      </c>
      <c r="M630" s="837">
        <f t="shared" si="266"/>
        <v>0</v>
      </c>
      <c r="N630" s="837">
        <f t="shared" si="266"/>
        <v>0</v>
      </c>
      <c r="O630" s="837">
        <f t="shared" si="264"/>
        <v>0</v>
      </c>
      <c r="P630" s="837">
        <f t="shared" si="265"/>
        <v>0</v>
      </c>
      <c r="Q630" s="1264"/>
      <c r="R630" s="1264"/>
      <c r="S630" s="1264"/>
      <c r="T630" s="1264"/>
      <c r="U630" s="1264"/>
      <c r="V630" s="1264"/>
      <c r="W630" s="1264"/>
      <c r="X630" s="1264"/>
      <c r="Y630" s="1264"/>
      <c r="Z630" s="1264"/>
    </row>
    <row r="631" spans="1:26" ht="18.75" hidden="1">
      <c r="A631" s="1260"/>
      <c r="B631" s="1265"/>
      <c r="C631" s="1261"/>
      <c r="D631" s="1262"/>
      <c r="E631" s="1261" t="s">
        <v>185</v>
      </c>
      <c r="F631" s="1261"/>
      <c r="G631" s="1263"/>
      <c r="H631" s="165" t="s">
        <v>12</v>
      </c>
      <c r="I631" s="836"/>
      <c r="J631" s="836"/>
      <c r="K631" s="837"/>
      <c r="L631" s="837">
        <f t="shared" ca="1" si="266"/>
        <v>0</v>
      </c>
      <c r="M631" s="837">
        <f t="shared" si="266"/>
        <v>0</v>
      </c>
      <c r="N631" s="837">
        <f t="shared" si="266"/>
        <v>0</v>
      </c>
      <c r="O631" s="837">
        <f t="shared" ca="1" si="264"/>
        <v>0</v>
      </c>
      <c r="P631" s="837">
        <f t="shared" si="265"/>
        <v>0</v>
      </c>
      <c r="Q631" s="1264"/>
      <c r="R631" s="1264"/>
      <c r="S631" s="1264"/>
      <c r="T631" s="1264"/>
      <c r="U631" s="1264"/>
      <c r="V631" s="1264"/>
      <c r="W631" s="1264"/>
      <c r="X631" s="1264"/>
      <c r="Y631" s="1264"/>
      <c r="Z631" s="1264"/>
    </row>
    <row r="632" spans="1:26" ht="18.75" hidden="1">
      <c r="A632" s="1259"/>
      <c r="B632" s="1242"/>
      <c r="C632" s="1243"/>
      <c r="D632" s="1266" t="s">
        <v>20</v>
      </c>
      <c r="E632" s="1243"/>
      <c r="F632" s="1243"/>
      <c r="G632" s="963"/>
      <c r="H632" s="778" t="s">
        <v>12</v>
      </c>
      <c r="I632" s="944"/>
      <c r="J632" s="944"/>
      <c r="K632" s="945"/>
      <c r="L632" s="831">
        <f t="shared" ref="L632:N632" ca="1" si="267">L633+L634</f>
        <v>0</v>
      </c>
      <c r="M632" s="831">
        <f t="shared" si="267"/>
        <v>0</v>
      </c>
      <c r="N632" s="831">
        <f t="shared" si="267"/>
        <v>0</v>
      </c>
      <c r="O632" s="831">
        <f t="shared" ca="1" si="264"/>
        <v>0</v>
      </c>
      <c r="P632" s="831">
        <f t="shared" si="265"/>
        <v>0</v>
      </c>
      <c r="Q632" s="1244"/>
      <c r="R632" s="1244"/>
      <c r="S632" s="1244"/>
      <c r="T632" s="1244"/>
      <c r="U632" s="1244"/>
      <c r="V632" s="1244"/>
      <c r="W632" s="1244"/>
      <c r="X632" s="1244"/>
      <c r="Y632" s="1244"/>
      <c r="Z632" s="1244"/>
    </row>
    <row r="633" spans="1:26" ht="18.75" hidden="1">
      <c r="A633" s="1260"/>
      <c r="B633" s="1265"/>
      <c r="C633" s="1261"/>
      <c r="D633" s="1262"/>
      <c r="E633" s="1261" t="s">
        <v>184</v>
      </c>
      <c r="F633" s="1261"/>
      <c r="G633" s="1263"/>
      <c r="H633" s="165" t="s">
        <v>12</v>
      </c>
      <c r="I633" s="836"/>
      <c r="J633" s="836"/>
      <c r="K633" s="837"/>
      <c r="L633" s="837">
        <v>0</v>
      </c>
      <c r="M633" s="837">
        <v>0</v>
      </c>
      <c r="N633" s="837">
        <v>0</v>
      </c>
      <c r="O633" s="837">
        <f t="shared" si="264"/>
        <v>0</v>
      </c>
      <c r="P633" s="837">
        <f t="shared" si="265"/>
        <v>0</v>
      </c>
      <c r="Q633" s="1264"/>
      <c r="R633" s="1264"/>
      <c r="S633" s="1264"/>
      <c r="T633" s="1264"/>
      <c r="U633" s="1264"/>
      <c r="V633" s="1264"/>
      <c r="W633" s="1264"/>
      <c r="X633" s="1264"/>
      <c r="Y633" s="1264"/>
      <c r="Z633" s="1264"/>
    </row>
    <row r="634" spans="1:26" ht="18.75" hidden="1">
      <c r="A634" s="1260"/>
      <c r="B634" s="1265"/>
      <c r="C634" s="1261"/>
      <c r="D634" s="1262"/>
      <c r="E634" s="1261" t="s">
        <v>185</v>
      </c>
      <c r="F634" s="1261"/>
      <c r="G634" s="1263"/>
      <c r="H634" s="165" t="s">
        <v>12</v>
      </c>
      <c r="I634" s="836"/>
      <c r="J634" s="836"/>
      <c r="K634" s="837"/>
      <c r="L634" s="837">
        <f ca="1">IFERROR(__xludf.DUMMYFUNCTION("IMPORTRANGE(""https://docs.google.com/spreadsheets/d/1QqKyyYR6Q21VydFLVH3TRQUabQu_ym0Zz7PgGX0-kHA/edit?usp=sharing"",""แผน!HN25"")"),0)</f>
        <v>0</v>
      </c>
      <c r="M634" s="837">
        <v>0</v>
      </c>
      <c r="N634" s="837">
        <f>N635+N636+N637+N638</f>
        <v>0</v>
      </c>
      <c r="O634" s="837">
        <f t="shared" ca="1" si="264"/>
        <v>0</v>
      </c>
      <c r="P634" s="837">
        <f t="shared" si="265"/>
        <v>0</v>
      </c>
      <c r="Q634" s="1264"/>
      <c r="R634" s="1264"/>
      <c r="S634" s="1264"/>
      <c r="T634" s="1264"/>
      <c r="U634" s="1264"/>
      <c r="V634" s="1264"/>
      <c r="W634" s="1264"/>
      <c r="X634" s="1264"/>
      <c r="Y634" s="1264"/>
      <c r="Z634" s="1264"/>
    </row>
    <row r="635" spans="1:26" ht="18.75" hidden="1">
      <c r="A635" s="1241"/>
      <c r="B635" s="1242"/>
      <c r="C635" s="1243"/>
      <c r="D635" s="1243"/>
      <c r="E635" s="1243"/>
      <c r="F635" s="1243" t="s">
        <v>186</v>
      </c>
      <c r="G635" s="963"/>
      <c r="H635" s="778" t="s">
        <v>12</v>
      </c>
      <c r="I635" s="830"/>
      <c r="J635" s="830"/>
      <c r="K635" s="831"/>
      <c r="L635" s="831"/>
      <c r="M635" s="831"/>
      <c r="N635" s="1031">
        <v>0</v>
      </c>
      <c r="O635" s="831"/>
      <c r="P635" s="831"/>
      <c r="Q635" s="1244"/>
      <c r="R635" s="1244"/>
      <c r="S635" s="1244"/>
      <c r="T635" s="1244"/>
      <c r="U635" s="1244"/>
      <c r="V635" s="1244"/>
      <c r="W635" s="1244"/>
      <c r="X635" s="1244"/>
      <c r="Y635" s="1244"/>
      <c r="Z635" s="1244"/>
    </row>
    <row r="636" spans="1:26" ht="18.75" hidden="1">
      <c r="A636" s="1241"/>
      <c r="B636" s="1242"/>
      <c r="C636" s="1243"/>
      <c r="D636" s="1243"/>
      <c r="E636" s="1243"/>
      <c r="F636" s="1243" t="s">
        <v>187</v>
      </c>
      <c r="G636" s="963"/>
      <c r="H636" s="778" t="s">
        <v>12</v>
      </c>
      <c r="I636" s="830"/>
      <c r="J636" s="830"/>
      <c r="K636" s="831"/>
      <c r="L636" s="831"/>
      <c r="M636" s="831"/>
      <c r="N636" s="1031">
        <v>0</v>
      </c>
      <c r="O636" s="831"/>
      <c r="P636" s="831"/>
      <c r="Q636" s="1244"/>
      <c r="R636" s="1244"/>
      <c r="S636" s="1244"/>
      <c r="T636" s="1244"/>
      <c r="U636" s="1244"/>
      <c r="V636" s="1244"/>
      <c r="W636" s="1244"/>
      <c r="X636" s="1244"/>
      <c r="Y636" s="1244"/>
      <c r="Z636" s="1244"/>
    </row>
    <row r="637" spans="1:26" ht="18.75" hidden="1">
      <c r="A637" s="1241"/>
      <c r="B637" s="1242"/>
      <c r="C637" s="1243"/>
      <c r="D637" s="1243"/>
      <c r="E637" s="1243"/>
      <c r="F637" s="1243" t="s">
        <v>188</v>
      </c>
      <c r="G637" s="963"/>
      <c r="H637" s="778" t="s">
        <v>12</v>
      </c>
      <c r="I637" s="830"/>
      <c r="J637" s="830"/>
      <c r="K637" s="831"/>
      <c r="L637" s="831"/>
      <c r="M637" s="831"/>
      <c r="N637" s="1031">
        <v>0</v>
      </c>
      <c r="O637" s="831"/>
      <c r="P637" s="831"/>
      <c r="Q637" s="1244"/>
      <c r="R637" s="1244"/>
      <c r="S637" s="1244"/>
      <c r="T637" s="1244"/>
      <c r="U637" s="1244"/>
      <c r="V637" s="1244"/>
      <c r="W637" s="1244"/>
      <c r="X637" s="1244"/>
      <c r="Y637" s="1244"/>
      <c r="Z637" s="1244"/>
    </row>
    <row r="638" spans="1:26" ht="18.75" hidden="1">
      <c r="A638" s="1241"/>
      <c r="B638" s="1242"/>
      <c r="C638" s="1243"/>
      <c r="D638" s="1243"/>
      <c r="E638" s="1243"/>
      <c r="F638" s="1243" t="s">
        <v>189</v>
      </c>
      <c r="G638" s="963"/>
      <c r="H638" s="778" t="s">
        <v>12</v>
      </c>
      <c r="I638" s="830"/>
      <c r="J638" s="830"/>
      <c r="K638" s="831"/>
      <c r="L638" s="831"/>
      <c r="M638" s="831"/>
      <c r="N638" s="1031">
        <v>0</v>
      </c>
      <c r="O638" s="831"/>
      <c r="P638" s="831"/>
      <c r="Q638" s="1244"/>
      <c r="R638" s="1244"/>
      <c r="S638" s="1244"/>
      <c r="T638" s="1244"/>
      <c r="U638" s="1244"/>
      <c r="V638" s="1244"/>
      <c r="W638" s="1244"/>
      <c r="X638" s="1244"/>
      <c r="Y638" s="1244"/>
      <c r="Z638" s="1244"/>
    </row>
    <row r="639" spans="1:26" ht="18.75" hidden="1">
      <c r="A639" s="1259"/>
      <c r="B639" s="1242"/>
      <c r="C639" s="1243"/>
      <c r="D639" s="1266" t="s">
        <v>21</v>
      </c>
      <c r="E639" s="1243"/>
      <c r="F639" s="1243"/>
      <c r="G639" s="963"/>
      <c r="H639" s="168" t="s">
        <v>12</v>
      </c>
      <c r="I639" s="944"/>
      <c r="J639" s="944"/>
      <c r="K639" s="945"/>
      <c r="L639" s="831">
        <f t="shared" ref="L639:N639" ca="1" si="268">L640+L641</f>
        <v>0</v>
      </c>
      <c r="M639" s="831">
        <f t="shared" si="268"/>
        <v>0</v>
      </c>
      <c r="N639" s="831">
        <f t="shared" si="268"/>
        <v>0</v>
      </c>
      <c r="O639" s="831">
        <f t="shared" ref="O639:O641" ca="1" si="269">IF(L639&gt;0,N639*100/L639,0)</f>
        <v>0</v>
      </c>
      <c r="P639" s="831">
        <f t="shared" ref="P639:P641" si="270">IF(M639&gt;0,N639*100/M639,0)</f>
        <v>0</v>
      </c>
      <c r="Q639" s="1244"/>
      <c r="R639" s="1244"/>
      <c r="S639" s="1244"/>
      <c r="T639" s="1244"/>
      <c r="U639" s="1244"/>
      <c r="V639" s="1244"/>
      <c r="W639" s="1244"/>
      <c r="X639" s="1244"/>
      <c r="Y639" s="1244"/>
      <c r="Z639" s="1244"/>
    </row>
    <row r="640" spans="1:26" ht="18.75" hidden="1">
      <c r="A640" s="1260"/>
      <c r="B640" s="1265"/>
      <c r="C640" s="1261"/>
      <c r="D640" s="1261"/>
      <c r="E640" s="1261" t="s">
        <v>18</v>
      </c>
      <c r="F640" s="1261"/>
      <c r="G640" s="1263"/>
      <c r="H640" s="165" t="s">
        <v>12</v>
      </c>
      <c r="I640" s="947"/>
      <c r="J640" s="947"/>
      <c r="K640" s="948"/>
      <c r="L640" s="837">
        <v>0</v>
      </c>
      <c r="M640" s="837">
        <v>0</v>
      </c>
      <c r="N640" s="837">
        <v>0</v>
      </c>
      <c r="O640" s="837">
        <f t="shared" si="269"/>
        <v>0</v>
      </c>
      <c r="P640" s="837">
        <f t="shared" si="270"/>
        <v>0</v>
      </c>
      <c r="Q640" s="1264"/>
      <c r="R640" s="1264"/>
      <c r="S640" s="1264"/>
      <c r="T640" s="1264"/>
      <c r="U640" s="1264"/>
      <c r="V640" s="1264"/>
      <c r="W640" s="1264"/>
      <c r="X640" s="1264"/>
      <c r="Y640" s="1264"/>
      <c r="Z640" s="1264"/>
    </row>
    <row r="641" spans="1:26" ht="18.75" hidden="1">
      <c r="A641" s="1260"/>
      <c r="B641" s="1265"/>
      <c r="C641" s="1261"/>
      <c r="D641" s="1261"/>
      <c r="E641" s="1261" t="s">
        <v>19</v>
      </c>
      <c r="F641" s="1261"/>
      <c r="G641" s="1263"/>
      <c r="H641" s="169" t="s">
        <v>12</v>
      </c>
      <c r="I641" s="947"/>
      <c r="J641" s="947"/>
      <c r="K641" s="948"/>
      <c r="L641" s="837">
        <f ca="1">IFERROR(__xludf.DUMMYFUNCTION("IMPORTRANGE(""https://docs.google.com/spreadsheets/d/1QqKyyYR6Q21VydFLVH3TRQUabQu_ym0Zz7PgGX0-kHA/edit?usp=sharing"",""แผน!HQ25"")"),0)</f>
        <v>0</v>
      </c>
      <c r="M641" s="837">
        <v>0</v>
      </c>
      <c r="N641" s="837">
        <v>0</v>
      </c>
      <c r="O641" s="837">
        <f t="shared" ca="1" si="269"/>
        <v>0</v>
      </c>
      <c r="P641" s="837">
        <f t="shared" si="270"/>
        <v>0</v>
      </c>
      <c r="Q641" s="1264"/>
      <c r="R641" s="1264"/>
      <c r="S641" s="1264"/>
      <c r="T641" s="1264"/>
      <c r="U641" s="1264"/>
      <c r="V641" s="1264"/>
      <c r="W641" s="1264"/>
      <c r="X641" s="1264"/>
      <c r="Y641" s="1264"/>
      <c r="Z641" s="1264"/>
    </row>
    <row r="642" spans="1:26" ht="19.5" hidden="1">
      <c r="A642" s="1267"/>
      <c r="B642" s="1268"/>
      <c r="C642" s="1243" t="s">
        <v>16</v>
      </c>
      <c r="D642" s="1320" t="s">
        <v>38</v>
      </c>
      <c r="E642" s="1271"/>
      <c r="F642" s="1271"/>
      <c r="G642" s="1272"/>
      <c r="H642" s="954"/>
      <c r="I642" s="944"/>
      <c r="J642" s="944"/>
      <c r="K642" s="945"/>
      <c r="L642" s="945"/>
      <c r="M642" s="945"/>
      <c r="N642" s="945"/>
      <c r="O642" s="945"/>
      <c r="P642" s="945"/>
      <c r="Q642" s="1244"/>
      <c r="R642" s="1244"/>
      <c r="S642" s="1244"/>
      <c r="T642" s="1244"/>
      <c r="U642" s="1244"/>
      <c r="V642" s="1244"/>
      <c r="W642" s="1244"/>
      <c r="X642" s="1244"/>
      <c r="Y642" s="1244"/>
      <c r="Z642" s="1244"/>
    </row>
    <row r="643" spans="1:26" ht="18.75" hidden="1">
      <c r="A643" s="1368"/>
      <c r="B643" s="1242"/>
      <c r="C643" s="1243"/>
      <c r="D643" s="961"/>
      <c r="E643" s="1017" t="s">
        <v>271</v>
      </c>
      <c r="F643" s="961"/>
      <c r="G643" s="954"/>
      <c r="H643" s="730" t="s">
        <v>272</v>
      </c>
      <c r="I643" s="830">
        <f ca="1">IFERROR(__xludf.DUMMYFUNCTION("IMPORTRANGE(""https://docs.google.com/spreadsheets/d/1QqKyyYR6Q21VydFLVH3TRQUabQu_ym0Zz7PgGX0-kHA/edit?usp=sharing"",""แผน!HR25"")"),0)</f>
        <v>0</v>
      </c>
      <c r="J643" s="959">
        <v>0</v>
      </c>
      <c r="K643" s="945">
        <f t="shared" ref="K643:K652" ca="1" si="271">IF(I643&gt;0,J643*100/I643,0)</f>
        <v>0</v>
      </c>
      <c r="L643" s="945"/>
      <c r="M643" s="945"/>
      <c r="N643" s="831"/>
      <c r="O643" s="945"/>
      <c r="P643" s="945"/>
      <c r="Q643" s="1244"/>
      <c r="R643" s="1244"/>
      <c r="S643" s="1244"/>
      <c r="T643" s="1244"/>
      <c r="U643" s="1244"/>
      <c r="V643" s="1244"/>
      <c r="W643" s="1244"/>
      <c r="X643" s="1244"/>
      <c r="Y643" s="1244"/>
      <c r="Z643" s="1244"/>
    </row>
    <row r="644" spans="1:26" ht="18.75" hidden="1">
      <c r="A644" s="1368"/>
      <c r="B644" s="1242"/>
      <c r="C644" s="1243"/>
      <c r="D644" s="961"/>
      <c r="E644" s="1017" t="s">
        <v>273</v>
      </c>
      <c r="F644" s="961"/>
      <c r="G644" s="954"/>
      <c r="H644" s="730" t="s">
        <v>274</v>
      </c>
      <c r="I644" s="830">
        <f ca="1">IFERROR(__xludf.DUMMYFUNCTION("IMPORTRANGE(""https://docs.google.com/spreadsheets/d/1QqKyyYR6Q21VydFLVH3TRQUabQu_ym0Zz7PgGX0-kHA/edit?usp=sharing"",""แผน!HR25"")"),0)</f>
        <v>0</v>
      </c>
      <c r="J644" s="959">
        <v>0</v>
      </c>
      <c r="K644" s="945">
        <f t="shared" ca="1" si="271"/>
        <v>0</v>
      </c>
      <c r="L644" s="945"/>
      <c r="M644" s="945"/>
      <c r="N644" s="831"/>
      <c r="O644" s="945"/>
      <c r="P644" s="945"/>
      <c r="Q644" s="1244"/>
      <c r="R644" s="1244"/>
      <c r="S644" s="1244"/>
      <c r="T644" s="1244"/>
      <c r="U644" s="1244"/>
      <c r="V644" s="1244"/>
      <c r="W644" s="1244"/>
      <c r="X644" s="1244"/>
      <c r="Y644" s="1244"/>
      <c r="Z644" s="1244"/>
    </row>
    <row r="645" spans="1:26" ht="18.75" hidden="1">
      <c r="A645" s="1368"/>
      <c r="B645" s="1242"/>
      <c r="C645" s="1243"/>
      <c r="D645" s="961"/>
      <c r="E645" s="1017" t="s">
        <v>275</v>
      </c>
      <c r="F645" s="961"/>
      <c r="G645" s="954"/>
      <c r="H645" s="730" t="s">
        <v>34</v>
      </c>
      <c r="I645" s="830">
        <v>0</v>
      </c>
      <c r="J645" s="830">
        <f ca="1">IFERROR(__xludf.DUMMYFUNCTION("IMPORTRANGE(""https://docs.google.com/spreadsheets/d/1XWAQStnk-4SwqDmLtmXYiTMKHgktTP8We1SCoS47DrQ/edit?usp=sharing"",""จัดที่ดิน!AS25"")"),0)</f>
        <v>0</v>
      </c>
      <c r="K645" s="945">
        <f t="shared" si="271"/>
        <v>0</v>
      </c>
      <c r="L645" s="945"/>
      <c r="M645" s="945"/>
      <c r="N645" s="831"/>
      <c r="O645" s="945"/>
      <c r="P645" s="945"/>
      <c r="Q645" s="1244"/>
      <c r="R645" s="1244"/>
      <c r="S645" s="1244"/>
      <c r="T645" s="1244"/>
      <c r="U645" s="1244"/>
      <c r="V645" s="1244"/>
      <c r="W645" s="1244"/>
      <c r="X645" s="1244"/>
      <c r="Y645" s="1244"/>
      <c r="Z645" s="1244"/>
    </row>
    <row r="646" spans="1:26" ht="18.75" hidden="1">
      <c r="A646" s="1368"/>
      <c r="B646" s="1242"/>
      <c r="C646" s="1243"/>
      <c r="D646" s="961"/>
      <c r="E646" s="961"/>
      <c r="F646" s="961"/>
      <c r="G646" s="954"/>
      <c r="H646" s="730" t="s">
        <v>46</v>
      </c>
      <c r="I646" s="830">
        <v>0</v>
      </c>
      <c r="J646" s="830">
        <f ca="1">IFERROR(__xludf.DUMMYFUNCTION("IMPORTRANGE(""https://docs.google.com/spreadsheets/d/1XWAQStnk-4SwqDmLtmXYiTMKHgktTP8We1SCoS47DrQ/edit?usp=sharing"",""จัดที่ดิน!AT25"")"),0)</f>
        <v>0</v>
      </c>
      <c r="K646" s="831">
        <f t="shared" si="271"/>
        <v>0</v>
      </c>
      <c r="L646" s="945"/>
      <c r="M646" s="945"/>
      <c r="N646" s="831"/>
      <c r="O646" s="945"/>
      <c r="P646" s="945"/>
      <c r="Q646" s="1244"/>
      <c r="R646" s="1244"/>
      <c r="S646" s="1244"/>
      <c r="T646" s="1244"/>
      <c r="U646" s="1244"/>
      <c r="V646" s="1244"/>
      <c r="W646" s="1244"/>
      <c r="X646" s="1244"/>
      <c r="Y646" s="1244"/>
      <c r="Z646" s="1244"/>
    </row>
    <row r="647" spans="1:26" ht="18.75" hidden="1">
      <c r="A647" s="1368"/>
      <c r="B647" s="1242"/>
      <c r="C647" s="1243"/>
      <c r="D647" s="961"/>
      <c r="E647" s="1017" t="s">
        <v>162</v>
      </c>
      <c r="F647" s="961"/>
      <c r="G647" s="954"/>
      <c r="H647" s="730" t="s">
        <v>35</v>
      </c>
      <c r="I647" s="830">
        <f ca="1">IFERROR(__xludf.DUMMYFUNCTION("IMPORTRANGE(""https://docs.google.com/spreadsheets/d/1QqKyyYR6Q21VydFLVH3TRQUabQu_ym0Zz7PgGX0-kHA/edit?usp=sharing"",""แผน!HS25"")"),0)</f>
        <v>0</v>
      </c>
      <c r="J647" s="830">
        <f ca="1">IFERROR(__xludf.DUMMYFUNCTION("IMPORTRANGE(""https://docs.google.com/spreadsheets/d/1XWAQStnk-4SwqDmLtmXYiTMKHgktTP8We1SCoS47DrQ/edit?usp=sharing"",""จัดที่ดิน!AU25"")"),0)</f>
        <v>0</v>
      </c>
      <c r="K647" s="945">
        <f t="shared" ca="1" si="271"/>
        <v>0</v>
      </c>
      <c r="L647" s="945"/>
      <c r="M647" s="945"/>
      <c r="N647" s="945"/>
      <c r="O647" s="945"/>
      <c r="P647" s="945"/>
      <c r="Q647" s="1244"/>
      <c r="R647" s="1244"/>
      <c r="S647" s="1244"/>
      <c r="T647" s="1244"/>
      <c r="U647" s="1244"/>
      <c r="V647" s="1244"/>
      <c r="W647" s="1244"/>
      <c r="X647" s="1244"/>
      <c r="Y647" s="1244"/>
      <c r="Z647" s="1244"/>
    </row>
    <row r="648" spans="1:26" ht="18.75" hidden="1">
      <c r="A648" s="1368"/>
      <c r="B648" s="1242"/>
      <c r="C648" s="1243"/>
      <c r="D648" s="961"/>
      <c r="E648" s="961"/>
      <c r="F648" s="961"/>
      <c r="G648" s="954"/>
      <c r="H648" s="730" t="s">
        <v>46</v>
      </c>
      <c r="I648" s="830">
        <v>0</v>
      </c>
      <c r="J648" s="830">
        <f ca="1">IFERROR(__xludf.DUMMYFUNCTION("IMPORTRANGE(""https://docs.google.com/spreadsheets/d/1XWAQStnk-4SwqDmLtmXYiTMKHgktTP8We1SCoS47DrQ/edit?usp=sharing"",""จัดที่ดิน!AV25"")"),0)</f>
        <v>0</v>
      </c>
      <c r="K648" s="831">
        <f t="shared" si="271"/>
        <v>0</v>
      </c>
      <c r="L648" s="945"/>
      <c r="M648" s="945"/>
      <c r="N648" s="945"/>
      <c r="O648" s="945"/>
      <c r="P648" s="945"/>
      <c r="Q648" s="1244"/>
      <c r="R648" s="1244"/>
      <c r="S648" s="1244"/>
      <c r="T648" s="1244"/>
      <c r="U648" s="1244"/>
      <c r="V648" s="1244"/>
      <c r="W648" s="1244"/>
      <c r="X648" s="1244"/>
      <c r="Y648" s="1244"/>
      <c r="Z648" s="1244"/>
    </row>
    <row r="649" spans="1:26" ht="18.75" hidden="1">
      <c r="A649" s="1368"/>
      <c r="B649" s="1242"/>
      <c r="C649" s="1243"/>
      <c r="D649" s="961"/>
      <c r="E649" s="1017" t="s">
        <v>276</v>
      </c>
      <c r="F649" s="961"/>
      <c r="G649" s="954"/>
      <c r="H649" s="730" t="s">
        <v>35</v>
      </c>
      <c r="I649" s="830">
        <f ca="1">IFERROR(__xludf.DUMMYFUNCTION("IMPORTRANGE(""https://docs.google.com/spreadsheets/d/1QqKyyYR6Q21VydFLVH3TRQUabQu_ym0Zz7PgGX0-kHA/edit?usp=sharing"",""แผน!HS25"")"),0)</f>
        <v>0</v>
      </c>
      <c r="J649" s="830">
        <f ca="1">IFERROR(__xludf.DUMMYFUNCTION("IMPORTRANGE(""https://docs.google.com/spreadsheets/d/1XWAQStnk-4SwqDmLtmXYiTMKHgktTP8We1SCoS47DrQ/edit?usp=sharing"",""จัดที่ดิน!AW25"")"),0)</f>
        <v>0</v>
      </c>
      <c r="K649" s="945">
        <f t="shared" ca="1" si="271"/>
        <v>0</v>
      </c>
      <c r="L649" s="945"/>
      <c r="M649" s="945"/>
      <c r="N649" s="945"/>
      <c r="O649" s="945"/>
      <c r="P649" s="945"/>
      <c r="Q649" s="1244"/>
      <c r="R649" s="1244"/>
      <c r="S649" s="1244"/>
      <c r="T649" s="1244"/>
      <c r="U649" s="1244"/>
      <c r="V649" s="1244"/>
      <c r="W649" s="1244"/>
      <c r="X649" s="1244"/>
      <c r="Y649" s="1244"/>
      <c r="Z649" s="1244"/>
    </row>
    <row r="650" spans="1:26" ht="18.75" hidden="1">
      <c r="A650" s="1368"/>
      <c r="B650" s="1242"/>
      <c r="C650" s="1243"/>
      <c r="D650" s="961"/>
      <c r="E650" s="961"/>
      <c r="F650" s="961"/>
      <c r="G650" s="954"/>
      <c r="H650" s="730" t="s">
        <v>46</v>
      </c>
      <c r="I650" s="830">
        <v>0</v>
      </c>
      <c r="J650" s="830">
        <f ca="1">IFERROR(__xludf.DUMMYFUNCTION("IMPORTRANGE(""https://docs.google.com/spreadsheets/d/1XWAQStnk-4SwqDmLtmXYiTMKHgktTP8We1SCoS47DrQ/edit?usp=sharing"",""จัดที่ดิน!AX25"")"),0)</f>
        <v>0</v>
      </c>
      <c r="K650" s="831">
        <f t="shared" si="271"/>
        <v>0</v>
      </c>
      <c r="L650" s="945"/>
      <c r="M650" s="945"/>
      <c r="N650" s="945"/>
      <c r="O650" s="945"/>
      <c r="P650" s="945"/>
      <c r="Q650" s="1244"/>
      <c r="R650" s="1244"/>
      <c r="S650" s="1244"/>
      <c r="T650" s="1244"/>
      <c r="U650" s="1244"/>
      <c r="V650" s="1244"/>
      <c r="W650" s="1244"/>
      <c r="X650" s="1244"/>
      <c r="Y650" s="1244"/>
      <c r="Z650" s="1244"/>
    </row>
    <row r="651" spans="1:26" ht="18.75" hidden="1">
      <c r="A651" s="1368"/>
      <c r="B651" s="1242"/>
      <c r="C651" s="1243"/>
      <c r="D651" s="961"/>
      <c r="E651" s="1017" t="s">
        <v>277</v>
      </c>
      <c r="F651" s="961"/>
      <c r="G651" s="954"/>
      <c r="H651" s="730" t="s">
        <v>35</v>
      </c>
      <c r="I651" s="830">
        <f ca="1">IFERROR(__xludf.DUMMYFUNCTION("IMPORTRANGE(""https://docs.google.com/spreadsheets/d/1QqKyyYR6Q21VydFLVH3TRQUabQu_ym0Zz7PgGX0-kHA/edit?usp=sharing"",""แผน!HS25"")"),0)</f>
        <v>0</v>
      </c>
      <c r="J651" s="830">
        <f ca="1">IFERROR(__xludf.DUMMYFUNCTION("IMPORTRANGE(""https://docs.google.com/spreadsheets/d/1XWAQStnk-4SwqDmLtmXYiTMKHgktTP8We1SCoS47DrQ/edit?usp=sharing"",""จัดที่ดิน!AY25"")"),0)</f>
        <v>0</v>
      </c>
      <c r="K651" s="945">
        <f t="shared" ca="1" si="271"/>
        <v>0</v>
      </c>
      <c r="L651" s="945"/>
      <c r="M651" s="945"/>
      <c r="N651" s="945"/>
      <c r="O651" s="945"/>
      <c r="P651" s="945"/>
      <c r="Q651" s="1244"/>
      <c r="R651" s="1244"/>
      <c r="S651" s="1244"/>
      <c r="T651" s="1244"/>
      <c r="U651" s="1244"/>
      <c r="V651" s="1244"/>
      <c r="W651" s="1244"/>
      <c r="X651" s="1244"/>
      <c r="Y651" s="1244"/>
      <c r="Z651" s="1244"/>
    </row>
    <row r="652" spans="1:26" ht="18.75" hidden="1">
      <c r="A652" s="1369"/>
      <c r="B652" s="1370"/>
      <c r="C652" s="1371"/>
      <c r="D652" s="1116"/>
      <c r="E652" s="1116"/>
      <c r="F652" s="1116"/>
      <c r="G652" s="1361"/>
      <c r="H652" s="468" t="s">
        <v>46</v>
      </c>
      <c r="I652" s="1085">
        <v>0</v>
      </c>
      <c r="J652" s="1085">
        <f ca="1">IFERROR(__xludf.DUMMYFUNCTION("IMPORTRANGE(""https://docs.google.com/spreadsheets/d/1XWAQStnk-4SwqDmLtmXYiTMKHgktTP8We1SCoS47DrQ/edit?usp=sharing"",""จัดที่ดิน!AZ25"")"),0)</f>
        <v>0</v>
      </c>
      <c r="K652" s="1182">
        <f t="shared" si="271"/>
        <v>0</v>
      </c>
      <c r="L652" s="1086"/>
      <c r="M652" s="1086"/>
      <c r="N652" s="1086"/>
      <c r="O652" s="1086"/>
      <c r="P652" s="1086"/>
      <c r="Q652" s="1244"/>
      <c r="R652" s="1244"/>
      <c r="S652" s="1244"/>
      <c r="T652" s="1244"/>
      <c r="U652" s="1244"/>
      <c r="V652" s="1244"/>
      <c r="W652" s="1244"/>
      <c r="X652" s="1244"/>
      <c r="Y652" s="1244"/>
      <c r="Z652" s="1244"/>
    </row>
    <row r="653" spans="1:26" ht="19.5" hidden="1">
      <c r="A653" s="716">
        <v>8</v>
      </c>
      <c r="B653" s="1362" t="s">
        <v>278</v>
      </c>
      <c r="C653" s="1363"/>
      <c r="D653" s="1363"/>
      <c r="E653" s="1363"/>
      <c r="F653" s="1363"/>
      <c r="G653" s="1364"/>
      <c r="H653" s="1364"/>
      <c r="I653" s="1372"/>
      <c r="J653" s="1372"/>
      <c r="K653" s="1367"/>
      <c r="L653" s="1367"/>
      <c r="M653" s="1367"/>
      <c r="N653" s="1367"/>
      <c r="O653" s="1367"/>
      <c r="P653" s="1367"/>
      <c r="Q653" s="1244"/>
      <c r="R653" s="1244"/>
      <c r="S653" s="1244"/>
      <c r="T653" s="1244"/>
      <c r="U653" s="1244"/>
      <c r="V653" s="1244"/>
      <c r="W653" s="1244"/>
      <c r="X653" s="1244"/>
      <c r="Y653" s="1244"/>
      <c r="Z653" s="1244"/>
    </row>
    <row r="654" spans="1:26" ht="19.5" hidden="1">
      <c r="A654" s="1315"/>
      <c r="B654" s="1314" t="s">
        <v>279</v>
      </c>
      <c r="C654" s="1315"/>
      <c r="D654" s="1315"/>
      <c r="E654" s="1315"/>
      <c r="F654" s="1315"/>
      <c r="G654" s="1316"/>
      <c r="H654" s="673" t="s">
        <v>46</v>
      </c>
      <c r="I654" s="1317">
        <f t="shared" ref="I654:J654" ca="1" si="272">I669</f>
        <v>0</v>
      </c>
      <c r="J654" s="1317">
        <f t="shared" si="272"/>
        <v>0</v>
      </c>
      <c r="K654" s="1318">
        <f ca="1">IF(I654&gt;0,J654*100/I654,0)</f>
        <v>0</v>
      </c>
      <c r="L654" s="1319"/>
      <c r="M654" s="1319"/>
      <c r="N654" s="1319"/>
      <c r="O654" s="1319"/>
      <c r="P654" s="1319"/>
      <c r="Q654" s="1244"/>
      <c r="R654" s="1244"/>
      <c r="S654" s="1244"/>
      <c r="T654" s="1244"/>
      <c r="U654" s="1244"/>
      <c r="V654" s="1244"/>
      <c r="W654" s="1244"/>
      <c r="X654" s="1244"/>
      <c r="Y654" s="1244"/>
      <c r="Z654" s="1244"/>
    </row>
    <row r="655" spans="1:26" ht="19.5" hidden="1">
      <c r="A655" s="1259"/>
      <c r="B655" s="1243"/>
      <c r="C655" s="1243" t="s">
        <v>16</v>
      </c>
      <c r="D655" s="1507" t="s">
        <v>17</v>
      </c>
      <c r="E655" s="1485"/>
      <c r="F655" s="1485"/>
      <c r="G655" s="963"/>
      <c r="H655" s="563" t="s">
        <v>12</v>
      </c>
      <c r="I655" s="830"/>
      <c r="J655" s="830"/>
      <c r="K655" s="831"/>
      <c r="L655" s="967">
        <f t="shared" ref="L655:N655" ca="1" si="273">L656+L657</f>
        <v>0</v>
      </c>
      <c r="M655" s="967">
        <f t="shared" si="273"/>
        <v>0</v>
      </c>
      <c r="N655" s="967">
        <f t="shared" si="273"/>
        <v>0</v>
      </c>
      <c r="O655" s="967">
        <f t="shared" ref="O655:O660" ca="1" si="274">IF(L655&gt;0,N655*100/L655,0)</f>
        <v>0</v>
      </c>
      <c r="P655" s="967">
        <f t="shared" ref="P655:P660" si="275">IF(M655&gt;0,N655*100/M655,0)</f>
        <v>0</v>
      </c>
      <c r="Q655" s="1244"/>
      <c r="R655" s="1244"/>
      <c r="S655" s="1244"/>
      <c r="T655" s="1244"/>
      <c r="U655" s="1244"/>
      <c r="V655" s="1244"/>
      <c r="W655" s="1244"/>
      <c r="X655" s="1244"/>
      <c r="Y655" s="1244"/>
      <c r="Z655" s="1244"/>
    </row>
    <row r="656" spans="1:26" ht="18.75" hidden="1">
      <c r="A656" s="1260"/>
      <c r="B656" s="1261"/>
      <c r="C656" s="1261"/>
      <c r="D656" s="1262"/>
      <c r="E656" s="1261" t="s">
        <v>184</v>
      </c>
      <c r="F656" s="1261"/>
      <c r="G656" s="1263"/>
      <c r="H656" s="165" t="s">
        <v>12</v>
      </c>
      <c r="I656" s="836"/>
      <c r="J656" s="836"/>
      <c r="K656" s="837"/>
      <c r="L656" s="837">
        <f t="shared" ref="L656:N657" si="276">L659+L666</f>
        <v>0</v>
      </c>
      <c r="M656" s="837">
        <f t="shared" si="276"/>
        <v>0</v>
      </c>
      <c r="N656" s="837">
        <f t="shared" si="276"/>
        <v>0</v>
      </c>
      <c r="O656" s="837">
        <f t="shared" si="274"/>
        <v>0</v>
      </c>
      <c r="P656" s="837">
        <f t="shared" si="275"/>
        <v>0</v>
      </c>
      <c r="Q656" s="1264"/>
      <c r="R656" s="1264"/>
      <c r="S656" s="1264"/>
      <c r="T656" s="1264"/>
      <c r="U656" s="1264"/>
      <c r="V656" s="1264"/>
      <c r="W656" s="1264"/>
      <c r="X656" s="1264"/>
      <c r="Y656" s="1264"/>
      <c r="Z656" s="1264"/>
    </row>
    <row r="657" spans="1:26" ht="18.75" hidden="1">
      <c r="A657" s="1260"/>
      <c r="B657" s="1265"/>
      <c r="C657" s="1261"/>
      <c r="D657" s="1262"/>
      <c r="E657" s="1261" t="s">
        <v>185</v>
      </c>
      <c r="F657" s="1261"/>
      <c r="G657" s="1263"/>
      <c r="H657" s="165" t="s">
        <v>12</v>
      </c>
      <c r="I657" s="836"/>
      <c r="J657" s="836"/>
      <c r="K657" s="837"/>
      <c r="L657" s="837">
        <f t="shared" ca="1" si="276"/>
        <v>0</v>
      </c>
      <c r="M657" s="837">
        <f t="shared" si="276"/>
        <v>0</v>
      </c>
      <c r="N657" s="837">
        <f t="shared" si="276"/>
        <v>0</v>
      </c>
      <c r="O657" s="837">
        <f t="shared" ca="1" si="274"/>
        <v>0</v>
      </c>
      <c r="P657" s="837">
        <f t="shared" si="275"/>
        <v>0</v>
      </c>
      <c r="Q657" s="1264"/>
      <c r="R657" s="1264"/>
      <c r="S657" s="1264"/>
      <c r="T657" s="1264"/>
      <c r="U657" s="1264"/>
      <c r="V657" s="1264"/>
      <c r="W657" s="1264"/>
      <c r="X657" s="1264"/>
      <c r="Y657" s="1264"/>
      <c r="Z657" s="1264"/>
    </row>
    <row r="658" spans="1:26" ht="18.75" hidden="1">
      <c r="A658" s="1259"/>
      <c r="B658" s="1242"/>
      <c r="C658" s="1243"/>
      <c r="D658" s="1266" t="s">
        <v>20</v>
      </c>
      <c r="E658" s="1243"/>
      <c r="F658" s="1243"/>
      <c r="G658" s="963"/>
      <c r="H658" s="778" t="s">
        <v>12</v>
      </c>
      <c r="I658" s="944"/>
      <c r="J658" s="944"/>
      <c r="K658" s="945"/>
      <c r="L658" s="831">
        <f t="shared" ref="L658:N658" ca="1" si="277">L659+L660</f>
        <v>0</v>
      </c>
      <c r="M658" s="831">
        <f t="shared" si="277"/>
        <v>0</v>
      </c>
      <c r="N658" s="831">
        <f t="shared" si="277"/>
        <v>0</v>
      </c>
      <c r="O658" s="831">
        <f t="shared" ca="1" si="274"/>
        <v>0</v>
      </c>
      <c r="P658" s="831">
        <f t="shared" si="275"/>
        <v>0</v>
      </c>
      <c r="Q658" s="1244"/>
      <c r="R658" s="1244"/>
      <c r="S658" s="1244"/>
      <c r="T658" s="1244"/>
      <c r="U658" s="1244"/>
      <c r="V658" s="1244"/>
      <c r="W658" s="1244"/>
      <c r="X658" s="1244"/>
      <c r="Y658" s="1244"/>
      <c r="Z658" s="1244"/>
    </row>
    <row r="659" spans="1:26" ht="18.75" hidden="1">
      <c r="A659" s="1260"/>
      <c r="B659" s="1265"/>
      <c r="C659" s="1261"/>
      <c r="D659" s="1262"/>
      <c r="E659" s="1261" t="s">
        <v>184</v>
      </c>
      <c r="F659" s="1261"/>
      <c r="G659" s="1263"/>
      <c r="H659" s="165" t="s">
        <v>12</v>
      </c>
      <c r="I659" s="836"/>
      <c r="J659" s="836"/>
      <c r="K659" s="837"/>
      <c r="L659" s="837">
        <v>0</v>
      </c>
      <c r="M659" s="837">
        <v>0</v>
      </c>
      <c r="N659" s="837">
        <v>0</v>
      </c>
      <c r="O659" s="837">
        <f t="shared" si="274"/>
        <v>0</v>
      </c>
      <c r="P659" s="837">
        <f t="shared" si="275"/>
        <v>0</v>
      </c>
      <c r="Q659" s="1264"/>
      <c r="R659" s="1264"/>
      <c r="S659" s="1264"/>
      <c r="T659" s="1264"/>
      <c r="U659" s="1264"/>
      <c r="V659" s="1264"/>
      <c r="W659" s="1264"/>
      <c r="X659" s="1264"/>
      <c r="Y659" s="1264"/>
      <c r="Z659" s="1264"/>
    </row>
    <row r="660" spans="1:26" ht="18.75" hidden="1">
      <c r="A660" s="1260"/>
      <c r="B660" s="1265"/>
      <c r="C660" s="1261"/>
      <c r="D660" s="1262"/>
      <c r="E660" s="1261" t="s">
        <v>185</v>
      </c>
      <c r="F660" s="1261"/>
      <c r="G660" s="1263"/>
      <c r="H660" s="165" t="s">
        <v>12</v>
      </c>
      <c r="I660" s="836"/>
      <c r="J660" s="836"/>
      <c r="K660" s="837"/>
      <c r="L660" s="837">
        <f ca="1">IFERROR(__xludf.DUMMYFUNCTION("IMPORTRANGE(""https://docs.google.com/spreadsheets/d/1QqKyyYR6Q21VydFLVH3TRQUabQu_ym0Zz7PgGX0-kHA/edit?usp=sharing"",""แผน!HV25"")"),0)</f>
        <v>0</v>
      </c>
      <c r="M660" s="837">
        <v>0</v>
      </c>
      <c r="N660" s="837">
        <f>N661+N662+N663+N664</f>
        <v>0</v>
      </c>
      <c r="O660" s="837">
        <f t="shared" ca="1" si="274"/>
        <v>0</v>
      </c>
      <c r="P660" s="837">
        <f t="shared" si="275"/>
        <v>0</v>
      </c>
      <c r="Q660" s="1264"/>
      <c r="R660" s="1264"/>
      <c r="S660" s="1264"/>
      <c r="T660" s="1264"/>
      <c r="U660" s="1264"/>
      <c r="V660" s="1264"/>
      <c r="W660" s="1264"/>
      <c r="X660" s="1264"/>
      <c r="Y660" s="1264"/>
      <c r="Z660" s="1264"/>
    </row>
    <row r="661" spans="1:26" ht="18.75" hidden="1">
      <c r="A661" s="1241"/>
      <c r="B661" s="1242"/>
      <c r="C661" s="1243"/>
      <c r="D661" s="1243"/>
      <c r="E661" s="1243"/>
      <c r="F661" s="1243" t="s">
        <v>186</v>
      </c>
      <c r="G661" s="963"/>
      <c r="H661" s="778" t="s">
        <v>12</v>
      </c>
      <c r="I661" s="830"/>
      <c r="J661" s="830"/>
      <c r="K661" s="831"/>
      <c r="L661" s="831"/>
      <c r="M661" s="831"/>
      <c r="N661" s="1031">
        <v>0</v>
      </c>
      <c r="O661" s="831"/>
      <c r="P661" s="831"/>
      <c r="Q661" s="1244"/>
      <c r="R661" s="1244"/>
      <c r="S661" s="1244"/>
      <c r="T661" s="1244"/>
      <c r="U661" s="1244"/>
      <c r="V661" s="1244"/>
      <c r="W661" s="1244"/>
      <c r="X661" s="1244"/>
      <c r="Y661" s="1244"/>
      <c r="Z661" s="1244"/>
    </row>
    <row r="662" spans="1:26" ht="18.75" hidden="1">
      <c r="A662" s="1241"/>
      <c r="B662" s="1242"/>
      <c r="C662" s="1243"/>
      <c r="D662" s="1243"/>
      <c r="E662" s="1243"/>
      <c r="F662" s="1243" t="s">
        <v>187</v>
      </c>
      <c r="G662" s="963"/>
      <c r="H662" s="778" t="s">
        <v>12</v>
      </c>
      <c r="I662" s="830"/>
      <c r="J662" s="830"/>
      <c r="K662" s="831"/>
      <c r="L662" s="831"/>
      <c r="M662" s="831"/>
      <c r="N662" s="1031">
        <v>0</v>
      </c>
      <c r="O662" s="831"/>
      <c r="P662" s="831"/>
      <c r="Q662" s="1244"/>
      <c r="R662" s="1244"/>
      <c r="S662" s="1244"/>
      <c r="T662" s="1244"/>
      <c r="U662" s="1244"/>
      <c r="V662" s="1244"/>
      <c r="W662" s="1244"/>
      <c r="X662" s="1244"/>
      <c r="Y662" s="1244"/>
      <c r="Z662" s="1244"/>
    </row>
    <row r="663" spans="1:26" ht="18.75" hidden="1">
      <c r="A663" s="1241"/>
      <c r="B663" s="1242"/>
      <c r="C663" s="1242"/>
      <c r="D663" s="1243"/>
      <c r="E663" s="1243"/>
      <c r="F663" s="1243" t="s">
        <v>188</v>
      </c>
      <c r="G663" s="963"/>
      <c r="H663" s="778" t="s">
        <v>12</v>
      </c>
      <c r="I663" s="830"/>
      <c r="J663" s="830"/>
      <c r="K663" s="831"/>
      <c r="L663" s="831"/>
      <c r="M663" s="831"/>
      <c r="N663" s="1031">
        <v>0</v>
      </c>
      <c r="O663" s="831"/>
      <c r="P663" s="831"/>
      <c r="Q663" s="1244"/>
      <c r="R663" s="1244"/>
      <c r="S663" s="1244"/>
      <c r="T663" s="1244"/>
      <c r="U663" s="1244"/>
      <c r="V663" s="1244"/>
      <c r="W663" s="1244"/>
      <c r="X663" s="1244"/>
      <c r="Y663" s="1244"/>
      <c r="Z663" s="1244"/>
    </row>
    <row r="664" spans="1:26" ht="18.75" hidden="1">
      <c r="A664" s="1241"/>
      <c r="B664" s="1242"/>
      <c r="C664" s="1242"/>
      <c r="D664" s="1242"/>
      <c r="E664" s="1243"/>
      <c r="F664" s="1243" t="s">
        <v>189</v>
      </c>
      <c r="G664" s="963"/>
      <c r="H664" s="778" t="s">
        <v>12</v>
      </c>
      <c r="I664" s="830"/>
      <c r="J664" s="830"/>
      <c r="K664" s="831"/>
      <c r="L664" s="831"/>
      <c r="M664" s="831"/>
      <c r="N664" s="1031">
        <v>0</v>
      </c>
      <c r="O664" s="831"/>
      <c r="P664" s="831"/>
      <c r="Q664" s="1244"/>
      <c r="R664" s="1244"/>
      <c r="S664" s="1244"/>
      <c r="T664" s="1244"/>
      <c r="U664" s="1244"/>
      <c r="V664" s="1244"/>
      <c r="W664" s="1244"/>
      <c r="X664" s="1244"/>
      <c r="Y664" s="1244"/>
      <c r="Z664" s="1244"/>
    </row>
    <row r="665" spans="1:26" ht="18.75" hidden="1">
      <c r="A665" s="1259"/>
      <c r="B665" s="1242"/>
      <c r="C665" s="1242"/>
      <c r="D665" s="1266" t="s">
        <v>21</v>
      </c>
      <c r="E665" s="1243"/>
      <c r="F665" s="1243"/>
      <c r="G665" s="963"/>
      <c r="H665" s="168" t="s">
        <v>12</v>
      </c>
      <c r="I665" s="944"/>
      <c r="J665" s="944"/>
      <c r="K665" s="945"/>
      <c r="L665" s="831">
        <f t="shared" ref="L665:N665" si="278">L666+L667</f>
        <v>0</v>
      </c>
      <c r="M665" s="831">
        <f t="shared" si="278"/>
        <v>0</v>
      </c>
      <c r="N665" s="831">
        <f t="shared" si="278"/>
        <v>0</v>
      </c>
      <c r="O665" s="831">
        <f t="shared" ref="O665:O667" si="279">IF(L665&gt;0,N665*100/L665,0)</f>
        <v>0</v>
      </c>
      <c r="P665" s="831">
        <f t="shared" ref="P665:P667" si="280">IF(M665&gt;0,N665*100/M665,0)</f>
        <v>0</v>
      </c>
      <c r="Q665" s="1244"/>
      <c r="R665" s="1244"/>
      <c r="S665" s="1244"/>
      <c r="T665" s="1244"/>
      <c r="U665" s="1244"/>
      <c r="V665" s="1244"/>
      <c r="W665" s="1244"/>
      <c r="X665" s="1244"/>
      <c r="Y665" s="1244"/>
      <c r="Z665" s="1244"/>
    </row>
    <row r="666" spans="1:26" ht="18.75" hidden="1">
      <c r="A666" s="1260"/>
      <c r="B666" s="1265"/>
      <c r="C666" s="1265"/>
      <c r="D666" s="1265"/>
      <c r="E666" s="1261" t="s">
        <v>18</v>
      </c>
      <c r="F666" s="1261"/>
      <c r="G666" s="1263"/>
      <c r="H666" s="165" t="s">
        <v>12</v>
      </c>
      <c r="I666" s="947"/>
      <c r="J666" s="947"/>
      <c r="K666" s="948"/>
      <c r="L666" s="837">
        <v>0</v>
      </c>
      <c r="M666" s="837">
        <v>0</v>
      </c>
      <c r="N666" s="837">
        <v>0</v>
      </c>
      <c r="O666" s="837">
        <f t="shared" si="279"/>
        <v>0</v>
      </c>
      <c r="P666" s="837">
        <f t="shared" si="280"/>
        <v>0</v>
      </c>
      <c r="Q666" s="1264"/>
      <c r="R666" s="1264"/>
      <c r="S666" s="1264"/>
      <c r="T666" s="1264"/>
      <c r="U666" s="1264"/>
      <c r="V666" s="1264"/>
      <c r="W666" s="1264"/>
      <c r="X666" s="1264"/>
      <c r="Y666" s="1264"/>
      <c r="Z666" s="1264"/>
    </row>
    <row r="667" spans="1:26" ht="18.75" hidden="1">
      <c r="A667" s="1260"/>
      <c r="B667" s="1265"/>
      <c r="C667" s="1265"/>
      <c r="D667" s="1265"/>
      <c r="E667" s="1261" t="s">
        <v>19</v>
      </c>
      <c r="F667" s="1261"/>
      <c r="G667" s="1263"/>
      <c r="H667" s="169" t="s">
        <v>12</v>
      </c>
      <c r="I667" s="947"/>
      <c r="J667" s="947"/>
      <c r="K667" s="948"/>
      <c r="L667" s="837">
        <v>0</v>
      </c>
      <c r="M667" s="837">
        <v>0</v>
      </c>
      <c r="N667" s="837">
        <v>0</v>
      </c>
      <c r="O667" s="837">
        <f t="shared" si="279"/>
        <v>0</v>
      </c>
      <c r="P667" s="837">
        <f t="shared" si="280"/>
        <v>0</v>
      </c>
      <c r="Q667" s="1264"/>
      <c r="R667" s="1264"/>
      <c r="S667" s="1264"/>
      <c r="T667" s="1264"/>
      <c r="U667" s="1264"/>
      <c r="V667" s="1264"/>
      <c r="W667" s="1264"/>
      <c r="X667" s="1264"/>
      <c r="Y667" s="1264"/>
      <c r="Z667" s="1264"/>
    </row>
    <row r="668" spans="1:26" ht="19.5" hidden="1">
      <c r="A668" s="1267"/>
      <c r="B668" s="1268"/>
      <c r="C668" s="1242" t="s">
        <v>16</v>
      </c>
      <c r="D668" s="1269" t="s">
        <v>38</v>
      </c>
      <c r="E668" s="1271"/>
      <c r="F668" s="1271"/>
      <c r="G668" s="1272"/>
      <c r="H668" s="954"/>
      <c r="I668" s="944"/>
      <c r="J668" s="944"/>
      <c r="K668" s="945"/>
      <c r="L668" s="945"/>
      <c r="M668" s="945"/>
      <c r="N668" s="945"/>
      <c r="O668" s="945"/>
      <c r="P668" s="945"/>
      <c r="Q668" s="1244"/>
      <c r="R668" s="1244"/>
      <c r="S668" s="1244"/>
      <c r="T668" s="1244"/>
      <c r="U668" s="1244"/>
      <c r="V668" s="1244"/>
      <c r="W668" s="1244"/>
      <c r="X668" s="1244"/>
      <c r="Y668" s="1244"/>
      <c r="Z668" s="1244"/>
    </row>
    <row r="669" spans="1:26" ht="19.5" hidden="1">
      <c r="A669" s="1267"/>
      <c r="B669" s="1268"/>
      <c r="C669" s="1268"/>
      <c r="D669" s="1268" t="s">
        <v>280</v>
      </c>
      <c r="E669" s="961"/>
      <c r="F669" s="961"/>
      <c r="G669" s="954"/>
      <c r="H669" s="733" t="s">
        <v>46</v>
      </c>
      <c r="I669" s="966">
        <f ca="1">IFERROR(__xludf.DUMMYFUNCTION("IMPORTRANGE(""https://docs.google.com/spreadsheets/d/1QqKyyYR6Q21VydFLVH3TRQUabQu_ym0Zz7PgGX0-kHA/edit?usp=sharing"",""แผน!IA25"")"),0)</f>
        <v>0</v>
      </c>
      <c r="J669" s="966">
        <f>J675</f>
        <v>0</v>
      </c>
      <c r="K669" s="967">
        <f ca="1">IF(I669&gt;0,J669*100/I669,0)</f>
        <v>0</v>
      </c>
      <c r="L669" s="945"/>
      <c r="M669" s="945"/>
      <c r="N669" s="945"/>
      <c r="O669" s="945"/>
      <c r="P669" s="945"/>
      <c r="Q669" s="1244"/>
      <c r="R669" s="1244"/>
      <c r="S669" s="1244"/>
      <c r="T669" s="1244"/>
      <c r="U669" s="1244"/>
      <c r="V669" s="1244"/>
      <c r="W669" s="1244"/>
      <c r="X669" s="1244"/>
      <c r="Y669" s="1244"/>
      <c r="Z669" s="1244"/>
    </row>
    <row r="670" spans="1:26" ht="18.75" hidden="1">
      <c r="A670" s="1267"/>
      <c r="B670" s="1268"/>
      <c r="C670" s="1268"/>
      <c r="D670" s="1268"/>
      <c r="E670" s="961" t="s">
        <v>281</v>
      </c>
      <c r="F670" s="961"/>
      <c r="G670" s="954"/>
      <c r="H670" s="730" t="s">
        <v>66</v>
      </c>
      <c r="I670" s="830">
        <f ca="1">IFERROR(__xludf.DUMMYFUNCTION("IMPORTRANGE(""https://docs.google.com/spreadsheets/d/1QqKyyYR6Q21VydFLVH3TRQUabQu_ym0Zz7PgGX0-kHA/edit?usp=sharing"",""แผน!HZ25"")"),0)</f>
        <v>0</v>
      </c>
      <c r="J670" s="959">
        <v>0</v>
      </c>
      <c r="K670" s="831">
        <f ca="1">IF(I670&gt;0,(J670*100)/I670,0)</f>
        <v>0</v>
      </c>
      <c r="L670" s="945"/>
      <c r="M670" s="945"/>
      <c r="N670" s="945"/>
      <c r="O670" s="945"/>
      <c r="P670" s="945"/>
      <c r="Q670" s="1244"/>
      <c r="R670" s="1244"/>
      <c r="S670" s="1244"/>
      <c r="T670" s="1244"/>
      <c r="U670" s="1244"/>
      <c r="V670" s="1244"/>
      <c r="W670" s="1244"/>
      <c r="X670" s="1244"/>
      <c r="Y670" s="1244"/>
      <c r="Z670" s="1244"/>
    </row>
    <row r="671" spans="1:26" ht="18.75" hidden="1">
      <c r="A671" s="1267"/>
      <c r="B671" s="1268"/>
      <c r="C671" s="1268"/>
      <c r="D671" s="1268"/>
      <c r="E671" s="961" t="s">
        <v>282</v>
      </c>
      <c r="F671" s="961"/>
      <c r="G671" s="954"/>
      <c r="H671" s="730" t="s">
        <v>66</v>
      </c>
      <c r="I671" s="830">
        <f ca="1">IFERROR(__xludf.DUMMYFUNCTION("IMPORTRANGE(""https://docs.google.com/spreadsheets/d/1QqKyyYR6Q21VydFLVH3TRQUabQu_ym0Zz7PgGX0-kHA/edit?usp=sharing"",""แผน!HZ25"")"),0)</f>
        <v>0</v>
      </c>
      <c r="J671" s="959">
        <v>0</v>
      </c>
      <c r="K671" s="831">
        <f ca="1">IF(I$671&gt;0,J671*100/I$671,0)</f>
        <v>0</v>
      </c>
      <c r="L671" s="945"/>
      <c r="M671" s="945"/>
      <c r="N671" s="945"/>
      <c r="O671" s="945"/>
      <c r="P671" s="945"/>
      <c r="Q671" s="1244"/>
      <c r="R671" s="1244"/>
      <c r="S671" s="1244"/>
      <c r="T671" s="1244"/>
      <c r="U671" s="1244"/>
      <c r="V671" s="1244"/>
      <c r="W671" s="1244"/>
      <c r="X671" s="1244"/>
      <c r="Y671" s="1244"/>
      <c r="Z671" s="1244"/>
    </row>
    <row r="672" spans="1:26" ht="18.75" hidden="1">
      <c r="A672" s="1267"/>
      <c r="B672" s="1268"/>
      <c r="C672" s="1268"/>
      <c r="D672" s="1268"/>
      <c r="E672" s="961" t="s">
        <v>283</v>
      </c>
      <c r="F672" s="961"/>
      <c r="G672" s="954"/>
      <c r="H672" s="730" t="s">
        <v>46</v>
      </c>
      <c r="I672" s="830"/>
      <c r="J672" s="959">
        <v>0</v>
      </c>
      <c r="K672" s="831">
        <f t="shared" ref="K672:K675" ca="1" si="281">IF(I$669&gt;0,J672*100/I$669,0)</f>
        <v>0</v>
      </c>
      <c r="L672" s="945"/>
      <c r="M672" s="945"/>
      <c r="N672" s="945"/>
      <c r="O672" s="945"/>
      <c r="P672" s="945"/>
      <c r="Q672" s="1244"/>
      <c r="R672" s="1244"/>
      <c r="S672" s="1244"/>
      <c r="T672" s="1244"/>
      <c r="U672" s="1244"/>
      <c r="V672" s="1244"/>
      <c r="W672" s="1244"/>
      <c r="X672" s="1244"/>
      <c r="Y672" s="1244"/>
      <c r="Z672" s="1244"/>
    </row>
    <row r="673" spans="1:26" ht="18.75" hidden="1">
      <c r="A673" s="1267"/>
      <c r="B673" s="1268"/>
      <c r="C673" s="1268"/>
      <c r="D673" s="1268"/>
      <c r="E673" s="961" t="s">
        <v>284</v>
      </c>
      <c r="F673" s="961"/>
      <c r="G673" s="954"/>
      <c r="H673" s="730" t="s">
        <v>46</v>
      </c>
      <c r="I673" s="830"/>
      <c r="J673" s="959">
        <v>0</v>
      </c>
      <c r="K673" s="831">
        <f t="shared" ca="1" si="281"/>
        <v>0</v>
      </c>
      <c r="L673" s="945"/>
      <c r="M673" s="945"/>
      <c r="N673" s="945"/>
      <c r="O673" s="945"/>
      <c r="P673" s="945"/>
      <c r="Q673" s="1244"/>
      <c r="R673" s="1244"/>
      <c r="S673" s="1244"/>
      <c r="T673" s="1244"/>
      <c r="U673" s="1244"/>
      <c r="V673" s="1244"/>
      <c r="W673" s="1244"/>
      <c r="X673" s="1244"/>
      <c r="Y673" s="1244"/>
      <c r="Z673" s="1244"/>
    </row>
    <row r="674" spans="1:26" ht="18.75" hidden="1">
      <c r="A674" s="1267"/>
      <c r="B674" s="1268"/>
      <c r="C674" s="1268"/>
      <c r="D674" s="1268"/>
      <c r="E674" s="961" t="s">
        <v>285</v>
      </c>
      <c r="F674" s="961"/>
      <c r="G674" s="954"/>
      <c r="H674" s="730" t="s">
        <v>46</v>
      </c>
      <c r="I674" s="830"/>
      <c r="J674" s="959">
        <v>0</v>
      </c>
      <c r="K674" s="831">
        <f t="shared" ca="1" si="281"/>
        <v>0</v>
      </c>
      <c r="L674" s="945"/>
      <c r="M674" s="945"/>
      <c r="N674" s="945"/>
      <c r="O674" s="945"/>
      <c r="P674" s="945"/>
      <c r="Q674" s="1244"/>
      <c r="R674" s="1244"/>
      <c r="S674" s="1244"/>
      <c r="T674" s="1244"/>
      <c r="U674" s="1244"/>
      <c r="V674" s="1244"/>
      <c r="W674" s="1244"/>
      <c r="X674" s="1244"/>
      <c r="Y674" s="1244"/>
      <c r="Z674" s="1244"/>
    </row>
    <row r="675" spans="1:26" ht="19.5" hidden="1">
      <c r="A675" s="1267"/>
      <c r="B675" s="1268"/>
      <c r="C675" s="1268"/>
      <c r="D675" s="1268"/>
      <c r="E675" s="961" t="s">
        <v>286</v>
      </c>
      <c r="F675" s="961"/>
      <c r="G675" s="954"/>
      <c r="H675" s="730" t="s">
        <v>46</v>
      </c>
      <c r="I675" s="830"/>
      <c r="J675" s="966">
        <f>J676+J677</f>
        <v>0</v>
      </c>
      <c r="K675" s="967">
        <f t="shared" ca="1" si="281"/>
        <v>0</v>
      </c>
      <c r="L675" s="945"/>
      <c r="M675" s="945"/>
      <c r="N675" s="945"/>
      <c r="O675" s="945"/>
      <c r="P675" s="945"/>
      <c r="Q675" s="1244"/>
      <c r="R675" s="1244"/>
      <c r="S675" s="1244"/>
      <c r="T675" s="1244"/>
      <c r="U675" s="1244"/>
      <c r="V675" s="1244"/>
      <c r="W675" s="1244"/>
      <c r="X675" s="1244"/>
      <c r="Y675" s="1244"/>
      <c r="Z675" s="1244"/>
    </row>
    <row r="676" spans="1:26" ht="18.75" hidden="1">
      <c r="A676" s="1267"/>
      <c r="B676" s="1268"/>
      <c r="C676" s="1268"/>
      <c r="D676" s="1268"/>
      <c r="E676" s="961"/>
      <c r="F676" s="961" t="s">
        <v>287</v>
      </c>
      <c r="G676" s="954"/>
      <c r="H676" s="730" t="s">
        <v>46</v>
      </c>
      <c r="I676" s="830"/>
      <c r="J676" s="959">
        <v>0</v>
      </c>
      <c r="K676" s="831"/>
      <c r="L676" s="945"/>
      <c r="M676" s="945"/>
      <c r="N676" s="945"/>
      <c r="O676" s="945"/>
      <c r="P676" s="945"/>
      <c r="Q676" s="1244"/>
      <c r="R676" s="1244"/>
      <c r="S676" s="1244"/>
      <c r="T676" s="1244"/>
      <c r="U676" s="1244"/>
      <c r="V676" s="1244"/>
      <c r="W676" s="1244"/>
      <c r="X676" s="1244"/>
      <c r="Y676" s="1244"/>
      <c r="Z676" s="1244"/>
    </row>
    <row r="677" spans="1:26" ht="18.75" hidden="1">
      <c r="A677" s="1267"/>
      <c r="B677" s="1268"/>
      <c r="C677" s="1268"/>
      <c r="D677" s="1268"/>
      <c r="E677" s="961"/>
      <c r="F677" s="961" t="s">
        <v>288</v>
      </c>
      <c r="G677" s="954"/>
      <c r="H677" s="730" t="s">
        <v>46</v>
      </c>
      <c r="I677" s="830"/>
      <c r="J677" s="959">
        <v>0</v>
      </c>
      <c r="K677" s="831"/>
      <c r="L677" s="945"/>
      <c r="M677" s="945"/>
      <c r="N677" s="945"/>
      <c r="O677" s="945"/>
      <c r="P677" s="945"/>
      <c r="Q677" s="1244"/>
      <c r="R677" s="1244"/>
      <c r="S677" s="1244"/>
      <c r="T677" s="1244"/>
      <c r="U677" s="1244"/>
      <c r="V677" s="1244"/>
      <c r="W677" s="1244"/>
      <c r="X677" s="1244"/>
      <c r="Y677" s="1244"/>
      <c r="Z677" s="1244"/>
    </row>
    <row r="678" spans="1:26" ht="19.5" hidden="1">
      <c r="A678" s="1267"/>
      <c r="B678" s="1268"/>
      <c r="C678" s="1268"/>
      <c r="D678" s="1268" t="s">
        <v>289</v>
      </c>
      <c r="E678" s="961"/>
      <c r="F678" s="961"/>
      <c r="G678" s="954"/>
      <c r="H678" s="730" t="s">
        <v>46</v>
      </c>
      <c r="I678" s="966">
        <f ca="1">IFERROR(__xludf.DUMMYFUNCTION("IMPORTRANGE(""https://docs.google.com/spreadsheets/d/1QqKyyYR6Q21VydFLVH3TRQUabQu_ym0Zz7PgGX0-kHA/edit?usp=sharing"",""แผน!IB25"")"),0)</f>
        <v>0</v>
      </c>
      <c r="J678" s="966">
        <f>J679</f>
        <v>0</v>
      </c>
      <c r="K678" s="967">
        <f ca="1">IF(I678&gt;0,J678*100/I678,0)</f>
        <v>0</v>
      </c>
      <c r="L678" s="945"/>
      <c r="M678" s="945"/>
      <c r="N678" s="945"/>
      <c r="O678" s="945"/>
      <c r="P678" s="945"/>
      <c r="Q678" s="1244"/>
      <c r="R678" s="1244"/>
      <c r="S678" s="1244"/>
      <c r="T678" s="1244"/>
      <c r="U678" s="1244"/>
      <c r="V678" s="1244"/>
      <c r="W678" s="1244"/>
      <c r="X678" s="1244"/>
      <c r="Y678" s="1244"/>
      <c r="Z678" s="1244"/>
    </row>
    <row r="679" spans="1:26" ht="18.75" hidden="1">
      <c r="A679" s="1267"/>
      <c r="B679" s="1268"/>
      <c r="C679" s="1268"/>
      <c r="D679" s="1268"/>
      <c r="E679" s="961" t="s">
        <v>290</v>
      </c>
      <c r="F679" s="961"/>
      <c r="G679" s="954"/>
      <c r="H679" s="730" t="s">
        <v>46</v>
      </c>
      <c r="I679" s="830"/>
      <c r="J679" s="830">
        <f>J680+J681</f>
        <v>0</v>
      </c>
      <c r="K679" s="831"/>
      <c r="L679" s="945"/>
      <c r="M679" s="945"/>
      <c r="N679" s="945"/>
      <c r="O679" s="945"/>
      <c r="P679" s="945"/>
      <c r="Q679" s="1244"/>
      <c r="R679" s="1244"/>
      <c r="S679" s="1244"/>
      <c r="T679" s="1244"/>
      <c r="U679" s="1244"/>
      <c r="V679" s="1244"/>
      <c r="W679" s="1244"/>
      <c r="X679" s="1244"/>
      <c r="Y679" s="1244"/>
      <c r="Z679" s="1244"/>
    </row>
    <row r="680" spans="1:26" ht="18.75" hidden="1">
      <c r="A680" s="1267"/>
      <c r="B680" s="1268"/>
      <c r="C680" s="1268"/>
      <c r="D680" s="1268"/>
      <c r="E680" s="961"/>
      <c r="F680" s="961" t="s">
        <v>287</v>
      </c>
      <c r="G680" s="954"/>
      <c r="H680" s="730" t="s">
        <v>46</v>
      </c>
      <c r="I680" s="830"/>
      <c r="J680" s="959">
        <v>0</v>
      </c>
      <c r="K680" s="831"/>
      <c r="L680" s="945"/>
      <c r="M680" s="945"/>
      <c r="N680" s="945"/>
      <c r="O680" s="945"/>
      <c r="P680" s="945"/>
      <c r="Q680" s="1244"/>
      <c r="R680" s="1244"/>
      <c r="S680" s="1244"/>
      <c r="T680" s="1244"/>
      <c r="U680" s="1244"/>
      <c r="V680" s="1244"/>
      <c r="W680" s="1244"/>
      <c r="X680" s="1244"/>
      <c r="Y680" s="1244"/>
      <c r="Z680" s="1244"/>
    </row>
    <row r="681" spans="1:26" ht="18.75" hidden="1">
      <c r="A681" s="1267"/>
      <c r="B681" s="1268"/>
      <c r="C681" s="1268"/>
      <c r="D681" s="1268"/>
      <c r="E681" s="961"/>
      <c r="F681" s="961" t="s">
        <v>288</v>
      </c>
      <c r="G681" s="954"/>
      <c r="H681" s="730" t="s">
        <v>46</v>
      </c>
      <c r="I681" s="830"/>
      <c r="J681" s="959">
        <v>0</v>
      </c>
      <c r="K681" s="831"/>
      <c r="L681" s="945"/>
      <c r="M681" s="945"/>
      <c r="N681" s="945"/>
      <c r="O681" s="945"/>
      <c r="P681" s="945"/>
      <c r="Q681" s="1244"/>
      <c r="R681" s="1244"/>
      <c r="S681" s="1244"/>
      <c r="T681" s="1244"/>
      <c r="U681" s="1244"/>
      <c r="V681" s="1244"/>
      <c r="W681" s="1244"/>
      <c r="X681" s="1244"/>
      <c r="Y681" s="1244"/>
      <c r="Z681" s="1244"/>
    </row>
    <row r="682" spans="1:26" ht="18.75" hidden="1">
      <c r="A682" s="1267"/>
      <c r="B682" s="1268"/>
      <c r="C682" s="1268"/>
      <c r="D682" s="1268"/>
      <c r="E682" s="961" t="s">
        <v>291</v>
      </c>
      <c r="F682" s="961"/>
      <c r="G682" s="954"/>
      <c r="H682" s="730" t="s">
        <v>46</v>
      </c>
      <c r="I682" s="830"/>
      <c r="J682" s="959">
        <v>0</v>
      </c>
      <c r="K682" s="831"/>
      <c r="L682" s="945"/>
      <c r="M682" s="945"/>
      <c r="N682" s="945"/>
      <c r="O682" s="945"/>
      <c r="P682" s="945"/>
      <c r="Q682" s="1244"/>
      <c r="R682" s="1244"/>
      <c r="S682" s="1244"/>
      <c r="T682" s="1244"/>
      <c r="U682" s="1244"/>
      <c r="V682" s="1244"/>
      <c r="W682" s="1244"/>
      <c r="X682" s="1244"/>
      <c r="Y682" s="1244"/>
      <c r="Z682" s="1244"/>
    </row>
    <row r="683" spans="1:26" ht="18.75" hidden="1">
      <c r="A683" s="1267"/>
      <c r="B683" s="1268"/>
      <c r="C683" s="1268"/>
      <c r="D683" s="1268"/>
      <c r="E683" s="961"/>
      <c r="F683" s="961" t="s">
        <v>292</v>
      </c>
      <c r="G683" s="954"/>
      <c r="H683" s="730" t="s">
        <v>46</v>
      </c>
      <c r="I683" s="830"/>
      <c r="J683" s="959">
        <v>0</v>
      </c>
      <c r="K683" s="831"/>
      <c r="L683" s="945"/>
      <c r="M683" s="945"/>
      <c r="N683" s="945"/>
      <c r="O683" s="945"/>
      <c r="P683" s="945"/>
      <c r="Q683" s="1244"/>
      <c r="R683" s="1244"/>
      <c r="S683" s="1244"/>
      <c r="T683" s="1244"/>
      <c r="U683" s="1244"/>
      <c r="V683" s="1244"/>
      <c r="W683" s="1244"/>
      <c r="X683" s="1244"/>
      <c r="Y683" s="1244"/>
      <c r="Z683" s="1244"/>
    </row>
    <row r="684" spans="1:26" ht="19.5" hidden="1">
      <c r="A684" s="1373"/>
      <c r="B684" s="1374" t="s">
        <v>293</v>
      </c>
      <c r="C684" s="1373"/>
      <c r="D684" s="1373"/>
      <c r="E684" s="1373"/>
      <c r="F684" s="1373"/>
      <c r="G684" s="1375"/>
      <c r="H684" s="1375"/>
      <c r="I684" s="1376"/>
      <c r="J684" s="1376"/>
      <c r="K684" s="1377"/>
      <c r="L684" s="1377"/>
      <c r="M684" s="1377"/>
      <c r="N684" s="1377"/>
      <c r="O684" s="1377"/>
      <c r="P684" s="1377"/>
      <c r="Q684" s="1244"/>
      <c r="R684" s="1244"/>
      <c r="S684" s="1244"/>
      <c r="T684" s="1244"/>
      <c r="U684" s="1244"/>
      <c r="V684" s="1244"/>
      <c r="W684" s="1244"/>
      <c r="X684" s="1244"/>
      <c r="Y684" s="1244"/>
      <c r="Z684" s="1244"/>
    </row>
    <row r="685" spans="1:26" ht="19.5" hidden="1">
      <c r="A685" s="1259"/>
      <c r="B685" s="1243"/>
      <c r="C685" s="1243" t="s">
        <v>16</v>
      </c>
      <c r="D685" s="1507" t="s">
        <v>17</v>
      </c>
      <c r="E685" s="1485"/>
      <c r="F685" s="1485"/>
      <c r="G685" s="963"/>
      <c r="H685" s="563" t="s">
        <v>12</v>
      </c>
      <c r="I685" s="830"/>
      <c r="J685" s="830"/>
      <c r="K685" s="831"/>
      <c r="L685" s="967">
        <f t="shared" ref="L685:N685" ca="1" si="282">L686+L687</f>
        <v>0</v>
      </c>
      <c r="M685" s="967">
        <f t="shared" si="282"/>
        <v>0</v>
      </c>
      <c r="N685" s="967">
        <f t="shared" si="282"/>
        <v>0</v>
      </c>
      <c r="O685" s="967">
        <f t="shared" ref="O685:O688" ca="1" si="283">IF(L685&gt;0,N685*100/L685,0)</f>
        <v>0</v>
      </c>
      <c r="P685" s="967">
        <f t="shared" ref="P685:P688" si="284">IF(M685&gt;0,N685*100/M685,0)</f>
        <v>0</v>
      </c>
      <c r="Q685" s="1244"/>
      <c r="R685" s="1244"/>
      <c r="S685" s="1244"/>
      <c r="T685" s="1244"/>
      <c r="U685" s="1244"/>
      <c r="V685" s="1244"/>
      <c r="W685" s="1244"/>
      <c r="X685" s="1244"/>
      <c r="Y685" s="1244"/>
      <c r="Z685" s="1244"/>
    </row>
    <row r="686" spans="1:26" ht="18.75" hidden="1">
      <c r="A686" s="1260"/>
      <c r="B686" s="1261"/>
      <c r="C686" s="1261"/>
      <c r="D686" s="1262"/>
      <c r="E686" s="1261" t="s">
        <v>184</v>
      </c>
      <c r="F686" s="1261"/>
      <c r="G686" s="1263"/>
      <c r="H686" s="165" t="s">
        <v>12</v>
      </c>
      <c r="I686" s="836"/>
      <c r="J686" s="836"/>
      <c r="K686" s="837"/>
      <c r="L686" s="837">
        <f t="shared" ref="L686:N687" si="285">L689+L696</f>
        <v>0</v>
      </c>
      <c r="M686" s="837">
        <f t="shared" si="285"/>
        <v>0</v>
      </c>
      <c r="N686" s="837">
        <f t="shared" si="285"/>
        <v>0</v>
      </c>
      <c r="O686" s="837">
        <f t="shared" si="283"/>
        <v>0</v>
      </c>
      <c r="P686" s="837">
        <f t="shared" si="284"/>
        <v>0</v>
      </c>
      <c r="Q686" s="1264"/>
      <c r="R686" s="1264"/>
      <c r="S686" s="1264"/>
      <c r="T686" s="1264"/>
      <c r="U686" s="1264"/>
      <c r="V686" s="1264"/>
      <c r="W686" s="1264"/>
      <c r="X686" s="1264"/>
      <c r="Y686" s="1264"/>
      <c r="Z686" s="1264"/>
    </row>
    <row r="687" spans="1:26" ht="18.75" hidden="1">
      <c r="A687" s="1260"/>
      <c r="B687" s="1265"/>
      <c r="C687" s="1261"/>
      <c r="D687" s="1262"/>
      <c r="E687" s="1261" t="s">
        <v>185</v>
      </c>
      <c r="F687" s="1261"/>
      <c r="G687" s="1263"/>
      <c r="H687" s="165" t="s">
        <v>12</v>
      </c>
      <c r="I687" s="836"/>
      <c r="J687" s="836"/>
      <c r="K687" s="837"/>
      <c r="L687" s="837">
        <f t="shared" ca="1" si="285"/>
        <v>0</v>
      </c>
      <c r="M687" s="837">
        <f t="shared" si="285"/>
        <v>0</v>
      </c>
      <c r="N687" s="837">
        <f t="shared" si="285"/>
        <v>0</v>
      </c>
      <c r="O687" s="837">
        <f t="shared" ca="1" si="283"/>
        <v>0</v>
      </c>
      <c r="P687" s="837">
        <f t="shared" si="284"/>
        <v>0</v>
      </c>
      <c r="Q687" s="1264"/>
      <c r="R687" s="1264"/>
      <c r="S687" s="1264"/>
      <c r="T687" s="1264"/>
      <c r="U687" s="1264"/>
      <c r="V687" s="1264"/>
      <c r="W687" s="1264"/>
      <c r="X687" s="1264"/>
      <c r="Y687" s="1264"/>
      <c r="Z687" s="1264"/>
    </row>
    <row r="688" spans="1:26" ht="18.75" hidden="1">
      <c r="A688" s="1259"/>
      <c r="B688" s="1242"/>
      <c r="C688" s="1243"/>
      <c r="D688" s="1266" t="s">
        <v>20</v>
      </c>
      <c r="E688" s="1243"/>
      <c r="F688" s="1243"/>
      <c r="G688" s="963"/>
      <c r="H688" s="778" t="s">
        <v>12</v>
      </c>
      <c r="I688" s="944"/>
      <c r="J688" s="944"/>
      <c r="K688" s="945"/>
      <c r="L688" s="831">
        <f t="shared" ref="L688:N688" ca="1" si="286">L689+L690</f>
        <v>0</v>
      </c>
      <c r="M688" s="831">
        <f t="shared" si="286"/>
        <v>0</v>
      </c>
      <c r="N688" s="831">
        <f t="shared" si="286"/>
        <v>0</v>
      </c>
      <c r="O688" s="831">
        <f t="shared" ca="1" si="283"/>
        <v>0</v>
      </c>
      <c r="P688" s="831">
        <f t="shared" si="284"/>
        <v>0</v>
      </c>
      <c r="Q688" s="1244"/>
      <c r="R688" s="1244"/>
      <c r="S688" s="1244"/>
      <c r="T688" s="1244"/>
      <c r="U688" s="1244"/>
      <c r="V688" s="1244"/>
      <c r="W688" s="1244"/>
      <c r="X688" s="1244"/>
      <c r="Y688" s="1244"/>
      <c r="Z688" s="1244"/>
    </row>
    <row r="689" spans="1:26" ht="18.75" hidden="1">
      <c r="A689" s="1260"/>
      <c r="B689" s="1265"/>
      <c r="C689" s="1261"/>
      <c r="D689" s="1262"/>
      <c r="E689" s="1261" t="s">
        <v>184</v>
      </c>
      <c r="F689" s="1261"/>
      <c r="G689" s="1263"/>
      <c r="H689" s="165" t="s">
        <v>12</v>
      </c>
      <c r="I689" s="836"/>
      <c r="J689" s="836"/>
      <c r="K689" s="837"/>
      <c r="L689" s="837">
        <v>0</v>
      </c>
      <c r="M689" s="837">
        <v>0</v>
      </c>
      <c r="N689" s="837">
        <v>0</v>
      </c>
      <c r="O689" s="837"/>
      <c r="P689" s="837"/>
      <c r="Q689" s="1264"/>
      <c r="R689" s="1264"/>
      <c r="S689" s="1264"/>
      <c r="T689" s="1264"/>
      <c r="U689" s="1264"/>
      <c r="V689" s="1264"/>
      <c r="W689" s="1264"/>
      <c r="X689" s="1264"/>
      <c r="Y689" s="1264"/>
      <c r="Z689" s="1264"/>
    </row>
    <row r="690" spans="1:26" ht="18.75" hidden="1">
      <c r="A690" s="1260"/>
      <c r="B690" s="1265"/>
      <c r="C690" s="1261"/>
      <c r="D690" s="1262"/>
      <c r="E690" s="1261" t="s">
        <v>185</v>
      </c>
      <c r="F690" s="1261"/>
      <c r="G690" s="1263"/>
      <c r="H690" s="165" t="s">
        <v>12</v>
      </c>
      <c r="I690" s="836"/>
      <c r="J690" s="836"/>
      <c r="K690" s="837"/>
      <c r="L690" s="837">
        <f ca="1">IFERROR(__xludf.DUMMYFUNCTION("IMPORTRANGE(""https://docs.google.com/spreadsheets/d/1QqKyyYR6Q21VydFLVH3TRQUabQu_ym0Zz7PgGX0-kHA/edit?usp=sharing"",""แผน!HW25"")"),0)</f>
        <v>0</v>
      </c>
      <c r="M690" s="837">
        <v>0</v>
      </c>
      <c r="N690" s="837">
        <f>N691+N692+N693+N694</f>
        <v>0</v>
      </c>
      <c r="O690" s="837">
        <f ca="1">IF(L690&gt;0,N690*100/L690,0)</f>
        <v>0</v>
      </c>
      <c r="P690" s="837">
        <f>IF(M690&gt;0,N690*100/M690,0)</f>
        <v>0</v>
      </c>
      <c r="Q690" s="1264"/>
      <c r="R690" s="1264"/>
      <c r="S690" s="1264"/>
      <c r="T690" s="1264"/>
      <c r="U690" s="1264"/>
      <c r="V690" s="1264"/>
      <c r="W690" s="1264"/>
      <c r="X690" s="1264"/>
      <c r="Y690" s="1264"/>
      <c r="Z690" s="1264"/>
    </row>
    <row r="691" spans="1:26" ht="18.75" hidden="1">
      <c r="A691" s="1241"/>
      <c r="B691" s="1242"/>
      <c r="C691" s="1243"/>
      <c r="D691" s="1243"/>
      <c r="E691" s="1243"/>
      <c r="F691" s="1243" t="s">
        <v>186</v>
      </c>
      <c r="G691" s="963"/>
      <c r="H691" s="778" t="s">
        <v>12</v>
      </c>
      <c r="I691" s="830"/>
      <c r="J691" s="830"/>
      <c r="K691" s="831"/>
      <c r="L691" s="831"/>
      <c r="M691" s="831"/>
      <c r="N691" s="1031">
        <v>0</v>
      </c>
      <c r="O691" s="831"/>
      <c r="P691" s="831"/>
      <c r="Q691" s="1244"/>
      <c r="R691" s="1244"/>
      <c r="S691" s="1244"/>
      <c r="T691" s="1244"/>
      <c r="U691" s="1244"/>
      <c r="V691" s="1244"/>
      <c r="W691" s="1244"/>
      <c r="X691" s="1244"/>
      <c r="Y691" s="1244"/>
      <c r="Z691" s="1244"/>
    </row>
    <row r="692" spans="1:26" ht="18.75" hidden="1">
      <c r="A692" s="1241"/>
      <c r="B692" s="1242"/>
      <c r="C692" s="1243"/>
      <c r="D692" s="1243"/>
      <c r="E692" s="1243"/>
      <c r="F692" s="1243" t="s">
        <v>187</v>
      </c>
      <c r="G692" s="963"/>
      <c r="H692" s="778" t="s">
        <v>12</v>
      </c>
      <c r="I692" s="830"/>
      <c r="J692" s="830"/>
      <c r="K692" s="831"/>
      <c r="L692" s="831"/>
      <c r="M692" s="831"/>
      <c r="N692" s="1031">
        <v>0</v>
      </c>
      <c r="O692" s="831"/>
      <c r="P692" s="831"/>
      <c r="Q692" s="1244"/>
      <c r="R692" s="1244"/>
      <c r="S692" s="1244"/>
      <c r="T692" s="1244"/>
      <c r="U692" s="1244"/>
      <c r="V692" s="1244"/>
      <c r="W692" s="1244"/>
      <c r="X692" s="1244"/>
      <c r="Y692" s="1244"/>
      <c r="Z692" s="1244"/>
    </row>
    <row r="693" spans="1:26" ht="18.75" hidden="1">
      <c r="A693" s="1241"/>
      <c r="B693" s="1242"/>
      <c r="C693" s="1243"/>
      <c r="D693" s="1243"/>
      <c r="E693" s="1243"/>
      <c r="F693" s="1243" t="s">
        <v>188</v>
      </c>
      <c r="G693" s="963"/>
      <c r="H693" s="778" t="s">
        <v>12</v>
      </c>
      <c r="I693" s="830"/>
      <c r="J693" s="830"/>
      <c r="K693" s="831"/>
      <c r="L693" s="831"/>
      <c r="M693" s="831"/>
      <c r="N693" s="1031">
        <v>0</v>
      </c>
      <c r="O693" s="831"/>
      <c r="P693" s="831"/>
      <c r="Q693" s="1244"/>
      <c r="R693" s="1244"/>
      <c r="S693" s="1244"/>
      <c r="T693" s="1244"/>
      <c r="U693" s="1244"/>
      <c r="V693" s="1244"/>
      <c r="W693" s="1244"/>
      <c r="X693" s="1244"/>
      <c r="Y693" s="1244"/>
      <c r="Z693" s="1244"/>
    </row>
    <row r="694" spans="1:26" ht="18.75" hidden="1">
      <c r="A694" s="1241"/>
      <c r="B694" s="1242"/>
      <c r="C694" s="1243"/>
      <c r="D694" s="1243"/>
      <c r="E694" s="1243"/>
      <c r="F694" s="1243" t="s">
        <v>189</v>
      </c>
      <c r="G694" s="963"/>
      <c r="H694" s="778" t="s">
        <v>12</v>
      </c>
      <c r="I694" s="830"/>
      <c r="J694" s="830"/>
      <c r="K694" s="831"/>
      <c r="L694" s="831"/>
      <c r="M694" s="831"/>
      <c r="N694" s="1031">
        <v>0</v>
      </c>
      <c r="O694" s="831"/>
      <c r="P694" s="831"/>
      <c r="Q694" s="1244"/>
      <c r="R694" s="1244"/>
      <c r="S694" s="1244"/>
      <c r="T694" s="1244"/>
      <c r="U694" s="1244"/>
      <c r="V694" s="1244"/>
      <c r="W694" s="1244"/>
      <c r="X694" s="1244"/>
      <c r="Y694" s="1244"/>
      <c r="Z694" s="1244"/>
    </row>
    <row r="695" spans="1:26" ht="18.75" hidden="1">
      <c r="A695" s="1259"/>
      <c r="B695" s="1242"/>
      <c r="C695" s="1243"/>
      <c r="D695" s="1266" t="s">
        <v>21</v>
      </c>
      <c r="E695" s="1243"/>
      <c r="F695" s="1243"/>
      <c r="G695" s="963"/>
      <c r="H695" s="168" t="s">
        <v>12</v>
      </c>
      <c r="I695" s="944"/>
      <c r="J695" s="944"/>
      <c r="K695" s="945"/>
      <c r="L695" s="831">
        <f t="shared" ref="L695:N695" si="287">L696+L697</f>
        <v>0</v>
      </c>
      <c r="M695" s="831">
        <f t="shared" si="287"/>
        <v>0</v>
      </c>
      <c r="N695" s="831">
        <f t="shared" si="287"/>
        <v>0</v>
      </c>
      <c r="O695" s="831">
        <f t="shared" ref="O695:O697" si="288">IF(L695&gt;0,N695*100/L695,0)</f>
        <v>0</v>
      </c>
      <c r="P695" s="831">
        <f t="shared" ref="P695:P697" si="289">IF(M695&gt;0,N695*100/M695,0)</f>
        <v>0</v>
      </c>
      <c r="Q695" s="1244"/>
      <c r="R695" s="1244"/>
      <c r="S695" s="1244"/>
      <c r="T695" s="1244"/>
      <c r="U695" s="1244"/>
      <c r="V695" s="1244"/>
      <c r="W695" s="1244"/>
      <c r="X695" s="1244"/>
      <c r="Y695" s="1244"/>
      <c r="Z695" s="1244"/>
    </row>
    <row r="696" spans="1:26" ht="18.75" hidden="1">
      <c r="A696" s="1260"/>
      <c r="B696" s="1265"/>
      <c r="C696" s="1261"/>
      <c r="D696" s="1261"/>
      <c r="E696" s="1261" t="s">
        <v>18</v>
      </c>
      <c r="F696" s="1261"/>
      <c r="G696" s="1263"/>
      <c r="H696" s="165" t="s">
        <v>12</v>
      </c>
      <c r="I696" s="947"/>
      <c r="J696" s="947"/>
      <c r="K696" s="948"/>
      <c r="L696" s="837">
        <v>0</v>
      </c>
      <c r="M696" s="837">
        <v>0</v>
      </c>
      <c r="N696" s="837">
        <v>0</v>
      </c>
      <c r="O696" s="837">
        <f t="shared" si="288"/>
        <v>0</v>
      </c>
      <c r="P696" s="837">
        <f t="shared" si="289"/>
        <v>0</v>
      </c>
      <c r="Q696" s="1264"/>
      <c r="R696" s="1264"/>
      <c r="S696" s="1264"/>
      <c r="T696" s="1264"/>
      <c r="U696" s="1264"/>
      <c r="V696" s="1264"/>
      <c r="W696" s="1264"/>
      <c r="X696" s="1264"/>
      <c r="Y696" s="1264"/>
      <c r="Z696" s="1264"/>
    </row>
    <row r="697" spans="1:26" ht="18.75" hidden="1">
      <c r="A697" s="1260"/>
      <c r="B697" s="1265"/>
      <c r="C697" s="1261"/>
      <c r="D697" s="1261"/>
      <c r="E697" s="1261" t="s">
        <v>19</v>
      </c>
      <c r="F697" s="1261"/>
      <c r="G697" s="1263"/>
      <c r="H697" s="169" t="s">
        <v>12</v>
      </c>
      <c r="I697" s="947"/>
      <c r="J697" s="947"/>
      <c r="K697" s="948"/>
      <c r="L697" s="837">
        <v>0</v>
      </c>
      <c r="M697" s="837">
        <v>0</v>
      </c>
      <c r="N697" s="837">
        <v>0</v>
      </c>
      <c r="O697" s="837">
        <f t="shared" si="288"/>
        <v>0</v>
      </c>
      <c r="P697" s="837">
        <f t="shared" si="289"/>
        <v>0</v>
      </c>
      <c r="Q697" s="1264"/>
      <c r="R697" s="1264"/>
      <c r="S697" s="1264"/>
      <c r="T697" s="1264"/>
      <c r="U697" s="1264"/>
      <c r="V697" s="1264"/>
      <c r="W697" s="1264"/>
      <c r="X697" s="1264"/>
      <c r="Y697" s="1264"/>
      <c r="Z697" s="1264"/>
    </row>
    <row r="698" spans="1:26" ht="19.5" hidden="1">
      <c r="A698" s="1267"/>
      <c r="B698" s="1268"/>
      <c r="C698" s="1243" t="s">
        <v>16</v>
      </c>
      <c r="D698" s="1378" t="s">
        <v>38</v>
      </c>
      <c r="E698" s="1271"/>
      <c r="F698" s="1271"/>
      <c r="G698" s="1272"/>
      <c r="H698" s="954"/>
      <c r="I698" s="944"/>
      <c r="J698" s="944"/>
      <c r="K698" s="945"/>
      <c r="L698" s="945"/>
      <c r="M698" s="945"/>
      <c r="N698" s="945"/>
      <c r="O698" s="945"/>
      <c r="P698" s="945"/>
      <c r="Q698" s="1244"/>
      <c r="R698" s="1244"/>
      <c r="S698" s="1244"/>
      <c r="T698" s="1244"/>
      <c r="U698" s="1244"/>
      <c r="V698" s="1244"/>
      <c r="W698" s="1244"/>
      <c r="X698" s="1244"/>
      <c r="Y698" s="1244"/>
      <c r="Z698" s="1244"/>
    </row>
    <row r="699" spans="1:26" ht="18.75" hidden="1">
      <c r="A699" s="1368"/>
      <c r="B699" s="1243"/>
      <c r="C699" s="1243"/>
      <c r="D699" s="1243" t="s">
        <v>294</v>
      </c>
      <c r="E699" s="1243"/>
      <c r="F699" s="1243"/>
      <c r="G699" s="963"/>
      <c r="H699" s="730" t="s">
        <v>46</v>
      </c>
      <c r="I699" s="1379">
        <f ca="1">IFERROR(__xludf.DUMMYFUNCTION("IMPORTRANGE(""https://docs.google.com/spreadsheets/d/1QqKyyYR6Q21VydFLVH3TRQUabQu_ym0Zz7PgGX0-kHA/edit?usp=sharing"",""แผน!IC25"")"),0)</f>
        <v>0</v>
      </c>
      <c r="J699" s="830">
        <f ca="1">IFERROR(__xludf.DUMMYFUNCTION("IMPORTRANGE(""https://docs.google.com/spreadsheets/d/1XWAQStnk-4SwqDmLtmXYiTMKHgktTP8We1SCoS47DrQ/edit?usp=sharing"",""จัดที่ดิน!BB25"")"),0)</f>
        <v>0</v>
      </c>
      <c r="K699" s="831">
        <f t="shared" ref="K699:K701" ca="1" si="290">IF(I699&gt;0,J699*100/I699,0)</f>
        <v>0</v>
      </c>
      <c r="L699" s="831"/>
      <c r="M699" s="963"/>
      <c r="N699" s="1380"/>
      <c r="O699" s="831"/>
      <c r="P699" s="831"/>
      <c r="Q699" s="1244"/>
      <c r="R699" s="1244"/>
      <c r="S699" s="1244"/>
      <c r="T699" s="1244"/>
      <c r="U699" s="1244"/>
      <c r="V699" s="1244"/>
      <c r="W699" s="1244"/>
      <c r="X699" s="1244"/>
      <c r="Y699" s="1244"/>
      <c r="Z699" s="1244"/>
    </row>
    <row r="700" spans="1:26" ht="18.75" hidden="1">
      <c r="A700" s="1368"/>
      <c r="B700" s="1243"/>
      <c r="C700" s="1243"/>
      <c r="D700" s="1243" t="s">
        <v>295</v>
      </c>
      <c r="E700" s="1243"/>
      <c r="F700" s="1243"/>
      <c r="G700" s="963"/>
      <c r="H700" s="730" t="s">
        <v>35</v>
      </c>
      <c r="I700" s="1379">
        <f ca="1">IFERROR(__xludf.DUMMYFUNCTION("IMPORTRANGE(""https://docs.google.com/spreadsheets/d/1QqKyyYR6Q21VydFLVH3TRQUabQu_ym0Zz7PgGX0-kHA/edit?usp=sharing"",""แผน!ID25"")"),0)</f>
        <v>0</v>
      </c>
      <c r="J700" s="830">
        <f ca="1">IFERROR(__xludf.DUMMYFUNCTION("IMPORTRANGE(""https://docs.google.com/spreadsheets/d/1XWAQStnk-4SwqDmLtmXYiTMKHgktTP8We1SCoS47DrQ/edit?usp=sharing"",""จัดที่ดิน!BD25"")"),0)</f>
        <v>0</v>
      </c>
      <c r="K700" s="831">
        <f t="shared" ca="1" si="290"/>
        <v>0</v>
      </c>
      <c r="L700" s="831"/>
      <c r="M700" s="963"/>
      <c r="N700" s="1380"/>
      <c r="O700" s="831"/>
      <c r="P700" s="831"/>
      <c r="Q700" s="1244"/>
      <c r="R700" s="1244"/>
      <c r="S700" s="1244"/>
      <c r="T700" s="1244"/>
      <c r="U700" s="1244"/>
      <c r="V700" s="1244"/>
      <c r="W700" s="1244"/>
      <c r="X700" s="1244"/>
      <c r="Y700" s="1244"/>
      <c r="Z700" s="1244"/>
    </row>
    <row r="701" spans="1:26" ht="19.5" hidden="1">
      <c r="A701" s="1368"/>
      <c r="B701" s="1243"/>
      <c r="C701" s="1243"/>
      <c r="D701" s="1243" t="s">
        <v>296</v>
      </c>
      <c r="E701" s="1243"/>
      <c r="F701" s="1243"/>
      <c r="G701" s="963"/>
      <c r="H701" s="733" t="s">
        <v>46</v>
      </c>
      <c r="I701" s="1381">
        <f ca="1">IFERROR(__xludf.DUMMYFUNCTION("IMPORTRANGE(""https://docs.google.com/spreadsheets/d/1QqKyyYR6Q21VydFLVH3TRQUabQu_ym0Zz7PgGX0-kHA/edit?usp=sharing"",""แผน!IE25"")"),0)</f>
        <v>0</v>
      </c>
      <c r="J701" s="966">
        <f>J704+J707</f>
        <v>0</v>
      </c>
      <c r="K701" s="967">
        <f t="shared" ca="1" si="290"/>
        <v>0</v>
      </c>
      <c r="L701" s="831"/>
      <c r="M701" s="963"/>
      <c r="N701" s="1380"/>
      <c r="O701" s="831"/>
      <c r="P701" s="831"/>
      <c r="Q701" s="1244"/>
      <c r="R701" s="1244"/>
      <c r="S701" s="1244"/>
      <c r="T701" s="1244"/>
      <c r="U701" s="1244"/>
      <c r="V701" s="1244"/>
      <c r="W701" s="1244"/>
      <c r="X701" s="1244"/>
      <c r="Y701" s="1244"/>
      <c r="Z701" s="1244"/>
    </row>
    <row r="702" spans="1:26" ht="18.75" hidden="1">
      <c r="A702" s="1368"/>
      <c r="B702" s="1243"/>
      <c r="C702" s="1243"/>
      <c r="D702" s="1243"/>
      <c r="E702" s="1243" t="s">
        <v>297</v>
      </c>
      <c r="F702" s="1243"/>
      <c r="G702" s="963"/>
      <c r="H702" s="730" t="s">
        <v>35</v>
      </c>
      <c r="I702" s="1379"/>
      <c r="J702" s="959">
        <v>0</v>
      </c>
      <c r="K702" s="831"/>
      <c r="L702" s="831"/>
      <c r="M702" s="963"/>
      <c r="N702" s="1380"/>
      <c r="O702" s="831"/>
      <c r="P702" s="831"/>
      <c r="Q702" s="1244"/>
      <c r="R702" s="1244"/>
      <c r="S702" s="1244"/>
      <c r="T702" s="1244"/>
      <c r="U702" s="1244"/>
      <c r="V702" s="1244"/>
      <c r="W702" s="1244"/>
      <c r="X702" s="1244"/>
      <c r="Y702" s="1244"/>
      <c r="Z702" s="1244"/>
    </row>
    <row r="703" spans="1:26" ht="18.75" hidden="1">
      <c r="A703" s="1368"/>
      <c r="B703" s="1243"/>
      <c r="C703" s="1243"/>
      <c r="D703" s="1243"/>
      <c r="E703" s="1243"/>
      <c r="F703" s="1243"/>
      <c r="G703" s="963"/>
      <c r="H703" s="730" t="s">
        <v>34</v>
      </c>
      <c r="I703" s="1379"/>
      <c r="J703" s="959">
        <v>0</v>
      </c>
      <c r="K703" s="831"/>
      <c r="L703" s="831"/>
      <c r="M703" s="963"/>
      <c r="N703" s="1380"/>
      <c r="O703" s="831"/>
      <c r="P703" s="831"/>
      <c r="Q703" s="1244"/>
      <c r="R703" s="1244"/>
      <c r="S703" s="1244"/>
      <c r="T703" s="1244"/>
      <c r="U703" s="1244"/>
      <c r="V703" s="1244"/>
      <c r="W703" s="1244"/>
      <c r="X703" s="1244"/>
      <c r="Y703" s="1244"/>
      <c r="Z703" s="1244"/>
    </row>
    <row r="704" spans="1:26" ht="18.75" hidden="1">
      <c r="A704" s="1368"/>
      <c r="B704" s="1243"/>
      <c r="C704" s="1243"/>
      <c r="D704" s="1243"/>
      <c r="E704" s="1243"/>
      <c r="F704" s="1243"/>
      <c r="G704" s="963"/>
      <c r="H704" s="730" t="s">
        <v>46</v>
      </c>
      <c r="I704" s="1379">
        <f ca="1">IFERROR(__xludf.DUMMYFUNCTION("IMPORTRANGE(""https://docs.google.com/spreadsheets/d/1QqKyyYR6Q21VydFLVH3TRQUabQu_ym0Zz7PgGX0-kHA/edit?usp=sharing"",""แผน!IF25"")"),0)</f>
        <v>0</v>
      </c>
      <c r="J704" s="959">
        <v>0</v>
      </c>
      <c r="K704" s="831"/>
      <c r="L704" s="831"/>
      <c r="M704" s="963"/>
      <c r="N704" s="1380"/>
      <c r="O704" s="831"/>
      <c r="P704" s="831"/>
      <c r="Q704" s="1244"/>
      <c r="R704" s="1244"/>
      <c r="S704" s="1244"/>
      <c r="T704" s="1244"/>
      <c r="U704" s="1244"/>
      <c r="V704" s="1244"/>
      <c r="W704" s="1244"/>
      <c r="X704" s="1244"/>
      <c r="Y704" s="1244"/>
      <c r="Z704" s="1244"/>
    </row>
    <row r="705" spans="1:26" ht="18.75" hidden="1">
      <c r="A705" s="1368"/>
      <c r="B705" s="1243"/>
      <c r="C705" s="1243"/>
      <c r="D705" s="1243"/>
      <c r="E705" s="1243" t="s">
        <v>298</v>
      </c>
      <c r="F705" s="1243"/>
      <c r="G705" s="963"/>
      <c r="H705" s="730" t="s">
        <v>35</v>
      </c>
      <c r="I705" s="1379"/>
      <c r="J705" s="959">
        <v>0</v>
      </c>
      <c r="K705" s="831"/>
      <c r="L705" s="831"/>
      <c r="M705" s="963"/>
      <c r="N705" s="1380"/>
      <c r="O705" s="831"/>
      <c r="P705" s="831"/>
      <c r="Q705" s="1244"/>
      <c r="R705" s="1244"/>
      <c r="S705" s="1244"/>
      <c r="T705" s="1244"/>
      <c r="U705" s="1244"/>
      <c r="V705" s="1244"/>
      <c r="W705" s="1244"/>
      <c r="X705" s="1244"/>
      <c r="Y705" s="1244"/>
      <c r="Z705" s="1244"/>
    </row>
    <row r="706" spans="1:26" ht="18.75" hidden="1">
      <c r="A706" s="1368"/>
      <c r="B706" s="1243"/>
      <c r="C706" s="1243"/>
      <c r="D706" s="1243"/>
      <c r="E706" s="1243"/>
      <c r="F706" s="1243"/>
      <c r="G706" s="963"/>
      <c r="H706" s="730" t="s">
        <v>34</v>
      </c>
      <c r="I706" s="1379"/>
      <c r="J706" s="959">
        <v>0</v>
      </c>
      <c r="K706" s="831"/>
      <c r="L706" s="831"/>
      <c r="M706" s="963"/>
      <c r="N706" s="1380"/>
      <c r="O706" s="831"/>
      <c r="P706" s="831"/>
      <c r="Q706" s="1244"/>
      <c r="R706" s="1244"/>
      <c r="S706" s="1244"/>
      <c r="T706" s="1244"/>
      <c r="U706" s="1244"/>
      <c r="V706" s="1244"/>
      <c r="W706" s="1244"/>
      <c r="X706" s="1244"/>
      <c r="Y706" s="1244"/>
      <c r="Z706" s="1244"/>
    </row>
    <row r="707" spans="1:26" ht="18.75" hidden="1">
      <c r="A707" s="1368"/>
      <c r="B707" s="1243"/>
      <c r="C707" s="1243"/>
      <c r="D707" s="1243"/>
      <c r="E707" s="1243"/>
      <c r="F707" s="1243"/>
      <c r="G707" s="963"/>
      <c r="H707" s="730" t="s">
        <v>46</v>
      </c>
      <c r="I707" s="1379">
        <f ca="1">IFERROR(__xludf.DUMMYFUNCTION("IMPORTRANGE(""https://docs.google.com/spreadsheets/d/1QqKyyYR6Q21VydFLVH3TRQUabQu_ym0Zz7PgGX0-kHA/edit?usp=sharing"",""แผน!IG25"")"),0)</f>
        <v>0</v>
      </c>
      <c r="J707" s="959">
        <v>0</v>
      </c>
      <c r="K707" s="831"/>
      <c r="L707" s="831"/>
      <c r="M707" s="963"/>
      <c r="N707" s="1380"/>
      <c r="O707" s="831"/>
      <c r="P707" s="831"/>
      <c r="Q707" s="1244"/>
      <c r="R707" s="1244"/>
      <c r="S707" s="1244"/>
      <c r="T707" s="1244"/>
      <c r="U707" s="1244"/>
      <c r="V707" s="1244"/>
      <c r="W707" s="1244"/>
      <c r="X707" s="1244"/>
      <c r="Y707" s="1244"/>
      <c r="Z707" s="1244"/>
    </row>
    <row r="708" spans="1:26" ht="19.5" hidden="1">
      <c r="A708" s="1368"/>
      <c r="B708" s="1243"/>
      <c r="C708" s="1243"/>
      <c r="D708" s="1322" t="s">
        <v>299</v>
      </c>
      <c r="E708" s="1243"/>
      <c r="F708" s="1243"/>
      <c r="G708" s="963"/>
      <c r="H708" s="733" t="s">
        <v>46</v>
      </c>
      <c r="I708" s="1381">
        <f ca="1">IFERROR(__xludf.DUMMYFUNCTION("IMPORTRANGE(""https://docs.google.com/spreadsheets/d/1QqKyyYR6Q21VydFLVH3TRQUabQu_ym0Zz7PgGX0-kHA/edit?usp=sharing"",""แผน!IH25"")"),0)</f>
        <v>0</v>
      </c>
      <c r="J708" s="966">
        <f>J714+J717</f>
        <v>0</v>
      </c>
      <c r="K708" s="967">
        <f ca="1">IF(I708&gt;0,J708*100/I708,0)</f>
        <v>0</v>
      </c>
      <c r="L708" s="831"/>
      <c r="M708" s="963"/>
      <c r="N708" s="1380"/>
      <c r="O708" s="831"/>
      <c r="P708" s="831"/>
      <c r="Q708" s="1244"/>
      <c r="R708" s="1244"/>
      <c r="S708" s="1244"/>
      <c r="T708" s="1244"/>
      <c r="U708" s="1244"/>
      <c r="V708" s="1244"/>
      <c r="W708" s="1244"/>
      <c r="X708" s="1244"/>
      <c r="Y708" s="1244"/>
      <c r="Z708" s="1244"/>
    </row>
    <row r="709" spans="1:26" ht="18.75" hidden="1">
      <c r="A709" s="1368"/>
      <c r="B709" s="1243"/>
      <c r="C709" s="1243"/>
      <c r="D709" s="1243"/>
      <c r="E709" s="1243" t="s">
        <v>300</v>
      </c>
      <c r="F709" s="1243"/>
      <c r="G709" s="963"/>
      <c r="H709" s="730" t="s">
        <v>34</v>
      </c>
      <c r="I709" s="1379"/>
      <c r="J709" s="959">
        <v>0</v>
      </c>
      <c r="K709" s="831"/>
      <c r="L709" s="1380"/>
      <c r="M709" s="963"/>
      <c r="N709" s="1380"/>
      <c r="O709" s="831"/>
      <c r="P709" s="831"/>
      <c r="Q709" s="1244"/>
      <c r="R709" s="1244"/>
      <c r="S709" s="1244"/>
      <c r="T709" s="1244"/>
      <c r="U709" s="1244"/>
      <c r="V709" s="1244"/>
      <c r="W709" s="1244"/>
      <c r="X709" s="1244"/>
      <c r="Y709" s="1244"/>
      <c r="Z709" s="1244"/>
    </row>
    <row r="710" spans="1:26" ht="18.75" hidden="1">
      <c r="A710" s="1368"/>
      <c r="B710" s="1243"/>
      <c r="C710" s="1243"/>
      <c r="D710" s="1243"/>
      <c r="E710" s="1243"/>
      <c r="F710" s="1243"/>
      <c r="G710" s="963"/>
      <c r="H710" s="730" t="s">
        <v>46</v>
      </c>
      <c r="I710" s="1379"/>
      <c r="J710" s="959">
        <v>0</v>
      </c>
      <c r="K710" s="831"/>
      <c r="L710" s="1380"/>
      <c r="M710" s="963"/>
      <c r="N710" s="1380"/>
      <c r="O710" s="831"/>
      <c r="P710" s="831"/>
      <c r="Q710" s="1244"/>
      <c r="R710" s="1244"/>
      <c r="S710" s="1244"/>
      <c r="T710" s="1244"/>
      <c r="U710" s="1244"/>
      <c r="V710" s="1244"/>
      <c r="W710" s="1244"/>
      <c r="X710" s="1244"/>
      <c r="Y710" s="1244"/>
      <c r="Z710" s="1244"/>
    </row>
    <row r="711" spans="1:26" ht="18.75" hidden="1">
      <c r="A711" s="1368"/>
      <c r="B711" s="1243"/>
      <c r="C711" s="1243"/>
      <c r="D711" s="1243"/>
      <c r="E711" s="1243" t="s">
        <v>301</v>
      </c>
      <c r="F711" s="1243"/>
      <c r="G711" s="963"/>
      <c r="H711" s="954"/>
      <c r="I711" s="1379"/>
      <c r="J711" s="830"/>
      <c r="K711" s="831"/>
      <c r="L711" s="1380"/>
      <c r="M711" s="963"/>
      <c r="N711" s="1380"/>
      <c r="O711" s="831"/>
      <c r="P711" s="831"/>
      <c r="Q711" s="1244"/>
      <c r="R711" s="1244"/>
      <c r="S711" s="1244"/>
      <c r="T711" s="1244"/>
      <c r="U711" s="1244"/>
      <c r="V711" s="1244"/>
      <c r="W711" s="1244"/>
      <c r="X711" s="1244"/>
      <c r="Y711" s="1244"/>
      <c r="Z711" s="1244"/>
    </row>
    <row r="712" spans="1:26" ht="18.75" hidden="1">
      <c r="A712" s="1368"/>
      <c r="B712" s="1243"/>
      <c r="C712" s="1243"/>
      <c r="D712" s="1243"/>
      <c r="E712" s="1243"/>
      <c r="F712" s="1243" t="s">
        <v>302</v>
      </c>
      <c r="G712" s="963"/>
      <c r="H712" s="730" t="s">
        <v>35</v>
      </c>
      <c r="I712" s="1379"/>
      <c r="J712" s="959">
        <v>0</v>
      </c>
      <c r="K712" s="831"/>
      <c r="L712" s="1380"/>
      <c r="M712" s="963"/>
      <c r="N712" s="1380"/>
      <c r="O712" s="831"/>
      <c r="P712" s="831"/>
      <c r="Q712" s="1244"/>
      <c r="R712" s="1244"/>
      <c r="S712" s="1244"/>
      <c r="T712" s="1244"/>
      <c r="U712" s="1244"/>
      <c r="V712" s="1244"/>
      <c r="W712" s="1244"/>
      <c r="X712" s="1244"/>
      <c r="Y712" s="1244"/>
      <c r="Z712" s="1244"/>
    </row>
    <row r="713" spans="1:26" ht="18.75" hidden="1">
      <c r="A713" s="1368"/>
      <c r="B713" s="1243"/>
      <c r="C713" s="1243"/>
      <c r="D713" s="1243"/>
      <c r="E713" s="1243"/>
      <c r="F713" s="1243"/>
      <c r="G713" s="963"/>
      <c r="H713" s="730" t="s">
        <v>34</v>
      </c>
      <c r="I713" s="1379"/>
      <c r="J713" s="959">
        <v>0</v>
      </c>
      <c r="K713" s="831"/>
      <c r="L713" s="1380"/>
      <c r="M713" s="963"/>
      <c r="N713" s="1380"/>
      <c r="O713" s="831"/>
      <c r="P713" s="831"/>
      <c r="Q713" s="1244"/>
      <c r="R713" s="1244"/>
      <c r="S713" s="1244"/>
      <c r="T713" s="1244"/>
      <c r="U713" s="1244"/>
      <c r="V713" s="1244"/>
      <c r="W713" s="1244"/>
      <c r="X713" s="1244"/>
      <c r="Y713" s="1244"/>
      <c r="Z713" s="1244"/>
    </row>
    <row r="714" spans="1:26" ht="18.75" hidden="1">
      <c r="A714" s="1368"/>
      <c r="B714" s="1243"/>
      <c r="C714" s="1243"/>
      <c r="D714" s="1243"/>
      <c r="E714" s="1243"/>
      <c r="F714" s="1243"/>
      <c r="G714" s="963"/>
      <c r="H714" s="730" t="s">
        <v>46</v>
      </c>
      <c r="I714" s="1379"/>
      <c r="J714" s="959">
        <v>0</v>
      </c>
      <c r="K714" s="831"/>
      <c r="L714" s="1380"/>
      <c r="M714" s="963"/>
      <c r="N714" s="1380"/>
      <c r="O714" s="831"/>
      <c r="P714" s="831"/>
      <c r="Q714" s="1244"/>
      <c r="R714" s="1244"/>
      <c r="S714" s="1244"/>
      <c r="T714" s="1244"/>
      <c r="U714" s="1244"/>
      <c r="V714" s="1244"/>
      <c r="W714" s="1244"/>
      <c r="X714" s="1244"/>
      <c r="Y714" s="1244"/>
      <c r="Z714" s="1244"/>
    </row>
    <row r="715" spans="1:26" ht="18.75" hidden="1">
      <c r="A715" s="1368"/>
      <c r="B715" s="1243"/>
      <c r="C715" s="1243"/>
      <c r="D715" s="1243"/>
      <c r="E715" s="1243"/>
      <c r="F715" s="1243" t="s">
        <v>303</v>
      </c>
      <c r="G715" s="963"/>
      <c r="H715" s="730" t="s">
        <v>35</v>
      </c>
      <c r="I715" s="1379"/>
      <c r="J715" s="959">
        <v>0</v>
      </c>
      <c r="K715" s="831"/>
      <c r="L715" s="1380"/>
      <c r="M715" s="963"/>
      <c r="N715" s="1380"/>
      <c r="O715" s="831"/>
      <c r="P715" s="831"/>
      <c r="Q715" s="1244"/>
      <c r="R715" s="1244"/>
      <c r="S715" s="1244"/>
      <c r="T715" s="1244"/>
      <c r="U715" s="1244"/>
      <c r="V715" s="1244"/>
      <c r="W715" s="1244"/>
      <c r="X715" s="1244"/>
      <c r="Y715" s="1244"/>
      <c r="Z715" s="1244"/>
    </row>
    <row r="716" spans="1:26" ht="18.75" hidden="1">
      <c r="A716" s="1368"/>
      <c r="B716" s="1243"/>
      <c r="C716" s="1243"/>
      <c r="D716" s="1243"/>
      <c r="E716" s="1243"/>
      <c r="F716" s="1243"/>
      <c r="G716" s="963"/>
      <c r="H716" s="730" t="s">
        <v>34</v>
      </c>
      <c r="I716" s="1379"/>
      <c r="J716" s="959">
        <v>0</v>
      </c>
      <c r="K716" s="831"/>
      <c r="L716" s="1380"/>
      <c r="M716" s="963"/>
      <c r="N716" s="1380"/>
      <c r="O716" s="831"/>
      <c r="P716" s="831"/>
      <c r="Q716" s="1244"/>
      <c r="R716" s="1244"/>
      <c r="S716" s="1244"/>
      <c r="T716" s="1244"/>
      <c r="U716" s="1244"/>
      <c r="V716" s="1244"/>
      <c r="W716" s="1244"/>
      <c r="X716" s="1244"/>
      <c r="Y716" s="1244"/>
      <c r="Z716" s="1244"/>
    </row>
    <row r="717" spans="1:26" ht="18.75" hidden="1">
      <c r="A717" s="1368"/>
      <c r="B717" s="1243"/>
      <c r="C717" s="1243"/>
      <c r="D717" s="1243"/>
      <c r="E717" s="1243"/>
      <c r="F717" s="1243"/>
      <c r="G717" s="963"/>
      <c r="H717" s="730" t="s">
        <v>46</v>
      </c>
      <c r="I717" s="1379"/>
      <c r="J717" s="959">
        <v>0</v>
      </c>
      <c r="K717" s="831"/>
      <c r="L717" s="1380"/>
      <c r="M717" s="963"/>
      <c r="N717" s="1380"/>
      <c r="O717" s="831"/>
      <c r="P717" s="831"/>
      <c r="Q717" s="1244"/>
      <c r="R717" s="1244"/>
      <c r="S717" s="1244"/>
      <c r="T717" s="1244"/>
      <c r="U717" s="1244"/>
      <c r="V717" s="1244"/>
      <c r="W717" s="1244"/>
      <c r="X717" s="1244"/>
      <c r="Y717" s="1244"/>
      <c r="Z717" s="1244"/>
    </row>
    <row r="718" spans="1:26" ht="18.75" hidden="1">
      <c r="A718" s="1368"/>
      <c r="B718" s="1243"/>
      <c r="C718" s="1243"/>
      <c r="D718" s="1243" t="s">
        <v>304</v>
      </c>
      <c r="E718" s="1243"/>
      <c r="F718" s="1243"/>
      <c r="G718" s="963"/>
      <c r="H718" s="730" t="s">
        <v>35</v>
      </c>
      <c r="I718" s="1379"/>
      <c r="J718" s="830">
        <f ca="1">IFERROR(__xludf.DUMMYFUNCTION("IMPORTRANGE(""https://docs.google.com/spreadsheets/d/1XWAQStnk-4SwqDmLtmXYiTMKHgktTP8We1SCoS47DrQ/edit?usp=sharing"",""จัดที่ดิน!BF25"")"),0)</f>
        <v>0</v>
      </c>
      <c r="K718" s="831"/>
      <c r="L718" s="831"/>
      <c r="M718" s="963"/>
      <c r="N718" s="1380"/>
      <c r="O718" s="831"/>
      <c r="P718" s="831"/>
      <c r="Q718" s="1244"/>
      <c r="R718" s="1244"/>
      <c r="S718" s="1244"/>
      <c r="T718" s="1244"/>
      <c r="U718" s="1244"/>
      <c r="V718" s="1244"/>
      <c r="W718" s="1244"/>
      <c r="X718" s="1244"/>
      <c r="Y718" s="1244"/>
      <c r="Z718" s="1244"/>
    </row>
    <row r="719" spans="1:26" ht="18.75" hidden="1">
      <c r="A719" s="1368"/>
      <c r="B719" s="1243"/>
      <c r="C719" s="1243"/>
      <c r="D719" s="1243"/>
      <c r="E719" s="1243"/>
      <c r="F719" s="1243"/>
      <c r="G719" s="963"/>
      <c r="H719" s="730" t="s">
        <v>34</v>
      </c>
      <c r="I719" s="1379"/>
      <c r="J719" s="830">
        <f ca="1">IFERROR(__xludf.DUMMYFUNCTION("IMPORTRANGE(""https://docs.google.com/spreadsheets/d/1XWAQStnk-4SwqDmLtmXYiTMKHgktTP8We1SCoS47DrQ/edit?usp=sharing"",""จัดที่ดิน!BG25"")"),0)</f>
        <v>0</v>
      </c>
      <c r="K719" s="831"/>
      <c r="L719" s="1380"/>
      <c r="M719" s="963"/>
      <c r="N719" s="1380"/>
      <c r="O719" s="831"/>
      <c r="P719" s="831"/>
      <c r="Q719" s="1244"/>
      <c r="R719" s="1244"/>
      <c r="S719" s="1244"/>
      <c r="T719" s="1244"/>
      <c r="U719" s="1244"/>
      <c r="V719" s="1244"/>
      <c r="W719" s="1244"/>
      <c r="X719" s="1244"/>
      <c r="Y719" s="1244"/>
      <c r="Z719" s="1244"/>
    </row>
    <row r="720" spans="1:26" ht="18.75" hidden="1">
      <c r="A720" s="1368"/>
      <c r="B720" s="1243"/>
      <c r="C720" s="1243"/>
      <c r="D720" s="1243"/>
      <c r="E720" s="1243"/>
      <c r="F720" s="1243"/>
      <c r="G720" s="963"/>
      <c r="H720" s="730" t="s">
        <v>46</v>
      </c>
      <c r="I720" s="1379">
        <f ca="1">IFERROR(__xludf.DUMMYFUNCTION("IMPORTRANGE(""https://docs.google.com/spreadsheets/d/1QqKyyYR6Q21VydFLVH3TRQUabQu_ym0Zz7PgGX0-kHA/edit?usp=sharing"",""แผน!II25"")"),0)</f>
        <v>0</v>
      </c>
      <c r="J720" s="830">
        <f ca="1">IFERROR(__xludf.DUMMYFUNCTION("IMPORTRANGE(""https://docs.google.com/spreadsheets/d/1XWAQStnk-4SwqDmLtmXYiTMKHgktTP8We1SCoS47DrQ/edit?usp=sharing"",""จัดที่ดิน!BH25"")"),0)</f>
        <v>0</v>
      </c>
      <c r="K720" s="831">
        <f t="shared" ref="K720:K723" ca="1" si="291">IF(I720&gt;0,J720*100/I720,0)</f>
        <v>0</v>
      </c>
      <c r="L720" s="1380"/>
      <c r="M720" s="963"/>
      <c r="N720" s="1380"/>
      <c r="O720" s="831"/>
      <c r="P720" s="831"/>
      <c r="Q720" s="1244"/>
      <c r="R720" s="1244"/>
      <c r="S720" s="1244"/>
      <c r="T720" s="1244"/>
      <c r="U720" s="1244"/>
      <c r="V720" s="1244"/>
      <c r="W720" s="1244"/>
      <c r="X720" s="1244"/>
      <c r="Y720" s="1244"/>
      <c r="Z720" s="1244"/>
    </row>
    <row r="721" spans="1:26" ht="19.5" hidden="1">
      <c r="A721" s="1368"/>
      <c r="B721" s="1243"/>
      <c r="C721" s="1243"/>
      <c r="D721" s="1243" t="s">
        <v>305</v>
      </c>
      <c r="E721" s="1243"/>
      <c r="F721" s="1243"/>
      <c r="G721" s="963"/>
      <c r="H721" s="733" t="s">
        <v>35</v>
      </c>
      <c r="I721" s="1381">
        <f ca="1">IFERROR(__xludf.DUMMYFUNCTION("IMPORTRANGE(""https://docs.google.com/spreadsheets/d/1QqKyyYR6Q21VydFLVH3TRQUabQu_ym0Zz7PgGX0-kHA/edit?usp=sharing"",""แผน!IJ25"")"),0)</f>
        <v>0</v>
      </c>
      <c r="J721" s="966">
        <f ca="1">J723+J726</f>
        <v>0</v>
      </c>
      <c r="K721" s="967">
        <f t="shared" ca="1" si="291"/>
        <v>0</v>
      </c>
      <c r="L721" s="1380"/>
      <c r="M721" s="963"/>
      <c r="N721" s="1380"/>
      <c r="O721" s="831"/>
      <c r="P721" s="831"/>
      <c r="Q721" s="1244"/>
      <c r="R721" s="1244"/>
      <c r="S721" s="1244"/>
      <c r="T721" s="1244"/>
      <c r="U721" s="1244"/>
      <c r="V721" s="1244"/>
      <c r="W721" s="1244"/>
      <c r="X721" s="1244"/>
      <c r="Y721" s="1244"/>
      <c r="Z721" s="1244"/>
    </row>
    <row r="722" spans="1:26" ht="19.5" hidden="1">
      <c r="A722" s="1368"/>
      <c r="B722" s="1243"/>
      <c r="C722" s="1243"/>
      <c r="D722" s="1243"/>
      <c r="E722" s="1243"/>
      <c r="F722" s="1243"/>
      <c r="G722" s="963"/>
      <c r="H722" s="733" t="s">
        <v>46</v>
      </c>
      <c r="I722" s="1381">
        <f ca="1">IFERROR(__xludf.DUMMYFUNCTION("IMPORTRANGE(""https://docs.google.com/spreadsheets/d/1QqKyyYR6Q21VydFLVH3TRQUabQu_ym0Zz7PgGX0-kHA/edit?usp=sharing"",""แผน!IK25"")"),0)</f>
        <v>0</v>
      </c>
      <c r="J722" s="966">
        <f ca="1">J725+J728</f>
        <v>0</v>
      </c>
      <c r="K722" s="967">
        <f t="shared" ca="1" si="291"/>
        <v>0</v>
      </c>
      <c r="L722" s="831"/>
      <c r="M722" s="963"/>
      <c r="N722" s="1380"/>
      <c r="O722" s="831"/>
      <c r="P722" s="831"/>
      <c r="Q722" s="1244"/>
      <c r="R722" s="1244"/>
      <c r="S722" s="1244"/>
      <c r="T722" s="1244"/>
      <c r="U722" s="1244"/>
      <c r="V722" s="1244"/>
      <c r="W722" s="1244"/>
      <c r="X722" s="1244"/>
      <c r="Y722" s="1244"/>
      <c r="Z722" s="1244"/>
    </row>
    <row r="723" spans="1:26" ht="18.75" hidden="1">
      <c r="A723" s="1368"/>
      <c r="B723" s="1243"/>
      <c r="C723" s="1243"/>
      <c r="D723" s="1243"/>
      <c r="E723" s="1243" t="s">
        <v>306</v>
      </c>
      <c r="F723" s="1243"/>
      <c r="G723" s="963"/>
      <c r="H723" s="730" t="s">
        <v>35</v>
      </c>
      <c r="I723" s="1379">
        <f ca="1">IFERROR(__xludf.DUMMYFUNCTION("IMPORTRANGE(""https://docs.google.com/spreadsheets/d/1QqKyyYR6Q21VydFLVH3TRQUabQu_ym0Zz7PgGX0-kHA/edit?usp=sharing"",""แผน!IL25"")"),0)</f>
        <v>0</v>
      </c>
      <c r="J723" s="830">
        <f ca="1">IFERROR(__xludf.DUMMYFUNCTION("IMPORTRANGE(""https://docs.google.com/spreadsheets/d/1XWAQStnk-4SwqDmLtmXYiTMKHgktTP8We1SCoS47DrQ/edit?usp=sharing"",""จัดที่ดิน!BM25"")"),0)</f>
        <v>0</v>
      </c>
      <c r="K723" s="831">
        <f t="shared" ca="1" si="291"/>
        <v>0</v>
      </c>
      <c r="L723" s="831"/>
      <c r="M723" s="963"/>
      <c r="N723" s="1380"/>
      <c r="O723" s="831"/>
      <c r="P723" s="831"/>
      <c r="Q723" s="1244"/>
      <c r="R723" s="1244"/>
      <c r="S723" s="1244"/>
      <c r="T723" s="1244"/>
      <c r="U723" s="1244"/>
      <c r="V723" s="1244"/>
      <c r="W723" s="1244"/>
      <c r="X723" s="1244"/>
      <c r="Y723" s="1244"/>
      <c r="Z723" s="1244"/>
    </row>
    <row r="724" spans="1:26" ht="18.75" hidden="1">
      <c r="A724" s="1368"/>
      <c r="B724" s="1243"/>
      <c r="C724" s="1243"/>
      <c r="D724" s="1243"/>
      <c r="E724" s="1243"/>
      <c r="F724" s="1243"/>
      <c r="G724" s="963"/>
      <c r="H724" s="730" t="s">
        <v>34</v>
      </c>
      <c r="I724" s="1379"/>
      <c r="J724" s="830">
        <f ca="1">IFERROR(__xludf.DUMMYFUNCTION("IMPORTRANGE(""https://docs.google.com/spreadsheets/d/1XWAQStnk-4SwqDmLtmXYiTMKHgktTP8We1SCoS47DrQ/edit?usp=sharing"",""จัดที่ดิน!BN25"")"),0)</f>
        <v>0</v>
      </c>
      <c r="K724" s="831"/>
      <c r="L724" s="1380"/>
      <c r="M724" s="963"/>
      <c r="N724" s="1380"/>
      <c r="O724" s="831"/>
      <c r="P724" s="831"/>
      <c r="Q724" s="1244"/>
      <c r="R724" s="1244"/>
      <c r="S724" s="1244"/>
      <c r="T724" s="1244"/>
      <c r="U724" s="1244"/>
      <c r="V724" s="1244"/>
      <c r="W724" s="1244"/>
      <c r="X724" s="1244"/>
      <c r="Y724" s="1244"/>
      <c r="Z724" s="1244"/>
    </row>
    <row r="725" spans="1:26" ht="18.75" hidden="1">
      <c r="A725" s="1368"/>
      <c r="B725" s="1243"/>
      <c r="C725" s="1243"/>
      <c r="D725" s="1243"/>
      <c r="E725" s="1243"/>
      <c r="F725" s="1243"/>
      <c r="G725" s="963"/>
      <c r="H725" s="730" t="s">
        <v>46</v>
      </c>
      <c r="I725" s="1379">
        <f ca="1">IFERROR(__xludf.DUMMYFUNCTION("IMPORTRANGE(""https://docs.google.com/spreadsheets/d/1QqKyyYR6Q21VydFLVH3TRQUabQu_ym0Zz7PgGX0-kHA/edit?usp=sharing"",""แผน!IM25"")"),0)</f>
        <v>0</v>
      </c>
      <c r="J725" s="830">
        <f ca="1">IFERROR(__xludf.DUMMYFUNCTION("IMPORTRANGE(""https://docs.google.com/spreadsheets/d/1XWAQStnk-4SwqDmLtmXYiTMKHgktTP8We1SCoS47DrQ/edit?usp=sharing"",""จัดที่ดิน!BO25"")"),0)</f>
        <v>0</v>
      </c>
      <c r="K725" s="831">
        <f t="shared" ref="K725:K726" ca="1" si="292">IF(I725&gt;0,J725*100/I725,0)</f>
        <v>0</v>
      </c>
      <c r="L725" s="1380"/>
      <c r="M725" s="963"/>
      <c r="N725" s="1380"/>
      <c r="O725" s="831"/>
      <c r="P725" s="831"/>
      <c r="Q725" s="1244"/>
      <c r="R725" s="1244"/>
      <c r="S725" s="1244"/>
      <c r="T725" s="1244"/>
      <c r="U725" s="1244"/>
      <c r="V725" s="1244"/>
      <c r="W725" s="1244"/>
      <c r="X725" s="1244"/>
      <c r="Y725" s="1244"/>
      <c r="Z725" s="1244"/>
    </row>
    <row r="726" spans="1:26" ht="18.75" hidden="1">
      <c r="A726" s="1368"/>
      <c r="B726" s="1243"/>
      <c r="C726" s="1243"/>
      <c r="D726" s="1243"/>
      <c r="E726" s="1243" t="s">
        <v>307</v>
      </c>
      <c r="F726" s="1243"/>
      <c r="G726" s="963"/>
      <c r="H726" s="730" t="s">
        <v>35</v>
      </c>
      <c r="I726" s="1379">
        <f ca="1">IFERROR(__xludf.DUMMYFUNCTION("IMPORTRANGE(""https://docs.google.com/spreadsheets/d/1QqKyyYR6Q21VydFLVH3TRQUabQu_ym0Zz7PgGX0-kHA/edit?usp=sharing"",""แผน!IN25"")"),0)</f>
        <v>0</v>
      </c>
      <c r="J726" s="830">
        <f ca="1">IFERROR(__xludf.DUMMYFUNCTION("IMPORTRANGE(""https://docs.google.com/spreadsheets/d/1XWAQStnk-4SwqDmLtmXYiTMKHgktTP8We1SCoS47DrQ/edit?usp=sharing"",""จัดที่ดิน!BR25"")"),0)</f>
        <v>0</v>
      </c>
      <c r="K726" s="831">
        <f t="shared" ca="1" si="292"/>
        <v>0</v>
      </c>
      <c r="L726" s="831"/>
      <c r="M726" s="963"/>
      <c r="N726" s="1380"/>
      <c r="O726" s="831"/>
      <c r="P726" s="831"/>
      <c r="Q726" s="1244"/>
      <c r="R726" s="1244"/>
      <c r="S726" s="1244"/>
      <c r="T726" s="1244"/>
      <c r="U726" s="1244"/>
      <c r="V726" s="1244"/>
      <c r="W726" s="1244"/>
      <c r="X726" s="1244"/>
      <c r="Y726" s="1244"/>
      <c r="Z726" s="1244"/>
    </row>
    <row r="727" spans="1:26" ht="18.75" hidden="1">
      <c r="A727" s="1368"/>
      <c r="B727" s="1243"/>
      <c r="C727" s="1243"/>
      <c r="D727" s="1243"/>
      <c r="E727" s="1243"/>
      <c r="F727" s="1243"/>
      <c r="G727" s="963"/>
      <c r="H727" s="730" t="s">
        <v>34</v>
      </c>
      <c r="I727" s="1379"/>
      <c r="J727" s="830">
        <f ca="1">IFERROR(__xludf.DUMMYFUNCTION("IMPORTRANGE(""https://docs.google.com/spreadsheets/d/1XWAQStnk-4SwqDmLtmXYiTMKHgktTP8We1SCoS47DrQ/edit?usp=sharing"",""จัดที่ดิน!BS25"")"),0)</f>
        <v>0</v>
      </c>
      <c r="K727" s="831"/>
      <c r="L727" s="1380"/>
      <c r="M727" s="963"/>
      <c r="N727" s="1380"/>
      <c r="O727" s="831"/>
      <c r="P727" s="831"/>
      <c r="Q727" s="1244"/>
      <c r="R727" s="1244"/>
      <c r="S727" s="1244"/>
      <c r="T727" s="1244"/>
      <c r="U727" s="1244"/>
      <c r="V727" s="1244"/>
      <c r="W727" s="1244"/>
      <c r="X727" s="1244"/>
      <c r="Y727" s="1244"/>
      <c r="Z727" s="1244"/>
    </row>
    <row r="728" spans="1:26" ht="18.75" hidden="1">
      <c r="A728" s="1368"/>
      <c r="B728" s="1243"/>
      <c r="C728" s="1243"/>
      <c r="D728" s="1243"/>
      <c r="E728" s="1243"/>
      <c r="F728" s="1243"/>
      <c r="G728" s="963"/>
      <c r="H728" s="730" t="s">
        <v>46</v>
      </c>
      <c r="I728" s="1379">
        <f ca="1">IFERROR(__xludf.DUMMYFUNCTION("IMPORTRANGE(""https://docs.google.com/spreadsheets/d/1QqKyyYR6Q21VydFLVH3TRQUabQu_ym0Zz7PgGX0-kHA/edit?usp=sharing"",""แผน!IO25"")"),0)</f>
        <v>0</v>
      </c>
      <c r="J728" s="830">
        <f ca="1">IFERROR(__xludf.DUMMYFUNCTION("IMPORTRANGE(""https://docs.google.com/spreadsheets/d/1XWAQStnk-4SwqDmLtmXYiTMKHgktTP8We1SCoS47DrQ/edit?usp=sharing"",""จัดที่ดิน!BT25"")"),0)</f>
        <v>0</v>
      </c>
      <c r="K728" s="831">
        <f t="shared" ref="K728:K729" ca="1" si="293">IF(I728&gt;0,J728*100/I728,0)</f>
        <v>0</v>
      </c>
      <c r="L728" s="1380"/>
      <c r="M728" s="963"/>
      <c r="N728" s="1380"/>
      <c r="O728" s="831"/>
      <c r="P728" s="831"/>
      <c r="Q728" s="1244"/>
      <c r="R728" s="1244"/>
      <c r="S728" s="1244"/>
      <c r="T728" s="1244"/>
      <c r="U728" s="1244"/>
      <c r="V728" s="1244"/>
      <c r="W728" s="1244"/>
      <c r="X728" s="1244"/>
      <c r="Y728" s="1244"/>
      <c r="Z728" s="1244"/>
    </row>
    <row r="729" spans="1:26" ht="19.5" hidden="1">
      <c r="A729" s="1368"/>
      <c r="B729" s="1243"/>
      <c r="C729" s="1243"/>
      <c r="D729" s="1243" t="s">
        <v>308</v>
      </c>
      <c r="E729" s="1243"/>
      <c r="F729" s="1243"/>
      <c r="G729" s="963"/>
      <c r="H729" s="733" t="s">
        <v>46</v>
      </c>
      <c r="I729" s="1381">
        <f ca="1">IFERROR(__xludf.DUMMYFUNCTION("IMPORTRANGE(""https://docs.google.com/spreadsheets/d/1QqKyyYR6Q21VydFLVH3TRQUabQu_ym0Zz7PgGX0-kHA/edit?usp=sharing"",""แผน!IP25"")"),0)</f>
        <v>0</v>
      </c>
      <c r="J729" s="966">
        <f>J732+J735</f>
        <v>0</v>
      </c>
      <c r="K729" s="967">
        <f t="shared" ca="1" si="293"/>
        <v>0</v>
      </c>
      <c r="L729" s="831"/>
      <c r="M729" s="963"/>
      <c r="N729" s="1380"/>
      <c r="O729" s="831"/>
      <c r="P729" s="831"/>
      <c r="Q729" s="1244"/>
      <c r="R729" s="1244"/>
      <c r="S729" s="1244"/>
      <c r="T729" s="1244"/>
      <c r="U729" s="1244"/>
      <c r="V729" s="1244"/>
      <c r="W729" s="1244"/>
      <c r="X729" s="1244"/>
      <c r="Y729" s="1244"/>
      <c r="Z729" s="1244"/>
    </row>
    <row r="730" spans="1:26" ht="18.75" hidden="1">
      <c r="A730" s="1368"/>
      <c r="B730" s="1243"/>
      <c r="C730" s="1243"/>
      <c r="D730" s="1243"/>
      <c r="E730" s="1243" t="s">
        <v>309</v>
      </c>
      <c r="F730" s="1243"/>
      <c r="G730" s="963"/>
      <c r="H730" s="730" t="s">
        <v>35</v>
      </c>
      <c r="I730" s="1379"/>
      <c r="J730" s="959">
        <v>0</v>
      </c>
      <c r="K730" s="831"/>
      <c r="L730" s="1380"/>
      <c r="M730" s="831"/>
      <c r="N730" s="1380"/>
      <c r="O730" s="831"/>
      <c r="P730" s="831"/>
      <c r="Q730" s="1244"/>
      <c r="R730" s="1244"/>
      <c r="S730" s="1244"/>
      <c r="T730" s="1244"/>
      <c r="U730" s="1244"/>
      <c r="V730" s="1244"/>
      <c r="W730" s="1244"/>
      <c r="X730" s="1244"/>
      <c r="Y730" s="1244"/>
      <c r="Z730" s="1244"/>
    </row>
    <row r="731" spans="1:26" ht="18.75" hidden="1">
      <c r="A731" s="1368"/>
      <c r="B731" s="1243"/>
      <c r="C731" s="1243"/>
      <c r="D731" s="1243"/>
      <c r="E731" s="1243"/>
      <c r="F731" s="1243"/>
      <c r="G731" s="963"/>
      <c r="H731" s="730" t="s">
        <v>34</v>
      </c>
      <c r="I731" s="1379"/>
      <c r="J731" s="959">
        <v>0</v>
      </c>
      <c r="K731" s="831"/>
      <c r="L731" s="1380"/>
      <c r="M731" s="831"/>
      <c r="N731" s="1380"/>
      <c r="O731" s="831"/>
      <c r="P731" s="831"/>
      <c r="Q731" s="1244"/>
      <c r="R731" s="1244"/>
      <c r="S731" s="1244"/>
      <c r="T731" s="1244"/>
      <c r="U731" s="1244"/>
      <c r="V731" s="1244"/>
      <c r="W731" s="1244"/>
      <c r="X731" s="1244"/>
      <c r="Y731" s="1244"/>
      <c r="Z731" s="1244"/>
    </row>
    <row r="732" spans="1:26" ht="18.75" hidden="1">
      <c r="A732" s="1368"/>
      <c r="B732" s="1243"/>
      <c r="C732" s="1243"/>
      <c r="D732" s="1243"/>
      <c r="E732" s="1243"/>
      <c r="F732" s="1243"/>
      <c r="G732" s="963"/>
      <c r="H732" s="730" t="s">
        <v>46</v>
      </c>
      <c r="I732" s="1379"/>
      <c r="J732" s="959">
        <v>0</v>
      </c>
      <c r="K732" s="831"/>
      <c r="L732" s="1380"/>
      <c r="M732" s="831"/>
      <c r="N732" s="1380"/>
      <c r="O732" s="831"/>
      <c r="P732" s="831"/>
      <c r="Q732" s="1244"/>
      <c r="R732" s="1244"/>
      <c r="S732" s="1244"/>
      <c r="T732" s="1244"/>
      <c r="U732" s="1244"/>
      <c r="V732" s="1244"/>
      <c r="W732" s="1244"/>
      <c r="X732" s="1244"/>
      <c r="Y732" s="1244"/>
      <c r="Z732" s="1244"/>
    </row>
    <row r="733" spans="1:26" ht="18.75" hidden="1">
      <c r="A733" s="1368"/>
      <c r="B733" s="1243"/>
      <c r="C733" s="1243"/>
      <c r="D733" s="1243"/>
      <c r="E733" s="1243" t="s">
        <v>310</v>
      </c>
      <c r="F733" s="1243"/>
      <c r="G733" s="963"/>
      <c r="H733" s="730" t="s">
        <v>35</v>
      </c>
      <c r="I733" s="1379"/>
      <c r="J733" s="959">
        <v>0</v>
      </c>
      <c r="K733" s="831"/>
      <c r="L733" s="1380"/>
      <c r="M733" s="831"/>
      <c r="N733" s="1380"/>
      <c r="O733" s="831"/>
      <c r="P733" s="831"/>
      <c r="Q733" s="1244"/>
      <c r="R733" s="1244"/>
      <c r="S733" s="1244"/>
      <c r="T733" s="1244"/>
      <c r="U733" s="1244"/>
      <c r="V733" s="1244"/>
      <c r="W733" s="1244"/>
      <c r="X733" s="1244"/>
      <c r="Y733" s="1244"/>
      <c r="Z733" s="1244"/>
    </row>
    <row r="734" spans="1:26" ht="18.75" hidden="1">
      <c r="A734" s="1368"/>
      <c r="B734" s="1243"/>
      <c r="C734" s="1243"/>
      <c r="D734" s="1243"/>
      <c r="E734" s="1243"/>
      <c r="F734" s="1243"/>
      <c r="G734" s="963"/>
      <c r="H734" s="730" t="s">
        <v>34</v>
      </c>
      <c r="I734" s="1379"/>
      <c r="J734" s="959">
        <v>0</v>
      </c>
      <c r="K734" s="831"/>
      <c r="L734" s="1380"/>
      <c r="M734" s="831"/>
      <c r="N734" s="1380"/>
      <c r="O734" s="831"/>
      <c r="P734" s="831"/>
      <c r="Q734" s="1244"/>
      <c r="R734" s="1244"/>
      <c r="S734" s="1244"/>
      <c r="T734" s="1244"/>
      <c r="U734" s="1244"/>
      <c r="V734" s="1244"/>
      <c r="W734" s="1244"/>
      <c r="X734" s="1244"/>
      <c r="Y734" s="1244"/>
      <c r="Z734" s="1244"/>
    </row>
    <row r="735" spans="1:26" ht="19.5" hidden="1">
      <c r="A735" s="1382"/>
      <c r="B735" s="1383" t="s">
        <v>311</v>
      </c>
      <c r="C735" s="1116"/>
      <c r="D735" s="1116"/>
      <c r="E735" s="1116"/>
      <c r="F735" s="1116"/>
      <c r="G735" s="1361"/>
      <c r="H735" s="391" t="s">
        <v>46</v>
      </c>
      <c r="I735" s="1384"/>
      <c r="J735" s="1118">
        <v>0</v>
      </c>
      <c r="K735" s="1182"/>
      <c r="L735" s="1385"/>
      <c r="M735" s="1182"/>
      <c r="N735" s="1385"/>
      <c r="O735" s="1182"/>
      <c r="P735" s="1182"/>
      <c r="Q735" s="1244"/>
      <c r="R735" s="1244"/>
      <c r="S735" s="1244"/>
      <c r="T735" s="1244"/>
      <c r="U735" s="1244"/>
      <c r="V735" s="1244"/>
      <c r="W735" s="1244"/>
      <c r="X735" s="1244"/>
      <c r="Y735" s="1244"/>
      <c r="Z735" s="1244"/>
    </row>
    <row r="736" spans="1:26" ht="19.5" hidden="1">
      <c r="A736" s="740">
        <v>9</v>
      </c>
      <c r="B736" s="1386" t="s">
        <v>312</v>
      </c>
      <c r="C736" s="1387"/>
      <c r="D736" s="1387"/>
      <c r="E736" s="1387"/>
      <c r="F736" s="1387"/>
      <c r="G736" s="1388"/>
      <c r="H736" s="744" t="s">
        <v>46</v>
      </c>
      <c r="I736" s="1389"/>
      <c r="J736" s="1389">
        <f>J751</f>
        <v>0</v>
      </c>
      <c r="K736" s="1390">
        <f>IF(I736&gt;0,J736*100/I736,0)</f>
        <v>0</v>
      </c>
      <c r="L736" s="1391"/>
      <c r="M736" s="1391"/>
      <c r="N736" s="1391"/>
      <c r="O736" s="1391"/>
      <c r="P736" s="1391"/>
      <c r="Q736" s="1264"/>
      <c r="R736" s="1264"/>
      <c r="S736" s="1264"/>
      <c r="T736" s="1264"/>
      <c r="U736" s="1264"/>
      <c r="V736" s="1264"/>
      <c r="W736" s="1264"/>
      <c r="X736" s="1264"/>
      <c r="Y736" s="1264"/>
      <c r="Z736" s="1264"/>
    </row>
    <row r="737" spans="1:26" ht="19.5" hidden="1">
      <c r="A737" s="1260"/>
      <c r="B737" s="1261"/>
      <c r="C737" s="1261" t="s">
        <v>16</v>
      </c>
      <c r="D737" s="1508" t="s">
        <v>17</v>
      </c>
      <c r="E737" s="1485"/>
      <c r="F737" s="1485"/>
      <c r="G737" s="1263"/>
      <c r="H737" s="612" t="s">
        <v>12</v>
      </c>
      <c r="I737" s="836"/>
      <c r="J737" s="836"/>
      <c r="K737" s="837"/>
      <c r="L737" s="1292">
        <f t="shared" ref="L737:N737" si="294">L738+L739</f>
        <v>0</v>
      </c>
      <c r="M737" s="1292">
        <f t="shared" si="294"/>
        <v>0</v>
      </c>
      <c r="N737" s="1292">
        <f t="shared" si="294"/>
        <v>0</v>
      </c>
      <c r="O737" s="1292">
        <f t="shared" ref="O737:O742" si="295">IF(L737&gt;0,N737*100/L737,0)</f>
        <v>0</v>
      </c>
      <c r="P737" s="1292">
        <f t="shared" ref="P737:P742" si="296">IF(M737&gt;0,N737*100/M737,0)</f>
        <v>0</v>
      </c>
      <c r="Q737" s="1264"/>
      <c r="R737" s="1264"/>
      <c r="S737" s="1264"/>
      <c r="T737" s="1264"/>
      <c r="U737" s="1264"/>
      <c r="V737" s="1264"/>
      <c r="W737" s="1264"/>
      <c r="X737" s="1264"/>
      <c r="Y737" s="1264"/>
      <c r="Z737" s="1264"/>
    </row>
    <row r="738" spans="1:26" ht="18.75" hidden="1">
      <c r="A738" s="1260"/>
      <c r="B738" s="1261"/>
      <c r="C738" s="1261"/>
      <c r="D738" s="1262"/>
      <c r="E738" s="1261" t="s">
        <v>184</v>
      </c>
      <c r="F738" s="1261"/>
      <c r="G738" s="1263"/>
      <c r="H738" s="165" t="s">
        <v>12</v>
      </c>
      <c r="I738" s="836"/>
      <c r="J738" s="836"/>
      <c r="K738" s="837"/>
      <c r="L738" s="837">
        <f t="shared" ref="L738:N739" si="297">L741+L748</f>
        <v>0</v>
      </c>
      <c r="M738" s="837">
        <f t="shared" si="297"/>
        <v>0</v>
      </c>
      <c r="N738" s="837">
        <f t="shared" si="297"/>
        <v>0</v>
      </c>
      <c r="O738" s="837">
        <f t="shared" si="295"/>
        <v>0</v>
      </c>
      <c r="P738" s="837">
        <f t="shared" si="296"/>
        <v>0</v>
      </c>
      <c r="Q738" s="1264"/>
      <c r="R738" s="1264"/>
      <c r="S738" s="1264"/>
      <c r="T738" s="1264"/>
      <c r="U738" s="1264"/>
      <c r="V738" s="1264"/>
      <c r="W738" s="1264"/>
      <c r="X738" s="1264"/>
      <c r="Y738" s="1264"/>
      <c r="Z738" s="1264"/>
    </row>
    <row r="739" spans="1:26" ht="18.75" hidden="1">
      <c r="A739" s="1260"/>
      <c r="B739" s="1265"/>
      <c r="C739" s="1261"/>
      <c r="D739" s="1262"/>
      <c r="E739" s="1261" t="s">
        <v>185</v>
      </c>
      <c r="F739" s="1261"/>
      <c r="G739" s="1263"/>
      <c r="H739" s="165" t="s">
        <v>12</v>
      </c>
      <c r="I739" s="836"/>
      <c r="J739" s="836"/>
      <c r="K739" s="837"/>
      <c r="L739" s="837">
        <f t="shared" si="297"/>
        <v>0</v>
      </c>
      <c r="M739" s="837">
        <f t="shared" si="297"/>
        <v>0</v>
      </c>
      <c r="N739" s="837">
        <f t="shared" si="297"/>
        <v>0</v>
      </c>
      <c r="O739" s="837">
        <f t="shared" si="295"/>
        <v>0</v>
      </c>
      <c r="P739" s="837">
        <f t="shared" si="296"/>
        <v>0</v>
      </c>
      <c r="Q739" s="1264"/>
      <c r="R739" s="1264"/>
      <c r="S739" s="1264"/>
      <c r="T739" s="1264"/>
      <c r="U739" s="1264"/>
      <c r="V739" s="1264"/>
      <c r="W739" s="1264"/>
      <c r="X739" s="1264"/>
      <c r="Y739" s="1264"/>
      <c r="Z739" s="1264"/>
    </row>
    <row r="740" spans="1:26" ht="19.5" hidden="1">
      <c r="A740" s="1260"/>
      <c r="B740" s="1265"/>
      <c r="C740" s="1261"/>
      <c r="D740" s="1392" t="s">
        <v>20</v>
      </c>
      <c r="E740" s="1261"/>
      <c r="F740" s="1261"/>
      <c r="G740" s="1263"/>
      <c r="H740" s="612" t="s">
        <v>12</v>
      </c>
      <c r="I740" s="947"/>
      <c r="J740" s="947"/>
      <c r="K740" s="948"/>
      <c r="L740" s="1292">
        <f t="shared" ref="L740:N740" si="298">L741+L742</f>
        <v>0</v>
      </c>
      <c r="M740" s="1292">
        <f t="shared" si="298"/>
        <v>0</v>
      </c>
      <c r="N740" s="1292">
        <f t="shared" si="298"/>
        <v>0</v>
      </c>
      <c r="O740" s="1292">
        <f t="shared" si="295"/>
        <v>0</v>
      </c>
      <c r="P740" s="1292">
        <f t="shared" si="296"/>
        <v>0</v>
      </c>
      <c r="Q740" s="1264"/>
      <c r="R740" s="1264"/>
      <c r="S740" s="1264"/>
      <c r="T740" s="1264"/>
      <c r="U740" s="1264"/>
      <c r="V740" s="1264"/>
      <c r="W740" s="1264"/>
      <c r="X740" s="1264"/>
      <c r="Y740" s="1264"/>
      <c r="Z740" s="1264"/>
    </row>
    <row r="741" spans="1:26" ht="18.75" hidden="1">
      <c r="A741" s="1260"/>
      <c r="B741" s="1265"/>
      <c r="C741" s="1261"/>
      <c r="D741" s="1262"/>
      <c r="E741" s="1261" t="s">
        <v>184</v>
      </c>
      <c r="F741" s="1261"/>
      <c r="G741" s="1263"/>
      <c r="H741" s="165" t="s">
        <v>12</v>
      </c>
      <c r="I741" s="836"/>
      <c r="J741" s="836"/>
      <c r="K741" s="837"/>
      <c r="L741" s="837">
        <v>0</v>
      </c>
      <c r="M741" s="837">
        <v>0</v>
      </c>
      <c r="N741" s="837">
        <v>0</v>
      </c>
      <c r="O741" s="837">
        <f t="shared" si="295"/>
        <v>0</v>
      </c>
      <c r="P741" s="837">
        <f t="shared" si="296"/>
        <v>0</v>
      </c>
      <c r="Q741" s="1264"/>
      <c r="R741" s="1264"/>
      <c r="S741" s="1264"/>
      <c r="T741" s="1264"/>
      <c r="U741" s="1264"/>
      <c r="V741" s="1264"/>
      <c r="W741" s="1264"/>
      <c r="X741" s="1264"/>
      <c r="Y741" s="1264"/>
      <c r="Z741" s="1264"/>
    </row>
    <row r="742" spans="1:26" ht="18.75" hidden="1">
      <c r="A742" s="1260"/>
      <c r="B742" s="1265"/>
      <c r="C742" s="1261"/>
      <c r="D742" s="1262"/>
      <c r="E742" s="1261" t="s">
        <v>185</v>
      </c>
      <c r="F742" s="1261"/>
      <c r="G742" s="1263"/>
      <c r="H742" s="165" t="s">
        <v>12</v>
      </c>
      <c r="I742" s="836"/>
      <c r="J742" s="836"/>
      <c r="K742" s="837"/>
      <c r="L742" s="837">
        <v>0</v>
      </c>
      <c r="M742" s="837">
        <v>0</v>
      </c>
      <c r="N742" s="837">
        <f>N743+N744+N745+N746</f>
        <v>0</v>
      </c>
      <c r="O742" s="837">
        <f t="shared" si="295"/>
        <v>0</v>
      </c>
      <c r="P742" s="837">
        <f t="shared" si="296"/>
        <v>0</v>
      </c>
      <c r="Q742" s="1264"/>
      <c r="R742" s="1264"/>
      <c r="S742" s="1264"/>
      <c r="T742" s="1264"/>
      <c r="U742" s="1264"/>
      <c r="V742" s="1264"/>
      <c r="W742" s="1264"/>
      <c r="X742" s="1264"/>
      <c r="Y742" s="1264"/>
      <c r="Z742" s="1264"/>
    </row>
    <row r="743" spans="1:26" ht="18.75" hidden="1">
      <c r="A743" s="1294"/>
      <c r="B743" s="1265"/>
      <c r="C743" s="1261"/>
      <c r="D743" s="1261"/>
      <c r="E743" s="1261"/>
      <c r="F743" s="1261" t="s">
        <v>186</v>
      </c>
      <c r="G743" s="1263"/>
      <c r="H743" s="165" t="s">
        <v>12</v>
      </c>
      <c r="I743" s="836"/>
      <c r="J743" s="836"/>
      <c r="K743" s="837"/>
      <c r="L743" s="837"/>
      <c r="M743" s="837"/>
      <c r="N743" s="837"/>
      <c r="O743" s="837"/>
      <c r="P743" s="837"/>
      <c r="Q743" s="1264"/>
      <c r="R743" s="1264"/>
      <c r="S743" s="1264"/>
      <c r="T743" s="1264"/>
      <c r="U743" s="1264"/>
      <c r="V743" s="1264"/>
      <c r="W743" s="1264"/>
      <c r="X743" s="1264"/>
      <c r="Y743" s="1264"/>
      <c r="Z743" s="1264"/>
    </row>
    <row r="744" spans="1:26" ht="18.75" hidden="1">
      <c r="A744" s="1294"/>
      <c r="B744" s="1265"/>
      <c r="C744" s="1261"/>
      <c r="D744" s="1261"/>
      <c r="E744" s="1261"/>
      <c r="F744" s="1261" t="s">
        <v>187</v>
      </c>
      <c r="G744" s="1263"/>
      <c r="H744" s="165" t="s">
        <v>12</v>
      </c>
      <c r="I744" s="836"/>
      <c r="J744" s="836"/>
      <c r="K744" s="837"/>
      <c r="L744" s="837"/>
      <c r="M744" s="837"/>
      <c r="N744" s="837"/>
      <c r="O744" s="837"/>
      <c r="P744" s="837"/>
      <c r="Q744" s="1264"/>
      <c r="R744" s="1264"/>
      <c r="S744" s="1264"/>
      <c r="T744" s="1264"/>
      <c r="U744" s="1264"/>
      <c r="V744" s="1264"/>
      <c r="W744" s="1264"/>
      <c r="X744" s="1264"/>
      <c r="Y744" s="1264"/>
      <c r="Z744" s="1264"/>
    </row>
    <row r="745" spans="1:26" ht="18.75" hidden="1">
      <c r="A745" s="1294"/>
      <c r="B745" s="1265"/>
      <c r="C745" s="1261"/>
      <c r="D745" s="1261"/>
      <c r="E745" s="1261"/>
      <c r="F745" s="1261" t="s">
        <v>188</v>
      </c>
      <c r="G745" s="1263"/>
      <c r="H745" s="165" t="s">
        <v>12</v>
      </c>
      <c r="I745" s="836"/>
      <c r="J745" s="836"/>
      <c r="K745" s="837"/>
      <c r="L745" s="837"/>
      <c r="M745" s="837"/>
      <c r="N745" s="837"/>
      <c r="O745" s="837"/>
      <c r="P745" s="837"/>
      <c r="Q745" s="1264"/>
      <c r="R745" s="1264"/>
      <c r="S745" s="1264"/>
      <c r="T745" s="1264"/>
      <c r="U745" s="1264"/>
      <c r="V745" s="1264"/>
      <c r="W745" s="1264"/>
      <c r="X745" s="1264"/>
      <c r="Y745" s="1264"/>
      <c r="Z745" s="1264"/>
    </row>
    <row r="746" spans="1:26" ht="18.75" hidden="1">
      <c r="A746" s="1294"/>
      <c r="B746" s="1265"/>
      <c r="C746" s="1261"/>
      <c r="D746" s="1261"/>
      <c r="E746" s="1261"/>
      <c r="F746" s="1261" t="s">
        <v>189</v>
      </c>
      <c r="G746" s="1263"/>
      <c r="H746" s="165" t="s">
        <v>12</v>
      </c>
      <c r="I746" s="836"/>
      <c r="J746" s="836"/>
      <c r="K746" s="837"/>
      <c r="L746" s="837"/>
      <c r="M746" s="837"/>
      <c r="N746" s="837"/>
      <c r="O746" s="837"/>
      <c r="P746" s="837"/>
      <c r="Q746" s="1264"/>
      <c r="R746" s="1264"/>
      <c r="S746" s="1264"/>
      <c r="T746" s="1264"/>
      <c r="U746" s="1264"/>
      <c r="V746" s="1264"/>
      <c r="W746" s="1264"/>
      <c r="X746" s="1264"/>
      <c r="Y746" s="1264"/>
      <c r="Z746" s="1264"/>
    </row>
    <row r="747" spans="1:26" ht="19.5" hidden="1">
      <c r="A747" s="1260"/>
      <c r="B747" s="1265"/>
      <c r="C747" s="1261"/>
      <c r="D747" s="1392" t="s">
        <v>21</v>
      </c>
      <c r="E747" s="1261"/>
      <c r="F747" s="1261"/>
      <c r="G747" s="1263"/>
      <c r="H747" s="749" t="s">
        <v>12</v>
      </c>
      <c r="I747" s="947"/>
      <c r="J747" s="947"/>
      <c r="K747" s="948"/>
      <c r="L747" s="1292">
        <f t="shared" ref="L747:N747" si="299">L748+L749</f>
        <v>0</v>
      </c>
      <c r="M747" s="1292">
        <f t="shared" si="299"/>
        <v>0</v>
      </c>
      <c r="N747" s="1292">
        <f t="shared" si="299"/>
        <v>0</v>
      </c>
      <c r="O747" s="1292">
        <f t="shared" ref="O747:O749" si="300">IF(L747&gt;0,N747*100/L747,0)</f>
        <v>0</v>
      </c>
      <c r="P747" s="1292">
        <f t="shared" ref="P747:P749" si="301">IF(M747&gt;0,N747*100/M747,0)</f>
        <v>0</v>
      </c>
      <c r="Q747" s="1264"/>
      <c r="R747" s="1264"/>
      <c r="S747" s="1264"/>
      <c r="T747" s="1264"/>
      <c r="U747" s="1264"/>
      <c r="V747" s="1264"/>
      <c r="W747" s="1264"/>
      <c r="X747" s="1264"/>
      <c r="Y747" s="1264"/>
      <c r="Z747" s="1264"/>
    </row>
    <row r="748" spans="1:26" ht="18.75" hidden="1">
      <c r="A748" s="1260"/>
      <c r="B748" s="1265"/>
      <c r="C748" s="1261"/>
      <c r="D748" s="1261"/>
      <c r="E748" s="1261" t="s">
        <v>18</v>
      </c>
      <c r="F748" s="1261"/>
      <c r="G748" s="1263"/>
      <c r="H748" s="165" t="s">
        <v>12</v>
      </c>
      <c r="I748" s="947"/>
      <c r="J748" s="947"/>
      <c r="K748" s="948"/>
      <c r="L748" s="837">
        <v>0</v>
      </c>
      <c r="M748" s="837">
        <v>0</v>
      </c>
      <c r="N748" s="837">
        <v>0</v>
      </c>
      <c r="O748" s="837">
        <f t="shared" si="300"/>
        <v>0</v>
      </c>
      <c r="P748" s="837">
        <f t="shared" si="301"/>
        <v>0</v>
      </c>
      <c r="Q748" s="1264"/>
      <c r="R748" s="1264"/>
      <c r="S748" s="1264"/>
      <c r="T748" s="1264"/>
      <c r="U748" s="1264"/>
      <c r="V748" s="1264"/>
      <c r="W748" s="1264"/>
      <c r="X748" s="1264"/>
      <c r="Y748" s="1264"/>
      <c r="Z748" s="1264"/>
    </row>
    <row r="749" spans="1:26" ht="18.75" hidden="1">
      <c r="A749" s="1260"/>
      <c r="B749" s="1265"/>
      <c r="C749" s="1261"/>
      <c r="D749" s="1261"/>
      <c r="E749" s="1261" t="s">
        <v>19</v>
      </c>
      <c r="F749" s="1261"/>
      <c r="G749" s="1263"/>
      <c r="H749" s="169" t="s">
        <v>12</v>
      </c>
      <c r="I749" s="947"/>
      <c r="J749" s="947"/>
      <c r="K749" s="948"/>
      <c r="L749" s="837">
        <v>0</v>
      </c>
      <c r="M749" s="837">
        <v>0</v>
      </c>
      <c r="N749" s="837">
        <v>0</v>
      </c>
      <c r="O749" s="837">
        <f t="shared" si="300"/>
        <v>0</v>
      </c>
      <c r="P749" s="837">
        <f t="shared" si="301"/>
        <v>0</v>
      </c>
      <c r="Q749" s="1264"/>
      <c r="R749" s="1264"/>
      <c r="S749" s="1264"/>
      <c r="T749" s="1264"/>
      <c r="U749" s="1264"/>
      <c r="V749" s="1264"/>
      <c r="W749" s="1264"/>
      <c r="X749" s="1264"/>
      <c r="Y749" s="1264"/>
      <c r="Z749" s="1264"/>
    </row>
    <row r="750" spans="1:26" ht="19.5" hidden="1">
      <c r="A750" s="1273"/>
      <c r="B750" s="1274"/>
      <c r="C750" s="1261" t="s">
        <v>16</v>
      </c>
      <c r="D750" s="1393" t="s">
        <v>38</v>
      </c>
      <c r="E750" s="1296"/>
      <c r="F750" s="1296"/>
      <c r="G750" s="1297"/>
      <c r="H750" s="1060"/>
      <c r="I750" s="947"/>
      <c r="J750" s="947"/>
      <c r="K750" s="948"/>
      <c r="L750" s="948"/>
      <c r="M750" s="948"/>
      <c r="N750" s="948"/>
      <c r="O750" s="948"/>
      <c r="P750" s="948"/>
      <c r="Q750" s="1264"/>
      <c r="R750" s="1264"/>
      <c r="S750" s="1264"/>
      <c r="T750" s="1264"/>
      <c r="U750" s="1264"/>
      <c r="V750" s="1264"/>
      <c r="W750" s="1264"/>
      <c r="X750" s="1264"/>
      <c r="Y750" s="1264"/>
      <c r="Z750" s="1264"/>
    </row>
    <row r="751" spans="1:26" ht="18.75" hidden="1">
      <c r="A751" s="1294"/>
      <c r="B751" s="1265"/>
      <c r="C751" s="1261"/>
      <c r="D751" s="1261"/>
      <c r="E751" s="1261" t="s">
        <v>313</v>
      </c>
      <c r="F751" s="1261"/>
      <c r="G751" s="1263"/>
      <c r="H751" s="165" t="s">
        <v>46</v>
      </c>
      <c r="I751" s="836"/>
      <c r="J751" s="836"/>
      <c r="K751" s="837"/>
      <c r="L751" s="837"/>
      <c r="M751" s="837"/>
      <c r="N751" s="837"/>
      <c r="O751" s="837"/>
      <c r="P751" s="837"/>
      <c r="Q751" s="1264"/>
      <c r="R751" s="1264"/>
      <c r="S751" s="1264"/>
      <c r="T751" s="1264"/>
      <c r="U751" s="1264"/>
      <c r="V751" s="1264"/>
      <c r="W751" s="1264"/>
      <c r="X751" s="1264"/>
      <c r="Y751" s="1264"/>
      <c r="Z751" s="1264"/>
    </row>
    <row r="752" spans="1:26" ht="18.75" hidden="1">
      <c r="A752" s="1294"/>
      <c r="B752" s="1265"/>
      <c r="C752" s="1261"/>
      <c r="D752" s="1261"/>
      <c r="E752" s="1261"/>
      <c r="F752" s="1261"/>
      <c r="G752" s="1263"/>
      <c r="H752" s="165" t="s">
        <v>314</v>
      </c>
      <c r="I752" s="836"/>
      <c r="J752" s="836"/>
      <c r="K752" s="837"/>
      <c r="L752" s="837"/>
      <c r="M752" s="837"/>
      <c r="N752" s="837"/>
      <c r="O752" s="837"/>
      <c r="P752" s="837"/>
      <c r="Q752" s="1264"/>
      <c r="R752" s="1264"/>
      <c r="S752" s="1264"/>
      <c r="T752" s="1264"/>
      <c r="U752" s="1264"/>
      <c r="V752" s="1264"/>
      <c r="W752" s="1264"/>
      <c r="X752" s="1264"/>
      <c r="Y752" s="1264"/>
      <c r="Z752" s="1264"/>
    </row>
    <row r="753" spans="1:26" ht="19.5" hidden="1">
      <c r="A753" s="751">
        <v>10</v>
      </c>
      <c r="B753" s="1394" t="s">
        <v>315</v>
      </c>
      <c r="C753" s="1395"/>
      <c r="D753" s="1395"/>
      <c r="E753" s="1395"/>
      <c r="F753" s="1395"/>
      <c r="G753" s="1396"/>
      <c r="H753" s="755" t="s">
        <v>46</v>
      </c>
      <c r="I753" s="1397"/>
      <c r="J753" s="1397">
        <f>J768</f>
        <v>0</v>
      </c>
      <c r="K753" s="1398">
        <f>IF(I753&gt;0,J753*100/I753,0)</f>
        <v>0</v>
      </c>
      <c r="L753" s="1399"/>
      <c r="M753" s="1399"/>
      <c r="N753" s="1399"/>
      <c r="O753" s="1399"/>
      <c r="P753" s="1399"/>
      <c r="Q753" s="1264"/>
      <c r="R753" s="1264"/>
      <c r="S753" s="1264"/>
      <c r="T753" s="1264"/>
      <c r="U753" s="1264"/>
      <c r="V753" s="1264"/>
      <c r="W753" s="1264"/>
      <c r="X753" s="1264"/>
      <c r="Y753" s="1264"/>
      <c r="Z753" s="1264"/>
    </row>
    <row r="754" spans="1:26" ht="19.5" hidden="1">
      <c r="A754" s="1260"/>
      <c r="B754" s="1261"/>
      <c r="C754" s="1261" t="s">
        <v>16</v>
      </c>
      <c r="D754" s="1508" t="s">
        <v>17</v>
      </c>
      <c r="E754" s="1485"/>
      <c r="F754" s="1485"/>
      <c r="G754" s="1263"/>
      <c r="H754" s="612" t="s">
        <v>12</v>
      </c>
      <c r="I754" s="836"/>
      <c r="J754" s="836"/>
      <c r="K754" s="837"/>
      <c r="L754" s="1292">
        <f t="shared" ref="L754:N754" si="302">L755+L756</f>
        <v>0</v>
      </c>
      <c r="M754" s="1292">
        <f t="shared" si="302"/>
        <v>0</v>
      </c>
      <c r="N754" s="1292">
        <f t="shared" si="302"/>
        <v>0</v>
      </c>
      <c r="O754" s="1292">
        <f t="shared" ref="O754:O759" si="303">IF(L754&gt;0,N754*100/L754,0)</f>
        <v>0</v>
      </c>
      <c r="P754" s="1292">
        <f t="shared" ref="P754:P759" si="304">IF(M754&gt;0,N754*100/M754,0)</f>
        <v>0</v>
      </c>
      <c r="Q754" s="1264"/>
      <c r="R754" s="1264"/>
      <c r="S754" s="1264"/>
      <c r="T754" s="1264"/>
      <c r="U754" s="1264"/>
      <c r="V754" s="1264"/>
      <c r="W754" s="1264"/>
      <c r="X754" s="1264"/>
      <c r="Y754" s="1264"/>
      <c r="Z754" s="1264"/>
    </row>
    <row r="755" spans="1:26" ht="18.75" hidden="1">
      <c r="A755" s="1260"/>
      <c r="B755" s="1261"/>
      <c r="C755" s="1261"/>
      <c r="D755" s="1262"/>
      <c r="E755" s="1261" t="s">
        <v>184</v>
      </c>
      <c r="F755" s="1261"/>
      <c r="G755" s="1263"/>
      <c r="H755" s="165" t="s">
        <v>12</v>
      </c>
      <c r="I755" s="836"/>
      <c r="J755" s="836"/>
      <c r="K755" s="837"/>
      <c r="L755" s="837">
        <f t="shared" ref="L755:N756" si="305">L758+L765</f>
        <v>0</v>
      </c>
      <c r="M755" s="837">
        <f t="shared" si="305"/>
        <v>0</v>
      </c>
      <c r="N755" s="837">
        <f t="shared" si="305"/>
        <v>0</v>
      </c>
      <c r="O755" s="837">
        <f t="shared" si="303"/>
        <v>0</v>
      </c>
      <c r="P755" s="837">
        <f t="shared" si="304"/>
        <v>0</v>
      </c>
      <c r="Q755" s="1264"/>
      <c r="R755" s="1264"/>
      <c r="S755" s="1264"/>
      <c r="T755" s="1264"/>
      <c r="U755" s="1264"/>
      <c r="V755" s="1264"/>
      <c r="W755" s="1264"/>
      <c r="X755" s="1264"/>
      <c r="Y755" s="1264"/>
      <c r="Z755" s="1264"/>
    </row>
    <row r="756" spans="1:26" ht="18.75" hidden="1">
      <c r="A756" s="1260"/>
      <c r="B756" s="1265"/>
      <c r="C756" s="1261"/>
      <c r="D756" s="1262"/>
      <c r="E756" s="1261" t="s">
        <v>185</v>
      </c>
      <c r="F756" s="1261"/>
      <c r="G756" s="1263"/>
      <c r="H756" s="165" t="s">
        <v>12</v>
      </c>
      <c r="I756" s="836"/>
      <c r="J756" s="836"/>
      <c r="K756" s="837"/>
      <c r="L756" s="837">
        <f t="shared" si="305"/>
        <v>0</v>
      </c>
      <c r="M756" s="837">
        <f t="shared" si="305"/>
        <v>0</v>
      </c>
      <c r="N756" s="837">
        <f t="shared" si="305"/>
        <v>0</v>
      </c>
      <c r="O756" s="837">
        <f t="shared" si="303"/>
        <v>0</v>
      </c>
      <c r="P756" s="837">
        <f t="shared" si="304"/>
        <v>0</v>
      </c>
      <c r="Q756" s="1264"/>
      <c r="R756" s="1264"/>
      <c r="S756" s="1264"/>
      <c r="T756" s="1264"/>
      <c r="U756" s="1264"/>
      <c r="V756" s="1264"/>
      <c r="W756" s="1264"/>
      <c r="X756" s="1264"/>
      <c r="Y756" s="1264"/>
      <c r="Z756" s="1264"/>
    </row>
    <row r="757" spans="1:26" ht="19.5" hidden="1">
      <c r="A757" s="1260"/>
      <c r="B757" s="1265"/>
      <c r="C757" s="1261"/>
      <c r="D757" s="1392" t="s">
        <v>20</v>
      </c>
      <c r="E757" s="1261"/>
      <c r="F757" s="1261"/>
      <c r="G757" s="1263"/>
      <c r="H757" s="612" t="s">
        <v>12</v>
      </c>
      <c r="I757" s="947"/>
      <c r="J757" s="947"/>
      <c r="K757" s="948"/>
      <c r="L757" s="1292">
        <f t="shared" ref="L757:N757" si="306">L758+L759</f>
        <v>0</v>
      </c>
      <c r="M757" s="1292">
        <f t="shared" si="306"/>
        <v>0</v>
      </c>
      <c r="N757" s="1292">
        <f t="shared" si="306"/>
        <v>0</v>
      </c>
      <c r="O757" s="1292">
        <f t="shared" si="303"/>
        <v>0</v>
      </c>
      <c r="P757" s="1292">
        <f t="shared" si="304"/>
        <v>0</v>
      </c>
      <c r="Q757" s="1264"/>
      <c r="R757" s="1264"/>
      <c r="S757" s="1264"/>
      <c r="T757" s="1264"/>
      <c r="U757" s="1264"/>
      <c r="V757" s="1264"/>
      <c r="W757" s="1264"/>
      <c r="X757" s="1264"/>
      <c r="Y757" s="1264"/>
      <c r="Z757" s="1264"/>
    </row>
    <row r="758" spans="1:26" ht="18.75" hidden="1">
      <c r="A758" s="1260"/>
      <c r="B758" s="1265"/>
      <c r="C758" s="1261"/>
      <c r="D758" s="1262"/>
      <c r="E758" s="1261" t="s">
        <v>184</v>
      </c>
      <c r="F758" s="1261"/>
      <c r="G758" s="1263"/>
      <c r="H758" s="165" t="s">
        <v>12</v>
      </c>
      <c r="I758" s="836"/>
      <c r="J758" s="836"/>
      <c r="K758" s="837"/>
      <c r="L758" s="837">
        <v>0</v>
      </c>
      <c r="M758" s="837">
        <v>0</v>
      </c>
      <c r="N758" s="837">
        <v>0</v>
      </c>
      <c r="O758" s="837">
        <f t="shared" si="303"/>
        <v>0</v>
      </c>
      <c r="P758" s="837">
        <f t="shared" si="304"/>
        <v>0</v>
      </c>
      <c r="Q758" s="1264"/>
      <c r="R758" s="1264"/>
      <c r="S758" s="1264"/>
      <c r="T758" s="1264"/>
      <c r="U758" s="1264"/>
      <c r="V758" s="1264"/>
      <c r="W758" s="1264"/>
      <c r="X758" s="1264"/>
      <c r="Y758" s="1264"/>
      <c r="Z758" s="1264"/>
    </row>
    <row r="759" spans="1:26" ht="18.75" hidden="1">
      <c r="A759" s="1260"/>
      <c r="B759" s="1265"/>
      <c r="C759" s="1261"/>
      <c r="D759" s="1262"/>
      <c r="E759" s="1261" t="s">
        <v>185</v>
      </c>
      <c r="F759" s="1261"/>
      <c r="G759" s="1263"/>
      <c r="H759" s="165" t="s">
        <v>12</v>
      </c>
      <c r="I759" s="836"/>
      <c r="J759" s="836"/>
      <c r="K759" s="837"/>
      <c r="L759" s="837">
        <v>0</v>
      </c>
      <c r="M759" s="837">
        <v>0</v>
      </c>
      <c r="N759" s="837">
        <f>N760+N761+N762+N763</f>
        <v>0</v>
      </c>
      <c r="O759" s="837">
        <f t="shared" si="303"/>
        <v>0</v>
      </c>
      <c r="P759" s="837">
        <f t="shared" si="304"/>
        <v>0</v>
      </c>
      <c r="Q759" s="1264"/>
      <c r="R759" s="1264"/>
      <c r="S759" s="1264"/>
      <c r="T759" s="1264"/>
      <c r="U759" s="1264"/>
      <c r="V759" s="1264"/>
      <c r="W759" s="1264"/>
      <c r="X759" s="1264"/>
      <c r="Y759" s="1264"/>
      <c r="Z759" s="1264"/>
    </row>
    <row r="760" spans="1:26" ht="18.75" hidden="1">
      <c r="A760" s="1294"/>
      <c r="B760" s="1265"/>
      <c r="C760" s="1261"/>
      <c r="D760" s="1261"/>
      <c r="E760" s="1261"/>
      <c r="F760" s="1261" t="s">
        <v>186</v>
      </c>
      <c r="G760" s="1263"/>
      <c r="H760" s="165" t="s">
        <v>12</v>
      </c>
      <c r="I760" s="836"/>
      <c r="J760" s="836"/>
      <c r="K760" s="837"/>
      <c r="L760" s="837"/>
      <c r="M760" s="837"/>
      <c r="N760" s="837"/>
      <c r="O760" s="837"/>
      <c r="P760" s="837"/>
      <c r="Q760" s="1264"/>
      <c r="R760" s="1264"/>
      <c r="S760" s="1264"/>
      <c r="T760" s="1264"/>
      <c r="U760" s="1264"/>
      <c r="V760" s="1264"/>
      <c r="W760" s="1264"/>
      <c r="X760" s="1264"/>
      <c r="Y760" s="1264"/>
      <c r="Z760" s="1264"/>
    </row>
    <row r="761" spans="1:26" ht="18.75" hidden="1">
      <c r="A761" s="1294"/>
      <c r="B761" s="1265"/>
      <c r="C761" s="1261"/>
      <c r="D761" s="1261"/>
      <c r="E761" s="1261"/>
      <c r="F761" s="1261" t="s">
        <v>187</v>
      </c>
      <c r="G761" s="1263"/>
      <c r="H761" s="165" t="s">
        <v>12</v>
      </c>
      <c r="I761" s="836"/>
      <c r="J761" s="836"/>
      <c r="K761" s="837"/>
      <c r="L761" s="837"/>
      <c r="M761" s="837"/>
      <c r="N761" s="837"/>
      <c r="O761" s="837"/>
      <c r="P761" s="837"/>
      <c r="Q761" s="1264"/>
      <c r="R761" s="1264"/>
      <c r="S761" s="1264"/>
      <c r="T761" s="1264"/>
      <c r="U761" s="1264"/>
      <c r="V761" s="1264"/>
      <c r="W761" s="1264"/>
      <c r="X761" s="1264"/>
      <c r="Y761" s="1264"/>
      <c r="Z761" s="1264"/>
    </row>
    <row r="762" spans="1:26" ht="18.75" hidden="1">
      <c r="A762" s="1294"/>
      <c r="B762" s="1265"/>
      <c r="C762" s="1261"/>
      <c r="D762" s="1261"/>
      <c r="E762" s="1261"/>
      <c r="F762" s="1261" t="s">
        <v>188</v>
      </c>
      <c r="G762" s="1263"/>
      <c r="H762" s="165" t="s">
        <v>12</v>
      </c>
      <c r="I762" s="836"/>
      <c r="J762" s="836"/>
      <c r="K762" s="837"/>
      <c r="L762" s="837"/>
      <c r="M762" s="837"/>
      <c r="N762" s="837"/>
      <c r="O762" s="837"/>
      <c r="P762" s="837"/>
      <c r="Q762" s="1264"/>
      <c r="R762" s="1264"/>
      <c r="S762" s="1264"/>
      <c r="T762" s="1264"/>
      <c r="U762" s="1264"/>
      <c r="V762" s="1264"/>
      <c r="W762" s="1264"/>
      <c r="X762" s="1264"/>
      <c r="Y762" s="1264"/>
      <c r="Z762" s="1264"/>
    </row>
    <row r="763" spans="1:26" ht="18.75" hidden="1">
      <c r="A763" s="1294"/>
      <c r="B763" s="1265"/>
      <c r="C763" s="1261"/>
      <c r="D763" s="1261"/>
      <c r="E763" s="1261"/>
      <c r="F763" s="1261" t="s">
        <v>189</v>
      </c>
      <c r="G763" s="1263"/>
      <c r="H763" s="165" t="s">
        <v>12</v>
      </c>
      <c r="I763" s="836"/>
      <c r="J763" s="836"/>
      <c r="K763" s="837"/>
      <c r="L763" s="837"/>
      <c r="M763" s="837"/>
      <c r="N763" s="837"/>
      <c r="O763" s="837"/>
      <c r="P763" s="837"/>
      <c r="Q763" s="1264"/>
      <c r="R763" s="1264"/>
      <c r="S763" s="1264"/>
      <c r="T763" s="1264"/>
      <c r="U763" s="1264"/>
      <c r="V763" s="1264"/>
      <c r="W763" s="1264"/>
      <c r="X763" s="1264"/>
      <c r="Y763" s="1264"/>
      <c r="Z763" s="1264"/>
    </row>
    <row r="764" spans="1:26" ht="19.5" hidden="1">
      <c r="A764" s="1260"/>
      <c r="B764" s="1265"/>
      <c r="C764" s="1261"/>
      <c r="D764" s="1392" t="s">
        <v>21</v>
      </c>
      <c r="E764" s="1261"/>
      <c r="F764" s="1261"/>
      <c r="G764" s="1263"/>
      <c r="H764" s="749" t="s">
        <v>12</v>
      </c>
      <c r="I764" s="947"/>
      <c r="J764" s="947"/>
      <c r="K764" s="948"/>
      <c r="L764" s="1292">
        <f t="shared" ref="L764:N764" si="307">L765+L766</f>
        <v>0</v>
      </c>
      <c r="M764" s="1292">
        <f t="shared" si="307"/>
        <v>0</v>
      </c>
      <c r="N764" s="1292">
        <f t="shared" si="307"/>
        <v>0</v>
      </c>
      <c r="O764" s="1292">
        <f t="shared" ref="O764:O766" si="308">IF(L764&gt;0,N764*100/L764,0)</f>
        <v>0</v>
      </c>
      <c r="P764" s="1292">
        <f t="shared" ref="P764:P766" si="309">IF(M764&gt;0,N764*100/M764,0)</f>
        <v>0</v>
      </c>
      <c r="Q764" s="1264"/>
      <c r="R764" s="1264"/>
      <c r="S764" s="1264"/>
      <c r="T764" s="1264"/>
      <c r="U764" s="1264"/>
      <c r="V764" s="1264"/>
      <c r="W764" s="1264"/>
      <c r="X764" s="1264"/>
      <c r="Y764" s="1264"/>
      <c r="Z764" s="1264"/>
    </row>
    <row r="765" spans="1:26" ht="18.75" hidden="1">
      <c r="A765" s="1260"/>
      <c r="B765" s="1265"/>
      <c r="C765" s="1261"/>
      <c r="D765" s="1261"/>
      <c r="E765" s="1261" t="s">
        <v>18</v>
      </c>
      <c r="F765" s="1261"/>
      <c r="G765" s="1263"/>
      <c r="H765" s="165" t="s">
        <v>12</v>
      </c>
      <c r="I765" s="947"/>
      <c r="J765" s="947"/>
      <c r="K765" s="948"/>
      <c r="L765" s="837">
        <v>0</v>
      </c>
      <c r="M765" s="837">
        <v>0</v>
      </c>
      <c r="N765" s="837">
        <v>0</v>
      </c>
      <c r="O765" s="837">
        <f t="shared" si="308"/>
        <v>0</v>
      </c>
      <c r="P765" s="837">
        <f t="shared" si="309"/>
        <v>0</v>
      </c>
      <c r="Q765" s="1264"/>
      <c r="R765" s="1264"/>
      <c r="S765" s="1264"/>
      <c r="T765" s="1264"/>
      <c r="U765" s="1264"/>
      <c r="V765" s="1264"/>
      <c r="W765" s="1264"/>
      <c r="X765" s="1264"/>
      <c r="Y765" s="1264"/>
      <c r="Z765" s="1264"/>
    </row>
    <row r="766" spans="1:26" ht="18.75" hidden="1">
      <c r="A766" s="1260"/>
      <c r="B766" s="1265"/>
      <c r="C766" s="1261"/>
      <c r="D766" s="1261"/>
      <c r="E766" s="1261" t="s">
        <v>19</v>
      </c>
      <c r="F766" s="1261"/>
      <c r="G766" s="1263"/>
      <c r="H766" s="169" t="s">
        <v>12</v>
      </c>
      <c r="I766" s="947"/>
      <c r="J766" s="947"/>
      <c r="K766" s="948"/>
      <c r="L766" s="837">
        <v>0</v>
      </c>
      <c r="M766" s="837">
        <v>0</v>
      </c>
      <c r="N766" s="837">
        <v>0</v>
      </c>
      <c r="O766" s="837">
        <f t="shared" si="308"/>
        <v>0</v>
      </c>
      <c r="P766" s="837">
        <f t="shared" si="309"/>
        <v>0</v>
      </c>
      <c r="Q766" s="1264"/>
      <c r="R766" s="1264"/>
      <c r="S766" s="1264"/>
      <c r="T766" s="1264"/>
      <c r="U766" s="1264"/>
      <c r="V766" s="1264"/>
      <c r="W766" s="1264"/>
      <c r="X766" s="1264"/>
      <c r="Y766" s="1264"/>
      <c r="Z766" s="1264"/>
    </row>
    <row r="767" spans="1:26" ht="19.5" hidden="1">
      <c r="A767" s="1273"/>
      <c r="B767" s="1274"/>
      <c r="C767" s="1261" t="s">
        <v>16</v>
      </c>
      <c r="D767" s="1393" t="s">
        <v>38</v>
      </c>
      <c r="E767" s="1296"/>
      <c r="F767" s="1296"/>
      <c r="G767" s="1297"/>
      <c r="H767" s="1060"/>
      <c r="I767" s="947"/>
      <c r="J767" s="947"/>
      <c r="K767" s="948"/>
      <c r="L767" s="948"/>
      <c r="M767" s="948"/>
      <c r="N767" s="948"/>
      <c r="O767" s="948"/>
      <c r="P767" s="948"/>
      <c r="Q767" s="1264"/>
      <c r="R767" s="1264"/>
      <c r="S767" s="1264"/>
      <c r="T767" s="1264"/>
      <c r="U767" s="1264"/>
      <c r="V767" s="1264"/>
      <c r="W767" s="1264"/>
      <c r="X767" s="1264"/>
      <c r="Y767" s="1264"/>
      <c r="Z767" s="1264"/>
    </row>
    <row r="768" spans="1:26" ht="18.75" hidden="1">
      <c r="A768" s="1294"/>
      <c r="B768" s="1265"/>
      <c r="C768" s="1261"/>
      <c r="D768" s="1261"/>
      <c r="E768" s="1261" t="s">
        <v>316</v>
      </c>
      <c r="F768" s="1261"/>
      <c r="G768" s="1263"/>
      <c r="H768" s="165" t="s">
        <v>46</v>
      </c>
      <c r="I768" s="836"/>
      <c r="J768" s="836"/>
      <c r="K768" s="837"/>
      <c r="L768" s="837"/>
      <c r="M768" s="837"/>
      <c r="N768" s="837"/>
      <c r="O768" s="837"/>
      <c r="P768" s="837"/>
      <c r="Q768" s="1264"/>
      <c r="R768" s="1264"/>
      <c r="S768" s="1264"/>
      <c r="T768" s="1264"/>
      <c r="U768" s="1264"/>
      <c r="V768" s="1264"/>
      <c r="W768" s="1264"/>
      <c r="X768" s="1264"/>
      <c r="Y768" s="1264"/>
      <c r="Z768" s="1264"/>
    </row>
    <row r="769" spans="1:26" ht="19.5" hidden="1">
      <c r="A769" s="759">
        <v>11</v>
      </c>
      <c r="B769" s="1400" t="s">
        <v>317</v>
      </c>
      <c r="C769" s="1401"/>
      <c r="D769" s="1401"/>
      <c r="E769" s="1401"/>
      <c r="F769" s="1401"/>
      <c r="G769" s="1402"/>
      <c r="H769" s="763" t="s">
        <v>46</v>
      </c>
      <c r="I769" s="1403"/>
      <c r="J769" s="1403">
        <f>J784</f>
        <v>0</v>
      </c>
      <c r="K769" s="1404">
        <f>IF(I769&gt;0,J769*100/I769,0)</f>
        <v>0</v>
      </c>
      <c r="L769" s="1405"/>
      <c r="M769" s="1405"/>
      <c r="N769" s="1405"/>
      <c r="O769" s="1405"/>
      <c r="P769" s="1405"/>
      <c r="Q769" s="1264"/>
      <c r="R769" s="1264"/>
      <c r="S769" s="1264"/>
      <c r="T769" s="1264"/>
      <c r="U769" s="1264"/>
      <c r="V769" s="1264"/>
      <c r="W769" s="1264"/>
      <c r="X769" s="1264"/>
      <c r="Y769" s="1264"/>
      <c r="Z769" s="1264"/>
    </row>
    <row r="770" spans="1:26" ht="19.5" hidden="1">
      <c r="A770" s="1260"/>
      <c r="B770" s="1261"/>
      <c r="C770" s="1261" t="s">
        <v>16</v>
      </c>
      <c r="D770" s="1508" t="s">
        <v>17</v>
      </c>
      <c r="E770" s="1485"/>
      <c r="F770" s="1485"/>
      <c r="G770" s="1263"/>
      <c r="H770" s="612" t="s">
        <v>12</v>
      </c>
      <c r="I770" s="836"/>
      <c r="J770" s="836"/>
      <c r="K770" s="837"/>
      <c r="L770" s="1292">
        <f t="shared" ref="L770:N770" si="310">L771+L772</f>
        <v>0</v>
      </c>
      <c r="M770" s="1292">
        <f t="shared" si="310"/>
        <v>0</v>
      </c>
      <c r="N770" s="1292">
        <f t="shared" si="310"/>
        <v>0</v>
      </c>
      <c r="O770" s="1292">
        <f t="shared" ref="O770:O775" si="311">IF(L770&gt;0,N770*100/L770,0)</f>
        <v>0</v>
      </c>
      <c r="P770" s="1292">
        <f t="shared" ref="P770:P775" si="312">IF(M770&gt;0,N770*100/M770,0)</f>
        <v>0</v>
      </c>
      <c r="Q770" s="1264"/>
      <c r="R770" s="1264"/>
      <c r="S770" s="1264"/>
      <c r="T770" s="1264"/>
      <c r="U770" s="1264"/>
      <c r="V770" s="1264"/>
      <c r="W770" s="1264"/>
      <c r="X770" s="1264"/>
      <c r="Y770" s="1264"/>
      <c r="Z770" s="1264"/>
    </row>
    <row r="771" spans="1:26" ht="18.75" hidden="1">
      <c r="A771" s="1260"/>
      <c r="B771" s="1261"/>
      <c r="C771" s="1261"/>
      <c r="D771" s="1262"/>
      <c r="E771" s="1261" t="s">
        <v>184</v>
      </c>
      <c r="F771" s="1261"/>
      <c r="G771" s="1263"/>
      <c r="H771" s="165" t="s">
        <v>12</v>
      </c>
      <c r="I771" s="836"/>
      <c r="J771" s="836"/>
      <c r="K771" s="837"/>
      <c r="L771" s="837">
        <f t="shared" ref="L771:N772" si="313">L774+L781</f>
        <v>0</v>
      </c>
      <c r="M771" s="837">
        <f t="shared" si="313"/>
        <v>0</v>
      </c>
      <c r="N771" s="837">
        <f t="shared" si="313"/>
        <v>0</v>
      </c>
      <c r="O771" s="837">
        <f t="shared" si="311"/>
        <v>0</v>
      </c>
      <c r="P771" s="837">
        <f t="shared" si="312"/>
        <v>0</v>
      </c>
      <c r="Q771" s="1264"/>
      <c r="R771" s="1264"/>
      <c r="S771" s="1264"/>
      <c r="T771" s="1264"/>
      <c r="U771" s="1264"/>
      <c r="V771" s="1264"/>
      <c r="W771" s="1264"/>
      <c r="X771" s="1264"/>
      <c r="Y771" s="1264"/>
      <c r="Z771" s="1264"/>
    </row>
    <row r="772" spans="1:26" ht="18.75" hidden="1">
      <c r="A772" s="1260"/>
      <c r="B772" s="1265"/>
      <c r="C772" s="1261"/>
      <c r="D772" s="1262"/>
      <c r="E772" s="1261" t="s">
        <v>185</v>
      </c>
      <c r="F772" s="1261"/>
      <c r="G772" s="1263"/>
      <c r="H772" s="165" t="s">
        <v>12</v>
      </c>
      <c r="I772" s="836"/>
      <c r="J772" s="836"/>
      <c r="K772" s="837"/>
      <c r="L772" s="837">
        <f t="shared" si="313"/>
        <v>0</v>
      </c>
      <c r="M772" s="837">
        <f t="shared" si="313"/>
        <v>0</v>
      </c>
      <c r="N772" s="837">
        <f t="shared" si="313"/>
        <v>0</v>
      </c>
      <c r="O772" s="837">
        <f t="shared" si="311"/>
        <v>0</v>
      </c>
      <c r="P772" s="837">
        <f t="shared" si="312"/>
        <v>0</v>
      </c>
      <c r="Q772" s="1264"/>
      <c r="R772" s="1264"/>
      <c r="S772" s="1264"/>
      <c r="T772" s="1264"/>
      <c r="U772" s="1264"/>
      <c r="V772" s="1264"/>
      <c r="W772" s="1264"/>
      <c r="X772" s="1264"/>
      <c r="Y772" s="1264"/>
      <c r="Z772" s="1264"/>
    </row>
    <row r="773" spans="1:26" ht="19.5" hidden="1">
      <c r="A773" s="1260"/>
      <c r="B773" s="1265"/>
      <c r="C773" s="1261"/>
      <c r="D773" s="1392" t="s">
        <v>20</v>
      </c>
      <c r="E773" s="1261"/>
      <c r="F773" s="1261"/>
      <c r="G773" s="1263"/>
      <c r="H773" s="612" t="s">
        <v>12</v>
      </c>
      <c r="I773" s="947"/>
      <c r="J773" s="947"/>
      <c r="K773" s="948"/>
      <c r="L773" s="1292">
        <f t="shared" ref="L773:N773" si="314">L774+L775</f>
        <v>0</v>
      </c>
      <c r="M773" s="1292">
        <f t="shared" si="314"/>
        <v>0</v>
      </c>
      <c r="N773" s="1292">
        <f t="shared" si="314"/>
        <v>0</v>
      </c>
      <c r="O773" s="1292">
        <f t="shared" si="311"/>
        <v>0</v>
      </c>
      <c r="P773" s="1292">
        <f t="shared" si="312"/>
        <v>0</v>
      </c>
      <c r="Q773" s="1264"/>
      <c r="R773" s="1264"/>
      <c r="S773" s="1264"/>
      <c r="T773" s="1264"/>
      <c r="U773" s="1264"/>
      <c r="V773" s="1264"/>
      <c r="W773" s="1264"/>
      <c r="X773" s="1264"/>
      <c r="Y773" s="1264"/>
      <c r="Z773" s="1264"/>
    </row>
    <row r="774" spans="1:26" ht="18.75" hidden="1">
      <c r="A774" s="1260"/>
      <c r="B774" s="1265"/>
      <c r="C774" s="1261"/>
      <c r="D774" s="1262"/>
      <c r="E774" s="1261" t="s">
        <v>184</v>
      </c>
      <c r="F774" s="1261"/>
      <c r="G774" s="1263"/>
      <c r="H774" s="165" t="s">
        <v>12</v>
      </c>
      <c r="I774" s="836"/>
      <c r="J774" s="836"/>
      <c r="K774" s="837"/>
      <c r="L774" s="837">
        <v>0</v>
      </c>
      <c r="M774" s="837">
        <v>0</v>
      </c>
      <c r="N774" s="837">
        <v>0</v>
      </c>
      <c r="O774" s="837">
        <f t="shared" si="311"/>
        <v>0</v>
      </c>
      <c r="P774" s="837">
        <f t="shared" si="312"/>
        <v>0</v>
      </c>
      <c r="Q774" s="1264"/>
      <c r="R774" s="1264"/>
      <c r="S774" s="1264"/>
      <c r="T774" s="1264"/>
      <c r="U774" s="1264"/>
      <c r="V774" s="1264"/>
      <c r="W774" s="1264"/>
      <c r="X774" s="1264"/>
      <c r="Y774" s="1264"/>
      <c r="Z774" s="1264"/>
    </row>
    <row r="775" spans="1:26" ht="18.75" hidden="1">
      <c r="A775" s="1260"/>
      <c r="B775" s="1265"/>
      <c r="C775" s="1261"/>
      <c r="D775" s="1262"/>
      <c r="E775" s="1261" t="s">
        <v>185</v>
      </c>
      <c r="F775" s="1261"/>
      <c r="G775" s="1263"/>
      <c r="H775" s="165" t="s">
        <v>12</v>
      </c>
      <c r="I775" s="836"/>
      <c r="J775" s="836"/>
      <c r="K775" s="837"/>
      <c r="L775" s="837">
        <v>0</v>
      </c>
      <c r="M775" s="837">
        <v>0</v>
      </c>
      <c r="N775" s="837">
        <f>N776+N777+N778+N779</f>
        <v>0</v>
      </c>
      <c r="O775" s="837">
        <f t="shared" si="311"/>
        <v>0</v>
      </c>
      <c r="P775" s="837">
        <f t="shared" si="312"/>
        <v>0</v>
      </c>
      <c r="Q775" s="1264"/>
      <c r="R775" s="1264"/>
      <c r="S775" s="1264"/>
      <c r="T775" s="1264"/>
      <c r="U775" s="1264"/>
      <c r="V775" s="1264"/>
      <c r="W775" s="1264"/>
      <c r="X775" s="1264"/>
      <c r="Y775" s="1264"/>
      <c r="Z775" s="1264"/>
    </row>
    <row r="776" spans="1:26" ht="18.75" hidden="1">
      <c r="A776" s="1294"/>
      <c r="B776" s="1265"/>
      <c r="C776" s="1261"/>
      <c r="D776" s="1261"/>
      <c r="E776" s="1261"/>
      <c r="F776" s="1261" t="s">
        <v>186</v>
      </c>
      <c r="G776" s="1263"/>
      <c r="H776" s="165" t="s">
        <v>12</v>
      </c>
      <c r="I776" s="836"/>
      <c r="J776" s="836"/>
      <c r="K776" s="837"/>
      <c r="L776" s="837"/>
      <c r="M776" s="837"/>
      <c r="N776" s="837"/>
      <c r="O776" s="837"/>
      <c r="P776" s="837"/>
      <c r="Q776" s="1264"/>
      <c r="R776" s="1264"/>
      <c r="S776" s="1264"/>
      <c r="T776" s="1264"/>
      <c r="U776" s="1264"/>
      <c r="V776" s="1264"/>
      <c r="W776" s="1264"/>
      <c r="X776" s="1264"/>
      <c r="Y776" s="1264"/>
      <c r="Z776" s="1264"/>
    </row>
    <row r="777" spans="1:26" ht="18.75" hidden="1">
      <c r="A777" s="1294"/>
      <c r="B777" s="1265"/>
      <c r="C777" s="1261"/>
      <c r="D777" s="1261"/>
      <c r="E777" s="1261"/>
      <c r="F777" s="1261" t="s">
        <v>187</v>
      </c>
      <c r="G777" s="1263"/>
      <c r="H777" s="165" t="s">
        <v>12</v>
      </c>
      <c r="I777" s="836"/>
      <c r="J777" s="836"/>
      <c r="K777" s="837"/>
      <c r="L777" s="837"/>
      <c r="M777" s="837"/>
      <c r="N777" s="837"/>
      <c r="O777" s="837"/>
      <c r="P777" s="837"/>
      <c r="Q777" s="1264"/>
      <c r="R777" s="1264"/>
      <c r="S777" s="1264"/>
      <c r="T777" s="1264"/>
      <c r="U777" s="1264"/>
      <c r="V777" s="1264"/>
      <c r="W777" s="1264"/>
      <c r="X777" s="1264"/>
      <c r="Y777" s="1264"/>
      <c r="Z777" s="1264"/>
    </row>
    <row r="778" spans="1:26" ht="18.75" hidden="1">
      <c r="A778" s="1294"/>
      <c r="B778" s="1265"/>
      <c r="C778" s="1261"/>
      <c r="D778" s="1261"/>
      <c r="E778" s="1261"/>
      <c r="F778" s="1261" t="s">
        <v>188</v>
      </c>
      <c r="G778" s="1263"/>
      <c r="H778" s="165" t="s">
        <v>12</v>
      </c>
      <c r="I778" s="836"/>
      <c r="J778" s="836"/>
      <c r="K778" s="837"/>
      <c r="L778" s="837"/>
      <c r="M778" s="837"/>
      <c r="N778" s="837"/>
      <c r="O778" s="837"/>
      <c r="P778" s="837"/>
      <c r="Q778" s="1264"/>
      <c r="R778" s="1264"/>
      <c r="S778" s="1264"/>
      <c r="T778" s="1264"/>
      <c r="U778" s="1264"/>
      <c r="V778" s="1264"/>
      <c r="W778" s="1264"/>
      <c r="X778" s="1264"/>
      <c r="Y778" s="1264"/>
      <c r="Z778" s="1264"/>
    </row>
    <row r="779" spans="1:26" ht="18.75" hidden="1">
      <c r="A779" s="1294"/>
      <c r="B779" s="1265"/>
      <c r="C779" s="1261"/>
      <c r="D779" s="1261"/>
      <c r="E779" s="1261"/>
      <c r="F779" s="1261" t="s">
        <v>189</v>
      </c>
      <c r="G779" s="1263"/>
      <c r="H779" s="165" t="s">
        <v>12</v>
      </c>
      <c r="I779" s="836"/>
      <c r="J779" s="836"/>
      <c r="K779" s="837"/>
      <c r="L779" s="837"/>
      <c r="M779" s="837"/>
      <c r="N779" s="837"/>
      <c r="O779" s="837"/>
      <c r="P779" s="837"/>
      <c r="Q779" s="1264"/>
      <c r="R779" s="1264"/>
      <c r="S779" s="1264"/>
      <c r="T779" s="1264"/>
      <c r="U779" s="1264"/>
      <c r="V779" s="1264"/>
      <c r="W779" s="1264"/>
      <c r="X779" s="1264"/>
      <c r="Y779" s="1264"/>
      <c r="Z779" s="1264"/>
    </row>
    <row r="780" spans="1:26" ht="19.5" hidden="1">
      <c r="A780" s="1260"/>
      <c r="B780" s="1265"/>
      <c r="C780" s="1261"/>
      <c r="D780" s="1392" t="s">
        <v>21</v>
      </c>
      <c r="E780" s="1261"/>
      <c r="F780" s="1261"/>
      <c r="G780" s="1263"/>
      <c r="H780" s="749" t="s">
        <v>12</v>
      </c>
      <c r="I780" s="947"/>
      <c r="J780" s="947"/>
      <c r="K780" s="948"/>
      <c r="L780" s="1292">
        <f t="shared" ref="L780:N780" si="315">L781+L782</f>
        <v>0</v>
      </c>
      <c r="M780" s="1292">
        <f t="shared" si="315"/>
        <v>0</v>
      </c>
      <c r="N780" s="1292">
        <f t="shared" si="315"/>
        <v>0</v>
      </c>
      <c r="O780" s="1292">
        <f t="shared" ref="O780:O782" si="316">IF(L780&gt;0,N780*100/L780,0)</f>
        <v>0</v>
      </c>
      <c r="P780" s="1292">
        <f t="shared" ref="P780:P782" si="317">IF(M780&gt;0,N780*100/M780,0)</f>
        <v>0</v>
      </c>
      <c r="Q780" s="1264"/>
      <c r="R780" s="1264"/>
      <c r="S780" s="1264"/>
      <c r="T780" s="1264"/>
      <c r="U780" s="1264"/>
      <c r="V780" s="1264"/>
      <c r="W780" s="1264"/>
      <c r="X780" s="1264"/>
      <c r="Y780" s="1264"/>
      <c r="Z780" s="1264"/>
    </row>
    <row r="781" spans="1:26" ht="18.75" hidden="1">
      <c r="A781" s="1260"/>
      <c r="B781" s="1265"/>
      <c r="C781" s="1261"/>
      <c r="D781" s="1261"/>
      <c r="E781" s="1261" t="s">
        <v>18</v>
      </c>
      <c r="F781" s="1261"/>
      <c r="G781" s="1263"/>
      <c r="H781" s="165" t="s">
        <v>12</v>
      </c>
      <c r="I781" s="947"/>
      <c r="J781" s="947"/>
      <c r="K781" s="948"/>
      <c r="L781" s="837">
        <v>0</v>
      </c>
      <c r="M781" s="837">
        <v>0</v>
      </c>
      <c r="N781" s="837">
        <v>0</v>
      </c>
      <c r="O781" s="837">
        <f t="shared" si="316"/>
        <v>0</v>
      </c>
      <c r="P781" s="837">
        <f t="shared" si="317"/>
        <v>0</v>
      </c>
      <c r="Q781" s="1264"/>
      <c r="R781" s="1264"/>
      <c r="S781" s="1264"/>
      <c r="T781" s="1264"/>
      <c r="U781" s="1264"/>
      <c r="V781" s="1264"/>
      <c r="W781" s="1264"/>
      <c r="X781" s="1264"/>
      <c r="Y781" s="1264"/>
      <c r="Z781" s="1264"/>
    </row>
    <row r="782" spans="1:26" ht="18.75" hidden="1">
      <c r="A782" s="1260"/>
      <c r="B782" s="1265"/>
      <c r="C782" s="1261"/>
      <c r="D782" s="1261"/>
      <c r="E782" s="1261" t="s">
        <v>19</v>
      </c>
      <c r="F782" s="1261"/>
      <c r="G782" s="1263"/>
      <c r="H782" s="169" t="s">
        <v>12</v>
      </c>
      <c r="I782" s="947"/>
      <c r="J782" s="947"/>
      <c r="K782" s="948"/>
      <c r="L782" s="837">
        <v>0</v>
      </c>
      <c r="M782" s="837">
        <v>0</v>
      </c>
      <c r="N782" s="837">
        <v>0</v>
      </c>
      <c r="O782" s="837">
        <f t="shared" si="316"/>
        <v>0</v>
      </c>
      <c r="P782" s="837">
        <f t="shared" si="317"/>
        <v>0</v>
      </c>
      <c r="Q782" s="1264"/>
      <c r="R782" s="1264"/>
      <c r="S782" s="1264"/>
      <c r="T782" s="1264"/>
      <c r="U782" s="1264"/>
      <c r="V782" s="1264"/>
      <c r="W782" s="1264"/>
      <c r="X782" s="1264"/>
      <c r="Y782" s="1264"/>
      <c r="Z782" s="1264"/>
    </row>
    <row r="783" spans="1:26" ht="19.5" hidden="1">
      <c r="A783" s="1273"/>
      <c r="B783" s="1274"/>
      <c r="C783" s="1261" t="s">
        <v>16</v>
      </c>
      <c r="D783" s="1393" t="s">
        <v>38</v>
      </c>
      <c r="E783" s="1296"/>
      <c r="F783" s="1296"/>
      <c r="G783" s="1297"/>
      <c r="H783" s="1406"/>
      <c r="I783" s="947"/>
      <c r="J783" s="947"/>
      <c r="K783" s="948"/>
      <c r="L783" s="948"/>
      <c r="M783" s="948"/>
      <c r="N783" s="948"/>
      <c r="O783" s="948"/>
      <c r="P783" s="948"/>
      <c r="Q783" s="1264"/>
      <c r="R783" s="1264"/>
      <c r="S783" s="1264"/>
      <c r="T783" s="1264"/>
      <c r="U783" s="1264"/>
      <c r="V783" s="1264"/>
      <c r="W783" s="1264"/>
      <c r="X783" s="1264"/>
      <c r="Y783" s="1264"/>
      <c r="Z783" s="1264"/>
    </row>
    <row r="784" spans="1:26" ht="18.75" hidden="1">
      <c r="A784" s="1294"/>
      <c r="B784" s="1265"/>
      <c r="C784" s="1261"/>
      <c r="D784" s="1261"/>
      <c r="E784" s="1261" t="s">
        <v>318</v>
      </c>
      <c r="F784" s="1261"/>
      <c r="G784" s="1263"/>
      <c r="H784" s="165" t="s">
        <v>46</v>
      </c>
      <c r="I784" s="836"/>
      <c r="J784" s="836"/>
      <c r="K784" s="837"/>
      <c r="L784" s="837"/>
      <c r="M784" s="837"/>
      <c r="N784" s="837"/>
      <c r="O784" s="837"/>
      <c r="P784" s="837"/>
      <c r="Q784" s="1264"/>
      <c r="R784" s="1264"/>
      <c r="S784" s="1264"/>
      <c r="T784" s="1264"/>
      <c r="U784" s="1264"/>
      <c r="V784" s="1264"/>
      <c r="W784" s="1264"/>
      <c r="X784" s="1264"/>
      <c r="Y784" s="1264"/>
      <c r="Z784" s="1264"/>
    </row>
    <row r="785" spans="1:26" ht="19.5" hidden="1">
      <c r="A785" s="768">
        <v>12</v>
      </c>
      <c r="B785" s="1407" t="s">
        <v>319</v>
      </c>
      <c r="C785" s="1408"/>
      <c r="D785" s="1408"/>
      <c r="E785" s="1408"/>
      <c r="F785" s="1408"/>
      <c r="G785" s="1409"/>
      <c r="H785" s="772" t="s">
        <v>46</v>
      </c>
      <c r="I785" s="1436">
        <f t="shared" ref="I785:J785" ca="1" si="318">I800</f>
        <v>0</v>
      </c>
      <c r="J785" s="1410">
        <f t="shared" ca="1" si="318"/>
        <v>0</v>
      </c>
      <c r="K785" s="1411">
        <f ca="1">IF(I785&gt;0,J785*100/I785,0)</f>
        <v>0</v>
      </c>
      <c r="L785" s="1412"/>
      <c r="M785" s="1412"/>
      <c r="N785" s="1412"/>
      <c r="O785" s="1412"/>
      <c r="P785" s="1412"/>
      <c r="Q785" s="1244"/>
      <c r="R785" s="1244"/>
      <c r="S785" s="1244"/>
      <c r="T785" s="1244"/>
      <c r="U785" s="1244"/>
      <c r="V785" s="1244"/>
      <c r="W785" s="1244"/>
      <c r="X785" s="1244"/>
      <c r="Y785" s="1244"/>
      <c r="Z785" s="1244"/>
    </row>
    <row r="786" spans="1:26" ht="19.5" hidden="1">
      <c r="A786" s="1259"/>
      <c r="B786" s="1242"/>
      <c r="C786" s="1243" t="s">
        <v>16</v>
      </c>
      <c r="D786" s="1507" t="s">
        <v>17</v>
      </c>
      <c r="E786" s="1485"/>
      <c r="F786" s="1485"/>
      <c r="G786" s="963"/>
      <c r="H786" s="563" t="s">
        <v>12</v>
      </c>
      <c r="I786" s="830"/>
      <c r="J786" s="830"/>
      <c r="K786" s="831"/>
      <c r="L786" s="967">
        <f t="shared" ref="L786:N786" ca="1" si="319">L787+L788</f>
        <v>0</v>
      </c>
      <c r="M786" s="967">
        <f t="shared" si="319"/>
        <v>0</v>
      </c>
      <c r="N786" s="967">
        <f t="shared" si="319"/>
        <v>0</v>
      </c>
      <c r="O786" s="967">
        <f t="shared" ref="O786:O791" ca="1" si="320">IF(L786&gt;0,N786*100/L786,0)</f>
        <v>0</v>
      </c>
      <c r="P786" s="967">
        <f t="shared" ref="P786:P791" si="321">IF(M786&gt;0,N786*100/M786,0)</f>
        <v>0</v>
      </c>
      <c r="Q786" s="1244"/>
      <c r="R786" s="1244"/>
      <c r="S786" s="1244"/>
      <c r="T786" s="1244"/>
      <c r="U786" s="1244"/>
      <c r="V786" s="1244"/>
      <c r="W786" s="1244"/>
      <c r="X786" s="1244"/>
      <c r="Y786" s="1244"/>
      <c r="Z786" s="1244"/>
    </row>
    <row r="787" spans="1:26" ht="18.75" hidden="1">
      <c r="A787" s="1260"/>
      <c r="B787" s="1265"/>
      <c r="C787" s="1261"/>
      <c r="D787" s="1262"/>
      <c r="E787" s="1261" t="s">
        <v>184</v>
      </c>
      <c r="F787" s="1261"/>
      <c r="G787" s="1263"/>
      <c r="H787" s="165" t="s">
        <v>12</v>
      </c>
      <c r="I787" s="836"/>
      <c r="J787" s="836"/>
      <c r="K787" s="837"/>
      <c r="L787" s="837">
        <f t="shared" ref="L787:N788" si="322">L790+L797</f>
        <v>0</v>
      </c>
      <c r="M787" s="837">
        <f t="shared" si="322"/>
        <v>0</v>
      </c>
      <c r="N787" s="837">
        <f t="shared" si="322"/>
        <v>0</v>
      </c>
      <c r="O787" s="837">
        <f t="shared" si="320"/>
        <v>0</v>
      </c>
      <c r="P787" s="837">
        <f t="shared" si="321"/>
        <v>0</v>
      </c>
      <c r="Q787" s="1264"/>
      <c r="R787" s="1264"/>
      <c r="S787" s="1264"/>
      <c r="T787" s="1264"/>
      <c r="U787" s="1264"/>
      <c r="V787" s="1264"/>
      <c r="W787" s="1264"/>
      <c r="X787" s="1264"/>
      <c r="Y787" s="1264"/>
      <c r="Z787" s="1264"/>
    </row>
    <row r="788" spans="1:26" ht="18.75" hidden="1">
      <c r="A788" s="1260"/>
      <c r="B788" s="1265"/>
      <c r="C788" s="1265"/>
      <c r="D788" s="1274"/>
      <c r="E788" s="1261" t="s">
        <v>185</v>
      </c>
      <c r="F788" s="1261"/>
      <c r="G788" s="1263"/>
      <c r="H788" s="165" t="s">
        <v>12</v>
      </c>
      <c r="I788" s="836"/>
      <c r="J788" s="836"/>
      <c r="K788" s="837"/>
      <c r="L788" s="837">
        <f t="shared" ca="1" si="322"/>
        <v>0</v>
      </c>
      <c r="M788" s="837">
        <f t="shared" si="322"/>
        <v>0</v>
      </c>
      <c r="N788" s="837">
        <f t="shared" si="322"/>
        <v>0</v>
      </c>
      <c r="O788" s="837">
        <f t="shared" ca="1" si="320"/>
        <v>0</v>
      </c>
      <c r="P788" s="837">
        <f t="shared" si="321"/>
        <v>0</v>
      </c>
      <c r="Q788" s="1264"/>
      <c r="R788" s="1264"/>
      <c r="S788" s="1264"/>
      <c r="T788" s="1264"/>
      <c r="U788" s="1264"/>
      <c r="V788" s="1264"/>
      <c r="W788" s="1264"/>
      <c r="X788" s="1264"/>
      <c r="Y788" s="1264"/>
      <c r="Z788" s="1264"/>
    </row>
    <row r="789" spans="1:26" ht="18.75" hidden="1">
      <c r="A789" s="1259"/>
      <c r="B789" s="1242"/>
      <c r="C789" s="1242"/>
      <c r="D789" s="1266" t="s">
        <v>20</v>
      </c>
      <c r="E789" s="1243"/>
      <c r="F789" s="1243"/>
      <c r="G789" s="963"/>
      <c r="H789" s="778" t="s">
        <v>12</v>
      </c>
      <c r="I789" s="944"/>
      <c r="J789" s="944"/>
      <c r="K789" s="945"/>
      <c r="L789" s="831">
        <f t="shared" ref="L789:N789" ca="1" si="323">L790+L791</f>
        <v>0</v>
      </c>
      <c r="M789" s="831">
        <f t="shared" si="323"/>
        <v>0</v>
      </c>
      <c r="N789" s="831">
        <f t="shared" si="323"/>
        <v>0</v>
      </c>
      <c r="O789" s="831">
        <f t="shared" ca="1" si="320"/>
        <v>0</v>
      </c>
      <c r="P789" s="831">
        <f t="shared" si="321"/>
        <v>0</v>
      </c>
      <c r="Q789" s="1244"/>
      <c r="R789" s="1244"/>
      <c r="S789" s="1244"/>
      <c r="T789" s="1244"/>
      <c r="U789" s="1244"/>
      <c r="V789" s="1244"/>
      <c r="W789" s="1244"/>
      <c r="X789" s="1244"/>
      <c r="Y789" s="1244"/>
      <c r="Z789" s="1244"/>
    </row>
    <row r="790" spans="1:26" ht="18.75" hidden="1">
      <c r="A790" s="1260"/>
      <c r="B790" s="1265"/>
      <c r="C790" s="1265"/>
      <c r="D790" s="1274"/>
      <c r="E790" s="1261" t="s">
        <v>184</v>
      </c>
      <c r="F790" s="1261"/>
      <c r="G790" s="1263"/>
      <c r="H790" s="165" t="s">
        <v>12</v>
      </c>
      <c r="I790" s="836"/>
      <c r="J790" s="836"/>
      <c r="K790" s="837"/>
      <c r="L790" s="837">
        <v>0</v>
      </c>
      <c r="M790" s="837">
        <v>0</v>
      </c>
      <c r="N790" s="837">
        <v>0</v>
      </c>
      <c r="O790" s="837">
        <f t="shared" si="320"/>
        <v>0</v>
      </c>
      <c r="P790" s="837">
        <f t="shared" si="321"/>
        <v>0</v>
      </c>
      <c r="Q790" s="1264"/>
      <c r="R790" s="1264"/>
      <c r="S790" s="1264"/>
      <c r="T790" s="1264"/>
      <c r="U790" s="1264"/>
      <c r="V790" s="1264"/>
      <c r="W790" s="1264"/>
      <c r="X790" s="1264"/>
      <c r="Y790" s="1264"/>
      <c r="Z790" s="1264"/>
    </row>
    <row r="791" spans="1:26" ht="18.75" hidden="1">
      <c r="A791" s="1260"/>
      <c r="B791" s="1265"/>
      <c r="C791" s="1265"/>
      <c r="D791" s="1274"/>
      <c r="E791" s="1261" t="s">
        <v>185</v>
      </c>
      <c r="F791" s="1261"/>
      <c r="G791" s="1263"/>
      <c r="H791" s="165" t="s">
        <v>12</v>
      </c>
      <c r="I791" s="836"/>
      <c r="J791" s="836"/>
      <c r="K791" s="837"/>
      <c r="L791" s="837">
        <f ca="1">IFERROR(__xludf.DUMMYFUNCTION("IMPORTRANGE(""https://docs.google.com/spreadsheets/d/1QqKyyYR6Q21VydFLVH3TRQUabQu_ym0Zz7PgGX0-kHA/edit?usp=sharing"",""แผน!JJ25"")"),0)</f>
        <v>0</v>
      </c>
      <c r="M791" s="837">
        <v>0</v>
      </c>
      <c r="N791" s="837">
        <f>N792+N793+N794+N795</f>
        <v>0</v>
      </c>
      <c r="O791" s="837">
        <f t="shared" ca="1" si="320"/>
        <v>0</v>
      </c>
      <c r="P791" s="837">
        <f t="shared" si="321"/>
        <v>0</v>
      </c>
      <c r="Q791" s="1264"/>
      <c r="R791" s="1264"/>
      <c r="S791" s="1264"/>
      <c r="T791" s="1264"/>
      <c r="U791" s="1264"/>
      <c r="V791" s="1264"/>
      <c r="W791" s="1264"/>
      <c r="X791" s="1264"/>
      <c r="Y791" s="1264"/>
      <c r="Z791" s="1264"/>
    </row>
    <row r="792" spans="1:26" ht="18.75" hidden="1">
      <c r="A792" s="1241"/>
      <c r="B792" s="1242"/>
      <c r="C792" s="1243"/>
      <c r="D792" s="1243"/>
      <c r="E792" s="1243"/>
      <c r="F792" s="1243" t="s">
        <v>186</v>
      </c>
      <c r="G792" s="963"/>
      <c r="H792" s="778" t="s">
        <v>12</v>
      </c>
      <c r="I792" s="830"/>
      <c r="J792" s="830"/>
      <c r="K792" s="831"/>
      <c r="L792" s="831"/>
      <c r="M792" s="831"/>
      <c r="N792" s="1031">
        <v>0</v>
      </c>
      <c r="O792" s="831"/>
      <c r="P792" s="831"/>
      <c r="Q792" s="1244"/>
      <c r="R792" s="1244"/>
      <c r="S792" s="1244"/>
      <c r="T792" s="1244"/>
      <c r="U792" s="1244"/>
      <c r="V792" s="1244"/>
      <c r="W792" s="1244"/>
      <c r="X792" s="1244"/>
      <c r="Y792" s="1244"/>
      <c r="Z792" s="1244"/>
    </row>
    <row r="793" spans="1:26" ht="18.75" hidden="1">
      <c r="A793" s="1241"/>
      <c r="B793" s="1242"/>
      <c r="C793" s="1243"/>
      <c r="D793" s="1243"/>
      <c r="E793" s="1243"/>
      <c r="F793" s="1243" t="s">
        <v>187</v>
      </c>
      <c r="G793" s="963"/>
      <c r="H793" s="778" t="s">
        <v>12</v>
      </c>
      <c r="I793" s="830"/>
      <c r="J793" s="830"/>
      <c r="K793" s="831"/>
      <c r="L793" s="831"/>
      <c r="M793" s="831"/>
      <c r="N793" s="1031">
        <v>0</v>
      </c>
      <c r="O793" s="831"/>
      <c r="P793" s="831"/>
      <c r="Q793" s="1244"/>
      <c r="R793" s="1244"/>
      <c r="S793" s="1244"/>
      <c r="T793" s="1244"/>
      <c r="U793" s="1244"/>
      <c r="V793" s="1244"/>
      <c r="W793" s="1244"/>
      <c r="X793" s="1244"/>
      <c r="Y793" s="1244"/>
      <c r="Z793" s="1244"/>
    </row>
    <row r="794" spans="1:26" ht="18.75" hidden="1">
      <c r="A794" s="1241"/>
      <c r="B794" s="1242"/>
      <c r="C794" s="1243"/>
      <c r="D794" s="1243"/>
      <c r="E794" s="1243"/>
      <c r="F794" s="1243" t="s">
        <v>188</v>
      </c>
      <c r="G794" s="963"/>
      <c r="H794" s="778" t="s">
        <v>12</v>
      </c>
      <c r="I794" s="830"/>
      <c r="J794" s="830"/>
      <c r="K794" s="831"/>
      <c r="L794" s="831"/>
      <c r="M794" s="831"/>
      <c r="N794" s="1031">
        <v>0</v>
      </c>
      <c r="O794" s="831"/>
      <c r="P794" s="831"/>
      <c r="Q794" s="1244"/>
      <c r="R794" s="1244"/>
      <c r="S794" s="1244"/>
      <c r="T794" s="1244"/>
      <c r="U794" s="1244"/>
      <c r="V794" s="1244"/>
      <c r="W794" s="1244"/>
      <c r="X794" s="1244"/>
      <c r="Y794" s="1244"/>
      <c r="Z794" s="1244"/>
    </row>
    <row r="795" spans="1:26" ht="18.75" hidden="1">
      <c r="A795" s="1241"/>
      <c r="B795" s="1242"/>
      <c r="C795" s="1243"/>
      <c r="D795" s="1243"/>
      <c r="E795" s="1243"/>
      <c r="F795" s="1243" t="s">
        <v>189</v>
      </c>
      <c r="G795" s="963"/>
      <c r="H795" s="778" t="s">
        <v>12</v>
      </c>
      <c r="I795" s="830"/>
      <c r="J795" s="830"/>
      <c r="K795" s="831"/>
      <c r="L795" s="831"/>
      <c r="M795" s="831"/>
      <c r="N795" s="1031">
        <v>0</v>
      </c>
      <c r="O795" s="831"/>
      <c r="P795" s="831"/>
      <c r="Q795" s="1244"/>
      <c r="R795" s="1244"/>
      <c r="S795" s="1244"/>
      <c r="T795" s="1244"/>
      <c r="U795" s="1244"/>
      <c r="V795" s="1244"/>
      <c r="W795" s="1244"/>
      <c r="X795" s="1244"/>
      <c r="Y795" s="1244"/>
      <c r="Z795" s="1244"/>
    </row>
    <row r="796" spans="1:26" ht="18.75" hidden="1">
      <c r="A796" s="1259"/>
      <c r="B796" s="1242"/>
      <c r="C796" s="1243"/>
      <c r="D796" s="1266" t="s">
        <v>21</v>
      </c>
      <c r="E796" s="1243"/>
      <c r="F796" s="1243"/>
      <c r="G796" s="963"/>
      <c r="H796" s="168" t="s">
        <v>12</v>
      </c>
      <c r="I796" s="944"/>
      <c r="J796" s="944"/>
      <c r="K796" s="945"/>
      <c r="L796" s="831">
        <f t="shared" ref="L796:N796" si="324">L797+L798</f>
        <v>0</v>
      </c>
      <c r="M796" s="831">
        <f t="shared" si="324"/>
        <v>0</v>
      </c>
      <c r="N796" s="831">
        <f t="shared" si="324"/>
        <v>0</v>
      </c>
      <c r="O796" s="831">
        <f t="shared" ref="O796:O798" si="325">IF(L796&gt;0,N796*100/L796,0)</f>
        <v>0</v>
      </c>
      <c r="P796" s="831">
        <f t="shared" ref="P796:P798" si="326">IF(M796&gt;0,N796*100/M796,0)</f>
        <v>0</v>
      </c>
      <c r="Q796" s="1244"/>
      <c r="R796" s="1244"/>
      <c r="S796" s="1244"/>
      <c r="T796" s="1244"/>
      <c r="U796" s="1244"/>
      <c r="V796" s="1244"/>
      <c r="W796" s="1244"/>
      <c r="X796" s="1244"/>
      <c r="Y796" s="1244"/>
      <c r="Z796" s="1244"/>
    </row>
    <row r="797" spans="1:26" ht="18.75" hidden="1">
      <c r="A797" s="1260"/>
      <c r="B797" s="1265"/>
      <c r="C797" s="1261"/>
      <c r="D797" s="1261"/>
      <c r="E797" s="1261" t="s">
        <v>18</v>
      </c>
      <c r="F797" s="1261"/>
      <c r="G797" s="1263"/>
      <c r="H797" s="165" t="s">
        <v>12</v>
      </c>
      <c r="I797" s="947"/>
      <c r="J797" s="947"/>
      <c r="K797" s="948"/>
      <c r="L797" s="837">
        <v>0</v>
      </c>
      <c r="M797" s="837">
        <v>0</v>
      </c>
      <c r="N797" s="837">
        <v>0</v>
      </c>
      <c r="O797" s="837">
        <f t="shared" si="325"/>
        <v>0</v>
      </c>
      <c r="P797" s="837">
        <f t="shared" si="326"/>
        <v>0</v>
      </c>
      <c r="Q797" s="1264"/>
      <c r="R797" s="1264"/>
      <c r="S797" s="1264"/>
      <c r="T797" s="1264"/>
      <c r="U797" s="1264"/>
      <c r="V797" s="1264"/>
      <c r="W797" s="1264"/>
      <c r="X797" s="1264"/>
      <c r="Y797" s="1264"/>
      <c r="Z797" s="1264"/>
    </row>
    <row r="798" spans="1:26" ht="18.75" hidden="1">
      <c r="A798" s="1260"/>
      <c r="B798" s="1265"/>
      <c r="C798" s="1261"/>
      <c r="D798" s="1261"/>
      <c r="E798" s="1261" t="s">
        <v>19</v>
      </c>
      <c r="F798" s="1261"/>
      <c r="G798" s="1263"/>
      <c r="H798" s="169" t="s">
        <v>12</v>
      </c>
      <c r="I798" s="947"/>
      <c r="J798" s="947"/>
      <c r="K798" s="948"/>
      <c r="L798" s="837">
        <v>0</v>
      </c>
      <c r="M798" s="837">
        <v>0</v>
      </c>
      <c r="N798" s="837">
        <v>0</v>
      </c>
      <c r="O798" s="837">
        <f t="shared" si="325"/>
        <v>0</v>
      </c>
      <c r="P798" s="837">
        <f t="shared" si="326"/>
        <v>0</v>
      </c>
      <c r="Q798" s="1264"/>
      <c r="R798" s="1264"/>
      <c r="S798" s="1264"/>
      <c r="T798" s="1264"/>
      <c r="U798" s="1264"/>
      <c r="V798" s="1264"/>
      <c r="W798" s="1264"/>
      <c r="X798" s="1264"/>
      <c r="Y798" s="1264"/>
      <c r="Z798" s="1264"/>
    </row>
    <row r="799" spans="1:26" ht="19.5" hidden="1">
      <c r="A799" s="1267"/>
      <c r="B799" s="1268"/>
      <c r="C799" s="1243" t="s">
        <v>16</v>
      </c>
      <c r="D799" s="1378" t="s">
        <v>38</v>
      </c>
      <c r="E799" s="1271"/>
      <c r="F799" s="1271"/>
      <c r="G799" s="1272"/>
      <c r="H799" s="1413"/>
      <c r="I799" s="944"/>
      <c r="J799" s="944"/>
      <c r="K799" s="945"/>
      <c r="L799" s="945"/>
      <c r="M799" s="945"/>
      <c r="N799" s="945"/>
      <c r="O799" s="945"/>
      <c r="P799" s="945"/>
      <c r="Q799" s="1244"/>
      <c r="R799" s="1244"/>
      <c r="S799" s="1244"/>
      <c r="T799" s="1244"/>
      <c r="U799" s="1244"/>
      <c r="V799" s="1244"/>
      <c r="W799" s="1244"/>
      <c r="X799" s="1244"/>
      <c r="Y799" s="1244"/>
      <c r="Z799" s="1244"/>
    </row>
    <row r="800" spans="1:26" ht="18.75" hidden="1">
      <c r="A800" s="1267"/>
      <c r="B800" s="1268"/>
      <c r="C800" s="1268"/>
      <c r="D800" s="1268"/>
      <c r="E800" s="961"/>
      <c r="F800" s="961" t="s">
        <v>320</v>
      </c>
      <c r="G800" s="954"/>
      <c r="H800" s="777" t="s">
        <v>46</v>
      </c>
      <c r="I800" s="944">
        <f ca="1">IFERROR(__xludf.DUMMYFUNCTION("IMPORTRANGE(""https://docs.google.com/spreadsheets/d/1QqKyyYR6Q21VydFLVH3TRQUabQu_ym0Zz7PgGX0-kHA/edit?usp=sharing"",""แผน!JN25"")"),0)</f>
        <v>0</v>
      </c>
      <c r="J800" s="944">
        <f ca="1">IFERROR(__xludf.DUMMYFUNCTION("IMPORTRANGE(""https://docs.google.com/spreadsheets/d/1MaWodYyGHDf7siQLGxnXhG4mBNTNIuy296niS2xXulU/edit?usp=sharing"",""RTK!H25"")"),0)</f>
        <v>0</v>
      </c>
      <c r="K800" s="831">
        <f ca="1">IF(I800&gt;0,J800*100/I800,0)</f>
        <v>0</v>
      </c>
      <c r="L800" s="831"/>
      <c r="M800" s="831"/>
      <c r="N800" s="831"/>
      <c r="O800" s="945"/>
      <c r="P800" s="945"/>
      <c r="Q800" s="1244"/>
      <c r="R800" s="1244"/>
      <c r="S800" s="1244"/>
      <c r="T800" s="1244"/>
      <c r="U800" s="1244"/>
      <c r="V800" s="1244"/>
      <c r="W800" s="1244"/>
      <c r="X800" s="1244"/>
      <c r="Y800" s="1244"/>
      <c r="Z800" s="1244"/>
    </row>
    <row r="801" spans="1:26" ht="18.75" hidden="1">
      <c r="A801" s="1267"/>
      <c r="B801" s="1268"/>
      <c r="C801" s="1268"/>
      <c r="D801" s="1268"/>
      <c r="E801" s="961"/>
      <c r="F801" s="961"/>
      <c r="G801" s="954"/>
      <c r="H801" s="778" t="s">
        <v>34</v>
      </c>
      <c r="I801" s="944"/>
      <c r="J801" s="830">
        <f ca="1">IFERROR(__xludf.DUMMYFUNCTION("IMPORTRANGE(""https://docs.google.com/spreadsheets/d/1MaWodYyGHDf7siQLGxnXhG4mBNTNIuy296niS2xXulU/edit?usp=sharing"",""RTK!I25"")"),0)</f>
        <v>0</v>
      </c>
      <c r="K801" s="831"/>
      <c r="L801" s="831"/>
      <c r="M801" s="831"/>
      <c r="N801" s="831"/>
      <c r="O801" s="945"/>
      <c r="P801" s="945"/>
      <c r="Q801" s="1244"/>
      <c r="R801" s="1244"/>
      <c r="S801" s="1244"/>
      <c r="T801" s="1244"/>
      <c r="U801" s="1244"/>
      <c r="V801" s="1244"/>
      <c r="W801" s="1244"/>
      <c r="X801" s="1244"/>
      <c r="Y801" s="1244"/>
      <c r="Z801" s="1244"/>
    </row>
    <row r="802" spans="1:26" ht="18.75" hidden="1">
      <c r="A802" s="1273"/>
      <c r="B802" s="1274"/>
      <c r="C802" s="1274"/>
      <c r="D802" s="1274"/>
      <c r="E802" s="1262"/>
      <c r="F802" s="1262" t="s">
        <v>321</v>
      </c>
      <c r="G802" s="1060"/>
      <c r="H802" s="619" t="s">
        <v>46</v>
      </c>
      <c r="I802" s="947"/>
      <c r="J802" s="836"/>
      <c r="K802" s="948">
        <f>IF(I802&gt;0,J802*100/I802,0)</f>
        <v>0</v>
      </c>
      <c r="L802" s="948"/>
      <c r="M802" s="948"/>
      <c r="N802" s="948"/>
      <c r="O802" s="948"/>
      <c r="P802" s="948"/>
      <c r="Q802" s="1264"/>
      <c r="R802" s="1264"/>
      <c r="S802" s="1264"/>
      <c r="T802" s="1264"/>
      <c r="U802" s="1264"/>
      <c r="V802" s="1264"/>
      <c r="W802" s="1264"/>
      <c r="X802" s="1264"/>
      <c r="Y802" s="1264"/>
      <c r="Z802" s="1264"/>
    </row>
    <row r="803" spans="1:26" ht="18.75" hidden="1">
      <c r="A803" s="1273"/>
      <c r="B803" s="1274"/>
      <c r="C803" s="1274"/>
      <c r="D803" s="1274"/>
      <c r="E803" s="1262"/>
      <c r="F803" s="1262"/>
      <c r="G803" s="1060"/>
      <c r="H803" s="619" t="s">
        <v>34</v>
      </c>
      <c r="I803" s="947"/>
      <c r="J803" s="836"/>
      <c r="K803" s="948"/>
      <c r="L803" s="948"/>
      <c r="M803" s="948"/>
      <c r="N803" s="948"/>
      <c r="O803" s="948"/>
      <c r="P803" s="948"/>
      <c r="Q803" s="1264"/>
      <c r="R803" s="1264"/>
      <c r="S803" s="1264"/>
      <c r="T803" s="1264"/>
      <c r="U803" s="1264"/>
      <c r="V803" s="1264"/>
      <c r="W803" s="1264"/>
      <c r="X803" s="1264"/>
      <c r="Y803" s="1264"/>
      <c r="Z803" s="1264"/>
    </row>
    <row r="804" spans="1:26" ht="19.5" hidden="1">
      <c r="A804" s="759">
        <v>13</v>
      </c>
      <c r="B804" s="1400" t="s">
        <v>322</v>
      </c>
      <c r="C804" s="1401"/>
      <c r="D804" s="1419"/>
      <c r="E804" s="1401"/>
      <c r="F804" s="1401"/>
      <c r="G804" s="1402"/>
      <c r="H804" s="763" t="s">
        <v>46</v>
      </c>
      <c r="I804" s="1403"/>
      <c r="J804" s="1403">
        <f>J819</f>
        <v>0</v>
      </c>
      <c r="K804" s="1404">
        <f>IF(I804&gt;0,J804*100/I804,0)</f>
        <v>0</v>
      </c>
      <c r="L804" s="1405"/>
      <c r="M804" s="1405"/>
      <c r="N804" s="1405"/>
      <c r="O804" s="1405"/>
      <c r="P804" s="1405"/>
      <c r="Q804" s="1264"/>
      <c r="R804" s="1264"/>
      <c r="S804" s="1264"/>
      <c r="T804" s="1264"/>
      <c r="U804" s="1264"/>
      <c r="V804" s="1264"/>
      <c r="W804" s="1264"/>
      <c r="X804" s="1264"/>
      <c r="Y804" s="1264"/>
      <c r="Z804" s="1264"/>
    </row>
    <row r="805" spans="1:26" ht="19.5" hidden="1">
      <c r="A805" s="1260"/>
      <c r="B805" s="1261"/>
      <c r="C805" s="1261" t="s">
        <v>16</v>
      </c>
      <c r="D805" s="1508" t="s">
        <v>17</v>
      </c>
      <c r="E805" s="1485"/>
      <c r="F805" s="1485"/>
      <c r="G805" s="1263"/>
      <c r="H805" s="612" t="s">
        <v>12</v>
      </c>
      <c r="I805" s="836"/>
      <c r="J805" s="836"/>
      <c r="K805" s="837"/>
      <c r="L805" s="1292">
        <f t="shared" ref="L805:N805" si="327">L806+L807</f>
        <v>0</v>
      </c>
      <c r="M805" s="1292">
        <f t="shared" si="327"/>
        <v>0</v>
      </c>
      <c r="N805" s="1292">
        <f t="shared" si="327"/>
        <v>0</v>
      </c>
      <c r="O805" s="1292">
        <f t="shared" ref="O805:O810" si="328">IF(L805&gt;0,N805*100/L805,0)</f>
        <v>0</v>
      </c>
      <c r="P805" s="1292">
        <f t="shared" ref="P805:P810" si="329">IF(M805&gt;0,N805*100/M805,0)</f>
        <v>0</v>
      </c>
      <c r="Q805" s="1264"/>
      <c r="R805" s="1264"/>
      <c r="S805" s="1264"/>
      <c r="T805" s="1264"/>
      <c r="U805" s="1264"/>
      <c r="V805" s="1264"/>
      <c r="W805" s="1264"/>
      <c r="X805" s="1264"/>
      <c r="Y805" s="1264"/>
      <c r="Z805" s="1264"/>
    </row>
    <row r="806" spans="1:26" ht="18.75" hidden="1">
      <c r="A806" s="1260"/>
      <c r="B806" s="1261"/>
      <c r="C806" s="1261"/>
      <c r="D806" s="1274"/>
      <c r="E806" s="1261" t="s">
        <v>184</v>
      </c>
      <c r="F806" s="1261"/>
      <c r="G806" s="1263"/>
      <c r="H806" s="165" t="s">
        <v>12</v>
      </c>
      <c r="I806" s="836"/>
      <c r="J806" s="836"/>
      <c r="K806" s="837"/>
      <c r="L806" s="837">
        <f t="shared" ref="L806:N807" si="330">L809+L816</f>
        <v>0</v>
      </c>
      <c r="M806" s="837">
        <f t="shared" si="330"/>
        <v>0</v>
      </c>
      <c r="N806" s="837">
        <f t="shared" si="330"/>
        <v>0</v>
      </c>
      <c r="O806" s="837">
        <f t="shared" si="328"/>
        <v>0</v>
      </c>
      <c r="P806" s="837">
        <f t="shared" si="329"/>
        <v>0</v>
      </c>
      <c r="Q806" s="1264"/>
      <c r="R806" s="1264"/>
      <c r="S806" s="1264"/>
      <c r="T806" s="1264"/>
      <c r="U806" s="1264"/>
      <c r="V806" s="1264"/>
      <c r="W806" s="1264"/>
      <c r="X806" s="1264"/>
      <c r="Y806" s="1264"/>
      <c r="Z806" s="1264"/>
    </row>
    <row r="807" spans="1:26" ht="18.75" hidden="1">
      <c r="A807" s="1260"/>
      <c r="B807" s="1261"/>
      <c r="C807" s="1261"/>
      <c r="D807" s="1274"/>
      <c r="E807" s="1261" t="s">
        <v>185</v>
      </c>
      <c r="F807" s="1261"/>
      <c r="G807" s="1263"/>
      <c r="H807" s="165" t="s">
        <v>12</v>
      </c>
      <c r="I807" s="836"/>
      <c r="J807" s="836"/>
      <c r="K807" s="837"/>
      <c r="L807" s="837">
        <f t="shared" si="330"/>
        <v>0</v>
      </c>
      <c r="M807" s="837">
        <f t="shared" si="330"/>
        <v>0</v>
      </c>
      <c r="N807" s="837">
        <f t="shared" si="330"/>
        <v>0</v>
      </c>
      <c r="O807" s="837">
        <f t="shared" si="328"/>
        <v>0</v>
      </c>
      <c r="P807" s="837">
        <f t="shared" si="329"/>
        <v>0</v>
      </c>
      <c r="Q807" s="1264"/>
      <c r="R807" s="1264"/>
      <c r="S807" s="1264"/>
      <c r="T807" s="1264"/>
      <c r="U807" s="1264"/>
      <c r="V807" s="1264"/>
      <c r="W807" s="1264"/>
      <c r="X807" s="1264"/>
      <c r="Y807" s="1264"/>
      <c r="Z807" s="1264"/>
    </row>
    <row r="808" spans="1:26" ht="19.5" hidden="1">
      <c r="A808" s="1260"/>
      <c r="B808" s="1265"/>
      <c r="C808" s="1261"/>
      <c r="D808" s="1509" t="s">
        <v>20</v>
      </c>
      <c r="E808" s="1485"/>
      <c r="F808" s="1485"/>
      <c r="G808" s="1263"/>
      <c r="H808" s="612" t="s">
        <v>12</v>
      </c>
      <c r="I808" s="947"/>
      <c r="J808" s="947"/>
      <c r="K808" s="948"/>
      <c r="L808" s="1292">
        <f t="shared" ref="L808:N808" si="331">L809+L810</f>
        <v>0</v>
      </c>
      <c r="M808" s="1292">
        <f t="shared" si="331"/>
        <v>0</v>
      </c>
      <c r="N808" s="1292">
        <f t="shared" si="331"/>
        <v>0</v>
      </c>
      <c r="O808" s="1292">
        <f t="shared" si="328"/>
        <v>0</v>
      </c>
      <c r="P808" s="1292">
        <f t="shared" si="329"/>
        <v>0</v>
      </c>
      <c r="Q808" s="1264"/>
      <c r="R808" s="1264"/>
      <c r="S808" s="1264"/>
      <c r="T808" s="1264"/>
      <c r="U808" s="1264"/>
      <c r="V808" s="1264"/>
      <c r="W808" s="1264"/>
      <c r="X808" s="1264"/>
      <c r="Y808" s="1264"/>
      <c r="Z808" s="1264"/>
    </row>
    <row r="809" spans="1:26" ht="18.75" hidden="1">
      <c r="A809" s="1260"/>
      <c r="B809" s="1261"/>
      <c r="C809" s="1261"/>
      <c r="D809" s="1274"/>
      <c r="E809" s="1261" t="s">
        <v>184</v>
      </c>
      <c r="F809" s="1261"/>
      <c r="G809" s="1263"/>
      <c r="H809" s="165" t="s">
        <v>12</v>
      </c>
      <c r="I809" s="836"/>
      <c r="J809" s="836"/>
      <c r="K809" s="837"/>
      <c r="L809" s="837">
        <v>0</v>
      </c>
      <c r="M809" s="837">
        <v>0</v>
      </c>
      <c r="N809" s="837">
        <v>0</v>
      </c>
      <c r="O809" s="837">
        <f t="shared" si="328"/>
        <v>0</v>
      </c>
      <c r="P809" s="837">
        <f t="shared" si="329"/>
        <v>0</v>
      </c>
      <c r="Q809" s="1264"/>
      <c r="R809" s="1264"/>
      <c r="S809" s="1264"/>
      <c r="T809" s="1264"/>
      <c r="U809" s="1264"/>
      <c r="V809" s="1264"/>
      <c r="W809" s="1264"/>
      <c r="X809" s="1264"/>
      <c r="Y809" s="1264"/>
      <c r="Z809" s="1264"/>
    </row>
    <row r="810" spans="1:26" ht="18.75" hidden="1">
      <c r="A810" s="1260"/>
      <c r="B810" s="1261"/>
      <c r="C810" s="1261"/>
      <c r="D810" s="1274"/>
      <c r="E810" s="1261" t="s">
        <v>185</v>
      </c>
      <c r="F810" s="1261"/>
      <c r="G810" s="1263"/>
      <c r="H810" s="165" t="s">
        <v>12</v>
      </c>
      <c r="I810" s="836"/>
      <c r="J810" s="836"/>
      <c r="K810" s="837"/>
      <c r="L810" s="837">
        <v>0</v>
      </c>
      <c r="M810" s="837">
        <v>0</v>
      </c>
      <c r="N810" s="837">
        <f>N811+N812+N813+N814</f>
        <v>0</v>
      </c>
      <c r="O810" s="837">
        <f t="shared" si="328"/>
        <v>0</v>
      </c>
      <c r="P810" s="837">
        <f t="shared" si="329"/>
        <v>0</v>
      </c>
      <c r="Q810" s="1264"/>
      <c r="R810" s="1264"/>
      <c r="S810" s="1264"/>
      <c r="T810" s="1264"/>
      <c r="U810" s="1264"/>
      <c r="V810" s="1264"/>
      <c r="W810" s="1264"/>
      <c r="X810" s="1264"/>
      <c r="Y810" s="1264"/>
      <c r="Z810" s="1264"/>
    </row>
    <row r="811" spans="1:26" ht="18.75" hidden="1">
      <c r="A811" s="1294"/>
      <c r="B811" s="1265"/>
      <c r="C811" s="1261"/>
      <c r="D811" s="1265"/>
      <c r="E811" s="1261"/>
      <c r="F811" s="1261" t="s">
        <v>186</v>
      </c>
      <c r="G811" s="1263"/>
      <c r="H811" s="165" t="s">
        <v>12</v>
      </c>
      <c r="I811" s="836"/>
      <c r="J811" s="836"/>
      <c r="K811" s="837"/>
      <c r="L811" s="837"/>
      <c r="M811" s="837"/>
      <c r="N811" s="837"/>
      <c r="O811" s="837"/>
      <c r="P811" s="837"/>
      <c r="Q811" s="1264"/>
      <c r="R811" s="1264"/>
      <c r="S811" s="1264"/>
      <c r="T811" s="1264"/>
      <c r="U811" s="1264"/>
      <c r="V811" s="1264"/>
      <c r="W811" s="1264"/>
      <c r="X811" s="1264"/>
      <c r="Y811" s="1264"/>
      <c r="Z811" s="1264"/>
    </row>
    <row r="812" spans="1:26" ht="18.75" hidden="1">
      <c r="A812" s="1294"/>
      <c r="B812" s="1265"/>
      <c r="C812" s="1261"/>
      <c r="D812" s="1265"/>
      <c r="E812" s="1261"/>
      <c r="F812" s="1261" t="s">
        <v>187</v>
      </c>
      <c r="G812" s="1263"/>
      <c r="H812" s="165" t="s">
        <v>12</v>
      </c>
      <c r="I812" s="836"/>
      <c r="J812" s="836"/>
      <c r="K812" s="837"/>
      <c r="L812" s="837"/>
      <c r="M812" s="837"/>
      <c r="N812" s="837"/>
      <c r="O812" s="837"/>
      <c r="P812" s="837"/>
      <c r="Q812" s="1264"/>
      <c r="R812" s="1264"/>
      <c r="S812" s="1264"/>
      <c r="T812" s="1264"/>
      <c r="U812" s="1264"/>
      <c r="V812" s="1264"/>
      <c r="W812" s="1264"/>
      <c r="X812" s="1264"/>
      <c r="Y812" s="1264"/>
      <c r="Z812" s="1264"/>
    </row>
    <row r="813" spans="1:26" ht="18.75" hidden="1">
      <c r="A813" s="1294"/>
      <c r="B813" s="1265"/>
      <c r="C813" s="1261"/>
      <c r="D813" s="1265"/>
      <c r="E813" s="1261"/>
      <c r="F813" s="1261" t="s">
        <v>188</v>
      </c>
      <c r="G813" s="1263"/>
      <c r="H813" s="165" t="s">
        <v>12</v>
      </c>
      <c r="I813" s="836"/>
      <c r="J813" s="836"/>
      <c r="K813" s="837"/>
      <c r="L813" s="837"/>
      <c r="M813" s="837"/>
      <c r="N813" s="837"/>
      <c r="O813" s="837"/>
      <c r="P813" s="837"/>
      <c r="Q813" s="1264"/>
      <c r="R813" s="1264"/>
      <c r="S813" s="1264"/>
      <c r="T813" s="1264"/>
      <c r="U813" s="1264"/>
      <c r="V813" s="1264"/>
      <c r="W813" s="1264"/>
      <c r="X813" s="1264"/>
      <c r="Y813" s="1264"/>
      <c r="Z813" s="1264"/>
    </row>
    <row r="814" spans="1:26" ht="18.75" hidden="1">
      <c r="A814" s="1294"/>
      <c r="B814" s="1265"/>
      <c r="C814" s="1261"/>
      <c r="D814" s="1265"/>
      <c r="E814" s="1261"/>
      <c r="F814" s="1261" t="s">
        <v>189</v>
      </c>
      <c r="G814" s="1263"/>
      <c r="H814" s="165" t="s">
        <v>12</v>
      </c>
      <c r="I814" s="836"/>
      <c r="J814" s="836"/>
      <c r="K814" s="837"/>
      <c r="L814" s="837"/>
      <c r="M814" s="837"/>
      <c r="N814" s="837"/>
      <c r="O814" s="837"/>
      <c r="P814" s="837"/>
      <c r="Q814" s="1264"/>
      <c r="R814" s="1264"/>
      <c r="S814" s="1264"/>
      <c r="T814" s="1264"/>
      <c r="U814" s="1264"/>
      <c r="V814" s="1264"/>
      <c r="W814" s="1264"/>
      <c r="X814" s="1264"/>
      <c r="Y814" s="1264"/>
      <c r="Z814" s="1264"/>
    </row>
    <row r="815" spans="1:26" ht="19.5" hidden="1">
      <c r="A815" s="1260"/>
      <c r="B815" s="1265"/>
      <c r="C815" s="1261"/>
      <c r="D815" s="1509" t="s">
        <v>21</v>
      </c>
      <c r="E815" s="1485"/>
      <c r="F815" s="1485"/>
      <c r="G815" s="1263"/>
      <c r="H815" s="749" t="s">
        <v>12</v>
      </c>
      <c r="I815" s="947"/>
      <c r="J815" s="947"/>
      <c r="K815" s="948"/>
      <c r="L815" s="1292">
        <f t="shared" ref="L815:N815" si="332">L816+L817</f>
        <v>0</v>
      </c>
      <c r="M815" s="1292">
        <f t="shared" si="332"/>
        <v>0</v>
      </c>
      <c r="N815" s="1292">
        <f t="shared" si="332"/>
        <v>0</v>
      </c>
      <c r="O815" s="1292">
        <f t="shared" ref="O815:O817" si="333">IF(L815&gt;0,N815*100/L815,0)</f>
        <v>0</v>
      </c>
      <c r="P815" s="1292">
        <f t="shared" ref="P815:P817" si="334">IF(M815&gt;0,N815*100/M815,0)</f>
        <v>0</v>
      </c>
      <c r="Q815" s="1264"/>
      <c r="R815" s="1264"/>
      <c r="S815" s="1264"/>
      <c r="T815" s="1264"/>
      <c r="U815" s="1264"/>
      <c r="V815" s="1264"/>
      <c r="W815" s="1264"/>
      <c r="X815" s="1264"/>
      <c r="Y815" s="1264"/>
      <c r="Z815" s="1264"/>
    </row>
    <row r="816" spans="1:26" ht="18.75" hidden="1">
      <c r="A816" s="1260"/>
      <c r="B816" s="1265"/>
      <c r="C816" s="1261"/>
      <c r="D816" s="1265"/>
      <c r="E816" s="1261" t="s">
        <v>18</v>
      </c>
      <c r="F816" s="1261"/>
      <c r="G816" s="1263"/>
      <c r="H816" s="165" t="s">
        <v>12</v>
      </c>
      <c r="I816" s="947"/>
      <c r="J816" s="947"/>
      <c r="K816" s="948"/>
      <c r="L816" s="837">
        <v>0</v>
      </c>
      <c r="M816" s="837">
        <v>0</v>
      </c>
      <c r="N816" s="837">
        <v>0</v>
      </c>
      <c r="O816" s="837">
        <f t="shared" si="333"/>
        <v>0</v>
      </c>
      <c r="P816" s="837">
        <f t="shared" si="334"/>
        <v>0</v>
      </c>
      <c r="Q816" s="1264"/>
      <c r="R816" s="1264"/>
      <c r="S816" s="1264"/>
      <c r="T816" s="1264"/>
      <c r="U816" s="1264"/>
      <c r="V816" s="1264"/>
      <c r="W816" s="1264"/>
      <c r="X816" s="1264"/>
      <c r="Y816" s="1264"/>
      <c r="Z816" s="1264"/>
    </row>
    <row r="817" spans="1:26" ht="18.75" hidden="1">
      <c r="A817" s="1260"/>
      <c r="B817" s="1265"/>
      <c r="C817" s="1261"/>
      <c r="D817" s="1265"/>
      <c r="E817" s="1261" t="s">
        <v>19</v>
      </c>
      <c r="F817" s="1261"/>
      <c r="G817" s="1263"/>
      <c r="H817" s="169" t="s">
        <v>12</v>
      </c>
      <c r="I817" s="947"/>
      <c r="J817" s="947"/>
      <c r="K817" s="948"/>
      <c r="L817" s="837">
        <v>0</v>
      </c>
      <c r="M817" s="837">
        <v>0</v>
      </c>
      <c r="N817" s="837">
        <v>0</v>
      </c>
      <c r="O817" s="837">
        <f t="shared" si="333"/>
        <v>0</v>
      </c>
      <c r="P817" s="837">
        <f t="shared" si="334"/>
        <v>0</v>
      </c>
      <c r="Q817" s="1264"/>
      <c r="R817" s="1264"/>
      <c r="S817" s="1264"/>
      <c r="T817" s="1264"/>
      <c r="U817" s="1264"/>
      <c r="V817" s="1264"/>
      <c r="W817" s="1264"/>
      <c r="X817" s="1264"/>
      <c r="Y817" s="1264"/>
      <c r="Z817" s="1264"/>
    </row>
    <row r="818" spans="1:26" ht="19.5" hidden="1">
      <c r="A818" s="1273"/>
      <c r="B818" s="1274"/>
      <c r="C818" s="1261" t="s">
        <v>16</v>
      </c>
      <c r="D818" s="1420" t="s">
        <v>38</v>
      </c>
      <c r="E818" s="1296"/>
      <c r="F818" s="1296"/>
      <c r="G818" s="1297"/>
      <c r="H818" s="1060"/>
      <c r="I818" s="947"/>
      <c r="J818" s="947"/>
      <c r="K818" s="948"/>
      <c r="L818" s="948"/>
      <c r="M818" s="948"/>
      <c r="N818" s="948"/>
      <c r="O818" s="948"/>
      <c r="P818" s="948"/>
      <c r="Q818" s="1264"/>
      <c r="R818" s="1264"/>
      <c r="S818" s="1264"/>
      <c r="T818" s="1264"/>
      <c r="U818" s="1264"/>
      <c r="V818" s="1264"/>
      <c r="W818" s="1264"/>
      <c r="X818" s="1264"/>
      <c r="Y818" s="1264"/>
      <c r="Z818" s="1264"/>
    </row>
    <row r="819" spans="1:26" ht="19.5" hidden="1" thickBot="1">
      <c r="A819" s="1421"/>
      <c r="B819" s="1422"/>
      <c r="C819" s="1423"/>
      <c r="D819" s="1422"/>
      <c r="E819" s="1423" t="s">
        <v>323</v>
      </c>
      <c r="F819" s="1423"/>
      <c r="G819" s="1424"/>
      <c r="H819" s="792" t="s">
        <v>46</v>
      </c>
      <c r="I819" s="1425"/>
      <c r="J819" s="1425"/>
      <c r="K819" s="1426"/>
      <c r="L819" s="1426"/>
      <c r="M819" s="1426"/>
      <c r="N819" s="1426"/>
      <c r="O819" s="1426"/>
      <c r="P819" s="1426"/>
      <c r="Q819" s="1264"/>
      <c r="R819" s="1264"/>
      <c r="S819" s="1264"/>
      <c r="T819" s="1264"/>
      <c r="U819" s="1264"/>
      <c r="V819" s="1264"/>
      <c r="W819" s="1264"/>
      <c r="X819" s="1264"/>
      <c r="Y819" s="1264"/>
      <c r="Z819" s="1264"/>
    </row>
    <row r="820" spans="1:26" ht="19.5">
      <c r="A820" s="1427" t="s">
        <v>333</v>
      </c>
      <c r="B820" s="1428"/>
      <c r="C820" s="1428"/>
      <c r="D820" s="1429"/>
      <c r="E820" s="1428"/>
      <c r="F820" s="1428"/>
      <c r="G820" s="1430"/>
      <c r="H820" s="1430"/>
      <c r="I820" s="1432"/>
      <c r="J820" s="1432"/>
      <c r="K820" s="1433"/>
      <c r="L820" s="1433"/>
      <c r="M820" s="1433"/>
      <c r="N820" s="1433"/>
      <c r="O820" s="1433"/>
      <c r="P820" s="1433"/>
      <c r="Q820" s="1244"/>
      <c r="R820" s="1244"/>
      <c r="S820" s="1244"/>
      <c r="T820" s="1244"/>
      <c r="U820" s="1244"/>
      <c r="V820" s="1244"/>
      <c r="W820" s="1244"/>
      <c r="X820" s="1244"/>
      <c r="Y820" s="1244"/>
      <c r="Z820" s="1244"/>
    </row>
    <row r="821" spans="1:26" ht="18.75">
      <c r="A821" s="1368"/>
      <c r="B821" s="1243" t="s">
        <v>325</v>
      </c>
      <c r="C821" s="1243"/>
      <c r="D821" s="1242"/>
      <c r="E821" s="1243"/>
      <c r="F821" s="1243"/>
      <c r="G821" s="963"/>
      <c r="H821" s="590" t="s">
        <v>12</v>
      </c>
      <c r="I821" s="830">
        <f ca="1">IFERROR(__xludf.DUMMYFUNCTION("IMPORTRANGE(""https://docs.google.com/spreadsheets/d/19vJNZY_5yjcGF2XGBMNZRCAIB0Kwfpjp8YEOfu-bneM/edit?usp=sharing"",""งานกองทุน!D25"")"),974996.7)</f>
        <v>974996.7</v>
      </c>
      <c r="J821" s="830">
        <f ca="1">IFERROR(__xludf.DUMMYFUNCTION("IMPORTRANGE(""https://docs.google.com/spreadsheets/d/19vJNZY_5yjcGF2XGBMNZRCAIB0Kwfpjp8YEOfu-bneM/edit?usp=sharing"",""งานกองทุน!F25"")"),532466.28)</f>
        <v>532466.28</v>
      </c>
      <c r="K821" s="831">
        <f t="shared" ref="K821:K828" ca="1" si="335">IF(I821&gt;0,J821*100/I821,0)</f>
        <v>54.612110994837217</v>
      </c>
      <c r="L821" s="831"/>
      <c r="M821" s="831"/>
      <c r="N821" s="831"/>
      <c r="O821" s="831"/>
      <c r="P821" s="831"/>
      <c r="Q821" s="1244"/>
      <c r="R821" s="1244"/>
      <c r="S821" s="1244"/>
      <c r="T821" s="1244"/>
      <c r="U821" s="1244"/>
      <c r="V821" s="1244"/>
      <c r="W821" s="1244"/>
      <c r="X821" s="1244"/>
      <c r="Y821" s="1244"/>
      <c r="Z821" s="1244"/>
    </row>
    <row r="822" spans="1:26" ht="18.75">
      <c r="A822" s="1368"/>
      <c r="B822" s="1243"/>
      <c r="C822" s="1243"/>
      <c r="D822" s="1242"/>
      <c r="E822" s="1243"/>
      <c r="F822" s="1243"/>
      <c r="G822" s="963"/>
      <c r="H822" s="590" t="s">
        <v>35</v>
      </c>
      <c r="I822" s="830">
        <f ca="1">IFERROR(__xludf.DUMMYFUNCTION("IMPORTRANGE(""https://docs.google.com/spreadsheets/d/19vJNZY_5yjcGF2XGBMNZRCAIB0Kwfpjp8YEOfu-bneM/edit?usp=sharing"",""งานกองทุน!C25"")"),97)</f>
        <v>97</v>
      </c>
      <c r="J822" s="830">
        <f ca="1">IFERROR(__xludf.DUMMYFUNCTION("IMPORTRANGE(""https://docs.google.com/spreadsheets/d/19vJNZY_5yjcGF2XGBMNZRCAIB0Kwfpjp8YEOfu-bneM/edit?usp=sharing"",""งานกองทุน!E25"")"),56)</f>
        <v>56</v>
      </c>
      <c r="K822" s="831">
        <f t="shared" ca="1" si="335"/>
        <v>57.731958762886599</v>
      </c>
      <c r="L822" s="831"/>
      <c r="M822" s="831"/>
      <c r="N822" s="831"/>
      <c r="O822" s="831"/>
      <c r="P822" s="831"/>
      <c r="Q822" s="1244"/>
      <c r="R822" s="1244"/>
      <c r="S822" s="1244"/>
      <c r="T822" s="1244"/>
      <c r="U822" s="1244"/>
      <c r="V822" s="1244"/>
      <c r="W822" s="1244"/>
      <c r="X822" s="1244"/>
      <c r="Y822" s="1244"/>
      <c r="Z822" s="1244"/>
    </row>
    <row r="823" spans="1:26" ht="18.75">
      <c r="A823" s="1368"/>
      <c r="B823" s="1243" t="s">
        <v>326</v>
      </c>
      <c r="C823" s="1243"/>
      <c r="D823" s="1242"/>
      <c r="E823" s="1243"/>
      <c r="F823" s="1243"/>
      <c r="G823" s="963"/>
      <c r="H823" s="590" t="s">
        <v>12</v>
      </c>
      <c r="I823" s="830">
        <f ca="1">IFERROR(__xludf.DUMMYFUNCTION("IMPORTRANGE(""https://docs.google.com/spreadsheets/d/19vJNZY_5yjcGF2XGBMNZRCAIB0Kwfpjp8YEOfu-bneM/edit?usp=sharing"",""งานกองทุน!I25"")"),220791)</f>
        <v>220791</v>
      </c>
      <c r="J823" s="830">
        <f ca="1">IFERROR(__xludf.DUMMYFUNCTION("IMPORTRANGE(""https://docs.google.com/spreadsheets/d/19vJNZY_5yjcGF2XGBMNZRCAIB0Kwfpjp8YEOfu-bneM/edit?usp=sharing"",""งานกองทุน!K25"")"),100122.32)</f>
        <v>100122.32</v>
      </c>
      <c r="K823" s="831">
        <f t="shared" ca="1" si="335"/>
        <v>45.347102010498617</v>
      </c>
      <c r="L823" s="831"/>
      <c r="M823" s="831"/>
      <c r="N823" s="831"/>
      <c r="O823" s="831"/>
      <c r="P823" s="831"/>
      <c r="Q823" s="1244"/>
      <c r="R823" s="1244"/>
      <c r="S823" s="1244"/>
      <c r="T823" s="1244"/>
      <c r="U823" s="1244"/>
      <c r="V823" s="1244"/>
      <c r="W823" s="1244"/>
      <c r="X823" s="1244"/>
      <c r="Y823" s="1244"/>
      <c r="Z823" s="1244"/>
    </row>
    <row r="824" spans="1:26" ht="18.75">
      <c r="A824" s="1368"/>
      <c r="B824" s="1243"/>
      <c r="C824" s="1243"/>
      <c r="D824" s="1242"/>
      <c r="E824" s="1243"/>
      <c r="F824" s="1243"/>
      <c r="G824" s="963"/>
      <c r="H824" s="590" t="s">
        <v>35</v>
      </c>
      <c r="I824" s="830">
        <f ca="1">IFERROR(__xludf.DUMMYFUNCTION("IMPORTRANGE(""https://docs.google.com/spreadsheets/d/19vJNZY_5yjcGF2XGBMNZRCAIB0Kwfpjp8YEOfu-bneM/edit?usp=sharing"",""งานกองทุน!H25"")"),14)</f>
        <v>14</v>
      </c>
      <c r="J824" s="830">
        <f ca="1">IFERROR(__xludf.DUMMYFUNCTION("IMPORTRANGE(""https://docs.google.com/spreadsheets/d/19vJNZY_5yjcGF2XGBMNZRCAIB0Kwfpjp8YEOfu-bneM/edit?usp=sharing"",""งานกองทุน!J25"")"),12)</f>
        <v>12</v>
      </c>
      <c r="K824" s="831">
        <f t="shared" ca="1" si="335"/>
        <v>85.714285714285708</v>
      </c>
      <c r="L824" s="831"/>
      <c r="M824" s="831"/>
      <c r="N824" s="831"/>
      <c r="O824" s="831"/>
      <c r="P824" s="831"/>
      <c r="Q824" s="1244"/>
      <c r="R824" s="1244"/>
      <c r="S824" s="1244"/>
      <c r="T824" s="1244"/>
      <c r="U824" s="1244"/>
      <c r="V824" s="1244"/>
      <c r="W824" s="1244"/>
      <c r="X824" s="1244"/>
      <c r="Y824" s="1244"/>
      <c r="Z824" s="1244"/>
    </row>
    <row r="825" spans="1:26" ht="18.75">
      <c r="A825" s="1368"/>
      <c r="B825" s="1243" t="s">
        <v>327</v>
      </c>
      <c r="C825" s="1243"/>
      <c r="D825" s="1242"/>
      <c r="E825" s="1243"/>
      <c r="F825" s="1243"/>
      <c r="G825" s="963"/>
      <c r="H825" s="590" t="s">
        <v>12</v>
      </c>
      <c r="I825" s="830">
        <f ca="1">IFERROR(__xludf.DUMMYFUNCTION("IMPORTRANGE(""https://docs.google.com/spreadsheets/d/19vJNZY_5yjcGF2XGBMNZRCAIB0Kwfpjp8YEOfu-bneM/edit?usp=sharing"",""งานกองทุน!N25"")"),0)</f>
        <v>0</v>
      </c>
      <c r="J825" s="830">
        <f ca="1">IFERROR(__xludf.DUMMYFUNCTION("IMPORTRANGE(""https://docs.google.com/spreadsheets/d/19vJNZY_5yjcGF2XGBMNZRCAIB0Kwfpjp8YEOfu-bneM/edit?usp=sharing"",""งานกองทุน!P25"")"),0)</f>
        <v>0</v>
      </c>
      <c r="K825" s="831">
        <f t="shared" ca="1" si="335"/>
        <v>0</v>
      </c>
      <c r="L825" s="831"/>
      <c r="M825" s="831"/>
      <c r="N825" s="831"/>
      <c r="O825" s="831"/>
      <c r="P825" s="831"/>
      <c r="Q825" s="1244"/>
      <c r="R825" s="1244"/>
      <c r="S825" s="1244"/>
      <c r="T825" s="1244"/>
      <c r="U825" s="1244"/>
      <c r="V825" s="1244"/>
      <c r="W825" s="1244"/>
      <c r="X825" s="1244"/>
      <c r="Y825" s="1244"/>
      <c r="Z825" s="1244"/>
    </row>
    <row r="826" spans="1:26" ht="18.75">
      <c r="A826" s="1368"/>
      <c r="B826" s="1243"/>
      <c r="C826" s="1243"/>
      <c r="D826" s="1242"/>
      <c r="E826" s="1243"/>
      <c r="F826" s="1243"/>
      <c r="G826" s="963"/>
      <c r="H826" s="590" t="s">
        <v>35</v>
      </c>
      <c r="I826" s="830">
        <f ca="1">IFERROR(__xludf.DUMMYFUNCTION("IMPORTRANGE(""https://docs.google.com/spreadsheets/d/19vJNZY_5yjcGF2XGBMNZRCAIB0Kwfpjp8YEOfu-bneM/edit?usp=sharing"",""งานกองทุน!M25"")"),0)</f>
        <v>0</v>
      </c>
      <c r="J826" s="830">
        <f ca="1">IFERROR(__xludf.DUMMYFUNCTION("IMPORTRANGE(""https://docs.google.com/spreadsheets/d/19vJNZY_5yjcGF2XGBMNZRCAIB0Kwfpjp8YEOfu-bneM/edit?usp=sharing"",""งานกองทุน!O25"")"),0)</f>
        <v>0</v>
      </c>
      <c r="K826" s="831">
        <f t="shared" ca="1" si="335"/>
        <v>0</v>
      </c>
      <c r="L826" s="831"/>
      <c r="M826" s="831"/>
      <c r="N826" s="831"/>
      <c r="O826" s="831"/>
      <c r="P826" s="831"/>
      <c r="Q826" s="1244"/>
      <c r="R826" s="1244"/>
      <c r="S826" s="1244"/>
      <c r="T826" s="1244"/>
      <c r="U826" s="1244"/>
      <c r="V826" s="1244"/>
      <c r="W826" s="1244"/>
      <c r="X826" s="1244"/>
      <c r="Y826" s="1244"/>
      <c r="Z826" s="1244"/>
    </row>
    <row r="827" spans="1:26" ht="18.75">
      <c r="A827" s="1368"/>
      <c r="B827" s="1243" t="s">
        <v>328</v>
      </c>
      <c r="C827" s="1243"/>
      <c r="D827" s="1242"/>
      <c r="E827" s="1243"/>
      <c r="F827" s="1243"/>
      <c r="G827" s="963"/>
      <c r="H827" s="590" t="s">
        <v>12</v>
      </c>
      <c r="I827" s="830">
        <f ca="1">IFERROR(__xludf.DUMMYFUNCTION("IMPORTRANGE(""https://docs.google.com/spreadsheets/d/19vJNZY_5yjcGF2XGBMNZRCAIB0Kwfpjp8YEOfu-bneM/edit?usp=sharing"",""งานกองทุน!S25"")"),1250000)</f>
        <v>1250000</v>
      </c>
      <c r="J827" s="830">
        <f ca="1">IFERROR(__xludf.DUMMYFUNCTION("IMPORTRANGE(""https://docs.google.com/spreadsheets/d/19vJNZY_5yjcGF2XGBMNZRCAIB0Kwfpjp8YEOfu-bneM/edit?usp=sharing"",""งานกองทุน!U25"")"),450000)</f>
        <v>450000</v>
      </c>
      <c r="K827" s="831">
        <f t="shared" ca="1" si="335"/>
        <v>36</v>
      </c>
      <c r="L827" s="831"/>
      <c r="M827" s="831"/>
      <c r="N827" s="831"/>
      <c r="O827" s="831"/>
      <c r="P827" s="831"/>
      <c r="Q827" s="1244"/>
      <c r="R827" s="1244"/>
      <c r="S827" s="1244"/>
      <c r="T827" s="1244"/>
      <c r="U827" s="1244"/>
      <c r="V827" s="1244"/>
      <c r="W827" s="1244"/>
      <c r="X827" s="1244"/>
      <c r="Y827" s="1244"/>
      <c r="Z827" s="1244"/>
    </row>
    <row r="828" spans="1:26" ht="18.75">
      <c r="A828" s="1369"/>
      <c r="B828" s="1371"/>
      <c r="C828" s="1371"/>
      <c r="D828" s="1370"/>
      <c r="E828" s="1371"/>
      <c r="F828" s="1371"/>
      <c r="G828" s="1434"/>
      <c r="H828" s="802" t="s">
        <v>35</v>
      </c>
      <c r="I828" s="1085">
        <f ca="1">IFERROR(__xludf.DUMMYFUNCTION("IMPORTRANGE(""https://docs.google.com/spreadsheets/d/19vJNZY_5yjcGF2XGBMNZRCAIB0Kwfpjp8YEOfu-bneM/edit?usp=sharing"",""งานกองทุน!R25"")"),50)</f>
        <v>50</v>
      </c>
      <c r="J828" s="1085">
        <f ca="1">IFERROR(__xludf.DUMMYFUNCTION("IMPORTRANGE(""https://docs.google.com/spreadsheets/d/19vJNZY_5yjcGF2XGBMNZRCAIB0Kwfpjp8YEOfu-bneM/edit?usp=sharing"",""งานกองทุน!T25"")"),16)</f>
        <v>16</v>
      </c>
      <c r="K828" s="1182">
        <f t="shared" ca="1" si="335"/>
        <v>32</v>
      </c>
      <c r="L828" s="1182"/>
      <c r="M828" s="1182"/>
      <c r="N828" s="1182"/>
      <c r="O828" s="1182"/>
      <c r="P828" s="1182"/>
      <c r="Q828" s="1244"/>
      <c r="R828" s="1244"/>
      <c r="S828" s="1244"/>
      <c r="T828" s="1244"/>
      <c r="U828" s="1244"/>
      <c r="V828" s="1244"/>
      <c r="W828" s="1244"/>
      <c r="X828" s="1244"/>
      <c r="Y828" s="1244"/>
      <c r="Z828" s="124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C9CF1-EAC4-4C59-8824-CE7466994CE6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Q24" sqref="Q24"/>
      <selection pane="bottomLeft" sqref="A1:P1"/>
    </sheetView>
  </sheetViews>
  <sheetFormatPr defaultColWidth="12.5703125" defaultRowHeight="15.75" customHeight="1"/>
  <cols>
    <col min="1" max="3" width="3.28515625" style="803" customWidth="1"/>
    <col min="4" max="6" width="5.85546875" style="803" customWidth="1"/>
    <col min="7" max="7" width="56.42578125" style="803" customWidth="1"/>
    <col min="8" max="8" width="9.42578125" style="803" customWidth="1"/>
    <col min="9" max="10" width="16.85546875" style="803" bestFit="1" customWidth="1"/>
    <col min="11" max="11" width="12.5703125" style="803" bestFit="1" customWidth="1"/>
    <col min="12" max="14" width="21.28515625" style="803" customWidth="1"/>
    <col min="15" max="15" width="20.140625" style="803" customWidth="1"/>
    <col min="16" max="16" width="22" style="803" customWidth="1"/>
    <col min="17" max="16384" width="12.5703125" style="803"/>
  </cols>
  <sheetData>
    <row r="1" spans="1:26" ht="19.5">
      <c r="A1" s="1498" t="s">
        <v>0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</row>
    <row r="2" spans="1:26" ht="19.5">
      <c r="A2" s="1498" t="s">
        <v>350</v>
      </c>
      <c r="B2" s="1516"/>
      <c r="C2" s="1516"/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  <c r="O2" s="1516"/>
      <c r="P2" s="1516"/>
    </row>
    <row r="3" spans="1:26" ht="19.5">
      <c r="A3" s="1498" t="s">
        <v>329</v>
      </c>
      <c r="B3" s="1516"/>
      <c r="C3" s="1516"/>
      <c r="D3" s="1516"/>
      <c r="E3" s="1516"/>
      <c r="F3" s="1516"/>
      <c r="G3" s="1516"/>
      <c r="H3" s="1516"/>
      <c r="I3" s="1516"/>
      <c r="J3" s="1516"/>
      <c r="K3" s="1516"/>
      <c r="L3" s="1516"/>
      <c r="M3" s="1516"/>
      <c r="N3" s="1516"/>
      <c r="O3" s="1516"/>
      <c r="P3" s="1516"/>
    </row>
    <row r="4" spans="1:26" ht="12.75">
      <c r="A4" s="804"/>
      <c r="B4" s="804"/>
      <c r="C4" s="804"/>
      <c r="D4" s="804"/>
      <c r="E4" s="804"/>
      <c r="F4" s="804"/>
      <c r="G4" s="804"/>
      <c r="H4" s="804"/>
      <c r="I4" s="804"/>
      <c r="J4" s="805"/>
      <c r="K4" s="806"/>
      <c r="L4" s="805"/>
      <c r="M4" s="805"/>
      <c r="N4" s="805"/>
      <c r="O4" s="804"/>
      <c r="P4" s="804"/>
    </row>
    <row r="5" spans="1:26" ht="19.5">
      <c r="A5" s="1504" t="s">
        <v>2</v>
      </c>
      <c r="B5" s="1516"/>
      <c r="C5" s="1516"/>
      <c r="D5" s="1516"/>
      <c r="E5" s="1516"/>
      <c r="F5" s="1516"/>
      <c r="G5" s="1505"/>
      <c r="H5" s="1500" t="s">
        <v>3</v>
      </c>
      <c r="I5" s="1501" t="s">
        <v>4</v>
      </c>
      <c r="J5" s="1494"/>
      <c r="K5" s="1495"/>
      <c r="L5" s="1502" t="s">
        <v>5</v>
      </c>
      <c r="M5" s="1495"/>
      <c r="N5" s="1503" t="s">
        <v>6</v>
      </c>
      <c r="O5" s="1494"/>
      <c r="P5" s="1495"/>
    </row>
    <row r="6" spans="1:26" ht="19.5">
      <c r="A6" s="1506"/>
      <c r="B6" s="1494"/>
      <c r="C6" s="1494"/>
      <c r="D6" s="1494"/>
      <c r="E6" s="1494"/>
      <c r="F6" s="1494"/>
      <c r="G6" s="1495"/>
      <c r="H6" s="14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12" t="s">
        <v>15</v>
      </c>
      <c r="B7" s="1494"/>
      <c r="C7" s="1494"/>
      <c r="D7" s="1494"/>
      <c r="E7" s="1494"/>
      <c r="F7" s="1494"/>
      <c r="G7" s="1495"/>
      <c r="H7" s="807"/>
      <c r="I7" s="808"/>
      <c r="J7" s="808"/>
      <c r="K7" s="809"/>
      <c r="L7" s="809"/>
      <c r="M7" s="809"/>
      <c r="N7" s="809"/>
      <c r="O7" s="809"/>
      <c r="P7" s="809"/>
    </row>
    <row r="8" spans="1:26" ht="19.5">
      <c r="A8" s="810"/>
      <c r="B8" s="811"/>
      <c r="C8" s="812" t="s">
        <v>16</v>
      </c>
      <c r="D8" s="813" t="s">
        <v>17</v>
      </c>
      <c r="E8" s="811"/>
      <c r="F8" s="811"/>
      <c r="G8" s="814"/>
      <c r="H8" s="19" t="s">
        <v>12</v>
      </c>
      <c r="I8" s="815"/>
      <c r="J8" s="815"/>
      <c r="K8" s="816"/>
      <c r="L8" s="817">
        <f t="shared" ref="L8:N8" ca="1" si="0">L9+L10</f>
        <v>4965679</v>
      </c>
      <c r="M8" s="817">
        <f t="shared" ca="1" si="0"/>
        <v>2103030</v>
      </c>
      <c r="N8" s="817">
        <f t="shared" ca="1" si="0"/>
        <v>1616654.0100000002</v>
      </c>
      <c r="O8" s="817">
        <f t="shared" ref="O8:O16" ca="1" si="1">IF(L8&gt;0,N8*100/L8,0)</f>
        <v>32.556554904173233</v>
      </c>
      <c r="P8" s="817">
        <f t="shared" ref="P8:P16" ca="1" si="2">IF(M8&gt;0,N8*100/M8,0)</f>
        <v>76.872608094035769</v>
      </c>
      <c r="Q8" s="818"/>
      <c r="R8" s="818"/>
      <c r="S8" s="818"/>
      <c r="T8" s="818"/>
      <c r="U8" s="818"/>
      <c r="V8" s="818"/>
      <c r="W8" s="818"/>
      <c r="X8" s="818"/>
      <c r="Y8" s="818"/>
      <c r="Z8" s="818"/>
    </row>
    <row r="9" spans="1:26" ht="18.75" hidden="1">
      <c r="A9" s="819"/>
      <c r="B9" s="820"/>
      <c r="C9" s="820"/>
      <c r="D9" s="820"/>
      <c r="E9" s="821" t="s">
        <v>18</v>
      </c>
      <c r="F9" s="820"/>
      <c r="G9" s="822"/>
      <c r="H9" s="28" t="s">
        <v>12</v>
      </c>
      <c r="I9" s="823"/>
      <c r="J9" s="823"/>
      <c r="K9" s="824"/>
      <c r="L9" s="824">
        <f t="shared" ref="L9:N10" si="3">L12+L15</f>
        <v>0</v>
      </c>
      <c r="M9" s="824">
        <f t="shared" si="3"/>
        <v>0</v>
      </c>
      <c r="N9" s="824">
        <f t="shared" si="3"/>
        <v>0</v>
      </c>
      <c r="O9" s="824">
        <f t="shared" si="1"/>
        <v>0</v>
      </c>
      <c r="P9" s="824">
        <f t="shared" si="2"/>
        <v>0</v>
      </c>
      <c r="Q9" s="825"/>
      <c r="R9" s="825"/>
      <c r="S9" s="825"/>
      <c r="T9" s="825"/>
      <c r="U9" s="825"/>
      <c r="V9" s="825"/>
      <c r="W9" s="825"/>
      <c r="X9" s="825"/>
      <c r="Y9" s="825"/>
      <c r="Z9" s="825"/>
    </row>
    <row r="10" spans="1:26" ht="18.75" hidden="1">
      <c r="A10" s="819"/>
      <c r="B10" s="820"/>
      <c r="C10" s="820"/>
      <c r="D10" s="820"/>
      <c r="E10" s="821" t="s">
        <v>19</v>
      </c>
      <c r="F10" s="820"/>
      <c r="G10" s="822"/>
      <c r="H10" s="28" t="s">
        <v>12</v>
      </c>
      <c r="I10" s="823"/>
      <c r="J10" s="823"/>
      <c r="K10" s="824"/>
      <c r="L10" s="824">
        <f t="shared" ca="1" si="3"/>
        <v>4965679</v>
      </c>
      <c r="M10" s="824">
        <f t="shared" ca="1" si="3"/>
        <v>2103030</v>
      </c>
      <c r="N10" s="824">
        <f t="shared" ca="1" si="3"/>
        <v>1616654.0100000002</v>
      </c>
      <c r="O10" s="824">
        <f t="shared" ca="1" si="1"/>
        <v>32.556554904173233</v>
      </c>
      <c r="P10" s="824">
        <f t="shared" ca="1" si="2"/>
        <v>76.872608094035769</v>
      </c>
      <c r="Q10" s="825"/>
      <c r="R10" s="825"/>
      <c r="S10" s="825"/>
      <c r="T10" s="825"/>
      <c r="U10" s="825"/>
      <c r="V10" s="825"/>
      <c r="W10" s="825"/>
      <c r="X10" s="825"/>
      <c r="Y10" s="825"/>
      <c r="Z10" s="825"/>
    </row>
    <row r="11" spans="1:26" ht="18.75">
      <c r="A11" s="826"/>
      <c r="B11" s="827"/>
      <c r="C11" s="827"/>
      <c r="D11" s="828" t="s">
        <v>20</v>
      </c>
      <c r="E11" s="827"/>
      <c r="F11" s="827"/>
      <c r="G11" s="829"/>
      <c r="H11" s="590" t="s">
        <v>12</v>
      </c>
      <c r="I11" s="830"/>
      <c r="J11" s="830"/>
      <c r="K11" s="831"/>
      <c r="L11" s="831">
        <f t="shared" ref="L11:N11" ca="1" si="4">L12+L13</f>
        <v>4950679</v>
      </c>
      <c r="M11" s="831">
        <f t="shared" ca="1" si="4"/>
        <v>2088030</v>
      </c>
      <c r="N11" s="831">
        <f t="shared" ca="1" si="4"/>
        <v>1601654.0100000002</v>
      </c>
      <c r="O11" s="831">
        <f t="shared" ca="1" si="1"/>
        <v>32.352208858623236</v>
      </c>
      <c r="P11" s="831">
        <f t="shared" ca="1" si="2"/>
        <v>76.706465424347371</v>
      </c>
      <c r="Q11" s="818"/>
      <c r="R11" s="818"/>
      <c r="S11" s="818"/>
      <c r="T11" s="818"/>
      <c r="U11" s="818"/>
      <c r="V11" s="818"/>
      <c r="W11" s="818"/>
      <c r="X11" s="818"/>
      <c r="Y11" s="818"/>
      <c r="Z11" s="818"/>
    </row>
    <row r="12" spans="1:26" ht="18.75" hidden="1">
      <c r="A12" s="832"/>
      <c r="B12" s="833"/>
      <c r="C12" s="833"/>
      <c r="D12" s="833"/>
      <c r="E12" s="834" t="s">
        <v>18</v>
      </c>
      <c r="F12" s="833"/>
      <c r="G12" s="835"/>
      <c r="H12" s="43" t="s">
        <v>12</v>
      </c>
      <c r="I12" s="836"/>
      <c r="J12" s="836"/>
      <c r="K12" s="837"/>
      <c r="L12" s="837">
        <f t="shared" ref="L12:N13" si="5">L22+L32</f>
        <v>0</v>
      </c>
      <c r="M12" s="837">
        <f t="shared" si="5"/>
        <v>0</v>
      </c>
      <c r="N12" s="837">
        <f t="shared" si="5"/>
        <v>0</v>
      </c>
      <c r="O12" s="837">
        <f t="shared" si="1"/>
        <v>0</v>
      </c>
      <c r="P12" s="837">
        <f t="shared" si="2"/>
        <v>0</v>
      </c>
      <c r="Q12" s="825"/>
      <c r="R12" s="825"/>
      <c r="S12" s="825"/>
      <c r="T12" s="825"/>
      <c r="U12" s="825"/>
      <c r="V12" s="825"/>
      <c r="W12" s="825"/>
      <c r="X12" s="825"/>
      <c r="Y12" s="825"/>
      <c r="Z12" s="825"/>
    </row>
    <row r="13" spans="1:26" ht="18.75" hidden="1">
      <c r="A13" s="832"/>
      <c r="B13" s="833"/>
      <c r="C13" s="833"/>
      <c r="D13" s="833"/>
      <c r="E13" s="834" t="s">
        <v>19</v>
      </c>
      <c r="F13" s="833"/>
      <c r="G13" s="835"/>
      <c r="H13" s="43" t="s">
        <v>12</v>
      </c>
      <c r="I13" s="836"/>
      <c r="J13" s="836"/>
      <c r="K13" s="837"/>
      <c r="L13" s="837">
        <f t="shared" ca="1" si="5"/>
        <v>4950679</v>
      </c>
      <c r="M13" s="837">
        <f t="shared" ca="1" si="5"/>
        <v>2088030</v>
      </c>
      <c r="N13" s="837">
        <f t="shared" ca="1" si="5"/>
        <v>1601654.0100000002</v>
      </c>
      <c r="O13" s="837">
        <f t="shared" ca="1" si="1"/>
        <v>32.352208858623236</v>
      </c>
      <c r="P13" s="837">
        <f t="shared" ca="1" si="2"/>
        <v>76.706465424347371</v>
      </c>
      <c r="Q13" s="825"/>
      <c r="R13" s="825"/>
      <c r="S13" s="825"/>
      <c r="T13" s="825"/>
      <c r="U13" s="825"/>
      <c r="V13" s="825"/>
      <c r="W13" s="825"/>
      <c r="X13" s="825"/>
      <c r="Y13" s="825"/>
      <c r="Z13" s="825"/>
    </row>
    <row r="14" spans="1:26" ht="18.75">
      <c r="A14" s="826"/>
      <c r="B14" s="827"/>
      <c r="C14" s="827"/>
      <c r="D14" s="828" t="s">
        <v>21</v>
      </c>
      <c r="E14" s="827"/>
      <c r="F14" s="827"/>
      <c r="G14" s="829"/>
      <c r="H14" s="590" t="s">
        <v>12</v>
      </c>
      <c r="I14" s="830"/>
      <c r="J14" s="830"/>
      <c r="K14" s="831"/>
      <c r="L14" s="831">
        <f t="shared" ref="L14:N14" ca="1" si="6">L15+L16</f>
        <v>15000</v>
      </c>
      <c r="M14" s="831">
        <f t="shared" ca="1" si="6"/>
        <v>15000</v>
      </c>
      <c r="N14" s="831">
        <f t="shared" ca="1" si="6"/>
        <v>15000</v>
      </c>
      <c r="O14" s="831">
        <f t="shared" ca="1" si="1"/>
        <v>100</v>
      </c>
      <c r="P14" s="831">
        <f t="shared" ca="1" si="2"/>
        <v>100</v>
      </c>
      <c r="Q14" s="818"/>
      <c r="R14" s="818"/>
      <c r="S14" s="818"/>
      <c r="T14" s="818"/>
      <c r="U14" s="818"/>
      <c r="V14" s="818"/>
      <c r="W14" s="818"/>
      <c r="X14" s="818"/>
      <c r="Y14" s="818"/>
      <c r="Z14" s="818"/>
    </row>
    <row r="15" spans="1:26" ht="18.75" hidden="1">
      <c r="A15" s="832"/>
      <c r="B15" s="833"/>
      <c r="C15" s="833"/>
      <c r="D15" s="833"/>
      <c r="E15" s="834" t="s">
        <v>18</v>
      </c>
      <c r="F15" s="833"/>
      <c r="G15" s="835"/>
      <c r="H15" s="43" t="s">
        <v>12</v>
      </c>
      <c r="I15" s="836"/>
      <c r="J15" s="836"/>
      <c r="K15" s="837"/>
      <c r="L15" s="837">
        <f t="shared" ref="L15:N16" si="7">L25+L35</f>
        <v>0</v>
      </c>
      <c r="M15" s="837">
        <f t="shared" si="7"/>
        <v>0</v>
      </c>
      <c r="N15" s="837">
        <f t="shared" si="7"/>
        <v>0</v>
      </c>
      <c r="O15" s="837">
        <f t="shared" si="1"/>
        <v>0</v>
      </c>
      <c r="P15" s="837">
        <f t="shared" si="2"/>
        <v>0</v>
      </c>
      <c r="Q15" s="825"/>
      <c r="R15" s="825"/>
      <c r="S15" s="825"/>
      <c r="T15" s="825"/>
      <c r="U15" s="825"/>
      <c r="V15" s="825"/>
      <c r="W15" s="825"/>
      <c r="X15" s="825"/>
      <c r="Y15" s="825"/>
      <c r="Z15" s="825"/>
    </row>
    <row r="16" spans="1:26" ht="18.75" hidden="1">
      <c r="A16" s="838"/>
      <c r="B16" s="839"/>
      <c r="C16" s="839"/>
      <c r="D16" s="839"/>
      <c r="E16" s="840" t="s">
        <v>19</v>
      </c>
      <c r="F16" s="839"/>
      <c r="G16" s="841"/>
      <c r="H16" s="50" t="s">
        <v>12</v>
      </c>
      <c r="I16" s="842"/>
      <c r="J16" s="842"/>
      <c r="K16" s="843"/>
      <c r="L16" s="843">
        <f t="shared" ca="1" si="7"/>
        <v>15000</v>
      </c>
      <c r="M16" s="843">
        <f t="shared" ca="1" si="7"/>
        <v>15000</v>
      </c>
      <c r="N16" s="843">
        <f t="shared" ca="1" si="7"/>
        <v>15000</v>
      </c>
      <c r="O16" s="843">
        <f t="shared" ca="1" si="1"/>
        <v>100</v>
      </c>
      <c r="P16" s="843">
        <f t="shared" ca="1" si="2"/>
        <v>100</v>
      </c>
      <c r="Q16" s="825"/>
      <c r="R16" s="825"/>
      <c r="S16" s="825"/>
      <c r="T16" s="825"/>
      <c r="U16" s="825"/>
      <c r="V16" s="825"/>
      <c r="W16" s="825"/>
      <c r="X16" s="825"/>
      <c r="Y16" s="825"/>
      <c r="Z16" s="825"/>
    </row>
    <row r="17" spans="1:26" ht="19.5">
      <c r="A17" s="1512" t="s">
        <v>22</v>
      </c>
      <c r="B17" s="1494"/>
      <c r="C17" s="1494"/>
      <c r="D17" s="1494"/>
      <c r="E17" s="1494"/>
      <c r="F17" s="1494"/>
      <c r="G17" s="1495"/>
      <c r="H17" s="807"/>
      <c r="I17" s="808"/>
      <c r="J17" s="808"/>
      <c r="K17" s="809"/>
      <c r="L17" s="809"/>
      <c r="M17" s="809"/>
      <c r="N17" s="809"/>
      <c r="O17" s="809"/>
      <c r="P17" s="809"/>
    </row>
    <row r="18" spans="1:26" ht="19.5">
      <c r="A18" s="810"/>
      <c r="B18" s="811"/>
      <c r="C18" s="812" t="s">
        <v>16</v>
      </c>
      <c r="D18" s="813" t="s">
        <v>17</v>
      </c>
      <c r="E18" s="811"/>
      <c r="F18" s="811"/>
      <c r="G18" s="814"/>
      <c r="H18" s="19" t="s">
        <v>12</v>
      </c>
      <c r="I18" s="815"/>
      <c r="J18" s="815"/>
      <c r="K18" s="816"/>
      <c r="L18" s="817">
        <f t="shared" ref="L18:N18" ca="1" si="8">L19+L20</f>
        <v>2567755</v>
      </c>
      <c r="M18" s="817">
        <f t="shared" ca="1" si="8"/>
        <v>2103030</v>
      </c>
      <c r="N18" s="817">
        <f t="shared" ca="1" si="8"/>
        <v>1168227.3800000001</v>
      </c>
      <c r="O18" s="817">
        <f t="shared" ref="O18:O26" ca="1" si="9">IF(L18&gt;0,N18*100/L18,0)</f>
        <v>45.496060955971274</v>
      </c>
      <c r="P18" s="817">
        <f t="shared" ref="P18:P26" ca="1" si="10">IF(M18&gt;0,N18*100/M18,0)</f>
        <v>55.54972492070965</v>
      </c>
      <c r="Q18" s="818"/>
      <c r="R18" s="818"/>
      <c r="S18" s="818"/>
      <c r="T18" s="818"/>
      <c r="U18" s="818"/>
      <c r="V18" s="818"/>
      <c r="W18" s="818"/>
      <c r="X18" s="818"/>
      <c r="Y18" s="818"/>
      <c r="Z18" s="818"/>
    </row>
    <row r="19" spans="1:26" ht="18.75" hidden="1">
      <c r="A19" s="819"/>
      <c r="B19" s="820"/>
      <c r="C19" s="820"/>
      <c r="D19" s="820"/>
      <c r="E19" s="821" t="s">
        <v>18</v>
      </c>
      <c r="F19" s="820"/>
      <c r="G19" s="822"/>
      <c r="H19" s="28" t="s">
        <v>12</v>
      </c>
      <c r="I19" s="823"/>
      <c r="J19" s="823"/>
      <c r="K19" s="824"/>
      <c r="L19" s="824">
        <f t="shared" ref="L19:N20" si="11">L22+L25</f>
        <v>0</v>
      </c>
      <c r="M19" s="824">
        <f t="shared" si="11"/>
        <v>0</v>
      </c>
      <c r="N19" s="824">
        <f t="shared" si="11"/>
        <v>0</v>
      </c>
      <c r="O19" s="824">
        <f t="shared" si="9"/>
        <v>0</v>
      </c>
      <c r="P19" s="824">
        <f t="shared" si="10"/>
        <v>0</v>
      </c>
      <c r="Q19" s="825"/>
      <c r="R19" s="825"/>
      <c r="S19" s="825"/>
      <c r="T19" s="825"/>
      <c r="U19" s="825"/>
      <c r="V19" s="825"/>
      <c r="W19" s="825"/>
      <c r="X19" s="825"/>
      <c r="Y19" s="825"/>
      <c r="Z19" s="825"/>
    </row>
    <row r="20" spans="1:26" ht="18.75" hidden="1">
      <c r="A20" s="819"/>
      <c r="B20" s="820"/>
      <c r="C20" s="820"/>
      <c r="D20" s="820"/>
      <c r="E20" s="821" t="s">
        <v>19</v>
      </c>
      <c r="F20" s="820"/>
      <c r="G20" s="822"/>
      <c r="H20" s="28" t="s">
        <v>12</v>
      </c>
      <c r="I20" s="823"/>
      <c r="J20" s="823"/>
      <c r="K20" s="824"/>
      <c r="L20" s="824">
        <f t="shared" ca="1" si="11"/>
        <v>2567755</v>
      </c>
      <c r="M20" s="824">
        <f t="shared" ca="1" si="11"/>
        <v>2103030</v>
      </c>
      <c r="N20" s="824">
        <f t="shared" ca="1" si="11"/>
        <v>1168227.3800000001</v>
      </c>
      <c r="O20" s="824">
        <f t="shared" ca="1" si="9"/>
        <v>45.496060955971274</v>
      </c>
      <c r="P20" s="824">
        <f t="shared" ca="1" si="10"/>
        <v>55.54972492070965</v>
      </c>
      <c r="Q20" s="825"/>
      <c r="R20" s="825"/>
      <c r="S20" s="825"/>
      <c r="T20" s="825"/>
      <c r="U20" s="825"/>
      <c r="V20" s="825"/>
      <c r="W20" s="825"/>
      <c r="X20" s="825"/>
      <c r="Y20" s="825"/>
      <c r="Z20" s="825"/>
    </row>
    <row r="21" spans="1:26" ht="18.75">
      <c r="A21" s="826"/>
      <c r="B21" s="827"/>
      <c r="C21" s="827"/>
      <c r="D21" s="828" t="s">
        <v>20</v>
      </c>
      <c r="E21" s="827"/>
      <c r="F21" s="827"/>
      <c r="G21" s="829"/>
      <c r="H21" s="590" t="s">
        <v>12</v>
      </c>
      <c r="I21" s="830"/>
      <c r="J21" s="830"/>
      <c r="K21" s="831"/>
      <c r="L21" s="831">
        <f t="shared" ref="L21:N21" ca="1" si="12">L22+L23</f>
        <v>2552755</v>
      </c>
      <c r="M21" s="831">
        <f t="shared" ca="1" si="12"/>
        <v>2088030</v>
      </c>
      <c r="N21" s="831">
        <f t="shared" ca="1" si="12"/>
        <v>1153227.3800000001</v>
      </c>
      <c r="O21" s="831">
        <f t="shared" ca="1" si="9"/>
        <v>45.175795562049636</v>
      </c>
      <c r="P21" s="831">
        <f t="shared" ca="1" si="10"/>
        <v>55.230402819882862</v>
      </c>
      <c r="Q21" s="818"/>
      <c r="R21" s="818"/>
      <c r="S21" s="818"/>
      <c r="T21" s="818"/>
      <c r="U21" s="818"/>
      <c r="V21" s="818"/>
      <c r="W21" s="818"/>
      <c r="X21" s="818"/>
      <c r="Y21" s="818"/>
      <c r="Z21" s="818"/>
    </row>
    <row r="22" spans="1:26" ht="18.75" hidden="1">
      <c r="A22" s="832"/>
      <c r="B22" s="833"/>
      <c r="C22" s="833"/>
      <c r="D22" s="833"/>
      <c r="E22" s="834" t="s">
        <v>18</v>
      </c>
      <c r="F22" s="833"/>
      <c r="G22" s="835"/>
      <c r="H22" s="43" t="s">
        <v>12</v>
      </c>
      <c r="I22" s="836"/>
      <c r="J22" s="836"/>
      <c r="K22" s="837"/>
      <c r="L22" s="837">
        <f t="shared" ref="L22:N23" si="13">L45+L57+L70+L92+L123+L136+L153+L185+L169+L265+L281+L302+L319+L332+L349+L393+L406</f>
        <v>0</v>
      </c>
      <c r="M22" s="837">
        <f t="shared" si="13"/>
        <v>0</v>
      </c>
      <c r="N22" s="837">
        <f t="shared" si="13"/>
        <v>0</v>
      </c>
      <c r="O22" s="837">
        <f t="shared" si="9"/>
        <v>0</v>
      </c>
      <c r="P22" s="837">
        <f t="shared" si="10"/>
        <v>0</v>
      </c>
      <c r="Q22" s="825"/>
      <c r="R22" s="825"/>
      <c r="S22" s="825"/>
      <c r="T22" s="825"/>
      <c r="U22" s="825"/>
      <c r="V22" s="825"/>
      <c r="W22" s="825"/>
      <c r="X22" s="825"/>
      <c r="Y22" s="825"/>
      <c r="Z22" s="825"/>
    </row>
    <row r="23" spans="1:26" ht="18.75" hidden="1">
      <c r="A23" s="832"/>
      <c r="B23" s="833"/>
      <c r="C23" s="833"/>
      <c r="D23" s="833"/>
      <c r="E23" s="834" t="s">
        <v>19</v>
      </c>
      <c r="F23" s="833"/>
      <c r="G23" s="835"/>
      <c r="H23" s="43" t="s">
        <v>12</v>
      </c>
      <c r="I23" s="836"/>
      <c r="J23" s="836"/>
      <c r="K23" s="837"/>
      <c r="L23" s="837">
        <f t="shared" ca="1" si="13"/>
        <v>2552755</v>
      </c>
      <c r="M23" s="837">
        <f t="shared" ca="1" si="13"/>
        <v>2088030</v>
      </c>
      <c r="N23" s="837">
        <f t="shared" ca="1" si="13"/>
        <v>1153227.3800000001</v>
      </c>
      <c r="O23" s="837">
        <f t="shared" ca="1" si="9"/>
        <v>45.175795562049636</v>
      </c>
      <c r="P23" s="837">
        <f t="shared" ca="1" si="10"/>
        <v>55.230402819882862</v>
      </c>
      <c r="Q23" s="825"/>
      <c r="R23" s="825"/>
      <c r="S23" s="825"/>
      <c r="T23" s="825"/>
      <c r="U23" s="825"/>
      <c r="V23" s="825"/>
      <c r="W23" s="825"/>
      <c r="X23" s="825"/>
      <c r="Y23" s="825"/>
      <c r="Z23" s="825"/>
    </row>
    <row r="24" spans="1:26" ht="18.75">
      <c r="A24" s="826"/>
      <c r="B24" s="827"/>
      <c r="C24" s="827"/>
      <c r="D24" s="828" t="s">
        <v>21</v>
      </c>
      <c r="E24" s="827"/>
      <c r="F24" s="827"/>
      <c r="G24" s="829"/>
      <c r="H24" s="590" t="s">
        <v>12</v>
      </c>
      <c r="I24" s="830"/>
      <c r="J24" s="830"/>
      <c r="K24" s="831"/>
      <c r="L24" s="831">
        <f t="shared" ref="L24:N24" ca="1" si="14">L25+L26</f>
        <v>15000</v>
      </c>
      <c r="M24" s="831">
        <f t="shared" ca="1" si="14"/>
        <v>15000</v>
      </c>
      <c r="N24" s="831">
        <f t="shared" ca="1" si="14"/>
        <v>15000</v>
      </c>
      <c r="O24" s="831">
        <f t="shared" ca="1" si="9"/>
        <v>100</v>
      </c>
      <c r="P24" s="831">
        <f t="shared" ca="1" si="10"/>
        <v>100</v>
      </c>
      <c r="Q24" s="818"/>
      <c r="R24" s="818"/>
      <c r="S24" s="818"/>
      <c r="T24" s="818"/>
      <c r="U24" s="818"/>
      <c r="V24" s="818"/>
      <c r="W24" s="818"/>
      <c r="X24" s="818"/>
      <c r="Y24" s="818"/>
      <c r="Z24" s="818"/>
    </row>
    <row r="25" spans="1:26" ht="18.75" hidden="1">
      <c r="A25" s="832"/>
      <c r="B25" s="833"/>
      <c r="C25" s="833"/>
      <c r="D25" s="833"/>
      <c r="E25" s="834" t="s">
        <v>18</v>
      </c>
      <c r="F25" s="833"/>
      <c r="G25" s="835"/>
      <c r="H25" s="43" t="s">
        <v>12</v>
      </c>
      <c r="I25" s="836"/>
      <c r="J25" s="836"/>
      <c r="K25" s="837"/>
      <c r="L25" s="837">
        <f t="shared" ref="L25:N26" si="15">L48+L60+L73+L95+L126+L139+L156+L188+L172+L268+L284+L305+L322+L335+L352+L396+L409</f>
        <v>0</v>
      </c>
      <c r="M25" s="837">
        <f t="shared" si="15"/>
        <v>0</v>
      </c>
      <c r="N25" s="837">
        <f t="shared" si="15"/>
        <v>0</v>
      </c>
      <c r="O25" s="837">
        <f t="shared" si="9"/>
        <v>0</v>
      </c>
      <c r="P25" s="837">
        <f t="shared" si="10"/>
        <v>0</v>
      </c>
      <c r="Q25" s="825"/>
      <c r="R25" s="825"/>
      <c r="S25" s="825"/>
      <c r="T25" s="825"/>
      <c r="U25" s="825"/>
      <c r="V25" s="825"/>
      <c r="W25" s="825"/>
      <c r="X25" s="825"/>
      <c r="Y25" s="825"/>
      <c r="Z25" s="825"/>
    </row>
    <row r="26" spans="1:26" ht="18.75" hidden="1">
      <c r="A26" s="838"/>
      <c r="B26" s="839"/>
      <c r="C26" s="839"/>
      <c r="D26" s="839"/>
      <c r="E26" s="840" t="s">
        <v>19</v>
      </c>
      <c r="F26" s="839"/>
      <c r="G26" s="841"/>
      <c r="H26" s="50" t="s">
        <v>12</v>
      </c>
      <c r="I26" s="842"/>
      <c r="J26" s="842"/>
      <c r="K26" s="843"/>
      <c r="L26" s="843">
        <f t="shared" ca="1" si="15"/>
        <v>15000</v>
      </c>
      <c r="M26" s="843">
        <f t="shared" ca="1" si="15"/>
        <v>15000</v>
      </c>
      <c r="N26" s="843">
        <f t="shared" ca="1" si="15"/>
        <v>15000</v>
      </c>
      <c r="O26" s="843">
        <f t="shared" ca="1" si="9"/>
        <v>100</v>
      </c>
      <c r="P26" s="843">
        <f t="shared" ca="1" si="10"/>
        <v>100</v>
      </c>
      <c r="Q26" s="825"/>
      <c r="R26" s="825"/>
      <c r="S26" s="825"/>
      <c r="T26" s="825"/>
      <c r="U26" s="825"/>
      <c r="V26" s="825"/>
      <c r="W26" s="825"/>
      <c r="X26" s="825"/>
      <c r="Y26" s="825"/>
      <c r="Z26" s="825"/>
    </row>
    <row r="27" spans="1:26" ht="19.5">
      <c r="A27" s="1512" t="s">
        <v>23</v>
      </c>
      <c r="B27" s="1494"/>
      <c r="C27" s="1494"/>
      <c r="D27" s="1494"/>
      <c r="E27" s="1494"/>
      <c r="F27" s="1494"/>
      <c r="G27" s="1495"/>
      <c r="H27" s="807"/>
      <c r="I27" s="808"/>
      <c r="J27" s="808"/>
      <c r="K27" s="809"/>
      <c r="L27" s="809"/>
      <c r="M27" s="809"/>
      <c r="N27" s="809"/>
      <c r="O27" s="809"/>
      <c r="P27" s="809"/>
    </row>
    <row r="28" spans="1:26" ht="19.5">
      <c r="A28" s="810"/>
      <c r="B28" s="811"/>
      <c r="C28" s="812" t="s">
        <v>16</v>
      </c>
      <c r="D28" s="813" t="s">
        <v>17</v>
      </c>
      <c r="E28" s="811"/>
      <c r="F28" s="811"/>
      <c r="G28" s="814"/>
      <c r="H28" s="19" t="s">
        <v>12</v>
      </c>
      <c r="I28" s="815"/>
      <c r="J28" s="815"/>
      <c r="K28" s="816"/>
      <c r="L28" s="817">
        <f t="shared" ref="L28:N28" ca="1" si="16">L29+L30</f>
        <v>2397924</v>
      </c>
      <c r="M28" s="817">
        <f t="shared" si="16"/>
        <v>0</v>
      </c>
      <c r="N28" s="817">
        <f t="shared" si="16"/>
        <v>448426.63</v>
      </c>
      <c r="O28" s="817">
        <f t="shared" ref="O28:O37" ca="1" si="17">IF(L28&gt;0,N28*100/L28,0)</f>
        <v>18.7006189520602</v>
      </c>
      <c r="P28" s="817">
        <f t="shared" ref="P28:P37" si="18">IF(M28&gt;0,N28*100/M28,0)</f>
        <v>0</v>
      </c>
      <c r="Q28" s="818"/>
      <c r="R28" s="818"/>
      <c r="S28" s="818"/>
      <c r="T28" s="818"/>
      <c r="U28" s="818"/>
      <c r="V28" s="818"/>
      <c r="W28" s="818"/>
      <c r="X28" s="818"/>
      <c r="Y28" s="818"/>
      <c r="Z28" s="818"/>
    </row>
    <row r="29" spans="1:26" ht="18.75" hidden="1">
      <c r="A29" s="819"/>
      <c r="B29" s="820"/>
      <c r="C29" s="820"/>
      <c r="D29" s="820"/>
      <c r="E29" s="821" t="s">
        <v>18</v>
      </c>
      <c r="F29" s="820"/>
      <c r="G29" s="822"/>
      <c r="H29" s="28" t="s">
        <v>12</v>
      </c>
      <c r="I29" s="823"/>
      <c r="J29" s="823"/>
      <c r="K29" s="824"/>
      <c r="L29" s="824">
        <f t="shared" ref="L29:N30" si="19">L32+L35</f>
        <v>0</v>
      </c>
      <c r="M29" s="824">
        <f t="shared" si="19"/>
        <v>0</v>
      </c>
      <c r="N29" s="824">
        <f t="shared" si="19"/>
        <v>0</v>
      </c>
      <c r="O29" s="824">
        <f t="shared" si="17"/>
        <v>0</v>
      </c>
      <c r="P29" s="824">
        <f t="shared" si="18"/>
        <v>0</v>
      </c>
      <c r="Q29" s="825"/>
      <c r="R29" s="825"/>
      <c r="S29" s="825"/>
      <c r="T29" s="825"/>
      <c r="U29" s="825"/>
      <c r="V29" s="825"/>
      <c r="W29" s="825"/>
      <c r="X29" s="825"/>
      <c r="Y29" s="825"/>
      <c r="Z29" s="825"/>
    </row>
    <row r="30" spans="1:26" ht="18.75" hidden="1">
      <c r="A30" s="819"/>
      <c r="B30" s="820"/>
      <c r="C30" s="820"/>
      <c r="D30" s="820"/>
      <c r="E30" s="821" t="s">
        <v>19</v>
      </c>
      <c r="F30" s="820"/>
      <c r="G30" s="822"/>
      <c r="H30" s="28" t="s">
        <v>12</v>
      </c>
      <c r="I30" s="823"/>
      <c r="J30" s="823"/>
      <c r="K30" s="824"/>
      <c r="L30" s="824">
        <f t="shared" ca="1" si="19"/>
        <v>2397924</v>
      </c>
      <c r="M30" s="824">
        <f t="shared" si="19"/>
        <v>0</v>
      </c>
      <c r="N30" s="824">
        <f t="shared" si="19"/>
        <v>448426.63</v>
      </c>
      <c r="O30" s="824">
        <f t="shared" ca="1" si="17"/>
        <v>18.7006189520602</v>
      </c>
      <c r="P30" s="824">
        <f t="shared" si="18"/>
        <v>0</v>
      </c>
      <c r="Q30" s="825"/>
      <c r="R30" s="825"/>
      <c r="S30" s="825"/>
      <c r="T30" s="825"/>
      <c r="U30" s="825"/>
      <c r="V30" s="825"/>
      <c r="W30" s="825"/>
      <c r="X30" s="825"/>
      <c r="Y30" s="825"/>
      <c r="Z30" s="825"/>
    </row>
    <row r="31" spans="1:26" ht="18.75">
      <c r="A31" s="826"/>
      <c r="B31" s="827"/>
      <c r="C31" s="827"/>
      <c r="D31" s="828" t="s">
        <v>20</v>
      </c>
      <c r="E31" s="827"/>
      <c r="F31" s="827"/>
      <c r="G31" s="829"/>
      <c r="H31" s="590" t="s">
        <v>12</v>
      </c>
      <c r="I31" s="830"/>
      <c r="J31" s="830"/>
      <c r="K31" s="831"/>
      <c r="L31" s="831">
        <f t="shared" ref="L31:N31" ca="1" si="20">L32+L33</f>
        <v>2397924</v>
      </c>
      <c r="M31" s="831">
        <f t="shared" si="20"/>
        <v>0</v>
      </c>
      <c r="N31" s="831">
        <f t="shared" si="20"/>
        <v>448426.63</v>
      </c>
      <c r="O31" s="831">
        <f t="shared" ca="1" si="17"/>
        <v>18.7006189520602</v>
      </c>
      <c r="P31" s="831">
        <f t="shared" si="18"/>
        <v>0</v>
      </c>
      <c r="Q31" s="818"/>
      <c r="R31" s="818"/>
      <c r="S31" s="818"/>
      <c r="T31" s="818"/>
      <c r="U31" s="818"/>
      <c r="V31" s="818"/>
      <c r="W31" s="818"/>
      <c r="X31" s="818"/>
      <c r="Y31" s="818"/>
      <c r="Z31" s="818"/>
    </row>
    <row r="32" spans="1:26" ht="18.75" hidden="1">
      <c r="A32" s="832"/>
      <c r="B32" s="833"/>
      <c r="C32" s="833"/>
      <c r="D32" s="833"/>
      <c r="E32" s="834" t="s">
        <v>18</v>
      </c>
      <c r="F32" s="833"/>
      <c r="G32" s="835"/>
      <c r="H32" s="43" t="s">
        <v>12</v>
      </c>
      <c r="I32" s="836"/>
      <c r="J32" s="836"/>
      <c r="K32" s="837"/>
      <c r="L32" s="837">
        <f t="shared" ref="L32:N33" si="21">L423+L448+L471+L506+L527+L548+L633+L659+L689+L741+L758+L774+L790+L809</f>
        <v>0</v>
      </c>
      <c r="M32" s="837">
        <f t="shared" si="21"/>
        <v>0</v>
      </c>
      <c r="N32" s="837">
        <f t="shared" si="21"/>
        <v>0</v>
      </c>
      <c r="O32" s="837">
        <f t="shared" si="17"/>
        <v>0</v>
      </c>
      <c r="P32" s="837">
        <f t="shared" si="18"/>
        <v>0</v>
      </c>
      <c r="Q32" s="825"/>
      <c r="R32" s="825"/>
      <c r="S32" s="825"/>
      <c r="T32" s="825"/>
      <c r="U32" s="825"/>
      <c r="V32" s="825"/>
      <c r="W32" s="825"/>
      <c r="X32" s="825"/>
      <c r="Y32" s="825"/>
      <c r="Z32" s="825"/>
    </row>
    <row r="33" spans="1:26" ht="18.75" hidden="1">
      <c r="A33" s="832"/>
      <c r="B33" s="833"/>
      <c r="C33" s="833"/>
      <c r="D33" s="833"/>
      <c r="E33" s="834" t="s">
        <v>19</v>
      </c>
      <c r="F33" s="833"/>
      <c r="G33" s="835"/>
      <c r="H33" s="43" t="s">
        <v>12</v>
      </c>
      <c r="I33" s="836"/>
      <c r="J33" s="836"/>
      <c r="K33" s="837"/>
      <c r="L33" s="837">
        <f t="shared" ca="1" si="21"/>
        <v>2397924</v>
      </c>
      <c r="M33" s="837">
        <f t="shared" si="21"/>
        <v>0</v>
      </c>
      <c r="N33" s="837">
        <f t="shared" si="21"/>
        <v>448426.63</v>
      </c>
      <c r="O33" s="837">
        <f t="shared" ca="1" si="17"/>
        <v>18.7006189520602</v>
      </c>
      <c r="P33" s="837">
        <f t="shared" si="18"/>
        <v>0</v>
      </c>
      <c r="Q33" s="825"/>
      <c r="R33" s="825"/>
      <c r="S33" s="825"/>
      <c r="T33" s="825"/>
      <c r="U33" s="825"/>
      <c r="V33" s="825"/>
      <c r="W33" s="825"/>
      <c r="X33" s="825"/>
      <c r="Y33" s="825"/>
      <c r="Z33" s="825"/>
    </row>
    <row r="34" spans="1:26" ht="18.75">
      <c r="A34" s="826"/>
      <c r="B34" s="827"/>
      <c r="C34" s="827"/>
      <c r="D34" s="828" t="s">
        <v>21</v>
      </c>
      <c r="E34" s="827"/>
      <c r="F34" s="827"/>
      <c r="G34" s="829"/>
      <c r="H34" s="590" t="s">
        <v>12</v>
      </c>
      <c r="I34" s="830"/>
      <c r="J34" s="830"/>
      <c r="K34" s="831"/>
      <c r="L34" s="831">
        <f t="shared" ref="L34:N34" ca="1" si="22">L35+L36</f>
        <v>0</v>
      </c>
      <c r="M34" s="831">
        <f t="shared" si="22"/>
        <v>0</v>
      </c>
      <c r="N34" s="831">
        <f t="shared" si="22"/>
        <v>0</v>
      </c>
      <c r="O34" s="831">
        <f t="shared" ca="1" si="17"/>
        <v>0</v>
      </c>
      <c r="P34" s="831">
        <f t="shared" si="18"/>
        <v>0</v>
      </c>
      <c r="Q34" s="818"/>
      <c r="R34" s="818"/>
      <c r="S34" s="818"/>
      <c r="T34" s="818"/>
      <c r="U34" s="818"/>
      <c r="V34" s="818"/>
      <c r="W34" s="818"/>
      <c r="X34" s="818"/>
      <c r="Y34" s="818"/>
      <c r="Z34" s="818"/>
    </row>
    <row r="35" spans="1:26" ht="18.75" hidden="1">
      <c r="A35" s="832"/>
      <c r="B35" s="833"/>
      <c r="C35" s="833"/>
      <c r="D35" s="833"/>
      <c r="E35" s="834" t="s">
        <v>18</v>
      </c>
      <c r="F35" s="833"/>
      <c r="G35" s="835"/>
      <c r="H35" s="43" t="s">
        <v>12</v>
      </c>
      <c r="I35" s="836"/>
      <c r="J35" s="836"/>
      <c r="K35" s="837"/>
      <c r="L35" s="837">
        <f t="shared" ref="L35:N36" si="23">L430+L455+L478+L513+L534+L556+L640+L666+L696+L748+L765+L781+L797+L816</f>
        <v>0</v>
      </c>
      <c r="M35" s="837">
        <f t="shared" si="23"/>
        <v>0</v>
      </c>
      <c r="N35" s="837">
        <f t="shared" si="23"/>
        <v>0</v>
      </c>
      <c r="O35" s="837">
        <f t="shared" si="17"/>
        <v>0</v>
      </c>
      <c r="P35" s="837">
        <f t="shared" si="18"/>
        <v>0</v>
      </c>
      <c r="Q35" s="825"/>
      <c r="R35" s="825"/>
      <c r="S35" s="825"/>
      <c r="T35" s="825"/>
      <c r="U35" s="825"/>
      <c r="V35" s="825"/>
      <c r="W35" s="825"/>
      <c r="X35" s="825"/>
      <c r="Y35" s="825"/>
      <c r="Z35" s="825"/>
    </row>
    <row r="36" spans="1:26" ht="18.75" hidden="1">
      <c r="A36" s="838"/>
      <c r="B36" s="839"/>
      <c r="C36" s="839"/>
      <c r="D36" s="839"/>
      <c r="E36" s="840" t="s">
        <v>19</v>
      </c>
      <c r="F36" s="839"/>
      <c r="G36" s="841"/>
      <c r="H36" s="50" t="s">
        <v>12</v>
      </c>
      <c r="I36" s="842"/>
      <c r="J36" s="842"/>
      <c r="K36" s="843"/>
      <c r="L36" s="843">
        <f t="shared" ca="1" si="23"/>
        <v>0</v>
      </c>
      <c r="M36" s="843">
        <f t="shared" si="23"/>
        <v>0</v>
      </c>
      <c r="N36" s="843">
        <f t="shared" si="23"/>
        <v>0</v>
      </c>
      <c r="O36" s="843">
        <f t="shared" ca="1" si="17"/>
        <v>0</v>
      </c>
      <c r="P36" s="843">
        <f t="shared" si="18"/>
        <v>0</v>
      </c>
      <c r="Q36" s="825"/>
      <c r="R36" s="825"/>
      <c r="S36" s="825"/>
      <c r="T36" s="825"/>
      <c r="U36" s="825"/>
      <c r="V36" s="825"/>
      <c r="W36" s="825"/>
      <c r="X36" s="825"/>
      <c r="Y36" s="825"/>
      <c r="Z36" s="825"/>
    </row>
    <row r="37" spans="1:26" ht="19.5">
      <c r="A37" s="844" t="s">
        <v>24</v>
      </c>
      <c r="B37" s="845"/>
      <c r="C37" s="845"/>
      <c r="D37" s="845"/>
      <c r="E37" s="845"/>
      <c r="F37" s="845"/>
      <c r="G37" s="846"/>
      <c r="H37" s="847"/>
      <c r="I37" s="848"/>
      <c r="J37" s="848"/>
      <c r="K37" s="849"/>
      <c r="L37" s="850">
        <f t="shared" ref="L37:N37" ca="1" si="24">L41+L53+L66+L88+L119+L132+L149+L165+L181+L261+L277+L298+L315+L328+L345+L389+L402</f>
        <v>2567755</v>
      </c>
      <c r="M37" s="850">
        <f t="shared" ca="1" si="24"/>
        <v>2103030</v>
      </c>
      <c r="N37" s="850">
        <f t="shared" ca="1" si="24"/>
        <v>1168227.3800000001</v>
      </c>
      <c r="O37" s="850">
        <f t="shared" ca="1" si="17"/>
        <v>45.496060955971274</v>
      </c>
      <c r="P37" s="850">
        <f t="shared" ca="1" si="18"/>
        <v>55.54972492070965</v>
      </c>
    </row>
    <row r="38" spans="1:26" ht="19.5">
      <c r="A38" s="851" t="s">
        <v>25</v>
      </c>
      <c r="B38" s="852"/>
      <c r="C38" s="852"/>
      <c r="D38" s="852"/>
      <c r="E38" s="852"/>
      <c r="F38" s="852"/>
      <c r="G38" s="853"/>
      <c r="H38" s="854"/>
      <c r="I38" s="855"/>
      <c r="J38" s="855"/>
      <c r="K38" s="856"/>
      <c r="L38" s="856"/>
      <c r="M38" s="856"/>
      <c r="N38" s="856"/>
      <c r="O38" s="856"/>
      <c r="P38" s="856"/>
    </row>
    <row r="39" spans="1:26" ht="19.5">
      <c r="A39" s="857"/>
      <c r="B39" s="858" t="s">
        <v>26</v>
      </c>
      <c r="C39" s="859"/>
      <c r="D39" s="859"/>
      <c r="E39" s="859"/>
      <c r="F39" s="859"/>
      <c r="G39" s="860"/>
      <c r="H39" s="861"/>
      <c r="I39" s="862"/>
      <c r="J39" s="862"/>
      <c r="K39" s="863"/>
      <c r="L39" s="863"/>
      <c r="M39" s="863"/>
      <c r="N39" s="863"/>
      <c r="O39" s="863"/>
      <c r="P39" s="863"/>
    </row>
    <row r="40" spans="1:26" ht="19.5">
      <c r="A40" s="864"/>
      <c r="B40" s="1513" t="s">
        <v>27</v>
      </c>
      <c r="C40" s="1485"/>
      <c r="D40" s="1485"/>
      <c r="E40" s="1485"/>
      <c r="F40" s="1485"/>
      <c r="G40" s="1491"/>
      <c r="H40" s="865"/>
      <c r="I40" s="866"/>
      <c r="J40" s="866"/>
      <c r="K40" s="867"/>
      <c r="L40" s="867"/>
      <c r="M40" s="867"/>
      <c r="N40" s="867"/>
      <c r="O40" s="867"/>
      <c r="P40" s="867"/>
    </row>
    <row r="41" spans="1:26" ht="19.5">
      <c r="A41" s="868"/>
      <c r="B41" s="869"/>
      <c r="C41" s="870" t="s">
        <v>16</v>
      </c>
      <c r="D41" s="871" t="s">
        <v>17</v>
      </c>
      <c r="E41" s="869"/>
      <c r="F41" s="869"/>
      <c r="G41" s="872"/>
      <c r="H41" s="82" t="s">
        <v>12</v>
      </c>
      <c r="I41" s="873"/>
      <c r="J41" s="873"/>
      <c r="K41" s="874"/>
      <c r="L41" s="875">
        <f t="shared" ref="L41:N41" ca="1" si="25">L42+L43</f>
        <v>532100</v>
      </c>
      <c r="M41" s="875">
        <f t="shared" ca="1" si="25"/>
        <v>537750</v>
      </c>
      <c r="N41" s="875">
        <f t="shared" ca="1" si="25"/>
        <v>268380</v>
      </c>
      <c r="O41" s="875">
        <f t="shared" ref="O41:O49" ca="1" si="26">IF(L41&gt;0,N41*100/L41,0)</f>
        <v>50.437887615109943</v>
      </c>
      <c r="P41" s="875">
        <f t="shared" ref="P41:P49" ca="1" si="27">IF(M41&gt;0,N41*100/M41,0)</f>
        <v>49.90794979079498</v>
      </c>
      <c r="Q41" s="818"/>
      <c r="R41" s="818"/>
      <c r="S41" s="818"/>
      <c r="T41" s="818"/>
      <c r="U41" s="818"/>
      <c r="V41" s="818"/>
      <c r="W41" s="818"/>
      <c r="X41" s="818"/>
      <c r="Y41" s="818"/>
      <c r="Z41" s="818"/>
    </row>
    <row r="42" spans="1:26" ht="18.75" hidden="1">
      <c r="A42" s="876"/>
      <c r="B42" s="877"/>
      <c r="C42" s="877"/>
      <c r="D42" s="877"/>
      <c r="E42" s="878" t="s">
        <v>18</v>
      </c>
      <c r="F42" s="877"/>
      <c r="G42" s="879"/>
      <c r="H42" s="90" t="s">
        <v>12</v>
      </c>
      <c r="I42" s="880"/>
      <c r="J42" s="880"/>
      <c r="K42" s="881"/>
      <c r="L42" s="881">
        <f t="shared" ref="L42:N43" si="28">L45+L48</f>
        <v>0</v>
      </c>
      <c r="M42" s="881">
        <f t="shared" si="28"/>
        <v>0</v>
      </c>
      <c r="N42" s="881">
        <f t="shared" si="28"/>
        <v>0</v>
      </c>
      <c r="O42" s="881">
        <f t="shared" si="26"/>
        <v>0</v>
      </c>
      <c r="P42" s="881">
        <f t="shared" si="27"/>
        <v>0</v>
      </c>
      <c r="Q42" s="825"/>
      <c r="R42" s="825"/>
      <c r="S42" s="825"/>
      <c r="T42" s="825"/>
      <c r="U42" s="825"/>
      <c r="V42" s="825"/>
      <c r="W42" s="825"/>
      <c r="X42" s="825"/>
      <c r="Y42" s="825"/>
      <c r="Z42" s="825"/>
    </row>
    <row r="43" spans="1:26" ht="18.75" hidden="1">
      <c r="A43" s="876"/>
      <c r="B43" s="877"/>
      <c r="C43" s="877"/>
      <c r="D43" s="877"/>
      <c r="E43" s="878" t="s">
        <v>19</v>
      </c>
      <c r="F43" s="877"/>
      <c r="G43" s="879"/>
      <c r="H43" s="90" t="s">
        <v>12</v>
      </c>
      <c r="I43" s="880"/>
      <c r="J43" s="880"/>
      <c r="K43" s="881"/>
      <c r="L43" s="881">
        <f t="shared" ca="1" si="28"/>
        <v>532100</v>
      </c>
      <c r="M43" s="881">
        <f t="shared" ca="1" si="28"/>
        <v>537750</v>
      </c>
      <c r="N43" s="881">
        <f t="shared" ca="1" si="28"/>
        <v>268380</v>
      </c>
      <c r="O43" s="881">
        <f t="shared" ca="1" si="26"/>
        <v>50.437887615109943</v>
      </c>
      <c r="P43" s="881">
        <f t="shared" ca="1" si="27"/>
        <v>49.90794979079498</v>
      </c>
      <c r="Q43" s="825"/>
      <c r="R43" s="825"/>
      <c r="S43" s="825"/>
      <c r="T43" s="825"/>
      <c r="U43" s="825"/>
      <c r="V43" s="825"/>
      <c r="W43" s="825"/>
      <c r="X43" s="825"/>
      <c r="Y43" s="825"/>
      <c r="Z43" s="825"/>
    </row>
    <row r="44" spans="1:26" ht="18.75">
      <c r="A44" s="826"/>
      <c r="B44" s="827"/>
      <c r="C44" s="827"/>
      <c r="D44" s="828" t="s">
        <v>20</v>
      </c>
      <c r="E44" s="827"/>
      <c r="F44" s="827"/>
      <c r="G44" s="829"/>
      <c r="H44" s="590" t="s">
        <v>12</v>
      </c>
      <c r="I44" s="830"/>
      <c r="J44" s="830"/>
      <c r="K44" s="831"/>
      <c r="L44" s="831">
        <f t="shared" ref="L44:N44" ca="1" si="29">L45+L46</f>
        <v>532100</v>
      </c>
      <c r="M44" s="831">
        <f t="shared" ca="1" si="29"/>
        <v>537750</v>
      </c>
      <c r="N44" s="831">
        <f t="shared" ca="1" si="29"/>
        <v>268380</v>
      </c>
      <c r="O44" s="831">
        <f t="shared" ca="1" si="26"/>
        <v>50.437887615109943</v>
      </c>
      <c r="P44" s="831">
        <f t="shared" ca="1" si="27"/>
        <v>49.90794979079498</v>
      </c>
      <c r="Q44" s="818"/>
      <c r="R44" s="818"/>
      <c r="S44" s="818"/>
      <c r="T44" s="818"/>
      <c r="U44" s="818"/>
      <c r="V44" s="818"/>
      <c r="W44" s="818"/>
      <c r="X44" s="818"/>
      <c r="Y44" s="818"/>
      <c r="Z44" s="818"/>
    </row>
    <row r="45" spans="1:26" ht="18.75" hidden="1">
      <c r="A45" s="832"/>
      <c r="B45" s="833"/>
      <c r="C45" s="833"/>
      <c r="D45" s="833"/>
      <c r="E45" s="834" t="s">
        <v>18</v>
      </c>
      <c r="F45" s="833"/>
      <c r="G45" s="835"/>
      <c r="H45" s="43" t="s">
        <v>12</v>
      </c>
      <c r="I45" s="836"/>
      <c r="J45" s="836"/>
      <c r="K45" s="837"/>
      <c r="L45" s="837">
        <v>0</v>
      </c>
      <c r="M45" s="837">
        <v>0</v>
      </c>
      <c r="N45" s="837">
        <v>0</v>
      </c>
      <c r="O45" s="837">
        <f t="shared" si="26"/>
        <v>0</v>
      </c>
      <c r="P45" s="837">
        <f t="shared" si="27"/>
        <v>0</v>
      </c>
      <c r="Q45" s="825"/>
      <c r="R45" s="825"/>
      <c r="S45" s="825"/>
      <c r="T45" s="825"/>
      <c r="U45" s="825"/>
      <c r="V45" s="825"/>
      <c r="W45" s="825"/>
      <c r="X45" s="825"/>
      <c r="Y45" s="825"/>
      <c r="Z45" s="825"/>
    </row>
    <row r="46" spans="1:26" ht="18.75" hidden="1">
      <c r="A46" s="832"/>
      <c r="B46" s="833"/>
      <c r="C46" s="833"/>
      <c r="D46" s="833"/>
      <c r="E46" s="834" t="s">
        <v>19</v>
      </c>
      <c r="F46" s="833"/>
      <c r="G46" s="835"/>
      <c r="H46" s="43" t="s">
        <v>12</v>
      </c>
      <c r="I46" s="836"/>
      <c r="J46" s="836"/>
      <c r="K46" s="837"/>
      <c r="L46" s="837">
        <f ca="1">IFERROR(__xludf.DUMMYFUNCTION("IMPORTRANGE(""https://docs.google.com/spreadsheets/d/1MeEWN-I1oV_STSDYn1IFDPWt_1FKiwhDph83XaGc0o0/edit?usp=sharing"",""งบพรบ!M26"")"),532100)</f>
        <v>532100</v>
      </c>
      <c r="M46" s="837">
        <f ca="1">IFERROR(__xludf.DUMMYFUNCTION("IMPORTRANGE(""https://docs.google.com/spreadsheets/d/1MeEWN-I1oV_STSDYn1IFDPWt_1FKiwhDph83XaGc0o0/edit?usp=sharing"",""งบพรบ!R26"")"),537750)</f>
        <v>537750</v>
      </c>
      <c r="N46" s="837">
        <f ca="1">IFERROR(__xludf.DUMMYFUNCTION("IMPORTRANGE(""https://docs.google.com/spreadsheets/d/1MeEWN-I1oV_STSDYn1IFDPWt_1FKiwhDph83XaGc0o0/edit?usp=sharing"",""งบพรบ!T26"")"),268380)</f>
        <v>268380</v>
      </c>
      <c r="O46" s="837">
        <f t="shared" ca="1" si="26"/>
        <v>50.437887615109943</v>
      </c>
      <c r="P46" s="837">
        <f t="shared" ca="1" si="27"/>
        <v>49.90794979079498</v>
      </c>
      <c r="Q46" s="825"/>
      <c r="R46" s="825"/>
      <c r="S46" s="825"/>
      <c r="T46" s="825"/>
      <c r="U46" s="825"/>
      <c r="V46" s="825"/>
      <c r="W46" s="825"/>
      <c r="X46" s="825"/>
      <c r="Y46" s="825"/>
      <c r="Z46" s="825"/>
    </row>
    <row r="47" spans="1:26" ht="18.75">
      <c r="A47" s="826"/>
      <c r="B47" s="827"/>
      <c r="C47" s="827"/>
      <c r="D47" s="828" t="s">
        <v>21</v>
      </c>
      <c r="E47" s="827"/>
      <c r="F47" s="827"/>
      <c r="G47" s="829"/>
      <c r="H47" s="590" t="s">
        <v>12</v>
      </c>
      <c r="I47" s="830"/>
      <c r="J47" s="830"/>
      <c r="K47" s="831"/>
      <c r="L47" s="831">
        <f t="shared" ref="L47:N47" ca="1" si="30">L48+L49</f>
        <v>0</v>
      </c>
      <c r="M47" s="831">
        <f t="shared" ca="1" si="30"/>
        <v>0</v>
      </c>
      <c r="N47" s="831">
        <f t="shared" ca="1" si="30"/>
        <v>0</v>
      </c>
      <c r="O47" s="831">
        <f t="shared" ca="1" si="26"/>
        <v>0</v>
      </c>
      <c r="P47" s="831">
        <f t="shared" ca="1" si="27"/>
        <v>0</v>
      </c>
      <c r="Q47" s="818"/>
      <c r="R47" s="818"/>
      <c r="S47" s="818"/>
      <c r="T47" s="818"/>
      <c r="U47" s="818"/>
      <c r="V47" s="818"/>
      <c r="W47" s="818"/>
      <c r="X47" s="818"/>
      <c r="Y47" s="818"/>
      <c r="Z47" s="818"/>
    </row>
    <row r="48" spans="1:26" ht="18.75" hidden="1">
      <c r="A48" s="832"/>
      <c r="B48" s="833"/>
      <c r="C48" s="833"/>
      <c r="D48" s="833"/>
      <c r="E48" s="834" t="s">
        <v>18</v>
      </c>
      <c r="F48" s="833"/>
      <c r="G48" s="835"/>
      <c r="H48" s="43" t="s">
        <v>12</v>
      </c>
      <c r="I48" s="836"/>
      <c r="J48" s="836"/>
      <c r="K48" s="837"/>
      <c r="L48" s="837">
        <v>0</v>
      </c>
      <c r="M48" s="837">
        <v>0</v>
      </c>
      <c r="N48" s="837">
        <v>0</v>
      </c>
      <c r="O48" s="837">
        <f t="shared" si="26"/>
        <v>0</v>
      </c>
      <c r="P48" s="837">
        <f t="shared" si="27"/>
        <v>0</v>
      </c>
      <c r="Q48" s="825"/>
      <c r="R48" s="825"/>
      <c r="S48" s="825"/>
      <c r="T48" s="825"/>
      <c r="U48" s="825"/>
      <c r="V48" s="825"/>
      <c r="W48" s="825"/>
      <c r="X48" s="825"/>
      <c r="Y48" s="825"/>
      <c r="Z48" s="825"/>
    </row>
    <row r="49" spans="1:26" ht="18.75" hidden="1">
      <c r="A49" s="838"/>
      <c r="B49" s="839"/>
      <c r="C49" s="839"/>
      <c r="D49" s="839"/>
      <c r="E49" s="840" t="s">
        <v>19</v>
      </c>
      <c r="F49" s="839"/>
      <c r="G49" s="841"/>
      <c r="H49" s="50" t="s">
        <v>12</v>
      </c>
      <c r="I49" s="842"/>
      <c r="J49" s="842"/>
      <c r="K49" s="843"/>
      <c r="L49" s="843">
        <f ca="1">IFERROR(__xludf.DUMMYFUNCTION("IMPORTRANGE(""https://docs.google.com/spreadsheets/d/1MeEWN-I1oV_STSDYn1IFDPWt_1FKiwhDph83XaGc0o0/edit?usp=sharing"",""งบพรบ!P26"")"),0)</f>
        <v>0</v>
      </c>
      <c r="M49" s="843">
        <f ca="1">IFERROR(__xludf.DUMMYFUNCTION("IMPORTRANGE(""https://docs.google.com/spreadsheets/d/1MeEWN-I1oV_STSDYn1IFDPWt_1FKiwhDph83XaGc0o0/edit?usp=sharing"",""งบพรบ!S26"")"),0)</f>
        <v>0</v>
      </c>
      <c r="N49" s="843">
        <f ca="1">IFERROR(__xludf.DUMMYFUNCTION("IMPORTRANGE(""https://docs.google.com/spreadsheets/d/1MeEWN-I1oV_STSDYn1IFDPWt_1FKiwhDph83XaGc0o0/edit?usp=sharing"",""งบพรบ!U26"")"),0)</f>
        <v>0</v>
      </c>
      <c r="O49" s="843">
        <f t="shared" ca="1" si="26"/>
        <v>0</v>
      </c>
      <c r="P49" s="843">
        <f t="shared" ca="1" si="27"/>
        <v>0</v>
      </c>
      <c r="Q49" s="825"/>
      <c r="R49" s="825"/>
      <c r="S49" s="825"/>
      <c r="T49" s="825"/>
      <c r="U49" s="825"/>
      <c r="V49" s="825"/>
      <c r="W49" s="825"/>
      <c r="X49" s="825"/>
      <c r="Y49" s="825"/>
      <c r="Z49" s="825"/>
    </row>
    <row r="50" spans="1:26" ht="19.5">
      <c r="A50" s="1514" t="s">
        <v>28</v>
      </c>
      <c r="B50" s="1494"/>
      <c r="C50" s="1494"/>
      <c r="D50" s="1494"/>
      <c r="E50" s="1494"/>
      <c r="F50" s="1494"/>
      <c r="G50" s="1495"/>
      <c r="H50" s="882"/>
      <c r="I50" s="883"/>
      <c r="J50" s="883"/>
      <c r="K50" s="884"/>
      <c r="L50" s="884"/>
      <c r="M50" s="884"/>
      <c r="N50" s="884"/>
      <c r="O50" s="884"/>
      <c r="P50" s="884"/>
    </row>
    <row r="51" spans="1:26" ht="19.5">
      <c r="A51" s="885"/>
      <c r="B51" s="1515" t="s">
        <v>29</v>
      </c>
      <c r="C51" s="1485"/>
      <c r="D51" s="1485"/>
      <c r="E51" s="1485"/>
      <c r="F51" s="1485"/>
      <c r="G51" s="1491"/>
      <c r="H51" s="886"/>
      <c r="I51" s="887"/>
      <c r="J51" s="887"/>
      <c r="K51" s="888"/>
      <c r="L51" s="888"/>
      <c r="M51" s="888"/>
      <c r="N51" s="888"/>
      <c r="O51" s="888"/>
      <c r="P51" s="888"/>
    </row>
    <row r="52" spans="1:26" ht="19.5">
      <c r="A52" s="889"/>
      <c r="B52" s="890" t="s">
        <v>30</v>
      </c>
      <c r="C52" s="891"/>
      <c r="D52" s="891"/>
      <c r="E52" s="891"/>
      <c r="F52" s="891"/>
      <c r="G52" s="892"/>
      <c r="H52" s="893"/>
      <c r="I52" s="894"/>
      <c r="J52" s="894"/>
      <c r="K52" s="895"/>
      <c r="L52" s="895"/>
      <c r="M52" s="895"/>
      <c r="N52" s="895"/>
      <c r="O52" s="895"/>
      <c r="P52" s="895"/>
    </row>
    <row r="53" spans="1:26" ht="19.5">
      <c r="A53" s="896"/>
      <c r="B53" s="897"/>
      <c r="C53" s="898" t="s">
        <v>16</v>
      </c>
      <c r="D53" s="899" t="s">
        <v>17</v>
      </c>
      <c r="E53" s="897"/>
      <c r="F53" s="897"/>
      <c r="G53" s="900"/>
      <c r="H53" s="113" t="s">
        <v>12</v>
      </c>
      <c r="I53" s="901"/>
      <c r="J53" s="901"/>
      <c r="K53" s="902"/>
      <c r="L53" s="903">
        <f t="shared" ref="L53:N53" ca="1" si="31">L54+L55</f>
        <v>647300</v>
      </c>
      <c r="M53" s="903">
        <f t="shared" ca="1" si="31"/>
        <v>485475</v>
      </c>
      <c r="N53" s="903">
        <f t="shared" ca="1" si="31"/>
        <v>356693.58</v>
      </c>
      <c r="O53" s="903">
        <f t="shared" ref="O53:O61" ca="1" si="32">IF(L53&gt;0,N53*100/L53,0)</f>
        <v>55.104832380658117</v>
      </c>
      <c r="P53" s="903">
        <f t="shared" ref="P53:P61" ca="1" si="33">IF(M53&gt;0,N53*100/M53,0)</f>
        <v>73.473109840877484</v>
      </c>
      <c r="Q53" s="818"/>
      <c r="R53" s="818"/>
      <c r="S53" s="818"/>
      <c r="T53" s="818"/>
      <c r="U53" s="818"/>
      <c r="V53" s="818"/>
      <c r="W53" s="818"/>
      <c r="X53" s="818"/>
      <c r="Y53" s="818"/>
      <c r="Z53" s="818"/>
    </row>
    <row r="54" spans="1:26" ht="18.75" hidden="1">
      <c r="A54" s="904"/>
      <c r="B54" s="905"/>
      <c r="C54" s="905"/>
      <c r="D54" s="905"/>
      <c r="E54" s="906" t="s">
        <v>18</v>
      </c>
      <c r="F54" s="905"/>
      <c r="G54" s="907"/>
      <c r="H54" s="121" t="s">
        <v>12</v>
      </c>
      <c r="I54" s="908"/>
      <c r="J54" s="908"/>
      <c r="K54" s="909"/>
      <c r="L54" s="909">
        <f t="shared" ref="L54:N55" si="34">L57+L60</f>
        <v>0</v>
      </c>
      <c r="M54" s="909">
        <f t="shared" si="34"/>
        <v>0</v>
      </c>
      <c r="N54" s="909">
        <f t="shared" si="34"/>
        <v>0</v>
      </c>
      <c r="O54" s="909">
        <f t="shared" si="32"/>
        <v>0</v>
      </c>
      <c r="P54" s="909">
        <f t="shared" si="33"/>
        <v>0</v>
      </c>
      <c r="Q54" s="825"/>
      <c r="R54" s="825"/>
      <c r="S54" s="825"/>
      <c r="T54" s="825"/>
      <c r="U54" s="825"/>
      <c r="V54" s="825"/>
      <c r="W54" s="825"/>
      <c r="X54" s="825"/>
      <c r="Y54" s="825"/>
      <c r="Z54" s="825"/>
    </row>
    <row r="55" spans="1:26" ht="18.75" hidden="1">
      <c r="A55" s="904"/>
      <c r="B55" s="905"/>
      <c r="C55" s="905"/>
      <c r="D55" s="905"/>
      <c r="E55" s="906" t="s">
        <v>19</v>
      </c>
      <c r="F55" s="905"/>
      <c r="G55" s="907"/>
      <c r="H55" s="121" t="s">
        <v>12</v>
      </c>
      <c r="I55" s="908"/>
      <c r="J55" s="908"/>
      <c r="K55" s="909"/>
      <c r="L55" s="909">
        <f t="shared" ca="1" si="34"/>
        <v>647300</v>
      </c>
      <c r="M55" s="909">
        <f t="shared" ca="1" si="34"/>
        <v>485475</v>
      </c>
      <c r="N55" s="909">
        <f t="shared" ca="1" si="34"/>
        <v>356693.58</v>
      </c>
      <c r="O55" s="909">
        <f t="shared" ca="1" si="32"/>
        <v>55.104832380658117</v>
      </c>
      <c r="P55" s="909">
        <f t="shared" ca="1" si="33"/>
        <v>73.473109840877484</v>
      </c>
      <c r="Q55" s="825"/>
      <c r="R55" s="825"/>
      <c r="S55" s="825"/>
      <c r="T55" s="825"/>
      <c r="U55" s="825"/>
      <c r="V55" s="825"/>
      <c r="W55" s="825"/>
      <c r="X55" s="825"/>
      <c r="Y55" s="825"/>
      <c r="Z55" s="825"/>
    </row>
    <row r="56" spans="1:26" ht="18.75">
      <c r="A56" s="826"/>
      <c r="B56" s="827"/>
      <c r="C56" s="827"/>
      <c r="D56" s="828" t="s">
        <v>20</v>
      </c>
      <c r="E56" s="827"/>
      <c r="F56" s="827"/>
      <c r="G56" s="829"/>
      <c r="H56" s="590" t="s">
        <v>12</v>
      </c>
      <c r="I56" s="830"/>
      <c r="J56" s="830"/>
      <c r="K56" s="831"/>
      <c r="L56" s="831">
        <f t="shared" ref="L56:N56" ca="1" si="35">L57+L58</f>
        <v>647300</v>
      </c>
      <c r="M56" s="831">
        <f t="shared" ca="1" si="35"/>
        <v>485475</v>
      </c>
      <c r="N56" s="831">
        <f t="shared" ca="1" si="35"/>
        <v>356693.58</v>
      </c>
      <c r="O56" s="831">
        <f t="shared" ca="1" si="32"/>
        <v>55.104832380658117</v>
      </c>
      <c r="P56" s="831">
        <f t="shared" ca="1" si="33"/>
        <v>73.473109840877484</v>
      </c>
      <c r="Q56" s="818"/>
      <c r="R56" s="818"/>
      <c r="S56" s="818"/>
      <c r="T56" s="818"/>
      <c r="U56" s="818"/>
      <c r="V56" s="818"/>
      <c r="W56" s="818"/>
      <c r="X56" s="818"/>
      <c r="Y56" s="818"/>
      <c r="Z56" s="818"/>
    </row>
    <row r="57" spans="1:26" ht="18.75" hidden="1">
      <c r="A57" s="832"/>
      <c r="B57" s="833"/>
      <c r="C57" s="833"/>
      <c r="D57" s="833"/>
      <c r="E57" s="834" t="s">
        <v>18</v>
      </c>
      <c r="F57" s="833"/>
      <c r="G57" s="835"/>
      <c r="H57" s="43" t="s">
        <v>12</v>
      </c>
      <c r="I57" s="836"/>
      <c r="J57" s="836"/>
      <c r="K57" s="837"/>
      <c r="L57" s="837">
        <v>0</v>
      </c>
      <c r="M57" s="837">
        <v>0</v>
      </c>
      <c r="N57" s="837">
        <v>0</v>
      </c>
      <c r="O57" s="837">
        <f t="shared" si="32"/>
        <v>0</v>
      </c>
      <c r="P57" s="837">
        <f t="shared" si="33"/>
        <v>0</v>
      </c>
      <c r="Q57" s="825"/>
      <c r="R57" s="825"/>
      <c r="S57" s="825"/>
      <c r="T57" s="825"/>
      <c r="U57" s="825"/>
      <c r="V57" s="825"/>
      <c r="W57" s="825"/>
      <c r="X57" s="825"/>
      <c r="Y57" s="825"/>
      <c r="Z57" s="825"/>
    </row>
    <row r="58" spans="1:26" ht="18.75" hidden="1">
      <c r="A58" s="832"/>
      <c r="B58" s="833"/>
      <c r="C58" s="833"/>
      <c r="D58" s="833"/>
      <c r="E58" s="834" t="s">
        <v>19</v>
      </c>
      <c r="F58" s="833"/>
      <c r="G58" s="835"/>
      <c r="H58" s="43" t="s">
        <v>12</v>
      </c>
      <c r="I58" s="836"/>
      <c r="J58" s="836"/>
      <c r="K58" s="837"/>
      <c r="L58" s="837">
        <f ca="1">IFERROR(__xludf.DUMMYFUNCTION("IMPORTRANGE(""https://docs.google.com/spreadsheets/d/1MeEWN-I1oV_STSDYn1IFDPWt_1FKiwhDph83XaGc0o0/edit?usp=sharing"",""งบพรบ!W26"")"),647300)</f>
        <v>647300</v>
      </c>
      <c r="M58" s="837">
        <f ca="1">IFERROR(__xludf.DUMMYFUNCTION("IMPORTRANGE(""https://docs.google.com/spreadsheets/d/1MeEWN-I1oV_STSDYn1IFDPWt_1FKiwhDph83XaGc0o0/edit?usp=sharing"",""งบพรบ!AB26"")"),485475)</f>
        <v>485475</v>
      </c>
      <c r="N58" s="837">
        <f ca="1">IFERROR(__xludf.DUMMYFUNCTION("IMPORTRANGE(""https://docs.google.com/spreadsheets/d/1MeEWN-I1oV_STSDYn1IFDPWt_1FKiwhDph83XaGc0o0/edit?usp=sharing"",""งบพรบ!AD26"")"),356693.58)</f>
        <v>356693.58</v>
      </c>
      <c r="O58" s="837">
        <f t="shared" ca="1" si="32"/>
        <v>55.104832380658117</v>
      </c>
      <c r="P58" s="837">
        <f t="shared" ca="1" si="33"/>
        <v>73.473109840877484</v>
      </c>
      <c r="Q58" s="825"/>
      <c r="R58" s="825"/>
      <c r="S58" s="825"/>
      <c r="T58" s="825"/>
      <c r="U58" s="825"/>
      <c r="V58" s="825"/>
      <c r="W58" s="825"/>
      <c r="X58" s="825"/>
      <c r="Y58" s="825"/>
      <c r="Z58" s="825"/>
    </row>
    <row r="59" spans="1:26" ht="18.75">
      <c r="A59" s="826"/>
      <c r="B59" s="827"/>
      <c r="C59" s="827"/>
      <c r="D59" s="828" t="s">
        <v>21</v>
      </c>
      <c r="E59" s="827"/>
      <c r="F59" s="827"/>
      <c r="G59" s="829"/>
      <c r="H59" s="590" t="s">
        <v>12</v>
      </c>
      <c r="I59" s="830"/>
      <c r="J59" s="830"/>
      <c r="K59" s="831"/>
      <c r="L59" s="831">
        <f t="shared" ref="L59:N59" ca="1" si="36">L60+L61</f>
        <v>0</v>
      </c>
      <c r="M59" s="831">
        <f t="shared" ca="1" si="36"/>
        <v>0</v>
      </c>
      <c r="N59" s="831">
        <f t="shared" ca="1" si="36"/>
        <v>0</v>
      </c>
      <c r="O59" s="831">
        <f t="shared" ca="1" si="32"/>
        <v>0</v>
      </c>
      <c r="P59" s="831">
        <f t="shared" ca="1" si="33"/>
        <v>0</v>
      </c>
      <c r="Q59" s="818"/>
      <c r="R59" s="818"/>
      <c r="S59" s="818"/>
      <c r="T59" s="818"/>
      <c r="U59" s="818"/>
      <c r="V59" s="818"/>
      <c r="W59" s="818"/>
      <c r="X59" s="818"/>
      <c r="Y59" s="818"/>
      <c r="Z59" s="818"/>
    </row>
    <row r="60" spans="1:26" ht="18.75" hidden="1">
      <c r="A60" s="832"/>
      <c r="B60" s="833"/>
      <c r="C60" s="833"/>
      <c r="D60" s="833"/>
      <c r="E60" s="834" t="s">
        <v>18</v>
      </c>
      <c r="F60" s="833"/>
      <c r="G60" s="835"/>
      <c r="H60" s="43" t="s">
        <v>12</v>
      </c>
      <c r="I60" s="836"/>
      <c r="J60" s="836"/>
      <c r="K60" s="837"/>
      <c r="L60" s="837">
        <v>0</v>
      </c>
      <c r="M60" s="837">
        <v>0</v>
      </c>
      <c r="N60" s="837">
        <v>0</v>
      </c>
      <c r="O60" s="837">
        <f t="shared" si="32"/>
        <v>0</v>
      </c>
      <c r="P60" s="837">
        <f t="shared" si="33"/>
        <v>0</v>
      </c>
      <c r="Q60" s="825"/>
      <c r="R60" s="825"/>
      <c r="S60" s="825"/>
      <c r="T60" s="825"/>
      <c r="U60" s="825"/>
      <c r="V60" s="825"/>
      <c r="W60" s="825"/>
      <c r="X60" s="825"/>
      <c r="Y60" s="825"/>
      <c r="Z60" s="825"/>
    </row>
    <row r="61" spans="1:26" ht="18.75" hidden="1">
      <c r="A61" s="838"/>
      <c r="B61" s="839"/>
      <c r="C61" s="839"/>
      <c r="D61" s="839"/>
      <c r="E61" s="840" t="s">
        <v>19</v>
      </c>
      <c r="F61" s="839"/>
      <c r="G61" s="841"/>
      <c r="H61" s="50" t="s">
        <v>12</v>
      </c>
      <c r="I61" s="842"/>
      <c r="J61" s="842"/>
      <c r="K61" s="843"/>
      <c r="L61" s="843">
        <f ca="1">IFERROR(__xludf.DUMMYFUNCTION("IMPORTRANGE(""https://docs.google.com/spreadsheets/d/1MeEWN-I1oV_STSDYn1IFDPWt_1FKiwhDph83XaGc0o0/edit?usp=sharing"",""งบพรบ!Z26"")"),0)</f>
        <v>0</v>
      </c>
      <c r="M61" s="843">
        <f ca="1">IFERROR(__xludf.DUMMYFUNCTION("IMPORTRANGE(""https://docs.google.com/spreadsheets/d/1MeEWN-I1oV_STSDYn1IFDPWt_1FKiwhDph83XaGc0o0/edit?usp=sharing"",""งบพรบ!AC26"")"),0)</f>
        <v>0</v>
      </c>
      <c r="N61" s="843">
        <f ca="1">IFERROR(__xludf.DUMMYFUNCTION("IMPORTRANGE(""https://docs.google.com/spreadsheets/d/1MeEWN-I1oV_STSDYn1IFDPWt_1FKiwhDph83XaGc0o0/edit?usp=sharing"",""งบพรบ!AE26"")"),0)</f>
        <v>0</v>
      </c>
      <c r="O61" s="843">
        <f t="shared" ca="1" si="32"/>
        <v>0</v>
      </c>
      <c r="P61" s="843">
        <f t="shared" ca="1" si="33"/>
        <v>0</v>
      </c>
      <c r="Q61" s="825"/>
      <c r="R61" s="825"/>
      <c r="S61" s="825"/>
      <c r="T61" s="825"/>
      <c r="U61" s="825"/>
      <c r="V61" s="825"/>
      <c r="W61" s="825"/>
      <c r="X61" s="825"/>
      <c r="Y61" s="825"/>
      <c r="Z61" s="825"/>
    </row>
    <row r="62" spans="1:26" ht="19.5">
      <c r="A62" s="910" t="s">
        <v>31</v>
      </c>
      <c r="B62" s="911"/>
      <c r="C62" s="911"/>
      <c r="D62" s="911"/>
      <c r="E62" s="912"/>
      <c r="F62" s="912"/>
      <c r="G62" s="913"/>
      <c r="H62" s="914"/>
      <c r="I62" s="915"/>
      <c r="J62" s="915"/>
      <c r="K62" s="916"/>
      <c r="L62" s="916"/>
      <c r="M62" s="916"/>
      <c r="N62" s="916"/>
      <c r="O62" s="916"/>
      <c r="P62" s="916"/>
    </row>
    <row r="63" spans="1:26" ht="19.5" hidden="1">
      <c r="A63" s="917" t="s">
        <v>32</v>
      </c>
      <c r="B63" s="918"/>
      <c r="C63" s="919"/>
      <c r="D63" s="918"/>
      <c r="E63" s="918"/>
      <c r="F63" s="918"/>
      <c r="G63" s="920"/>
      <c r="H63" s="921"/>
      <c r="I63" s="922"/>
      <c r="J63" s="922"/>
      <c r="K63" s="923"/>
      <c r="L63" s="923"/>
      <c r="M63" s="923"/>
      <c r="N63" s="923"/>
      <c r="O63" s="923"/>
      <c r="P63" s="923"/>
    </row>
    <row r="64" spans="1:26" ht="19.5" hidden="1">
      <c r="A64" s="924"/>
      <c r="B64" s="925" t="s">
        <v>33</v>
      </c>
      <c r="C64" s="926"/>
      <c r="D64" s="927"/>
      <c r="E64" s="926"/>
      <c r="F64" s="926"/>
      <c r="G64" s="928"/>
      <c r="H64" s="205" t="s">
        <v>34</v>
      </c>
      <c r="I64" s="929">
        <f t="shared" ref="I64:J65" ca="1" si="37">I76</f>
        <v>0</v>
      </c>
      <c r="J64" s="929">
        <f t="shared" si="37"/>
        <v>0</v>
      </c>
      <c r="K64" s="930">
        <f t="shared" ref="K64:K65" ca="1" si="38">IF(I64&gt;0,J64*100/I64,0)</f>
        <v>0</v>
      </c>
      <c r="L64" s="931"/>
      <c r="M64" s="931"/>
      <c r="N64" s="931"/>
      <c r="O64" s="931"/>
      <c r="P64" s="931"/>
    </row>
    <row r="65" spans="1:26" ht="19.5" hidden="1">
      <c r="A65" s="924"/>
      <c r="B65" s="926"/>
      <c r="C65" s="926"/>
      <c r="D65" s="927"/>
      <c r="E65" s="926"/>
      <c r="F65" s="926"/>
      <c r="G65" s="928"/>
      <c r="H65" s="205" t="s">
        <v>35</v>
      </c>
      <c r="I65" s="929">
        <f t="shared" ca="1" si="37"/>
        <v>0</v>
      </c>
      <c r="J65" s="929">
        <f t="shared" si="37"/>
        <v>0</v>
      </c>
      <c r="K65" s="930">
        <f t="shared" ca="1" si="38"/>
        <v>0</v>
      </c>
      <c r="L65" s="931"/>
      <c r="M65" s="931"/>
      <c r="N65" s="931"/>
      <c r="O65" s="931"/>
      <c r="P65" s="931"/>
    </row>
    <row r="66" spans="1:26" ht="19.5" hidden="1">
      <c r="A66" s="932"/>
      <c r="B66" s="933"/>
      <c r="C66" s="934" t="s">
        <v>16</v>
      </c>
      <c r="D66" s="935" t="s">
        <v>17</v>
      </c>
      <c r="E66" s="933"/>
      <c r="F66" s="933"/>
      <c r="G66" s="936"/>
      <c r="H66" s="152" t="s">
        <v>12</v>
      </c>
      <c r="I66" s="937"/>
      <c r="J66" s="937"/>
      <c r="K66" s="938"/>
      <c r="L66" s="939">
        <f t="shared" ref="L66:N66" ca="1" si="39">L67+L68</f>
        <v>0</v>
      </c>
      <c r="M66" s="939">
        <f t="shared" ca="1" si="39"/>
        <v>0</v>
      </c>
      <c r="N66" s="939">
        <f t="shared" ca="1" si="39"/>
        <v>0</v>
      </c>
      <c r="O66" s="939">
        <f t="shared" ref="O66:O74" ca="1" si="40">IF(L66&gt;0,N66*100/L66,0)</f>
        <v>0</v>
      </c>
      <c r="P66" s="939">
        <f t="shared" ref="P66:P74" ca="1" si="41">IF(M66&gt;0,N66*100/M66,0)</f>
        <v>0</v>
      </c>
      <c r="Q66" s="818"/>
      <c r="R66" s="818"/>
      <c r="S66" s="818"/>
      <c r="T66" s="818"/>
      <c r="U66" s="818"/>
      <c r="V66" s="818"/>
      <c r="W66" s="818"/>
      <c r="X66" s="818"/>
      <c r="Y66" s="818"/>
      <c r="Z66" s="818"/>
    </row>
    <row r="67" spans="1:26" ht="18.75" hidden="1">
      <c r="A67" s="940"/>
      <c r="B67" s="833"/>
      <c r="C67" s="833"/>
      <c r="D67" s="833"/>
      <c r="E67" s="834" t="s">
        <v>18</v>
      </c>
      <c r="F67" s="833"/>
      <c r="G67" s="941"/>
      <c r="H67" s="158" t="s">
        <v>12</v>
      </c>
      <c r="I67" s="836"/>
      <c r="J67" s="836"/>
      <c r="K67" s="837"/>
      <c r="L67" s="837">
        <f t="shared" ref="L67:N68" si="42">L70+L73</f>
        <v>0</v>
      </c>
      <c r="M67" s="837">
        <f t="shared" si="42"/>
        <v>0</v>
      </c>
      <c r="N67" s="837">
        <f t="shared" si="42"/>
        <v>0</v>
      </c>
      <c r="O67" s="837">
        <f t="shared" si="40"/>
        <v>0</v>
      </c>
      <c r="P67" s="837">
        <f t="shared" si="41"/>
        <v>0</v>
      </c>
      <c r="Q67" s="825"/>
      <c r="R67" s="825"/>
      <c r="S67" s="825"/>
      <c r="T67" s="825"/>
      <c r="U67" s="825"/>
      <c r="V67" s="825"/>
      <c r="W67" s="825"/>
      <c r="X67" s="825"/>
      <c r="Y67" s="825"/>
      <c r="Z67" s="825"/>
    </row>
    <row r="68" spans="1:26" ht="18.75" hidden="1">
      <c r="A68" s="940"/>
      <c r="B68" s="833"/>
      <c r="C68" s="833"/>
      <c r="D68" s="833"/>
      <c r="E68" s="834" t="s">
        <v>19</v>
      </c>
      <c r="F68" s="833"/>
      <c r="G68" s="941"/>
      <c r="H68" s="158" t="s">
        <v>12</v>
      </c>
      <c r="I68" s="836"/>
      <c r="J68" s="836"/>
      <c r="K68" s="837"/>
      <c r="L68" s="837">
        <f t="shared" ca="1" si="42"/>
        <v>0</v>
      </c>
      <c r="M68" s="837">
        <f t="shared" ca="1" si="42"/>
        <v>0</v>
      </c>
      <c r="N68" s="837">
        <f t="shared" ca="1" si="42"/>
        <v>0</v>
      </c>
      <c r="O68" s="837">
        <f t="shared" ca="1" si="40"/>
        <v>0</v>
      </c>
      <c r="P68" s="837">
        <f t="shared" ca="1" si="41"/>
        <v>0</v>
      </c>
      <c r="Q68" s="825"/>
      <c r="R68" s="825"/>
      <c r="S68" s="825"/>
      <c r="T68" s="825"/>
      <c r="U68" s="825"/>
      <c r="V68" s="825"/>
      <c r="W68" s="825"/>
      <c r="X68" s="825"/>
      <c r="Y68" s="825"/>
      <c r="Z68" s="825"/>
    </row>
    <row r="69" spans="1:26" ht="18.75" hidden="1">
      <c r="A69" s="942"/>
      <c r="B69" s="827"/>
      <c r="C69" s="943"/>
      <c r="D69" s="828" t="s">
        <v>20</v>
      </c>
      <c r="E69" s="827"/>
      <c r="F69" s="827"/>
      <c r="G69" s="829"/>
      <c r="H69" s="778" t="s">
        <v>12</v>
      </c>
      <c r="I69" s="944"/>
      <c r="J69" s="944"/>
      <c r="K69" s="945"/>
      <c r="L69" s="831">
        <f t="shared" ref="L69:N69" ca="1" si="43">L70+L71</f>
        <v>0</v>
      </c>
      <c r="M69" s="831">
        <f t="shared" ca="1" si="43"/>
        <v>0</v>
      </c>
      <c r="N69" s="831">
        <f t="shared" ca="1" si="43"/>
        <v>0</v>
      </c>
      <c r="O69" s="831">
        <f t="shared" ca="1" si="40"/>
        <v>0</v>
      </c>
      <c r="P69" s="831">
        <f t="shared" ca="1" si="41"/>
        <v>0</v>
      </c>
      <c r="Q69" s="818"/>
      <c r="R69" s="818"/>
      <c r="S69" s="818"/>
      <c r="T69" s="818"/>
      <c r="U69" s="818"/>
      <c r="V69" s="818"/>
      <c r="W69" s="818"/>
      <c r="X69" s="818"/>
      <c r="Y69" s="818"/>
      <c r="Z69" s="818"/>
    </row>
    <row r="70" spans="1:26" ht="19.5" hidden="1">
      <c r="A70" s="940"/>
      <c r="B70" s="833"/>
      <c r="C70" s="946"/>
      <c r="D70" s="833"/>
      <c r="E70" s="834" t="s">
        <v>36</v>
      </c>
      <c r="F70" s="833"/>
      <c r="G70" s="941"/>
      <c r="H70" s="165" t="s">
        <v>12</v>
      </c>
      <c r="I70" s="947"/>
      <c r="J70" s="947"/>
      <c r="K70" s="948"/>
      <c r="L70" s="837">
        <v>0</v>
      </c>
      <c r="M70" s="837">
        <v>0</v>
      </c>
      <c r="N70" s="837">
        <v>0</v>
      </c>
      <c r="O70" s="837">
        <f t="shared" si="40"/>
        <v>0</v>
      </c>
      <c r="P70" s="837">
        <f t="shared" si="41"/>
        <v>0</v>
      </c>
      <c r="Q70" s="825"/>
      <c r="R70" s="825"/>
      <c r="S70" s="825"/>
      <c r="T70" s="825"/>
      <c r="U70" s="825"/>
      <c r="V70" s="825"/>
      <c r="W70" s="825"/>
      <c r="X70" s="825"/>
      <c r="Y70" s="825"/>
      <c r="Z70" s="825"/>
    </row>
    <row r="71" spans="1:26" ht="19.5" hidden="1">
      <c r="A71" s="940"/>
      <c r="B71" s="833"/>
      <c r="C71" s="946"/>
      <c r="D71" s="833"/>
      <c r="E71" s="834" t="s">
        <v>37</v>
      </c>
      <c r="F71" s="833"/>
      <c r="G71" s="941"/>
      <c r="H71" s="165" t="s">
        <v>12</v>
      </c>
      <c r="I71" s="947"/>
      <c r="J71" s="947"/>
      <c r="K71" s="948"/>
      <c r="L71" s="837">
        <f ca="1">IFERROR(__xludf.DUMMYFUNCTION("IMPORTRANGE(""https://docs.google.com/spreadsheets/d/1MeEWN-I1oV_STSDYn1IFDPWt_1FKiwhDph83XaGc0o0/edit?usp=sharing"",""งบพรบ!AG26"")"),0)</f>
        <v>0</v>
      </c>
      <c r="M71" s="837">
        <f ca="1">IFERROR(__xludf.DUMMYFUNCTION("IMPORTRANGE(""https://docs.google.com/spreadsheets/d/1MeEWN-I1oV_STSDYn1IFDPWt_1FKiwhDph83XaGc0o0/edit?usp=sharing"",""งบพรบ!AL26"")"),0)</f>
        <v>0</v>
      </c>
      <c r="N71" s="837">
        <f ca="1">IFERROR(__xludf.DUMMYFUNCTION("IMPORTRANGE(""https://docs.google.com/spreadsheets/d/1MeEWN-I1oV_STSDYn1IFDPWt_1FKiwhDph83XaGc0o0/edit?usp=sharing"",""งบพรบ!AN26"")"),0)</f>
        <v>0</v>
      </c>
      <c r="O71" s="837">
        <f t="shared" ca="1" si="40"/>
        <v>0</v>
      </c>
      <c r="P71" s="837">
        <f t="shared" ca="1" si="41"/>
        <v>0</v>
      </c>
      <c r="Q71" s="825"/>
      <c r="R71" s="825"/>
      <c r="S71" s="825"/>
      <c r="T71" s="825"/>
      <c r="U71" s="825"/>
      <c r="V71" s="825"/>
      <c r="W71" s="825"/>
      <c r="X71" s="825"/>
      <c r="Y71" s="825"/>
      <c r="Z71" s="825"/>
    </row>
    <row r="72" spans="1:26" ht="18.75" hidden="1">
      <c r="A72" s="942"/>
      <c r="B72" s="827"/>
      <c r="C72" s="943"/>
      <c r="D72" s="828" t="s">
        <v>21</v>
      </c>
      <c r="E72" s="827"/>
      <c r="F72" s="827"/>
      <c r="G72" s="829"/>
      <c r="H72" s="168" t="s">
        <v>12</v>
      </c>
      <c r="I72" s="944"/>
      <c r="J72" s="944"/>
      <c r="K72" s="945"/>
      <c r="L72" s="831">
        <f t="shared" ref="L72:N72" ca="1" si="44">L73+L74</f>
        <v>0</v>
      </c>
      <c r="M72" s="831">
        <f t="shared" ca="1" si="44"/>
        <v>0</v>
      </c>
      <c r="N72" s="831">
        <f t="shared" ca="1" si="44"/>
        <v>0</v>
      </c>
      <c r="O72" s="831">
        <f t="shared" ca="1" si="40"/>
        <v>0</v>
      </c>
      <c r="P72" s="831">
        <f t="shared" ca="1" si="41"/>
        <v>0</v>
      </c>
      <c r="Q72" s="818"/>
      <c r="R72" s="818"/>
      <c r="S72" s="818"/>
      <c r="T72" s="818"/>
      <c r="U72" s="818"/>
      <c r="V72" s="818"/>
      <c r="W72" s="818"/>
      <c r="X72" s="818"/>
      <c r="Y72" s="818"/>
      <c r="Z72" s="818"/>
    </row>
    <row r="73" spans="1:26" ht="19.5" hidden="1">
      <c r="A73" s="940"/>
      <c r="B73" s="833"/>
      <c r="C73" s="946"/>
      <c r="D73" s="833"/>
      <c r="E73" s="834" t="s">
        <v>18</v>
      </c>
      <c r="F73" s="833"/>
      <c r="G73" s="941"/>
      <c r="H73" s="165" t="s">
        <v>12</v>
      </c>
      <c r="I73" s="947"/>
      <c r="J73" s="947"/>
      <c r="K73" s="948"/>
      <c r="L73" s="837">
        <v>0</v>
      </c>
      <c r="M73" s="837"/>
      <c r="N73" s="837"/>
      <c r="O73" s="837">
        <f t="shared" si="40"/>
        <v>0</v>
      </c>
      <c r="P73" s="837">
        <f t="shared" si="41"/>
        <v>0</v>
      </c>
      <c r="Q73" s="825"/>
      <c r="R73" s="825"/>
      <c r="S73" s="825"/>
      <c r="T73" s="825"/>
      <c r="U73" s="825"/>
      <c r="V73" s="825"/>
      <c r="W73" s="825"/>
      <c r="X73" s="825"/>
      <c r="Y73" s="825"/>
      <c r="Z73" s="825"/>
    </row>
    <row r="74" spans="1:26" ht="19.5" hidden="1">
      <c r="A74" s="940"/>
      <c r="B74" s="833"/>
      <c r="C74" s="946"/>
      <c r="D74" s="833"/>
      <c r="E74" s="834" t="s">
        <v>19</v>
      </c>
      <c r="F74" s="833"/>
      <c r="G74" s="941"/>
      <c r="H74" s="169" t="s">
        <v>12</v>
      </c>
      <c r="I74" s="947"/>
      <c r="J74" s="947"/>
      <c r="K74" s="948"/>
      <c r="L74" s="837">
        <f ca="1">IFERROR(__xludf.DUMMYFUNCTION("IMPORTRANGE(""https://docs.google.com/spreadsheets/d/1MeEWN-I1oV_STSDYn1IFDPWt_1FKiwhDph83XaGc0o0/edit?usp=sharing"",""งบพรบ!AJ26"")"),0)</f>
        <v>0</v>
      </c>
      <c r="M74" s="837">
        <f ca="1">IFERROR(__xludf.DUMMYFUNCTION("IMPORTRANGE(""https://docs.google.com/spreadsheets/d/1MeEWN-I1oV_STSDYn1IFDPWt_1FKiwhDph83XaGc0o0/edit?usp=sharing"",""งบพรบ!AM26"")"),0)</f>
        <v>0</v>
      </c>
      <c r="N74" s="837">
        <f ca="1">IFERROR(__xludf.DUMMYFUNCTION("IMPORTRANGE(""https://docs.google.com/spreadsheets/d/1MeEWN-I1oV_STSDYn1IFDPWt_1FKiwhDph83XaGc0o0/edit?usp=sharing"",""งบพรบ!AO26"")"),0)</f>
        <v>0</v>
      </c>
      <c r="O74" s="837">
        <f t="shared" ca="1" si="40"/>
        <v>0</v>
      </c>
      <c r="P74" s="837">
        <f t="shared" ca="1" si="41"/>
        <v>0</v>
      </c>
      <c r="Q74" s="825"/>
      <c r="R74" s="825"/>
      <c r="S74" s="825"/>
      <c r="T74" s="825"/>
      <c r="U74" s="825"/>
      <c r="V74" s="825"/>
      <c r="W74" s="825"/>
      <c r="X74" s="825"/>
      <c r="Y74" s="825"/>
      <c r="Z74" s="825"/>
    </row>
    <row r="75" spans="1:26" ht="19.5" hidden="1">
      <c r="A75" s="949"/>
      <c r="B75" s="950"/>
      <c r="C75" s="946" t="s">
        <v>16</v>
      </c>
      <c r="D75" s="951" t="s">
        <v>38</v>
      </c>
      <c r="E75" s="952"/>
      <c r="F75" s="952"/>
      <c r="G75" s="953"/>
      <c r="H75" s="954"/>
      <c r="I75" s="944"/>
      <c r="J75" s="944"/>
      <c r="K75" s="945"/>
      <c r="L75" s="945"/>
      <c r="M75" s="945"/>
      <c r="N75" s="945"/>
      <c r="O75" s="945"/>
      <c r="P75" s="945"/>
    </row>
    <row r="76" spans="1:26" ht="19.5" hidden="1">
      <c r="A76" s="949"/>
      <c r="B76" s="950"/>
      <c r="C76" s="950"/>
      <c r="D76" s="955" t="s">
        <v>39</v>
      </c>
      <c r="E76" s="956"/>
      <c r="F76" s="957"/>
      <c r="G76" s="958"/>
      <c r="H76" s="180" t="s">
        <v>34</v>
      </c>
      <c r="I76" s="830">
        <f t="shared" ref="I76:J77" ca="1" si="45">I78+I80+I82</f>
        <v>0</v>
      </c>
      <c r="J76" s="830">
        <f t="shared" si="45"/>
        <v>0</v>
      </c>
      <c r="K76" s="945">
        <f t="shared" ref="K76:K84" ca="1" si="46">IF(I76&gt;0,J76*100/I76,0)</f>
        <v>0</v>
      </c>
      <c r="L76" s="945"/>
      <c r="M76" s="945"/>
      <c r="N76" s="945"/>
      <c r="O76" s="945"/>
      <c r="P76" s="945"/>
    </row>
    <row r="77" spans="1:26" ht="19.5" hidden="1">
      <c r="A77" s="949"/>
      <c r="B77" s="950"/>
      <c r="C77" s="950"/>
      <c r="D77" s="950"/>
      <c r="E77" s="957"/>
      <c r="F77" s="957"/>
      <c r="G77" s="958"/>
      <c r="H77" s="180" t="s">
        <v>35</v>
      </c>
      <c r="I77" s="830">
        <f t="shared" ca="1" si="45"/>
        <v>0</v>
      </c>
      <c r="J77" s="830">
        <f t="shared" si="45"/>
        <v>0</v>
      </c>
      <c r="K77" s="945">
        <f t="shared" ca="1" si="46"/>
        <v>0</v>
      </c>
      <c r="L77" s="945"/>
      <c r="M77" s="945"/>
      <c r="N77" s="945"/>
      <c r="O77" s="945"/>
      <c r="P77" s="945"/>
    </row>
    <row r="78" spans="1:26" ht="18.75" hidden="1">
      <c r="A78" s="949"/>
      <c r="B78" s="950"/>
      <c r="C78" s="950"/>
      <c r="D78" s="950"/>
      <c r="E78" s="956" t="s">
        <v>40</v>
      </c>
      <c r="F78" s="956"/>
      <c r="G78" s="958"/>
      <c r="H78" s="730" t="s">
        <v>34</v>
      </c>
      <c r="I78" s="944">
        <f ca="1">IFERROR(__xludf.DUMMYFUNCTION("IMPORTRANGE(""https://docs.google.com/spreadsheets/d/1QqKyyYR6Q21VydFLVH3TRQUabQu_ym0Zz7PgGX0-kHA/edit?usp=sharing"",""แผน!H26"")"),0)</f>
        <v>0</v>
      </c>
      <c r="J78" s="959">
        <v>0</v>
      </c>
      <c r="K78" s="945">
        <f t="shared" ca="1" si="46"/>
        <v>0</v>
      </c>
      <c r="L78" s="945"/>
      <c r="M78" s="945"/>
      <c r="N78" s="945"/>
      <c r="O78" s="945"/>
      <c r="P78" s="945"/>
    </row>
    <row r="79" spans="1:26" ht="18.75" hidden="1">
      <c r="A79" s="949"/>
      <c r="B79" s="950"/>
      <c r="C79" s="950"/>
      <c r="D79" s="950"/>
      <c r="E79" s="957"/>
      <c r="F79" s="957"/>
      <c r="G79" s="958"/>
      <c r="H79" s="730" t="s">
        <v>35</v>
      </c>
      <c r="I79" s="944">
        <f ca="1">IFERROR(__xludf.DUMMYFUNCTION("IMPORTRANGE(""https://docs.google.com/spreadsheets/d/1QqKyyYR6Q21VydFLVH3TRQUabQu_ym0Zz7PgGX0-kHA/edit?usp=sharing"",""แผน!I26"")"),0)</f>
        <v>0</v>
      </c>
      <c r="J79" s="959">
        <v>0</v>
      </c>
      <c r="K79" s="945">
        <f t="shared" ca="1" si="46"/>
        <v>0</v>
      </c>
      <c r="L79" s="945"/>
      <c r="M79" s="945"/>
      <c r="N79" s="945"/>
      <c r="O79" s="945"/>
      <c r="P79" s="945"/>
    </row>
    <row r="80" spans="1:26" ht="18.75" hidden="1">
      <c r="A80" s="949"/>
      <c r="B80" s="950"/>
      <c r="C80" s="950"/>
      <c r="D80" s="950"/>
      <c r="E80" s="956" t="s">
        <v>41</v>
      </c>
      <c r="F80" s="956"/>
      <c r="G80" s="958"/>
      <c r="H80" s="730" t="s">
        <v>34</v>
      </c>
      <c r="I80" s="944">
        <f ca="1">IFERROR(__xludf.DUMMYFUNCTION("IMPORTRANGE(""https://docs.google.com/spreadsheets/d/1QqKyyYR6Q21VydFLVH3TRQUabQu_ym0Zz7PgGX0-kHA/edit?usp=sharing"",""แผน!F26"")"),0)</f>
        <v>0</v>
      </c>
      <c r="J80" s="959">
        <v>0</v>
      </c>
      <c r="K80" s="945">
        <f t="shared" ca="1" si="46"/>
        <v>0</v>
      </c>
      <c r="L80" s="945"/>
      <c r="M80" s="945"/>
      <c r="N80" s="945"/>
      <c r="O80" s="945"/>
      <c r="P80" s="945"/>
    </row>
    <row r="81" spans="1:26" ht="18.75" hidden="1">
      <c r="A81" s="949"/>
      <c r="B81" s="950"/>
      <c r="C81" s="950"/>
      <c r="D81" s="950"/>
      <c r="E81" s="957"/>
      <c r="F81" s="957"/>
      <c r="G81" s="958"/>
      <c r="H81" s="730" t="s">
        <v>35</v>
      </c>
      <c r="I81" s="944">
        <f ca="1">IFERROR(__xludf.DUMMYFUNCTION("IMPORTRANGE(""https://docs.google.com/spreadsheets/d/1QqKyyYR6Q21VydFLVH3TRQUabQu_ym0Zz7PgGX0-kHA/edit?usp=sharing"",""แผน!G26"")"),0)</f>
        <v>0</v>
      </c>
      <c r="J81" s="959">
        <v>0</v>
      </c>
      <c r="K81" s="945">
        <f t="shared" ca="1" si="46"/>
        <v>0</v>
      </c>
      <c r="L81" s="945"/>
      <c r="M81" s="945"/>
      <c r="N81" s="945"/>
      <c r="O81" s="945"/>
      <c r="P81" s="945"/>
    </row>
    <row r="82" spans="1:26" ht="18.75" hidden="1">
      <c r="A82" s="949"/>
      <c r="B82" s="950"/>
      <c r="C82" s="950"/>
      <c r="D82" s="950"/>
      <c r="E82" s="956" t="s">
        <v>42</v>
      </c>
      <c r="F82" s="956"/>
      <c r="G82" s="958"/>
      <c r="H82" s="730" t="s">
        <v>34</v>
      </c>
      <c r="I82" s="944">
        <f ca="1">IFERROR(__xludf.DUMMYFUNCTION("IMPORTRANGE(""https://docs.google.com/spreadsheets/d/1QqKyyYR6Q21VydFLVH3TRQUabQu_ym0Zz7PgGX0-kHA/edit?usp=sharing"",""แผน!D26"")"),0)</f>
        <v>0</v>
      </c>
      <c r="J82" s="959">
        <v>0</v>
      </c>
      <c r="K82" s="945">
        <f t="shared" ca="1" si="46"/>
        <v>0</v>
      </c>
      <c r="L82" s="945"/>
      <c r="M82" s="945"/>
      <c r="N82" s="945"/>
      <c r="O82" s="945"/>
      <c r="P82" s="945"/>
    </row>
    <row r="83" spans="1:26" ht="18.75" hidden="1">
      <c r="A83" s="949"/>
      <c r="B83" s="950"/>
      <c r="C83" s="950"/>
      <c r="D83" s="950"/>
      <c r="E83" s="957"/>
      <c r="F83" s="957"/>
      <c r="G83" s="958"/>
      <c r="H83" s="730" t="s">
        <v>35</v>
      </c>
      <c r="I83" s="944">
        <f ca="1">IFERROR(__xludf.DUMMYFUNCTION("IMPORTRANGE(""https://docs.google.com/spreadsheets/d/1QqKyyYR6Q21VydFLVH3TRQUabQu_ym0Zz7PgGX0-kHA/edit?usp=sharing"",""แผน!E26"")"),0)</f>
        <v>0</v>
      </c>
      <c r="J83" s="959">
        <v>0</v>
      </c>
      <c r="K83" s="945">
        <f t="shared" ca="1" si="46"/>
        <v>0</v>
      </c>
      <c r="L83" s="945"/>
      <c r="M83" s="945"/>
      <c r="N83" s="945"/>
      <c r="O83" s="945"/>
      <c r="P83" s="945"/>
    </row>
    <row r="84" spans="1:26" ht="18.75" hidden="1">
      <c r="A84" s="949"/>
      <c r="B84" s="950"/>
      <c r="C84" s="950"/>
      <c r="D84" s="955" t="s">
        <v>43</v>
      </c>
      <c r="E84" s="956"/>
      <c r="F84" s="957"/>
      <c r="G84" s="958"/>
      <c r="H84" s="777" t="s">
        <v>34</v>
      </c>
      <c r="I84" s="944">
        <f ca="1">IFERROR(__xludf.DUMMYFUNCTION("IMPORTRANGE(""https://docs.google.com/spreadsheets/d/1QqKyyYR6Q21VydFLVH3TRQUabQu_ym0Zz7PgGX0-kHA/edit?usp=sharing"",""แผน!J26"")"),0)</f>
        <v>0</v>
      </c>
      <c r="J84" s="959">
        <v>0</v>
      </c>
      <c r="K84" s="945">
        <f t="shared" ca="1" si="46"/>
        <v>0</v>
      </c>
      <c r="L84" s="945"/>
      <c r="M84" s="945"/>
      <c r="N84" s="945"/>
      <c r="O84" s="945"/>
      <c r="P84" s="945"/>
    </row>
    <row r="85" spans="1:26" ht="19.5">
      <c r="A85" s="917" t="s">
        <v>44</v>
      </c>
      <c r="B85" s="918"/>
      <c r="C85" s="919"/>
      <c r="D85" s="918"/>
      <c r="E85" s="918"/>
      <c r="F85" s="918"/>
      <c r="G85" s="920"/>
      <c r="H85" s="921"/>
      <c r="I85" s="922"/>
      <c r="J85" s="922"/>
      <c r="K85" s="923"/>
      <c r="L85" s="923"/>
      <c r="M85" s="923"/>
      <c r="N85" s="923"/>
      <c r="O85" s="923"/>
      <c r="P85" s="923"/>
    </row>
    <row r="86" spans="1:26" ht="19.5">
      <c r="A86" s="924"/>
      <c r="B86" s="925" t="s">
        <v>45</v>
      </c>
      <c r="C86" s="926"/>
      <c r="D86" s="927"/>
      <c r="E86" s="926"/>
      <c r="F86" s="926"/>
      <c r="G86" s="928"/>
      <c r="H86" s="205" t="s">
        <v>46</v>
      </c>
      <c r="I86" s="929">
        <f t="shared" ref="I86:J87" ca="1" si="47">I98</f>
        <v>30</v>
      </c>
      <c r="J86" s="929">
        <f t="shared" si="47"/>
        <v>30</v>
      </c>
      <c r="K86" s="930">
        <f t="shared" ref="K86:K87" ca="1" si="48">IF(I86&gt;0,J86*100/I86,0)</f>
        <v>100</v>
      </c>
      <c r="L86" s="931"/>
      <c r="M86" s="931"/>
      <c r="N86" s="931"/>
      <c r="O86" s="931"/>
      <c r="P86" s="931"/>
    </row>
    <row r="87" spans="1:26" ht="19.5">
      <c r="A87" s="924"/>
      <c r="B87" s="926"/>
      <c r="C87" s="926"/>
      <c r="D87" s="927"/>
      <c r="E87" s="926"/>
      <c r="F87" s="926"/>
      <c r="G87" s="928"/>
      <c r="H87" s="205" t="s">
        <v>35</v>
      </c>
      <c r="I87" s="929">
        <f t="shared" ca="1" si="47"/>
        <v>10</v>
      </c>
      <c r="J87" s="929">
        <f t="shared" si="47"/>
        <v>10</v>
      </c>
      <c r="K87" s="930">
        <f t="shared" ca="1" si="48"/>
        <v>100</v>
      </c>
      <c r="L87" s="931"/>
      <c r="M87" s="931"/>
      <c r="N87" s="931"/>
      <c r="O87" s="931"/>
      <c r="P87" s="931"/>
    </row>
    <row r="88" spans="1:26" ht="19.5">
      <c r="A88" s="932"/>
      <c r="B88" s="933"/>
      <c r="C88" s="934" t="s">
        <v>16</v>
      </c>
      <c r="D88" s="935" t="s">
        <v>17</v>
      </c>
      <c r="E88" s="933"/>
      <c r="F88" s="933"/>
      <c r="G88" s="936"/>
      <c r="H88" s="152" t="s">
        <v>12</v>
      </c>
      <c r="I88" s="937"/>
      <c r="J88" s="937"/>
      <c r="K88" s="938"/>
      <c r="L88" s="939">
        <f t="shared" ref="L88:N88" ca="1" si="49">L89+L90</f>
        <v>86040</v>
      </c>
      <c r="M88" s="939">
        <f t="shared" ca="1" si="49"/>
        <v>79340</v>
      </c>
      <c r="N88" s="939">
        <f t="shared" ca="1" si="49"/>
        <v>24645</v>
      </c>
      <c r="O88" s="939">
        <f t="shared" ref="O88:O96" ca="1" si="50">IF(L88&gt;0,N88*100/L88,0)</f>
        <v>28.643654114365411</v>
      </c>
      <c r="P88" s="939">
        <f t="shared" ref="P88:P96" ca="1" si="51">IF(M88&gt;0,N88*100/M88,0)</f>
        <v>31.062515754978573</v>
      </c>
      <c r="Q88" s="818"/>
      <c r="R88" s="818"/>
      <c r="S88" s="818"/>
      <c r="T88" s="818"/>
      <c r="U88" s="818"/>
      <c r="V88" s="818"/>
      <c r="W88" s="818"/>
      <c r="X88" s="818"/>
      <c r="Y88" s="818"/>
      <c r="Z88" s="818"/>
    </row>
    <row r="89" spans="1:26" ht="18.75" hidden="1">
      <c r="A89" s="940"/>
      <c r="B89" s="833"/>
      <c r="C89" s="833"/>
      <c r="D89" s="833"/>
      <c r="E89" s="834" t="s">
        <v>18</v>
      </c>
      <c r="F89" s="833"/>
      <c r="G89" s="941"/>
      <c r="H89" s="158" t="s">
        <v>12</v>
      </c>
      <c r="I89" s="836"/>
      <c r="J89" s="836"/>
      <c r="K89" s="837"/>
      <c r="L89" s="837">
        <f t="shared" ref="L89:N90" si="52">L92+L95</f>
        <v>0</v>
      </c>
      <c r="M89" s="837">
        <f t="shared" si="52"/>
        <v>0</v>
      </c>
      <c r="N89" s="837">
        <f t="shared" si="52"/>
        <v>0</v>
      </c>
      <c r="O89" s="837">
        <f t="shared" si="50"/>
        <v>0</v>
      </c>
      <c r="P89" s="837">
        <f t="shared" si="51"/>
        <v>0</v>
      </c>
      <c r="Q89" s="825"/>
      <c r="R89" s="825"/>
      <c r="S89" s="825"/>
      <c r="T89" s="825"/>
      <c r="U89" s="825"/>
      <c r="V89" s="825"/>
      <c r="W89" s="825"/>
      <c r="X89" s="825"/>
      <c r="Y89" s="825"/>
      <c r="Z89" s="825"/>
    </row>
    <row r="90" spans="1:26" ht="18.75" hidden="1">
      <c r="A90" s="940"/>
      <c r="B90" s="833"/>
      <c r="C90" s="833"/>
      <c r="D90" s="833"/>
      <c r="E90" s="834" t="s">
        <v>19</v>
      </c>
      <c r="F90" s="833"/>
      <c r="G90" s="941"/>
      <c r="H90" s="158" t="s">
        <v>12</v>
      </c>
      <c r="I90" s="836"/>
      <c r="J90" s="836"/>
      <c r="K90" s="837"/>
      <c r="L90" s="837">
        <f t="shared" ca="1" si="52"/>
        <v>86040</v>
      </c>
      <c r="M90" s="837">
        <f t="shared" ca="1" si="52"/>
        <v>79340</v>
      </c>
      <c r="N90" s="837">
        <f t="shared" ca="1" si="52"/>
        <v>24645</v>
      </c>
      <c r="O90" s="837">
        <f t="shared" ca="1" si="50"/>
        <v>28.643654114365411</v>
      </c>
      <c r="P90" s="837">
        <f t="shared" ca="1" si="51"/>
        <v>31.062515754978573</v>
      </c>
      <c r="Q90" s="825"/>
      <c r="R90" s="825"/>
      <c r="S90" s="825"/>
      <c r="T90" s="825"/>
      <c r="U90" s="825"/>
      <c r="V90" s="825"/>
      <c r="W90" s="825"/>
      <c r="X90" s="825"/>
      <c r="Y90" s="825"/>
      <c r="Z90" s="825"/>
    </row>
    <row r="91" spans="1:26" ht="18.75">
      <c r="A91" s="942"/>
      <c r="B91" s="827"/>
      <c r="C91" s="943"/>
      <c r="D91" s="828" t="s">
        <v>20</v>
      </c>
      <c r="E91" s="827"/>
      <c r="F91" s="827"/>
      <c r="G91" s="829"/>
      <c r="H91" s="778" t="s">
        <v>12</v>
      </c>
      <c r="I91" s="944"/>
      <c r="J91" s="944"/>
      <c r="K91" s="945"/>
      <c r="L91" s="831">
        <f t="shared" ref="L91:N91" ca="1" si="53">L92+L93</f>
        <v>86040</v>
      </c>
      <c r="M91" s="831">
        <f t="shared" ca="1" si="53"/>
        <v>79340</v>
      </c>
      <c r="N91" s="831">
        <f t="shared" ca="1" si="53"/>
        <v>24645</v>
      </c>
      <c r="O91" s="831">
        <f t="shared" ca="1" si="50"/>
        <v>28.643654114365411</v>
      </c>
      <c r="P91" s="831">
        <f t="shared" ca="1" si="51"/>
        <v>31.062515754978573</v>
      </c>
      <c r="Q91" s="818"/>
      <c r="R91" s="818"/>
      <c r="S91" s="818"/>
      <c r="T91" s="818"/>
      <c r="U91" s="818"/>
      <c r="V91" s="818"/>
      <c r="W91" s="818"/>
      <c r="X91" s="818"/>
      <c r="Y91" s="818"/>
      <c r="Z91" s="818"/>
    </row>
    <row r="92" spans="1:26" ht="19.5" hidden="1">
      <c r="A92" s="940"/>
      <c r="B92" s="833"/>
      <c r="C92" s="946"/>
      <c r="D92" s="833"/>
      <c r="E92" s="834" t="s">
        <v>36</v>
      </c>
      <c r="F92" s="833"/>
      <c r="G92" s="941"/>
      <c r="H92" s="165" t="s">
        <v>12</v>
      </c>
      <c r="I92" s="947"/>
      <c r="J92" s="947"/>
      <c r="K92" s="948"/>
      <c r="L92" s="837">
        <v>0</v>
      </c>
      <c r="M92" s="837">
        <v>0</v>
      </c>
      <c r="N92" s="837">
        <v>0</v>
      </c>
      <c r="O92" s="837">
        <f t="shared" si="50"/>
        <v>0</v>
      </c>
      <c r="P92" s="837">
        <f t="shared" si="51"/>
        <v>0</v>
      </c>
      <c r="Q92" s="825"/>
      <c r="R92" s="825"/>
      <c r="S92" s="825"/>
      <c r="T92" s="825"/>
      <c r="U92" s="825"/>
      <c r="V92" s="825"/>
      <c r="W92" s="825"/>
      <c r="X92" s="825"/>
      <c r="Y92" s="825"/>
      <c r="Z92" s="825"/>
    </row>
    <row r="93" spans="1:26" ht="19.5" hidden="1">
      <c r="A93" s="940"/>
      <c r="B93" s="833"/>
      <c r="C93" s="946"/>
      <c r="D93" s="833"/>
      <c r="E93" s="834" t="s">
        <v>37</v>
      </c>
      <c r="F93" s="833"/>
      <c r="G93" s="941"/>
      <c r="H93" s="165" t="s">
        <v>12</v>
      </c>
      <c r="I93" s="947"/>
      <c r="J93" s="947"/>
      <c r="K93" s="948"/>
      <c r="L93" s="837">
        <f ca="1">IFERROR(__xludf.DUMMYFUNCTION("IMPORTRANGE(""https://docs.google.com/spreadsheets/d/1MeEWN-I1oV_STSDYn1IFDPWt_1FKiwhDph83XaGc0o0/edit?usp=sharing"",""งบพรบ!AQ26"")"),86040)</f>
        <v>86040</v>
      </c>
      <c r="M93" s="837">
        <f ca="1">IFERROR(__xludf.DUMMYFUNCTION("IMPORTRANGE(""https://docs.google.com/spreadsheets/d/1MeEWN-I1oV_STSDYn1IFDPWt_1FKiwhDph83XaGc0o0/edit?usp=sharing"",""งบพรบ!AV26"")"),79340)</f>
        <v>79340</v>
      </c>
      <c r="N93" s="837">
        <f ca="1">IFERROR(__xludf.DUMMYFUNCTION("IMPORTRANGE(""https://docs.google.com/spreadsheets/d/1MeEWN-I1oV_STSDYn1IFDPWt_1FKiwhDph83XaGc0o0/edit?usp=sharing"",""งบพรบ!AX26"")"),24645)</f>
        <v>24645</v>
      </c>
      <c r="O93" s="837">
        <f t="shared" ca="1" si="50"/>
        <v>28.643654114365411</v>
      </c>
      <c r="P93" s="837">
        <f t="shared" ca="1" si="51"/>
        <v>31.062515754978573</v>
      </c>
      <c r="Q93" s="825"/>
      <c r="R93" s="825"/>
      <c r="S93" s="825"/>
      <c r="T93" s="825"/>
      <c r="U93" s="825"/>
      <c r="V93" s="825"/>
      <c r="W93" s="825"/>
      <c r="X93" s="825"/>
      <c r="Y93" s="825"/>
      <c r="Z93" s="825"/>
    </row>
    <row r="94" spans="1:26" ht="18.75">
      <c r="A94" s="942"/>
      <c r="B94" s="827"/>
      <c r="C94" s="943"/>
      <c r="D94" s="828" t="s">
        <v>21</v>
      </c>
      <c r="E94" s="827"/>
      <c r="F94" s="827"/>
      <c r="G94" s="829"/>
      <c r="H94" s="168" t="s">
        <v>12</v>
      </c>
      <c r="I94" s="944"/>
      <c r="J94" s="944"/>
      <c r="K94" s="945"/>
      <c r="L94" s="831">
        <f t="shared" ref="L94:N94" ca="1" si="54">L95+L96</f>
        <v>0</v>
      </c>
      <c r="M94" s="831">
        <f t="shared" ca="1" si="54"/>
        <v>0</v>
      </c>
      <c r="N94" s="831">
        <f t="shared" ca="1" si="54"/>
        <v>0</v>
      </c>
      <c r="O94" s="831">
        <f t="shared" ca="1" si="50"/>
        <v>0</v>
      </c>
      <c r="P94" s="831">
        <f t="shared" ca="1" si="51"/>
        <v>0</v>
      </c>
      <c r="Q94" s="818"/>
      <c r="R94" s="818"/>
      <c r="S94" s="818"/>
      <c r="T94" s="818"/>
      <c r="U94" s="818"/>
      <c r="V94" s="818"/>
      <c r="W94" s="818"/>
      <c r="X94" s="818"/>
      <c r="Y94" s="818"/>
      <c r="Z94" s="818"/>
    </row>
    <row r="95" spans="1:26" ht="19.5" hidden="1">
      <c r="A95" s="940"/>
      <c r="B95" s="833"/>
      <c r="C95" s="946"/>
      <c r="D95" s="833"/>
      <c r="E95" s="834" t="s">
        <v>18</v>
      </c>
      <c r="F95" s="833"/>
      <c r="G95" s="941"/>
      <c r="H95" s="165" t="s">
        <v>12</v>
      </c>
      <c r="I95" s="947"/>
      <c r="J95" s="947"/>
      <c r="K95" s="948"/>
      <c r="L95" s="837">
        <v>0</v>
      </c>
      <c r="M95" s="837">
        <v>0</v>
      </c>
      <c r="N95" s="837">
        <v>0</v>
      </c>
      <c r="O95" s="837">
        <f t="shared" si="50"/>
        <v>0</v>
      </c>
      <c r="P95" s="837">
        <f t="shared" si="51"/>
        <v>0</v>
      </c>
      <c r="Q95" s="825"/>
      <c r="R95" s="825"/>
      <c r="S95" s="825"/>
      <c r="T95" s="825"/>
      <c r="U95" s="825"/>
      <c r="V95" s="825"/>
      <c r="W95" s="825"/>
      <c r="X95" s="825"/>
      <c r="Y95" s="825"/>
      <c r="Z95" s="825"/>
    </row>
    <row r="96" spans="1:26" ht="19.5" hidden="1">
      <c r="A96" s="940"/>
      <c r="B96" s="833"/>
      <c r="C96" s="946"/>
      <c r="D96" s="833"/>
      <c r="E96" s="834" t="s">
        <v>19</v>
      </c>
      <c r="F96" s="833"/>
      <c r="G96" s="941"/>
      <c r="H96" s="169" t="s">
        <v>12</v>
      </c>
      <c r="I96" s="947"/>
      <c r="J96" s="947"/>
      <c r="K96" s="948"/>
      <c r="L96" s="837">
        <f ca="1">IFERROR(__xludf.DUMMYFUNCTION("IMPORTRANGE(""https://docs.google.com/spreadsheets/d/1MeEWN-I1oV_STSDYn1IFDPWt_1FKiwhDph83XaGc0o0/edit?usp=sharing"",""งบพรบ!AT26"")"),0)</f>
        <v>0</v>
      </c>
      <c r="M96" s="837">
        <f ca="1">IFERROR(__xludf.DUMMYFUNCTION("IMPORTRANGE(""https://docs.google.com/spreadsheets/d/1MeEWN-I1oV_STSDYn1IFDPWt_1FKiwhDph83XaGc0o0/edit?usp=sharing"",""งบพรบ!AW26"")"),0)</f>
        <v>0</v>
      </c>
      <c r="N96" s="837">
        <f ca="1">IFERROR(__xludf.DUMMYFUNCTION("IMPORTRANGE(""https://docs.google.com/spreadsheets/d/1MeEWN-I1oV_STSDYn1IFDPWt_1FKiwhDph83XaGc0o0/edit?usp=sharing"",""งบพรบ!AY26"")"),0)</f>
        <v>0</v>
      </c>
      <c r="O96" s="837">
        <f t="shared" ca="1" si="50"/>
        <v>0</v>
      </c>
      <c r="P96" s="837">
        <f t="shared" ca="1" si="51"/>
        <v>0</v>
      </c>
      <c r="Q96" s="825"/>
      <c r="R96" s="825"/>
      <c r="S96" s="825"/>
      <c r="T96" s="825"/>
      <c r="U96" s="825"/>
      <c r="V96" s="825"/>
      <c r="W96" s="825"/>
      <c r="X96" s="825"/>
      <c r="Y96" s="825"/>
      <c r="Z96" s="825"/>
    </row>
    <row r="97" spans="1:16" ht="19.5">
      <c r="A97" s="949"/>
      <c r="B97" s="950"/>
      <c r="C97" s="946" t="s">
        <v>16</v>
      </c>
      <c r="D97" s="951" t="s">
        <v>38</v>
      </c>
      <c r="E97" s="952"/>
      <c r="F97" s="952"/>
      <c r="G97" s="953"/>
      <c r="H97" s="954"/>
      <c r="I97" s="944"/>
      <c r="J97" s="830"/>
      <c r="K97" s="831"/>
      <c r="L97" s="831"/>
      <c r="M97" s="831"/>
      <c r="N97" s="831"/>
      <c r="O97" s="945"/>
      <c r="P97" s="945"/>
    </row>
    <row r="98" spans="1:16" ht="18.75">
      <c r="A98" s="949"/>
      <c r="B98" s="950"/>
      <c r="C98" s="950"/>
      <c r="D98" s="956" t="s">
        <v>47</v>
      </c>
      <c r="E98" s="956"/>
      <c r="F98" s="957"/>
      <c r="G98" s="958"/>
      <c r="H98" s="590" t="s">
        <v>46</v>
      </c>
      <c r="I98" s="830">
        <f ca="1">IFERROR(__xludf.DUMMYFUNCTION("IMPORTRANGE(""https://docs.google.com/spreadsheets/d/1QqKyyYR6Q21VydFLVH3TRQUabQu_ym0Zz7PgGX0-kHA/edit?usp=sharing"",""แผน!K26"")"),30)</f>
        <v>30</v>
      </c>
      <c r="J98" s="830">
        <f>J102</f>
        <v>30</v>
      </c>
      <c r="K98" s="831">
        <f t="shared" ref="K98:K100" ca="1" si="55">IF(I98&gt;0,J98*100/I98,0)</f>
        <v>100</v>
      </c>
      <c r="L98" s="831"/>
      <c r="M98" s="831"/>
      <c r="N98" s="831"/>
      <c r="O98" s="945"/>
      <c r="P98" s="945"/>
    </row>
    <row r="99" spans="1:16" ht="18.75">
      <c r="A99" s="949"/>
      <c r="B99" s="950"/>
      <c r="C99" s="950"/>
      <c r="D99" s="956" t="s">
        <v>48</v>
      </c>
      <c r="E99" s="956"/>
      <c r="F99" s="957"/>
      <c r="G99" s="958"/>
      <c r="H99" s="590" t="s">
        <v>35</v>
      </c>
      <c r="I99" s="830">
        <f ca="1">IFERROR(__xludf.DUMMYFUNCTION("IMPORTRANGE(""https://docs.google.com/spreadsheets/d/1QqKyyYR6Q21VydFLVH3TRQUabQu_ym0Zz7PgGX0-kHA/edit?usp=sharing"",""แผน!L26"")"),10)</f>
        <v>10</v>
      </c>
      <c r="J99" s="830">
        <f>J104</f>
        <v>10</v>
      </c>
      <c r="K99" s="831">
        <f t="shared" ca="1" si="55"/>
        <v>100</v>
      </c>
      <c r="L99" s="831"/>
      <c r="M99" s="831"/>
      <c r="N99" s="831"/>
      <c r="O99" s="945"/>
      <c r="P99" s="945"/>
    </row>
    <row r="100" spans="1:16" ht="18.75">
      <c r="A100" s="949"/>
      <c r="B100" s="950"/>
      <c r="C100" s="950"/>
      <c r="D100" s="950"/>
      <c r="E100" s="957"/>
      <c r="F100" s="957"/>
      <c r="G100" s="958"/>
      <c r="H100" s="590" t="s">
        <v>49</v>
      </c>
      <c r="I100" s="830">
        <f ca="1">IFERROR(__xludf.DUMMYFUNCTION("IMPORTRANGE(""https://docs.google.com/spreadsheets/d/1QqKyyYR6Q21VydFLVH3TRQUabQu_ym0Zz7PgGX0-kHA/edit?usp=sharing"",""แผน!M26"")"),2)</f>
        <v>2</v>
      </c>
      <c r="J100" s="830">
        <f>J107+J110</f>
        <v>2</v>
      </c>
      <c r="K100" s="831">
        <f t="shared" ca="1" si="55"/>
        <v>100</v>
      </c>
      <c r="L100" s="831"/>
      <c r="M100" s="831"/>
      <c r="N100" s="831"/>
      <c r="O100" s="945"/>
      <c r="P100" s="945"/>
    </row>
    <row r="101" spans="1:16" ht="19.5">
      <c r="A101" s="949"/>
      <c r="B101" s="950"/>
      <c r="C101" s="950"/>
      <c r="D101" s="957"/>
      <c r="E101" s="960" t="s">
        <v>50</v>
      </c>
      <c r="F101" s="957"/>
      <c r="G101" s="958"/>
      <c r="H101" s="590"/>
      <c r="I101" s="830"/>
      <c r="J101" s="830"/>
      <c r="K101" s="831"/>
      <c r="L101" s="831"/>
      <c r="M101" s="831"/>
      <c r="N101" s="831"/>
      <c r="O101" s="945"/>
      <c r="P101" s="945"/>
    </row>
    <row r="102" spans="1:16" ht="18.75">
      <c r="A102" s="949"/>
      <c r="B102" s="950"/>
      <c r="C102" s="950"/>
      <c r="D102" s="957"/>
      <c r="E102" s="961" t="s">
        <v>47</v>
      </c>
      <c r="F102" s="957"/>
      <c r="G102" s="958"/>
      <c r="H102" s="590" t="s">
        <v>46</v>
      </c>
      <c r="I102" s="830">
        <f ca="1">IFERROR(__xludf.DUMMYFUNCTION("IMPORTRANGE(""https://docs.google.com/spreadsheets/d/1QqKyyYR6Q21VydFLVH3TRQUabQu_ym0Zz7PgGX0-kHA/edit?usp=sharing"",""แผน!N26"")"),30)</f>
        <v>30</v>
      </c>
      <c r="J102" s="959">
        <v>30</v>
      </c>
      <c r="K102" s="831">
        <f t="shared" ref="K102:K104" ca="1" si="56">IF(I102&gt;0,J102*100/I102,0)</f>
        <v>100</v>
      </c>
      <c r="L102" s="831"/>
      <c r="M102" s="831"/>
      <c r="N102" s="831"/>
      <c r="O102" s="945"/>
      <c r="P102" s="945"/>
    </row>
    <row r="103" spans="1:16" ht="19.5">
      <c r="A103" s="949"/>
      <c r="B103" s="950"/>
      <c r="C103" s="950"/>
      <c r="D103" s="957"/>
      <c r="E103" s="956" t="s">
        <v>51</v>
      </c>
      <c r="F103" s="957"/>
      <c r="G103" s="958"/>
      <c r="H103" s="590" t="s">
        <v>35</v>
      </c>
      <c r="I103" s="830">
        <f ca="1">IFERROR(__xludf.DUMMYFUNCTION("IMPORTRANGE(""https://docs.google.com/spreadsheets/d/1QqKyyYR6Q21VydFLVH3TRQUabQu_ym0Zz7PgGX0-kHA/edit?usp=sharing"",""แผน!O26"")"),10)</f>
        <v>10</v>
      </c>
      <c r="J103" s="959">
        <v>10</v>
      </c>
      <c r="K103" s="831">
        <f t="shared" ca="1" si="56"/>
        <v>100</v>
      </c>
      <c r="L103" s="831"/>
      <c r="M103" s="831"/>
      <c r="N103" s="831"/>
      <c r="O103" s="945"/>
      <c r="P103" s="945"/>
    </row>
    <row r="104" spans="1:16" ht="18.75">
      <c r="A104" s="949"/>
      <c r="B104" s="950"/>
      <c r="C104" s="950"/>
      <c r="D104" s="957"/>
      <c r="E104" s="962" t="s">
        <v>52</v>
      </c>
      <c r="F104" s="957"/>
      <c r="G104" s="958"/>
      <c r="H104" s="590" t="s">
        <v>35</v>
      </c>
      <c r="I104" s="830">
        <f ca="1">IFERROR(__xludf.DUMMYFUNCTION("IMPORTRANGE(""https://docs.google.com/spreadsheets/d/1QqKyyYR6Q21VydFLVH3TRQUabQu_ym0Zz7PgGX0-kHA/edit?usp=sharing"",""แผน!O26"")"),10)</f>
        <v>10</v>
      </c>
      <c r="J104" s="959">
        <v>10</v>
      </c>
      <c r="K104" s="831">
        <f t="shared" ca="1" si="56"/>
        <v>100</v>
      </c>
      <c r="L104" s="831"/>
      <c r="M104" s="831"/>
      <c r="N104" s="831"/>
      <c r="O104" s="945"/>
      <c r="P104" s="945"/>
    </row>
    <row r="105" spans="1:16" ht="19.5">
      <c r="A105" s="949"/>
      <c r="B105" s="950"/>
      <c r="C105" s="950"/>
      <c r="D105" s="957"/>
      <c r="E105" s="960" t="s">
        <v>53</v>
      </c>
      <c r="F105" s="957"/>
      <c r="G105" s="958"/>
      <c r="H105" s="963"/>
      <c r="I105" s="830"/>
      <c r="J105" s="830"/>
      <c r="K105" s="831"/>
      <c r="L105" s="831"/>
      <c r="M105" s="831"/>
      <c r="N105" s="831"/>
      <c r="O105" s="945"/>
      <c r="P105" s="945"/>
    </row>
    <row r="106" spans="1:16" ht="19.5">
      <c r="A106" s="949"/>
      <c r="B106" s="950"/>
      <c r="C106" s="950"/>
      <c r="D106" s="957"/>
      <c r="E106" s="956" t="s">
        <v>54</v>
      </c>
      <c r="F106" s="957"/>
      <c r="G106" s="958"/>
      <c r="H106" s="590" t="s">
        <v>49</v>
      </c>
      <c r="I106" s="830">
        <f ca="1">IFERROR(__xludf.DUMMYFUNCTION("IMPORTRANGE(""https://docs.google.com/spreadsheets/d/1QqKyyYR6Q21VydFLVH3TRQUabQu_ym0Zz7PgGX0-kHA/edit?usp=sharing"",""แผน!P26"")"),1)</f>
        <v>1</v>
      </c>
      <c r="J106" s="959">
        <v>1</v>
      </c>
      <c r="K106" s="831">
        <f t="shared" ref="K106:K107" ca="1" si="57">IF(I106&gt;0,J106*100/I106,0)</f>
        <v>100</v>
      </c>
      <c r="L106" s="831"/>
      <c r="M106" s="831"/>
      <c r="N106" s="831"/>
      <c r="O106" s="945"/>
      <c r="P106" s="945"/>
    </row>
    <row r="107" spans="1:16" ht="18.75">
      <c r="A107" s="949"/>
      <c r="B107" s="950"/>
      <c r="C107" s="950"/>
      <c r="D107" s="957"/>
      <c r="E107" s="962" t="s">
        <v>55</v>
      </c>
      <c r="F107" s="957"/>
      <c r="G107" s="958"/>
      <c r="H107" s="590" t="s">
        <v>49</v>
      </c>
      <c r="I107" s="830">
        <f ca="1">IFERROR(__xludf.DUMMYFUNCTION("IMPORTRANGE(""https://docs.google.com/spreadsheets/d/1QqKyyYR6Q21VydFLVH3TRQUabQu_ym0Zz7PgGX0-kHA/edit?usp=sharing"",""แผน!P26"")"),1)</f>
        <v>1</v>
      </c>
      <c r="J107" s="959">
        <v>1</v>
      </c>
      <c r="K107" s="831">
        <f t="shared" ca="1" si="57"/>
        <v>100</v>
      </c>
      <c r="L107" s="831"/>
      <c r="M107" s="831"/>
      <c r="N107" s="831"/>
      <c r="O107" s="945"/>
      <c r="P107" s="945"/>
    </row>
    <row r="108" spans="1:16" ht="19.5">
      <c r="A108" s="949"/>
      <c r="B108" s="950"/>
      <c r="C108" s="950"/>
      <c r="D108" s="957"/>
      <c r="E108" s="960" t="s">
        <v>56</v>
      </c>
      <c r="F108" s="957"/>
      <c r="G108" s="958"/>
      <c r="H108" s="963"/>
      <c r="I108" s="830"/>
      <c r="J108" s="830"/>
      <c r="K108" s="831"/>
      <c r="L108" s="831"/>
      <c r="M108" s="831"/>
      <c r="N108" s="831"/>
      <c r="O108" s="945"/>
      <c r="P108" s="945"/>
    </row>
    <row r="109" spans="1:16" ht="19.5">
      <c r="A109" s="949"/>
      <c r="B109" s="950"/>
      <c r="C109" s="950"/>
      <c r="D109" s="957"/>
      <c r="E109" s="956" t="s">
        <v>57</v>
      </c>
      <c r="F109" s="957"/>
      <c r="G109" s="958"/>
      <c r="H109" s="590" t="s">
        <v>49</v>
      </c>
      <c r="I109" s="830">
        <f ca="1">IFERROR(__xludf.DUMMYFUNCTION("IMPORTRANGE(""https://docs.google.com/spreadsheets/d/1QqKyyYR6Q21VydFLVH3TRQUabQu_ym0Zz7PgGX0-kHA/edit?usp=sharing"",""แผน!Q26"")"),1)</f>
        <v>1</v>
      </c>
      <c r="J109" s="959">
        <v>1</v>
      </c>
      <c r="K109" s="831">
        <f t="shared" ref="K109:K116" ca="1" si="58">IF(I109&gt;0,J109*100/I109,0)</f>
        <v>100</v>
      </c>
      <c r="L109" s="831"/>
      <c r="M109" s="831"/>
      <c r="N109" s="831"/>
      <c r="O109" s="945"/>
      <c r="P109" s="945"/>
    </row>
    <row r="110" spans="1:16" ht="18.75">
      <c r="A110" s="949"/>
      <c r="B110" s="950"/>
      <c r="C110" s="950"/>
      <c r="D110" s="957"/>
      <c r="E110" s="964" t="s">
        <v>58</v>
      </c>
      <c r="F110" s="957"/>
      <c r="G110" s="958"/>
      <c r="H110" s="590" t="s">
        <v>49</v>
      </c>
      <c r="I110" s="830">
        <f ca="1">IFERROR(__xludf.DUMMYFUNCTION("IMPORTRANGE(""https://docs.google.com/spreadsheets/d/1QqKyyYR6Q21VydFLVH3TRQUabQu_ym0Zz7PgGX0-kHA/edit?usp=sharing"",""แผน!Q26"")"),1)</f>
        <v>1</v>
      </c>
      <c r="J110" s="959">
        <v>1</v>
      </c>
      <c r="K110" s="831">
        <f t="shared" ca="1" si="58"/>
        <v>100</v>
      </c>
      <c r="L110" s="831"/>
      <c r="M110" s="831"/>
      <c r="N110" s="831"/>
      <c r="O110" s="945"/>
      <c r="P110" s="945"/>
    </row>
    <row r="111" spans="1:16" ht="19.5">
      <c r="A111" s="949"/>
      <c r="B111" s="950"/>
      <c r="C111" s="950"/>
      <c r="D111" s="960" t="s">
        <v>59</v>
      </c>
      <c r="E111" s="960"/>
      <c r="F111" s="957"/>
      <c r="G111" s="958"/>
      <c r="H111" s="733" t="s">
        <v>35</v>
      </c>
      <c r="I111" s="965">
        <f ca="1">IFERROR(__xludf.DUMMYFUNCTION("IMPORTRANGE(""https://docs.google.com/spreadsheets/d/1QqKyyYR6Q21VydFLVH3TRQUabQu_ym0Zz7PgGX0-kHA/edit?usp=sharing"",""แผน!R26"")"),10)</f>
        <v>10</v>
      </c>
      <c r="J111" s="966">
        <f>J114</f>
        <v>0</v>
      </c>
      <c r="K111" s="967">
        <f t="shared" ca="1" si="58"/>
        <v>0</v>
      </c>
      <c r="L111" s="831"/>
      <c r="M111" s="831"/>
      <c r="N111" s="831"/>
      <c r="O111" s="945"/>
      <c r="P111" s="945"/>
    </row>
    <row r="112" spans="1:16" ht="19.5">
      <c r="A112" s="949"/>
      <c r="B112" s="950"/>
      <c r="C112" s="950"/>
      <c r="D112" s="950"/>
      <c r="E112" s="957"/>
      <c r="F112" s="957"/>
      <c r="G112" s="958"/>
      <c r="H112" s="196" t="s">
        <v>49</v>
      </c>
      <c r="I112" s="965">
        <f t="shared" ref="I112:J112" ca="1" si="59">I115+I116</f>
        <v>2</v>
      </c>
      <c r="J112" s="966">
        <f t="shared" si="59"/>
        <v>0</v>
      </c>
      <c r="K112" s="967">
        <f t="shared" ca="1" si="58"/>
        <v>0</v>
      </c>
      <c r="L112" s="831"/>
      <c r="M112" s="831"/>
      <c r="N112" s="831"/>
      <c r="O112" s="945"/>
      <c r="P112" s="945"/>
    </row>
    <row r="113" spans="1:26" ht="19.5">
      <c r="A113" s="949"/>
      <c r="B113" s="950"/>
      <c r="C113" s="950"/>
      <c r="D113" s="950"/>
      <c r="E113" s="968" t="s">
        <v>60</v>
      </c>
      <c r="F113" s="957"/>
      <c r="G113" s="958"/>
      <c r="H113" s="198" t="s">
        <v>35</v>
      </c>
      <c r="I113" s="944">
        <f ca="1">IFERROR(__xludf.DUMMYFUNCTION("IMPORTRANGE(""https://docs.google.com/spreadsheets/d/1QqKyyYR6Q21VydFLVH3TRQUabQu_ym0Zz7PgGX0-kHA/edit?usp=sharing"",""แผน!R26"")"),10)</f>
        <v>10</v>
      </c>
      <c r="J113" s="959">
        <v>0</v>
      </c>
      <c r="K113" s="831">
        <f t="shared" ca="1" si="58"/>
        <v>0</v>
      </c>
      <c r="L113" s="831"/>
      <c r="M113" s="831"/>
      <c r="N113" s="831"/>
      <c r="O113" s="945"/>
      <c r="P113" s="945"/>
    </row>
    <row r="114" spans="1:26" ht="19.5">
      <c r="A114" s="949"/>
      <c r="B114" s="950"/>
      <c r="C114" s="950"/>
      <c r="D114" s="950"/>
      <c r="E114" s="956" t="s">
        <v>61</v>
      </c>
      <c r="F114" s="957"/>
      <c r="G114" s="958"/>
      <c r="H114" s="199" t="s">
        <v>35</v>
      </c>
      <c r="I114" s="944">
        <f ca="1">IFERROR(__xludf.DUMMYFUNCTION("IMPORTRANGE(""https://docs.google.com/spreadsheets/d/1QqKyyYR6Q21VydFLVH3TRQUabQu_ym0Zz7PgGX0-kHA/edit?usp=sharing"",""แผน!R26"")"),10)</f>
        <v>10</v>
      </c>
      <c r="J114" s="959">
        <v>0</v>
      </c>
      <c r="K114" s="831">
        <f t="shared" ca="1" si="58"/>
        <v>0</v>
      </c>
      <c r="L114" s="831"/>
      <c r="M114" s="831"/>
      <c r="N114" s="831"/>
      <c r="O114" s="945"/>
      <c r="P114" s="945"/>
    </row>
    <row r="115" spans="1:26" ht="18.75">
      <c r="A115" s="949"/>
      <c r="B115" s="950"/>
      <c r="C115" s="950"/>
      <c r="D115" s="950"/>
      <c r="E115" s="956" t="s">
        <v>62</v>
      </c>
      <c r="F115" s="957"/>
      <c r="G115" s="958"/>
      <c r="H115" s="199" t="s">
        <v>49</v>
      </c>
      <c r="I115" s="944">
        <f ca="1">IFERROR(__xludf.DUMMYFUNCTION("IMPORTRANGE(""https://docs.google.com/spreadsheets/d/1QqKyyYR6Q21VydFLVH3TRQUabQu_ym0Zz7PgGX0-kHA/edit?usp=sharing"",""แผน!S26"")"),1)</f>
        <v>1</v>
      </c>
      <c r="J115" s="959">
        <v>0</v>
      </c>
      <c r="K115" s="831">
        <f t="shared" ca="1" si="58"/>
        <v>0</v>
      </c>
      <c r="L115" s="831"/>
      <c r="M115" s="831"/>
      <c r="N115" s="831"/>
      <c r="O115" s="945"/>
      <c r="P115" s="945"/>
    </row>
    <row r="116" spans="1:26" ht="18.75">
      <c r="A116" s="949"/>
      <c r="B116" s="950"/>
      <c r="C116" s="950"/>
      <c r="D116" s="950"/>
      <c r="E116" s="956" t="s">
        <v>63</v>
      </c>
      <c r="F116" s="957"/>
      <c r="G116" s="958"/>
      <c r="H116" s="199" t="s">
        <v>49</v>
      </c>
      <c r="I116" s="944">
        <f ca="1">IFERROR(__xludf.DUMMYFUNCTION("IMPORTRANGE(""https://docs.google.com/spreadsheets/d/1QqKyyYR6Q21VydFLVH3TRQUabQu_ym0Zz7PgGX0-kHA/edit?usp=sharing"",""แผน!T26"")"),1)</f>
        <v>1</v>
      </c>
      <c r="J116" s="959">
        <v>0</v>
      </c>
      <c r="K116" s="831">
        <f t="shared" ca="1" si="58"/>
        <v>0</v>
      </c>
      <c r="L116" s="831"/>
      <c r="M116" s="831"/>
      <c r="N116" s="831"/>
      <c r="O116" s="945"/>
      <c r="P116" s="945"/>
    </row>
    <row r="117" spans="1:26" ht="19.5">
      <c r="A117" s="917" t="s">
        <v>64</v>
      </c>
      <c r="B117" s="918"/>
      <c r="C117" s="969"/>
      <c r="D117" s="918"/>
      <c r="E117" s="918"/>
      <c r="F117" s="918"/>
      <c r="G117" s="918"/>
      <c r="H117" s="970"/>
      <c r="I117" s="971"/>
      <c r="J117" s="971"/>
      <c r="K117" s="972"/>
      <c r="L117" s="923"/>
      <c r="M117" s="923"/>
      <c r="N117" s="923"/>
      <c r="O117" s="923"/>
      <c r="P117" s="923"/>
    </row>
    <row r="118" spans="1:26" ht="19.5">
      <c r="A118" s="924"/>
      <c r="B118" s="925" t="s">
        <v>65</v>
      </c>
      <c r="C118" s="973"/>
      <c r="D118" s="927"/>
      <c r="E118" s="926"/>
      <c r="F118" s="926"/>
      <c r="G118" s="928"/>
      <c r="H118" s="205" t="s">
        <v>66</v>
      </c>
      <c r="I118" s="974">
        <v>1</v>
      </c>
      <c r="J118" s="974">
        <f>J438</f>
        <v>1</v>
      </c>
      <c r="K118" s="931">
        <f>IF(I118&gt;0,J118*100/I118,0)</f>
        <v>100</v>
      </c>
      <c r="L118" s="931"/>
      <c r="M118" s="931"/>
      <c r="N118" s="931"/>
      <c r="O118" s="931"/>
      <c r="P118" s="931"/>
    </row>
    <row r="119" spans="1:26" ht="19.5">
      <c r="A119" s="932"/>
      <c r="B119" s="933"/>
      <c r="C119" s="934" t="s">
        <v>16</v>
      </c>
      <c r="D119" s="935" t="s">
        <v>17</v>
      </c>
      <c r="E119" s="933"/>
      <c r="F119" s="933"/>
      <c r="G119" s="936"/>
      <c r="H119" s="152" t="s">
        <v>12</v>
      </c>
      <c r="I119" s="937"/>
      <c r="J119" s="937"/>
      <c r="K119" s="938"/>
      <c r="L119" s="939">
        <f t="shared" ref="L119:N119" ca="1" si="60">L120+L121</f>
        <v>0</v>
      </c>
      <c r="M119" s="939">
        <f t="shared" ca="1" si="60"/>
        <v>0</v>
      </c>
      <c r="N119" s="939">
        <f t="shared" ca="1" si="60"/>
        <v>0</v>
      </c>
      <c r="O119" s="939">
        <f t="shared" ref="O119:O127" ca="1" si="61">IF(L119&gt;0,N119*100/L119,0)</f>
        <v>0</v>
      </c>
      <c r="P119" s="939">
        <f t="shared" ref="P119:P127" ca="1" si="62">IF(M119&gt;0,N119*100/M119,0)</f>
        <v>0</v>
      </c>
      <c r="Q119" s="818"/>
      <c r="R119" s="818"/>
      <c r="S119" s="818"/>
      <c r="T119" s="818"/>
      <c r="U119" s="818"/>
      <c r="V119" s="818"/>
      <c r="W119" s="818"/>
      <c r="X119" s="818"/>
      <c r="Y119" s="818"/>
      <c r="Z119" s="818"/>
    </row>
    <row r="120" spans="1:26" ht="18.75" hidden="1">
      <c r="A120" s="940"/>
      <c r="B120" s="833"/>
      <c r="C120" s="833"/>
      <c r="D120" s="833"/>
      <c r="E120" s="834" t="s">
        <v>18</v>
      </c>
      <c r="F120" s="833"/>
      <c r="G120" s="941"/>
      <c r="H120" s="158" t="s">
        <v>12</v>
      </c>
      <c r="I120" s="836"/>
      <c r="J120" s="836"/>
      <c r="K120" s="837"/>
      <c r="L120" s="837">
        <f t="shared" ref="L120:N121" si="63">L123+L126</f>
        <v>0</v>
      </c>
      <c r="M120" s="837">
        <f t="shared" si="63"/>
        <v>0</v>
      </c>
      <c r="N120" s="837">
        <f t="shared" si="63"/>
        <v>0</v>
      </c>
      <c r="O120" s="837">
        <f t="shared" si="61"/>
        <v>0</v>
      </c>
      <c r="P120" s="837">
        <f t="shared" si="62"/>
        <v>0</v>
      </c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</row>
    <row r="121" spans="1:26" ht="18.75" hidden="1">
      <c r="A121" s="940"/>
      <c r="B121" s="833"/>
      <c r="C121" s="833"/>
      <c r="D121" s="833"/>
      <c r="E121" s="834" t="s">
        <v>19</v>
      </c>
      <c r="F121" s="833"/>
      <c r="G121" s="941"/>
      <c r="H121" s="158" t="s">
        <v>12</v>
      </c>
      <c r="I121" s="836"/>
      <c r="J121" s="836"/>
      <c r="K121" s="837"/>
      <c r="L121" s="837">
        <f t="shared" ca="1" si="63"/>
        <v>0</v>
      </c>
      <c r="M121" s="837">
        <f t="shared" ca="1" si="63"/>
        <v>0</v>
      </c>
      <c r="N121" s="837">
        <f t="shared" ca="1" si="63"/>
        <v>0</v>
      </c>
      <c r="O121" s="837">
        <f t="shared" ca="1" si="61"/>
        <v>0</v>
      </c>
      <c r="P121" s="837">
        <f t="shared" ca="1" si="62"/>
        <v>0</v>
      </c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</row>
    <row r="122" spans="1:26" ht="18.75" hidden="1">
      <c r="A122" s="942"/>
      <c r="B122" s="827"/>
      <c r="C122" s="943"/>
      <c r="D122" s="828" t="s">
        <v>20</v>
      </c>
      <c r="E122" s="827"/>
      <c r="F122" s="827"/>
      <c r="G122" s="829"/>
      <c r="H122" s="778" t="s">
        <v>12</v>
      </c>
      <c r="I122" s="944"/>
      <c r="J122" s="944"/>
      <c r="K122" s="945"/>
      <c r="L122" s="831">
        <f t="shared" ref="L122:N122" ca="1" si="64">L123+L124</f>
        <v>0</v>
      </c>
      <c r="M122" s="831">
        <f t="shared" ca="1" si="64"/>
        <v>0</v>
      </c>
      <c r="N122" s="831">
        <f t="shared" ca="1" si="64"/>
        <v>0</v>
      </c>
      <c r="O122" s="831">
        <f t="shared" ca="1" si="61"/>
        <v>0</v>
      </c>
      <c r="P122" s="831">
        <f t="shared" ca="1" si="62"/>
        <v>0</v>
      </c>
      <c r="Q122" s="818"/>
      <c r="R122" s="818"/>
      <c r="S122" s="818"/>
      <c r="T122" s="818"/>
      <c r="U122" s="818"/>
      <c r="V122" s="818"/>
      <c r="W122" s="818"/>
      <c r="X122" s="818"/>
      <c r="Y122" s="818"/>
      <c r="Z122" s="818"/>
    </row>
    <row r="123" spans="1:26" ht="18.75" hidden="1">
      <c r="A123" s="940"/>
      <c r="B123" s="833"/>
      <c r="C123" s="834"/>
      <c r="D123" s="833"/>
      <c r="E123" s="834" t="s">
        <v>36</v>
      </c>
      <c r="F123" s="833"/>
      <c r="G123" s="941"/>
      <c r="H123" s="165" t="s">
        <v>12</v>
      </c>
      <c r="I123" s="947"/>
      <c r="J123" s="947"/>
      <c r="K123" s="948"/>
      <c r="L123" s="837">
        <v>0</v>
      </c>
      <c r="M123" s="837">
        <v>0</v>
      </c>
      <c r="N123" s="837">
        <v>0</v>
      </c>
      <c r="O123" s="837">
        <f t="shared" si="61"/>
        <v>0</v>
      </c>
      <c r="P123" s="837">
        <f t="shared" si="62"/>
        <v>0</v>
      </c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</row>
    <row r="124" spans="1:26" ht="18.75" hidden="1">
      <c r="A124" s="940"/>
      <c r="B124" s="833"/>
      <c r="C124" s="834"/>
      <c r="D124" s="833"/>
      <c r="E124" s="834" t="s">
        <v>37</v>
      </c>
      <c r="F124" s="833"/>
      <c r="G124" s="941"/>
      <c r="H124" s="165" t="s">
        <v>12</v>
      </c>
      <c r="I124" s="947"/>
      <c r="J124" s="947"/>
      <c r="K124" s="948"/>
      <c r="L124" s="837">
        <f ca="1">IFERROR(__xludf.DUMMYFUNCTION("IMPORTRANGE(""https://docs.google.com/spreadsheets/d/1MeEWN-I1oV_STSDYn1IFDPWt_1FKiwhDph83XaGc0o0/edit?usp=sharing"",""งบพรบ!BA26"")"),0)</f>
        <v>0</v>
      </c>
      <c r="M124" s="837">
        <f ca="1">IFERROR(__xludf.DUMMYFUNCTION("IMPORTRANGE(""https://docs.google.com/spreadsheets/d/1MeEWN-I1oV_STSDYn1IFDPWt_1FKiwhDph83XaGc0o0/edit?usp=sharing"",""งบพรบ!BF26"")"),0)</f>
        <v>0</v>
      </c>
      <c r="N124" s="837">
        <f ca="1">IFERROR(__xludf.DUMMYFUNCTION("IMPORTRANGE(""https://docs.google.com/spreadsheets/d/1MeEWN-I1oV_STSDYn1IFDPWt_1FKiwhDph83XaGc0o0/edit?usp=sharing"",""งบพรบ!BH26"")"),0)</f>
        <v>0</v>
      </c>
      <c r="O124" s="837">
        <f t="shared" ca="1" si="61"/>
        <v>0</v>
      </c>
      <c r="P124" s="837">
        <f t="shared" ca="1" si="62"/>
        <v>0</v>
      </c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</row>
    <row r="125" spans="1:26" ht="18.75" hidden="1">
      <c r="A125" s="942"/>
      <c r="B125" s="827"/>
      <c r="C125" s="943"/>
      <c r="D125" s="828" t="s">
        <v>21</v>
      </c>
      <c r="E125" s="827"/>
      <c r="F125" s="827"/>
      <c r="G125" s="829"/>
      <c r="H125" s="168" t="s">
        <v>12</v>
      </c>
      <c r="I125" s="944"/>
      <c r="J125" s="944"/>
      <c r="K125" s="945"/>
      <c r="L125" s="831">
        <f t="shared" ref="L125:N125" ca="1" si="65">L126+L127</f>
        <v>0</v>
      </c>
      <c r="M125" s="831">
        <f t="shared" ca="1" si="65"/>
        <v>0</v>
      </c>
      <c r="N125" s="831">
        <f t="shared" ca="1" si="65"/>
        <v>0</v>
      </c>
      <c r="O125" s="831">
        <f t="shared" ca="1" si="61"/>
        <v>0</v>
      </c>
      <c r="P125" s="831">
        <f t="shared" ca="1" si="62"/>
        <v>0</v>
      </c>
      <c r="Q125" s="818"/>
      <c r="R125" s="818"/>
      <c r="S125" s="818"/>
      <c r="T125" s="818"/>
      <c r="U125" s="818"/>
      <c r="V125" s="818"/>
      <c r="W125" s="818"/>
      <c r="X125" s="818"/>
      <c r="Y125" s="818"/>
      <c r="Z125" s="818"/>
    </row>
    <row r="126" spans="1:26" ht="19.5" hidden="1">
      <c r="A126" s="940"/>
      <c r="B126" s="833"/>
      <c r="C126" s="946"/>
      <c r="D126" s="833"/>
      <c r="E126" s="834" t="s">
        <v>18</v>
      </c>
      <c r="F126" s="833"/>
      <c r="G126" s="941"/>
      <c r="H126" s="165" t="s">
        <v>12</v>
      </c>
      <c r="I126" s="947"/>
      <c r="J126" s="947"/>
      <c r="K126" s="948"/>
      <c r="L126" s="837">
        <v>0</v>
      </c>
      <c r="M126" s="837">
        <v>0</v>
      </c>
      <c r="N126" s="837">
        <v>0</v>
      </c>
      <c r="O126" s="837">
        <f t="shared" si="61"/>
        <v>0</v>
      </c>
      <c r="P126" s="837">
        <f t="shared" si="62"/>
        <v>0</v>
      </c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</row>
    <row r="127" spans="1:26" ht="19.5" hidden="1">
      <c r="A127" s="940"/>
      <c r="B127" s="833"/>
      <c r="C127" s="946"/>
      <c r="D127" s="833"/>
      <c r="E127" s="834" t="s">
        <v>19</v>
      </c>
      <c r="F127" s="833"/>
      <c r="G127" s="941"/>
      <c r="H127" s="169" t="s">
        <v>12</v>
      </c>
      <c r="I127" s="947"/>
      <c r="J127" s="947"/>
      <c r="K127" s="948"/>
      <c r="L127" s="837">
        <f ca="1">IFERROR(__xludf.DUMMYFUNCTION("IMPORTRANGE(""https://docs.google.com/spreadsheets/d/1MeEWN-I1oV_STSDYn1IFDPWt_1FKiwhDph83XaGc0o0/edit?usp=sharing"",""งบพรบ!BD26"")"),0)</f>
        <v>0</v>
      </c>
      <c r="M127" s="837">
        <f ca="1">IFERROR(__xludf.DUMMYFUNCTION("IMPORTRANGE(""https://docs.google.com/spreadsheets/d/1MeEWN-I1oV_STSDYn1IFDPWt_1FKiwhDph83XaGc0o0/edit?usp=sharing"",""งบพรบ!BG26"")"),0)</f>
        <v>0</v>
      </c>
      <c r="N127" s="837">
        <f ca="1">IFERROR(__xludf.DUMMYFUNCTION("IMPORTRANGE(""https://docs.google.com/spreadsheets/d/1MeEWN-I1oV_STSDYn1IFDPWt_1FKiwhDph83XaGc0o0/edit?usp=sharing"",""งบพรบ!BI26"")"),0)</f>
        <v>0</v>
      </c>
      <c r="O127" s="837">
        <f t="shared" ca="1" si="61"/>
        <v>0</v>
      </c>
      <c r="P127" s="837">
        <f t="shared" ca="1" si="62"/>
        <v>0</v>
      </c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</row>
    <row r="128" spans="1:26" ht="19.5" hidden="1">
      <c r="A128" s="917" t="s">
        <v>67</v>
      </c>
      <c r="B128" s="918"/>
      <c r="C128" s="969"/>
      <c r="D128" s="918"/>
      <c r="E128" s="918"/>
      <c r="F128" s="918"/>
      <c r="G128" s="918"/>
      <c r="H128" s="970"/>
      <c r="I128" s="971"/>
      <c r="J128" s="971"/>
      <c r="K128" s="972"/>
      <c r="L128" s="923"/>
      <c r="M128" s="923"/>
      <c r="N128" s="923"/>
      <c r="O128" s="923"/>
      <c r="P128" s="923"/>
    </row>
    <row r="129" spans="1:26" ht="19.5" hidden="1">
      <c r="A129" s="924"/>
      <c r="B129" s="925" t="s">
        <v>68</v>
      </c>
      <c r="C129" s="973"/>
      <c r="D129" s="927"/>
      <c r="E129" s="926"/>
      <c r="F129" s="926"/>
      <c r="G129" s="926"/>
      <c r="H129" s="207"/>
      <c r="I129" s="974"/>
      <c r="J129" s="974"/>
      <c r="K129" s="931"/>
      <c r="L129" s="931"/>
      <c r="M129" s="931"/>
      <c r="N129" s="931"/>
      <c r="O129" s="931"/>
      <c r="P129" s="931"/>
    </row>
    <row r="130" spans="1:26" ht="19.5" hidden="1">
      <c r="A130" s="924"/>
      <c r="B130" s="925"/>
      <c r="C130" s="975" t="s">
        <v>69</v>
      </c>
      <c r="D130" s="927"/>
      <c r="E130" s="926"/>
      <c r="F130" s="926"/>
      <c r="G130" s="928"/>
      <c r="H130" s="205" t="s">
        <v>66</v>
      </c>
      <c r="I130" s="929">
        <f t="shared" ref="I130:J130" ca="1" si="66">I146</f>
        <v>0</v>
      </c>
      <c r="J130" s="929">
        <f t="shared" si="66"/>
        <v>0</v>
      </c>
      <c r="K130" s="930">
        <f t="shared" ref="K130:K131" ca="1" si="67">IF(I130&gt;0,J130*100/I130,0)</f>
        <v>0</v>
      </c>
      <c r="L130" s="931"/>
      <c r="M130" s="931"/>
      <c r="N130" s="931"/>
      <c r="O130" s="931"/>
      <c r="P130" s="931"/>
    </row>
    <row r="131" spans="1:26" ht="19.5" hidden="1">
      <c r="A131" s="924"/>
      <c r="B131" s="925"/>
      <c r="C131" s="975" t="s">
        <v>70</v>
      </c>
      <c r="D131" s="927"/>
      <c r="E131" s="926"/>
      <c r="F131" s="926"/>
      <c r="G131" s="928"/>
      <c r="H131" s="205" t="s">
        <v>35</v>
      </c>
      <c r="I131" s="929">
        <f t="shared" ref="I131:J131" ca="1" si="68">I143</f>
        <v>0</v>
      </c>
      <c r="J131" s="929">
        <f t="shared" ca="1" si="68"/>
        <v>0</v>
      </c>
      <c r="K131" s="930">
        <f t="shared" ca="1" si="67"/>
        <v>0</v>
      </c>
      <c r="L131" s="931"/>
      <c r="M131" s="931"/>
      <c r="N131" s="931"/>
      <c r="O131" s="931"/>
      <c r="P131" s="931"/>
    </row>
    <row r="132" spans="1:26" ht="19.5" hidden="1">
      <c r="A132" s="932"/>
      <c r="B132" s="933"/>
      <c r="C132" s="934" t="s">
        <v>16</v>
      </c>
      <c r="D132" s="935" t="s">
        <v>17</v>
      </c>
      <c r="E132" s="933"/>
      <c r="F132" s="933"/>
      <c r="G132" s="936"/>
      <c r="H132" s="152" t="s">
        <v>12</v>
      </c>
      <c r="I132" s="937"/>
      <c r="J132" s="937"/>
      <c r="K132" s="938"/>
      <c r="L132" s="939">
        <f t="shared" ref="L132:N132" ca="1" si="69">L133+L134</f>
        <v>0</v>
      </c>
      <c r="M132" s="939">
        <f t="shared" ca="1" si="69"/>
        <v>0</v>
      </c>
      <c r="N132" s="939">
        <f t="shared" ca="1" si="69"/>
        <v>0</v>
      </c>
      <c r="O132" s="939">
        <f t="shared" ref="O132:O140" ca="1" si="70">IF(L132&gt;0,N132*100/L132,0)</f>
        <v>0</v>
      </c>
      <c r="P132" s="939">
        <f t="shared" ref="P132:P140" ca="1" si="71">IF(M132&gt;0,N132*100/M132,0)</f>
        <v>0</v>
      </c>
      <c r="Q132" s="818"/>
      <c r="R132" s="818"/>
      <c r="S132" s="818"/>
      <c r="T132" s="818"/>
      <c r="U132" s="818"/>
      <c r="V132" s="818"/>
      <c r="W132" s="818"/>
      <c r="X132" s="818"/>
      <c r="Y132" s="818"/>
      <c r="Z132" s="818"/>
    </row>
    <row r="133" spans="1:26" ht="18.75" hidden="1">
      <c r="A133" s="940"/>
      <c r="B133" s="833"/>
      <c r="C133" s="833"/>
      <c r="D133" s="833"/>
      <c r="E133" s="834" t="s">
        <v>18</v>
      </c>
      <c r="F133" s="833"/>
      <c r="G133" s="941"/>
      <c r="H133" s="158" t="s">
        <v>12</v>
      </c>
      <c r="I133" s="836"/>
      <c r="J133" s="836"/>
      <c r="K133" s="837"/>
      <c r="L133" s="837">
        <f t="shared" ref="L133:N134" si="72">L136+L139</f>
        <v>0</v>
      </c>
      <c r="M133" s="837">
        <f t="shared" si="72"/>
        <v>0</v>
      </c>
      <c r="N133" s="837">
        <f t="shared" si="72"/>
        <v>0</v>
      </c>
      <c r="O133" s="837">
        <f t="shared" si="70"/>
        <v>0</v>
      </c>
      <c r="P133" s="837">
        <f t="shared" si="71"/>
        <v>0</v>
      </c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</row>
    <row r="134" spans="1:26" ht="18.75" hidden="1">
      <c r="A134" s="940"/>
      <c r="B134" s="833"/>
      <c r="C134" s="833"/>
      <c r="D134" s="833"/>
      <c r="E134" s="834" t="s">
        <v>19</v>
      </c>
      <c r="F134" s="833"/>
      <c r="G134" s="941"/>
      <c r="H134" s="158" t="s">
        <v>12</v>
      </c>
      <c r="I134" s="836"/>
      <c r="J134" s="836"/>
      <c r="K134" s="837"/>
      <c r="L134" s="837">
        <f t="shared" ca="1" si="72"/>
        <v>0</v>
      </c>
      <c r="M134" s="837">
        <f t="shared" ca="1" si="72"/>
        <v>0</v>
      </c>
      <c r="N134" s="837">
        <f t="shared" ca="1" si="72"/>
        <v>0</v>
      </c>
      <c r="O134" s="837">
        <f t="shared" ca="1" si="70"/>
        <v>0</v>
      </c>
      <c r="P134" s="837">
        <f t="shared" ca="1" si="71"/>
        <v>0</v>
      </c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</row>
    <row r="135" spans="1:26" ht="18.75" hidden="1">
      <c r="A135" s="942"/>
      <c r="B135" s="827"/>
      <c r="C135" s="943"/>
      <c r="D135" s="828" t="s">
        <v>20</v>
      </c>
      <c r="E135" s="827"/>
      <c r="F135" s="827"/>
      <c r="G135" s="829"/>
      <c r="H135" s="778" t="s">
        <v>12</v>
      </c>
      <c r="I135" s="944"/>
      <c r="J135" s="944"/>
      <c r="K135" s="945"/>
      <c r="L135" s="831">
        <f t="shared" ref="L135:N135" ca="1" si="73">L136+L137</f>
        <v>0</v>
      </c>
      <c r="M135" s="831">
        <f t="shared" ca="1" si="73"/>
        <v>0</v>
      </c>
      <c r="N135" s="831">
        <f t="shared" ca="1" si="73"/>
        <v>0</v>
      </c>
      <c r="O135" s="831">
        <f t="shared" ca="1" si="70"/>
        <v>0</v>
      </c>
      <c r="P135" s="831">
        <f t="shared" ca="1" si="71"/>
        <v>0</v>
      </c>
      <c r="Q135" s="818"/>
      <c r="R135" s="818"/>
      <c r="S135" s="818"/>
      <c r="T135" s="818"/>
      <c r="U135" s="818"/>
      <c r="V135" s="818"/>
      <c r="W135" s="818"/>
      <c r="X135" s="818"/>
      <c r="Y135" s="818"/>
      <c r="Z135" s="818"/>
    </row>
    <row r="136" spans="1:26" ht="19.5" hidden="1">
      <c r="A136" s="940"/>
      <c r="B136" s="833"/>
      <c r="C136" s="946"/>
      <c r="D136" s="833"/>
      <c r="E136" s="834" t="s">
        <v>36</v>
      </c>
      <c r="F136" s="833"/>
      <c r="G136" s="941"/>
      <c r="H136" s="165" t="s">
        <v>12</v>
      </c>
      <c r="I136" s="947"/>
      <c r="J136" s="947"/>
      <c r="K136" s="948"/>
      <c r="L136" s="837">
        <v>0</v>
      </c>
      <c r="M136" s="837">
        <v>0</v>
      </c>
      <c r="N136" s="837">
        <v>0</v>
      </c>
      <c r="O136" s="837">
        <f t="shared" si="70"/>
        <v>0</v>
      </c>
      <c r="P136" s="837">
        <f t="shared" si="71"/>
        <v>0</v>
      </c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</row>
    <row r="137" spans="1:26" ht="19.5" hidden="1">
      <c r="A137" s="940"/>
      <c r="B137" s="833"/>
      <c r="C137" s="946"/>
      <c r="D137" s="833"/>
      <c r="E137" s="834" t="s">
        <v>37</v>
      </c>
      <c r="F137" s="833"/>
      <c r="G137" s="941"/>
      <c r="H137" s="165" t="s">
        <v>12</v>
      </c>
      <c r="I137" s="947"/>
      <c r="J137" s="947"/>
      <c r="K137" s="948"/>
      <c r="L137" s="837">
        <f ca="1">IFERROR(__xludf.DUMMYFUNCTION("IMPORTRANGE(""https://docs.google.com/spreadsheets/d/1MeEWN-I1oV_STSDYn1IFDPWt_1FKiwhDph83XaGc0o0/edit?usp=sharing"",""งบพรบ!BK26"")"),0)</f>
        <v>0</v>
      </c>
      <c r="M137" s="837">
        <f ca="1">IFERROR(__xludf.DUMMYFUNCTION("IMPORTRANGE(""https://docs.google.com/spreadsheets/d/1MeEWN-I1oV_STSDYn1IFDPWt_1FKiwhDph83XaGc0o0/edit?usp=sharing"",""งบพรบ!BP26"")"),0)</f>
        <v>0</v>
      </c>
      <c r="N137" s="837">
        <f ca="1">IFERROR(__xludf.DUMMYFUNCTION("IMPORTRANGE(""https://docs.google.com/spreadsheets/d/1MeEWN-I1oV_STSDYn1IFDPWt_1FKiwhDph83XaGc0o0/edit?usp=sharing"",""งบพรบ!BR26"")"),0)</f>
        <v>0</v>
      </c>
      <c r="O137" s="837">
        <f t="shared" ca="1" si="70"/>
        <v>0</v>
      </c>
      <c r="P137" s="837">
        <f t="shared" ca="1" si="71"/>
        <v>0</v>
      </c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</row>
    <row r="138" spans="1:26" ht="18.75" hidden="1">
      <c r="A138" s="942"/>
      <c r="B138" s="827"/>
      <c r="C138" s="943"/>
      <c r="D138" s="828" t="s">
        <v>21</v>
      </c>
      <c r="E138" s="827"/>
      <c r="F138" s="827"/>
      <c r="G138" s="829"/>
      <c r="H138" s="168" t="s">
        <v>12</v>
      </c>
      <c r="I138" s="944"/>
      <c r="J138" s="944"/>
      <c r="K138" s="945"/>
      <c r="L138" s="831">
        <f t="shared" ref="L138:N138" ca="1" si="74">L139+L140</f>
        <v>0</v>
      </c>
      <c r="M138" s="831">
        <f t="shared" ca="1" si="74"/>
        <v>0</v>
      </c>
      <c r="N138" s="831">
        <f t="shared" ca="1" si="74"/>
        <v>0</v>
      </c>
      <c r="O138" s="831">
        <f t="shared" ca="1" si="70"/>
        <v>0</v>
      </c>
      <c r="P138" s="831">
        <f t="shared" ca="1" si="71"/>
        <v>0</v>
      </c>
      <c r="Q138" s="818"/>
      <c r="R138" s="818"/>
      <c r="S138" s="818"/>
      <c r="T138" s="818"/>
      <c r="U138" s="818"/>
      <c r="V138" s="818"/>
      <c r="W138" s="818"/>
      <c r="X138" s="818"/>
      <c r="Y138" s="818"/>
      <c r="Z138" s="818"/>
    </row>
    <row r="139" spans="1:26" ht="19.5" hidden="1">
      <c r="A139" s="940"/>
      <c r="B139" s="833"/>
      <c r="C139" s="946"/>
      <c r="D139" s="833"/>
      <c r="E139" s="834" t="s">
        <v>18</v>
      </c>
      <c r="F139" s="833"/>
      <c r="G139" s="941"/>
      <c r="H139" s="165" t="s">
        <v>12</v>
      </c>
      <c r="I139" s="947"/>
      <c r="J139" s="947"/>
      <c r="K139" s="948"/>
      <c r="L139" s="837">
        <v>0</v>
      </c>
      <c r="M139" s="837">
        <v>0</v>
      </c>
      <c r="N139" s="837">
        <v>0</v>
      </c>
      <c r="O139" s="837">
        <f t="shared" si="70"/>
        <v>0</v>
      </c>
      <c r="P139" s="837">
        <f t="shared" si="71"/>
        <v>0</v>
      </c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</row>
    <row r="140" spans="1:26" ht="19.5" hidden="1">
      <c r="A140" s="940"/>
      <c r="B140" s="833"/>
      <c r="C140" s="946"/>
      <c r="D140" s="833"/>
      <c r="E140" s="834" t="s">
        <v>19</v>
      </c>
      <c r="F140" s="833"/>
      <c r="G140" s="941"/>
      <c r="H140" s="169" t="s">
        <v>12</v>
      </c>
      <c r="I140" s="947"/>
      <c r="J140" s="947"/>
      <c r="K140" s="948"/>
      <c r="L140" s="837">
        <f ca="1">IFERROR(__xludf.DUMMYFUNCTION("IMPORTRANGE(""https://docs.google.com/spreadsheets/d/1MeEWN-I1oV_STSDYn1IFDPWt_1FKiwhDph83XaGc0o0/edit?usp=sharing"",""งบพรบ!BN26"")"),0)</f>
        <v>0</v>
      </c>
      <c r="M140" s="837">
        <f ca="1">IFERROR(__xludf.DUMMYFUNCTION("IMPORTRANGE(""https://docs.google.com/spreadsheets/d/1MeEWN-I1oV_STSDYn1IFDPWt_1FKiwhDph83XaGc0o0/edit?usp=sharing"",""งบพรบ!BQ26"")"),0)</f>
        <v>0</v>
      </c>
      <c r="N140" s="837">
        <f ca="1">IFERROR(__xludf.DUMMYFUNCTION("IMPORTRANGE(""https://docs.google.com/spreadsheets/d/1MeEWN-I1oV_STSDYn1IFDPWt_1FKiwhDph83XaGc0o0/edit?usp=sharing"",""งบพรบ!BS26"")"),0)</f>
        <v>0</v>
      </c>
      <c r="O140" s="837">
        <f t="shared" ca="1" si="70"/>
        <v>0</v>
      </c>
      <c r="P140" s="837">
        <f t="shared" ca="1" si="71"/>
        <v>0</v>
      </c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</row>
    <row r="141" spans="1:26" ht="19.5" hidden="1">
      <c r="A141" s="949"/>
      <c r="B141" s="950"/>
      <c r="C141" s="934" t="s">
        <v>16</v>
      </c>
      <c r="D141" s="951" t="s">
        <v>38</v>
      </c>
      <c r="E141" s="952"/>
      <c r="F141" s="952"/>
      <c r="G141" s="953"/>
      <c r="H141" s="168"/>
      <c r="I141" s="830"/>
      <c r="J141" s="830"/>
      <c r="K141" s="831"/>
      <c r="L141" s="831"/>
      <c r="M141" s="831"/>
      <c r="N141" s="831"/>
      <c r="O141" s="831"/>
      <c r="P141" s="831"/>
    </row>
    <row r="142" spans="1:26" ht="19.5" hidden="1">
      <c r="A142" s="942"/>
      <c r="B142" s="827"/>
      <c r="C142" s="976"/>
      <c r="D142" s="943" t="s">
        <v>71</v>
      </c>
      <c r="E142" s="828"/>
      <c r="F142" s="827"/>
      <c r="G142" s="977"/>
      <c r="H142" s="168"/>
      <c r="I142" s="830"/>
      <c r="J142" s="959">
        <v>0</v>
      </c>
      <c r="K142" s="831"/>
      <c r="L142" s="831"/>
      <c r="M142" s="831"/>
      <c r="N142" s="831"/>
      <c r="O142" s="831"/>
      <c r="P142" s="831"/>
    </row>
    <row r="143" spans="1:26" ht="19.5" hidden="1">
      <c r="A143" s="942"/>
      <c r="B143" s="827"/>
      <c r="C143" s="976"/>
      <c r="D143" s="943" t="s">
        <v>72</v>
      </c>
      <c r="E143" s="828"/>
      <c r="F143" s="827"/>
      <c r="G143" s="977"/>
      <c r="H143" s="168" t="s">
        <v>35</v>
      </c>
      <c r="I143" s="830">
        <f ca="1">I145</f>
        <v>0</v>
      </c>
      <c r="J143" s="830">
        <f ca="1">IF(AND(J144&gt;=I144,J145&gt;=I145),J145,0)</f>
        <v>0</v>
      </c>
      <c r="K143" s="831">
        <f t="shared" ref="K143:K146" ca="1" si="75">IF(I143&gt;0,J143*100/I143,0)</f>
        <v>0</v>
      </c>
      <c r="L143" s="831"/>
      <c r="M143" s="831"/>
      <c r="N143" s="831"/>
      <c r="O143" s="831"/>
      <c r="P143" s="831"/>
    </row>
    <row r="144" spans="1:26" ht="19.5" hidden="1">
      <c r="A144" s="942"/>
      <c r="B144" s="827"/>
      <c r="C144" s="976"/>
      <c r="D144" s="957"/>
      <c r="E144" s="943" t="s">
        <v>73</v>
      </c>
      <c r="F144" s="827"/>
      <c r="G144" s="977"/>
      <c r="H144" s="168" t="s">
        <v>35</v>
      </c>
      <c r="I144" s="830">
        <f ca="1">IFERROR(__xludf.DUMMYFUNCTION("IMPORTRANGE(""https://docs.google.com/spreadsheets/d/1QqKyyYR6Q21VydFLVH3TRQUabQu_ym0Zz7PgGX0-kHA/edit?usp=sharing"",""แผน!U26"")"),0)</f>
        <v>0</v>
      </c>
      <c r="J144" s="959">
        <v>0</v>
      </c>
      <c r="K144" s="831">
        <f t="shared" ca="1" si="75"/>
        <v>0</v>
      </c>
      <c r="L144" s="831"/>
      <c r="M144" s="831"/>
      <c r="N144" s="831"/>
      <c r="O144" s="831"/>
      <c r="P144" s="831"/>
    </row>
    <row r="145" spans="1:26" ht="19.5" hidden="1">
      <c r="A145" s="942"/>
      <c r="B145" s="827"/>
      <c r="C145" s="976"/>
      <c r="D145" s="957"/>
      <c r="E145" s="943" t="s">
        <v>74</v>
      </c>
      <c r="F145" s="827"/>
      <c r="G145" s="977"/>
      <c r="H145" s="168" t="s">
        <v>35</v>
      </c>
      <c r="I145" s="830">
        <f ca="1">IFERROR(__xludf.DUMMYFUNCTION("IMPORTRANGE(""https://docs.google.com/spreadsheets/d/1QqKyyYR6Q21VydFLVH3TRQUabQu_ym0Zz7PgGX0-kHA/edit?usp=sharing"",""แผน!V26"")"),0)</f>
        <v>0</v>
      </c>
      <c r="J145" s="959">
        <v>0</v>
      </c>
      <c r="K145" s="831">
        <f t="shared" ca="1" si="75"/>
        <v>0</v>
      </c>
      <c r="L145" s="831"/>
      <c r="M145" s="831"/>
      <c r="N145" s="831"/>
      <c r="O145" s="831"/>
      <c r="P145" s="831"/>
    </row>
    <row r="146" spans="1:26" ht="19.5" hidden="1">
      <c r="A146" s="942"/>
      <c r="B146" s="827"/>
      <c r="C146" s="976"/>
      <c r="D146" s="943" t="s">
        <v>75</v>
      </c>
      <c r="E146" s="828"/>
      <c r="F146" s="827"/>
      <c r="G146" s="977"/>
      <c r="H146" s="168" t="s">
        <v>66</v>
      </c>
      <c r="I146" s="830">
        <f ca="1">IFERROR(__xludf.DUMMYFUNCTION("IMPORTRANGE(""https://docs.google.com/spreadsheets/d/1QqKyyYR6Q21VydFLVH3TRQUabQu_ym0Zz7PgGX0-kHA/edit?usp=sharing"",""แผน!W26"")"),0)</f>
        <v>0</v>
      </c>
      <c r="J146" s="959">
        <v>0</v>
      </c>
      <c r="K146" s="831">
        <f t="shared" ca="1" si="75"/>
        <v>0</v>
      </c>
      <c r="L146" s="831"/>
      <c r="M146" s="831"/>
      <c r="N146" s="831"/>
      <c r="O146" s="831"/>
      <c r="P146" s="831"/>
    </row>
    <row r="147" spans="1:26" ht="19.5" hidden="1">
      <c r="A147" s="917" t="s">
        <v>76</v>
      </c>
      <c r="B147" s="918"/>
      <c r="C147" s="969"/>
      <c r="D147" s="918"/>
      <c r="E147" s="918"/>
      <c r="F147" s="918"/>
      <c r="G147" s="918"/>
      <c r="H147" s="970"/>
      <c r="I147" s="971"/>
      <c r="J147" s="971"/>
      <c r="K147" s="972"/>
      <c r="L147" s="923"/>
      <c r="M147" s="923"/>
      <c r="N147" s="923"/>
      <c r="O147" s="923"/>
      <c r="P147" s="923"/>
    </row>
    <row r="148" spans="1:26" ht="19.5" hidden="1">
      <c r="A148" s="978"/>
      <c r="B148" s="925" t="s">
        <v>77</v>
      </c>
      <c r="C148" s="925"/>
      <c r="D148" s="925"/>
      <c r="E148" s="979"/>
      <c r="F148" s="980"/>
      <c r="G148" s="981"/>
      <c r="H148" s="221" t="s">
        <v>35</v>
      </c>
      <c r="I148" s="929">
        <f t="shared" ref="I148:J148" ca="1" si="76">I159</f>
        <v>0</v>
      </c>
      <c r="J148" s="929">
        <f t="shared" si="76"/>
        <v>0</v>
      </c>
      <c r="K148" s="930">
        <f ca="1">IF(I148&gt;0,J148*100/I148,0)</f>
        <v>0</v>
      </c>
      <c r="L148" s="930"/>
      <c r="M148" s="930"/>
      <c r="N148" s="930"/>
      <c r="O148" s="930"/>
      <c r="P148" s="930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32"/>
      <c r="B149" s="933"/>
      <c r="C149" s="934" t="s">
        <v>16</v>
      </c>
      <c r="D149" s="935" t="s">
        <v>17</v>
      </c>
      <c r="E149" s="933"/>
      <c r="F149" s="933"/>
      <c r="G149" s="936"/>
      <c r="H149" s="152" t="s">
        <v>12</v>
      </c>
      <c r="I149" s="937"/>
      <c r="J149" s="937"/>
      <c r="K149" s="938"/>
      <c r="L149" s="939">
        <f t="shared" ref="L149:N149" ca="1" si="77">L150+L151</f>
        <v>0</v>
      </c>
      <c r="M149" s="939">
        <f t="shared" ca="1" si="77"/>
        <v>2400</v>
      </c>
      <c r="N149" s="939">
        <f t="shared" ca="1" si="77"/>
        <v>1888</v>
      </c>
      <c r="O149" s="939">
        <f t="shared" ref="O149:O157" ca="1" si="78">IF(L149&gt;0,N149*100/L149,0)</f>
        <v>0</v>
      </c>
      <c r="P149" s="939">
        <f t="shared" ref="P149:P157" ca="1" si="79">IF(M149&gt;0,N149*100/M149,0)</f>
        <v>78.666666666666671</v>
      </c>
      <c r="Q149" s="818"/>
      <c r="R149" s="818"/>
      <c r="S149" s="818"/>
      <c r="T149" s="818"/>
      <c r="U149" s="818"/>
      <c r="V149" s="818"/>
      <c r="W149" s="818"/>
      <c r="X149" s="818"/>
      <c r="Y149" s="818"/>
      <c r="Z149" s="818"/>
    </row>
    <row r="150" spans="1:26" ht="18.75" hidden="1">
      <c r="A150" s="940"/>
      <c r="B150" s="833"/>
      <c r="C150" s="833"/>
      <c r="D150" s="833"/>
      <c r="E150" s="834" t="s">
        <v>18</v>
      </c>
      <c r="F150" s="833"/>
      <c r="G150" s="941"/>
      <c r="H150" s="158" t="s">
        <v>12</v>
      </c>
      <c r="I150" s="836"/>
      <c r="J150" s="836"/>
      <c r="K150" s="837"/>
      <c r="L150" s="837">
        <f t="shared" ref="L150:N151" si="80">L153+L156</f>
        <v>0</v>
      </c>
      <c r="M150" s="837">
        <f t="shared" si="80"/>
        <v>0</v>
      </c>
      <c r="N150" s="837">
        <f t="shared" si="80"/>
        <v>0</v>
      </c>
      <c r="O150" s="837">
        <f t="shared" si="78"/>
        <v>0</v>
      </c>
      <c r="P150" s="837">
        <f t="shared" si="79"/>
        <v>0</v>
      </c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</row>
    <row r="151" spans="1:26" ht="18.75" hidden="1">
      <c r="A151" s="940"/>
      <c r="B151" s="833"/>
      <c r="C151" s="833"/>
      <c r="D151" s="833"/>
      <c r="E151" s="834" t="s">
        <v>19</v>
      </c>
      <c r="F151" s="833"/>
      <c r="G151" s="941"/>
      <c r="H151" s="158" t="s">
        <v>12</v>
      </c>
      <c r="I151" s="836"/>
      <c r="J151" s="836"/>
      <c r="K151" s="837"/>
      <c r="L151" s="837">
        <f t="shared" ca="1" si="80"/>
        <v>0</v>
      </c>
      <c r="M151" s="837">
        <f t="shared" ca="1" si="80"/>
        <v>2400</v>
      </c>
      <c r="N151" s="837">
        <f t="shared" ca="1" si="80"/>
        <v>1888</v>
      </c>
      <c r="O151" s="837">
        <f t="shared" ca="1" si="78"/>
        <v>0</v>
      </c>
      <c r="P151" s="837">
        <f t="shared" ca="1" si="79"/>
        <v>78.666666666666671</v>
      </c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</row>
    <row r="152" spans="1:26" ht="18.75" hidden="1">
      <c r="A152" s="942"/>
      <c r="B152" s="827"/>
      <c r="C152" s="943"/>
      <c r="D152" s="828" t="s">
        <v>20</v>
      </c>
      <c r="E152" s="827"/>
      <c r="F152" s="827"/>
      <c r="G152" s="829"/>
      <c r="H152" s="778" t="s">
        <v>12</v>
      </c>
      <c r="I152" s="944"/>
      <c r="J152" s="944"/>
      <c r="K152" s="945"/>
      <c r="L152" s="831">
        <f t="shared" ref="L152:N152" ca="1" si="81">L153+L154</f>
        <v>0</v>
      </c>
      <c r="M152" s="831">
        <f t="shared" ca="1" si="81"/>
        <v>2400</v>
      </c>
      <c r="N152" s="831">
        <f t="shared" ca="1" si="81"/>
        <v>1888</v>
      </c>
      <c r="O152" s="831">
        <f t="shared" ca="1" si="78"/>
        <v>0</v>
      </c>
      <c r="P152" s="831">
        <f t="shared" ca="1" si="79"/>
        <v>78.666666666666671</v>
      </c>
      <c r="Q152" s="818"/>
      <c r="R152" s="818"/>
      <c r="S152" s="818"/>
      <c r="T152" s="818"/>
      <c r="U152" s="818"/>
      <c r="V152" s="818"/>
      <c r="W152" s="818"/>
      <c r="X152" s="818"/>
      <c r="Y152" s="818"/>
      <c r="Z152" s="818"/>
    </row>
    <row r="153" spans="1:26" ht="19.5" hidden="1">
      <c r="A153" s="940"/>
      <c r="B153" s="833"/>
      <c r="C153" s="946"/>
      <c r="D153" s="833"/>
      <c r="E153" s="834" t="s">
        <v>36</v>
      </c>
      <c r="F153" s="833"/>
      <c r="G153" s="941"/>
      <c r="H153" s="165" t="s">
        <v>12</v>
      </c>
      <c r="I153" s="947"/>
      <c r="J153" s="947"/>
      <c r="K153" s="948"/>
      <c r="L153" s="837">
        <v>0</v>
      </c>
      <c r="M153" s="837">
        <v>0</v>
      </c>
      <c r="N153" s="837">
        <v>0</v>
      </c>
      <c r="O153" s="837">
        <f t="shared" si="78"/>
        <v>0</v>
      </c>
      <c r="P153" s="837">
        <f t="shared" si="79"/>
        <v>0</v>
      </c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</row>
    <row r="154" spans="1:26" ht="19.5" hidden="1">
      <c r="A154" s="940"/>
      <c r="B154" s="833"/>
      <c r="C154" s="946"/>
      <c r="D154" s="833"/>
      <c r="E154" s="834" t="s">
        <v>37</v>
      </c>
      <c r="F154" s="833"/>
      <c r="G154" s="941"/>
      <c r="H154" s="165" t="s">
        <v>12</v>
      </c>
      <c r="I154" s="947"/>
      <c r="J154" s="947"/>
      <c r="K154" s="948"/>
      <c r="L154" s="837">
        <f ca="1">IFERROR(__xludf.DUMMYFUNCTION("IMPORTRANGE(""https://docs.google.com/spreadsheets/d/1MeEWN-I1oV_STSDYn1IFDPWt_1FKiwhDph83XaGc0o0/edit?usp=sharing"",""งบพรบ!BU26"")"),0)</f>
        <v>0</v>
      </c>
      <c r="M154" s="837">
        <f ca="1">IFERROR(__xludf.DUMMYFUNCTION("IMPORTRANGE(""https://docs.google.com/spreadsheets/d/1MeEWN-I1oV_STSDYn1IFDPWt_1FKiwhDph83XaGc0o0/edit?usp=sharing"",""งบพรบ!BZ26"")"),2400)</f>
        <v>2400</v>
      </c>
      <c r="N154" s="837">
        <f ca="1">IFERROR(__xludf.DUMMYFUNCTION("IMPORTRANGE(""https://docs.google.com/spreadsheets/d/1MeEWN-I1oV_STSDYn1IFDPWt_1FKiwhDph83XaGc0o0/edit?usp=sharing"",""งบพรบ!CB26"")"),1888)</f>
        <v>1888</v>
      </c>
      <c r="O154" s="837">
        <f t="shared" ca="1" si="78"/>
        <v>0</v>
      </c>
      <c r="P154" s="837">
        <f t="shared" ca="1" si="79"/>
        <v>78.666666666666671</v>
      </c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</row>
    <row r="155" spans="1:26" ht="18.75" hidden="1">
      <c r="A155" s="942"/>
      <c r="B155" s="827"/>
      <c r="C155" s="943"/>
      <c r="D155" s="828" t="s">
        <v>21</v>
      </c>
      <c r="E155" s="827"/>
      <c r="F155" s="827"/>
      <c r="G155" s="829"/>
      <c r="H155" s="168" t="s">
        <v>12</v>
      </c>
      <c r="I155" s="944"/>
      <c r="J155" s="944"/>
      <c r="K155" s="945"/>
      <c r="L155" s="831">
        <f t="shared" ref="L155:N155" ca="1" si="82">L156+L157</f>
        <v>0</v>
      </c>
      <c r="M155" s="831">
        <f t="shared" ca="1" si="82"/>
        <v>0</v>
      </c>
      <c r="N155" s="831">
        <f t="shared" ca="1" si="82"/>
        <v>0</v>
      </c>
      <c r="O155" s="831">
        <f t="shared" ca="1" si="78"/>
        <v>0</v>
      </c>
      <c r="P155" s="831">
        <f t="shared" ca="1" si="79"/>
        <v>0</v>
      </c>
      <c r="Q155" s="818"/>
      <c r="R155" s="818"/>
      <c r="S155" s="818"/>
      <c r="T155" s="818"/>
      <c r="U155" s="818"/>
      <c r="V155" s="818"/>
      <c r="W155" s="818"/>
      <c r="X155" s="818"/>
      <c r="Y155" s="818"/>
      <c r="Z155" s="818"/>
    </row>
    <row r="156" spans="1:26" ht="19.5" hidden="1">
      <c r="A156" s="940"/>
      <c r="B156" s="833"/>
      <c r="C156" s="946"/>
      <c r="D156" s="833"/>
      <c r="E156" s="834" t="s">
        <v>18</v>
      </c>
      <c r="F156" s="833"/>
      <c r="G156" s="941"/>
      <c r="H156" s="165" t="s">
        <v>12</v>
      </c>
      <c r="I156" s="947"/>
      <c r="J156" s="947"/>
      <c r="K156" s="948"/>
      <c r="L156" s="837">
        <v>0</v>
      </c>
      <c r="M156" s="837">
        <v>0</v>
      </c>
      <c r="N156" s="837">
        <v>0</v>
      </c>
      <c r="O156" s="837">
        <f t="shared" si="78"/>
        <v>0</v>
      </c>
      <c r="P156" s="837">
        <f t="shared" si="79"/>
        <v>0</v>
      </c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</row>
    <row r="157" spans="1:26" ht="19.5" hidden="1">
      <c r="A157" s="940"/>
      <c r="B157" s="833"/>
      <c r="C157" s="946"/>
      <c r="D157" s="833"/>
      <c r="E157" s="834" t="s">
        <v>19</v>
      </c>
      <c r="F157" s="833"/>
      <c r="G157" s="941"/>
      <c r="H157" s="169" t="s">
        <v>12</v>
      </c>
      <c r="I157" s="947"/>
      <c r="J157" s="947"/>
      <c r="K157" s="948"/>
      <c r="L157" s="837">
        <f ca="1">IFERROR(__xludf.DUMMYFUNCTION("IMPORTRANGE(""https://docs.google.com/spreadsheets/d/1MeEWN-I1oV_STSDYn1IFDPWt_1FKiwhDph83XaGc0o0/edit?usp=sharing"",""งบพรบ!BX26"")"),0)</f>
        <v>0</v>
      </c>
      <c r="M157" s="837">
        <f ca="1">IFERROR(__xludf.DUMMYFUNCTION("IMPORTRANGE(""https://docs.google.com/spreadsheets/d/1MeEWN-I1oV_STSDYn1IFDPWt_1FKiwhDph83XaGc0o0/edit?usp=sharing"",""งบพรบ!CA26"")"),0)</f>
        <v>0</v>
      </c>
      <c r="N157" s="837">
        <f ca="1">IFERROR(__xludf.DUMMYFUNCTION("IMPORTRANGE(""https://docs.google.com/spreadsheets/d/1MeEWN-I1oV_STSDYn1IFDPWt_1FKiwhDph83XaGc0o0/edit?usp=sharing"",""งบพรบ!CC26"")"),0)</f>
        <v>0</v>
      </c>
      <c r="O157" s="837">
        <f t="shared" ca="1" si="78"/>
        <v>0</v>
      </c>
      <c r="P157" s="837">
        <f t="shared" ca="1" si="79"/>
        <v>0</v>
      </c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</row>
    <row r="158" spans="1:26" ht="19.5" hidden="1">
      <c r="A158" s="949"/>
      <c r="B158" s="950"/>
      <c r="C158" s="946" t="s">
        <v>16</v>
      </c>
      <c r="D158" s="951" t="s">
        <v>38</v>
      </c>
      <c r="E158" s="952"/>
      <c r="F158" s="952"/>
      <c r="G158" s="953"/>
      <c r="H158" s="168"/>
      <c r="I158" s="830"/>
      <c r="J158" s="830"/>
      <c r="K158" s="831"/>
      <c r="L158" s="831"/>
      <c r="M158" s="831"/>
      <c r="N158" s="831"/>
      <c r="O158" s="831"/>
      <c r="P158" s="831"/>
    </row>
    <row r="159" spans="1:26" ht="19.5" hidden="1">
      <c r="A159" s="942"/>
      <c r="B159" s="827"/>
      <c r="C159" s="976"/>
      <c r="D159" s="943" t="s">
        <v>78</v>
      </c>
      <c r="E159" s="828"/>
      <c r="F159" s="827"/>
      <c r="G159" s="977"/>
      <c r="H159" s="168" t="s">
        <v>35</v>
      </c>
      <c r="I159" s="830">
        <f ca="1">IFERROR(__xludf.DUMMYFUNCTION("IMPORTRANGE(""https://docs.google.com/spreadsheets/d/1QqKyyYR6Q21VydFLVH3TRQUabQu_ym0Zz7PgGX0-kHA/edit?usp=sharing"",""แผน!X26"")"),0)</f>
        <v>0</v>
      </c>
      <c r="J159" s="959">
        <v>0</v>
      </c>
      <c r="K159" s="831">
        <f ca="1">IF(I159&gt;0,J159*100/I159,0)</f>
        <v>0</v>
      </c>
      <c r="L159" s="831"/>
      <c r="M159" s="831"/>
      <c r="N159" s="831"/>
      <c r="O159" s="831"/>
      <c r="P159" s="831"/>
    </row>
    <row r="160" spans="1:26" ht="19.5" hidden="1">
      <c r="A160" s="940"/>
      <c r="B160" s="833"/>
      <c r="C160" s="946"/>
      <c r="D160" s="834" t="s">
        <v>79</v>
      </c>
      <c r="E160" s="982"/>
      <c r="F160" s="833"/>
      <c r="G160" s="941"/>
      <c r="H160" s="169" t="s">
        <v>35</v>
      </c>
      <c r="I160" s="836"/>
      <c r="J160" s="836"/>
      <c r="K160" s="837"/>
      <c r="L160" s="837"/>
      <c r="M160" s="837"/>
      <c r="N160" s="837"/>
      <c r="O160" s="837"/>
      <c r="P160" s="83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983"/>
      <c r="B161" s="984"/>
      <c r="C161" s="985"/>
      <c r="D161" s="986" t="s">
        <v>80</v>
      </c>
      <c r="E161" s="987"/>
      <c r="F161" s="984"/>
      <c r="G161" s="988"/>
      <c r="H161" s="232" t="s">
        <v>35</v>
      </c>
      <c r="I161" s="989"/>
      <c r="J161" s="989"/>
      <c r="K161" s="990"/>
      <c r="L161" s="990"/>
      <c r="M161" s="990"/>
      <c r="N161" s="990"/>
      <c r="O161" s="990"/>
      <c r="P161" s="990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991" t="s">
        <v>81</v>
      </c>
      <c r="B162" s="992"/>
      <c r="C162" s="992"/>
      <c r="D162" s="992"/>
      <c r="E162" s="993"/>
      <c r="F162" s="993"/>
      <c r="G162" s="994"/>
      <c r="H162" s="995"/>
      <c r="I162" s="996"/>
      <c r="J162" s="996"/>
      <c r="K162" s="997"/>
      <c r="L162" s="997"/>
      <c r="M162" s="997"/>
      <c r="N162" s="997"/>
      <c r="O162" s="997"/>
      <c r="P162" s="997"/>
    </row>
    <row r="163" spans="1:26" ht="19.5">
      <c r="A163" s="998" t="s">
        <v>82</v>
      </c>
      <c r="B163" s="999"/>
      <c r="C163" s="999"/>
      <c r="D163" s="1000"/>
      <c r="E163" s="1000"/>
      <c r="F163" s="1000"/>
      <c r="G163" s="1001"/>
      <c r="H163" s="1002"/>
      <c r="I163" s="1003"/>
      <c r="J163" s="1003"/>
      <c r="K163" s="1004"/>
      <c r="L163" s="1004"/>
      <c r="M163" s="1004"/>
      <c r="N163" s="1004"/>
      <c r="O163" s="1004"/>
      <c r="P163" s="1004"/>
    </row>
    <row r="164" spans="1:26" ht="19.5">
      <c r="A164" s="1005"/>
      <c r="B164" s="1006" t="s">
        <v>83</v>
      </c>
      <c r="C164" s="1007"/>
      <c r="D164" s="952"/>
      <c r="E164" s="952"/>
      <c r="F164" s="952"/>
      <c r="G164" s="953"/>
      <c r="H164" s="252" t="s">
        <v>35</v>
      </c>
      <c r="I164" s="1008">
        <f t="shared" ref="I164:J164" ca="1" si="83">I174+I177</f>
        <v>11</v>
      </c>
      <c r="J164" s="1008">
        <f t="shared" si="83"/>
        <v>11</v>
      </c>
      <c r="K164" s="1009">
        <f ca="1">IF(I164&gt;0,J164*100/I164,0)</f>
        <v>100</v>
      </c>
      <c r="L164" s="1010"/>
      <c r="M164" s="1010"/>
      <c r="N164" s="1010"/>
      <c r="O164" s="1010"/>
      <c r="P164" s="1010"/>
    </row>
    <row r="165" spans="1:26" ht="19.5">
      <c r="A165" s="932"/>
      <c r="B165" s="933"/>
      <c r="C165" s="934" t="s">
        <v>16</v>
      </c>
      <c r="D165" s="935" t="s">
        <v>17</v>
      </c>
      <c r="E165" s="933"/>
      <c r="F165" s="933"/>
      <c r="G165" s="936"/>
      <c r="H165" s="152" t="s">
        <v>12</v>
      </c>
      <c r="I165" s="937"/>
      <c r="J165" s="937"/>
      <c r="K165" s="938"/>
      <c r="L165" s="939">
        <f t="shared" ref="L165:N165" ca="1" si="84">L166+L167</f>
        <v>22055</v>
      </c>
      <c r="M165" s="939">
        <f t="shared" ca="1" si="84"/>
        <v>41815</v>
      </c>
      <c r="N165" s="939">
        <f t="shared" ca="1" si="84"/>
        <v>40115</v>
      </c>
      <c r="O165" s="939">
        <f t="shared" ref="O165:O173" ca="1" si="85">IF(L165&gt;0,N165*100/L165,0)</f>
        <v>181.88619360689185</v>
      </c>
      <c r="P165" s="939">
        <f t="shared" ref="P165:P173" ca="1" si="86">IF(M165&gt;0,N165*100/M165,0)</f>
        <v>95.934473275140505</v>
      </c>
      <c r="Q165" s="818"/>
      <c r="R165" s="818"/>
      <c r="S165" s="818"/>
      <c r="T165" s="818"/>
      <c r="U165" s="818"/>
      <c r="V165" s="818"/>
      <c r="W165" s="818"/>
      <c r="X165" s="818"/>
      <c r="Y165" s="818"/>
      <c r="Z165" s="818"/>
    </row>
    <row r="166" spans="1:26" ht="18.75" hidden="1">
      <c r="A166" s="940"/>
      <c r="B166" s="833"/>
      <c r="C166" s="833"/>
      <c r="D166" s="833"/>
      <c r="E166" s="834" t="s">
        <v>18</v>
      </c>
      <c r="F166" s="833"/>
      <c r="G166" s="941"/>
      <c r="H166" s="158" t="s">
        <v>12</v>
      </c>
      <c r="I166" s="836"/>
      <c r="J166" s="836"/>
      <c r="K166" s="837"/>
      <c r="L166" s="837">
        <f t="shared" ref="L166:N167" si="87">L169+L172</f>
        <v>0</v>
      </c>
      <c r="M166" s="837">
        <f t="shared" si="87"/>
        <v>0</v>
      </c>
      <c r="N166" s="837">
        <f t="shared" si="87"/>
        <v>0</v>
      </c>
      <c r="O166" s="837">
        <f t="shared" si="85"/>
        <v>0</v>
      </c>
      <c r="P166" s="837">
        <f t="shared" si="86"/>
        <v>0</v>
      </c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</row>
    <row r="167" spans="1:26" ht="18.75" hidden="1">
      <c r="A167" s="940"/>
      <c r="B167" s="833"/>
      <c r="C167" s="833"/>
      <c r="D167" s="833"/>
      <c r="E167" s="834" t="s">
        <v>19</v>
      </c>
      <c r="F167" s="833"/>
      <c r="G167" s="941"/>
      <c r="H167" s="158" t="s">
        <v>12</v>
      </c>
      <c r="I167" s="836"/>
      <c r="J167" s="836"/>
      <c r="K167" s="837"/>
      <c r="L167" s="837">
        <f t="shared" ca="1" si="87"/>
        <v>22055</v>
      </c>
      <c r="M167" s="837">
        <f t="shared" ca="1" si="87"/>
        <v>41815</v>
      </c>
      <c r="N167" s="837">
        <f t="shared" ca="1" si="87"/>
        <v>40115</v>
      </c>
      <c r="O167" s="837">
        <f t="shared" ca="1" si="85"/>
        <v>181.88619360689185</v>
      </c>
      <c r="P167" s="837">
        <f t="shared" ca="1" si="86"/>
        <v>95.934473275140505</v>
      </c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</row>
    <row r="168" spans="1:26" ht="18.75">
      <c r="A168" s="942"/>
      <c r="B168" s="827"/>
      <c r="C168" s="943"/>
      <c r="D168" s="828" t="s">
        <v>20</v>
      </c>
      <c r="E168" s="827"/>
      <c r="F168" s="827"/>
      <c r="G168" s="829"/>
      <c r="H168" s="778" t="s">
        <v>12</v>
      </c>
      <c r="I168" s="944"/>
      <c r="J168" s="944"/>
      <c r="K168" s="945"/>
      <c r="L168" s="831">
        <f t="shared" ref="L168:N168" ca="1" si="88">L169+L170</f>
        <v>22055</v>
      </c>
      <c r="M168" s="831">
        <f t="shared" ca="1" si="88"/>
        <v>41815</v>
      </c>
      <c r="N168" s="831">
        <f t="shared" ca="1" si="88"/>
        <v>40115</v>
      </c>
      <c r="O168" s="831">
        <f t="shared" ca="1" si="85"/>
        <v>181.88619360689185</v>
      </c>
      <c r="P168" s="831">
        <f t="shared" ca="1" si="86"/>
        <v>95.934473275140505</v>
      </c>
      <c r="Q168" s="818"/>
      <c r="R168" s="818"/>
      <c r="S168" s="818"/>
      <c r="T168" s="818"/>
      <c r="U168" s="818"/>
      <c r="V168" s="818"/>
      <c r="W168" s="818"/>
      <c r="X168" s="818"/>
      <c r="Y168" s="818"/>
      <c r="Z168" s="818"/>
    </row>
    <row r="169" spans="1:26" ht="19.5" hidden="1">
      <c r="A169" s="940"/>
      <c r="B169" s="833"/>
      <c r="C169" s="946"/>
      <c r="D169" s="833"/>
      <c r="E169" s="834" t="s">
        <v>36</v>
      </c>
      <c r="F169" s="833"/>
      <c r="G169" s="941"/>
      <c r="H169" s="165" t="s">
        <v>12</v>
      </c>
      <c r="I169" s="947"/>
      <c r="J169" s="947"/>
      <c r="K169" s="948"/>
      <c r="L169" s="837">
        <v>0</v>
      </c>
      <c r="M169" s="837">
        <v>0</v>
      </c>
      <c r="N169" s="837">
        <v>0</v>
      </c>
      <c r="O169" s="837">
        <f t="shared" si="85"/>
        <v>0</v>
      </c>
      <c r="P169" s="837">
        <f t="shared" si="86"/>
        <v>0</v>
      </c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</row>
    <row r="170" spans="1:26" ht="19.5" hidden="1">
      <c r="A170" s="940"/>
      <c r="B170" s="833"/>
      <c r="C170" s="946"/>
      <c r="D170" s="833"/>
      <c r="E170" s="834" t="s">
        <v>37</v>
      </c>
      <c r="F170" s="833"/>
      <c r="G170" s="941"/>
      <c r="H170" s="165" t="s">
        <v>12</v>
      </c>
      <c r="I170" s="947"/>
      <c r="J170" s="947"/>
      <c r="K170" s="948"/>
      <c r="L170" s="837">
        <f ca="1">IFERROR(__xludf.DUMMYFUNCTION("IMPORTRANGE(""https://docs.google.com/spreadsheets/d/1MeEWN-I1oV_STSDYn1IFDPWt_1FKiwhDph83XaGc0o0/edit?usp=sharing"",""งบพรบ!CE26"")"),22055)</f>
        <v>22055</v>
      </c>
      <c r="M170" s="837">
        <f ca="1">IFERROR(__xludf.DUMMYFUNCTION("IMPORTRANGE(""https://docs.google.com/spreadsheets/d/1MeEWN-I1oV_STSDYn1IFDPWt_1FKiwhDph83XaGc0o0/edit?usp=sharing"",""งบพรบ!CJ26"")"),41815)</f>
        <v>41815</v>
      </c>
      <c r="N170" s="837">
        <f ca="1">IFERROR(__xludf.DUMMYFUNCTION("IMPORTRANGE(""https://docs.google.com/spreadsheets/d/1MeEWN-I1oV_STSDYn1IFDPWt_1FKiwhDph83XaGc0o0/edit?usp=sharing"",""งบพรบ!CL26"")"),40115)</f>
        <v>40115</v>
      </c>
      <c r="O170" s="837">
        <f t="shared" ca="1" si="85"/>
        <v>181.88619360689185</v>
      </c>
      <c r="P170" s="837">
        <f t="shared" ca="1" si="86"/>
        <v>95.934473275140505</v>
      </c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</row>
    <row r="171" spans="1:26" ht="18.75">
      <c r="A171" s="942"/>
      <c r="B171" s="827"/>
      <c r="C171" s="943"/>
      <c r="D171" s="828" t="s">
        <v>21</v>
      </c>
      <c r="E171" s="827"/>
      <c r="F171" s="827"/>
      <c r="G171" s="829"/>
      <c r="H171" s="168" t="s">
        <v>12</v>
      </c>
      <c r="I171" s="944"/>
      <c r="J171" s="944"/>
      <c r="K171" s="945"/>
      <c r="L171" s="831">
        <f t="shared" ref="L171:N171" ca="1" si="89">L172+L173</f>
        <v>0</v>
      </c>
      <c r="M171" s="831">
        <f t="shared" ca="1" si="89"/>
        <v>0</v>
      </c>
      <c r="N171" s="831">
        <f t="shared" ca="1" si="89"/>
        <v>0</v>
      </c>
      <c r="O171" s="831">
        <f t="shared" ca="1" si="85"/>
        <v>0</v>
      </c>
      <c r="P171" s="831">
        <f t="shared" ca="1" si="86"/>
        <v>0</v>
      </c>
      <c r="Q171" s="818"/>
      <c r="R171" s="818"/>
      <c r="S171" s="818"/>
      <c r="T171" s="818"/>
      <c r="U171" s="818"/>
      <c r="V171" s="818"/>
      <c r="W171" s="818"/>
      <c r="X171" s="818"/>
      <c r="Y171" s="818"/>
      <c r="Z171" s="818"/>
    </row>
    <row r="172" spans="1:26" ht="19.5" hidden="1">
      <c r="A172" s="940"/>
      <c r="B172" s="833"/>
      <c r="C172" s="946"/>
      <c r="D172" s="833"/>
      <c r="E172" s="834" t="s">
        <v>18</v>
      </c>
      <c r="F172" s="833"/>
      <c r="G172" s="941"/>
      <c r="H172" s="165" t="s">
        <v>12</v>
      </c>
      <c r="I172" s="947"/>
      <c r="J172" s="947"/>
      <c r="K172" s="948"/>
      <c r="L172" s="837">
        <v>0</v>
      </c>
      <c r="M172" s="837">
        <v>0</v>
      </c>
      <c r="N172" s="837">
        <v>0</v>
      </c>
      <c r="O172" s="837">
        <f t="shared" si="85"/>
        <v>0</v>
      </c>
      <c r="P172" s="837">
        <f t="shared" si="86"/>
        <v>0</v>
      </c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</row>
    <row r="173" spans="1:26" ht="19.5" hidden="1">
      <c r="A173" s="940"/>
      <c r="B173" s="833"/>
      <c r="C173" s="946"/>
      <c r="D173" s="833"/>
      <c r="E173" s="834" t="s">
        <v>19</v>
      </c>
      <c r="F173" s="833"/>
      <c r="G173" s="941"/>
      <c r="H173" s="169" t="s">
        <v>12</v>
      </c>
      <c r="I173" s="947"/>
      <c r="J173" s="947"/>
      <c r="K173" s="948"/>
      <c r="L173" s="837">
        <f ca="1">IFERROR(__xludf.DUMMYFUNCTION("IMPORTRANGE(""https://docs.google.com/spreadsheets/d/1MeEWN-I1oV_STSDYn1IFDPWt_1FKiwhDph83XaGc0o0/edit?usp=sharing"",""งบพรบ!CH26"")"),0)</f>
        <v>0</v>
      </c>
      <c r="M173" s="837">
        <f ca="1">IFERROR(__xludf.DUMMYFUNCTION("IMPORTRANGE(""https://docs.google.com/spreadsheets/d/1MeEWN-I1oV_STSDYn1IFDPWt_1FKiwhDph83XaGc0o0/edit?usp=sharing"",""งบพรบ!CK26"")"),0)</f>
        <v>0</v>
      </c>
      <c r="N173" s="837">
        <f ca="1">IFERROR(__xludf.DUMMYFUNCTION("IMPORTRANGE(""https://docs.google.com/spreadsheets/d/1MeEWN-I1oV_STSDYn1IFDPWt_1FKiwhDph83XaGc0o0/edit?usp=sharing"",""งบพรบ!CM26"")"),0)</f>
        <v>0</v>
      </c>
      <c r="O173" s="837">
        <f t="shared" ca="1" si="85"/>
        <v>0</v>
      </c>
      <c r="P173" s="837">
        <f t="shared" ca="1" si="86"/>
        <v>0</v>
      </c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</row>
    <row r="174" spans="1:26" ht="19.5">
      <c r="A174" s="1011"/>
      <c r="B174" s="1012"/>
      <c r="C174" s="1013" t="s">
        <v>84</v>
      </c>
      <c r="D174" s="1012"/>
      <c r="E174" s="1012"/>
      <c r="F174" s="1012"/>
      <c r="G174" s="1014"/>
      <c r="H174" s="260" t="s">
        <v>35</v>
      </c>
      <c r="I174" s="1015">
        <f t="shared" ref="I174:J174" ca="1" si="90">I176</f>
        <v>11</v>
      </c>
      <c r="J174" s="1015">
        <f t="shared" si="90"/>
        <v>11</v>
      </c>
      <c r="K174" s="1016">
        <f ca="1">IF(I174&gt;0,J174*100/I174,0)</f>
        <v>100</v>
      </c>
      <c r="L174" s="1016"/>
      <c r="M174" s="1016"/>
      <c r="N174" s="1016"/>
      <c r="O174" s="1016"/>
      <c r="P174" s="1016"/>
    </row>
    <row r="175" spans="1:26" ht="19.5">
      <c r="A175" s="949"/>
      <c r="B175" s="950"/>
      <c r="C175" s="946" t="s">
        <v>16</v>
      </c>
      <c r="D175" s="951" t="s">
        <v>38</v>
      </c>
      <c r="E175" s="952"/>
      <c r="F175" s="952"/>
      <c r="G175" s="953"/>
      <c r="H175" s="954"/>
      <c r="I175" s="944"/>
      <c r="J175" s="944"/>
      <c r="K175" s="945"/>
      <c r="L175" s="945"/>
      <c r="M175" s="945"/>
      <c r="N175" s="945"/>
      <c r="O175" s="945"/>
      <c r="P175" s="945"/>
    </row>
    <row r="176" spans="1:26" ht="18.75">
      <c r="A176" s="949"/>
      <c r="B176" s="950"/>
      <c r="C176" s="950"/>
      <c r="D176" s="1017" t="s">
        <v>85</v>
      </c>
      <c r="E176" s="957"/>
      <c r="F176" s="957"/>
      <c r="G176" s="958"/>
      <c r="H176" s="590" t="s">
        <v>35</v>
      </c>
      <c r="I176" s="830">
        <f ca="1">IFERROR(__xludf.DUMMYFUNCTION("IMPORTRANGE(""https://docs.google.com/spreadsheets/d/1QqKyyYR6Q21VydFLVH3TRQUabQu_ym0Zz7PgGX0-kHA/edit?usp=sharing"",""แผน!Y26"")"),11)</f>
        <v>11</v>
      </c>
      <c r="J176" s="959">
        <v>11</v>
      </c>
      <c r="K176" s="945">
        <f ca="1">IF(I176&gt;0,J176*100/I176,0)</f>
        <v>100</v>
      </c>
      <c r="L176" s="945"/>
      <c r="M176" s="945"/>
      <c r="N176" s="945"/>
      <c r="O176" s="945"/>
      <c r="P176" s="945"/>
    </row>
    <row r="177" spans="1:26" ht="19.5" hidden="1">
      <c r="A177" s="1011"/>
      <c r="B177" s="1018"/>
      <c r="C177" s="1019" t="s">
        <v>86</v>
      </c>
      <c r="D177" s="1018"/>
      <c r="E177" s="1012"/>
      <c r="F177" s="1012"/>
      <c r="G177" s="1014"/>
      <c r="H177" s="266" t="s">
        <v>35</v>
      </c>
      <c r="I177" s="1015"/>
      <c r="J177" s="1015">
        <f>J179</f>
        <v>0</v>
      </c>
      <c r="K177" s="1016"/>
      <c r="L177" s="1016"/>
      <c r="M177" s="1016"/>
      <c r="N177" s="1016"/>
      <c r="O177" s="1016"/>
      <c r="P177" s="1016"/>
    </row>
    <row r="178" spans="1:26" ht="19.5" hidden="1">
      <c r="A178" s="949"/>
      <c r="B178" s="950"/>
      <c r="C178" s="946" t="s">
        <v>16</v>
      </c>
      <c r="D178" s="1020" t="s">
        <v>38</v>
      </c>
      <c r="E178" s="952"/>
      <c r="F178" s="952"/>
      <c r="G178" s="953"/>
      <c r="H178" s="954"/>
      <c r="I178" s="944"/>
      <c r="J178" s="944"/>
      <c r="K178" s="945"/>
      <c r="L178" s="945"/>
      <c r="M178" s="945"/>
      <c r="N178" s="945"/>
      <c r="O178" s="945"/>
      <c r="P178" s="945"/>
    </row>
    <row r="179" spans="1:26" ht="18.75" hidden="1">
      <c r="A179" s="949"/>
      <c r="B179" s="950"/>
      <c r="C179" s="950"/>
      <c r="D179" s="1021" t="s">
        <v>87</v>
      </c>
      <c r="E179" s="957"/>
      <c r="F179" s="1022"/>
      <c r="G179" s="958"/>
      <c r="H179" s="43" t="s">
        <v>35</v>
      </c>
      <c r="I179" s="830"/>
      <c r="J179" s="830"/>
      <c r="K179" s="945"/>
      <c r="L179" s="945"/>
      <c r="M179" s="945"/>
      <c r="N179" s="945"/>
      <c r="O179" s="945"/>
      <c r="P179" s="945"/>
    </row>
    <row r="180" spans="1:26" ht="19.5">
      <c r="A180" s="1005"/>
      <c r="B180" s="1006" t="s">
        <v>88</v>
      </c>
      <c r="C180" s="1007"/>
      <c r="D180" s="952"/>
      <c r="E180" s="952"/>
      <c r="F180" s="952"/>
      <c r="G180" s="953"/>
      <c r="H180" s="252" t="s">
        <v>35</v>
      </c>
      <c r="I180" s="1008">
        <f t="shared" ref="I180:J180" ca="1" si="91">I225+I226</f>
        <v>0</v>
      </c>
      <c r="J180" s="1008">
        <f t="shared" si="91"/>
        <v>0</v>
      </c>
      <c r="K180" s="1009">
        <f ca="1">IF(I180&gt;0,J180*100/I180,0)</f>
        <v>0</v>
      </c>
      <c r="L180" s="1010"/>
      <c r="M180" s="1010"/>
      <c r="N180" s="1010"/>
      <c r="O180" s="1010"/>
      <c r="P180" s="1010"/>
    </row>
    <row r="181" spans="1:26" ht="19.5">
      <c r="A181" s="932"/>
      <c r="B181" s="933"/>
      <c r="C181" s="934" t="s">
        <v>16</v>
      </c>
      <c r="D181" s="935" t="s">
        <v>17</v>
      </c>
      <c r="E181" s="933"/>
      <c r="F181" s="933"/>
      <c r="G181" s="936"/>
      <c r="H181" s="152" t="s">
        <v>12</v>
      </c>
      <c r="I181" s="937"/>
      <c r="J181" s="937"/>
      <c r="K181" s="938"/>
      <c r="L181" s="939">
        <f t="shared" ref="L181:N181" ca="1" si="92">L182+L183</f>
        <v>55500</v>
      </c>
      <c r="M181" s="939">
        <f t="shared" ca="1" si="92"/>
        <v>40500</v>
      </c>
      <c r="N181" s="939">
        <f t="shared" ca="1" si="92"/>
        <v>18120</v>
      </c>
      <c r="O181" s="939">
        <f t="shared" ref="O181:O189" ca="1" si="93">IF(L181&gt;0,N181*100/L181,0)</f>
        <v>32.648648648648646</v>
      </c>
      <c r="P181" s="939">
        <f t="shared" ref="P181:P189" ca="1" si="94">IF(M181&gt;0,N181*100/M181,0)</f>
        <v>44.74074074074074</v>
      </c>
      <c r="Q181" s="818"/>
      <c r="R181" s="818"/>
      <c r="S181" s="818"/>
      <c r="T181" s="818"/>
      <c r="U181" s="818"/>
      <c r="V181" s="818"/>
      <c r="W181" s="818"/>
      <c r="X181" s="818"/>
      <c r="Y181" s="818"/>
      <c r="Z181" s="818"/>
    </row>
    <row r="182" spans="1:26" ht="18.75" hidden="1">
      <c r="A182" s="940"/>
      <c r="B182" s="833"/>
      <c r="C182" s="833"/>
      <c r="D182" s="833"/>
      <c r="E182" s="834" t="s">
        <v>18</v>
      </c>
      <c r="F182" s="833"/>
      <c r="G182" s="941"/>
      <c r="H182" s="158" t="s">
        <v>12</v>
      </c>
      <c r="I182" s="836"/>
      <c r="J182" s="836"/>
      <c r="K182" s="837"/>
      <c r="L182" s="837">
        <f t="shared" ref="L182:N183" si="95">L185+L188</f>
        <v>0</v>
      </c>
      <c r="M182" s="837">
        <f t="shared" si="95"/>
        <v>0</v>
      </c>
      <c r="N182" s="837">
        <f t="shared" si="95"/>
        <v>0</v>
      </c>
      <c r="O182" s="837">
        <f t="shared" si="93"/>
        <v>0</v>
      </c>
      <c r="P182" s="837">
        <f t="shared" si="94"/>
        <v>0</v>
      </c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</row>
    <row r="183" spans="1:26" ht="18.75" hidden="1">
      <c r="A183" s="940"/>
      <c r="B183" s="833"/>
      <c r="C183" s="833"/>
      <c r="D183" s="833"/>
      <c r="E183" s="834" t="s">
        <v>19</v>
      </c>
      <c r="F183" s="833"/>
      <c r="G183" s="941"/>
      <c r="H183" s="158" t="s">
        <v>12</v>
      </c>
      <c r="I183" s="836"/>
      <c r="J183" s="836"/>
      <c r="K183" s="837"/>
      <c r="L183" s="837">
        <f t="shared" ca="1" si="95"/>
        <v>55500</v>
      </c>
      <c r="M183" s="837">
        <f t="shared" ca="1" si="95"/>
        <v>40500</v>
      </c>
      <c r="N183" s="837">
        <f t="shared" ca="1" si="95"/>
        <v>18120</v>
      </c>
      <c r="O183" s="837">
        <f t="shared" ca="1" si="93"/>
        <v>32.648648648648646</v>
      </c>
      <c r="P183" s="837">
        <f t="shared" ca="1" si="94"/>
        <v>44.74074074074074</v>
      </c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</row>
    <row r="184" spans="1:26" ht="18.75">
      <c r="A184" s="942"/>
      <c r="B184" s="827"/>
      <c r="C184" s="943"/>
      <c r="D184" s="828" t="s">
        <v>20</v>
      </c>
      <c r="E184" s="827"/>
      <c r="F184" s="827"/>
      <c r="G184" s="829"/>
      <c r="H184" s="778" t="s">
        <v>12</v>
      </c>
      <c r="I184" s="944"/>
      <c r="J184" s="944"/>
      <c r="K184" s="945"/>
      <c r="L184" s="831">
        <f t="shared" ref="L184:N184" ca="1" si="96">L185+L186</f>
        <v>55500</v>
      </c>
      <c r="M184" s="831">
        <f t="shared" ca="1" si="96"/>
        <v>40500</v>
      </c>
      <c r="N184" s="831">
        <f t="shared" ca="1" si="96"/>
        <v>18120</v>
      </c>
      <c r="O184" s="831">
        <f t="shared" ca="1" si="93"/>
        <v>32.648648648648646</v>
      </c>
      <c r="P184" s="831">
        <f t="shared" ca="1" si="94"/>
        <v>44.74074074074074</v>
      </c>
      <c r="Q184" s="818"/>
      <c r="R184" s="818"/>
      <c r="S184" s="818"/>
      <c r="T184" s="818"/>
      <c r="U184" s="818"/>
      <c r="V184" s="818"/>
      <c r="W184" s="818"/>
      <c r="X184" s="818"/>
      <c r="Y184" s="818"/>
      <c r="Z184" s="818"/>
    </row>
    <row r="185" spans="1:26" ht="19.5" hidden="1">
      <c r="A185" s="940"/>
      <c r="B185" s="833"/>
      <c r="C185" s="946"/>
      <c r="D185" s="833"/>
      <c r="E185" s="834" t="s">
        <v>36</v>
      </c>
      <c r="F185" s="833"/>
      <c r="G185" s="941"/>
      <c r="H185" s="165" t="s">
        <v>12</v>
      </c>
      <c r="I185" s="947"/>
      <c r="J185" s="947"/>
      <c r="K185" s="948"/>
      <c r="L185" s="837">
        <v>0</v>
      </c>
      <c r="M185" s="837">
        <v>0</v>
      </c>
      <c r="N185" s="837">
        <v>0</v>
      </c>
      <c r="O185" s="837">
        <f t="shared" si="93"/>
        <v>0</v>
      </c>
      <c r="P185" s="837">
        <f t="shared" si="94"/>
        <v>0</v>
      </c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</row>
    <row r="186" spans="1:26" ht="19.5" hidden="1">
      <c r="A186" s="940"/>
      <c r="B186" s="833"/>
      <c r="C186" s="946"/>
      <c r="D186" s="833"/>
      <c r="E186" s="834" t="s">
        <v>37</v>
      </c>
      <c r="F186" s="833"/>
      <c r="G186" s="941"/>
      <c r="H186" s="165" t="s">
        <v>12</v>
      </c>
      <c r="I186" s="947"/>
      <c r="J186" s="947"/>
      <c r="K186" s="948"/>
      <c r="L186" s="837">
        <f ca="1">IFERROR(__xludf.DUMMYFUNCTION("IMPORTRANGE(""https://docs.google.com/spreadsheets/d/1MeEWN-I1oV_STSDYn1IFDPWt_1FKiwhDph83XaGc0o0/edit?usp=sharing"",""งบพรบ!CO26"")"),55500)</f>
        <v>55500</v>
      </c>
      <c r="M186" s="837">
        <f ca="1">IFERROR(__xludf.DUMMYFUNCTION("IMPORTRANGE(""https://docs.google.com/spreadsheets/d/1MeEWN-I1oV_STSDYn1IFDPWt_1FKiwhDph83XaGc0o0/edit?usp=sharing"",""งบพรบ!CT26"")"),40500)</f>
        <v>40500</v>
      </c>
      <c r="N186" s="837">
        <f ca="1">IFERROR(__xludf.DUMMYFUNCTION("IMPORTRANGE(""https://docs.google.com/spreadsheets/d/1MeEWN-I1oV_STSDYn1IFDPWt_1FKiwhDph83XaGc0o0/edit?usp=sharing"",""งบพรบ!CV26"")"),18120)</f>
        <v>18120</v>
      </c>
      <c r="O186" s="837">
        <f t="shared" ca="1" si="93"/>
        <v>32.648648648648646</v>
      </c>
      <c r="P186" s="837">
        <f t="shared" ca="1" si="94"/>
        <v>44.74074074074074</v>
      </c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</row>
    <row r="187" spans="1:26" ht="18.75">
      <c r="A187" s="942"/>
      <c r="B187" s="827"/>
      <c r="C187" s="943"/>
      <c r="D187" s="828" t="s">
        <v>21</v>
      </c>
      <c r="E187" s="827"/>
      <c r="F187" s="827"/>
      <c r="G187" s="829"/>
      <c r="H187" s="168" t="s">
        <v>12</v>
      </c>
      <c r="I187" s="944"/>
      <c r="J187" s="944"/>
      <c r="K187" s="945"/>
      <c r="L187" s="831">
        <f t="shared" ref="L187:N187" ca="1" si="97">L188+L189</f>
        <v>0</v>
      </c>
      <c r="M187" s="831">
        <f t="shared" ca="1" si="97"/>
        <v>0</v>
      </c>
      <c r="N187" s="831">
        <f t="shared" ca="1" si="97"/>
        <v>0</v>
      </c>
      <c r="O187" s="831">
        <f t="shared" ca="1" si="93"/>
        <v>0</v>
      </c>
      <c r="P187" s="831">
        <f t="shared" ca="1" si="94"/>
        <v>0</v>
      </c>
      <c r="Q187" s="818"/>
      <c r="R187" s="818"/>
      <c r="S187" s="818"/>
      <c r="T187" s="818"/>
      <c r="U187" s="818"/>
      <c r="V187" s="818"/>
      <c r="W187" s="818"/>
      <c r="X187" s="818"/>
      <c r="Y187" s="818"/>
      <c r="Z187" s="818"/>
    </row>
    <row r="188" spans="1:26" ht="19.5" hidden="1">
      <c r="A188" s="940"/>
      <c r="B188" s="833"/>
      <c r="C188" s="946"/>
      <c r="D188" s="833"/>
      <c r="E188" s="834" t="s">
        <v>18</v>
      </c>
      <c r="F188" s="833"/>
      <c r="G188" s="941"/>
      <c r="H188" s="165" t="s">
        <v>12</v>
      </c>
      <c r="I188" s="947"/>
      <c r="J188" s="947"/>
      <c r="K188" s="948"/>
      <c r="L188" s="837">
        <v>0</v>
      </c>
      <c r="M188" s="837">
        <v>0</v>
      </c>
      <c r="N188" s="837">
        <v>0</v>
      </c>
      <c r="O188" s="837">
        <f t="shared" si="93"/>
        <v>0</v>
      </c>
      <c r="P188" s="837">
        <f t="shared" si="94"/>
        <v>0</v>
      </c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</row>
    <row r="189" spans="1:26" ht="19.5" hidden="1">
      <c r="A189" s="940"/>
      <c r="B189" s="833"/>
      <c r="C189" s="946"/>
      <c r="D189" s="833"/>
      <c r="E189" s="834" t="s">
        <v>19</v>
      </c>
      <c r="F189" s="833"/>
      <c r="G189" s="941"/>
      <c r="H189" s="169" t="s">
        <v>12</v>
      </c>
      <c r="I189" s="947"/>
      <c r="J189" s="947"/>
      <c r="K189" s="948"/>
      <c r="L189" s="837">
        <f ca="1">IFERROR(__xludf.DUMMYFUNCTION("IMPORTRANGE(""https://docs.google.com/spreadsheets/d/1MeEWN-I1oV_STSDYn1IFDPWt_1FKiwhDph83XaGc0o0/edit?usp=sharing"",""งบพรบ!CR26"")"),0)</f>
        <v>0</v>
      </c>
      <c r="M189" s="837">
        <f ca="1">IFERROR(__xludf.DUMMYFUNCTION("IMPORTRANGE(""https://docs.google.com/spreadsheets/d/1MeEWN-I1oV_STSDYn1IFDPWt_1FKiwhDph83XaGc0o0/edit?usp=sharing"",""งบพรบ!CU26"")"),0)</f>
        <v>0</v>
      </c>
      <c r="N189" s="837">
        <f ca="1">IFERROR(__xludf.DUMMYFUNCTION("IMPORTRANGE(""https://docs.google.com/spreadsheets/d/1MeEWN-I1oV_STSDYn1IFDPWt_1FKiwhDph83XaGc0o0/edit?usp=sharing"",""งบพรบ!CW26"")"),0)</f>
        <v>0</v>
      </c>
      <c r="O189" s="837">
        <f t="shared" ca="1" si="93"/>
        <v>0</v>
      </c>
      <c r="P189" s="837">
        <f t="shared" ca="1" si="94"/>
        <v>0</v>
      </c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</row>
    <row r="190" spans="1:26" ht="19.5">
      <c r="A190" s="1011"/>
      <c r="B190" s="1018"/>
      <c r="C190" s="1023" t="s">
        <v>89</v>
      </c>
      <c r="D190" s="1012"/>
      <c r="E190" s="1012"/>
      <c r="F190" s="1012"/>
      <c r="G190" s="1014"/>
      <c r="H190" s="260" t="s">
        <v>90</v>
      </c>
      <c r="I190" s="1024">
        <f t="shared" ref="I190:J190" ca="1" si="98">I193</f>
        <v>4</v>
      </c>
      <c r="J190" s="1024">
        <f t="shared" si="98"/>
        <v>2</v>
      </c>
      <c r="K190" s="1025">
        <f ca="1">IF(I190&gt;0,J190*100/I190,0)</f>
        <v>50</v>
      </c>
      <c r="L190" s="1016"/>
      <c r="M190" s="1016"/>
      <c r="N190" s="1016"/>
      <c r="O190" s="1016"/>
      <c r="P190" s="1016"/>
    </row>
    <row r="191" spans="1:26" ht="19.5">
      <c r="A191" s="932"/>
      <c r="B191" s="933"/>
      <c r="C191" s="934" t="s">
        <v>16</v>
      </c>
      <c r="D191" s="1026" t="s">
        <v>17</v>
      </c>
      <c r="E191" s="933"/>
      <c r="F191" s="933"/>
      <c r="G191" s="936"/>
      <c r="H191" s="275" t="s">
        <v>12</v>
      </c>
      <c r="I191" s="937"/>
      <c r="J191" s="937"/>
      <c r="K191" s="938"/>
      <c r="L191" s="939">
        <f ca="1">IFERROR(__xludf.DUMMYFUNCTION("IMPORTRANGE(""https://docs.google.com/spreadsheets/d/1QqKyyYR6Q21VydFLVH3TRQUabQu_ym0Zz7PgGX0-kHA/edit?usp=sharing"",""แผน!Z26"")"),6000)</f>
        <v>6000</v>
      </c>
      <c r="M191" s="939"/>
      <c r="N191" s="1027">
        <v>1500</v>
      </c>
      <c r="O191" s="939">
        <f ca="1">IF(L191&gt;0,N191*100/L191,0)</f>
        <v>25</v>
      </c>
      <c r="P191" s="939">
        <f>IF(M191&gt;0,N191*100/M191,0)</f>
        <v>0</v>
      </c>
      <c r="Q191" s="818"/>
      <c r="R191" s="818"/>
      <c r="S191" s="818"/>
      <c r="T191" s="818"/>
      <c r="U191" s="818"/>
      <c r="V191" s="818"/>
      <c r="W191" s="818"/>
      <c r="X191" s="818"/>
      <c r="Y191" s="818"/>
      <c r="Z191" s="818"/>
    </row>
    <row r="192" spans="1:26" ht="19.5">
      <c r="A192" s="949"/>
      <c r="B192" s="950"/>
      <c r="C192" s="976" t="s">
        <v>16</v>
      </c>
      <c r="D192" s="951" t="s">
        <v>38</v>
      </c>
      <c r="E192" s="952"/>
      <c r="F192" s="952"/>
      <c r="G192" s="953"/>
      <c r="H192" s="954"/>
      <c r="I192" s="830"/>
      <c r="J192" s="830"/>
      <c r="K192" s="831"/>
      <c r="L192" s="831"/>
      <c r="M192" s="831"/>
      <c r="N192" s="831"/>
      <c r="O192" s="831"/>
      <c r="P192" s="831"/>
      <c r="Q192" s="818"/>
      <c r="R192" s="818"/>
      <c r="S192" s="818"/>
      <c r="T192" s="818"/>
      <c r="U192" s="818"/>
      <c r="V192" s="818"/>
      <c r="W192" s="818"/>
      <c r="X192" s="818"/>
      <c r="Y192" s="818"/>
      <c r="Z192" s="818"/>
    </row>
    <row r="193" spans="1:26" ht="18.75">
      <c r="A193" s="949"/>
      <c r="B193" s="950"/>
      <c r="C193" s="950"/>
      <c r="D193" s="956" t="s">
        <v>91</v>
      </c>
      <c r="E193" s="957"/>
      <c r="F193" s="957"/>
      <c r="G193" s="958"/>
      <c r="H193" s="730" t="s">
        <v>90</v>
      </c>
      <c r="I193" s="830">
        <f ca="1">IFERROR(__xludf.DUMMYFUNCTION("IMPORTRANGE(""https://docs.google.com/spreadsheets/d/1QqKyyYR6Q21VydFLVH3TRQUabQu_ym0Zz7PgGX0-kHA/edit?usp=sharing"",""แผน!AC26"")"),4)</f>
        <v>4</v>
      </c>
      <c r="J193" s="959">
        <v>2</v>
      </c>
      <c r="K193" s="831">
        <f ca="1">IF(I193&gt;0,J193*100/I193,0)</f>
        <v>50</v>
      </c>
      <c r="L193" s="831"/>
      <c r="M193" s="831"/>
      <c r="N193" s="831"/>
      <c r="O193" s="831"/>
      <c r="P193" s="831"/>
      <c r="Q193" s="818"/>
      <c r="R193" s="818"/>
      <c r="S193" s="818"/>
      <c r="T193" s="818"/>
      <c r="U193" s="818"/>
      <c r="V193" s="818"/>
      <c r="W193" s="818"/>
      <c r="X193" s="818"/>
      <c r="Y193" s="818"/>
      <c r="Z193" s="818"/>
    </row>
    <row r="194" spans="1:26" ht="18.75">
      <c r="A194" s="949"/>
      <c r="B194" s="950"/>
      <c r="C194" s="950"/>
      <c r="D194" s="956" t="s">
        <v>92</v>
      </c>
      <c r="E194" s="957"/>
      <c r="F194" s="957"/>
      <c r="G194" s="958"/>
      <c r="H194" s="277" t="s">
        <v>35</v>
      </c>
      <c r="I194" s="830"/>
      <c r="J194" s="830">
        <f>J195+J196</f>
        <v>77</v>
      </c>
      <c r="K194" s="831"/>
      <c r="L194" s="831"/>
      <c r="M194" s="831"/>
      <c r="N194" s="831"/>
      <c r="O194" s="831"/>
      <c r="P194" s="831"/>
      <c r="Q194" s="818"/>
      <c r="R194" s="818"/>
      <c r="S194" s="818"/>
      <c r="T194" s="818"/>
      <c r="U194" s="818"/>
      <c r="V194" s="818"/>
      <c r="W194" s="818"/>
      <c r="X194" s="818"/>
      <c r="Y194" s="818"/>
      <c r="Z194" s="818"/>
    </row>
    <row r="195" spans="1:26" ht="18.75">
      <c r="A195" s="949"/>
      <c r="B195" s="950"/>
      <c r="C195" s="950"/>
      <c r="D195" s="950"/>
      <c r="E195" s="956" t="s">
        <v>93</v>
      </c>
      <c r="F195" s="957"/>
      <c r="G195" s="958"/>
      <c r="H195" s="277" t="s">
        <v>35</v>
      </c>
      <c r="I195" s="830"/>
      <c r="J195" s="959">
        <v>77</v>
      </c>
      <c r="K195" s="831"/>
      <c r="L195" s="831"/>
      <c r="M195" s="831"/>
      <c r="N195" s="831"/>
      <c r="O195" s="831"/>
      <c r="P195" s="831"/>
      <c r="Q195" s="818"/>
      <c r="R195" s="818"/>
      <c r="S195" s="818"/>
      <c r="T195" s="818"/>
      <c r="U195" s="818"/>
      <c r="V195" s="818"/>
      <c r="W195" s="818"/>
      <c r="X195" s="818"/>
      <c r="Y195" s="818"/>
      <c r="Z195" s="818"/>
    </row>
    <row r="196" spans="1:26" ht="18.75">
      <c r="A196" s="949"/>
      <c r="B196" s="950"/>
      <c r="C196" s="950"/>
      <c r="D196" s="950"/>
      <c r="E196" s="956" t="s">
        <v>94</v>
      </c>
      <c r="F196" s="957"/>
      <c r="G196" s="958"/>
      <c r="H196" s="277" t="s">
        <v>35</v>
      </c>
      <c r="I196" s="830"/>
      <c r="J196" s="959">
        <v>0</v>
      </c>
      <c r="K196" s="831"/>
      <c r="L196" s="831"/>
      <c r="M196" s="831"/>
      <c r="N196" s="831"/>
      <c r="O196" s="831"/>
      <c r="P196" s="831"/>
      <c r="Q196" s="818"/>
      <c r="R196" s="818"/>
      <c r="S196" s="818"/>
      <c r="T196" s="818"/>
      <c r="U196" s="818"/>
      <c r="V196" s="818"/>
      <c r="W196" s="818"/>
      <c r="X196" s="818"/>
      <c r="Y196" s="818"/>
      <c r="Z196" s="818"/>
    </row>
    <row r="197" spans="1:26" ht="19.5">
      <c r="A197" s="1011"/>
      <c r="B197" s="1018"/>
      <c r="C197" s="1023" t="s">
        <v>95</v>
      </c>
      <c r="D197" s="1012"/>
      <c r="E197" s="1012"/>
      <c r="F197" s="1012"/>
      <c r="G197" s="1014"/>
      <c r="H197" s="278" t="s">
        <v>96</v>
      </c>
      <c r="I197" s="1024">
        <f t="shared" ref="I197:J197" ca="1" si="99">I204</f>
        <v>2</v>
      </c>
      <c r="J197" s="1024">
        <f t="shared" si="99"/>
        <v>2</v>
      </c>
      <c r="K197" s="1025">
        <f ca="1">IF(I197&gt;0,J197*100/I197,0)</f>
        <v>100</v>
      </c>
      <c r="L197" s="1016"/>
      <c r="M197" s="1016"/>
      <c r="N197" s="1016"/>
      <c r="O197" s="1016"/>
      <c r="P197" s="1016"/>
    </row>
    <row r="198" spans="1:26" ht="19.5">
      <c r="A198" s="932"/>
      <c r="B198" s="933"/>
      <c r="C198" s="934" t="s">
        <v>16</v>
      </c>
      <c r="D198" s="1026" t="s">
        <v>17</v>
      </c>
      <c r="E198" s="933"/>
      <c r="F198" s="933"/>
      <c r="G198" s="936"/>
      <c r="H198" s="275" t="s">
        <v>12</v>
      </c>
      <c r="I198" s="1028"/>
      <c r="J198" s="1028"/>
      <c r="K198" s="1029"/>
      <c r="L198" s="939">
        <f ca="1">L199+L200+L201+L202</f>
        <v>31000</v>
      </c>
      <c r="M198" s="939"/>
      <c r="N198" s="939">
        <f>N199+N200+N201+N202</f>
        <v>5510</v>
      </c>
      <c r="O198" s="939">
        <f ca="1">IF(L198&gt;0,N198*100/L198,0)</f>
        <v>17.774193548387096</v>
      </c>
      <c r="P198" s="939">
        <f>IF(M198&gt;0,N198*100/M198,0)</f>
        <v>0</v>
      </c>
      <c r="Q198" s="818"/>
      <c r="R198" s="818"/>
      <c r="S198" s="818"/>
      <c r="T198" s="818"/>
      <c r="U198" s="818"/>
      <c r="V198" s="818"/>
      <c r="W198" s="818"/>
      <c r="X198" s="818"/>
      <c r="Y198" s="818"/>
      <c r="Z198" s="818"/>
    </row>
    <row r="199" spans="1:26" ht="18.75">
      <c r="A199" s="942"/>
      <c r="B199" s="1030"/>
      <c r="C199" s="827"/>
      <c r="D199" s="943" t="s">
        <v>97</v>
      </c>
      <c r="E199" s="827"/>
      <c r="F199" s="827"/>
      <c r="G199" s="829"/>
      <c r="H199" s="778" t="s">
        <v>12</v>
      </c>
      <c r="I199" s="944"/>
      <c r="J199" s="944"/>
      <c r="K199" s="945"/>
      <c r="L199" s="831">
        <f ca="1">IFERROR(__xludf.DUMMYFUNCTION("IMPORTRANGE(""https://docs.google.com/spreadsheets/d/1QqKyyYR6Q21VydFLVH3TRQUabQu_ym0Zz7PgGX0-kHA/edit?usp=sharing"",""แผน!AE26"")"),2000)</f>
        <v>2000</v>
      </c>
      <c r="M199" s="831"/>
      <c r="N199" s="1031">
        <v>620</v>
      </c>
      <c r="O199" s="831"/>
      <c r="P199" s="831"/>
      <c r="Q199" s="818"/>
      <c r="R199" s="818"/>
      <c r="S199" s="818"/>
      <c r="T199" s="818"/>
      <c r="U199" s="818"/>
      <c r="V199" s="818"/>
      <c r="W199" s="818"/>
      <c r="X199" s="818"/>
      <c r="Y199" s="818"/>
      <c r="Z199" s="818"/>
    </row>
    <row r="200" spans="1:26" ht="19.5">
      <c r="A200" s="1032"/>
      <c r="B200" s="1030"/>
      <c r="C200" s="976"/>
      <c r="D200" s="943" t="s">
        <v>98</v>
      </c>
      <c r="E200" s="827"/>
      <c r="F200" s="827"/>
      <c r="G200" s="829"/>
      <c r="H200" s="590" t="s">
        <v>12</v>
      </c>
      <c r="I200" s="830"/>
      <c r="J200" s="830"/>
      <c r="K200" s="831"/>
      <c r="L200" s="831">
        <f ca="1">IFERROR(__xludf.DUMMYFUNCTION("IMPORTRANGE(""https://docs.google.com/spreadsheets/d/1QqKyyYR6Q21VydFLVH3TRQUabQu_ym0Zz7PgGX0-kHA/edit?usp=sharing"",""แผน!AF26"")"),16000)</f>
        <v>16000</v>
      </c>
      <c r="M200" s="831"/>
      <c r="N200" s="1031">
        <v>4890</v>
      </c>
      <c r="O200" s="831"/>
      <c r="P200" s="831"/>
      <c r="Q200" s="1033"/>
      <c r="R200" s="1033"/>
      <c r="S200" s="1033"/>
      <c r="T200" s="1033"/>
      <c r="U200" s="1033"/>
      <c r="V200" s="1033"/>
      <c r="W200" s="1033"/>
      <c r="X200" s="1033"/>
      <c r="Y200" s="1033"/>
      <c r="Z200" s="1033"/>
    </row>
    <row r="201" spans="1:26" ht="19.5">
      <c r="A201" s="1032"/>
      <c r="B201" s="1030"/>
      <c r="C201" s="976"/>
      <c r="D201" s="943" t="s">
        <v>99</v>
      </c>
      <c r="E201" s="827"/>
      <c r="F201" s="827"/>
      <c r="G201" s="829"/>
      <c r="H201" s="590" t="s">
        <v>12</v>
      </c>
      <c r="I201" s="830"/>
      <c r="J201" s="830"/>
      <c r="K201" s="831"/>
      <c r="L201" s="831">
        <f ca="1">IFERROR(__xludf.DUMMYFUNCTION("IMPORTRANGE(""https://docs.google.com/spreadsheets/d/1QqKyyYR6Q21VydFLVH3TRQUabQu_ym0Zz7PgGX0-kHA/edit?usp=sharing"",""แผน!AG26"")"),8000)</f>
        <v>8000</v>
      </c>
      <c r="M201" s="831"/>
      <c r="N201" s="1031">
        <v>0</v>
      </c>
      <c r="O201" s="831"/>
      <c r="P201" s="831"/>
      <c r="Q201" s="1033"/>
      <c r="R201" s="1033"/>
      <c r="S201" s="1033"/>
      <c r="T201" s="1033"/>
      <c r="U201" s="1033"/>
      <c r="V201" s="1033"/>
      <c r="W201" s="1033"/>
      <c r="X201" s="1033"/>
      <c r="Y201" s="1033"/>
      <c r="Z201" s="1033"/>
    </row>
    <row r="202" spans="1:26" ht="19.5">
      <c r="A202" s="1032"/>
      <c r="B202" s="1030"/>
      <c r="C202" s="976"/>
      <c r="D202" s="943" t="s">
        <v>100</v>
      </c>
      <c r="E202" s="827"/>
      <c r="F202" s="827"/>
      <c r="G202" s="829"/>
      <c r="H202" s="590" t="s">
        <v>12</v>
      </c>
      <c r="I202" s="830"/>
      <c r="J202" s="830"/>
      <c r="K202" s="831"/>
      <c r="L202" s="831">
        <f ca="1">IFERROR(__xludf.DUMMYFUNCTION("IMPORTRANGE(""https://docs.google.com/spreadsheets/d/1QqKyyYR6Q21VydFLVH3TRQUabQu_ym0Zz7PgGX0-kHA/edit?usp=sharing"",""แผน!AH26"")"),5000)</f>
        <v>5000</v>
      </c>
      <c r="M202" s="831"/>
      <c r="N202" s="1031">
        <v>0</v>
      </c>
      <c r="O202" s="831"/>
      <c r="P202" s="831"/>
      <c r="Q202" s="1033"/>
      <c r="R202" s="1033"/>
      <c r="S202" s="1033"/>
      <c r="T202" s="1033"/>
      <c r="U202" s="1033"/>
      <c r="V202" s="1033"/>
      <c r="W202" s="1033"/>
      <c r="X202" s="1033"/>
      <c r="Y202" s="1033"/>
      <c r="Z202" s="1033"/>
    </row>
    <row r="203" spans="1:26" ht="19.5">
      <c r="A203" s="949"/>
      <c r="B203" s="950"/>
      <c r="C203" s="976" t="s">
        <v>16</v>
      </c>
      <c r="D203" s="951" t="s">
        <v>38</v>
      </c>
      <c r="E203" s="952"/>
      <c r="F203" s="952"/>
      <c r="G203" s="953"/>
      <c r="H203" s="954"/>
      <c r="I203" s="944"/>
      <c r="J203" s="944"/>
      <c r="K203" s="945"/>
      <c r="L203" s="945"/>
      <c r="M203" s="945"/>
      <c r="N203" s="945"/>
      <c r="O203" s="945"/>
      <c r="P203" s="945"/>
      <c r="Q203" s="818"/>
      <c r="R203" s="818"/>
      <c r="S203" s="818"/>
      <c r="T203" s="818"/>
      <c r="U203" s="818"/>
      <c r="V203" s="818"/>
      <c r="W203" s="818"/>
      <c r="X203" s="818"/>
      <c r="Y203" s="818"/>
      <c r="Z203" s="818"/>
    </row>
    <row r="204" spans="1:26" ht="18.75">
      <c r="A204" s="949"/>
      <c r="B204" s="950"/>
      <c r="C204" s="950"/>
      <c r="D204" s="955" t="s">
        <v>101</v>
      </c>
      <c r="E204" s="957"/>
      <c r="F204" s="957"/>
      <c r="G204" s="958"/>
      <c r="H204" s="954" t="s">
        <v>96</v>
      </c>
      <c r="I204" s="830">
        <f ca="1">IFERROR(__xludf.DUMMYFUNCTION("IMPORTRANGE(""https://docs.google.com/spreadsheets/d/1QqKyyYR6Q21VydFLVH3TRQUabQu_ym0Zz7PgGX0-kHA/edit?usp=sharing"",""แผน!AI26"")"),2)</f>
        <v>2</v>
      </c>
      <c r="J204" s="959">
        <v>2</v>
      </c>
      <c r="K204" s="945">
        <f ca="1">IF(I204&gt;0,J204*100/I204,0)</f>
        <v>100</v>
      </c>
      <c r="L204" s="831"/>
      <c r="M204" s="831"/>
      <c r="N204" s="831"/>
      <c r="O204" s="831"/>
      <c r="P204" s="831"/>
      <c r="Q204" s="818"/>
      <c r="R204" s="818"/>
      <c r="S204" s="818"/>
      <c r="T204" s="818"/>
      <c r="U204" s="818"/>
      <c r="V204" s="818"/>
      <c r="W204" s="818"/>
      <c r="X204" s="818"/>
      <c r="Y204" s="818"/>
      <c r="Z204" s="818"/>
    </row>
    <row r="205" spans="1:26" ht="18.75">
      <c r="A205" s="949"/>
      <c r="B205" s="950"/>
      <c r="C205" s="950"/>
      <c r="D205" s="956" t="s">
        <v>59</v>
      </c>
      <c r="E205" s="957"/>
      <c r="F205" s="957"/>
      <c r="G205" s="958"/>
      <c r="H205" s="954"/>
      <c r="I205" s="830"/>
      <c r="J205" s="830"/>
      <c r="K205" s="945"/>
      <c r="L205" s="831"/>
      <c r="M205" s="831"/>
      <c r="N205" s="831"/>
      <c r="O205" s="831"/>
      <c r="P205" s="831"/>
      <c r="Q205" s="818"/>
      <c r="R205" s="818"/>
      <c r="S205" s="818"/>
      <c r="T205" s="818"/>
      <c r="U205" s="818"/>
      <c r="V205" s="818"/>
      <c r="W205" s="818"/>
      <c r="X205" s="818"/>
      <c r="Y205" s="818"/>
      <c r="Z205" s="818"/>
    </row>
    <row r="206" spans="1:26" ht="18.75">
      <c r="A206" s="949"/>
      <c r="B206" s="950"/>
      <c r="C206" s="950"/>
      <c r="D206" s="957"/>
      <c r="E206" s="968" t="s">
        <v>102</v>
      </c>
      <c r="F206" s="1034"/>
      <c r="G206" s="1035"/>
      <c r="H206" s="1036" t="s">
        <v>96</v>
      </c>
      <c r="I206" s="830">
        <v>2</v>
      </c>
      <c r="J206" s="959">
        <v>0</v>
      </c>
      <c r="K206" s="945">
        <f t="shared" ref="K206:K208" si="100">IF(I206&gt;0,J206*100/I206,0)</f>
        <v>0</v>
      </c>
      <c r="L206" s="831"/>
      <c r="M206" s="831"/>
      <c r="N206" s="831"/>
      <c r="O206" s="831"/>
      <c r="P206" s="831"/>
      <c r="Q206" s="818"/>
      <c r="R206" s="818"/>
      <c r="S206" s="818"/>
      <c r="T206" s="818"/>
      <c r="U206" s="818"/>
      <c r="V206" s="818"/>
      <c r="W206" s="818"/>
      <c r="X206" s="818"/>
      <c r="Y206" s="818"/>
      <c r="Z206" s="818"/>
    </row>
    <row r="207" spans="1:26" ht="18.75">
      <c r="A207" s="949"/>
      <c r="B207" s="950"/>
      <c r="C207" s="950"/>
      <c r="D207" s="956"/>
      <c r="E207" s="956" t="s">
        <v>103</v>
      </c>
      <c r="F207" s="957"/>
      <c r="G207" s="957"/>
      <c r="H207" s="290" t="s">
        <v>104</v>
      </c>
      <c r="I207" s="830">
        <v>1</v>
      </c>
      <c r="J207" s="959">
        <v>0</v>
      </c>
      <c r="K207" s="945">
        <f t="shared" si="100"/>
        <v>0</v>
      </c>
      <c r="L207" s="831"/>
      <c r="M207" s="831"/>
      <c r="N207" s="831"/>
      <c r="O207" s="831"/>
      <c r="P207" s="831"/>
      <c r="Q207" s="818"/>
      <c r="R207" s="818"/>
      <c r="S207" s="818"/>
      <c r="T207" s="818"/>
      <c r="U207" s="818"/>
      <c r="V207" s="818"/>
      <c r="W207" s="818"/>
      <c r="X207" s="818"/>
      <c r="Y207" s="818"/>
      <c r="Z207" s="818"/>
    </row>
    <row r="208" spans="1:26" ht="19.5" hidden="1">
      <c r="A208" s="1011"/>
      <c r="B208" s="1018"/>
      <c r="C208" s="1023" t="s">
        <v>105</v>
      </c>
      <c r="D208" s="1012"/>
      <c r="E208" s="1012"/>
      <c r="F208" s="1037"/>
      <c r="G208" s="1014"/>
      <c r="H208" s="278" t="s">
        <v>96</v>
      </c>
      <c r="I208" s="1024">
        <f t="shared" ref="I208:J208" ca="1" si="101">I215</f>
        <v>0</v>
      </c>
      <c r="J208" s="1024">
        <f t="shared" si="101"/>
        <v>0</v>
      </c>
      <c r="K208" s="1025">
        <f t="shared" ca="1" si="100"/>
        <v>0</v>
      </c>
      <c r="L208" s="1016"/>
      <c r="M208" s="1016"/>
      <c r="N208" s="1016"/>
      <c r="O208" s="1016"/>
      <c r="P208" s="1016"/>
    </row>
    <row r="209" spans="1:26" ht="19.5" hidden="1">
      <c r="A209" s="932"/>
      <c r="B209" s="933"/>
      <c r="C209" s="934" t="s">
        <v>16</v>
      </c>
      <c r="D209" s="1026" t="s">
        <v>17</v>
      </c>
      <c r="E209" s="933"/>
      <c r="F209" s="933"/>
      <c r="G209" s="936"/>
      <c r="H209" s="275" t="s">
        <v>12</v>
      </c>
      <c r="I209" s="1028"/>
      <c r="J209" s="1028"/>
      <c r="K209" s="1029"/>
      <c r="L209" s="939">
        <f ca="1">L210+L211+L212</f>
        <v>0</v>
      </c>
      <c r="M209" s="939"/>
      <c r="N209" s="939">
        <f>N210+N211+N212</f>
        <v>0</v>
      </c>
      <c r="O209" s="939">
        <f ca="1">IF(L209&gt;0,N209*100/L209,0)</f>
        <v>0</v>
      </c>
      <c r="P209" s="939">
        <f>IF(M209&gt;0,N209*100/M209,0)</f>
        <v>0</v>
      </c>
      <c r="Q209" s="818"/>
      <c r="R209" s="818"/>
      <c r="S209" s="818"/>
      <c r="T209" s="818"/>
      <c r="U209" s="818"/>
      <c r="V209" s="818"/>
      <c r="W209" s="818"/>
      <c r="X209" s="818"/>
      <c r="Y209" s="818"/>
      <c r="Z209" s="818"/>
    </row>
    <row r="210" spans="1:26" ht="18.75" hidden="1">
      <c r="A210" s="942"/>
      <c r="B210" s="1030"/>
      <c r="C210" s="827"/>
      <c r="D210" s="943" t="s">
        <v>97</v>
      </c>
      <c r="E210" s="827"/>
      <c r="F210" s="827"/>
      <c r="G210" s="829"/>
      <c r="H210" s="778" t="s">
        <v>12</v>
      </c>
      <c r="I210" s="944"/>
      <c r="J210" s="944"/>
      <c r="K210" s="945"/>
      <c r="L210" s="831">
        <f ca="1">IFERROR(__xludf.DUMMYFUNCTION("IMPORTRANGE(""https://docs.google.com/spreadsheets/d/1QqKyyYR6Q21VydFLVH3TRQUabQu_ym0Zz7PgGX0-kHA/edit?usp=sharing"",""แผน!AK26"")"),0)</f>
        <v>0</v>
      </c>
      <c r="M210" s="831"/>
      <c r="N210" s="1031">
        <v>0</v>
      </c>
      <c r="O210" s="831"/>
      <c r="P210" s="831"/>
      <c r="Q210" s="818"/>
      <c r="R210" s="818"/>
      <c r="S210" s="818"/>
      <c r="T210" s="818"/>
      <c r="U210" s="818"/>
      <c r="V210" s="818"/>
      <c r="W210" s="818"/>
      <c r="X210" s="818"/>
      <c r="Y210" s="818"/>
      <c r="Z210" s="818"/>
    </row>
    <row r="211" spans="1:26" ht="19.5" hidden="1">
      <c r="A211" s="1032"/>
      <c r="B211" s="1030"/>
      <c r="C211" s="1038"/>
      <c r="D211" s="943" t="s">
        <v>99</v>
      </c>
      <c r="E211" s="827"/>
      <c r="F211" s="827"/>
      <c r="G211" s="829"/>
      <c r="H211" s="778" t="s">
        <v>12</v>
      </c>
      <c r="I211" s="830"/>
      <c r="J211" s="830"/>
      <c r="K211" s="831"/>
      <c r="L211" s="831">
        <f ca="1">IFERROR(__xludf.DUMMYFUNCTION("IMPORTRANGE(""https://docs.google.com/spreadsheets/d/1QqKyyYR6Q21VydFLVH3TRQUabQu_ym0Zz7PgGX0-kHA/edit?usp=sharing"",""แผน!AL26"")"),0)</f>
        <v>0</v>
      </c>
      <c r="M211" s="831"/>
      <c r="N211" s="1031">
        <v>0</v>
      </c>
      <c r="O211" s="831"/>
      <c r="P211" s="831"/>
      <c r="Q211" s="1033"/>
      <c r="R211" s="1033"/>
      <c r="S211" s="1033"/>
      <c r="T211" s="1033"/>
      <c r="U211" s="1033"/>
      <c r="V211" s="1033"/>
      <c r="W211" s="1033"/>
      <c r="X211" s="1033"/>
      <c r="Y211" s="1033"/>
      <c r="Z211" s="1033"/>
    </row>
    <row r="212" spans="1:26" ht="19.5" hidden="1">
      <c r="A212" s="1032"/>
      <c r="B212" s="1030"/>
      <c r="C212" s="1038"/>
      <c r="D212" s="943" t="s">
        <v>98</v>
      </c>
      <c r="E212" s="827"/>
      <c r="F212" s="827"/>
      <c r="G212" s="829"/>
      <c r="H212" s="778" t="s">
        <v>12</v>
      </c>
      <c r="I212" s="830"/>
      <c r="J212" s="830"/>
      <c r="K212" s="831"/>
      <c r="L212" s="831">
        <f ca="1">IFERROR(__xludf.DUMMYFUNCTION("IMPORTRANGE(""https://docs.google.com/spreadsheets/d/1QqKyyYR6Q21VydFLVH3TRQUabQu_ym0Zz7PgGX0-kHA/edit?usp=sharing"",""แผน!AM26"")"),0)</f>
        <v>0</v>
      </c>
      <c r="M212" s="831"/>
      <c r="N212" s="1031">
        <v>0</v>
      </c>
      <c r="O212" s="831"/>
      <c r="P212" s="831"/>
      <c r="Q212" s="1033"/>
      <c r="R212" s="1033"/>
      <c r="S212" s="1033"/>
      <c r="T212" s="1033"/>
      <c r="U212" s="1033"/>
      <c r="V212" s="1033"/>
      <c r="W212" s="1033"/>
      <c r="X212" s="1033"/>
      <c r="Y212" s="1033"/>
      <c r="Z212" s="1033"/>
    </row>
    <row r="213" spans="1:26" ht="19.5" hidden="1">
      <c r="A213" s="949"/>
      <c r="B213" s="950"/>
      <c r="C213" s="1038" t="s">
        <v>16</v>
      </c>
      <c r="D213" s="951" t="s">
        <v>38</v>
      </c>
      <c r="E213" s="952"/>
      <c r="F213" s="952"/>
      <c r="G213" s="953"/>
      <c r="H213" s="954"/>
      <c r="I213" s="944"/>
      <c r="J213" s="830"/>
      <c r="K213" s="831"/>
      <c r="L213" s="831"/>
      <c r="M213" s="831"/>
      <c r="N213" s="831"/>
      <c r="O213" s="945"/>
      <c r="P213" s="945"/>
      <c r="Q213" s="818"/>
      <c r="R213" s="818"/>
      <c r="S213" s="818"/>
      <c r="T213" s="818"/>
      <c r="U213" s="818"/>
      <c r="V213" s="818"/>
      <c r="W213" s="818"/>
      <c r="X213" s="818"/>
      <c r="Y213" s="818"/>
      <c r="Z213" s="818"/>
    </row>
    <row r="214" spans="1:26" ht="18.75" hidden="1">
      <c r="A214" s="949"/>
      <c r="B214" s="950"/>
      <c r="C214" s="950"/>
      <c r="D214" s="955" t="s">
        <v>106</v>
      </c>
      <c r="E214" s="957"/>
      <c r="F214" s="957"/>
      <c r="G214" s="958"/>
      <c r="H214" s="954" t="s">
        <v>96</v>
      </c>
      <c r="I214" s="830">
        <f ca="1">IFERROR(__xludf.DUMMYFUNCTION("IMPORTRANGE(""https://docs.google.com/spreadsheets/d/1QqKyyYR6Q21VydFLVH3TRQUabQu_ym0Zz7PgGX0-kHA/edit?usp=sharing"",""แผน!AN26"")"),0)</f>
        <v>0</v>
      </c>
      <c r="J214" s="959">
        <v>0</v>
      </c>
      <c r="K214" s="831">
        <f t="shared" ref="K214:K216" ca="1" si="102">IF(I214&gt;0,J214*100/I214,0)</f>
        <v>0</v>
      </c>
      <c r="L214" s="831"/>
      <c r="M214" s="831"/>
      <c r="N214" s="831"/>
      <c r="O214" s="831"/>
      <c r="P214" s="831"/>
      <c r="Q214" s="818"/>
      <c r="R214" s="818"/>
      <c r="S214" s="818"/>
      <c r="T214" s="818"/>
      <c r="U214" s="818"/>
      <c r="V214" s="818"/>
      <c r="W214" s="818"/>
      <c r="X214" s="818"/>
      <c r="Y214" s="818"/>
      <c r="Z214" s="818"/>
    </row>
    <row r="215" spans="1:26" ht="18.75" hidden="1">
      <c r="A215" s="949"/>
      <c r="B215" s="950"/>
      <c r="C215" s="950"/>
      <c r="D215" s="955" t="s">
        <v>107</v>
      </c>
      <c r="E215" s="957"/>
      <c r="F215" s="957"/>
      <c r="G215" s="958"/>
      <c r="H215" s="954" t="s">
        <v>96</v>
      </c>
      <c r="I215" s="830">
        <f ca="1">IFERROR(__xludf.DUMMYFUNCTION("IMPORTRANGE(""https://docs.google.com/spreadsheets/d/1QqKyyYR6Q21VydFLVH3TRQUabQu_ym0Zz7PgGX0-kHA/edit?usp=sharing"",""แผน!AN26"")"),0)</f>
        <v>0</v>
      </c>
      <c r="J215" s="959">
        <v>0</v>
      </c>
      <c r="K215" s="831">
        <f t="shared" ca="1" si="102"/>
        <v>0</v>
      </c>
      <c r="L215" s="831"/>
      <c r="M215" s="831"/>
      <c r="N215" s="831"/>
      <c r="O215" s="831"/>
      <c r="P215" s="831"/>
      <c r="Q215" s="818"/>
      <c r="R215" s="818"/>
      <c r="S215" s="818"/>
      <c r="T215" s="818"/>
      <c r="U215" s="818"/>
      <c r="V215" s="818"/>
      <c r="W215" s="818"/>
      <c r="X215" s="818"/>
      <c r="Y215" s="818"/>
      <c r="Z215" s="818"/>
    </row>
    <row r="216" spans="1:26" ht="19.5">
      <c r="A216" s="1011"/>
      <c r="B216" s="1018"/>
      <c r="C216" s="1023" t="s">
        <v>108</v>
      </c>
      <c r="D216" s="1012"/>
      <c r="E216" s="1012"/>
      <c r="F216" s="1037"/>
      <c r="G216" s="1014"/>
      <c r="H216" s="260" t="s">
        <v>109</v>
      </c>
      <c r="I216" s="1024">
        <f t="shared" ref="I216:J216" ca="1" si="103">I224</f>
        <v>50000</v>
      </c>
      <c r="J216" s="1024">
        <f t="shared" si="103"/>
        <v>0</v>
      </c>
      <c r="K216" s="1025">
        <f t="shared" ca="1" si="102"/>
        <v>0</v>
      </c>
      <c r="L216" s="1016"/>
      <c r="M216" s="1016"/>
      <c r="N216" s="1016"/>
      <c r="O216" s="1016"/>
      <c r="P216" s="1016"/>
    </row>
    <row r="217" spans="1:26" ht="19.5">
      <c r="A217" s="932"/>
      <c r="B217" s="933"/>
      <c r="C217" s="934" t="s">
        <v>16</v>
      </c>
      <c r="D217" s="1026" t="s">
        <v>17</v>
      </c>
      <c r="E217" s="933"/>
      <c r="F217" s="933"/>
      <c r="G217" s="936"/>
      <c r="H217" s="275" t="s">
        <v>12</v>
      </c>
      <c r="I217" s="1028"/>
      <c r="J217" s="1028"/>
      <c r="K217" s="1029"/>
      <c r="L217" s="939">
        <f ca="1">L218+L219+L220</f>
        <v>18500</v>
      </c>
      <c r="M217" s="939"/>
      <c r="N217" s="939">
        <f>N218+N219+N220</f>
        <v>0</v>
      </c>
      <c r="O217" s="939">
        <f ca="1">IF(L217&gt;0,N217*100/L217,0)</f>
        <v>0</v>
      </c>
      <c r="P217" s="939">
        <f>IF(M217&gt;0,N217*100/M217,0)</f>
        <v>0</v>
      </c>
      <c r="Q217" s="818"/>
      <c r="R217" s="818"/>
      <c r="S217" s="818"/>
      <c r="T217" s="818"/>
      <c r="U217" s="818"/>
      <c r="V217" s="818"/>
      <c r="W217" s="818"/>
      <c r="X217" s="818"/>
      <c r="Y217" s="818"/>
      <c r="Z217" s="818"/>
    </row>
    <row r="218" spans="1:26" ht="18.75">
      <c r="A218" s="942"/>
      <c r="B218" s="1030"/>
      <c r="C218" s="827"/>
      <c r="D218" s="943" t="s">
        <v>97</v>
      </c>
      <c r="E218" s="827"/>
      <c r="F218" s="827"/>
      <c r="G218" s="829"/>
      <c r="H218" s="778" t="s">
        <v>12</v>
      </c>
      <c r="I218" s="944"/>
      <c r="J218" s="944"/>
      <c r="K218" s="945"/>
      <c r="L218" s="831">
        <f ca="1">IFERROR(__xludf.DUMMYFUNCTION("IMPORTRANGE(""https://docs.google.com/spreadsheets/d/1QqKyyYR6Q21VydFLVH3TRQUabQu_ym0Zz7PgGX0-kHA/edit?usp=sharing"",""แผน!AP26"")"),5000)</f>
        <v>5000</v>
      </c>
      <c r="M218" s="831"/>
      <c r="N218" s="1031">
        <v>0</v>
      </c>
      <c r="O218" s="831"/>
      <c r="P218" s="831"/>
      <c r="Q218" s="818"/>
      <c r="R218" s="818"/>
      <c r="S218" s="818"/>
      <c r="T218" s="818"/>
      <c r="U218" s="818"/>
      <c r="V218" s="818"/>
      <c r="W218" s="818"/>
      <c r="X218" s="818"/>
      <c r="Y218" s="818"/>
      <c r="Z218" s="818"/>
    </row>
    <row r="219" spans="1:26" ht="19.5">
      <c r="A219" s="1032"/>
      <c r="B219" s="1030"/>
      <c r="C219" s="1038"/>
      <c r="D219" s="943" t="s">
        <v>110</v>
      </c>
      <c r="E219" s="827"/>
      <c r="F219" s="827"/>
      <c r="G219" s="829"/>
      <c r="H219" s="778" t="s">
        <v>12</v>
      </c>
      <c r="I219" s="830"/>
      <c r="J219" s="830"/>
      <c r="K219" s="831"/>
      <c r="L219" s="831">
        <f ca="1">IFERROR(__xludf.DUMMYFUNCTION("IMPORTRANGE(""https://docs.google.com/spreadsheets/d/1QqKyyYR6Q21VydFLVH3TRQUabQu_ym0Zz7PgGX0-kHA/edit?usp=sharing"",""แผน!AQ26"")"),13500)</f>
        <v>13500</v>
      </c>
      <c r="M219" s="831"/>
      <c r="N219" s="1031">
        <v>0</v>
      </c>
      <c r="O219" s="831"/>
      <c r="P219" s="831"/>
      <c r="Q219" s="1033"/>
      <c r="R219" s="1033"/>
      <c r="S219" s="1033"/>
      <c r="T219" s="1033"/>
      <c r="U219" s="1033"/>
      <c r="V219" s="1033"/>
      <c r="W219" s="1033"/>
      <c r="X219" s="1033"/>
      <c r="Y219" s="1033"/>
      <c r="Z219" s="1033"/>
    </row>
    <row r="220" spans="1:26" ht="19.5">
      <c r="A220" s="1032"/>
      <c r="B220" s="1030"/>
      <c r="C220" s="1038"/>
      <c r="D220" s="943" t="s">
        <v>98</v>
      </c>
      <c r="E220" s="827"/>
      <c r="F220" s="827"/>
      <c r="G220" s="829"/>
      <c r="H220" s="778" t="s">
        <v>12</v>
      </c>
      <c r="I220" s="830"/>
      <c r="J220" s="830"/>
      <c r="K220" s="831"/>
      <c r="L220" s="831">
        <f ca="1">IFERROR(__xludf.DUMMYFUNCTION("IMPORTRANGE(""https://docs.google.com/spreadsheets/d/1QqKyyYR6Q21VydFLVH3TRQUabQu_ym0Zz7PgGX0-kHA/edit?usp=sharing"",""แผน!AR26"")"),0)</f>
        <v>0</v>
      </c>
      <c r="M220" s="831"/>
      <c r="N220" s="1031">
        <v>0</v>
      </c>
      <c r="O220" s="831"/>
      <c r="P220" s="831"/>
      <c r="Q220" s="1033"/>
      <c r="R220" s="1033"/>
      <c r="S220" s="1033"/>
      <c r="T220" s="1033"/>
      <c r="U220" s="1033"/>
      <c r="V220" s="1033"/>
      <c r="W220" s="1033"/>
      <c r="X220" s="1033"/>
      <c r="Y220" s="1033"/>
      <c r="Z220" s="1033"/>
    </row>
    <row r="221" spans="1:26" ht="19.5">
      <c r="A221" s="949"/>
      <c r="B221" s="950"/>
      <c r="C221" s="1038" t="s">
        <v>16</v>
      </c>
      <c r="D221" s="951" t="s">
        <v>38</v>
      </c>
      <c r="E221" s="952"/>
      <c r="F221" s="952"/>
      <c r="G221" s="953"/>
      <c r="H221" s="954"/>
      <c r="I221" s="944"/>
      <c r="J221" s="944"/>
      <c r="K221" s="945"/>
      <c r="L221" s="945"/>
      <c r="M221" s="945"/>
      <c r="N221" s="945"/>
      <c r="O221" s="945"/>
      <c r="P221" s="945"/>
      <c r="Q221" s="818"/>
      <c r="R221" s="818"/>
      <c r="S221" s="818"/>
      <c r="T221" s="818"/>
      <c r="U221" s="818"/>
      <c r="V221" s="818"/>
      <c r="W221" s="818"/>
      <c r="X221" s="818"/>
      <c r="Y221" s="818"/>
      <c r="Z221" s="818"/>
    </row>
    <row r="222" spans="1:26" ht="18.75">
      <c r="A222" s="949"/>
      <c r="B222" s="950"/>
      <c r="C222" s="950"/>
      <c r="D222" s="943" t="s">
        <v>111</v>
      </c>
      <c r="E222" s="957"/>
      <c r="F222" s="957"/>
      <c r="G222" s="958"/>
      <c r="H222" s="954"/>
      <c r="I222" s="830"/>
      <c r="J222" s="830"/>
      <c r="K222" s="945"/>
      <c r="L222" s="945"/>
      <c r="M222" s="945"/>
      <c r="N222" s="945"/>
      <c r="O222" s="945"/>
      <c r="P222" s="945"/>
      <c r="Q222" s="818"/>
      <c r="R222" s="818"/>
      <c r="S222" s="818"/>
      <c r="T222" s="818"/>
      <c r="U222" s="818"/>
      <c r="V222" s="818"/>
      <c r="W222" s="818"/>
      <c r="X222" s="818"/>
      <c r="Y222" s="818"/>
      <c r="Z222" s="818"/>
    </row>
    <row r="223" spans="1:26" ht="18.75">
      <c r="A223" s="949"/>
      <c r="B223" s="950"/>
      <c r="C223" s="950"/>
      <c r="D223" s="950"/>
      <c r="E223" s="955" t="s">
        <v>112</v>
      </c>
      <c r="F223" s="957"/>
      <c r="G223" s="958"/>
      <c r="H223" s="730" t="s">
        <v>109</v>
      </c>
      <c r="I223" s="830">
        <f ca="1">IFERROR(__xludf.DUMMYFUNCTION("IMPORTRANGE(""https://docs.google.com/spreadsheets/d/1QqKyyYR6Q21VydFLVH3TRQUabQu_ym0Zz7PgGX0-kHA/edit?usp=sharing"",""แผน!AT26"")"),50000)</f>
        <v>50000</v>
      </c>
      <c r="J223" s="959">
        <v>0</v>
      </c>
      <c r="K223" s="945">
        <f t="shared" ref="K223:K226" ca="1" si="104">IF(I223&gt;0,J223*100/I223,0)</f>
        <v>0</v>
      </c>
      <c r="L223" s="945"/>
      <c r="M223" s="945"/>
      <c r="N223" s="945"/>
      <c r="O223" s="945"/>
      <c r="P223" s="945"/>
      <c r="Q223" s="818"/>
      <c r="R223" s="818"/>
      <c r="S223" s="818"/>
      <c r="T223" s="818"/>
      <c r="U223" s="818"/>
      <c r="V223" s="818"/>
      <c r="W223" s="818"/>
      <c r="X223" s="818"/>
      <c r="Y223" s="818"/>
      <c r="Z223" s="818"/>
    </row>
    <row r="224" spans="1:26" ht="18.75">
      <c r="A224" s="949"/>
      <c r="B224" s="950"/>
      <c r="C224" s="950"/>
      <c r="D224" s="950"/>
      <c r="E224" s="955" t="s">
        <v>113</v>
      </c>
      <c r="F224" s="957"/>
      <c r="G224" s="958"/>
      <c r="H224" s="730" t="s">
        <v>109</v>
      </c>
      <c r="I224" s="830">
        <f ca="1">IFERROR(__xludf.DUMMYFUNCTION("IMPORTRANGE(""https://docs.google.com/spreadsheets/d/1QqKyyYR6Q21VydFLVH3TRQUabQu_ym0Zz7PgGX0-kHA/edit?usp=sharing"",""แผน!AT26"")"),50000)</f>
        <v>50000</v>
      </c>
      <c r="J224" s="959">
        <v>0</v>
      </c>
      <c r="K224" s="945">
        <f t="shared" ca="1" si="104"/>
        <v>0</v>
      </c>
      <c r="L224" s="831"/>
      <c r="M224" s="831"/>
      <c r="N224" s="831"/>
      <c r="O224" s="831"/>
      <c r="P224" s="831"/>
      <c r="Q224" s="818"/>
      <c r="R224" s="818"/>
      <c r="S224" s="818"/>
      <c r="T224" s="818"/>
      <c r="U224" s="818"/>
      <c r="V224" s="818"/>
      <c r="W224" s="818"/>
      <c r="X224" s="818"/>
      <c r="Y224" s="818"/>
      <c r="Z224" s="818"/>
    </row>
    <row r="225" spans="1:26" ht="18.75">
      <c r="A225" s="949"/>
      <c r="B225" s="950"/>
      <c r="C225" s="950"/>
      <c r="D225" s="943" t="s">
        <v>114</v>
      </c>
      <c r="E225" s="957"/>
      <c r="F225" s="957"/>
      <c r="G225" s="958"/>
      <c r="H225" s="730" t="s">
        <v>35</v>
      </c>
      <c r="I225" s="830">
        <f ca="1">IFERROR(__xludf.DUMMYFUNCTION("IMPORTRANGE(""https://docs.google.com/spreadsheets/d/1QqKyyYR6Q21VydFLVH3TRQUabQu_ym0Zz7PgGX0-kHA/edit?usp=sharing"",""แผน!AS26"")"),0)</f>
        <v>0</v>
      </c>
      <c r="J225" s="959">
        <v>0</v>
      </c>
      <c r="K225" s="945">
        <f t="shared" ca="1" si="104"/>
        <v>0</v>
      </c>
      <c r="L225" s="831"/>
      <c r="M225" s="831"/>
      <c r="N225" s="831"/>
      <c r="O225" s="831"/>
      <c r="P225" s="831"/>
      <c r="Q225" s="818"/>
      <c r="R225" s="818"/>
      <c r="S225" s="818"/>
      <c r="T225" s="818"/>
      <c r="U225" s="818"/>
      <c r="V225" s="818"/>
      <c r="W225" s="818"/>
      <c r="X225" s="818"/>
      <c r="Y225" s="818"/>
      <c r="Z225" s="818"/>
    </row>
    <row r="226" spans="1:26" ht="19.5" hidden="1">
      <c r="A226" s="1011"/>
      <c r="B226" s="1018"/>
      <c r="C226" s="1039" t="s">
        <v>115</v>
      </c>
      <c r="D226" s="1012"/>
      <c r="E226" s="1012"/>
      <c r="F226" s="1012"/>
      <c r="G226" s="1014"/>
      <c r="H226" s="266" t="s">
        <v>35</v>
      </c>
      <c r="I226" s="1040">
        <f t="shared" ref="I226:J226" ca="1" si="105">I237+I248</f>
        <v>0</v>
      </c>
      <c r="J226" s="1040">
        <f t="shared" si="105"/>
        <v>0</v>
      </c>
      <c r="K226" s="1041">
        <f t="shared" ca="1" si="104"/>
        <v>0</v>
      </c>
      <c r="L226" s="1016"/>
      <c r="M226" s="1016"/>
      <c r="N226" s="1016"/>
      <c r="O226" s="1016"/>
      <c r="P226" s="1016"/>
    </row>
    <row r="227" spans="1:26" ht="19.5" hidden="1">
      <c r="A227" s="1042"/>
      <c r="B227" s="1043"/>
      <c r="C227" s="1044" t="s">
        <v>16</v>
      </c>
      <c r="D227" s="1045" t="s">
        <v>17</v>
      </c>
      <c r="E227" s="1043"/>
      <c r="F227" s="1043"/>
      <c r="G227" s="1046"/>
      <c r="H227" s="1047" t="s">
        <v>12</v>
      </c>
      <c r="I227" s="1048"/>
      <c r="J227" s="1048"/>
      <c r="K227" s="1049"/>
      <c r="L227" s="1050">
        <f t="shared" ref="L227:L231" ca="1" si="106">L238+L249</f>
        <v>0</v>
      </c>
      <c r="M227" s="1050"/>
      <c r="N227" s="1050">
        <f t="shared" ref="N227:N231" si="107">N238+N249</f>
        <v>0</v>
      </c>
      <c r="O227" s="1051"/>
      <c r="P227" s="1051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</row>
    <row r="228" spans="1:26" ht="18.75" hidden="1">
      <c r="A228" s="940"/>
      <c r="B228" s="1052"/>
      <c r="C228" s="833"/>
      <c r="D228" s="834" t="s">
        <v>97</v>
      </c>
      <c r="E228" s="833"/>
      <c r="F228" s="833"/>
      <c r="G228" s="835"/>
      <c r="H228" s="165" t="s">
        <v>12</v>
      </c>
      <c r="I228" s="947"/>
      <c r="J228" s="947"/>
      <c r="K228" s="948"/>
      <c r="L228" s="837">
        <f t="shared" ca="1" si="106"/>
        <v>0</v>
      </c>
      <c r="M228" s="837"/>
      <c r="N228" s="837">
        <f t="shared" si="107"/>
        <v>0</v>
      </c>
      <c r="O228" s="837"/>
      <c r="P228" s="837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</row>
    <row r="229" spans="1:26" ht="19.5" hidden="1">
      <c r="A229" s="1053"/>
      <c r="B229" s="1052"/>
      <c r="C229" s="1054"/>
      <c r="D229" s="834" t="s">
        <v>98</v>
      </c>
      <c r="E229" s="833"/>
      <c r="F229" s="833"/>
      <c r="G229" s="835"/>
      <c r="H229" s="165" t="s">
        <v>12</v>
      </c>
      <c r="I229" s="836"/>
      <c r="J229" s="836"/>
      <c r="K229" s="837"/>
      <c r="L229" s="837">
        <f t="shared" ca="1" si="106"/>
        <v>0</v>
      </c>
      <c r="M229" s="837"/>
      <c r="N229" s="837">
        <f t="shared" si="107"/>
        <v>0</v>
      </c>
      <c r="O229" s="837"/>
      <c r="P229" s="837"/>
      <c r="Q229" s="1055"/>
      <c r="R229" s="1055"/>
      <c r="S229" s="1055"/>
      <c r="T229" s="1055"/>
      <c r="U229" s="1055"/>
      <c r="V229" s="1055"/>
      <c r="W229" s="1055"/>
      <c r="X229" s="1055"/>
      <c r="Y229" s="1055"/>
      <c r="Z229" s="1055"/>
    </row>
    <row r="230" spans="1:26" ht="19.5" hidden="1">
      <c r="A230" s="1053"/>
      <c r="B230" s="1052"/>
      <c r="C230" s="1054"/>
      <c r="D230" s="834" t="s">
        <v>116</v>
      </c>
      <c r="E230" s="833"/>
      <c r="F230" s="833"/>
      <c r="G230" s="835"/>
      <c r="H230" s="165" t="s">
        <v>12</v>
      </c>
      <c r="I230" s="836"/>
      <c r="J230" s="836"/>
      <c r="K230" s="837"/>
      <c r="L230" s="837">
        <f t="shared" ca="1" si="106"/>
        <v>0</v>
      </c>
      <c r="M230" s="837"/>
      <c r="N230" s="837">
        <f t="shared" si="107"/>
        <v>0</v>
      </c>
      <c r="O230" s="837"/>
      <c r="P230" s="837"/>
      <c r="Q230" s="1055"/>
      <c r="R230" s="1055"/>
      <c r="S230" s="1055"/>
      <c r="T230" s="1055"/>
      <c r="U230" s="1055"/>
      <c r="V230" s="1055"/>
      <c r="W230" s="1055"/>
      <c r="X230" s="1055"/>
      <c r="Y230" s="1055"/>
      <c r="Z230" s="1055"/>
    </row>
    <row r="231" spans="1:26" ht="19.5" hidden="1">
      <c r="A231" s="1053"/>
      <c r="B231" s="1052"/>
      <c r="C231" s="1054"/>
      <c r="D231" s="834" t="s">
        <v>100</v>
      </c>
      <c r="E231" s="833"/>
      <c r="F231" s="833"/>
      <c r="G231" s="835"/>
      <c r="H231" s="165" t="s">
        <v>12</v>
      </c>
      <c r="I231" s="836"/>
      <c r="J231" s="836"/>
      <c r="K231" s="837"/>
      <c r="L231" s="837">
        <f t="shared" ca="1" si="106"/>
        <v>0</v>
      </c>
      <c r="M231" s="837"/>
      <c r="N231" s="837">
        <f t="shared" si="107"/>
        <v>0</v>
      </c>
      <c r="O231" s="837"/>
      <c r="P231" s="837"/>
      <c r="Q231" s="1055"/>
      <c r="R231" s="1055"/>
      <c r="S231" s="1055"/>
      <c r="T231" s="1055"/>
      <c r="U231" s="1055"/>
      <c r="V231" s="1055"/>
      <c r="W231" s="1055"/>
      <c r="X231" s="1055"/>
      <c r="Y231" s="1055"/>
      <c r="Z231" s="1055"/>
    </row>
    <row r="232" spans="1:26" ht="19.5" hidden="1">
      <c r="A232" s="1056"/>
      <c r="B232" s="1057"/>
      <c r="C232" s="1054" t="s">
        <v>16</v>
      </c>
      <c r="D232" s="1020" t="s">
        <v>38</v>
      </c>
      <c r="E232" s="1058"/>
      <c r="F232" s="1058"/>
      <c r="G232" s="1059"/>
      <c r="H232" s="1060"/>
      <c r="I232" s="947"/>
      <c r="J232" s="836"/>
      <c r="K232" s="837"/>
      <c r="L232" s="837"/>
      <c r="M232" s="837"/>
      <c r="N232" s="837"/>
      <c r="O232" s="948"/>
      <c r="P232" s="948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</row>
    <row r="233" spans="1:26" ht="18.75" hidden="1">
      <c r="A233" s="1056"/>
      <c r="B233" s="1057"/>
      <c r="C233" s="1057"/>
      <c r="D233" s="1022" t="s">
        <v>117</v>
      </c>
      <c r="E233" s="1061"/>
      <c r="F233" s="1061"/>
      <c r="G233" s="1062"/>
      <c r="H233" s="583" t="s">
        <v>35</v>
      </c>
      <c r="I233" s="836">
        <f t="shared" ref="I233:J233" ca="1" si="108">I244+I255</f>
        <v>0</v>
      </c>
      <c r="J233" s="836">
        <f t="shared" si="108"/>
        <v>0</v>
      </c>
      <c r="K233" s="837">
        <f ca="1">IF(I233&gt;0,J233*100/I233,0)</f>
        <v>0</v>
      </c>
      <c r="L233" s="837"/>
      <c r="M233" s="837"/>
      <c r="N233" s="837"/>
      <c r="O233" s="837"/>
      <c r="P233" s="837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</row>
    <row r="234" spans="1:26" ht="18.75" hidden="1">
      <c r="A234" s="1056"/>
      <c r="B234" s="1057"/>
      <c r="C234" s="1057"/>
      <c r="D234" s="1063" t="s">
        <v>43</v>
      </c>
      <c r="E234" s="1061"/>
      <c r="F234" s="1061"/>
      <c r="G234" s="1062"/>
      <c r="H234" s="583"/>
      <c r="I234" s="836"/>
      <c r="J234" s="836"/>
      <c r="K234" s="837"/>
      <c r="L234" s="837"/>
      <c r="M234" s="837"/>
      <c r="N234" s="837"/>
      <c r="O234" s="948"/>
      <c r="P234" s="948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</row>
    <row r="235" spans="1:26" ht="18.75" hidden="1">
      <c r="A235" s="1056"/>
      <c r="B235" s="1057"/>
      <c r="C235" s="1057"/>
      <c r="D235" s="1057"/>
      <c r="E235" s="1021" t="s">
        <v>118</v>
      </c>
      <c r="F235" s="1061"/>
      <c r="G235" s="1062"/>
      <c r="H235" s="583" t="s">
        <v>35</v>
      </c>
      <c r="I235" s="836">
        <f t="shared" ref="I235:J236" si="109">I246+I257</f>
        <v>0</v>
      </c>
      <c r="J235" s="836">
        <f t="shared" si="109"/>
        <v>0</v>
      </c>
      <c r="K235" s="837">
        <f t="shared" ref="K235:K237" si="110">IF(I235&gt;0,J235*100/I235,0)</f>
        <v>0</v>
      </c>
      <c r="L235" s="837"/>
      <c r="M235" s="837"/>
      <c r="N235" s="837"/>
      <c r="O235" s="837"/>
      <c r="P235" s="837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</row>
    <row r="236" spans="1:26" ht="18.75" hidden="1">
      <c r="A236" s="1056"/>
      <c r="B236" s="1057"/>
      <c r="C236" s="1057"/>
      <c r="D236" s="1057"/>
      <c r="E236" s="1021" t="s">
        <v>119</v>
      </c>
      <c r="F236" s="1061"/>
      <c r="G236" s="1062"/>
      <c r="H236" s="583" t="s">
        <v>66</v>
      </c>
      <c r="I236" s="836">
        <f t="shared" si="109"/>
        <v>0</v>
      </c>
      <c r="J236" s="836">
        <f t="shared" si="109"/>
        <v>0</v>
      </c>
      <c r="K236" s="837">
        <f t="shared" si="110"/>
        <v>0</v>
      </c>
      <c r="L236" s="837"/>
      <c r="M236" s="837"/>
      <c r="N236" s="837"/>
      <c r="O236" s="837"/>
      <c r="P236" s="837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</row>
    <row r="237" spans="1:26" ht="19.5" hidden="1">
      <c r="A237" s="1011"/>
      <c r="B237" s="1018"/>
      <c r="C237" s="1023" t="s">
        <v>331</v>
      </c>
      <c r="D237" s="1012"/>
      <c r="E237" s="1012"/>
      <c r="F237" s="1012"/>
      <c r="G237" s="1014"/>
      <c r="H237" s="260" t="s">
        <v>35</v>
      </c>
      <c r="I237" s="1024">
        <f t="shared" ref="I237:J237" ca="1" si="111">I244</f>
        <v>0</v>
      </c>
      <c r="J237" s="1024">
        <f t="shared" si="111"/>
        <v>0</v>
      </c>
      <c r="K237" s="1025">
        <f t="shared" ca="1" si="110"/>
        <v>0</v>
      </c>
      <c r="L237" s="1016"/>
      <c r="M237" s="1016"/>
      <c r="N237" s="1016"/>
      <c r="O237" s="1016"/>
      <c r="P237" s="1016"/>
    </row>
    <row r="238" spans="1:26" ht="19.5" hidden="1">
      <c r="A238" s="932"/>
      <c r="B238" s="933"/>
      <c r="C238" s="934" t="s">
        <v>16</v>
      </c>
      <c r="D238" s="935" t="s">
        <v>17</v>
      </c>
      <c r="E238" s="933"/>
      <c r="F238" s="933"/>
      <c r="G238" s="936"/>
      <c r="H238" s="275" t="s">
        <v>12</v>
      </c>
      <c r="I238" s="1028"/>
      <c r="J238" s="1028"/>
      <c r="K238" s="1029"/>
      <c r="L238" s="939">
        <f ca="1">L239+L240+L241+L242</f>
        <v>0</v>
      </c>
      <c r="M238" s="939"/>
      <c r="N238" s="939">
        <f>N239+N240+N241+N242</f>
        <v>0</v>
      </c>
      <c r="O238" s="939">
        <f ca="1">IF(L238&gt;0,N238*100/L238,0)</f>
        <v>0</v>
      </c>
      <c r="P238" s="939">
        <f>IF(M238&gt;0,N238*100/M238,0)</f>
        <v>0</v>
      </c>
      <c r="Q238" s="818"/>
      <c r="R238" s="818"/>
      <c r="S238" s="818"/>
      <c r="T238" s="818"/>
      <c r="U238" s="818"/>
      <c r="V238" s="818"/>
      <c r="W238" s="818"/>
      <c r="X238" s="818"/>
      <c r="Y238" s="818"/>
      <c r="Z238" s="818"/>
    </row>
    <row r="239" spans="1:26" ht="18.75" hidden="1">
      <c r="A239" s="1064"/>
      <c r="B239" s="1065"/>
      <c r="C239" s="1066"/>
      <c r="D239" s="1067" t="s">
        <v>97</v>
      </c>
      <c r="E239" s="1066"/>
      <c r="F239" s="1066"/>
      <c r="G239" s="1068"/>
      <c r="H239" s="319" t="s">
        <v>12</v>
      </c>
      <c r="I239" s="1069"/>
      <c r="J239" s="1069"/>
      <c r="K239" s="1070"/>
      <c r="L239" s="1071">
        <f ca="1">IFERROR(__xludf.DUMMYFUNCTION("IMPORTRANGE(""https://docs.google.com/spreadsheets/d/1QqKyyYR6Q21VydFLVH3TRQUabQu_ym0Zz7PgGX0-kHA/edit?usp=sharing"",""แผน!AV26"")"),0)</f>
        <v>0</v>
      </c>
      <c r="M239" s="1071"/>
      <c r="N239" s="1072">
        <v>0</v>
      </c>
      <c r="O239" s="1071"/>
      <c r="P239" s="1071"/>
      <c r="Q239" s="1073"/>
      <c r="R239" s="1073"/>
      <c r="S239" s="1073"/>
      <c r="T239" s="1073"/>
      <c r="U239" s="1073"/>
      <c r="V239" s="1073"/>
      <c r="W239" s="1073"/>
      <c r="X239" s="1073"/>
      <c r="Y239" s="1073"/>
      <c r="Z239" s="1073"/>
    </row>
    <row r="240" spans="1:26" ht="19.5" hidden="1">
      <c r="A240" s="1074"/>
      <c r="B240" s="1065"/>
      <c r="C240" s="1075"/>
      <c r="D240" s="1067" t="s">
        <v>98</v>
      </c>
      <c r="E240" s="1066"/>
      <c r="F240" s="1066"/>
      <c r="G240" s="1068"/>
      <c r="H240" s="319" t="s">
        <v>12</v>
      </c>
      <c r="I240" s="1076"/>
      <c r="J240" s="1076"/>
      <c r="K240" s="1071"/>
      <c r="L240" s="1071">
        <f ca="1">IFERROR(__xludf.DUMMYFUNCTION("IMPORTRANGE(""https://docs.google.com/spreadsheets/d/1QqKyyYR6Q21VydFLVH3TRQUabQu_ym0Zz7PgGX0-kHA/edit?usp=sharing"",""แผน!AW26"")"),0)</f>
        <v>0</v>
      </c>
      <c r="M240" s="1071"/>
      <c r="N240" s="1072">
        <v>0</v>
      </c>
      <c r="O240" s="1071"/>
      <c r="P240" s="1071"/>
      <c r="Q240" s="1077"/>
      <c r="R240" s="1077"/>
      <c r="S240" s="1077"/>
      <c r="T240" s="1077"/>
      <c r="U240" s="1077"/>
      <c r="V240" s="1077"/>
      <c r="W240" s="1077"/>
      <c r="X240" s="1077"/>
      <c r="Y240" s="1077"/>
      <c r="Z240" s="1077"/>
    </row>
    <row r="241" spans="1:26" ht="19.5" hidden="1">
      <c r="A241" s="1074"/>
      <c r="B241" s="1065"/>
      <c r="C241" s="1075"/>
      <c r="D241" s="1067" t="s">
        <v>116</v>
      </c>
      <c r="E241" s="1066"/>
      <c r="F241" s="1066"/>
      <c r="G241" s="1068"/>
      <c r="H241" s="319" t="s">
        <v>12</v>
      </c>
      <c r="I241" s="1076"/>
      <c r="J241" s="1076"/>
      <c r="K241" s="1071"/>
      <c r="L241" s="1071">
        <f ca="1">IFERROR(__xludf.DUMMYFUNCTION("IMPORTRANGE(""https://docs.google.com/spreadsheets/d/1QqKyyYR6Q21VydFLVH3TRQUabQu_ym0Zz7PgGX0-kHA/edit?usp=sharing"",""แผน!AX26"")"),0)</f>
        <v>0</v>
      </c>
      <c r="M241" s="1071"/>
      <c r="N241" s="1072">
        <v>0</v>
      </c>
      <c r="O241" s="1071"/>
      <c r="P241" s="1071"/>
      <c r="Q241" s="1077"/>
      <c r="R241" s="1077"/>
      <c r="S241" s="1077"/>
      <c r="T241" s="1077"/>
      <c r="U241" s="1077"/>
      <c r="V241" s="1077"/>
      <c r="W241" s="1077"/>
      <c r="X241" s="1077"/>
      <c r="Y241" s="1077"/>
      <c r="Z241" s="1077"/>
    </row>
    <row r="242" spans="1:26" ht="19.5" hidden="1">
      <c r="A242" s="1074"/>
      <c r="B242" s="1065"/>
      <c r="C242" s="1075"/>
      <c r="D242" s="1067" t="s">
        <v>100</v>
      </c>
      <c r="E242" s="1066"/>
      <c r="F242" s="1066"/>
      <c r="G242" s="1068"/>
      <c r="H242" s="319" t="s">
        <v>12</v>
      </c>
      <c r="I242" s="1076"/>
      <c r="J242" s="1076"/>
      <c r="K242" s="1071"/>
      <c r="L242" s="1071">
        <f ca="1">IFERROR(__xludf.DUMMYFUNCTION("IMPORTRANGE(""https://docs.google.com/spreadsheets/d/1QqKyyYR6Q21VydFLVH3TRQUabQu_ym0Zz7PgGX0-kHA/edit?usp=sharing"",""แผน!AY26"")"),0)</f>
        <v>0</v>
      </c>
      <c r="M242" s="1071"/>
      <c r="N242" s="1072">
        <v>0</v>
      </c>
      <c r="O242" s="1071"/>
      <c r="P242" s="1071"/>
      <c r="Q242" s="1077"/>
      <c r="R242" s="1077"/>
      <c r="S242" s="1077"/>
      <c r="T242" s="1077"/>
      <c r="U242" s="1077"/>
      <c r="V242" s="1077"/>
      <c r="W242" s="1077"/>
      <c r="X242" s="1077"/>
      <c r="Y242" s="1077"/>
      <c r="Z242" s="1077"/>
    </row>
    <row r="243" spans="1:26" ht="19.5" hidden="1">
      <c r="A243" s="949"/>
      <c r="B243" s="950"/>
      <c r="C243" s="1038" t="s">
        <v>16</v>
      </c>
      <c r="D243" s="951" t="s">
        <v>38</v>
      </c>
      <c r="E243" s="952"/>
      <c r="F243" s="952"/>
      <c r="G243" s="953"/>
      <c r="H243" s="954"/>
      <c r="I243" s="944"/>
      <c r="J243" s="830"/>
      <c r="K243" s="831"/>
      <c r="L243" s="831"/>
      <c r="M243" s="831"/>
      <c r="N243" s="831"/>
      <c r="O243" s="945"/>
      <c r="P243" s="945"/>
      <c r="Q243" s="818"/>
      <c r="R243" s="818"/>
      <c r="S243" s="818"/>
      <c r="T243" s="818"/>
      <c r="U243" s="818"/>
      <c r="V243" s="818"/>
      <c r="W243" s="818"/>
      <c r="X243" s="818"/>
      <c r="Y243" s="818"/>
      <c r="Z243" s="818"/>
    </row>
    <row r="244" spans="1:26" ht="18.75" hidden="1">
      <c r="A244" s="949"/>
      <c r="B244" s="950"/>
      <c r="C244" s="950"/>
      <c r="D244" s="956" t="s">
        <v>117</v>
      </c>
      <c r="E244" s="957"/>
      <c r="F244" s="957"/>
      <c r="G244" s="958"/>
      <c r="H244" s="730" t="s">
        <v>35</v>
      </c>
      <c r="I244" s="830">
        <f ca="1">IFERROR(__xludf.DUMMYFUNCTION("IMPORTRANGE(""https://docs.google.com/spreadsheets/d/1QqKyyYR6Q21VydFLVH3TRQUabQu_ym0Zz7PgGX0-kHA/edit?usp=sharing"",""แผน!BE26"")"),0)</f>
        <v>0</v>
      </c>
      <c r="J244" s="959">
        <v>0</v>
      </c>
      <c r="K244" s="831">
        <f ca="1">IF(I244&gt;0,J244*100/I244,0)</f>
        <v>0</v>
      </c>
      <c r="L244" s="831"/>
      <c r="M244" s="831"/>
      <c r="N244" s="831"/>
      <c r="O244" s="831"/>
      <c r="P244" s="831"/>
      <c r="Q244" s="818"/>
      <c r="R244" s="818"/>
      <c r="S244" s="818"/>
      <c r="T244" s="818"/>
      <c r="U244" s="818"/>
      <c r="V244" s="818"/>
      <c r="W244" s="818"/>
      <c r="X244" s="818"/>
      <c r="Y244" s="818"/>
      <c r="Z244" s="818"/>
    </row>
    <row r="245" spans="1:26" ht="18.75" hidden="1">
      <c r="A245" s="949"/>
      <c r="B245" s="950"/>
      <c r="C245" s="950"/>
      <c r="D245" s="1078" t="s">
        <v>43</v>
      </c>
      <c r="E245" s="957"/>
      <c r="F245" s="957"/>
      <c r="G245" s="958"/>
      <c r="H245" s="730"/>
      <c r="I245" s="830"/>
      <c r="J245" s="830"/>
      <c r="K245" s="831"/>
      <c r="L245" s="831"/>
      <c r="M245" s="831"/>
      <c r="N245" s="831"/>
      <c r="O245" s="945"/>
      <c r="P245" s="945"/>
      <c r="Q245" s="818"/>
      <c r="R245" s="818"/>
      <c r="S245" s="818"/>
      <c r="T245" s="818"/>
      <c r="U245" s="818"/>
      <c r="V245" s="818"/>
      <c r="W245" s="818"/>
      <c r="X245" s="818"/>
      <c r="Y245" s="818"/>
      <c r="Z245" s="818"/>
    </row>
    <row r="246" spans="1:26" ht="18.75" hidden="1">
      <c r="A246" s="949"/>
      <c r="B246" s="950"/>
      <c r="C246" s="950"/>
      <c r="D246" s="950"/>
      <c r="E246" s="955" t="s">
        <v>118</v>
      </c>
      <c r="F246" s="957"/>
      <c r="G246" s="958"/>
      <c r="H246" s="730" t="s">
        <v>35</v>
      </c>
      <c r="I246" s="830"/>
      <c r="J246" s="959">
        <v>0</v>
      </c>
      <c r="K246" s="831">
        <f t="shared" ref="K246:K248" si="112">IF(I246&gt;0,J246*100/I246,0)</f>
        <v>0</v>
      </c>
      <c r="L246" s="831"/>
      <c r="M246" s="831"/>
      <c r="N246" s="831"/>
      <c r="O246" s="831"/>
      <c r="P246" s="831"/>
      <c r="Q246" s="818"/>
      <c r="R246" s="818"/>
      <c r="S246" s="818"/>
      <c r="T246" s="818"/>
      <c r="U246" s="818"/>
      <c r="V246" s="818"/>
      <c r="W246" s="818"/>
      <c r="X246" s="818"/>
      <c r="Y246" s="818"/>
      <c r="Z246" s="818"/>
    </row>
    <row r="247" spans="1:26" ht="18.75" hidden="1">
      <c r="A247" s="949"/>
      <c r="B247" s="950"/>
      <c r="C247" s="950"/>
      <c r="D247" s="950"/>
      <c r="E247" s="955" t="s">
        <v>119</v>
      </c>
      <c r="F247" s="957"/>
      <c r="G247" s="958"/>
      <c r="H247" s="730" t="s">
        <v>66</v>
      </c>
      <c r="I247" s="830"/>
      <c r="J247" s="959">
        <v>0</v>
      </c>
      <c r="K247" s="831">
        <f t="shared" si="112"/>
        <v>0</v>
      </c>
      <c r="L247" s="831"/>
      <c r="M247" s="831"/>
      <c r="N247" s="831"/>
      <c r="O247" s="831"/>
      <c r="P247" s="831"/>
      <c r="Q247" s="818"/>
      <c r="R247" s="818"/>
      <c r="S247" s="818"/>
      <c r="T247" s="818"/>
      <c r="U247" s="818"/>
      <c r="V247" s="818"/>
      <c r="W247" s="818"/>
      <c r="X247" s="818"/>
      <c r="Y247" s="818"/>
      <c r="Z247" s="818"/>
    </row>
    <row r="248" spans="1:26" ht="19.5" hidden="1">
      <c r="A248" s="1011"/>
      <c r="B248" s="1018"/>
      <c r="C248" s="1023" t="s">
        <v>332</v>
      </c>
      <c r="D248" s="1012"/>
      <c r="E248" s="1012"/>
      <c r="F248" s="1012"/>
      <c r="G248" s="1014"/>
      <c r="H248" s="260" t="s">
        <v>35</v>
      </c>
      <c r="I248" s="1024">
        <f t="shared" ref="I248:J248" ca="1" si="113">I255</f>
        <v>0</v>
      </c>
      <c r="J248" s="1024">
        <f t="shared" si="113"/>
        <v>0</v>
      </c>
      <c r="K248" s="1025">
        <f t="shared" ca="1" si="112"/>
        <v>0</v>
      </c>
      <c r="L248" s="1016"/>
      <c r="M248" s="1016"/>
      <c r="N248" s="1016"/>
      <c r="O248" s="1016"/>
      <c r="P248" s="1016"/>
    </row>
    <row r="249" spans="1:26" ht="19.5" hidden="1">
      <c r="A249" s="932"/>
      <c r="B249" s="933"/>
      <c r="C249" s="934" t="s">
        <v>16</v>
      </c>
      <c r="D249" s="1026" t="s">
        <v>17</v>
      </c>
      <c r="E249" s="933"/>
      <c r="F249" s="933"/>
      <c r="G249" s="936"/>
      <c r="H249" s="275" t="s">
        <v>12</v>
      </c>
      <c r="I249" s="1028"/>
      <c r="J249" s="1028"/>
      <c r="K249" s="1029"/>
      <c r="L249" s="939">
        <f ca="1">L250+L251+L252+L253</f>
        <v>0</v>
      </c>
      <c r="M249" s="939"/>
      <c r="N249" s="939">
        <f>N250+N251+N252+N253</f>
        <v>0</v>
      </c>
      <c r="O249" s="939">
        <f ca="1">IF(L249&gt;0,N249*100/L249,0)</f>
        <v>0</v>
      </c>
      <c r="P249" s="939">
        <f>IF(M249&gt;0,N249*100/M249,0)</f>
        <v>0</v>
      </c>
      <c r="Q249" s="818"/>
      <c r="R249" s="818"/>
      <c r="S249" s="818"/>
      <c r="T249" s="818"/>
      <c r="U249" s="818"/>
      <c r="V249" s="818"/>
      <c r="W249" s="818"/>
      <c r="X249" s="818"/>
      <c r="Y249" s="818"/>
      <c r="Z249" s="818"/>
    </row>
    <row r="250" spans="1:26" ht="18.75" hidden="1">
      <c r="A250" s="1064"/>
      <c r="B250" s="1065"/>
      <c r="C250" s="1066"/>
      <c r="D250" s="1067" t="s">
        <v>97</v>
      </c>
      <c r="E250" s="1066"/>
      <c r="F250" s="1066"/>
      <c r="G250" s="1068"/>
      <c r="H250" s="319" t="s">
        <v>12</v>
      </c>
      <c r="I250" s="1069"/>
      <c r="J250" s="1069"/>
      <c r="K250" s="1070"/>
      <c r="L250" s="1071">
        <f ca="1">IFERROR(__xludf.DUMMYFUNCTION("IMPORTRANGE(""https://docs.google.com/spreadsheets/d/1QqKyyYR6Q21VydFLVH3TRQUabQu_ym0Zz7PgGX0-kHA/edit?usp=sharing"",""แผน!AZ26"")"),0)</f>
        <v>0</v>
      </c>
      <c r="M250" s="1071"/>
      <c r="N250" s="1072">
        <v>0</v>
      </c>
      <c r="O250" s="1071"/>
      <c r="P250" s="1071"/>
      <c r="Q250" s="1073"/>
      <c r="R250" s="1073"/>
      <c r="S250" s="1073"/>
      <c r="T250" s="1073"/>
      <c r="U250" s="1073"/>
      <c r="V250" s="1073"/>
      <c r="W250" s="1073"/>
      <c r="X250" s="1073"/>
      <c r="Y250" s="1073"/>
      <c r="Z250" s="1073"/>
    </row>
    <row r="251" spans="1:26" ht="19.5" hidden="1">
      <c r="A251" s="1074"/>
      <c r="B251" s="1065"/>
      <c r="C251" s="1075"/>
      <c r="D251" s="1067" t="s">
        <v>98</v>
      </c>
      <c r="E251" s="1066"/>
      <c r="F251" s="1066"/>
      <c r="G251" s="1068"/>
      <c r="H251" s="319" t="s">
        <v>12</v>
      </c>
      <c r="I251" s="1076"/>
      <c r="J251" s="1076"/>
      <c r="K251" s="1071"/>
      <c r="L251" s="1071">
        <f ca="1">IFERROR(__xludf.DUMMYFUNCTION("IMPORTRANGE(""https://docs.google.com/spreadsheets/d/1QqKyyYR6Q21VydFLVH3TRQUabQu_ym0Zz7PgGX0-kHA/edit?usp=sharing"",""แผน!BA26"")"),0)</f>
        <v>0</v>
      </c>
      <c r="M251" s="1071"/>
      <c r="N251" s="1072">
        <v>0</v>
      </c>
      <c r="O251" s="1071"/>
      <c r="P251" s="1071"/>
      <c r="Q251" s="1077"/>
      <c r="R251" s="1077"/>
      <c r="S251" s="1077"/>
      <c r="T251" s="1077"/>
      <c r="U251" s="1077"/>
      <c r="V251" s="1077"/>
      <c r="W251" s="1077"/>
      <c r="X251" s="1077"/>
      <c r="Y251" s="1077"/>
      <c r="Z251" s="1077"/>
    </row>
    <row r="252" spans="1:26" ht="19.5" hidden="1">
      <c r="A252" s="1074"/>
      <c r="B252" s="1065"/>
      <c r="C252" s="1075"/>
      <c r="D252" s="1067" t="s">
        <v>116</v>
      </c>
      <c r="E252" s="1066"/>
      <c r="F252" s="1066"/>
      <c r="G252" s="1068"/>
      <c r="H252" s="319" t="s">
        <v>12</v>
      </c>
      <c r="I252" s="1076"/>
      <c r="J252" s="1076"/>
      <c r="K252" s="1071"/>
      <c r="L252" s="1071">
        <f ca="1">IFERROR(__xludf.DUMMYFUNCTION("IMPORTRANGE(""https://docs.google.com/spreadsheets/d/1QqKyyYR6Q21VydFLVH3TRQUabQu_ym0Zz7PgGX0-kHA/edit?usp=sharing"",""แผน!BB26"")"),0)</f>
        <v>0</v>
      </c>
      <c r="M252" s="1071"/>
      <c r="N252" s="1072">
        <v>0</v>
      </c>
      <c r="O252" s="1071"/>
      <c r="P252" s="1071"/>
      <c r="Q252" s="1077"/>
      <c r="R252" s="1077"/>
      <c r="S252" s="1077"/>
      <c r="T252" s="1077"/>
      <c r="U252" s="1077"/>
      <c r="V252" s="1077"/>
      <c r="W252" s="1077"/>
      <c r="X252" s="1077"/>
      <c r="Y252" s="1077"/>
      <c r="Z252" s="1077"/>
    </row>
    <row r="253" spans="1:26" ht="19.5" hidden="1">
      <c r="A253" s="1074"/>
      <c r="B253" s="1065"/>
      <c r="C253" s="1075"/>
      <c r="D253" s="1067" t="s">
        <v>100</v>
      </c>
      <c r="E253" s="1066"/>
      <c r="F253" s="1066"/>
      <c r="G253" s="1068"/>
      <c r="H253" s="319" t="s">
        <v>12</v>
      </c>
      <c r="I253" s="1076"/>
      <c r="J253" s="1076"/>
      <c r="K253" s="1071"/>
      <c r="L253" s="1071">
        <f ca="1">IFERROR(__xludf.DUMMYFUNCTION("IMPORTRANGE(""https://docs.google.com/spreadsheets/d/1QqKyyYR6Q21VydFLVH3TRQUabQu_ym0Zz7PgGX0-kHA/edit?usp=sharing"",""แผน!BC26"")"),0)</f>
        <v>0</v>
      </c>
      <c r="M253" s="1071"/>
      <c r="N253" s="1072">
        <v>0</v>
      </c>
      <c r="O253" s="1071"/>
      <c r="P253" s="1071"/>
      <c r="Q253" s="1077"/>
      <c r="R253" s="1077"/>
      <c r="S253" s="1077"/>
      <c r="T253" s="1077"/>
      <c r="U253" s="1077"/>
      <c r="V253" s="1077"/>
      <c r="W253" s="1077"/>
      <c r="X253" s="1077"/>
      <c r="Y253" s="1077"/>
      <c r="Z253" s="1077"/>
    </row>
    <row r="254" spans="1:26" ht="19.5" hidden="1">
      <c r="A254" s="949"/>
      <c r="B254" s="950"/>
      <c r="C254" s="1038" t="s">
        <v>16</v>
      </c>
      <c r="D254" s="951" t="s">
        <v>38</v>
      </c>
      <c r="E254" s="952"/>
      <c r="F254" s="952"/>
      <c r="G254" s="953"/>
      <c r="H254" s="954"/>
      <c r="I254" s="944"/>
      <c r="J254" s="830"/>
      <c r="K254" s="831"/>
      <c r="L254" s="831"/>
      <c r="M254" s="831"/>
      <c r="N254" s="831"/>
      <c r="O254" s="945"/>
      <c r="P254" s="945"/>
      <c r="Q254" s="818"/>
      <c r="R254" s="818"/>
      <c r="S254" s="818"/>
      <c r="T254" s="818"/>
      <c r="U254" s="818"/>
      <c r="V254" s="818"/>
      <c r="W254" s="818"/>
      <c r="X254" s="818"/>
      <c r="Y254" s="818"/>
      <c r="Z254" s="818"/>
    </row>
    <row r="255" spans="1:26" ht="18.75" hidden="1">
      <c r="A255" s="949"/>
      <c r="B255" s="950"/>
      <c r="C255" s="950"/>
      <c r="D255" s="956" t="s">
        <v>117</v>
      </c>
      <c r="E255" s="957"/>
      <c r="F255" s="957"/>
      <c r="G255" s="958"/>
      <c r="H255" s="730" t="s">
        <v>35</v>
      </c>
      <c r="I255" s="830">
        <f ca="1">IFERROR(__xludf.DUMMYFUNCTION("IMPORTRANGE(""https://docs.google.com/spreadsheets/d/1QqKyyYR6Q21VydFLVH3TRQUabQu_ym0Zz7PgGX0-kHA/edit?usp=sharing"",""แผน!BF26"")"),0)</f>
        <v>0</v>
      </c>
      <c r="J255" s="959">
        <v>0</v>
      </c>
      <c r="K255" s="831">
        <f ca="1">IF(I255&gt;0,J255*100/I255,0)</f>
        <v>0</v>
      </c>
      <c r="L255" s="831"/>
      <c r="M255" s="831"/>
      <c r="N255" s="831"/>
      <c r="O255" s="831"/>
      <c r="P255" s="831"/>
      <c r="Q255" s="818"/>
      <c r="R255" s="818"/>
      <c r="S255" s="818"/>
      <c r="T255" s="818"/>
      <c r="U255" s="818"/>
      <c r="V255" s="818"/>
      <c r="W255" s="818"/>
      <c r="X255" s="818"/>
      <c r="Y255" s="818"/>
      <c r="Z255" s="818"/>
    </row>
    <row r="256" spans="1:26" ht="18.75" hidden="1">
      <c r="A256" s="949"/>
      <c r="B256" s="950"/>
      <c r="C256" s="950"/>
      <c r="D256" s="1078" t="s">
        <v>43</v>
      </c>
      <c r="E256" s="957"/>
      <c r="F256" s="957"/>
      <c r="G256" s="958"/>
      <c r="H256" s="730"/>
      <c r="I256" s="830"/>
      <c r="J256" s="830"/>
      <c r="K256" s="831"/>
      <c r="L256" s="831"/>
      <c r="M256" s="831"/>
      <c r="N256" s="831"/>
      <c r="O256" s="945"/>
      <c r="P256" s="945"/>
      <c r="Q256" s="818"/>
      <c r="R256" s="818"/>
      <c r="S256" s="818"/>
      <c r="T256" s="818"/>
      <c r="U256" s="818"/>
      <c r="V256" s="818"/>
      <c r="W256" s="818"/>
      <c r="X256" s="818"/>
      <c r="Y256" s="818"/>
      <c r="Z256" s="818"/>
    </row>
    <row r="257" spans="1:26" ht="18.75" hidden="1">
      <c r="A257" s="949"/>
      <c r="B257" s="950"/>
      <c r="C257" s="950"/>
      <c r="D257" s="950"/>
      <c r="E257" s="955" t="s">
        <v>118</v>
      </c>
      <c r="F257" s="957"/>
      <c r="G257" s="958"/>
      <c r="H257" s="730" t="s">
        <v>35</v>
      </c>
      <c r="I257" s="830"/>
      <c r="J257" s="959">
        <v>0</v>
      </c>
      <c r="K257" s="831">
        <f t="shared" ref="K257:K258" si="114">IF(I257&gt;0,J257*100/I257,0)</f>
        <v>0</v>
      </c>
      <c r="L257" s="831"/>
      <c r="M257" s="831"/>
      <c r="N257" s="831"/>
      <c r="O257" s="831"/>
      <c r="P257" s="831"/>
      <c r="Q257" s="818"/>
      <c r="R257" s="818"/>
      <c r="S257" s="818"/>
      <c r="T257" s="818"/>
      <c r="U257" s="818"/>
      <c r="V257" s="818"/>
      <c r="W257" s="818"/>
      <c r="X257" s="818"/>
      <c r="Y257" s="818"/>
      <c r="Z257" s="818"/>
    </row>
    <row r="258" spans="1:26" ht="18.75" hidden="1">
      <c r="A258" s="949"/>
      <c r="B258" s="950"/>
      <c r="C258" s="950"/>
      <c r="D258" s="950"/>
      <c r="E258" s="955" t="s">
        <v>119</v>
      </c>
      <c r="F258" s="957"/>
      <c r="G258" s="958"/>
      <c r="H258" s="730" t="s">
        <v>66</v>
      </c>
      <c r="I258" s="830"/>
      <c r="J258" s="959">
        <v>0</v>
      </c>
      <c r="K258" s="831">
        <f t="shared" si="114"/>
        <v>0</v>
      </c>
      <c r="L258" s="831"/>
      <c r="M258" s="831"/>
      <c r="N258" s="831"/>
      <c r="O258" s="831"/>
      <c r="P258" s="831"/>
      <c r="Q258" s="818"/>
      <c r="R258" s="818"/>
      <c r="S258" s="818"/>
      <c r="T258" s="818"/>
      <c r="U258" s="818"/>
      <c r="V258" s="818"/>
      <c r="W258" s="818"/>
      <c r="X258" s="818"/>
      <c r="Y258" s="818"/>
      <c r="Z258" s="818"/>
    </row>
    <row r="259" spans="1:26" ht="19.5">
      <c r="A259" s="998" t="s">
        <v>122</v>
      </c>
      <c r="B259" s="999"/>
      <c r="C259" s="999"/>
      <c r="D259" s="1000"/>
      <c r="E259" s="1000"/>
      <c r="F259" s="1000"/>
      <c r="G259" s="1001"/>
      <c r="H259" s="1002"/>
      <c r="I259" s="1003"/>
      <c r="J259" s="1003"/>
      <c r="K259" s="1004"/>
      <c r="L259" s="1004"/>
      <c r="M259" s="1004"/>
      <c r="N259" s="1004"/>
      <c r="O259" s="1004"/>
      <c r="P259" s="1004"/>
    </row>
    <row r="260" spans="1:26" ht="19.5">
      <c r="A260" s="1005"/>
      <c r="B260" s="1006" t="s">
        <v>123</v>
      </c>
      <c r="C260" s="1007"/>
      <c r="D260" s="952"/>
      <c r="E260" s="952"/>
      <c r="F260" s="952"/>
      <c r="G260" s="953"/>
      <c r="H260" s="252" t="s">
        <v>35</v>
      </c>
      <c r="I260" s="1008">
        <f t="shared" ref="I260:J260" ca="1" si="115">I271</f>
        <v>30</v>
      </c>
      <c r="J260" s="1008">
        <f t="shared" si="115"/>
        <v>30</v>
      </c>
      <c r="K260" s="1009">
        <f ca="1">IF(I260&gt;0,J260*100/I260,0)</f>
        <v>100</v>
      </c>
      <c r="L260" s="1010"/>
      <c r="M260" s="1010"/>
      <c r="N260" s="1010"/>
      <c r="O260" s="1010"/>
      <c r="P260" s="1010"/>
    </row>
    <row r="261" spans="1:26" ht="19.5">
      <c r="A261" s="932"/>
      <c r="B261" s="933"/>
      <c r="C261" s="934" t="s">
        <v>16</v>
      </c>
      <c r="D261" s="935" t="s">
        <v>17</v>
      </c>
      <c r="E261" s="933"/>
      <c r="F261" s="933"/>
      <c r="G261" s="936"/>
      <c r="H261" s="152" t="s">
        <v>12</v>
      </c>
      <c r="I261" s="937"/>
      <c r="J261" s="937"/>
      <c r="K261" s="938"/>
      <c r="L261" s="939">
        <f t="shared" ref="L261:N261" ca="1" si="116">L262+L263</f>
        <v>34500</v>
      </c>
      <c r="M261" s="939">
        <f t="shared" ca="1" si="116"/>
        <v>31500</v>
      </c>
      <c r="N261" s="939">
        <f t="shared" ca="1" si="116"/>
        <v>31500</v>
      </c>
      <c r="O261" s="939">
        <f t="shared" ref="O261:O269" ca="1" si="117">IF(L261&gt;0,N261*100/L261,0)</f>
        <v>91.304347826086953</v>
      </c>
      <c r="P261" s="939">
        <f t="shared" ref="P261:P269" ca="1" si="118">IF(M261&gt;0,N261*100/M261,0)</f>
        <v>100</v>
      </c>
      <c r="Q261" s="818"/>
      <c r="R261" s="818"/>
      <c r="S261" s="818"/>
      <c r="T261" s="818"/>
      <c r="U261" s="818"/>
      <c r="V261" s="818"/>
      <c r="W261" s="818"/>
      <c r="X261" s="818"/>
      <c r="Y261" s="818"/>
      <c r="Z261" s="818"/>
    </row>
    <row r="262" spans="1:26" ht="18.75" hidden="1">
      <c r="A262" s="940"/>
      <c r="B262" s="833"/>
      <c r="C262" s="833"/>
      <c r="D262" s="833"/>
      <c r="E262" s="834" t="s">
        <v>18</v>
      </c>
      <c r="F262" s="833"/>
      <c r="G262" s="941"/>
      <c r="H262" s="158" t="s">
        <v>12</v>
      </c>
      <c r="I262" s="836"/>
      <c r="J262" s="836"/>
      <c r="K262" s="837"/>
      <c r="L262" s="837">
        <f t="shared" ref="L262:N263" si="119">L265+L268</f>
        <v>0</v>
      </c>
      <c r="M262" s="837">
        <f t="shared" si="119"/>
        <v>0</v>
      </c>
      <c r="N262" s="837">
        <f t="shared" si="119"/>
        <v>0</v>
      </c>
      <c r="O262" s="837">
        <f t="shared" si="117"/>
        <v>0</v>
      </c>
      <c r="P262" s="837">
        <f t="shared" si="118"/>
        <v>0</v>
      </c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</row>
    <row r="263" spans="1:26" ht="18.75" hidden="1">
      <c r="A263" s="940"/>
      <c r="B263" s="833"/>
      <c r="C263" s="833"/>
      <c r="D263" s="833"/>
      <c r="E263" s="834" t="s">
        <v>19</v>
      </c>
      <c r="F263" s="833"/>
      <c r="G263" s="941"/>
      <c r="H263" s="158" t="s">
        <v>12</v>
      </c>
      <c r="I263" s="836"/>
      <c r="J263" s="836"/>
      <c r="K263" s="837"/>
      <c r="L263" s="837">
        <f t="shared" ca="1" si="119"/>
        <v>34500</v>
      </c>
      <c r="M263" s="837">
        <f t="shared" ca="1" si="119"/>
        <v>31500</v>
      </c>
      <c r="N263" s="837">
        <f t="shared" ca="1" si="119"/>
        <v>31500</v>
      </c>
      <c r="O263" s="837">
        <f t="shared" ca="1" si="117"/>
        <v>91.304347826086953</v>
      </c>
      <c r="P263" s="837">
        <f t="shared" ca="1" si="118"/>
        <v>100</v>
      </c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</row>
    <row r="264" spans="1:26" ht="18.75">
      <c r="A264" s="942"/>
      <c r="B264" s="827"/>
      <c r="C264" s="943"/>
      <c r="D264" s="828" t="s">
        <v>20</v>
      </c>
      <c r="E264" s="827"/>
      <c r="F264" s="827"/>
      <c r="G264" s="829"/>
      <c r="H264" s="778" t="s">
        <v>12</v>
      </c>
      <c r="I264" s="944"/>
      <c r="J264" s="944"/>
      <c r="K264" s="945"/>
      <c r="L264" s="831">
        <f t="shared" ref="L264:N264" ca="1" si="120">L265+L266</f>
        <v>34500</v>
      </c>
      <c r="M264" s="831">
        <f t="shared" ca="1" si="120"/>
        <v>31500</v>
      </c>
      <c r="N264" s="831">
        <f t="shared" ca="1" si="120"/>
        <v>31500</v>
      </c>
      <c r="O264" s="831">
        <f t="shared" ca="1" si="117"/>
        <v>91.304347826086953</v>
      </c>
      <c r="P264" s="831">
        <f t="shared" ca="1" si="118"/>
        <v>100</v>
      </c>
      <c r="Q264" s="818"/>
      <c r="R264" s="818"/>
      <c r="S264" s="818"/>
      <c r="T264" s="818"/>
      <c r="U264" s="818"/>
      <c r="V264" s="818"/>
      <c r="W264" s="818"/>
      <c r="X264" s="818"/>
      <c r="Y264" s="818"/>
      <c r="Z264" s="818"/>
    </row>
    <row r="265" spans="1:26" ht="19.5" hidden="1">
      <c r="A265" s="940"/>
      <c r="B265" s="833"/>
      <c r="C265" s="946"/>
      <c r="D265" s="833"/>
      <c r="E265" s="834" t="s">
        <v>36</v>
      </c>
      <c r="F265" s="833"/>
      <c r="G265" s="941"/>
      <c r="H265" s="165" t="s">
        <v>12</v>
      </c>
      <c r="I265" s="947"/>
      <c r="J265" s="947"/>
      <c r="K265" s="948"/>
      <c r="L265" s="837">
        <v>0</v>
      </c>
      <c r="M265" s="837">
        <v>0</v>
      </c>
      <c r="N265" s="837">
        <v>0</v>
      </c>
      <c r="O265" s="837">
        <f t="shared" si="117"/>
        <v>0</v>
      </c>
      <c r="P265" s="837">
        <f t="shared" si="118"/>
        <v>0</v>
      </c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</row>
    <row r="266" spans="1:26" ht="19.5" hidden="1">
      <c r="A266" s="940"/>
      <c r="B266" s="833"/>
      <c r="C266" s="946"/>
      <c r="D266" s="833"/>
      <c r="E266" s="834" t="s">
        <v>37</v>
      </c>
      <c r="F266" s="833"/>
      <c r="G266" s="941"/>
      <c r="H266" s="165" t="s">
        <v>12</v>
      </c>
      <c r="I266" s="947"/>
      <c r="J266" s="947"/>
      <c r="K266" s="948"/>
      <c r="L266" s="837">
        <f ca="1">IFERROR(__xludf.DUMMYFUNCTION("IMPORTRANGE(""https://docs.google.com/spreadsheets/d/1MeEWN-I1oV_STSDYn1IFDPWt_1FKiwhDph83XaGc0o0/edit?usp=sharing"",""งบพรบ!CY26"")"),34500)</f>
        <v>34500</v>
      </c>
      <c r="M266" s="837">
        <f ca="1">IFERROR(__xludf.DUMMYFUNCTION("IMPORTRANGE(""https://docs.google.com/spreadsheets/d/1MeEWN-I1oV_STSDYn1IFDPWt_1FKiwhDph83XaGc0o0/edit?usp=sharing"",""งบพรบ!DD26"")"),31500)</f>
        <v>31500</v>
      </c>
      <c r="N266" s="837">
        <f ca="1">IFERROR(__xludf.DUMMYFUNCTION("IMPORTRANGE(""https://docs.google.com/spreadsheets/d/1MeEWN-I1oV_STSDYn1IFDPWt_1FKiwhDph83XaGc0o0/edit?usp=sharing"",""งบพรบ!DF26"")"),31500)</f>
        <v>31500</v>
      </c>
      <c r="O266" s="837">
        <f t="shared" ca="1" si="117"/>
        <v>91.304347826086953</v>
      </c>
      <c r="P266" s="837">
        <f t="shared" ca="1" si="118"/>
        <v>100</v>
      </c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</row>
    <row r="267" spans="1:26" ht="18.75">
      <c r="A267" s="942"/>
      <c r="B267" s="827"/>
      <c r="C267" s="943"/>
      <c r="D267" s="828" t="s">
        <v>21</v>
      </c>
      <c r="E267" s="827"/>
      <c r="F267" s="827"/>
      <c r="G267" s="829"/>
      <c r="H267" s="168" t="s">
        <v>12</v>
      </c>
      <c r="I267" s="944"/>
      <c r="J267" s="944"/>
      <c r="K267" s="945"/>
      <c r="L267" s="831">
        <f t="shared" ref="L267:N267" ca="1" si="121">L268+L269</f>
        <v>0</v>
      </c>
      <c r="M267" s="831">
        <f t="shared" ca="1" si="121"/>
        <v>0</v>
      </c>
      <c r="N267" s="831">
        <f t="shared" ca="1" si="121"/>
        <v>0</v>
      </c>
      <c r="O267" s="831">
        <f t="shared" ca="1" si="117"/>
        <v>0</v>
      </c>
      <c r="P267" s="831">
        <f t="shared" ca="1" si="118"/>
        <v>0</v>
      </c>
      <c r="Q267" s="818"/>
      <c r="R267" s="818"/>
      <c r="S267" s="818"/>
      <c r="T267" s="818"/>
      <c r="U267" s="818"/>
      <c r="V267" s="818"/>
      <c r="W267" s="818"/>
      <c r="X267" s="818"/>
      <c r="Y267" s="818"/>
      <c r="Z267" s="818"/>
    </row>
    <row r="268" spans="1:26" ht="19.5" hidden="1">
      <c r="A268" s="940"/>
      <c r="B268" s="833"/>
      <c r="C268" s="946"/>
      <c r="D268" s="833"/>
      <c r="E268" s="834" t="s">
        <v>18</v>
      </c>
      <c r="F268" s="833"/>
      <c r="G268" s="941"/>
      <c r="H268" s="165" t="s">
        <v>12</v>
      </c>
      <c r="I268" s="947"/>
      <c r="J268" s="947"/>
      <c r="K268" s="948"/>
      <c r="L268" s="837">
        <v>0</v>
      </c>
      <c r="M268" s="837">
        <v>0</v>
      </c>
      <c r="N268" s="837">
        <v>0</v>
      </c>
      <c r="O268" s="837">
        <f t="shared" si="117"/>
        <v>0</v>
      </c>
      <c r="P268" s="837">
        <f t="shared" si="118"/>
        <v>0</v>
      </c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</row>
    <row r="269" spans="1:26" ht="19.5" hidden="1">
      <c r="A269" s="940"/>
      <c r="B269" s="833"/>
      <c r="C269" s="946"/>
      <c r="D269" s="833"/>
      <c r="E269" s="834" t="s">
        <v>19</v>
      </c>
      <c r="F269" s="833"/>
      <c r="G269" s="941"/>
      <c r="H269" s="169" t="s">
        <v>12</v>
      </c>
      <c r="I269" s="947"/>
      <c r="J269" s="947"/>
      <c r="K269" s="948"/>
      <c r="L269" s="837">
        <f ca="1">IFERROR(__xludf.DUMMYFUNCTION("IMPORTRANGE(""https://docs.google.com/spreadsheets/d/1MeEWN-I1oV_STSDYn1IFDPWt_1FKiwhDph83XaGc0o0/edit?usp=sharing"",""งบพรบ!DB26"")"),0)</f>
        <v>0</v>
      </c>
      <c r="M269" s="837">
        <f ca="1">IFERROR(__xludf.DUMMYFUNCTION("IMPORTRANGE(""https://docs.google.com/spreadsheets/d/1MeEWN-I1oV_STSDYn1IFDPWt_1FKiwhDph83XaGc0o0/edit?usp=sharing"",""งบพรบ!DE26"")"),0)</f>
        <v>0</v>
      </c>
      <c r="N269" s="837">
        <f ca="1">IFERROR(__xludf.DUMMYFUNCTION("IMPORTRANGE(""https://docs.google.com/spreadsheets/d/1MeEWN-I1oV_STSDYn1IFDPWt_1FKiwhDph83XaGc0o0/edit?usp=sharing"",""งบพรบ!DG26"")"),0)</f>
        <v>0</v>
      </c>
      <c r="O269" s="837">
        <f t="shared" ca="1" si="117"/>
        <v>0</v>
      </c>
      <c r="P269" s="837">
        <f t="shared" ca="1" si="118"/>
        <v>0</v>
      </c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</row>
    <row r="270" spans="1:26" ht="19.5">
      <c r="A270" s="949"/>
      <c r="B270" s="950"/>
      <c r="C270" s="943" t="s">
        <v>16</v>
      </c>
      <c r="D270" s="951" t="s">
        <v>38</v>
      </c>
      <c r="E270" s="952"/>
      <c r="F270" s="952"/>
      <c r="G270" s="953"/>
      <c r="H270" s="954"/>
      <c r="I270" s="944"/>
      <c r="J270" s="944"/>
      <c r="K270" s="945"/>
      <c r="L270" s="945"/>
      <c r="M270" s="945"/>
      <c r="N270" s="945"/>
      <c r="O270" s="945"/>
      <c r="P270" s="945"/>
    </row>
    <row r="271" spans="1:26" ht="18.75">
      <c r="A271" s="949"/>
      <c r="B271" s="950"/>
      <c r="C271" s="950"/>
      <c r="D271" s="1079" t="s">
        <v>124</v>
      </c>
      <c r="E271" s="957"/>
      <c r="F271" s="1022"/>
      <c r="G271" s="958"/>
      <c r="H271" s="346" t="s">
        <v>35</v>
      </c>
      <c r="I271" s="830">
        <f ca="1">IFERROR(__xludf.DUMMYFUNCTION("IMPORTRANGE(""https://docs.google.com/spreadsheets/d/1QqKyyYR6Q21VydFLVH3TRQUabQu_ym0Zz7PgGX0-kHA/edit?usp=sharing"",""แผน!EA26"")"),30)</f>
        <v>30</v>
      </c>
      <c r="J271" s="959">
        <v>30</v>
      </c>
      <c r="K271" s="945">
        <f ca="1">IF(I271&gt;0,J271*100/I271,0)</f>
        <v>100</v>
      </c>
      <c r="L271" s="945"/>
      <c r="M271" s="945"/>
      <c r="N271" s="945"/>
      <c r="O271" s="945"/>
      <c r="P271" s="945"/>
    </row>
    <row r="272" spans="1:26" ht="18.75" hidden="1">
      <c r="A272" s="1080"/>
      <c r="B272" s="1081"/>
      <c r="C272" s="1081"/>
      <c r="D272" s="1082" t="s">
        <v>125</v>
      </c>
      <c r="E272" s="1083"/>
      <c r="F272" s="1083"/>
      <c r="G272" s="1084"/>
      <c r="H272" s="50" t="s">
        <v>35</v>
      </c>
      <c r="I272" s="1085">
        <v>0</v>
      </c>
      <c r="J272" s="1085">
        <v>0</v>
      </c>
      <c r="K272" s="1086">
        <v>0</v>
      </c>
      <c r="L272" s="1086"/>
      <c r="M272" s="1086"/>
      <c r="N272" s="1086"/>
      <c r="O272" s="1086"/>
      <c r="P272" s="1086"/>
    </row>
    <row r="273" spans="1:26" ht="19.5">
      <c r="A273" s="1087" t="s">
        <v>126</v>
      </c>
      <c r="B273" s="1088"/>
      <c r="C273" s="1088"/>
      <c r="D273" s="1088"/>
      <c r="E273" s="1089"/>
      <c r="F273" s="1089"/>
      <c r="G273" s="1090"/>
      <c r="H273" s="1091"/>
      <c r="I273" s="1092"/>
      <c r="J273" s="1092"/>
      <c r="K273" s="1093"/>
      <c r="L273" s="1093"/>
      <c r="M273" s="1093"/>
      <c r="N273" s="1093"/>
      <c r="O273" s="1093"/>
      <c r="P273" s="1093"/>
    </row>
    <row r="274" spans="1:26" ht="19.5">
      <c r="A274" s="1094" t="s">
        <v>127</v>
      </c>
      <c r="B274" s="1095"/>
      <c r="C274" s="1096"/>
      <c r="D274" s="1095"/>
      <c r="E274" s="1095"/>
      <c r="F274" s="1095"/>
      <c r="G274" s="1095"/>
      <c r="H274" s="1097"/>
      <c r="I274" s="1098"/>
      <c r="J274" s="1099"/>
      <c r="K274" s="1100"/>
      <c r="L274" s="1100"/>
      <c r="M274" s="1100"/>
      <c r="N274" s="1100"/>
      <c r="O274" s="1100"/>
      <c r="P274" s="1100"/>
    </row>
    <row r="275" spans="1:26" ht="19.5">
      <c r="A275" s="1101"/>
      <c r="B275" s="1102" t="s">
        <v>128</v>
      </c>
      <c r="C275" s="1103"/>
      <c r="D275" s="1104"/>
      <c r="E275" s="1103"/>
      <c r="F275" s="1103"/>
      <c r="G275" s="1105"/>
      <c r="H275" s="374" t="s">
        <v>35</v>
      </c>
      <c r="I275" s="1106">
        <f t="shared" ref="I275:J275" ca="1" si="122">I288</f>
        <v>30</v>
      </c>
      <c r="J275" s="1106">
        <f t="shared" ca="1" si="122"/>
        <v>0</v>
      </c>
      <c r="K275" s="1107">
        <f t="shared" ref="K275:K276" ca="1" si="123">IF(I275&gt;0,J275*100/I275,0)</f>
        <v>0</v>
      </c>
      <c r="L275" s="1108"/>
      <c r="M275" s="1108"/>
      <c r="N275" s="1108"/>
      <c r="O275" s="1108"/>
      <c r="P275" s="1108"/>
    </row>
    <row r="276" spans="1:26" ht="19.5">
      <c r="A276" s="1101"/>
      <c r="B276" s="1102"/>
      <c r="C276" s="1103"/>
      <c r="D276" s="1104"/>
      <c r="E276" s="1103"/>
      <c r="F276" s="1103"/>
      <c r="G276" s="1105"/>
      <c r="H276" s="374" t="s">
        <v>46</v>
      </c>
      <c r="I276" s="1106">
        <f t="shared" ref="I276:J276" ca="1" si="124">I287</f>
        <v>300</v>
      </c>
      <c r="J276" s="1106">
        <f t="shared" si="124"/>
        <v>300</v>
      </c>
      <c r="K276" s="1107">
        <f t="shared" ca="1" si="123"/>
        <v>100</v>
      </c>
      <c r="L276" s="1108"/>
      <c r="M276" s="1108"/>
      <c r="N276" s="1108"/>
      <c r="O276" s="1108"/>
      <c r="P276" s="1108"/>
    </row>
    <row r="277" spans="1:26" ht="19.5">
      <c r="A277" s="932"/>
      <c r="B277" s="933"/>
      <c r="C277" s="934" t="s">
        <v>16</v>
      </c>
      <c r="D277" s="935" t="s">
        <v>17</v>
      </c>
      <c r="E277" s="933"/>
      <c r="F277" s="933"/>
      <c r="G277" s="936"/>
      <c r="H277" s="152" t="s">
        <v>12</v>
      </c>
      <c r="I277" s="937"/>
      <c r="J277" s="937"/>
      <c r="K277" s="938"/>
      <c r="L277" s="939">
        <f t="shared" ref="L277:N277" ca="1" si="125">L278+L279</f>
        <v>413310</v>
      </c>
      <c r="M277" s="939">
        <f t="shared" ca="1" si="125"/>
        <v>277480</v>
      </c>
      <c r="N277" s="939">
        <f t="shared" ca="1" si="125"/>
        <v>140039.1</v>
      </c>
      <c r="O277" s="939">
        <f t="shared" ref="O277:O285" ca="1" si="126">IF(L277&gt;0,N277*100/L277,0)</f>
        <v>33.882340132104233</v>
      </c>
      <c r="P277" s="939">
        <f t="shared" ref="P277:P285" ca="1" si="127">IF(M277&gt;0,N277*100/M277,0)</f>
        <v>50.468177886694534</v>
      </c>
      <c r="Q277" s="818"/>
      <c r="R277" s="818"/>
      <c r="S277" s="818"/>
      <c r="T277" s="818"/>
      <c r="U277" s="818"/>
      <c r="V277" s="818"/>
      <c r="W277" s="818"/>
      <c r="X277" s="818"/>
      <c r="Y277" s="818"/>
      <c r="Z277" s="818"/>
    </row>
    <row r="278" spans="1:26" ht="18.75" hidden="1">
      <c r="A278" s="940"/>
      <c r="B278" s="833"/>
      <c r="C278" s="833"/>
      <c r="D278" s="833"/>
      <c r="E278" s="834" t="s">
        <v>18</v>
      </c>
      <c r="F278" s="833"/>
      <c r="G278" s="941"/>
      <c r="H278" s="158" t="s">
        <v>12</v>
      </c>
      <c r="I278" s="836"/>
      <c r="J278" s="836"/>
      <c r="K278" s="837"/>
      <c r="L278" s="837">
        <f t="shared" ref="L278:N279" si="128">L281+L284</f>
        <v>0</v>
      </c>
      <c r="M278" s="837">
        <f t="shared" si="128"/>
        <v>0</v>
      </c>
      <c r="N278" s="837">
        <f t="shared" si="128"/>
        <v>0</v>
      </c>
      <c r="O278" s="837">
        <f t="shared" si="126"/>
        <v>0</v>
      </c>
      <c r="P278" s="837">
        <f t="shared" si="127"/>
        <v>0</v>
      </c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</row>
    <row r="279" spans="1:26" ht="18.75" hidden="1">
      <c r="A279" s="940"/>
      <c r="B279" s="833"/>
      <c r="C279" s="833"/>
      <c r="D279" s="833"/>
      <c r="E279" s="834" t="s">
        <v>19</v>
      </c>
      <c r="F279" s="833"/>
      <c r="G279" s="941"/>
      <c r="H279" s="158" t="s">
        <v>12</v>
      </c>
      <c r="I279" s="836"/>
      <c r="J279" s="836"/>
      <c r="K279" s="837"/>
      <c r="L279" s="837">
        <f t="shared" ca="1" si="128"/>
        <v>413310</v>
      </c>
      <c r="M279" s="837">
        <f t="shared" ca="1" si="128"/>
        <v>277480</v>
      </c>
      <c r="N279" s="837">
        <f t="shared" ca="1" si="128"/>
        <v>140039.1</v>
      </c>
      <c r="O279" s="837">
        <f t="shared" ca="1" si="126"/>
        <v>33.882340132104233</v>
      </c>
      <c r="P279" s="837">
        <f t="shared" ca="1" si="127"/>
        <v>50.468177886694534</v>
      </c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</row>
    <row r="280" spans="1:26" ht="18.75">
      <c r="A280" s="942"/>
      <c r="B280" s="827"/>
      <c r="C280" s="943"/>
      <c r="D280" s="828" t="s">
        <v>20</v>
      </c>
      <c r="E280" s="827"/>
      <c r="F280" s="827"/>
      <c r="G280" s="829"/>
      <c r="H280" s="778" t="s">
        <v>12</v>
      </c>
      <c r="I280" s="944"/>
      <c r="J280" s="944"/>
      <c r="K280" s="945"/>
      <c r="L280" s="831">
        <f t="shared" ref="L280:N280" ca="1" si="129">L281+L282</f>
        <v>413310</v>
      </c>
      <c r="M280" s="831">
        <f t="shared" ca="1" si="129"/>
        <v>277480</v>
      </c>
      <c r="N280" s="831">
        <f t="shared" ca="1" si="129"/>
        <v>140039.1</v>
      </c>
      <c r="O280" s="831">
        <f t="shared" ca="1" si="126"/>
        <v>33.882340132104233</v>
      </c>
      <c r="P280" s="831">
        <f t="shared" ca="1" si="127"/>
        <v>50.468177886694534</v>
      </c>
      <c r="Q280" s="818"/>
      <c r="R280" s="818"/>
      <c r="S280" s="818"/>
      <c r="T280" s="818"/>
      <c r="U280" s="818"/>
      <c r="V280" s="818"/>
      <c r="W280" s="818"/>
      <c r="X280" s="818"/>
      <c r="Y280" s="818"/>
      <c r="Z280" s="818"/>
    </row>
    <row r="281" spans="1:26" ht="19.5" hidden="1">
      <c r="A281" s="940"/>
      <c r="B281" s="833"/>
      <c r="C281" s="946"/>
      <c r="D281" s="833"/>
      <c r="E281" s="834" t="s">
        <v>36</v>
      </c>
      <c r="F281" s="833"/>
      <c r="G281" s="941"/>
      <c r="H281" s="165" t="s">
        <v>12</v>
      </c>
      <c r="I281" s="947"/>
      <c r="J281" s="947"/>
      <c r="K281" s="948"/>
      <c r="L281" s="837">
        <v>0</v>
      </c>
      <c r="M281" s="837">
        <v>0</v>
      </c>
      <c r="N281" s="837">
        <v>0</v>
      </c>
      <c r="O281" s="837">
        <f t="shared" si="126"/>
        <v>0</v>
      </c>
      <c r="P281" s="837">
        <f t="shared" si="127"/>
        <v>0</v>
      </c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</row>
    <row r="282" spans="1:26" ht="19.5" hidden="1">
      <c r="A282" s="940"/>
      <c r="B282" s="833"/>
      <c r="C282" s="946"/>
      <c r="D282" s="833"/>
      <c r="E282" s="834" t="s">
        <v>37</v>
      </c>
      <c r="F282" s="833"/>
      <c r="G282" s="941"/>
      <c r="H282" s="165" t="s">
        <v>12</v>
      </c>
      <c r="I282" s="947"/>
      <c r="J282" s="947"/>
      <c r="K282" s="948"/>
      <c r="L282" s="837">
        <f ca="1">IFERROR(__xludf.DUMMYFUNCTION("IMPORTRANGE(""https://docs.google.com/spreadsheets/d/1MeEWN-I1oV_STSDYn1IFDPWt_1FKiwhDph83XaGc0o0/edit?usp=sharing"",""งบพรบ!DI26"")"),413310)</f>
        <v>413310</v>
      </c>
      <c r="M282" s="837">
        <f ca="1">IFERROR(__xludf.DUMMYFUNCTION("IMPORTRANGE(""https://docs.google.com/spreadsheets/d/1MeEWN-I1oV_STSDYn1IFDPWt_1FKiwhDph83XaGc0o0/edit?usp=sharing"",""งบพรบ!DN26"")"),277480)</f>
        <v>277480</v>
      </c>
      <c r="N282" s="837">
        <f ca="1">IFERROR(__xludf.DUMMYFUNCTION("IMPORTRANGE(""https://docs.google.com/spreadsheets/d/1MeEWN-I1oV_STSDYn1IFDPWt_1FKiwhDph83XaGc0o0/edit?usp=sharing"",""งบพรบ!DP26"")"),140039.1)</f>
        <v>140039.1</v>
      </c>
      <c r="O282" s="837">
        <f t="shared" ca="1" si="126"/>
        <v>33.882340132104233</v>
      </c>
      <c r="P282" s="837">
        <f t="shared" ca="1" si="127"/>
        <v>50.468177886694534</v>
      </c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</row>
    <row r="283" spans="1:26" ht="18.75">
      <c r="A283" s="942"/>
      <c r="B283" s="827"/>
      <c r="C283" s="943"/>
      <c r="D283" s="828" t="s">
        <v>21</v>
      </c>
      <c r="E283" s="827"/>
      <c r="F283" s="827"/>
      <c r="G283" s="829"/>
      <c r="H283" s="168" t="s">
        <v>12</v>
      </c>
      <c r="I283" s="944"/>
      <c r="J283" s="944"/>
      <c r="K283" s="945"/>
      <c r="L283" s="831">
        <f t="shared" ref="L283:N283" ca="1" si="130">L284+L285</f>
        <v>0</v>
      </c>
      <c r="M283" s="831">
        <f t="shared" ca="1" si="130"/>
        <v>0</v>
      </c>
      <c r="N283" s="831">
        <f t="shared" ca="1" si="130"/>
        <v>0</v>
      </c>
      <c r="O283" s="831">
        <f t="shared" ca="1" si="126"/>
        <v>0</v>
      </c>
      <c r="P283" s="831">
        <f t="shared" ca="1" si="127"/>
        <v>0</v>
      </c>
      <c r="Q283" s="818"/>
      <c r="R283" s="818"/>
      <c r="S283" s="818"/>
      <c r="T283" s="818"/>
      <c r="U283" s="818"/>
      <c r="V283" s="818"/>
      <c r="W283" s="818"/>
      <c r="X283" s="818"/>
      <c r="Y283" s="818"/>
      <c r="Z283" s="818"/>
    </row>
    <row r="284" spans="1:26" ht="19.5" hidden="1">
      <c r="A284" s="940"/>
      <c r="B284" s="833"/>
      <c r="C284" s="946"/>
      <c r="D284" s="833"/>
      <c r="E284" s="834" t="s">
        <v>18</v>
      </c>
      <c r="F284" s="833"/>
      <c r="G284" s="941"/>
      <c r="H284" s="165" t="s">
        <v>12</v>
      </c>
      <c r="I284" s="947"/>
      <c r="J284" s="947"/>
      <c r="K284" s="948"/>
      <c r="L284" s="837">
        <v>0</v>
      </c>
      <c r="M284" s="837">
        <v>0</v>
      </c>
      <c r="N284" s="837">
        <v>0</v>
      </c>
      <c r="O284" s="837">
        <f t="shared" si="126"/>
        <v>0</v>
      </c>
      <c r="P284" s="837">
        <f t="shared" si="127"/>
        <v>0</v>
      </c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</row>
    <row r="285" spans="1:26" ht="19.5" hidden="1">
      <c r="A285" s="940"/>
      <c r="B285" s="833"/>
      <c r="C285" s="946"/>
      <c r="D285" s="833"/>
      <c r="E285" s="834" t="s">
        <v>19</v>
      </c>
      <c r="F285" s="833"/>
      <c r="G285" s="941"/>
      <c r="H285" s="169" t="s">
        <v>12</v>
      </c>
      <c r="I285" s="947"/>
      <c r="J285" s="947"/>
      <c r="K285" s="948"/>
      <c r="L285" s="837">
        <f ca="1">IFERROR(__xludf.DUMMYFUNCTION("IMPORTRANGE(""https://docs.google.com/spreadsheets/d/1MeEWN-I1oV_STSDYn1IFDPWt_1FKiwhDph83XaGc0o0/edit?usp=sharing"",""งบพรบ!DL26"")"),0)</f>
        <v>0</v>
      </c>
      <c r="M285" s="837">
        <f ca="1">IFERROR(__xludf.DUMMYFUNCTION("IMPORTRANGE(""https://docs.google.com/spreadsheets/d/1MeEWN-I1oV_STSDYn1IFDPWt_1FKiwhDph83XaGc0o0/edit?usp=sharing"",""งบพรบ!DO26"")"),0)</f>
        <v>0</v>
      </c>
      <c r="N285" s="837">
        <f ca="1">IFERROR(__xludf.DUMMYFUNCTION("IMPORTRANGE(""https://docs.google.com/spreadsheets/d/1MeEWN-I1oV_STSDYn1IFDPWt_1FKiwhDph83XaGc0o0/edit?usp=sharing"",""งบพรบ!DQ26"")"),0)</f>
        <v>0</v>
      </c>
      <c r="O285" s="837">
        <f t="shared" ca="1" si="126"/>
        <v>0</v>
      </c>
      <c r="P285" s="837">
        <f t="shared" ca="1" si="127"/>
        <v>0</v>
      </c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</row>
    <row r="286" spans="1:26" ht="19.5">
      <c r="A286" s="949"/>
      <c r="B286" s="950"/>
      <c r="C286" s="946" t="s">
        <v>16</v>
      </c>
      <c r="D286" s="951" t="s">
        <v>38</v>
      </c>
      <c r="E286" s="952"/>
      <c r="F286" s="952"/>
      <c r="G286" s="953"/>
      <c r="H286" s="954"/>
      <c r="I286" s="944"/>
      <c r="J286" s="944"/>
      <c r="K286" s="945"/>
      <c r="L286" s="945"/>
      <c r="M286" s="945"/>
      <c r="N286" s="945"/>
      <c r="O286" s="945"/>
      <c r="P286" s="945"/>
    </row>
    <row r="287" spans="1:26" ht="18.75">
      <c r="A287" s="949"/>
      <c r="B287" s="950"/>
      <c r="C287" s="950"/>
      <c r="D287" s="961" t="s">
        <v>129</v>
      </c>
      <c r="E287" s="950"/>
      <c r="F287" s="957"/>
      <c r="G287" s="958"/>
      <c r="H287" s="777" t="s">
        <v>46</v>
      </c>
      <c r="I287" s="830">
        <f ca="1">IFERROR(__xludf.DUMMYFUNCTION("IMPORTRANGE(""https://docs.google.com/spreadsheets/d/1QqKyyYR6Q21VydFLVH3TRQUabQu_ym0Zz7PgGX0-kHA/edit?usp=sharing"",""แผน!EC26"")"),300)</f>
        <v>300</v>
      </c>
      <c r="J287" s="959">
        <v>300</v>
      </c>
      <c r="K287" s="945">
        <f t="shared" ref="K287:K288" ca="1" si="131">IF(I287&gt;0,J287*100/I287,0)</f>
        <v>100</v>
      </c>
      <c r="L287" s="945"/>
      <c r="M287" s="945"/>
      <c r="N287" s="945"/>
      <c r="O287" s="945"/>
      <c r="P287" s="945"/>
    </row>
    <row r="288" spans="1:26" ht="19.5">
      <c r="A288" s="949"/>
      <c r="B288" s="950"/>
      <c r="C288" s="950"/>
      <c r="D288" s="961" t="s">
        <v>130</v>
      </c>
      <c r="E288" s="950"/>
      <c r="F288" s="957"/>
      <c r="G288" s="958"/>
      <c r="H288" s="180" t="s">
        <v>35</v>
      </c>
      <c r="I288" s="966">
        <f ca="1">IFERROR(__xludf.DUMMYFUNCTION("IMPORTRANGE(""https://docs.google.com/spreadsheets/d/1QqKyyYR6Q21VydFLVH3TRQUabQu_ym0Zz7PgGX0-kHA/edit?usp=sharing"",""แผน!EB26"")"),30)</f>
        <v>30</v>
      </c>
      <c r="J288" s="966">
        <f ca="1">IF(AND(J291&gt;=I288,J294&gt;=I288),J294,0)</f>
        <v>0</v>
      </c>
      <c r="K288" s="1109">
        <f t="shared" ca="1" si="131"/>
        <v>0</v>
      </c>
      <c r="L288" s="945"/>
      <c r="M288" s="945"/>
      <c r="N288" s="945"/>
      <c r="O288" s="945"/>
      <c r="P288" s="945"/>
    </row>
    <row r="289" spans="1:26" ht="19.5">
      <c r="A289" s="949"/>
      <c r="B289" s="950"/>
      <c r="C289" s="950"/>
      <c r="D289" s="1110"/>
      <c r="E289" s="1111" t="s">
        <v>131</v>
      </c>
      <c r="F289" s="957"/>
      <c r="G289" s="958"/>
      <c r="H289" s="730"/>
      <c r="I289" s="944"/>
      <c r="J289" s="830"/>
      <c r="K289" s="945"/>
      <c r="L289" s="945"/>
      <c r="M289" s="945"/>
      <c r="N289" s="945"/>
      <c r="O289" s="945"/>
      <c r="P289" s="945"/>
    </row>
    <row r="290" spans="1:26" ht="19.5">
      <c r="A290" s="949"/>
      <c r="B290" s="950"/>
      <c r="C290" s="950"/>
      <c r="D290" s="1110"/>
      <c r="E290" s="961" t="s">
        <v>132</v>
      </c>
      <c r="F290" s="957"/>
      <c r="G290" s="958"/>
      <c r="H290" s="730" t="s">
        <v>35</v>
      </c>
      <c r="I290" s="944">
        <f ca="1">IFERROR(__xludf.DUMMYFUNCTION("IMPORTRANGE(""https://docs.google.com/spreadsheets/d/1QqKyyYR6Q21VydFLVH3TRQUabQu_ym0Zz7PgGX0-kHA/edit?usp=sharing"",""แผน!EB26"")"),30)</f>
        <v>30</v>
      </c>
      <c r="J290" s="959">
        <v>30</v>
      </c>
      <c r="K290" s="945">
        <f t="shared" ref="K290:K291" ca="1" si="132">IF(I290&gt;0,J290*100/I290,0)</f>
        <v>100</v>
      </c>
      <c r="L290" s="945"/>
      <c r="M290" s="945"/>
      <c r="N290" s="945"/>
      <c r="O290" s="945"/>
      <c r="P290" s="945"/>
    </row>
    <row r="291" spans="1:26" ht="19.5">
      <c r="A291" s="949"/>
      <c r="B291" s="950"/>
      <c r="C291" s="950"/>
      <c r="D291" s="957"/>
      <c r="E291" s="961" t="s">
        <v>133</v>
      </c>
      <c r="F291" s="957"/>
      <c r="G291" s="958"/>
      <c r="H291" s="730" t="s">
        <v>35</v>
      </c>
      <c r="I291" s="944">
        <f ca="1">IFERROR(__xludf.DUMMYFUNCTION("IMPORTRANGE(""https://docs.google.com/spreadsheets/d/1QqKyyYR6Q21VydFLVH3TRQUabQu_ym0Zz7PgGX0-kHA/edit?usp=sharing"",""แผน!EB26"")"),30)</f>
        <v>30</v>
      </c>
      <c r="J291" s="959">
        <v>30</v>
      </c>
      <c r="K291" s="945">
        <f t="shared" ca="1" si="132"/>
        <v>100</v>
      </c>
      <c r="L291" s="945"/>
      <c r="M291" s="945"/>
      <c r="N291" s="945"/>
      <c r="O291" s="945"/>
      <c r="P291" s="945"/>
    </row>
    <row r="292" spans="1:26" ht="19.5">
      <c r="A292" s="1112"/>
      <c r="B292" s="1113"/>
      <c r="C292" s="1113"/>
      <c r="D292" s="1114"/>
      <c r="E292" s="1115" t="s">
        <v>134</v>
      </c>
      <c r="F292" s="1034"/>
      <c r="G292" s="1035"/>
      <c r="H292" s="387"/>
      <c r="I292" s="1028"/>
      <c r="J292" s="937"/>
      <c r="K292" s="1029"/>
      <c r="L292" s="1029"/>
      <c r="M292" s="1029"/>
      <c r="N292" s="1029"/>
      <c r="O292" s="1029"/>
      <c r="P292" s="1029"/>
    </row>
    <row r="293" spans="1:26" ht="19.5">
      <c r="A293" s="949"/>
      <c r="B293" s="950"/>
      <c r="C293" s="950"/>
      <c r="D293" s="1110"/>
      <c r="E293" s="961" t="s">
        <v>132</v>
      </c>
      <c r="F293" s="957"/>
      <c r="G293" s="958"/>
      <c r="H293" s="730" t="s">
        <v>35</v>
      </c>
      <c r="I293" s="944">
        <f ca="1">IFERROR(__xludf.DUMMYFUNCTION("IMPORTRANGE(""https://docs.google.com/spreadsheets/d/1QqKyyYR6Q21VydFLVH3TRQUabQu_ym0Zz7PgGX0-kHA/edit?usp=sharing"",""แผน!EB26"")"),30)</f>
        <v>30</v>
      </c>
      <c r="J293" s="959">
        <v>0</v>
      </c>
      <c r="K293" s="945">
        <f t="shared" ref="K293:K294" ca="1" si="133">IF(I293&gt;0,J293*100/I293,0)</f>
        <v>0</v>
      </c>
      <c r="L293" s="945"/>
      <c r="M293" s="945"/>
      <c r="N293" s="945"/>
      <c r="O293" s="945"/>
      <c r="P293" s="945"/>
    </row>
    <row r="294" spans="1:26" ht="19.5">
      <c r="A294" s="1080"/>
      <c r="B294" s="1081"/>
      <c r="C294" s="1081"/>
      <c r="D294" s="1083"/>
      <c r="E294" s="1116" t="s">
        <v>136</v>
      </c>
      <c r="F294" s="1083"/>
      <c r="G294" s="1084"/>
      <c r="H294" s="391" t="s">
        <v>35</v>
      </c>
      <c r="I294" s="1117">
        <f ca="1">IFERROR(__xludf.DUMMYFUNCTION("IMPORTRANGE(""https://docs.google.com/spreadsheets/d/1QqKyyYR6Q21VydFLVH3TRQUabQu_ym0Zz7PgGX0-kHA/edit?usp=sharing"",""แผน!EB26"")"),30)</f>
        <v>30</v>
      </c>
      <c r="J294" s="1118">
        <v>0</v>
      </c>
      <c r="K294" s="1086">
        <f t="shared" ca="1" si="133"/>
        <v>0</v>
      </c>
      <c r="L294" s="1086"/>
      <c r="M294" s="1086"/>
      <c r="N294" s="1086"/>
      <c r="O294" s="1086"/>
      <c r="P294" s="1086"/>
    </row>
    <row r="295" spans="1:26" ht="19.5">
      <c r="A295" s="1119" t="s">
        <v>137</v>
      </c>
      <c r="B295" s="1120"/>
      <c r="C295" s="1120"/>
      <c r="D295" s="1120"/>
      <c r="E295" s="1121"/>
      <c r="F295" s="1121"/>
      <c r="G295" s="1122"/>
      <c r="H295" s="1123"/>
      <c r="I295" s="1124"/>
      <c r="J295" s="1124"/>
      <c r="K295" s="1125"/>
      <c r="L295" s="1125"/>
      <c r="M295" s="1125"/>
      <c r="N295" s="1125"/>
      <c r="O295" s="1125"/>
      <c r="P295" s="1125"/>
    </row>
    <row r="296" spans="1:26" ht="19.5" hidden="1">
      <c r="A296" s="1126" t="s">
        <v>138</v>
      </c>
      <c r="B296" s="1127"/>
      <c r="C296" s="1127"/>
      <c r="D296" s="1128"/>
      <c r="E296" s="1128"/>
      <c r="F296" s="1128"/>
      <c r="G296" s="1129"/>
      <c r="H296" s="1130"/>
      <c r="I296" s="1131"/>
      <c r="J296" s="1131"/>
      <c r="K296" s="1132"/>
      <c r="L296" s="1132"/>
      <c r="M296" s="1132"/>
      <c r="N296" s="1132"/>
      <c r="O296" s="1132"/>
      <c r="P296" s="1132"/>
    </row>
    <row r="297" spans="1:26" ht="19.5" hidden="1">
      <c r="A297" s="1133"/>
      <c r="B297" s="1134" t="s">
        <v>139</v>
      </c>
      <c r="C297" s="1135"/>
      <c r="D297" s="1135"/>
      <c r="E297" s="1135"/>
      <c r="F297" s="1135"/>
      <c r="G297" s="1136"/>
      <c r="H297" s="412" t="s">
        <v>35</v>
      </c>
      <c r="I297" s="1137">
        <f t="shared" ref="I297:J297" ca="1" si="134">I309</f>
        <v>0</v>
      </c>
      <c r="J297" s="1137">
        <f t="shared" si="134"/>
        <v>0</v>
      </c>
      <c r="K297" s="1138">
        <f ca="1">IF(I297&gt;0,J297*100/I297,0)</f>
        <v>0</v>
      </c>
      <c r="L297" s="1139"/>
      <c r="M297" s="1139"/>
      <c r="N297" s="1139"/>
      <c r="O297" s="1139"/>
      <c r="P297" s="1139"/>
    </row>
    <row r="298" spans="1:26" ht="19.5" hidden="1">
      <c r="A298" s="932"/>
      <c r="B298" s="933"/>
      <c r="C298" s="934" t="s">
        <v>16</v>
      </c>
      <c r="D298" s="935" t="s">
        <v>17</v>
      </c>
      <c r="E298" s="933"/>
      <c r="F298" s="933"/>
      <c r="G298" s="936"/>
      <c r="H298" s="152" t="s">
        <v>12</v>
      </c>
      <c r="I298" s="937"/>
      <c r="J298" s="937"/>
      <c r="K298" s="938"/>
      <c r="L298" s="939">
        <f t="shared" ref="L298:N298" ca="1" si="135">L299+L300</f>
        <v>0</v>
      </c>
      <c r="M298" s="939">
        <f t="shared" ca="1" si="135"/>
        <v>0</v>
      </c>
      <c r="N298" s="939">
        <f t="shared" ca="1" si="135"/>
        <v>0</v>
      </c>
      <c r="O298" s="939">
        <f t="shared" ref="O298:O306" ca="1" si="136">IF(L298&gt;0,N298*100/L298,0)</f>
        <v>0</v>
      </c>
      <c r="P298" s="939">
        <f t="shared" ref="P298:P306" ca="1" si="137">IF(M298&gt;0,N298*100/M298,0)</f>
        <v>0</v>
      </c>
      <c r="Q298" s="818"/>
      <c r="R298" s="818"/>
      <c r="S298" s="818"/>
      <c r="T298" s="818"/>
      <c r="U298" s="818"/>
      <c r="V298" s="818"/>
      <c r="W298" s="818"/>
      <c r="X298" s="818"/>
      <c r="Y298" s="818"/>
      <c r="Z298" s="818"/>
    </row>
    <row r="299" spans="1:26" ht="18.75" hidden="1">
      <c r="A299" s="940"/>
      <c r="B299" s="833"/>
      <c r="C299" s="833"/>
      <c r="D299" s="833"/>
      <c r="E299" s="834" t="s">
        <v>18</v>
      </c>
      <c r="F299" s="833"/>
      <c r="G299" s="941"/>
      <c r="H299" s="158" t="s">
        <v>12</v>
      </c>
      <c r="I299" s="836"/>
      <c r="J299" s="836"/>
      <c r="K299" s="837"/>
      <c r="L299" s="837">
        <f t="shared" ref="L299:N300" si="138">L302+L305</f>
        <v>0</v>
      </c>
      <c r="M299" s="837">
        <f t="shared" si="138"/>
        <v>0</v>
      </c>
      <c r="N299" s="837">
        <f t="shared" si="138"/>
        <v>0</v>
      </c>
      <c r="O299" s="837">
        <f t="shared" si="136"/>
        <v>0</v>
      </c>
      <c r="P299" s="837">
        <f t="shared" si="137"/>
        <v>0</v>
      </c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</row>
    <row r="300" spans="1:26" ht="18.75" hidden="1">
      <c r="A300" s="940"/>
      <c r="B300" s="833"/>
      <c r="C300" s="833"/>
      <c r="D300" s="833"/>
      <c r="E300" s="834" t="s">
        <v>19</v>
      </c>
      <c r="F300" s="833"/>
      <c r="G300" s="941"/>
      <c r="H300" s="158" t="s">
        <v>12</v>
      </c>
      <c r="I300" s="836"/>
      <c r="J300" s="836"/>
      <c r="K300" s="837"/>
      <c r="L300" s="837">
        <f t="shared" ca="1" si="138"/>
        <v>0</v>
      </c>
      <c r="M300" s="837">
        <f t="shared" ca="1" si="138"/>
        <v>0</v>
      </c>
      <c r="N300" s="837">
        <f t="shared" ca="1" si="138"/>
        <v>0</v>
      </c>
      <c r="O300" s="837">
        <f t="shared" ca="1" si="136"/>
        <v>0</v>
      </c>
      <c r="P300" s="837">
        <f t="shared" ca="1" si="137"/>
        <v>0</v>
      </c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</row>
    <row r="301" spans="1:26" ht="18.75" hidden="1">
      <c r="A301" s="942"/>
      <c r="B301" s="827"/>
      <c r="C301" s="943"/>
      <c r="D301" s="828" t="s">
        <v>20</v>
      </c>
      <c r="E301" s="827"/>
      <c r="F301" s="827"/>
      <c r="G301" s="829"/>
      <c r="H301" s="778" t="s">
        <v>12</v>
      </c>
      <c r="I301" s="944"/>
      <c r="J301" s="944"/>
      <c r="K301" s="945"/>
      <c r="L301" s="831">
        <f t="shared" ref="L301:N301" ca="1" si="139">L302+L303</f>
        <v>0</v>
      </c>
      <c r="M301" s="831">
        <f t="shared" ca="1" si="139"/>
        <v>0</v>
      </c>
      <c r="N301" s="831">
        <f t="shared" ca="1" si="139"/>
        <v>0</v>
      </c>
      <c r="O301" s="831">
        <f t="shared" ca="1" si="136"/>
        <v>0</v>
      </c>
      <c r="P301" s="831">
        <f t="shared" ca="1" si="137"/>
        <v>0</v>
      </c>
      <c r="Q301" s="818"/>
      <c r="R301" s="818"/>
      <c r="S301" s="818"/>
      <c r="T301" s="818"/>
      <c r="U301" s="818"/>
      <c r="V301" s="818"/>
      <c r="W301" s="818"/>
      <c r="X301" s="818"/>
      <c r="Y301" s="818"/>
      <c r="Z301" s="818"/>
    </row>
    <row r="302" spans="1:26" ht="19.5" hidden="1">
      <c r="A302" s="940"/>
      <c r="B302" s="833"/>
      <c r="C302" s="946"/>
      <c r="D302" s="833"/>
      <c r="E302" s="834" t="s">
        <v>36</v>
      </c>
      <c r="F302" s="833"/>
      <c r="G302" s="941"/>
      <c r="H302" s="165" t="s">
        <v>12</v>
      </c>
      <c r="I302" s="947"/>
      <c r="J302" s="947"/>
      <c r="K302" s="948"/>
      <c r="L302" s="837">
        <v>0</v>
      </c>
      <c r="M302" s="837">
        <v>0</v>
      </c>
      <c r="N302" s="837">
        <v>0</v>
      </c>
      <c r="O302" s="837">
        <f t="shared" si="136"/>
        <v>0</v>
      </c>
      <c r="P302" s="837">
        <f t="shared" si="137"/>
        <v>0</v>
      </c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</row>
    <row r="303" spans="1:26" ht="19.5" hidden="1">
      <c r="A303" s="940"/>
      <c r="B303" s="833"/>
      <c r="C303" s="946"/>
      <c r="D303" s="833"/>
      <c r="E303" s="834" t="s">
        <v>37</v>
      </c>
      <c r="F303" s="833"/>
      <c r="G303" s="941"/>
      <c r="H303" s="165" t="s">
        <v>12</v>
      </c>
      <c r="I303" s="947"/>
      <c r="J303" s="947"/>
      <c r="K303" s="948"/>
      <c r="L303" s="837">
        <f ca="1">IFERROR(__xludf.DUMMYFUNCTION("IMPORTRANGE(""https://docs.google.com/spreadsheets/d/1MeEWN-I1oV_STSDYn1IFDPWt_1FKiwhDph83XaGc0o0/edit?usp=sharing"",""งบพรบ!DS26"")"),0)</f>
        <v>0</v>
      </c>
      <c r="M303" s="837">
        <f ca="1">IFERROR(__xludf.DUMMYFUNCTION("IMPORTRANGE(""https://docs.google.com/spreadsheets/d/1MeEWN-I1oV_STSDYn1IFDPWt_1FKiwhDph83XaGc0o0/edit?usp=sharing"",""งบพรบ!DX26"")"),0)</f>
        <v>0</v>
      </c>
      <c r="N303" s="837">
        <f ca="1">IFERROR(__xludf.DUMMYFUNCTION("IMPORTRANGE(""https://docs.google.com/spreadsheets/d/1MeEWN-I1oV_STSDYn1IFDPWt_1FKiwhDph83XaGc0o0/edit?usp=sharing"",""งบพรบ!DZ26"")"),0)</f>
        <v>0</v>
      </c>
      <c r="O303" s="837">
        <f t="shared" ca="1" si="136"/>
        <v>0</v>
      </c>
      <c r="P303" s="837">
        <f t="shared" ca="1" si="137"/>
        <v>0</v>
      </c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</row>
    <row r="304" spans="1:26" ht="18.75" hidden="1">
      <c r="A304" s="942"/>
      <c r="B304" s="827"/>
      <c r="C304" s="943"/>
      <c r="D304" s="828" t="s">
        <v>21</v>
      </c>
      <c r="E304" s="827"/>
      <c r="F304" s="827"/>
      <c r="G304" s="829"/>
      <c r="H304" s="168" t="s">
        <v>12</v>
      </c>
      <c r="I304" s="944"/>
      <c r="J304" s="944"/>
      <c r="K304" s="945"/>
      <c r="L304" s="831">
        <f t="shared" ref="L304:N304" ca="1" si="140">L305+L306</f>
        <v>0</v>
      </c>
      <c r="M304" s="831">
        <f t="shared" ca="1" si="140"/>
        <v>0</v>
      </c>
      <c r="N304" s="831">
        <f t="shared" ca="1" si="140"/>
        <v>0</v>
      </c>
      <c r="O304" s="831">
        <f t="shared" ca="1" si="136"/>
        <v>0</v>
      </c>
      <c r="P304" s="831">
        <f t="shared" ca="1" si="137"/>
        <v>0</v>
      </c>
      <c r="Q304" s="818"/>
      <c r="R304" s="818"/>
      <c r="S304" s="818"/>
      <c r="T304" s="818"/>
      <c r="U304" s="818"/>
      <c r="V304" s="818"/>
      <c r="W304" s="818"/>
      <c r="X304" s="818"/>
      <c r="Y304" s="818"/>
      <c r="Z304" s="818"/>
    </row>
    <row r="305" spans="1:26" ht="19.5" hidden="1">
      <c r="A305" s="940"/>
      <c r="B305" s="833"/>
      <c r="C305" s="946"/>
      <c r="D305" s="833"/>
      <c r="E305" s="834" t="s">
        <v>18</v>
      </c>
      <c r="F305" s="833"/>
      <c r="G305" s="941"/>
      <c r="H305" s="165" t="s">
        <v>12</v>
      </c>
      <c r="I305" s="947"/>
      <c r="J305" s="947"/>
      <c r="K305" s="948"/>
      <c r="L305" s="837">
        <v>0</v>
      </c>
      <c r="M305" s="837">
        <v>0</v>
      </c>
      <c r="N305" s="837">
        <v>0</v>
      </c>
      <c r="O305" s="837">
        <f t="shared" si="136"/>
        <v>0</v>
      </c>
      <c r="P305" s="837">
        <f t="shared" si="137"/>
        <v>0</v>
      </c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</row>
    <row r="306" spans="1:26" ht="19.5" hidden="1">
      <c r="A306" s="940"/>
      <c r="B306" s="833"/>
      <c r="C306" s="946"/>
      <c r="D306" s="833"/>
      <c r="E306" s="834" t="s">
        <v>19</v>
      </c>
      <c r="F306" s="833"/>
      <c r="G306" s="941"/>
      <c r="H306" s="169" t="s">
        <v>12</v>
      </c>
      <c r="I306" s="947"/>
      <c r="J306" s="947"/>
      <c r="K306" s="948"/>
      <c r="L306" s="837">
        <f ca="1">IFERROR(__xludf.DUMMYFUNCTION("IMPORTRANGE(""https://docs.google.com/spreadsheets/d/1MeEWN-I1oV_STSDYn1IFDPWt_1FKiwhDph83XaGc0o0/edit?usp=sharing"",""งบพรบ!DV26"")"),0)</f>
        <v>0</v>
      </c>
      <c r="M306" s="837">
        <f ca="1">IFERROR(__xludf.DUMMYFUNCTION("IMPORTRANGE(""https://docs.google.com/spreadsheets/d/1MeEWN-I1oV_STSDYn1IFDPWt_1FKiwhDph83XaGc0o0/edit?usp=sharing"",""งบพรบ!DY26"")"),0)</f>
        <v>0</v>
      </c>
      <c r="N306" s="837">
        <f ca="1">IFERROR(__xludf.DUMMYFUNCTION("IMPORTRANGE(""https://docs.google.com/spreadsheets/d/1MeEWN-I1oV_STSDYn1IFDPWt_1FKiwhDph83XaGc0o0/edit?usp=sharing"",""งบพรบ!EA26"")"),0)</f>
        <v>0</v>
      </c>
      <c r="O306" s="837">
        <f t="shared" ca="1" si="136"/>
        <v>0</v>
      </c>
      <c r="P306" s="837">
        <f t="shared" ca="1" si="137"/>
        <v>0</v>
      </c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</row>
    <row r="307" spans="1:26" ht="19.5" hidden="1">
      <c r="A307" s="949"/>
      <c r="B307" s="950"/>
      <c r="C307" s="946" t="s">
        <v>16</v>
      </c>
      <c r="D307" s="951" t="s">
        <v>38</v>
      </c>
      <c r="E307" s="952"/>
      <c r="F307" s="952"/>
      <c r="G307" s="953"/>
      <c r="H307" s="954"/>
      <c r="I307" s="830"/>
      <c r="J307" s="830"/>
      <c r="K307" s="831"/>
      <c r="L307" s="831"/>
      <c r="M307" s="831"/>
      <c r="N307" s="831"/>
      <c r="O307" s="831"/>
      <c r="P307" s="831"/>
    </row>
    <row r="308" spans="1:26" ht="18.75" hidden="1">
      <c r="A308" s="949"/>
      <c r="B308" s="950"/>
      <c r="C308" s="950"/>
      <c r="D308" s="956" t="s">
        <v>140</v>
      </c>
      <c r="E308" s="956"/>
      <c r="F308" s="956"/>
      <c r="G308" s="958"/>
      <c r="H308" s="730"/>
      <c r="I308" s="830"/>
      <c r="J308" s="959">
        <v>0</v>
      </c>
      <c r="K308" s="831"/>
      <c r="L308" s="831"/>
      <c r="M308" s="831"/>
      <c r="N308" s="831"/>
      <c r="O308" s="831"/>
      <c r="P308" s="831"/>
    </row>
    <row r="309" spans="1:26" ht="18.75" hidden="1">
      <c r="A309" s="949"/>
      <c r="B309" s="950"/>
      <c r="C309" s="950"/>
      <c r="D309" s="956" t="s">
        <v>141</v>
      </c>
      <c r="E309" s="956"/>
      <c r="F309" s="956"/>
      <c r="G309" s="958"/>
      <c r="H309" s="730" t="s">
        <v>35</v>
      </c>
      <c r="I309" s="830">
        <f ca="1">IFERROR(__xludf.DUMMYFUNCTION("IMPORTRANGE(""https://docs.google.com/spreadsheets/d/1QqKyyYR6Q21VydFLVH3TRQUabQu_ym0Zz7PgGX0-kHA/edit?usp=sharing"",""แผน!ED26"")"),0)</f>
        <v>0</v>
      </c>
      <c r="J309" s="959">
        <v>0</v>
      </c>
      <c r="K309" s="831">
        <f t="shared" ref="K309:K312" ca="1" si="141">IF(I309&gt;0,J309*100/I309,0)</f>
        <v>0</v>
      </c>
      <c r="L309" s="831"/>
      <c r="M309" s="831"/>
      <c r="N309" s="831"/>
      <c r="O309" s="831"/>
      <c r="P309" s="831"/>
    </row>
    <row r="310" spans="1:26" ht="18.75" hidden="1">
      <c r="A310" s="949"/>
      <c r="B310" s="950"/>
      <c r="C310" s="950"/>
      <c r="D310" s="956" t="s">
        <v>142</v>
      </c>
      <c r="E310" s="956"/>
      <c r="F310" s="956"/>
      <c r="G310" s="958"/>
      <c r="H310" s="730" t="s">
        <v>35</v>
      </c>
      <c r="I310" s="830">
        <f ca="1">IFERROR(__xludf.DUMMYFUNCTION("IMPORTRANGE(""https://docs.google.com/spreadsheets/d/1QqKyyYR6Q21VydFLVH3TRQUabQu_ym0Zz7PgGX0-kHA/edit?usp=sharing"",""แผน!ED26"")"),0)</f>
        <v>0</v>
      </c>
      <c r="J310" s="959">
        <v>0</v>
      </c>
      <c r="K310" s="831">
        <f t="shared" ca="1" si="141"/>
        <v>0</v>
      </c>
      <c r="L310" s="831"/>
      <c r="M310" s="831"/>
      <c r="N310" s="831"/>
      <c r="O310" s="831"/>
      <c r="P310" s="831"/>
    </row>
    <row r="311" spans="1:26" ht="18.75" hidden="1">
      <c r="A311" s="949"/>
      <c r="B311" s="950"/>
      <c r="C311" s="950"/>
      <c r="D311" s="956" t="s">
        <v>59</v>
      </c>
      <c r="E311" s="956"/>
      <c r="F311" s="956"/>
      <c r="G311" s="958"/>
      <c r="H311" s="730" t="s">
        <v>35</v>
      </c>
      <c r="I311" s="830">
        <f ca="1">IFERROR(__xludf.DUMMYFUNCTION("IMPORTRANGE(""https://docs.google.com/spreadsheets/d/1QqKyyYR6Q21VydFLVH3TRQUabQu_ym0Zz7PgGX0-kHA/edit?usp=sharing"",""แผน!ED26"")"),0)</f>
        <v>0</v>
      </c>
      <c r="J311" s="959">
        <v>0</v>
      </c>
      <c r="K311" s="831">
        <f t="shared" ca="1" si="141"/>
        <v>0</v>
      </c>
      <c r="L311" s="831"/>
      <c r="M311" s="831"/>
      <c r="N311" s="831"/>
      <c r="O311" s="831"/>
      <c r="P311" s="831"/>
    </row>
    <row r="312" spans="1:26" ht="18.75" hidden="1">
      <c r="A312" s="949"/>
      <c r="B312" s="950"/>
      <c r="C312" s="950"/>
      <c r="D312" s="956" t="s">
        <v>143</v>
      </c>
      <c r="E312" s="956"/>
      <c r="F312" s="956"/>
      <c r="G312" s="958"/>
      <c r="H312" s="730" t="s">
        <v>35</v>
      </c>
      <c r="I312" s="830">
        <f ca="1">IFERROR(__xludf.DUMMYFUNCTION("IMPORTRANGE(""https://docs.google.com/spreadsheets/d/1QqKyyYR6Q21VydFLVH3TRQUabQu_ym0Zz7PgGX0-kHA/edit?usp=sharing"",""แผน!EE26"")"),0)</f>
        <v>0</v>
      </c>
      <c r="J312" s="959">
        <v>0</v>
      </c>
      <c r="K312" s="831">
        <f t="shared" ca="1" si="141"/>
        <v>0</v>
      </c>
      <c r="L312" s="831"/>
      <c r="M312" s="831"/>
      <c r="N312" s="831"/>
      <c r="O312" s="831"/>
      <c r="P312" s="831"/>
    </row>
    <row r="313" spans="1:26" ht="19.5" hidden="1">
      <c r="A313" s="1126" t="s">
        <v>144</v>
      </c>
      <c r="B313" s="1127"/>
      <c r="C313" s="1127"/>
      <c r="D313" s="1128"/>
      <c r="E313" s="1127"/>
      <c r="F313" s="1127"/>
      <c r="G313" s="1127"/>
      <c r="H313" s="1140"/>
      <c r="I313" s="1131"/>
      <c r="J313" s="1131"/>
      <c r="K313" s="1132"/>
      <c r="L313" s="1132"/>
      <c r="M313" s="1132"/>
      <c r="N313" s="1132"/>
      <c r="O313" s="1132"/>
      <c r="P313" s="1132"/>
    </row>
    <row r="314" spans="1:26" ht="19.5" hidden="1">
      <c r="A314" s="1141"/>
      <c r="B314" s="1134" t="s">
        <v>145</v>
      </c>
      <c r="C314" s="1142"/>
      <c r="D314" s="1143"/>
      <c r="E314" s="1135"/>
      <c r="F314" s="1135"/>
      <c r="G314" s="1136"/>
      <c r="H314" s="412" t="s">
        <v>146</v>
      </c>
      <c r="I314" s="1137">
        <f t="shared" ref="I314:J314" ca="1" si="142">I325</f>
        <v>0</v>
      </c>
      <c r="J314" s="1137">
        <f t="shared" si="142"/>
        <v>0</v>
      </c>
      <c r="K314" s="1138">
        <f ca="1">IF(I314&gt;0,J314*100/I314,0)</f>
        <v>0</v>
      </c>
      <c r="L314" s="1139"/>
      <c r="M314" s="1139"/>
      <c r="N314" s="1139"/>
      <c r="O314" s="1139"/>
      <c r="P314" s="1139"/>
    </row>
    <row r="315" spans="1:26" ht="19.5" hidden="1">
      <c r="A315" s="932"/>
      <c r="B315" s="933"/>
      <c r="C315" s="934" t="s">
        <v>16</v>
      </c>
      <c r="D315" s="935" t="s">
        <v>17</v>
      </c>
      <c r="E315" s="933"/>
      <c r="F315" s="933"/>
      <c r="G315" s="936"/>
      <c r="H315" s="152" t="s">
        <v>12</v>
      </c>
      <c r="I315" s="937"/>
      <c r="J315" s="937"/>
      <c r="K315" s="938"/>
      <c r="L315" s="939">
        <f t="shared" ref="L315:N315" ca="1" si="143">L316+L317</f>
        <v>0</v>
      </c>
      <c r="M315" s="939">
        <f t="shared" ca="1" si="143"/>
        <v>0</v>
      </c>
      <c r="N315" s="939">
        <f t="shared" ca="1" si="143"/>
        <v>0</v>
      </c>
      <c r="O315" s="939">
        <f t="shared" ref="O315:O323" ca="1" si="144">IF(L315&gt;0,N315*100/L315,0)</f>
        <v>0</v>
      </c>
      <c r="P315" s="939">
        <f t="shared" ref="P315:P323" ca="1" si="145">IF(M315&gt;0,N315*100/M315,0)</f>
        <v>0</v>
      </c>
      <c r="Q315" s="818"/>
      <c r="R315" s="818"/>
      <c r="S315" s="818"/>
      <c r="T315" s="818"/>
      <c r="U315" s="818"/>
      <c r="V315" s="818"/>
      <c r="W315" s="818"/>
      <c r="X315" s="818"/>
      <c r="Y315" s="818"/>
      <c r="Z315" s="818"/>
    </row>
    <row r="316" spans="1:26" ht="18.75" hidden="1">
      <c r="A316" s="940"/>
      <c r="B316" s="833"/>
      <c r="C316" s="833"/>
      <c r="D316" s="833"/>
      <c r="E316" s="834" t="s">
        <v>18</v>
      </c>
      <c r="F316" s="833"/>
      <c r="G316" s="941"/>
      <c r="H316" s="158" t="s">
        <v>12</v>
      </c>
      <c r="I316" s="836"/>
      <c r="J316" s="836"/>
      <c r="K316" s="837"/>
      <c r="L316" s="837">
        <f t="shared" ref="L316:N317" si="146">L319+L322</f>
        <v>0</v>
      </c>
      <c r="M316" s="837">
        <f t="shared" si="146"/>
        <v>0</v>
      </c>
      <c r="N316" s="837">
        <f t="shared" si="146"/>
        <v>0</v>
      </c>
      <c r="O316" s="837">
        <f t="shared" si="144"/>
        <v>0</v>
      </c>
      <c r="P316" s="837">
        <f t="shared" si="145"/>
        <v>0</v>
      </c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</row>
    <row r="317" spans="1:26" ht="18.75" hidden="1">
      <c r="A317" s="940"/>
      <c r="B317" s="833"/>
      <c r="C317" s="833"/>
      <c r="D317" s="833"/>
      <c r="E317" s="834" t="s">
        <v>19</v>
      </c>
      <c r="F317" s="833"/>
      <c r="G317" s="941"/>
      <c r="H317" s="158" t="s">
        <v>12</v>
      </c>
      <c r="I317" s="836"/>
      <c r="J317" s="836"/>
      <c r="K317" s="837"/>
      <c r="L317" s="837">
        <f t="shared" ca="1" si="146"/>
        <v>0</v>
      </c>
      <c r="M317" s="837">
        <f t="shared" ca="1" si="146"/>
        <v>0</v>
      </c>
      <c r="N317" s="837">
        <f t="shared" ca="1" si="146"/>
        <v>0</v>
      </c>
      <c r="O317" s="837">
        <f t="shared" ca="1" si="144"/>
        <v>0</v>
      </c>
      <c r="P317" s="837">
        <f t="shared" ca="1" si="145"/>
        <v>0</v>
      </c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</row>
    <row r="318" spans="1:26" ht="18.75" hidden="1">
      <c r="A318" s="942"/>
      <c r="B318" s="827"/>
      <c r="C318" s="943"/>
      <c r="D318" s="828" t="s">
        <v>20</v>
      </c>
      <c r="E318" s="827"/>
      <c r="F318" s="827"/>
      <c r="G318" s="829"/>
      <c r="H318" s="778" t="s">
        <v>12</v>
      </c>
      <c r="I318" s="944"/>
      <c r="J318" s="944"/>
      <c r="K318" s="945"/>
      <c r="L318" s="831">
        <f t="shared" ref="L318:N318" ca="1" si="147">L319+L320</f>
        <v>0</v>
      </c>
      <c r="M318" s="831">
        <f t="shared" ca="1" si="147"/>
        <v>0</v>
      </c>
      <c r="N318" s="831">
        <f t="shared" ca="1" si="147"/>
        <v>0</v>
      </c>
      <c r="O318" s="831">
        <f t="shared" ca="1" si="144"/>
        <v>0</v>
      </c>
      <c r="P318" s="831">
        <f t="shared" ca="1" si="145"/>
        <v>0</v>
      </c>
      <c r="Q318" s="818"/>
      <c r="R318" s="818"/>
      <c r="S318" s="818"/>
      <c r="T318" s="818"/>
      <c r="U318" s="818"/>
      <c r="V318" s="818"/>
      <c r="W318" s="818"/>
      <c r="X318" s="818"/>
      <c r="Y318" s="818"/>
      <c r="Z318" s="818"/>
    </row>
    <row r="319" spans="1:26" ht="19.5" hidden="1">
      <c r="A319" s="940"/>
      <c r="B319" s="833"/>
      <c r="C319" s="946"/>
      <c r="D319" s="833"/>
      <c r="E319" s="834" t="s">
        <v>36</v>
      </c>
      <c r="F319" s="833"/>
      <c r="G319" s="941"/>
      <c r="H319" s="165" t="s">
        <v>12</v>
      </c>
      <c r="I319" s="947"/>
      <c r="J319" s="947"/>
      <c r="K319" s="948"/>
      <c r="L319" s="837">
        <v>0</v>
      </c>
      <c r="M319" s="837">
        <v>0</v>
      </c>
      <c r="N319" s="837">
        <v>0</v>
      </c>
      <c r="O319" s="837">
        <f t="shared" si="144"/>
        <v>0</v>
      </c>
      <c r="P319" s="837">
        <f t="shared" si="145"/>
        <v>0</v>
      </c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</row>
    <row r="320" spans="1:26" ht="19.5" hidden="1">
      <c r="A320" s="940"/>
      <c r="B320" s="833"/>
      <c r="C320" s="946"/>
      <c r="D320" s="833"/>
      <c r="E320" s="834" t="s">
        <v>37</v>
      </c>
      <c r="F320" s="833"/>
      <c r="G320" s="941"/>
      <c r="H320" s="165" t="s">
        <v>12</v>
      </c>
      <c r="I320" s="947"/>
      <c r="J320" s="947"/>
      <c r="K320" s="948"/>
      <c r="L320" s="837">
        <f ca="1">IFERROR(__xludf.DUMMYFUNCTION("IMPORTRANGE(""https://docs.google.com/spreadsheets/d/1MeEWN-I1oV_STSDYn1IFDPWt_1FKiwhDph83XaGc0o0/edit?usp=sharing"",""งบพรบ!EC26"")"),0)</f>
        <v>0</v>
      </c>
      <c r="M320" s="837">
        <f ca="1">IFERROR(__xludf.DUMMYFUNCTION("IMPORTRANGE(""https://docs.google.com/spreadsheets/d/1MeEWN-I1oV_STSDYn1IFDPWt_1FKiwhDph83XaGc0o0/edit?usp=sharing"",""งบพรบ!EH26"")"),0)</f>
        <v>0</v>
      </c>
      <c r="N320" s="837">
        <f ca="1">IFERROR(__xludf.DUMMYFUNCTION("IMPORTRANGE(""https://docs.google.com/spreadsheets/d/1MeEWN-I1oV_STSDYn1IFDPWt_1FKiwhDph83XaGc0o0/edit?usp=sharing"",""งบพรบ!EJ26"")"),0)</f>
        <v>0</v>
      </c>
      <c r="O320" s="837">
        <f t="shared" ca="1" si="144"/>
        <v>0</v>
      </c>
      <c r="P320" s="837">
        <f t="shared" ca="1" si="145"/>
        <v>0</v>
      </c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</row>
    <row r="321" spans="1:26" ht="18.75" hidden="1">
      <c r="A321" s="942"/>
      <c r="B321" s="827"/>
      <c r="C321" s="943"/>
      <c r="D321" s="828" t="s">
        <v>21</v>
      </c>
      <c r="E321" s="827"/>
      <c r="F321" s="827"/>
      <c r="G321" s="829"/>
      <c r="H321" s="168" t="s">
        <v>12</v>
      </c>
      <c r="I321" s="944"/>
      <c r="J321" s="944"/>
      <c r="K321" s="945"/>
      <c r="L321" s="831">
        <f t="shared" ref="L321:N321" ca="1" si="148">L322+L323</f>
        <v>0</v>
      </c>
      <c r="M321" s="831">
        <f t="shared" ca="1" si="148"/>
        <v>0</v>
      </c>
      <c r="N321" s="831">
        <f t="shared" ca="1" si="148"/>
        <v>0</v>
      </c>
      <c r="O321" s="831">
        <f t="shared" ca="1" si="144"/>
        <v>0</v>
      </c>
      <c r="P321" s="831">
        <f t="shared" ca="1" si="145"/>
        <v>0</v>
      </c>
      <c r="Q321" s="818"/>
      <c r="R321" s="818"/>
      <c r="S321" s="818"/>
      <c r="T321" s="818"/>
      <c r="U321" s="818"/>
      <c r="V321" s="818"/>
      <c r="W321" s="818"/>
      <c r="X321" s="818"/>
      <c r="Y321" s="818"/>
      <c r="Z321" s="818"/>
    </row>
    <row r="322" spans="1:26" ht="19.5" hidden="1">
      <c r="A322" s="940"/>
      <c r="B322" s="833"/>
      <c r="C322" s="946"/>
      <c r="D322" s="833"/>
      <c r="E322" s="834" t="s">
        <v>18</v>
      </c>
      <c r="F322" s="833"/>
      <c r="G322" s="941"/>
      <c r="H322" s="165" t="s">
        <v>12</v>
      </c>
      <c r="I322" s="947"/>
      <c r="J322" s="947"/>
      <c r="K322" s="948"/>
      <c r="L322" s="837">
        <v>0</v>
      </c>
      <c r="M322" s="837">
        <v>0</v>
      </c>
      <c r="N322" s="837">
        <v>0</v>
      </c>
      <c r="O322" s="837">
        <f t="shared" si="144"/>
        <v>0</v>
      </c>
      <c r="P322" s="837">
        <f t="shared" si="145"/>
        <v>0</v>
      </c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</row>
    <row r="323" spans="1:26" ht="19.5" hidden="1">
      <c r="A323" s="940"/>
      <c r="B323" s="833"/>
      <c r="C323" s="946"/>
      <c r="D323" s="833"/>
      <c r="E323" s="834" t="s">
        <v>19</v>
      </c>
      <c r="F323" s="833"/>
      <c r="G323" s="941"/>
      <c r="H323" s="169" t="s">
        <v>12</v>
      </c>
      <c r="I323" s="947"/>
      <c r="J323" s="947"/>
      <c r="K323" s="948"/>
      <c r="L323" s="837">
        <f ca="1">IFERROR(__xludf.DUMMYFUNCTION("IMPORTRANGE(""https://docs.google.com/spreadsheets/d/1MeEWN-I1oV_STSDYn1IFDPWt_1FKiwhDph83XaGc0o0/edit?usp=sharing"",""งบพรบ!EF26"")"),0)</f>
        <v>0</v>
      </c>
      <c r="M323" s="837">
        <f ca="1">IFERROR(__xludf.DUMMYFUNCTION("IMPORTRANGE(""https://docs.google.com/spreadsheets/d/1MeEWN-I1oV_STSDYn1IFDPWt_1FKiwhDph83XaGc0o0/edit?usp=sharing"",""งบพรบ!EI26"")"),0)</f>
        <v>0</v>
      </c>
      <c r="N323" s="837">
        <f ca="1">IFERROR(__xludf.DUMMYFUNCTION("IMPORTRANGE(""https://docs.google.com/spreadsheets/d/1MeEWN-I1oV_STSDYn1IFDPWt_1FKiwhDph83XaGc0o0/edit?usp=sharing"",""งบพรบ!EK26"")"),0)</f>
        <v>0</v>
      </c>
      <c r="O323" s="837">
        <f t="shared" ca="1" si="144"/>
        <v>0</v>
      </c>
      <c r="P323" s="837">
        <f t="shared" ca="1" si="145"/>
        <v>0</v>
      </c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</row>
    <row r="324" spans="1:26" ht="19.5" hidden="1">
      <c r="A324" s="949"/>
      <c r="B324" s="950"/>
      <c r="C324" s="946" t="s">
        <v>16</v>
      </c>
      <c r="D324" s="951" t="s">
        <v>38</v>
      </c>
      <c r="E324" s="952"/>
      <c r="F324" s="952"/>
      <c r="G324" s="953"/>
      <c r="H324" s="954"/>
      <c r="I324" s="944"/>
      <c r="J324" s="830"/>
      <c r="K324" s="831"/>
      <c r="L324" s="831"/>
      <c r="M324" s="831"/>
      <c r="N324" s="831"/>
      <c r="O324" s="945"/>
      <c r="P324" s="945"/>
    </row>
    <row r="325" spans="1:26" ht="18.75" hidden="1">
      <c r="A325" s="949"/>
      <c r="B325" s="950"/>
      <c r="C325" s="950"/>
      <c r="D325" s="955" t="s">
        <v>147</v>
      </c>
      <c r="E325" s="957"/>
      <c r="F325" s="956"/>
      <c r="G325" s="958"/>
      <c r="H325" s="590" t="s">
        <v>146</v>
      </c>
      <c r="I325" s="830">
        <f ca="1">IFERROR(__xludf.DUMMYFUNCTION("IMPORTRANGE(""https://docs.google.com/spreadsheets/d/1QqKyyYR6Q21VydFLVH3TRQUabQu_ym0Zz7PgGX0-kHA/edit?usp=sharing"",""แผน!EF26"")"),0)</f>
        <v>0</v>
      </c>
      <c r="J325" s="959">
        <v>0</v>
      </c>
      <c r="K325" s="831">
        <f ca="1">IF(I325&gt;0,J325*100/I325,0)</f>
        <v>0</v>
      </c>
      <c r="L325" s="831"/>
      <c r="M325" s="831"/>
      <c r="N325" s="831"/>
      <c r="O325" s="945"/>
      <c r="P325" s="945"/>
    </row>
    <row r="326" spans="1:26" ht="19.5">
      <c r="A326" s="1126" t="s">
        <v>148</v>
      </c>
      <c r="B326" s="1127"/>
      <c r="C326" s="1127"/>
      <c r="D326" s="1128"/>
      <c r="E326" s="1127"/>
      <c r="F326" s="1127"/>
      <c r="G326" s="1127"/>
      <c r="H326" s="1140"/>
      <c r="I326" s="1131"/>
      <c r="J326" s="1131"/>
      <c r="K326" s="1132"/>
      <c r="L326" s="1132"/>
      <c r="M326" s="1132"/>
      <c r="N326" s="1132"/>
      <c r="O326" s="1132"/>
      <c r="P326" s="1132"/>
    </row>
    <row r="327" spans="1:26" ht="19.5">
      <c r="A327" s="1133"/>
      <c r="B327" s="1134" t="s">
        <v>149</v>
      </c>
      <c r="C327" s="1143"/>
      <c r="D327" s="1135"/>
      <c r="E327" s="1135"/>
      <c r="F327" s="1135"/>
      <c r="G327" s="1136"/>
      <c r="H327" s="412" t="s">
        <v>35</v>
      </c>
      <c r="I327" s="1137">
        <f ca="1">IFERROR(__xludf.DUMMYFUNCTION("IMPORTRANGE(""https://docs.google.com/spreadsheets/d/1QqKyyYR6Q21VydFLVH3TRQUabQu_ym0Zz7PgGX0-kHA/edit?usp=sharing"",""แผน!EG26"")"),2000)</f>
        <v>2000</v>
      </c>
      <c r="J327" s="1137">
        <f ca="1">J338+J341+J342+J343</f>
        <v>1074</v>
      </c>
      <c r="K327" s="1138">
        <f ca="1">IF(I327&gt;0,J327*100/I327,0)</f>
        <v>53.7</v>
      </c>
      <c r="L327" s="1139"/>
      <c r="M327" s="1139"/>
      <c r="N327" s="1139"/>
      <c r="O327" s="1139"/>
      <c r="P327" s="1139"/>
    </row>
    <row r="328" spans="1:26" ht="19.5">
      <c r="A328" s="932"/>
      <c r="B328" s="933"/>
      <c r="C328" s="934" t="s">
        <v>16</v>
      </c>
      <c r="D328" s="935" t="s">
        <v>17</v>
      </c>
      <c r="E328" s="933"/>
      <c r="F328" s="933"/>
      <c r="G328" s="936"/>
      <c r="H328" s="152" t="s">
        <v>12</v>
      </c>
      <c r="I328" s="937"/>
      <c r="J328" s="937"/>
      <c r="K328" s="938"/>
      <c r="L328" s="939">
        <f t="shared" ref="L328:N328" ca="1" si="149">L329+L330</f>
        <v>172000</v>
      </c>
      <c r="M328" s="939">
        <f t="shared" ca="1" si="149"/>
        <v>131500</v>
      </c>
      <c r="N328" s="939">
        <f t="shared" ca="1" si="149"/>
        <v>44440</v>
      </c>
      <c r="O328" s="939">
        <f t="shared" ref="O328:O336" ca="1" si="150">IF(L328&gt;0,N328*100/L328,0)</f>
        <v>25.837209302325583</v>
      </c>
      <c r="P328" s="939">
        <f t="shared" ref="P328:P336" ca="1" si="151">IF(M328&gt;0,N328*100/M328,0)</f>
        <v>33.79467680608365</v>
      </c>
      <c r="Q328" s="818"/>
      <c r="R328" s="818"/>
      <c r="S328" s="818"/>
      <c r="T328" s="818"/>
      <c r="U328" s="818"/>
      <c r="V328" s="818"/>
      <c r="W328" s="818"/>
      <c r="X328" s="818"/>
      <c r="Y328" s="818"/>
      <c r="Z328" s="818"/>
    </row>
    <row r="329" spans="1:26" ht="18.75" hidden="1">
      <c r="A329" s="940"/>
      <c r="B329" s="833"/>
      <c r="C329" s="833"/>
      <c r="D329" s="833"/>
      <c r="E329" s="834" t="s">
        <v>18</v>
      </c>
      <c r="F329" s="833"/>
      <c r="G329" s="941"/>
      <c r="H329" s="158" t="s">
        <v>12</v>
      </c>
      <c r="I329" s="836"/>
      <c r="J329" s="836"/>
      <c r="K329" s="837"/>
      <c r="L329" s="837">
        <f t="shared" ref="L329:N330" si="152">L332+L335</f>
        <v>0</v>
      </c>
      <c r="M329" s="837">
        <f t="shared" si="152"/>
        <v>0</v>
      </c>
      <c r="N329" s="837">
        <f t="shared" si="152"/>
        <v>0</v>
      </c>
      <c r="O329" s="837">
        <f t="shared" si="150"/>
        <v>0</v>
      </c>
      <c r="P329" s="837">
        <f t="shared" si="151"/>
        <v>0</v>
      </c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</row>
    <row r="330" spans="1:26" ht="18.75" hidden="1">
      <c r="A330" s="940"/>
      <c r="B330" s="833"/>
      <c r="C330" s="833"/>
      <c r="D330" s="833"/>
      <c r="E330" s="834" t="s">
        <v>19</v>
      </c>
      <c r="F330" s="833"/>
      <c r="G330" s="941"/>
      <c r="H330" s="158" t="s">
        <v>12</v>
      </c>
      <c r="I330" s="836"/>
      <c r="J330" s="836"/>
      <c r="K330" s="837"/>
      <c r="L330" s="837">
        <f t="shared" ca="1" si="152"/>
        <v>172000</v>
      </c>
      <c r="M330" s="837">
        <f t="shared" ca="1" si="152"/>
        <v>131500</v>
      </c>
      <c r="N330" s="837">
        <f t="shared" ca="1" si="152"/>
        <v>44440</v>
      </c>
      <c r="O330" s="837">
        <f t="shared" ca="1" si="150"/>
        <v>25.837209302325583</v>
      </c>
      <c r="P330" s="837">
        <f t="shared" ca="1" si="151"/>
        <v>33.79467680608365</v>
      </c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</row>
    <row r="331" spans="1:26" ht="18.75">
      <c r="A331" s="942"/>
      <c r="B331" s="827"/>
      <c r="C331" s="943"/>
      <c r="D331" s="828" t="s">
        <v>20</v>
      </c>
      <c r="E331" s="827"/>
      <c r="F331" s="827"/>
      <c r="G331" s="829"/>
      <c r="H331" s="778" t="s">
        <v>12</v>
      </c>
      <c r="I331" s="944"/>
      <c r="J331" s="944"/>
      <c r="K331" s="945"/>
      <c r="L331" s="831">
        <f t="shared" ref="L331:N331" ca="1" si="153">L332+L333</f>
        <v>172000</v>
      </c>
      <c r="M331" s="831">
        <f t="shared" ca="1" si="153"/>
        <v>131500</v>
      </c>
      <c r="N331" s="831">
        <f t="shared" ca="1" si="153"/>
        <v>44440</v>
      </c>
      <c r="O331" s="831">
        <f t="shared" ca="1" si="150"/>
        <v>25.837209302325583</v>
      </c>
      <c r="P331" s="831">
        <f t="shared" ca="1" si="151"/>
        <v>33.79467680608365</v>
      </c>
      <c r="Q331" s="818"/>
      <c r="R331" s="818"/>
      <c r="S331" s="818"/>
      <c r="T331" s="818"/>
      <c r="U331" s="818"/>
      <c r="V331" s="818"/>
      <c r="W331" s="818"/>
      <c r="X331" s="818"/>
      <c r="Y331" s="818"/>
      <c r="Z331" s="818"/>
    </row>
    <row r="332" spans="1:26" ht="19.5" hidden="1">
      <c r="A332" s="940"/>
      <c r="B332" s="833"/>
      <c r="C332" s="946"/>
      <c r="D332" s="833"/>
      <c r="E332" s="834" t="s">
        <v>36</v>
      </c>
      <c r="F332" s="833"/>
      <c r="G332" s="941"/>
      <c r="H332" s="165" t="s">
        <v>12</v>
      </c>
      <c r="I332" s="947"/>
      <c r="J332" s="947"/>
      <c r="K332" s="948"/>
      <c r="L332" s="837">
        <v>0</v>
      </c>
      <c r="M332" s="837">
        <v>0</v>
      </c>
      <c r="N332" s="837">
        <v>0</v>
      </c>
      <c r="O332" s="837">
        <f t="shared" si="150"/>
        <v>0</v>
      </c>
      <c r="P332" s="837">
        <f t="shared" si="151"/>
        <v>0</v>
      </c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</row>
    <row r="333" spans="1:26" ht="19.5" hidden="1">
      <c r="A333" s="940"/>
      <c r="B333" s="833"/>
      <c r="C333" s="946"/>
      <c r="D333" s="833"/>
      <c r="E333" s="834" t="s">
        <v>37</v>
      </c>
      <c r="F333" s="833"/>
      <c r="G333" s="941"/>
      <c r="H333" s="165" t="s">
        <v>12</v>
      </c>
      <c r="I333" s="947"/>
      <c r="J333" s="947"/>
      <c r="K333" s="948"/>
      <c r="L333" s="837">
        <f ca="1">IFERROR(__xludf.DUMMYFUNCTION("IMPORTRANGE(""https://docs.google.com/spreadsheets/d/1MeEWN-I1oV_STSDYn1IFDPWt_1FKiwhDph83XaGc0o0/edit?usp=sharing"",""งบพรบ!EM26"")"),172000)</f>
        <v>172000</v>
      </c>
      <c r="M333" s="837">
        <f ca="1">IFERROR(__xludf.DUMMYFUNCTION("IMPORTRANGE(""https://docs.google.com/spreadsheets/d/1MeEWN-I1oV_STSDYn1IFDPWt_1FKiwhDph83XaGc0o0/edit?usp=sharing"",""งบพรบ!ER26"")"),131500)</f>
        <v>131500</v>
      </c>
      <c r="N333" s="837">
        <f ca="1">IFERROR(__xludf.DUMMYFUNCTION("IMPORTRANGE(""https://docs.google.com/spreadsheets/d/1MeEWN-I1oV_STSDYn1IFDPWt_1FKiwhDph83XaGc0o0/edit?usp=sharing"",""งบพรบ!ET26"")"),44440)</f>
        <v>44440</v>
      </c>
      <c r="O333" s="837">
        <f t="shared" ca="1" si="150"/>
        <v>25.837209302325583</v>
      </c>
      <c r="P333" s="837">
        <f t="shared" ca="1" si="151"/>
        <v>33.79467680608365</v>
      </c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</row>
    <row r="334" spans="1:26" ht="18.75">
      <c r="A334" s="942"/>
      <c r="B334" s="827"/>
      <c r="C334" s="943"/>
      <c r="D334" s="828" t="s">
        <v>21</v>
      </c>
      <c r="E334" s="827"/>
      <c r="F334" s="827"/>
      <c r="G334" s="829"/>
      <c r="H334" s="168" t="s">
        <v>12</v>
      </c>
      <c r="I334" s="944"/>
      <c r="J334" s="944"/>
      <c r="K334" s="945"/>
      <c r="L334" s="831">
        <f t="shared" ref="L334:N334" ca="1" si="154">L335+L336</f>
        <v>0</v>
      </c>
      <c r="M334" s="831">
        <f t="shared" ca="1" si="154"/>
        <v>0</v>
      </c>
      <c r="N334" s="831">
        <f t="shared" ca="1" si="154"/>
        <v>0</v>
      </c>
      <c r="O334" s="831">
        <f t="shared" ca="1" si="150"/>
        <v>0</v>
      </c>
      <c r="P334" s="831">
        <f t="shared" ca="1" si="151"/>
        <v>0</v>
      </c>
      <c r="Q334" s="818"/>
      <c r="R334" s="818"/>
      <c r="S334" s="818"/>
      <c r="T334" s="818"/>
      <c r="U334" s="818"/>
      <c r="V334" s="818"/>
      <c r="W334" s="818"/>
      <c r="X334" s="818"/>
      <c r="Y334" s="818"/>
      <c r="Z334" s="818"/>
    </row>
    <row r="335" spans="1:26" ht="19.5" hidden="1">
      <c r="A335" s="940"/>
      <c r="B335" s="833"/>
      <c r="C335" s="946"/>
      <c r="D335" s="833"/>
      <c r="E335" s="834" t="s">
        <v>18</v>
      </c>
      <c r="F335" s="833"/>
      <c r="G335" s="941"/>
      <c r="H335" s="165" t="s">
        <v>12</v>
      </c>
      <c r="I335" s="947"/>
      <c r="J335" s="947"/>
      <c r="K335" s="948"/>
      <c r="L335" s="837">
        <v>0</v>
      </c>
      <c r="M335" s="837">
        <v>0</v>
      </c>
      <c r="N335" s="837">
        <v>0</v>
      </c>
      <c r="O335" s="837">
        <f t="shared" si="150"/>
        <v>0</v>
      </c>
      <c r="P335" s="837">
        <f t="shared" si="151"/>
        <v>0</v>
      </c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</row>
    <row r="336" spans="1:26" ht="19.5" hidden="1">
      <c r="A336" s="940"/>
      <c r="B336" s="833"/>
      <c r="C336" s="946"/>
      <c r="D336" s="833"/>
      <c r="E336" s="834" t="s">
        <v>19</v>
      </c>
      <c r="F336" s="833"/>
      <c r="G336" s="941"/>
      <c r="H336" s="169" t="s">
        <v>12</v>
      </c>
      <c r="I336" s="947"/>
      <c r="J336" s="947"/>
      <c r="K336" s="948"/>
      <c r="L336" s="837">
        <f ca="1">IFERROR(__xludf.DUMMYFUNCTION("IMPORTRANGE(""https://docs.google.com/spreadsheets/d/1MeEWN-I1oV_STSDYn1IFDPWt_1FKiwhDph83XaGc0o0/edit?usp=sharing"",""งบพรบ!EP26"")"),0)</f>
        <v>0</v>
      </c>
      <c r="M336" s="837">
        <f ca="1">IFERROR(__xludf.DUMMYFUNCTION("IMPORTRANGE(""https://docs.google.com/spreadsheets/d/1MeEWN-I1oV_STSDYn1IFDPWt_1FKiwhDph83XaGc0o0/edit?usp=sharing"",""งบพรบ!ES26"")"),0)</f>
        <v>0</v>
      </c>
      <c r="N336" s="837">
        <f ca="1">IFERROR(__xludf.DUMMYFUNCTION("IMPORTRANGE(""https://docs.google.com/spreadsheets/d/1MeEWN-I1oV_STSDYn1IFDPWt_1FKiwhDph83XaGc0o0/edit?usp=sharing"",""งบพรบ!EU26"")"),0)</f>
        <v>0</v>
      </c>
      <c r="O336" s="837">
        <f t="shared" ca="1" si="150"/>
        <v>0</v>
      </c>
      <c r="P336" s="837">
        <f t="shared" ca="1" si="151"/>
        <v>0</v>
      </c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</row>
    <row r="337" spans="1:26" ht="19.5">
      <c r="A337" s="949"/>
      <c r="B337" s="950"/>
      <c r="C337" s="946" t="s">
        <v>16</v>
      </c>
      <c r="D337" s="951" t="s">
        <v>38</v>
      </c>
      <c r="E337" s="952"/>
      <c r="F337" s="952"/>
      <c r="G337" s="953"/>
      <c r="H337" s="954"/>
      <c r="I337" s="944"/>
      <c r="J337" s="830"/>
      <c r="K337" s="831"/>
      <c r="L337" s="831"/>
      <c r="M337" s="831"/>
      <c r="N337" s="831"/>
      <c r="O337" s="945"/>
      <c r="P337" s="945"/>
    </row>
    <row r="338" spans="1:26" ht="18.75">
      <c r="A338" s="1032"/>
      <c r="B338" s="827"/>
      <c r="C338" s="1030"/>
      <c r="D338" s="956" t="s">
        <v>150</v>
      </c>
      <c r="E338" s="950"/>
      <c r="F338" s="827"/>
      <c r="G338" s="829"/>
      <c r="H338" s="277" t="s">
        <v>35</v>
      </c>
      <c r="I338" s="830">
        <f ca="1">IFERROR(__xludf.DUMMYFUNCTION("IMPORTRANGE(""https://docs.google.com/spreadsheets/d/1QqKyyYR6Q21VydFLVH3TRQUabQu_ym0Zz7PgGX0-kHA/edit?usp=sharing"",""แผน!EG26"")"),2000)</f>
        <v>2000</v>
      </c>
      <c r="J338" s="830">
        <f ca="1">IFERROR(__xludf.DUMMYFUNCTION("IMPORTRANGE(""https://docs.google.com/spreadsheets/d/1kVcqe37tkHyjCSG3S0O1AXqVkqjo8mSIZil3BcpIysc/edit?usp=sharing"",""ศูนย์!D26"")"),1074)</f>
        <v>1074</v>
      </c>
      <c r="K338" s="831">
        <f ca="1">IF(I338&gt;0,J338*100/I338,0)</f>
        <v>53.7</v>
      </c>
      <c r="L338" s="831"/>
      <c r="M338" s="831"/>
      <c r="N338" s="831"/>
      <c r="O338" s="831"/>
      <c r="P338" s="831"/>
    </row>
    <row r="339" spans="1:26" ht="18.75">
      <c r="A339" s="1032"/>
      <c r="B339" s="827"/>
      <c r="C339" s="1030"/>
      <c r="D339" s="956" t="s">
        <v>151</v>
      </c>
      <c r="E339" s="950"/>
      <c r="F339" s="827"/>
      <c r="G339" s="829"/>
      <c r="H339" s="277"/>
      <c r="I339" s="830"/>
      <c r="J339" s="830"/>
      <c r="K339" s="831"/>
      <c r="L339" s="831"/>
      <c r="M339" s="831"/>
      <c r="N339" s="831"/>
      <c r="O339" s="831"/>
      <c r="P339" s="831"/>
    </row>
    <row r="340" spans="1:26" ht="18.75">
      <c r="A340" s="1032"/>
      <c r="B340" s="827"/>
      <c r="C340" s="1030"/>
      <c r="D340" s="957"/>
      <c r="E340" s="956" t="s">
        <v>152</v>
      </c>
      <c r="F340" s="827"/>
      <c r="G340" s="829"/>
      <c r="H340" s="277" t="s">
        <v>153</v>
      </c>
      <c r="I340" s="830">
        <f ca="1">IFERROR(__xludf.DUMMYFUNCTION("IMPORTRANGE(""https://docs.google.com/spreadsheets/d/1QqKyyYR6Q21VydFLVH3TRQUabQu_ym0Zz7PgGX0-kHA/edit?usp=sharing"",""แผน!EH26"")"),7)</f>
        <v>7</v>
      </c>
      <c r="J340" s="830">
        <f ca="1">IFERROR(__xludf.DUMMYFUNCTION("IMPORTRANGE(""https://docs.google.com/spreadsheets/d/1kVcqe37tkHyjCSG3S0O1AXqVkqjo8mSIZil3BcpIysc/edit?usp=sharing"",""ศูนย์!E26"")"),0)</f>
        <v>0</v>
      </c>
      <c r="K340" s="831">
        <f ca="1">IF(I340&gt;0,J340*100/I340,0)</f>
        <v>0</v>
      </c>
      <c r="L340" s="831"/>
      <c r="M340" s="831"/>
      <c r="N340" s="831"/>
      <c r="O340" s="831"/>
      <c r="P340" s="831"/>
    </row>
    <row r="341" spans="1:26" ht="18.75">
      <c r="A341" s="1032"/>
      <c r="B341" s="827"/>
      <c r="C341" s="1030"/>
      <c r="D341" s="957"/>
      <c r="E341" s="956" t="s">
        <v>154</v>
      </c>
      <c r="F341" s="827"/>
      <c r="G341" s="829"/>
      <c r="H341" s="277" t="s">
        <v>35</v>
      </c>
      <c r="I341" s="830"/>
      <c r="J341" s="830">
        <f ca="1">IFERROR(__xludf.DUMMYFUNCTION("IMPORTRANGE(""https://docs.google.com/spreadsheets/d/1kVcqe37tkHyjCSG3S0O1AXqVkqjo8mSIZil3BcpIysc/edit?usp=sharing"",""ศูนย์!F26"")"),0)</f>
        <v>0</v>
      </c>
      <c r="K341" s="831"/>
      <c r="L341" s="831"/>
      <c r="M341" s="831"/>
      <c r="N341" s="831"/>
      <c r="O341" s="831"/>
      <c r="P341" s="831"/>
    </row>
    <row r="342" spans="1:26" ht="18.75">
      <c r="A342" s="1032"/>
      <c r="B342" s="827"/>
      <c r="C342" s="1030"/>
      <c r="D342" s="956" t="s">
        <v>155</v>
      </c>
      <c r="E342" s="957"/>
      <c r="F342" s="957"/>
      <c r="G342" s="829"/>
      <c r="H342" s="277" t="s">
        <v>35</v>
      </c>
      <c r="I342" s="830"/>
      <c r="J342" s="830">
        <f ca="1">IFERROR(__xludf.DUMMYFUNCTION("IMPORTRANGE(""https://docs.google.com/spreadsheets/d/1kVcqe37tkHyjCSG3S0O1AXqVkqjo8mSIZil3BcpIysc/edit?usp=sharing"",""ศูนย์!G26"")"),0)</f>
        <v>0</v>
      </c>
      <c r="K342" s="831"/>
      <c r="L342" s="831"/>
      <c r="M342" s="831"/>
      <c r="N342" s="831"/>
      <c r="O342" s="831"/>
      <c r="P342" s="831"/>
    </row>
    <row r="343" spans="1:26" ht="18.75">
      <c r="A343" s="1032"/>
      <c r="B343" s="827"/>
      <c r="C343" s="1030"/>
      <c r="D343" s="956" t="s">
        <v>156</v>
      </c>
      <c r="E343" s="957"/>
      <c r="F343" s="957"/>
      <c r="G343" s="829"/>
      <c r="H343" s="277" t="s">
        <v>35</v>
      </c>
      <c r="I343" s="830"/>
      <c r="J343" s="830">
        <f ca="1">IFERROR(__xludf.DUMMYFUNCTION("IMPORTRANGE(""https://docs.google.com/spreadsheets/d/1kVcqe37tkHyjCSG3S0O1AXqVkqjo8mSIZil3BcpIysc/edit?usp=sharing"",""ศูนย์!H26"")"),0)</f>
        <v>0</v>
      </c>
      <c r="K343" s="831"/>
      <c r="L343" s="831"/>
      <c r="M343" s="831"/>
      <c r="N343" s="831"/>
      <c r="O343" s="831"/>
      <c r="P343" s="831"/>
    </row>
    <row r="344" spans="1:26" ht="19.5">
      <c r="A344" s="1133"/>
      <c r="B344" s="1134" t="s">
        <v>157</v>
      </c>
      <c r="C344" s="1143"/>
      <c r="D344" s="1135"/>
      <c r="E344" s="1135"/>
      <c r="F344" s="1135"/>
      <c r="G344" s="1136"/>
      <c r="H344" s="412"/>
      <c r="I344" s="1144"/>
      <c r="J344" s="1144"/>
      <c r="K344" s="1139"/>
      <c r="L344" s="1139"/>
      <c r="M344" s="1139"/>
      <c r="N344" s="1139"/>
      <c r="O344" s="1139"/>
      <c r="P344" s="1139"/>
    </row>
    <row r="345" spans="1:26" ht="19.5">
      <c r="A345" s="932"/>
      <c r="B345" s="933"/>
      <c r="C345" s="934" t="s">
        <v>16</v>
      </c>
      <c r="D345" s="935" t="s">
        <v>17</v>
      </c>
      <c r="E345" s="933"/>
      <c r="F345" s="933"/>
      <c r="G345" s="936"/>
      <c r="H345" s="152" t="s">
        <v>12</v>
      </c>
      <c r="I345" s="937"/>
      <c r="J345" s="937"/>
      <c r="K345" s="938"/>
      <c r="L345" s="939">
        <f t="shared" ref="L345:N345" ca="1" si="155">L346+L347</f>
        <v>604950</v>
      </c>
      <c r="M345" s="939">
        <f t="shared" ca="1" si="155"/>
        <v>475270</v>
      </c>
      <c r="N345" s="939">
        <f t="shared" ca="1" si="155"/>
        <v>242406.7</v>
      </c>
      <c r="O345" s="939">
        <f t="shared" ref="O345:O353" ca="1" si="156">IF(L345&gt;0,N345*100/L345,0)</f>
        <v>40.070534754938421</v>
      </c>
      <c r="P345" s="939">
        <f t="shared" ref="P345:P353" ca="1" si="157">IF(M345&gt;0,N345*100/M345,0)</f>
        <v>51.003997727607462</v>
      </c>
      <c r="Q345" s="818"/>
      <c r="R345" s="818"/>
      <c r="S345" s="818"/>
      <c r="T345" s="818"/>
      <c r="U345" s="818"/>
      <c r="V345" s="818"/>
      <c r="W345" s="818"/>
      <c r="X345" s="818"/>
      <c r="Y345" s="818"/>
      <c r="Z345" s="818"/>
    </row>
    <row r="346" spans="1:26" ht="18.75" hidden="1">
      <c r="A346" s="940"/>
      <c r="B346" s="833"/>
      <c r="C346" s="833"/>
      <c r="D346" s="833"/>
      <c r="E346" s="834" t="s">
        <v>18</v>
      </c>
      <c r="F346" s="833"/>
      <c r="G346" s="941"/>
      <c r="H346" s="158" t="s">
        <v>12</v>
      </c>
      <c r="I346" s="836"/>
      <c r="J346" s="836"/>
      <c r="K346" s="837"/>
      <c r="L346" s="837">
        <f t="shared" ref="L346:N347" si="158">L349+L352</f>
        <v>0</v>
      </c>
      <c r="M346" s="837">
        <f t="shared" si="158"/>
        <v>0</v>
      </c>
      <c r="N346" s="837">
        <f t="shared" si="158"/>
        <v>0</v>
      </c>
      <c r="O346" s="837">
        <f t="shared" si="156"/>
        <v>0</v>
      </c>
      <c r="P346" s="837">
        <f t="shared" si="157"/>
        <v>0</v>
      </c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</row>
    <row r="347" spans="1:26" ht="18.75" hidden="1">
      <c r="A347" s="940"/>
      <c r="B347" s="833"/>
      <c r="C347" s="833"/>
      <c r="D347" s="833"/>
      <c r="E347" s="834" t="s">
        <v>19</v>
      </c>
      <c r="F347" s="833"/>
      <c r="G347" s="941"/>
      <c r="H347" s="158" t="s">
        <v>12</v>
      </c>
      <c r="I347" s="836"/>
      <c r="J347" s="836"/>
      <c r="K347" s="837"/>
      <c r="L347" s="837">
        <f t="shared" ca="1" si="158"/>
        <v>604950</v>
      </c>
      <c r="M347" s="837">
        <f t="shared" ca="1" si="158"/>
        <v>475270</v>
      </c>
      <c r="N347" s="837">
        <f t="shared" ca="1" si="158"/>
        <v>242406.7</v>
      </c>
      <c r="O347" s="837">
        <f t="shared" ca="1" si="156"/>
        <v>40.070534754938421</v>
      </c>
      <c r="P347" s="837">
        <f t="shared" ca="1" si="157"/>
        <v>51.003997727607462</v>
      </c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</row>
    <row r="348" spans="1:26" ht="18.75">
      <c r="A348" s="942"/>
      <c r="B348" s="827"/>
      <c r="C348" s="943"/>
      <c r="D348" s="828" t="s">
        <v>20</v>
      </c>
      <c r="E348" s="827"/>
      <c r="F348" s="827"/>
      <c r="G348" s="829"/>
      <c r="H348" s="778" t="s">
        <v>12</v>
      </c>
      <c r="I348" s="944"/>
      <c r="J348" s="944"/>
      <c r="K348" s="945"/>
      <c r="L348" s="831">
        <f t="shared" ref="L348:N348" ca="1" si="159">L349+L350</f>
        <v>589950</v>
      </c>
      <c r="M348" s="831">
        <f t="shared" ca="1" si="159"/>
        <v>460270</v>
      </c>
      <c r="N348" s="831">
        <f t="shared" ca="1" si="159"/>
        <v>227406.7</v>
      </c>
      <c r="O348" s="831">
        <f t="shared" ca="1" si="156"/>
        <v>38.546775150436474</v>
      </c>
      <c r="P348" s="831">
        <f t="shared" ca="1" si="157"/>
        <v>49.407239229148111</v>
      </c>
      <c r="Q348" s="818"/>
      <c r="R348" s="818"/>
      <c r="S348" s="818"/>
      <c r="T348" s="818"/>
      <c r="U348" s="818"/>
      <c r="V348" s="818"/>
      <c r="W348" s="818"/>
      <c r="X348" s="818"/>
      <c r="Y348" s="818"/>
      <c r="Z348" s="818"/>
    </row>
    <row r="349" spans="1:26" ht="19.5" hidden="1">
      <c r="A349" s="940"/>
      <c r="B349" s="833"/>
      <c r="C349" s="946"/>
      <c r="D349" s="833"/>
      <c r="E349" s="834" t="s">
        <v>36</v>
      </c>
      <c r="F349" s="833"/>
      <c r="G349" s="941"/>
      <c r="H349" s="165" t="s">
        <v>12</v>
      </c>
      <c r="I349" s="947"/>
      <c r="J349" s="947"/>
      <c r="K349" s="948"/>
      <c r="L349" s="837">
        <v>0</v>
      </c>
      <c r="M349" s="837">
        <v>0</v>
      </c>
      <c r="N349" s="837">
        <v>0</v>
      </c>
      <c r="O349" s="837">
        <f t="shared" si="156"/>
        <v>0</v>
      </c>
      <c r="P349" s="837">
        <f t="shared" si="157"/>
        <v>0</v>
      </c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</row>
    <row r="350" spans="1:26" ht="19.5" hidden="1">
      <c r="A350" s="940"/>
      <c r="B350" s="833"/>
      <c r="C350" s="946"/>
      <c r="D350" s="833"/>
      <c r="E350" s="834" t="s">
        <v>37</v>
      </c>
      <c r="F350" s="833"/>
      <c r="G350" s="941"/>
      <c r="H350" s="165" t="s">
        <v>12</v>
      </c>
      <c r="I350" s="947"/>
      <c r="J350" s="947"/>
      <c r="K350" s="948"/>
      <c r="L350" s="837">
        <f ca="1">IFERROR(__xludf.DUMMYFUNCTION("IMPORTRANGE(""https://docs.google.com/spreadsheets/d/1MeEWN-I1oV_STSDYn1IFDPWt_1FKiwhDph83XaGc0o0/edit?usp=sharing"",""งบพรบ!EW26"")"),589950)</f>
        <v>589950</v>
      </c>
      <c r="M350" s="837">
        <f ca="1">IFERROR(__xludf.DUMMYFUNCTION("IMPORTRANGE(""https://docs.google.com/spreadsheets/d/1MeEWN-I1oV_STSDYn1IFDPWt_1FKiwhDph83XaGc0o0/edit?usp=sharing"",""งบพรบ!FB26"")"),460270)</f>
        <v>460270</v>
      </c>
      <c r="N350" s="837">
        <f ca="1">IFERROR(__xludf.DUMMYFUNCTION("IMPORTRANGE(""https://docs.google.com/spreadsheets/d/1MeEWN-I1oV_STSDYn1IFDPWt_1FKiwhDph83XaGc0o0/edit?usp=sharing"",""งบพรบ!FD26"")"),227406.7)</f>
        <v>227406.7</v>
      </c>
      <c r="O350" s="837">
        <f t="shared" ca="1" si="156"/>
        <v>38.546775150436474</v>
      </c>
      <c r="P350" s="837">
        <f t="shared" ca="1" si="157"/>
        <v>49.407239229148111</v>
      </c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</row>
    <row r="351" spans="1:26" ht="18.75">
      <c r="A351" s="942"/>
      <c r="B351" s="827"/>
      <c r="C351" s="943"/>
      <c r="D351" s="828" t="s">
        <v>21</v>
      </c>
      <c r="E351" s="827"/>
      <c r="F351" s="827"/>
      <c r="G351" s="829"/>
      <c r="H351" s="168" t="s">
        <v>12</v>
      </c>
      <c r="I351" s="944"/>
      <c r="J351" s="944"/>
      <c r="K351" s="945"/>
      <c r="L351" s="831">
        <f t="shared" ref="L351:N351" ca="1" si="160">L352+L353</f>
        <v>15000</v>
      </c>
      <c r="M351" s="831">
        <f t="shared" ca="1" si="160"/>
        <v>15000</v>
      </c>
      <c r="N351" s="831">
        <f t="shared" ca="1" si="160"/>
        <v>15000</v>
      </c>
      <c r="O351" s="831">
        <f t="shared" ca="1" si="156"/>
        <v>100</v>
      </c>
      <c r="P351" s="831">
        <f t="shared" ca="1" si="157"/>
        <v>100</v>
      </c>
      <c r="Q351" s="818"/>
      <c r="R351" s="818"/>
      <c r="S351" s="818"/>
      <c r="T351" s="818"/>
      <c r="U351" s="818"/>
      <c r="V351" s="818"/>
      <c r="W351" s="818"/>
      <c r="X351" s="818"/>
      <c r="Y351" s="818"/>
      <c r="Z351" s="818"/>
    </row>
    <row r="352" spans="1:26" ht="19.5" hidden="1">
      <c r="A352" s="940"/>
      <c r="B352" s="833"/>
      <c r="C352" s="946"/>
      <c r="D352" s="833"/>
      <c r="E352" s="834" t="s">
        <v>18</v>
      </c>
      <c r="F352" s="833"/>
      <c r="G352" s="941"/>
      <c r="H352" s="165" t="s">
        <v>12</v>
      </c>
      <c r="I352" s="947"/>
      <c r="J352" s="947"/>
      <c r="K352" s="948"/>
      <c r="L352" s="837">
        <v>0</v>
      </c>
      <c r="M352" s="837">
        <v>0</v>
      </c>
      <c r="N352" s="837">
        <v>0</v>
      </c>
      <c r="O352" s="837">
        <f t="shared" si="156"/>
        <v>0</v>
      </c>
      <c r="P352" s="837">
        <f t="shared" si="157"/>
        <v>0</v>
      </c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</row>
    <row r="353" spans="1:26" ht="19.5" hidden="1">
      <c r="A353" s="940"/>
      <c r="B353" s="833"/>
      <c r="C353" s="946"/>
      <c r="D353" s="833"/>
      <c r="E353" s="834" t="s">
        <v>19</v>
      </c>
      <c r="F353" s="833"/>
      <c r="G353" s="941"/>
      <c r="H353" s="169" t="s">
        <v>12</v>
      </c>
      <c r="I353" s="947"/>
      <c r="J353" s="947"/>
      <c r="K353" s="948"/>
      <c r="L353" s="837">
        <f ca="1">IFERROR(__xludf.DUMMYFUNCTION("IMPORTRANGE(""https://docs.google.com/spreadsheets/d/1MeEWN-I1oV_STSDYn1IFDPWt_1FKiwhDph83XaGc0o0/edit?usp=sharing"",""งบพรบ!EZ26"")"),15000)</f>
        <v>15000</v>
      </c>
      <c r="M353" s="837">
        <f ca="1">IFERROR(__xludf.DUMMYFUNCTION("IMPORTRANGE(""https://docs.google.com/spreadsheets/d/1MeEWN-I1oV_STSDYn1IFDPWt_1FKiwhDph83XaGc0o0/edit?usp=sharing"",""งบพรบ!FC26"")"),15000)</f>
        <v>15000</v>
      </c>
      <c r="N353" s="837">
        <f ca="1">IFERROR(__xludf.DUMMYFUNCTION("IMPORTRANGE(""https://docs.google.com/spreadsheets/d/1MeEWN-I1oV_STSDYn1IFDPWt_1FKiwhDph83XaGc0o0/edit?usp=sharing"",""งบพรบ!FE26"")"),15000)</f>
        <v>15000</v>
      </c>
      <c r="O353" s="837">
        <f t="shared" ca="1" si="156"/>
        <v>100</v>
      </c>
      <c r="P353" s="837">
        <f t="shared" ca="1" si="157"/>
        <v>100</v>
      </c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</row>
    <row r="354" spans="1:26" ht="19.5">
      <c r="A354" s="1011"/>
      <c r="B354" s="1018"/>
      <c r="C354" s="1012"/>
      <c r="D354" s="1145" t="s">
        <v>158</v>
      </c>
      <c r="E354" s="1012"/>
      <c r="F354" s="1012"/>
      <c r="G354" s="1014"/>
      <c r="H354" s="1146"/>
      <c r="I354" s="1015"/>
      <c r="J354" s="1015"/>
      <c r="K354" s="1016"/>
      <c r="L354" s="1016"/>
      <c r="M354" s="1016"/>
      <c r="N354" s="1016"/>
      <c r="O354" s="1016"/>
      <c r="P354" s="1016"/>
    </row>
    <row r="355" spans="1:26" ht="19.5">
      <c r="A355" s="1147"/>
      <c r="B355" s="1148"/>
      <c r="C355" s="1149"/>
      <c r="D355" s="1150" t="s">
        <v>159</v>
      </c>
      <c r="E355" s="1151"/>
      <c r="F355" s="1151"/>
      <c r="G355" s="1152"/>
      <c r="H355" s="431" t="s">
        <v>35</v>
      </c>
      <c r="I355" s="1153">
        <f ca="1">IFERROR(__xludf.DUMMYFUNCTION("IMPORTRANGE(""https://docs.google.com/spreadsheets/d/1QqKyyYR6Q21VydFLVH3TRQUabQu_ym0Zz7PgGX0-kHA/edit?usp=sharing"",""แผน!EP26"")"),70)</f>
        <v>70</v>
      </c>
      <c r="J355" s="1153">
        <f ca="1">J362</f>
        <v>0</v>
      </c>
      <c r="K355" s="1154">
        <f ca="1">IF(I355&gt;0,J355*100/I355,0)</f>
        <v>0</v>
      </c>
      <c r="L355" s="1155"/>
      <c r="M355" s="1155"/>
      <c r="N355" s="1155"/>
      <c r="O355" s="1155"/>
      <c r="P355" s="1155"/>
    </row>
    <row r="356" spans="1:26" ht="19.5">
      <c r="A356" s="1147"/>
      <c r="B356" s="1148"/>
      <c r="C356" s="1149"/>
      <c r="D356" s="1156" t="s">
        <v>160</v>
      </c>
      <c r="E356" s="1151"/>
      <c r="F356" s="1151"/>
      <c r="G356" s="1152"/>
      <c r="H356" s="1157"/>
      <c r="I356" s="1158"/>
      <c r="J356" s="1158"/>
      <c r="K356" s="1155"/>
      <c r="L356" s="1155"/>
      <c r="M356" s="1155"/>
      <c r="N356" s="1155"/>
      <c r="O356" s="1155"/>
      <c r="P356" s="1155"/>
    </row>
    <row r="357" spans="1:26" ht="19.5">
      <c r="A357" s="949"/>
      <c r="B357" s="950"/>
      <c r="C357" s="946" t="s">
        <v>16</v>
      </c>
      <c r="D357" s="951" t="s">
        <v>38</v>
      </c>
      <c r="E357" s="952"/>
      <c r="F357" s="952"/>
      <c r="G357" s="953"/>
      <c r="H357" s="954"/>
      <c r="I357" s="830"/>
      <c r="J357" s="830"/>
      <c r="K357" s="831"/>
      <c r="L357" s="945"/>
      <c r="M357" s="945"/>
      <c r="N357" s="945"/>
      <c r="O357" s="945"/>
      <c r="P357" s="945"/>
    </row>
    <row r="358" spans="1:26" ht="18.75">
      <c r="A358" s="949"/>
      <c r="B358" s="957"/>
      <c r="C358" s="950"/>
      <c r="D358" s="957"/>
      <c r="E358" s="955" t="s">
        <v>161</v>
      </c>
      <c r="F358" s="957"/>
      <c r="G358" s="958"/>
      <c r="H358" s="777" t="s">
        <v>35</v>
      </c>
      <c r="I358" s="830">
        <v>0</v>
      </c>
      <c r="J358" s="830">
        <f ca="1">IFERROR(__xludf.DUMMYFUNCTION("IMPORTRANGE(""https://docs.google.com/spreadsheets/d/1XWAQStnk-4SwqDmLtmXYiTMKHgktTP8We1SCoS47DrQ/edit?usp=sharing"",""จัดที่ดิน!W26"")"),151)</f>
        <v>151</v>
      </c>
      <c r="K358" s="831">
        <f t="shared" ref="K358:K365" si="161">IF(I358&gt;0,J358*100/I358,0)</f>
        <v>0</v>
      </c>
      <c r="L358" s="945"/>
      <c r="M358" s="945"/>
      <c r="N358" s="945"/>
      <c r="O358" s="945"/>
      <c r="P358" s="945"/>
    </row>
    <row r="359" spans="1:26" ht="18.75">
      <c r="A359" s="949"/>
      <c r="B359" s="957"/>
      <c r="C359" s="950"/>
      <c r="D359" s="957"/>
      <c r="E359" s="957"/>
      <c r="F359" s="957"/>
      <c r="G359" s="958"/>
      <c r="H359" s="777" t="s">
        <v>46</v>
      </c>
      <c r="I359" s="830">
        <f ca="1">IFERROR(__xludf.DUMMYFUNCTION("IMPORTRANGE(""https://docs.google.com/spreadsheets/d/1QqKyyYR6Q21VydFLVH3TRQUabQu_ym0Zz7PgGX0-kHA/edit?usp=sharing"",""แผน!EO26"")"),620)</f>
        <v>620</v>
      </c>
      <c r="J359" s="830">
        <f ca="1">IFERROR(__xludf.DUMMYFUNCTION("IMPORTRANGE(""https://docs.google.com/spreadsheets/d/1XWAQStnk-4SwqDmLtmXYiTMKHgktTP8We1SCoS47DrQ/edit?usp=sharing"",""จัดที่ดิน!X26"")"),581.06)</f>
        <v>581.05999999999995</v>
      </c>
      <c r="K359" s="831">
        <f t="shared" ca="1" si="161"/>
        <v>93.719354838709663</v>
      </c>
      <c r="L359" s="945"/>
      <c r="M359" s="945"/>
      <c r="N359" s="945"/>
      <c r="O359" s="945"/>
      <c r="P359" s="945"/>
    </row>
    <row r="360" spans="1:26" ht="18.75">
      <c r="A360" s="949"/>
      <c r="B360" s="957"/>
      <c r="C360" s="950"/>
      <c r="D360" s="957"/>
      <c r="E360" s="955" t="s">
        <v>162</v>
      </c>
      <c r="F360" s="957"/>
      <c r="G360" s="958"/>
      <c r="H360" s="730" t="s">
        <v>35</v>
      </c>
      <c r="I360" s="830">
        <f ca="1">IFERROR(__xludf.DUMMYFUNCTION("IMPORTRANGE(""https://docs.google.com/spreadsheets/d/1QqKyyYR6Q21VydFLVH3TRQUabQu_ym0Zz7PgGX0-kHA/edit?usp=sharing"",""แผน!EP26"")"),70)</f>
        <v>70</v>
      </c>
      <c r="J360" s="830">
        <f ca="1">IFERROR(__xludf.DUMMYFUNCTION("IMPORTRANGE(""https://docs.google.com/spreadsheets/d/1XWAQStnk-4SwqDmLtmXYiTMKHgktTP8We1SCoS47DrQ/edit?usp=sharing"",""จัดที่ดิน!Y26"")"),64)</f>
        <v>64</v>
      </c>
      <c r="K360" s="831">
        <f t="shared" ca="1" si="161"/>
        <v>91.428571428571431</v>
      </c>
      <c r="L360" s="945"/>
      <c r="M360" s="945"/>
      <c r="N360" s="945"/>
      <c r="O360" s="945"/>
      <c r="P360" s="945"/>
    </row>
    <row r="361" spans="1:26" ht="18.75">
      <c r="A361" s="949"/>
      <c r="B361" s="957"/>
      <c r="C361" s="950"/>
      <c r="D361" s="957"/>
      <c r="E361" s="957"/>
      <c r="F361" s="957"/>
      <c r="G361" s="958"/>
      <c r="H361" s="730" t="s">
        <v>46</v>
      </c>
      <c r="I361" s="830">
        <v>0</v>
      </c>
      <c r="J361" s="830">
        <f ca="1">IFERROR(__xludf.DUMMYFUNCTION("IMPORTRANGE(""https://docs.google.com/spreadsheets/d/1XWAQStnk-4SwqDmLtmXYiTMKHgktTP8We1SCoS47DrQ/edit?usp=sharing"",""จัดที่ดิน!Z26"")"),323.33)</f>
        <v>323.33</v>
      </c>
      <c r="K361" s="831">
        <f t="shared" si="161"/>
        <v>0</v>
      </c>
      <c r="L361" s="945"/>
      <c r="M361" s="945"/>
      <c r="N361" s="945"/>
      <c r="O361" s="945"/>
      <c r="P361" s="945"/>
    </row>
    <row r="362" spans="1:26" ht="18.75">
      <c r="A362" s="949"/>
      <c r="B362" s="957"/>
      <c r="C362" s="950"/>
      <c r="D362" s="957"/>
      <c r="E362" s="955" t="s">
        <v>163</v>
      </c>
      <c r="F362" s="957"/>
      <c r="G362" s="958"/>
      <c r="H362" s="730" t="s">
        <v>35</v>
      </c>
      <c r="I362" s="830">
        <f ca="1">IFERROR(__xludf.DUMMYFUNCTION("IMPORTRANGE(""https://docs.google.com/spreadsheets/d/1QqKyyYR6Q21VydFLVH3TRQUabQu_ym0Zz7PgGX0-kHA/edit?usp=sharing"",""แผน!EP26"")"),70)</f>
        <v>70</v>
      </c>
      <c r="J362" s="830">
        <f ca="1">IFERROR(__xludf.DUMMYFUNCTION("IMPORTRANGE(""https://docs.google.com/spreadsheets/d/1XWAQStnk-4SwqDmLtmXYiTMKHgktTP8We1SCoS47DrQ/edit?usp=sharing"",""จัดที่ดิน!AA26"")"),0)</f>
        <v>0</v>
      </c>
      <c r="K362" s="831">
        <f t="shared" ca="1" si="161"/>
        <v>0</v>
      </c>
      <c r="L362" s="945"/>
      <c r="M362" s="945"/>
      <c r="N362" s="945"/>
      <c r="O362" s="945"/>
      <c r="P362" s="945"/>
    </row>
    <row r="363" spans="1:26" ht="18.75">
      <c r="A363" s="1159" t="s">
        <v>164</v>
      </c>
      <c r="B363" s="957"/>
      <c r="C363" s="950"/>
      <c r="D363" s="957"/>
      <c r="E363" s="956"/>
      <c r="F363" s="957"/>
      <c r="G363" s="958"/>
      <c r="H363" s="730" t="s">
        <v>46</v>
      </c>
      <c r="I363" s="830">
        <v>0</v>
      </c>
      <c r="J363" s="830">
        <f ca="1">IFERROR(__xludf.DUMMYFUNCTION("IMPORTRANGE(""https://docs.google.com/spreadsheets/d/1XWAQStnk-4SwqDmLtmXYiTMKHgktTP8We1SCoS47DrQ/edit?usp=sharing"",""จัดที่ดิน!AB26"")"),0)</f>
        <v>0</v>
      </c>
      <c r="K363" s="831">
        <f t="shared" si="161"/>
        <v>0</v>
      </c>
      <c r="L363" s="945"/>
      <c r="M363" s="945"/>
      <c r="N363" s="945"/>
      <c r="O363" s="945"/>
      <c r="P363" s="945"/>
    </row>
    <row r="364" spans="1:26" ht="19.5">
      <c r="A364" s="1160"/>
      <c r="B364" s="1161"/>
      <c r="C364" s="1162"/>
      <c r="D364" s="1163" t="s">
        <v>165</v>
      </c>
      <c r="E364" s="1164"/>
      <c r="F364" s="1164"/>
      <c r="G364" s="1165"/>
      <c r="H364" s="446" t="s">
        <v>35</v>
      </c>
      <c r="I364" s="1166">
        <f t="shared" ref="I364:J364" ca="1" si="162">I365+I374</f>
        <v>150</v>
      </c>
      <c r="J364" s="1166">
        <f t="shared" ca="1" si="162"/>
        <v>52</v>
      </c>
      <c r="K364" s="1167">
        <f t="shared" ca="1" si="161"/>
        <v>34.666666666666664</v>
      </c>
      <c r="L364" s="1168"/>
      <c r="M364" s="1168"/>
      <c r="N364" s="1168"/>
      <c r="O364" s="1168"/>
      <c r="P364" s="1168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69"/>
      <c r="B365" s="1170"/>
      <c r="C365" s="1171"/>
      <c r="D365" s="1171" t="s">
        <v>166</v>
      </c>
      <c r="E365" s="1172"/>
      <c r="F365" s="1172"/>
      <c r="G365" s="1173"/>
      <c r="H365" s="457" t="s">
        <v>35</v>
      </c>
      <c r="I365" s="1174">
        <f ca="1">IFERROR(__xludf.DUMMYFUNCTION("IMPORTRANGE(""https://docs.google.com/spreadsheets/d/1QqKyyYR6Q21VydFLVH3TRQUabQu_ym0Zz7PgGX0-kHA/edit?usp=sharing"",""แผน!EJ26"")"),40)</f>
        <v>40</v>
      </c>
      <c r="J365" s="1174">
        <f ca="1">J372</f>
        <v>0</v>
      </c>
      <c r="K365" s="1175">
        <f t="shared" ca="1" si="161"/>
        <v>0</v>
      </c>
      <c r="L365" s="1176"/>
      <c r="M365" s="1176"/>
      <c r="N365" s="1176"/>
      <c r="O365" s="1176"/>
      <c r="P365" s="1176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69"/>
      <c r="B366" s="1170"/>
      <c r="C366" s="1171"/>
      <c r="D366" s="1177" t="s">
        <v>167</v>
      </c>
      <c r="E366" s="1172"/>
      <c r="F366" s="1172"/>
      <c r="G366" s="1173"/>
      <c r="H366" s="1178"/>
      <c r="I366" s="1179"/>
      <c r="J366" s="1179"/>
      <c r="K366" s="1176"/>
      <c r="L366" s="1176"/>
      <c r="M366" s="1176"/>
      <c r="N366" s="1176"/>
      <c r="O366" s="1176"/>
      <c r="P366" s="1176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49"/>
      <c r="B367" s="950"/>
      <c r="C367" s="946" t="s">
        <v>16</v>
      </c>
      <c r="D367" s="951" t="s">
        <v>38</v>
      </c>
      <c r="E367" s="952"/>
      <c r="F367" s="952"/>
      <c r="G367" s="953"/>
      <c r="H367" s="954"/>
      <c r="I367" s="830"/>
      <c r="J367" s="830"/>
      <c r="K367" s="831"/>
      <c r="L367" s="945"/>
      <c r="M367" s="945"/>
      <c r="N367" s="945"/>
      <c r="O367" s="945"/>
      <c r="P367" s="945"/>
    </row>
    <row r="368" spans="1:26" ht="18.75">
      <c r="A368" s="949"/>
      <c r="B368" s="957"/>
      <c r="C368" s="950"/>
      <c r="D368" s="957"/>
      <c r="E368" s="955" t="s">
        <v>161</v>
      </c>
      <c r="F368" s="957"/>
      <c r="G368" s="958"/>
      <c r="H368" s="777" t="s">
        <v>35</v>
      </c>
      <c r="I368" s="830">
        <v>0</v>
      </c>
      <c r="J368" s="830">
        <f ca="1">IFERROR(__xludf.DUMMYFUNCTION("IMPORTRANGE(""https://docs.google.com/spreadsheets/d/1XWAQStnk-4SwqDmLtmXYiTMKHgktTP8We1SCoS47DrQ/edit?usp=sharing"",""จัดที่ดิน!E26"")"),142)</f>
        <v>142</v>
      </c>
      <c r="K368" s="831">
        <f t="shared" ref="K368:K374" si="163">IF(I368&gt;0,J368*100/I368,0)</f>
        <v>0</v>
      </c>
      <c r="L368" s="945"/>
      <c r="M368" s="945"/>
      <c r="N368" s="945"/>
      <c r="O368" s="945"/>
      <c r="P368" s="945"/>
    </row>
    <row r="369" spans="1:26" ht="18.75">
      <c r="A369" s="949"/>
      <c r="B369" s="957"/>
      <c r="C369" s="950"/>
      <c r="D369" s="957"/>
      <c r="E369" s="957"/>
      <c r="F369" s="957"/>
      <c r="G369" s="958"/>
      <c r="H369" s="777" t="s">
        <v>46</v>
      </c>
      <c r="I369" s="830">
        <f ca="1">IFERROR(__xludf.DUMMYFUNCTION("IMPORTRANGE(""https://docs.google.com/spreadsheets/d/1QqKyyYR6Q21VydFLVH3TRQUabQu_ym0Zz7PgGX0-kHA/edit?usp=sharing"",""แผน!EI26"")"),400)</f>
        <v>400</v>
      </c>
      <c r="J369" s="830">
        <f ca="1">IFERROR(__xludf.DUMMYFUNCTION("IMPORTRANGE(""https://docs.google.com/spreadsheets/d/1XWAQStnk-4SwqDmLtmXYiTMKHgktTP8We1SCoS47DrQ/edit?usp=sharing"",""จัดที่ดิน!F26"")"),532.18)</f>
        <v>532.17999999999995</v>
      </c>
      <c r="K369" s="831">
        <f t="shared" ca="1" si="163"/>
        <v>133.04499999999999</v>
      </c>
      <c r="L369" s="945"/>
      <c r="M369" s="945"/>
      <c r="N369" s="945"/>
      <c r="O369" s="945"/>
      <c r="P369" s="945"/>
    </row>
    <row r="370" spans="1:26" ht="18.75">
      <c r="A370" s="949"/>
      <c r="B370" s="957"/>
      <c r="C370" s="950"/>
      <c r="D370" s="957"/>
      <c r="E370" s="955" t="s">
        <v>162</v>
      </c>
      <c r="F370" s="957"/>
      <c r="G370" s="958"/>
      <c r="H370" s="730" t="s">
        <v>35</v>
      </c>
      <c r="I370" s="830">
        <f ca="1">IFERROR(__xludf.DUMMYFUNCTION("IMPORTRANGE(""https://docs.google.com/spreadsheets/d/1QqKyyYR6Q21VydFLVH3TRQUabQu_ym0Zz7PgGX0-kHA/edit?usp=sharing"",""แผน!EJ26"")"),40)</f>
        <v>40</v>
      </c>
      <c r="J370" s="830">
        <f ca="1">IFERROR(__xludf.DUMMYFUNCTION("IMPORTRANGE(""https://docs.google.com/spreadsheets/d/1XWAQStnk-4SwqDmLtmXYiTMKHgktTP8We1SCoS47DrQ/edit?usp=sharing"",""จัดที่ดิน!G26"")"),55)</f>
        <v>55</v>
      </c>
      <c r="K370" s="831">
        <f t="shared" ca="1" si="163"/>
        <v>137.5</v>
      </c>
      <c r="L370" s="945"/>
      <c r="M370" s="945"/>
      <c r="N370" s="945"/>
      <c r="O370" s="945"/>
      <c r="P370" s="945"/>
    </row>
    <row r="371" spans="1:26" ht="18.75">
      <c r="A371" s="949"/>
      <c r="B371" s="957"/>
      <c r="C371" s="950"/>
      <c r="D371" s="957"/>
      <c r="E371" s="957"/>
      <c r="F371" s="957"/>
      <c r="G371" s="958"/>
      <c r="H371" s="730" t="s">
        <v>46</v>
      </c>
      <c r="I371" s="830">
        <v>0</v>
      </c>
      <c r="J371" s="830">
        <f ca="1">IFERROR(__xludf.DUMMYFUNCTION("IMPORTRANGE(""https://docs.google.com/spreadsheets/d/1XWAQStnk-4SwqDmLtmXYiTMKHgktTP8We1SCoS47DrQ/edit?usp=sharing"",""จัดที่ดิน!H26"")"),274.45)</f>
        <v>274.45</v>
      </c>
      <c r="K371" s="831">
        <f t="shared" si="163"/>
        <v>0</v>
      </c>
      <c r="L371" s="945"/>
      <c r="M371" s="945"/>
      <c r="N371" s="945"/>
      <c r="O371" s="945"/>
      <c r="P371" s="945"/>
    </row>
    <row r="372" spans="1:26" ht="18.75">
      <c r="A372" s="949"/>
      <c r="B372" s="957"/>
      <c r="C372" s="950"/>
      <c r="D372" s="957"/>
      <c r="E372" s="955" t="s">
        <v>163</v>
      </c>
      <c r="F372" s="957"/>
      <c r="G372" s="958"/>
      <c r="H372" s="730" t="s">
        <v>35</v>
      </c>
      <c r="I372" s="830">
        <f ca="1">IFERROR(__xludf.DUMMYFUNCTION("IMPORTRANGE(""https://docs.google.com/spreadsheets/d/1QqKyyYR6Q21VydFLVH3TRQUabQu_ym0Zz7PgGX0-kHA/edit?usp=sharing"",""แผน!EJ26"")"),40)</f>
        <v>40</v>
      </c>
      <c r="J372" s="830">
        <f ca="1">IFERROR(__xludf.DUMMYFUNCTION("IMPORTRANGE(""https://docs.google.com/spreadsheets/d/1XWAQStnk-4SwqDmLtmXYiTMKHgktTP8We1SCoS47DrQ/edit?usp=sharing"",""จัดที่ดิน!I26"")"),0)</f>
        <v>0</v>
      </c>
      <c r="K372" s="831">
        <f t="shared" ca="1" si="163"/>
        <v>0</v>
      </c>
      <c r="L372" s="945"/>
      <c r="M372" s="945"/>
      <c r="N372" s="945"/>
      <c r="O372" s="945"/>
      <c r="P372" s="945"/>
    </row>
    <row r="373" spans="1:26" ht="18.75">
      <c r="A373" s="1159" t="s">
        <v>164</v>
      </c>
      <c r="B373" s="957"/>
      <c r="C373" s="950"/>
      <c r="D373" s="957"/>
      <c r="E373" s="956"/>
      <c r="F373" s="957"/>
      <c r="G373" s="958"/>
      <c r="H373" s="730" t="s">
        <v>46</v>
      </c>
      <c r="I373" s="830">
        <v>0</v>
      </c>
      <c r="J373" s="830">
        <f ca="1">IFERROR(__xludf.DUMMYFUNCTION("IMPORTRANGE(""https://docs.google.com/spreadsheets/d/1XWAQStnk-4SwqDmLtmXYiTMKHgktTP8We1SCoS47DrQ/edit?usp=sharing"",""จัดที่ดิน!J26"")"),0)</f>
        <v>0</v>
      </c>
      <c r="K373" s="831">
        <f t="shared" si="163"/>
        <v>0</v>
      </c>
      <c r="L373" s="945"/>
      <c r="M373" s="945"/>
      <c r="N373" s="945"/>
      <c r="O373" s="945"/>
      <c r="P373" s="945"/>
    </row>
    <row r="374" spans="1:26" ht="19.5">
      <c r="A374" s="1169"/>
      <c r="B374" s="1170"/>
      <c r="C374" s="1171"/>
      <c r="D374" s="1171" t="s">
        <v>168</v>
      </c>
      <c r="E374" s="1172"/>
      <c r="F374" s="1172"/>
      <c r="G374" s="1173"/>
      <c r="H374" s="457" t="s">
        <v>35</v>
      </c>
      <c r="I374" s="1180">
        <f ca="1">IFERROR(__xludf.DUMMYFUNCTION("IMPORTRANGE(""https://docs.google.com/spreadsheets/d/1QqKyyYR6Q21VydFLVH3TRQUabQu_ym0Zz7PgGX0-kHA/edit?usp=sharing"",""แผน!EU26"")"),110)</f>
        <v>110</v>
      </c>
      <c r="J374" s="1174">
        <f ca="1">J381</f>
        <v>52</v>
      </c>
      <c r="K374" s="1175">
        <f t="shared" ca="1" si="163"/>
        <v>47.272727272727273</v>
      </c>
      <c r="L374" s="1176"/>
      <c r="M374" s="1176"/>
      <c r="N374" s="1176"/>
      <c r="O374" s="1176"/>
      <c r="P374" s="1176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69"/>
      <c r="B375" s="1170"/>
      <c r="C375" s="1171"/>
      <c r="D375" s="1177" t="s">
        <v>169</v>
      </c>
      <c r="E375" s="1172"/>
      <c r="F375" s="1172"/>
      <c r="G375" s="1173"/>
      <c r="H375" s="1178"/>
      <c r="I375" s="1179"/>
      <c r="J375" s="1179"/>
      <c r="K375" s="1176"/>
      <c r="L375" s="1176"/>
      <c r="M375" s="1176"/>
      <c r="N375" s="1176"/>
      <c r="O375" s="1176"/>
      <c r="P375" s="1176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49"/>
      <c r="B376" s="950"/>
      <c r="C376" s="946" t="s">
        <v>16</v>
      </c>
      <c r="D376" s="951" t="s">
        <v>38</v>
      </c>
      <c r="E376" s="952"/>
      <c r="F376" s="952"/>
      <c r="G376" s="953"/>
      <c r="H376" s="954"/>
      <c r="I376" s="830"/>
      <c r="J376" s="830"/>
      <c r="K376" s="831"/>
      <c r="L376" s="945"/>
      <c r="M376" s="945"/>
      <c r="N376" s="945"/>
      <c r="O376" s="945"/>
      <c r="P376" s="945"/>
    </row>
    <row r="377" spans="1:26" ht="18.75">
      <c r="A377" s="949"/>
      <c r="B377" s="957"/>
      <c r="C377" s="950"/>
      <c r="D377" s="957"/>
      <c r="E377" s="955" t="s">
        <v>161</v>
      </c>
      <c r="F377" s="957"/>
      <c r="G377" s="958"/>
      <c r="H377" s="777" t="s">
        <v>35</v>
      </c>
      <c r="I377" s="830">
        <v>0</v>
      </c>
      <c r="J377" s="830">
        <f ca="1">IFERROR(__xludf.DUMMYFUNCTION("IMPORTRANGE(""https://docs.google.com/spreadsheets/d/1XWAQStnk-4SwqDmLtmXYiTMKHgktTP8We1SCoS47DrQ/edit?usp=sharing"",""จัดที่ดิน!AH26"")"),9)</f>
        <v>9</v>
      </c>
      <c r="K377" s="831">
        <f t="shared" ref="K377:K382" si="164">IF(I377&gt;0,J377*100/I377,0)</f>
        <v>0</v>
      </c>
      <c r="L377" s="945"/>
      <c r="M377" s="945"/>
      <c r="N377" s="945"/>
      <c r="O377" s="945"/>
      <c r="P377" s="945"/>
    </row>
    <row r="378" spans="1:26" ht="18.75">
      <c r="A378" s="949"/>
      <c r="B378" s="957"/>
      <c r="C378" s="950"/>
      <c r="D378" s="957"/>
      <c r="E378" s="957"/>
      <c r="F378" s="957"/>
      <c r="G378" s="958"/>
      <c r="H378" s="777" t="s">
        <v>46</v>
      </c>
      <c r="I378" s="830">
        <f ca="1">IFERROR(__xludf.DUMMYFUNCTION("IMPORTRANGE(""https://docs.google.com/spreadsheets/d/1QqKyyYR6Q21VydFLVH3TRQUabQu_ym0Zz7PgGX0-kHA/edit?usp=sharing"",""แผน!ET26"")"),220)</f>
        <v>220</v>
      </c>
      <c r="J378" s="830">
        <f ca="1">IFERROR(__xludf.DUMMYFUNCTION("IMPORTRANGE(""https://docs.google.com/spreadsheets/d/1XWAQStnk-4SwqDmLtmXYiTMKHgktTP8We1SCoS47DrQ/edit?usp=sharing"",""จัดที่ดิน!AI26"")"),48.88)</f>
        <v>48.88</v>
      </c>
      <c r="K378" s="831">
        <f t="shared" ca="1" si="164"/>
        <v>22.218181818181819</v>
      </c>
      <c r="L378" s="945"/>
      <c r="M378" s="945"/>
      <c r="N378" s="945"/>
      <c r="O378" s="945"/>
      <c r="P378" s="945"/>
    </row>
    <row r="379" spans="1:26" ht="18.75">
      <c r="A379" s="949"/>
      <c r="B379" s="957"/>
      <c r="C379" s="950"/>
      <c r="D379" s="957"/>
      <c r="E379" s="955" t="s">
        <v>162</v>
      </c>
      <c r="F379" s="957"/>
      <c r="G379" s="958"/>
      <c r="H379" s="730" t="s">
        <v>35</v>
      </c>
      <c r="I379" s="830">
        <f ca="1">IFERROR(__xludf.DUMMYFUNCTION("IMPORTRANGE(""https://docs.google.com/spreadsheets/d/1QqKyyYR6Q21VydFLVH3TRQUabQu_ym0Zz7PgGX0-kHA/edit?usp=sharing"",""แผน!EU26"")"),110)</f>
        <v>110</v>
      </c>
      <c r="J379" s="830">
        <f ca="1">IFERROR(__xludf.DUMMYFUNCTION("IMPORTRANGE(""https://docs.google.com/spreadsheets/d/1XWAQStnk-4SwqDmLtmXYiTMKHgktTP8We1SCoS47DrQ/edit?usp=sharing"",""จัดที่ดิน!AJ26"")"),61)</f>
        <v>61</v>
      </c>
      <c r="K379" s="831">
        <f t="shared" ca="1" si="164"/>
        <v>55.454545454545453</v>
      </c>
      <c r="L379" s="945"/>
      <c r="M379" s="945"/>
      <c r="N379" s="945"/>
      <c r="O379" s="945"/>
      <c r="P379" s="945"/>
    </row>
    <row r="380" spans="1:26" ht="18.75">
      <c r="A380" s="949"/>
      <c r="B380" s="957"/>
      <c r="C380" s="950"/>
      <c r="D380" s="957"/>
      <c r="E380" s="957"/>
      <c r="F380" s="957"/>
      <c r="G380" s="958"/>
      <c r="H380" s="730" t="s">
        <v>46</v>
      </c>
      <c r="I380" s="830">
        <v>0</v>
      </c>
      <c r="J380" s="830">
        <f ca="1">IFERROR(__xludf.DUMMYFUNCTION("IMPORTRANGE(""https://docs.google.com/spreadsheets/d/1XWAQStnk-4SwqDmLtmXYiTMKHgktTP8We1SCoS47DrQ/edit?usp=sharing"",""จัดที่ดิน!AK26"")"),383.01)</f>
        <v>383.01</v>
      </c>
      <c r="K380" s="831">
        <f t="shared" si="164"/>
        <v>0</v>
      </c>
      <c r="L380" s="945"/>
      <c r="M380" s="945"/>
      <c r="N380" s="945"/>
      <c r="O380" s="945"/>
      <c r="P380" s="945"/>
    </row>
    <row r="381" spans="1:26" ht="18.75">
      <c r="A381" s="949"/>
      <c r="B381" s="957"/>
      <c r="C381" s="950"/>
      <c r="D381" s="957"/>
      <c r="E381" s="955" t="s">
        <v>163</v>
      </c>
      <c r="F381" s="957"/>
      <c r="G381" s="958"/>
      <c r="H381" s="730" t="s">
        <v>35</v>
      </c>
      <c r="I381" s="830">
        <f ca="1">IFERROR(__xludf.DUMMYFUNCTION("IMPORTRANGE(""https://docs.google.com/spreadsheets/d/1QqKyyYR6Q21VydFLVH3TRQUabQu_ym0Zz7PgGX0-kHA/edit?usp=sharing"",""แผน!EU26"")"),110)</f>
        <v>110</v>
      </c>
      <c r="J381" s="830">
        <f ca="1">IFERROR(__xludf.DUMMYFUNCTION("IMPORTRANGE(""https://docs.google.com/spreadsheets/d/1XWAQStnk-4SwqDmLtmXYiTMKHgktTP8We1SCoS47DrQ/edit?usp=sharing"",""จัดที่ดิน!AL26"")"),52)</f>
        <v>52</v>
      </c>
      <c r="K381" s="831">
        <f t="shared" ca="1" si="164"/>
        <v>47.272727272727273</v>
      </c>
      <c r="L381" s="945"/>
      <c r="M381" s="945"/>
      <c r="N381" s="945"/>
      <c r="O381" s="945"/>
      <c r="P381" s="945"/>
    </row>
    <row r="382" spans="1:26" ht="18.75">
      <c r="A382" s="1159" t="s">
        <v>164</v>
      </c>
      <c r="B382" s="957"/>
      <c r="C382" s="950"/>
      <c r="D382" s="957"/>
      <c r="E382" s="956"/>
      <c r="F382" s="957"/>
      <c r="G382" s="958"/>
      <c r="H382" s="730" t="s">
        <v>46</v>
      </c>
      <c r="I382" s="830">
        <v>0</v>
      </c>
      <c r="J382" s="830">
        <f ca="1">IFERROR(__xludf.DUMMYFUNCTION("IMPORTRANGE(""https://docs.google.com/spreadsheets/d/1XWAQStnk-4SwqDmLtmXYiTMKHgktTP8We1SCoS47DrQ/edit?usp=sharing"",""จัดที่ดิน!AM26"")"),334.13)</f>
        <v>334.13</v>
      </c>
      <c r="K382" s="831">
        <f t="shared" si="164"/>
        <v>0</v>
      </c>
      <c r="L382" s="945"/>
      <c r="M382" s="945"/>
      <c r="N382" s="945"/>
      <c r="O382" s="945"/>
      <c r="P382" s="945"/>
    </row>
    <row r="383" spans="1:26" ht="19.5">
      <c r="A383" s="1011"/>
      <c r="B383" s="1018"/>
      <c r="C383" s="1012"/>
      <c r="D383" s="1145" t="s">
        <v>170</v>
      </c>
      <c r="E383" s="1012"/>
      <c r="F383" s="1012"/>
      <c r="G383" s="1014"/>
      <c r="H383" s="1146"/>
      <c r="I383" s="1015"/>
      <c r="J383" s="1015"/>
      <c r="K383" s="1016"/>
      <c r="L383" s="1016"/>
      <c r="M383" s="1016"/>
      <c r="N383" s="1016"/>
      <c r="O383" s="1016"/>
      <c r="P383" s="1016"/>
    </row>
    <row r="384" spans="1:26" ht="19.5">
      <c r="A384" s="949"/>
      <c r="B384" s="950"/>
      <c r="C384" s="827" t="s">
        <v>16</v>
      </c>
      <c r="D384" s="951" t="s">
        <v>38</v>
      </c>
      <c r="E384" s="952"/>
      <c r="F384" s="952"/>
      <c r="G384" s="953"/>
      <c r="H384" s="954"/>
      <c r="I384" s="830"/>
      <c r="J384" s="830"/>
      <c r="K384" s="831"/>
      <c r="L384" s="945"/>
      <c r="M384" s="945"/>
      <c r="N384" s="945"/>
      <c r="O384" s="945"/>
      <c r="P384" s="945"/>
    </row>
    <row r="385" spans="1:26" ht="18.75">
      <c r="A385" s="1080"/>
      <c r="B385" s="1083"/>
      <c r="C385" s="1081"/>
      <c r="D385" s="1083"/>
      <c r="E385" s="1181" t="s">
        <v>163</v>
      </c>
      <c r="F385" s="1083"/>
      <c r="G385" s="1084"/>
      <c r="H385" s="468" t="s">
        <v>35</v>
      </c>
      <c r="I385" s="1085">
        <f ca="1">IFERROR(__xludf.DUMMYFUNCTION("IMPORTRANGE(""https://docs.google.com/spreadsheets/d/1QqKyyYR6Q21VydFLVH3TRQUabQu_ym0Zz7PgGX0-kHA/edit?usp=sharing"",""แผน!EW26"")"),0)</f>
        <v>0</v>
      </c>
      <c r="J385" s="1085">
        <f ca="1">IFERROR(__xludf.DUMMYFUNCTION("IMPORTRANGE(""https://docs.google.com/spreadsheets/d/1XWAQStnk-4SwqDmLtmXYiTMKHgktTP8We1SCoS47DrQ/edit?usp=sharing"",""จัดที่ดิน!AP26"")"),0)</f>
        <v>0</v>
      </c>
      <c r="K385" s="1182">
        <f ca="1">IF(I385&gt;0,J385*100/I385,0)</f>
        <v>0</v>
      </c>
      <c r="L385" s="1086"/>
      <c r="M385" s="1086"/>
      <c r="N385" s="1086"/>
      <c r="O385" s="1086"/>
      <c r="P385" s="1086"/>
    </row>
    <row r="386" spans="1:26" ht="19.5" hidden="1">
      <c r="A386" s="1183" t="s">
        <v>171</v>
      </c>
      <c r="B386" s="1184"/>
      <c r="C386" s="1184"/>
      <c r="D386" s="1184"/>
      <c r="E386" s="1185"/>
      <c r="F386" s="1185"/>
      <c r="G386" s="1186"/>
      <c r="H386" s="1187"/>
      <c r="I386" s="1188"/>
      <c r="J386" s="1188"/>
      <c r="K386" s="1189"/>
      <c r="L386" s="1189"/>
      <c r="M386" s="1189"/>
      <c r="N386" s="1189"/>
      <c r="O386" s="1189"/>
      <c r="P386" s="1189"/>
    </row>
    <row r="387" spans="1:26" ht="19.5" hidden="1">
      <c r="A387" s="1190" t="s">
        <v>172</v>
      </c>
      <c r="B387" s="1191"/>
      <c r="C387" s="1191"/>
      <c r="D387" s="1192"/>
      <c r="E387" s="1191"/>
      <c r="F387" s="1191"/>
      <c r="G387" s="1191"/>
      <c r="H387" s="1193"/>
      <c r="I387" s="1194"/>
      <c r="J387" s="1194"/>
      <c r="K387" s="1195"/>
      <c r="L387" s="1195"/>
      <c r="M387" s="1195"/>
      <c r="N387" s="1195"/>
      <c r="O387" s="1195"/>
      <c r="P387" s="1195"/>
    </row>
    <row r="388" spans="1:26" ht="19.5" hidden="1">
      <c r="A388" s="1196"/>
      <c r="B388" s="1197" t="s">
        <v>173</v>
      </c>
      <c r="C388" s="1198"/>
      <c r="D388" s="1199"/>
      <c r="E388" s="1199"/>
      <c r="F388" s="1199"/>
      <c r="G388" s="1200"/>
      <c r="H388" s="489" t="s">
        <v>66</v>
      </c>
      <c r="I388" s="1201">
        <f t="shared" ref="I388:J388" si="165">I400</f>
        <v>0</v>
      </c>
      <c r="J388" s="1201">
        <f t="shared" si="165"/>
        <v>0</v>
      </c>
      <c r="K388" s="1202">
        <f>IF(I388&gt;0,J388*100/I388,0)</f>
        <v>0</v>
      </c>
      <c r="L388" s="1203"/>
      <c r="M388" s="1203"/>
      <c r="N388" s="1203"/>
      <c r="O388" s="1203"/>
      <c r="P388" s="1203"/>
    </row>
    <row r="389" spans="1:26" ht="19.5" hidden="1">
      <c r="A389" s="932"/>
      <c r="B389" s="933"/>
      <c r="C389" s="934" t="s">
        <v>16</v>
      </c>
      <c r="D389" s="935" t="s">
        <v>17</v>
      </c>
      <c r="E389" s="933"/>
      <c r="F389" s="933"/>
      <c r="G389" s="936"/>
      <c r="H389" s="152" t="s">
        <v>12</v>
      </c>
      <c r="I389" s="937"/>
      <c r="J389" s="937"/>
      <c r="K389" s="938"/>
      <c r="L389" s="939">
        <f t="shared" ref="L389:N389" ca="1" si="166">L390+L391</f>
        <v>0</v>
      </c>
      <c r="M389" s="939">
        <f t="shared" ca="1" si="166"/>
        <v>0</v>
      </c>
      <c r="N389" s="939">
        <f t="shared" ca="1" si="166"/>
        <v>0</v>
      </c>
      <c r="O389" s="939">
        <f t="shared" ref="O389:O397" ca="1" si="167">IF(L389&gt;0,N389*100/L389,0)</f>
        <v>0</v>
      </c>
      <c r="P389" s="939">
        <f t="shared" ref="P389:P397" ca="1" si="168">IF(M389&gt;0,N389*100/M389,0)</f>
        <v>0</v>
      </c>
      <c r="Q389" s="818"/>
      <c r="R389" s="818"/>
      <c r="S389" s="818"/>
      <c r="T389" s="818"/>
      <c r="U389" s="818"/>
      <c r="V389" s="818"/>
      <c r="W389" s="818"/>
      <c r="X389" s="818"/>
      <c r="Y389" s="818"/>
      <c r="Z389" s="818"/>
    </row>
    <row r="390" spans="1:26" ht="18.75" hidden="1">
      <c r="A390" s="940"/>
      <c r="B390" s="833"/>
      <c r="C390" s="833"/>
      <c r="D390" s="833"/>
      <c r="E390" s="834" t="s">
        <v>18</v>
      </c>
      <c r="F390" s="833"/>
      <c r="G390" s="941"/>
      <c r="H390" s="158" t="s">
        <v>12</v>
      </c>
      <c r="I390" s="836"/>
      <c r="J390" s="836"/>
      <c r="K390" s="837"/>
      <c r="L390" s="837">
        <f t="shared" ref="L390:N391" si="169">L393+L396</f>
        <v>0</v>
      </c>
      <c r="M390" s="837">
        <f t="shared" si="169"/>
        <v>0</v>
      </c>
      <c r="N390" s="837">
        <f t="shared" si="169"/>
        <v>0</v>
      </c>
      <c r="O390" s="837">
        <f t="shared" si="167"/>
        <v>0</v>
      </c>
      <c r="P390" s="837">
        <f t="shared" si="168"/>
        <v>0</v>
      </c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</row>
    <row r="391" spans="1:26" ht="18.75" hidden="1">
      <c r="A391" s="940"/>
      <c r="B391" s="833"/>
      <c r="C391" s="833"/>
      <c r="D391" s="833"/>
      <c r="E391" s="834" t="s">
        <v>19</v>
      </c>
      <c r="F391" s="833"/>
      <c r="G391" s="941"/>
      <c r="H391" s="158" t="s">
        <v>12</v>
      </c>
      <c r="I391" s="836"/>
      <c r="J391" s="836"/>
      <c r="K391" s="837"/>
      <c r="L391" s="837">
        <f t="shared" ca="1" si="169"/>
        <v>0</v>
      </c>
      <c r="M391" s="837">
        <f t="shared" ca="1" si="169"/>
        <v>0</v>
      </c>
      <c r="N391" s="837">
        <f t="shared" ca="1" si="169"/>
        <v>0</v>
      </c>
      <c r="O391" s="837">
        <f t="shared" ca="1" si="167"/>
        <v>0</v>
      </c>
      <c r="P391" s="837">
        <f t="shared" ca="1" si="168"/>
        <v>0</v>
      </c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</row>
    <row r="392" spans="1:26" ht="18.75" hidden="1">
      <c r="A392" s="942"/>
      <c r="B392" s="827"/>
      <c r="C392" s="943"/>
      <c r="D392" s="828" t="s">
        <v>20</v>
      </c>
      <c r="E392" s="827"/>
      <c r="F392" s="827"/>
      <c r="G392" s="829"/>
      <c r="H392" s="778" t="s">
        <v>12</v>
      </c>
      <c r="I392" s="944"/>
      <c r="J392" s="944"/>
      <c r="K392" s="945"/>
      <c r="L392" s="831">
        <f t="shared" ref="L392:N392" ca="1" si="170">L393+L394</f>
        <v>0</v>
      </c>
      <c r="M392" s="831">
        <f t="shared" ca="1" si="170"/>
        <v>0</v>
      </c>
      <c r="N392" s="831">
        <f t="shared" ca="1" si="170"/>
        <v>0</v>
      </c>
      <c r="O392" s="831">
        <f t="shared" ca="1" si="167"/>
        <v>0</v>
      </c>
      <c r="P392" s="831">
        <f t="shared" ca="1" si="168"/>
        <v>0</v>
      </c>
      <c r="Q392" s="818"/>
      <c r="R392" s="818"/>
      <c r="S392" s="818"/>
      <c r="T392" s="818"/>
      <c r="U392" s="818"/>
      <c r="V392" s="818"/>
      <c r="W392" s="818"/>
      <c r="X392" s="818"/>
      <c r="Y392" s="818"/>
      <c r="Z392" s="818"/>
    </row>
    <row r="393" spans="1:26" ht="19.5" hidden="1">
      <c r="A393" s="940"/>
      <c r="B393" s="833"/>
      <c r="C393" s="946"/>
      <c r="D393" s="833"/>
      <c r="E393" s="834" t="s">
        <v>36</v>
      </c>
      <c r="F393" s="833"/>
      <c r="G393" s="941"/>
      <c r="H393" s="165" t="s">
        <v>12</v>
      </c>
      <c r="I393" s="947"/>
      <c r="J393" s="947"/>
      <c r="K393" s="948"/>
      <c r="L393" s="837">
        <v>0</v>
      </c>
      <c r="M393" s="837">
        <v>0</v>
      </c>
      <c r="N393" s="837">
        <v>0</v>
      </c>
      <c r="O393" s="837">
        <f t="shared" si="167"/>
        <v>0</v>
      </c>
      <c r="P393" s="837">
        <f t="shared" si="168"/>
        <v>0</v>
      </c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</row>
    <row r="394" spans="1:26" ht="19.5" hidden="1">
      <c r="A394" s="940"/>
      <c r="B394" s="833"/>
      <c r="C394" s="946"/>
      <c r="D394" s="833"/>
      <c r="E394" s="834" t="s">
        <v>37</v>
      </c>
      <c r="F394" s="833"/>
      <c r="G394" s="941"/>
      <c r="H394" s="165" t="s">
        <v>12</v>
      </c>
      <c r="I394" s="947"/>
      <c r="J394" s="947"/>
      <c r="K394" s="948"/>
      <c r="L394" s="837">
        <f ca="1">IFERROR(__xludf.DUMMYFUNCTION("IMPORTRANGE(""https://docs.google.com/spreadsheets/d/1MeEWN-I1oV_STSDYn1IFDPWt_1FKiwhDph83XaGc0o0/edit?usp=sharing"",""งบพรบ!FG26"")"),0)</f>
        <v>0</v>
      </c>
      <c r="M394" s="837">
        <f ca="1">IFERROR(__xludf.DUMMYFUNCTION("IMPORTRANGE(""https://docs.google.com/spreadsheets/d/1MeEWN-I1oV_STSDYn1IFDPWt_1FKiwhDph83XaGc0o0/edit?usp=sharing"",""งบพรบ!FL26"")"),0)</f>
        <v>0</v>
      </c>
      <c r="N394" s="837">
        <f ca="1">IFERROR(__xludf.DUMMYFUNCTION("IMPORTRANGE(""https://docs.google.com/spreadsheets/d/1MeEWN-I1oV_STSDYn1IFDPWt_1FKiwhDph83XaGc0o0/edit?usp=sharing"",""งบพรบ!FN26"")"),0)</f>
        <v>0</v>
      </c>
      <c r="O394" s="837">
        <f t="shared" ca="1" si="167"/>
        <v>0</v>
      </c>
      <c r="P394" s="837">
        <f t="shared" ca="1" si="168"/>
        <v>0</v>
      </c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</row>
    <row r="395" spans="1:26" ht="18.75" hidden="1">
      <c r="A395" s="942"/>
      <c r="B395" s="827"/>
      <c r="C395" s="943"/>
      <c r="D395" s="828" t="s">
        <v>21</v>
      </c>
      <c r="E395" s="827"/>
      <c r="F395" s="827"/>
      <c r="G395" s="829"/>
      <c r="H395" s="168" t="s">
        <v>12</v>
      </c>
      <c r="I395" s="944"/>
      <c r="J395" s="944"/>
      <c r="K395" s="945"/>
      <c r="L395" s="831">
        <f t="shared" ref="L395:N395" ca="1" si="171">L396+L397</f>
        <v>0</v>
      </c>
      <c r="M395" s="831">
        <f t="shared" ca="1" si="171"/>
        <v>0</v>
      </c>
      <c r="N395" s="831">
        <f t="shared" ca="1" si="171"/>
        <v>0</v>
      </c>
      <c r="O395" s="831">
        <f t="shared" ca="1" si="167"/>
        <v>0</v>
      </c>
      <c r="P395" s="831">
        <f t="shared" ca="1" si="168"/>
        <v>0</v>
      </c>
      <c r="Q395" s="818"/>
      <c r="R395" s="818"/>
      <c r="S395" s="818"/>
      <c r="T395" s="818"/>
      <c r="U395" s="818"/>
      <c r="V395" s="818"/>
      <c r="W395" s="818"/>
      <c r="X395" s="818"/>
      <c r="Y395" s="818"/>
      <c r="Z395" s="818"/>
    </row>
    <row r="396" spans="1:26" ht="19.5" hidden="1">
      <c r="A396" s="940"/>
      <c r="B396" s="833"/>
      <c r="C396" s="946"/>
      <c r="D396" s="833"/>
      <c r="E396" s="834" t="s">
        <v>18</v>
      </c>
      <c r="F396" s="833"/>
      <c r="G396" s="941"/>
      <c r="H396" s="165" t="s">
        <v>12</v>
      </c>
      <c r="I396" s="947"/>
      <c r="J396" s="947"/>
      <c r="K396" s="948"/>
      <c r="L396" s="837">
        <v>0</v>
      </c>
      <c r="M396" s="837">
        <v>0</v>
      </c>
      <c r="N396" s="837">
        <v>0</v>
      </c>
      <c r="O396" s="837">
        <f t="shared" si="167"/>
        <v>0</v>
      </c>
      <c r="P396" s="837">
        <f t="shared" si="168"/>
        <v>0</v>
      </c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</row>
    <row r="397" spans="1:26" ht="19.5" hidden="1">
      <c r="A397" s="940"/>
      <c r="B397" s="833"/>
      <c r="C397" s="946"/>
      <c r="D397" s="833"/>
      <c r="E397" s="834" t="s">
        <v>19</v>
      </c>
      <c r="F397" s="833"/>
      <c r="G397" s="941"/>
      <c r="H397" s="169" t="s">
        <v>12</v>
      </c>
      <c r="I397" s="947"/>
      <c r="J397" s="947"/>
      <c r="K397" s="948"/>
      <c r="L397" s="837">
        <f ca="1">IFERROR(__xludf.DUMMYFUNCTION("IMPORTRANGE(""https://docs.google.com/spreadsheets/d/1MeEWN-I1oV_STSDYn1IFDPWt_1FKiwhDph83XaGc0o0/edit?usp=sharing"",""งบพรบ!FJ26"")"),0)</f>
        <v>0</v>
      </c>
      <c r="M397" s="837">
        <f ca="1">IFERROR(__xludf.DUMMYFUNCTION("IMPORTRANGE(""https://docs.google.com/spreadsheets/d/1MeEWN-I1oV_STSDYn1IFDPWt_1FKiwhDph83XaGc0o0/edit?usp=sharing"",""งบพรบ!FM26"")"),0)</f>
        <v>0</v>
      </c>
      <c r="N397" s="837">
        <f ca="1">IFERROR(__xludf.DUMMYFUNCTION("IMPORTRANGE(""https://docs.google.com/spreadsheets/d/1MeEWN-I1oV_STSDYn1IFDPWt_1FKiwhDph83XaGc0o0/edit?usp=sharing"",""งบพรบ!FO26"")"),0)</f>
        <v>0</v>
      </c>
      <c r="O397" s="837">
        <f t="shared" ca="1" si="167"/>
        <v>0</v>
      </c>
      <c r="P397" s="837">
        <f t="shared" ca="1" si="168"/>
        <v>0</v>
      </c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</row>
    <row r="398" spans="1:26" ht="19.5" hidden="1">
      <c r="A398" s="949"/>
      <c r="B398" s="950"/>
      <c r="C398" s="946" t="s">
        <v>16</v>
      </c>
      <c r="D398" s="951" t="s">
        <v>38</v>
      </c>
      <c r="E398" s="952"/>
      <c r="F398" s="952"/>
      <c r="G398" s="953"/>
      <c r="H398" s="954"/>
      <c r="I398" s="944"/>
      <c r="J398" s="830"/>
      <c r="K398" s="831"/>
      <c r="L398" s="831"/>
      <c r="M398" s="831"/>
      <c r="N398" s="831"/>
      <c r="O398" s="945"/>
      <c r="P398" s="945"/>
    </row>
    <row r="399" spans="1:26" ht="18.75" hidden="1">
      <c r="A399" s="1204"/>
      <c r="B399" s="933"/>
      <c r="C399" s="1205"/>
      <c r="D399" s="968" t="s">
        <v>174</v>
      </c>
      <c r="E399" s="1113"/>
      <c r="F399" s="933"/>
      <c r="G399" s="936"/>
      <c r="H399" s="496" t="s">
        <v>9</v>
      </c>
      <c r="I399" s="830">
        <v>0</v>
      </c>
      <c r="J399" s="959">
        <v>0</v>
      </c>
      <c r="K399" s="831">
        <f t="shared" ref="K399:K401" si="172">IF(I399&gt;0,J399*100/I399,0)</f>
        <v>0</v>
      </c>
      <c r="L399" s="1206"/>
      <c r="M399" s="1206"/>
      <c r="N399" s="1206"/>
      <c r="O399" s="1206"/>
      <c r="P399" s="1206"/>
      <c r="Q399" s="818"/>
      <c r="R399" s="818"/>
      <c r="S399" s="818"/>
      <c r="T399" s="818"/>
      <c r="U399" s="818"/>
      <c r="V399" s="818"/>
      <c r="W399" s="818"/>
      <c r="X399" s="818"/>
      <c r="Y399" s="818"/>
      <c r="Z399" s="818"/>
    </row>
    <row r="400" spans="1:26" ht="18.75" hidden="1">
      <c r="A400" s="1032"/>
      <c r="B400" s="827"/>
      <c r="C400" s="1030"/>
      <c r="D400" s="956" t="s">
        <v>175</v>
      </c>
      <c r="E400" s="950"/>
      <c r="F400" s="827"/>
      <c r="G400" s="829"/>
      <c r="H400" s="277" t="s">
        <v>66</v>
      </c>
      <c r="I400" s="830">
        <v>0</v>
      </c>
      <c r="J400" s="959">
        <v>0</v>
      </c>
      <c r="K400" s="831">
        <f t="shared" si="172"/>
        <v>0</v>
      </c>
      <c r="L400" s="831"/>
      <c r="M400" s="831"/>
      <c r="N400" s="831"/>
      <c r="O400" s="831"/>
      <c r="P400" s="831"/>
    </row>
    <row r="401" spans="1:26" ht="19.5" hidden="1">
      <c r="A401" s="1196"/>
      <c r="B401" s="1197" t="s">
        <v>176</v>
      </c>
      <c r="C401" s="1198"/>
      <c r="D401" s="1199"/>
      <c r="E401" s="1199"/>
      <c r="F401" s="1199"/>
      <c r="G401" s="1200"/>
      <c r="H401" s="489" t="s">
        <v>66</v>
      </c>
      <c r="I401" s="1201">
        <f t="shared" ref="I401:J401" si="173">I412</f>
        <v>0</v>
      </c>
      <c r="J401" s="1201">
        <f t="shared" si="173"/>
        <v>0</v>
      </c>
      <c r="K401" s="1202">
        <f t="shared" si="172"/>
        <v>0</v>
      </c>
      <c r="L401" s="1203"/>
      <c r="M401" s="1203"/>
      <c r="N401" s="1203"/>
      <c r="O401" s="1203"/>
      <c r="P401" s="1203"/>
    </row>
    <row r="402" spans="1:26" ht="19.5" hidden="1">
      <c r="A402" s="932"/>
      <c r="B402" s="933"/>
      <c r="C402" s="934" t="s">
        <v>16</v>
      </c>
      <c r="D402" s="935" t="s">
        <v>17</v>
      </c>
      <c r="E402" s="933"/>
      <c r="F402" s="933"/>
      <c r="G402" s="936"/>
      <c r="H402" s="152" t="s">
        <v>12</v>
      </c>
      <c r="I402" s="937"/>
      <c r="J402" s="937"/>
      <c r="K402" s="938"/>
      <c r="L402" s="939">
        <f t="shared" ref="L402:N402" ca="1" si="174">L403+L404</f>
        <v>0</v>
      </c>
      <c r="M402" s="939">
        <f t="shared" ca="1" si="174"/>
        <v>0</v>
      </c>
      <c r="N402" s="939">
        <f t="shared" ca="1" si="174"/>
        <v>0</v>
      </c>
      <c r="O402" s="939">
        <f t="shared" ref="O402:O410" ca="1" si="175">IF(L402&gt;0,N402*100/L402,0)</f>
        <v>0</v>
      </c>
      <c r="P402" s="939">
        <f t="shared" ref="P402:P410" ca="1" si="176">IF(M402&gt;0,N402*100/M402,0)</f>
        <v>0</v>
      </c>
      <c r="Q402" s="818"/>
      <c r="R402" s="818"/>
      <c r="S402" s="818"/>
      <c r="T402" s="818"/>
      <c r="U402" s="818"/>
      <c r="V402" s="818"/>
      <c r="W402" s="818"/>
      <c r="X402" s="818"/>
      <c r="Y402" s="818"/>
      <c r="Z402" s="818"/>
    </row>
    <row r="403" spans="1:26" ht="18.75" hidden="1">
      <c r="A403" s="940"/>
      <c r="B403" s="833"/>
      <c r="C403" s="833"/>
      <c r="D403" s="833"/>
      <c r="E403" s="834" t="s">
        <v>18</v>
      </c>
      <c r="F403" s="833"/>
      <c r="G403" s="941"/>
      <c r="H403" s="158" t="s">
        <v>12</v>
      </c>
      <c r="I403" s="836"/>
      <c r="J403" s="836"/>
      <c r="K403" s="837"/>
      <c r="L403" s="837">
        <f t="shared" ref="L403:N404" si="177">L406+L409</f>
        <v>0</v>
      </c>
      <c r="M403" s="837">
        <f t="shared" si="177"/>
        <v>0</v>
      </c>
      <c r="N403" s="837">
        <f t="shared" si="177"/>
        <v>0</v>
      </c>
      <c r="O403" s="837">
        <f t="shared" si="175"/>
        <v>0</v>
      </c>
      <c r="P403" s="837">
        <f t="shared" si="176"/>
        <v>0</v>
      </c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</row>
    <row r="404" spans="1:26" ht="18.75" hidden="1">
      <c r="A404" s="940"/>
      <c r="B404" s="833"/>
      <c r="C404" s="833"/>
      <c r="D404" s="833"/>
      <c r="E404" s="834" t="s">
        <v>19</v>
      </c>
      <c r="F404" s="833"/>
      <c r="G404" s="941"/>
      <c r="H404" s="158" t="s">
        <v>12</v>
      </c>
      <c r="I404" s="836"/>
      <c r="J404" s="836"/>
      <c r="K404" s="837"/>
      <c r="L404" s="837">
        <f t="shared" ca="1" si="177"/>
        <v>0</v>
      </c>
      <c r="M404" s="837">
        <f t="shared" ca="1" si="177"/>
        <v>0</v>
      </c>
      <c r="N404" s="837">
        <f t="shared" ca="1" si="177"/>
        <v>0</v>
      </c>
      <c r="O404" s="837">
        <f t="shared" ca="1" si="175"/>
        <v>0</v>
      </c>
      <c r="P404" s="837">
        <f t="shared" ca="1" si="176"/>
        <v>0</v>
      </c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</row>
    <row r="405" spans="1:26" ht="18.75" hidden="1">
      <c r="A405" s="942"/>
      <c r="B405" s="827"/>
      <c r="C405" s="943"/>
      <c r="D405" s="828" t="s">
        <v>20</v>
      </c>
      <c r="E405" s="827"/>
      <c r="F405" s="827"/>
      <c r="G405" s="829"/>
      <c r="H405" s="778" t="s">
        <v>12</v>
      </c>
      <c r="I405" s="944"/>
      <c r="J405" s="944"/>
      <c r="K405" s="945"/>
      <c r="L405" s="831">
        <f t="shared" ref="L405:N405" ca="1" si="178">L406+L407</f>
        <v>0</v>
      </c>
      <c r="M405" s="831">
        <f t="shared" ca="1" si="178"/>
        <v>0</v>
      </c>
      <c r="N405" s="831">
        <f t="shared" ca="1" si="178"/>
        <v>0</v>
      </c>
      <c r="O405" s="831">
        <f t="shared" ca="1" si="175"/>
        <v>0</v>
      </c>
      <c r="P405" s="831">
        <f t="shared" ca="1" si="176"/>
        <v>0</v>
      </c>
      <c r="Q405" s="818"/>
      <c r="R405" s="818"/>
      <c r="S405" s="818"/>
      <c r="T405" s="818"/>
      <c r="U405" s="818"/>
      <c r="V405" s="818"/>
      <c r="W405" s="818"/>
      <c r="X405" s="818"/>
      <c r="Y405" s="818"/>
      <c r="Z405" s="818"/>
    </row>
    <row r="406" spans="1:26" ht="19.5" hidden="1">
      <c r="A406" s="940"/>
      <c r="B406" s="833"/>
      <c r="C406" s="946"/>
      <c r="D406" s="833"/>
      <c r="E406" s="834" t="s">
        <v>36</v>
      </c>
      <c r="F406" s="833"/>
      <c r="G406" s="941"/>
      <c r="H406" s="165" t="s">
        <v>12</v>
      </c>
      <c r="I406" s="947"/>
      <c r="J406" s="947"/>
      <c r="K406" s="948"/>
      <c r="L406" s="837">
        <v>0</v>
      </c>
      <c r="M406" s="837">
        <v>0</v>
      </c>
      <c r="N406" s="837">
        <v>0</v>
      </c>
      <c r="O406" s="837">
        <f t="shared" si="175"/>
        <v>0</v>
      </c>
      <c r="P406" s="837">
        <f t="shared" si="176"/>
        <v>0</v>
      </c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</row>
    <row r="407" spans="1:26" ht="19.5" hidden="1">
      <c r="A407" s="940"/>
      <c r="B407" s="833"/>
      <c r="C407" s="946"/>
      <c r="D407" s="833"/>
      <c r="E407" s="834" t="s">
        <v>37</v>
      </c>
      <c r="F407" s="833"/>
      <c r="G407" s="941"/>
      <c r="H407" s="165" t="s">
        <v>12</v>
      </c>
      <c r="I407" s="947"/>
      <c r="J407" s="947"/>
      <c r="K407" s="948"/>
      <c r="L407" s="837">
        <f ca="1">IFERROR(__xludf.DUMMYFUNCTION("IMPORTRANGE(""https://docs.google.com/spreadsheets/d/1MeEWN-I1oV_STSDYn1IFDPWt_1FKiwhDph83XaGc0o0/edit?usp=sharing"",""งบพรบ!FQ26"")"),0)</f>
        <v>0</v>
      </c>
      <c r="M407" s="837">
        <f ca="1">IFERROR(__xludf.DUMMYFUNCTION("IMPORTRANGE(""https://docs.google.com/spreadsheets/d/1MeEWN-I1oV_STSDYn1IFDPWt_1FKiwhDph83XaGc0o0/edit?usp=sharing"",""งบพรบ!FV26"")"),0)</f>
        <v>0</v>
      </c>
      <c r="N407" s="837">
        <f ca="1">IFERROR(__xludf.DUMMYFUNCTION("IMPORTRANGE(""https://docs.google.com/spreadsheets/d/1MeEWN-I1oV_STSDYn1IFDPWt_1FKiwhDph83XaGc0o0/edit?usp=sharing"",""งบพรบ!FX26"")"),0)</f>
        <v>0</v>
      </c>
      <c r="O407" s="837">
        <f t="shared" ca="1" si="175"/>
        <v>0</v>
      </c>
      <c r="P407" s="837">
        <f t="shared" ca="1" si="176"/>
        <v>0</v>
      </c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</row>
    <row r="408" spans="1:26" ht="18.75" hidden="1">
      <c r="A408" s="942"/>
      <c r="B408" s="827"/>
      <c r="C408" s="943"/>
      <c r="D408" s="828" t="s">
        <v>21</v>
      </c>
      <c r="E408" s="827"/>
      <c r="F408" s="827"/>
      <c r="G408" s="829"/>
      <c r="H408" s="168" t="s">
        <v>12</v>
      </c>
      <c r="I408" s="944"/>
      <c r="J408" s="944"/>
      <c r="K408" s="945"/>
      <c r="L408" s="831">
        <f t="shared" ref="L408:N408" ca="1" si="179">L409+L410</f>
        <v>0</v>
      </c>
      <c r="M408" s="831">
        <f t="shared" ca="1" si="179"/>
        <v>0</v>
      </c>
      <c r="N408" s="831">
        <f t="shared" ca="1" si="179"/>
        <v>0</v>
      </c>
      <c r="O408" s="831">
        <f t="shared" ca="1" si="175"/>
        <v>0</v>
      </c>
      <c r="P408" s="831">
        <f t="shared" ca="1" si="176"/>
        <v>0</v>
      </c>
      <c r="Q408" s="818"/>
      <c r="R408" s="818"/>
      <c r="S408" s="818"/>
      <c r="T408" s="818"/>
      <c r="U408" s="818"/>
      <c r="V408" s="818"/>
      <c r="W408" s="818"/>
      <c r="X408" s="818"/>
      <c r="Y408" s="818"/>
      <c r="Z408" s="818"/>
    </row>
    <row r="409" spans="1:26" ht="19.5" hidden="1">
      <c r="A409" s="940"/>
      <c r="B409" s="833"/>
      <c r="C409" s="946"/>
      <c r="D409" s="833"/>
      <c r="E409" s="834" t="s">
        <v>18</v>
      </c>
      <c r="F409" s="833"/>
      <c r="G409" s="941"/>
      <c r="H409" s="165" t="s">
        <v>12</v>
      </c>
      <c r="I409" s="947"/>
      <c r="J409" s="947"/>
      <c r="K409" s="948"/>
      <c r="L409" s="837">
        <v>0</v>
      </c>
      <c r="M409" s="837">
        <v>0</v>
      </c>
      <c r="N409" s="837">
        <v>0</v>
      </c>
      <c r="O409" s="837">
        <f t="shared" si="175"/>
        <v>0</v>
      </c>
      <c r="P409" s="837">
        <f t="shared" si="176"/>
        <v>0</v>
      </c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</row>
    <row r="410" spans="1:26" ht="19.5" hidden="1">
      <c r="A410" s="940"/>
      <c r="B410" s="833"/>
      <c r="C410" s="946"/>
      <c r="D410" s="833"/>
      <c r="E410" s="834" t="s">
        <v>19</v>
      </c>
      <c r="F410" s="833"/>
      <c r="G410" s="941"/>
      <c r="H410" s="169" t="s">
        <v>12</v>
      </c>
      <c r="I410" s="947"/>
      <c r="J410" s="947"/>
      <c r="K410" s="948"/>
      <c r="L410" s="837">
        <f ca="1">IFERROR(__xludf.DUMMYFUNCTION("IMPORTRANGE(""https://docs.google.com/spreadsheets/d/1MeEWN-I1oV_STSDYn1IFDPWt_1FKiwhDph83XaGc0o0/edit?usp=sharing"",""งบพรบ!FT26"")"),0)</f>
        <v>0</v>
      </c>
      <c r="M410" s="837">
        <f ca="1">IFERROR(__xludf.DUMMYFUNCTION("IMPORTRANGE(""https://docs.google.com/spreadsheets/d/1MeEWN-I1oV_STSDYn1IFDPWt_1FKiwhDph83XaGc0o0/edit?usp=sharing"",""งบพรบ!FW26"")"),0)</f>
        <v>0</v>
      </c>
      <c r="N410" s="837">
        <f ca="1">IFERROR(__xludf.DUMMYFUNCTION("IMPORTRANGE(""https://docs.google.com/spreadsheets/d/1MeEWN-I1oV_STSDYn1IFDPWt_1FKiwhDph83XaGc0o0/edit?usp=sharing"",""งบพรบ!FY26"")"),0)</f>
        <v>0</v>
      </c>
      <c r="O410" s="837">
        <f t="shared" ca="1" si="175"/>
        <v>0</v>
      </c>
      <c r="P410" s="837">
        <f t="shared" ca="1" si="176"/>
        <v>0</v>
      </c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</row>
    <row r="411" spans="1:26" ht="19.5" hidden="1">
      <c r="A411" s="949"/>
      <c r="B411" s="950"/>
      <c r="C411" s="946" t="s">
        <v>16</v>
      </c>
      <c r="D411" s="1207" t="s">
        <v>38</v>
      </c>
      <c r="E411" s="1208"/>
      <c r="F411" s="1208"/>
      <c r="G411" s="1209"/>
      <c r="H411" s="954"/>
      <c r="I411" s="830"/>
      <c r="J411" s="830"/>
      <c r="K411" s="831"/>
      <c r="L411" s="945"/>
      <c r="M411" s="945"/>
      <c r="N411" s="945"/>
      <c r="O411" s="945"/>
      <c r="P411" s="945"/>
    </row>
    <row r="412" spans="1:26" ht="18.75" hidden="1">
      <c r="A412" s="949"/>
      <c r="B412" s="957"/>
      <c r="C412" s="957"/>
      <c r="D412" s="956" t="s">
        <v>177</v>
      </c>
      <c r="E412" s="957"/>
      <c r="F412" s="957"/>
      <c r="G412" s="958"/>
      <c r="H412" s="501" t="s">
        <v>66</v>
      </c>
      <c r="I412" s="830">
        <v>0</v>
      </c>
      <c r="J412" s="959">
        <v>0</v>
      </c>
      <c r="K412" s="831">
        <f t="shared" ref="K412:K413" si="180">IF(I412&gt;0,J412*100/I412,0)</f>
        <v>0</v>
      </c>
      <c r="L412" s="945"/>
      <c r="M412" s="945"/>
      <c r="N412" s="945"/>
      <c r="O412" s="945"/>
      <c r="P412" s="945"/>
    </row>
    <row r="413" spans="1:26" ht="19.5" hidden="1" thickBot="1">
      <c r="A413" s="1210"/>
      <c r="B413" s="1211"/>
      <c r="C413" s="1211"/>
      <c r="D413" s="1212" t="s">
        <v>178</v>
      </c>
      <c r="E413" s="1211"/>
      <c r="F413" s="1211"/>
      <c r="G413" s="1213"/>
      <c r="H413" s="506" t="s">
        <v>179</v>
      </c>
      <c r="I413" s="1214">
        <v>0</v>
      </c>
      <c r="J413" s="1215">
        <v>0</v>
      </c>
      <c r="K413" s="1216">
        <f t="shared" si="180"/>
        <v>0</v>
      </c>
      <c r="L413" s="1217"/>
      <c r="M413" s="1217"/>
      <c r="N413" s="1217"/>
      <c r="O413" s="1217"/>
      <c r="P413" s="1217"/>
    </row>
    <row r="414" spans="1:26" ht="19.5">
      <c r="A414" s="1218" t="s">
        <v>180</v>
      </c>
      <c r="B414" s="1219"/>
      <c r="C414" s="1219"/>
      <c r="D414" s="1219"/>
      <c r="E414" s="1219"/>
      <c r="F414" s="1219"/>
      <c r="G414" s="1220"/>
      <c r="H414" s="1221"/>
      <c r="I414" s="1222"/>
      <c r="J414" s="1222"/>
      <c r="K414" s="1223"/>
      <c r="L414" s="1224">
        <f t="shared" ref="L414:N414" ca="1" si="181">L419+L444+L467+L502+L523+L544+L629+L655+L685+L737+L754+L770+L786+L805</f>
        <v>2397924</v>
      </c>
      <c r="M414" s="1224">
        <f t="shared" si="181"/>
        <v>0</v>
      </c>
      <c r="N414" s="1224">
        <f t="shared" si="181"/>
        <v>448426.63</v>
      </c>
      <c r="O414" s="1224">
        <f ca="1">IF(L414&gt;0,N414*100/L414,0)</f>
        <v>18.7006189520602</v>
      </c>
      <c r="P414" s="1224">
        <f>IF(M414&gt;0,N414*100/M414,0)</f>
        <v>0</v>
      </c>
    </row>
    <row r="415" spans="1:26" ht="19.5">
      <c r="A415" s="1225" t="s">
        <v>181</v>
      </c>
      <c r="B415" s="1226"/>
      <c r="C415" s="1226"/>
      <c r="D415" s="1226"/>
      <c r="E415" s="1226"/>
      <c r="F415" s="1226"/>
      <c r="G415" s="1226"/>
      <c r="H415" s="1227"/>
      <c r="I415" s="1228"/>
      <c r="J415" s="1228"/>
      <c r="K415" s="1229"/>
      <c r="L415" s="1230"/>
      <c r="M415" s="1230"/>
      <c r="N415" s="1230"/>
      <c r="O415" s="1230"/>
      <c r="P415" s="1230"/>
    </row>
    <row r="416" spans="1:26" ht="19.5">
      <c r="A416" s="1225" t="s">
        <v>182</v>
      </c>
      <c r="B416" s="1226"/>
      <c r="C416" s="1226"/>
      <c r="D416" s="1226"/>
      <c r="E416" s="1226"/>
      <c r="F416" s="1226"/>
      <c r="G416" s="1231"/>
      <c r="H416" s="1232"/>
      <c r="I416" s="1233"/>
      <c r="J416" s="1233"/>
      <c r="K416" s="1230"/>
      <c r="L416" s="1230"/>
      <c r="M416" s="1230"/>
      <c r="N416" s="1230"/>
      <c r="O416" s="1230"/>
      <c r="P416" s="1230"/>
    </row>
    <row r="417" spans="1:26" ht="39">
      <c r="A417" s="527">
        <v>1</v>
      </c>
      <c r="B417" s="1234" t="s">
        <v>183</v>
      </c>
      <c r="C417" s="1234"/>
      <c r="D417" s="1235"/>
      <c r="E417" s="1235"/>
      <c r="F417" s="1235"/>
      <c r="G417" s="1236"/>
      <c r="H417" s="532" t="s">
        <v>35</v>
      </c>
      <c r="I417" s="1237">
        <f t="shared" ref="I417:J418" ca="1" si="182">I433</f>
        <v>60</v>
      </c>
      <c r="J417" s="1237">
        <f t="shared" ca="1" si="182"/>
        <v>60</v>
      </c>
      <c r="K417" s="1238">
        <f t="shared" ref="K417:K418" ca="1" si="183">IF(I417&gt;0,J417*100/I417,0)</f>
        <v>100</v>
      </c>
      <c r="L417" s="1239"/>
      <c r="M417" s="1239"/>
      <c r="N417" s="1239"/>
      <c r="O417" s="1239"/>
      <c r="P417" s="1239"/>
    </row>
    <row r="418" spans="1:26" ht="19.5">
      <c r="A418" s="1240"/>
      <c r="B418" s="527"/>
      <c r="C418" s="1234"/>
      <c r="D418" s="1235"/>
      <c r="E418" s="1235"/>
      <c r="F418" s="1235"/>
      <c r="G418" s="1236"/>
      <c r="H418" s="532" t="s">
        <v>49</v>
      </c>
      <c r="I418" s="1237">
        <f t="shared" ca="1" si="182"/>
        <v>2</v>
      </c>
      <c r="J418" s="1237">
        <f t="shared" si="182"/>
        <v>2</v>
      </c>
      <c r="K418" s="1238">
        <f t="shared" ca="1" si="183"/>
        <v>100</v>
      </c>
      <c r="L418" s="1239"/>
      <c r="M418" s="1239"/>
      <c r="N418" s="1239"/>
      <c r="O418" s="1239"/>
      <c r="P418" s="1239"/>
    </row>
    <row r="419" spans="1:26" ht="19.5">
      <c r="A419" s="932"/>
      <c r="B419" s="933"/>
      <c r="C419" s="933" t="s">
        <v>16</v>
      </c>
      <c r="D419" s="1510" t="s">
        <v>17</v>
      </c>
      <c r="E419" s="1487"/>
      <c r="F419" s="1487"/>
      <c r="G419" s="936"/>
      <c r="H419" s="275" t="s">
        <v>12</v>
      </c>
      <c r="I419" s="937"/>
      <c r="J419" s="937"/>
      <c r="K419" s="938"/>
      <c r="L419" s="939">
        <f t="shared" ref="L419:N419" ca="1" si="184">L420+L421</f>
        <v>212900</v>
      </c>
      <c r="M419" s="939">
        <f t="shared" si="184"/>
        <v>0</v>
      </c>
      <c r="N419" s="939">
        <f t="shared" si="184"/>
        <v>40820</v>
      </c>
      <c r="O419" s="939">
        <f t="shared" ref="O419:O424" ca="1" si="185">IF(L419&gt;0,N419*100/L419,0)</f>
        <v>19.173320807891027</v>
      </c>
      <c r="P419" s="939">
        <f t="shared" ref="P419:P424" si="186">IF(M419&gt;0,N419*100/M419,0)</f>
        <v>0</v>
      </c>
      <c r="Q419" s="818"/>
      <c r="R419" s="818"/>
      <c r="S419" s="818"/>
      <c r="T419" s="818"/>
      <c r="U419" s="818"/>
      <c r="V419" s="818"/>
      <c r="W419" s="818"/>
      <c r="X419" s="818"/>
      <c r="Y419" s="818"/>
      <c r="Z419" s="818"/>
    </row>
    <row r="420" spans="1:26" ht="18.75" hidden="1">
      <c r="A420" s="940"/>
      <c r="B420" s="833"/>
      <c r="C420" s="833"/>
      <c r="D420" s="1061"/>
      <c r="E420" s="834" t="s">
        <v>184</v>
      </c>
      <c r="F420" s="833"/>
      <c r="G420" s="941"/>
      <c r="H420" s="165" t="s">
        <v>12</v>
      </c>
      <c r="I420" s="836"/>
      <c r="J420" s="836"/>
      <c r="K420" s="837"/>
      <c r="L420" s="837">
        <f t="shared" ref="L420:N421" si="187">L423+L430</f>
        <v>0</v>
      </c>
      <c r="M420" s="837">
        <f t="shared" si="187"/>
        <v>0</v>
      </c>
      <c r="N420" s="837">
        <f t="shared" si="187"/>
        <v>0</v>
      </c>
      <c r="O420" s="837">
        <f t="shared" si="185"/>
        <v>0</v>
      </c>
      <c r="P420" s="837">
        <f t="shared" si="186"/>
        <v>0</v>
      </c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</row>
    <row r="421" spans="1:26" ht="18.75" hidden="1">
      <c r="A421" s="940"/>
      <c r="B421" s="833"/>
      <c r="C421" s="833"/>
      <c r="D421" s="1061"/>
      <c r="E421" s="834" t="s">
        <v>185</v>
      </c>
      <c r="F421" s="833"/>
      <c r="G421" s="941"/>
      <c r="H421" s="165" t="s">
        <v>12</v>
      </c>
      <c r="I421" s="836"/>
      <c r="J421" s="836"/>
      <c r="K421" s="837"/>
      <c r="L421" s="837">
        <f t="shared" ca="1" si="187"/>
        <v>212900</v>
      </c>
      <c r="M421" s="837">
        <f t="shared" si="187"/>
        <v>0</v>
      </c>
      <c r="N421" s="837">
        <f t="shared" si="187"/>
        <v>40820</v>
      </c>
      <c r="O421" s="837">
        <f t="shared" ca="1" si="185"/>
        <v>19.173320807891027</v>
      </c>
      <c r="P421" s="837">
        <f t="shared" si="186"/>
        <v>0</v>
      </c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</row>
    <row r="422" spans="1:26" ht="18.75">
      <c r="A422" s="942"/>
      <c r="B422" s="1030"/>
      <c r="C422" s="827"/>
      <c r="D422" s="828" t="s">
        <v>20</v>
      </c>
      <c r="E422" s="827"/>
      <c r="F422" s="827"/>
      <c r="G422" s="829"/>
      <c r="H422" s="778" t="s">
        <v>12</v>
      </c>
      <c r="I422" s="944"/>
      <c r="J422" s="944"/>
      <c r="K422" s="945"/>
      <c r="L422" s="831">
        <f t="shared" ref="L422:N422" ca="1" si="188">L423+L424</f>
        <v>212900</v>
      </c>
      <c r="M422" s="831">
        <f t="shared" si="188"/>
        <v>0</v>
      </c>
      <c r="N422" s="831">
        <f t="shared" si="188"/>
        <v>40820</v>
      </c>
      <c r="O422" s="831">
        <f t="shared" ca="1" si="185"/>
        <v>19.173320807891027</v>
      </c>
      <c r="P422" s="831">
        <f t="shared" si="186"/>
        <v>0</v>
      </c>
      <c r="Q422" s="818"/>
      <c r="R422" s="818"/>
      <c r="S422" s="818"/>
      <c r="T422" s="818"/>
      <c r="U422" s="818"/>
      <c r="V422" s="818"/>
      <c r="W422" s="818"/>
      <c r="X422" s="818"/>
      <c r="Y422" s="818"/>
      <c r="Z422" s="818"/>
    </row>
    <row r="423" spans="1:26" ht="18.75" hidden="1">
      <c r="A423" s="940"/>
      <c r="B423" s="833"/>
      <c r="C423" s="833"/>
      <c r="D423" s="1061"/>
      <c r="E423" s="834" t="s">
        <v>184</v>
      </c>
      <c r="F423" s="833"/>
      <c r="G423" s="941"/>
      <c r="H423" s="165" t="s">
        <v>12</v>
      </c>
      <c r="I423" s="836"/>
      <c r="J423" s="836"/>
      <c r="K423" s="837"/>
      <c r="L423" s="837">
        <v>0</v>
      </c>
      <c r="M423" s="837">
        <v>0</v>
      </c>
      <c r="N423" s="837">
        <v>0</v>
      </c>
      <c r="O423" s="837">
        <f t="shared" si="185"/>
        <v>0</v>
      </c>
      <c r="P423" s="837">
        <f t="shared" si="186"/>
        <v>0</v>
      </c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</row>
    <row r="424" spans="1:26" ht="18.75" hidden="1">
      <c r="A424" s="940"/>
      <c r="B424" s="833"/>
      <c r="C424" s="833"/>
      <c r="D424" s="1061"/>
      <c r="E424" s="834" t="s">
        <v>185</v>
      </c>
      <c r="F424" s="833"/>
      <c r="G424" s="941"/>
      <c r="H424" s="165" t="s">
        <v>12</v>
      </c>
      <c r="I424" s="836"/>
      <c r="J424" s="836"/>
      <c r="K424" s="837"/>
      <c r="L424" s="837">
        <f ca="1">IFERROR(__xludf.DUMMYFUNCTION("IMPORTRANGE(""https://docs.google.com/spreadsheets/d/1QqKyyYR6Q21VydFLVH3TRQUabQu_ym0Zz7PgGX0-kHA/edit?usp=sharing"",""แผน!EY26"")"),212900)</f>
        <v>212900</v>
      </c>
      <c r="M424" s="837">
        <v>0</v>
      </c>
      <c r="N424" s="837">
        <f>N425+N426+N427+N428</f>
        <v>40820</v>
      </c>
      <c r="O424" s="837">
        <f t="shared" ca="1" si="185"/>
        <v>19.173320807891027</v>
      </c>
      <c r="P424" s="837">
        <f t="shared" si="186"/>
        <v>0</v>
      </c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</row>
    <row r="425" spans="1:26" ht="18.75">
      <c r="A425" s="1241"/>
      <c r="B425" s="1242"/>
      <c r="C425" s="1243"/>
      <c r="D425" s="1243"/>
      <c r="E425" s="1243"/>
      <c r="F425" s="1243" t="s">
        <v>186</v>
      </c>
      <c r="G425" s="963"/>
      <c r="H425" s="778" t="s">
        <v>12</v>
      </c>
      <c r="I425" s="830"/>
      <c r="J425" s="830"/>
      <c r="K425" s="831"/>
      <c r="L425" s="831"/>
      <c r="M425" s="831"/>
      <c r="N425" s="1031">
        <v>13920</v>
      </c>
      <c r="O425" s="831"/>
      <c r="P425" s="831"/>
      <c r="Q425" s="1244"/>
      <c r="R425" s="1244"/>
      <c r="S425" s="1244"/>
      <c r="T425" s="1244"/>
      <c r="U425" s="1244"/>
      <c r="V425" s="1244"/>
      <c r="W425" s="1244"/>
      <c r="X425" s="1244"/>
      <c r="Y425" s="1244"/>
      <c r="Z425" s="1244"/>
    </row>
    <row r="426" spans="1:26" ht="18.75">
      <c r="A426" s="1241"/>
      <c r="B426" s="1242"/>
      <c r="C426" s="1243"/>
      <c r="D426" s="1243"/>
      <c r="E426" s="1243"/>
      <c r="F426" s="1243" t="s">
        <v>187</v>
      </c>
      <c r="G426" s="963"/>
      <c r="H426" s="778" t="s">
        <v>12</v>
      </c>
      <c r="I426" s="830"/>
      <c r="J426" s="830"/>
      <c r="K426" s="831"/>
      <c r="L426" s="831"/>
      <c r="M426" s="831"/>
      <c r="N426" s="1031">
        <v>0</v>
      </c>
      <c r="O426" s="831"/>
      <c r="P426" s="831"/>
      <c r="Q426" s="1244"/>
      <c r="R426" s="1244"/>
      <c r="S426" s="1244"/>
      <c r="T426" s="1244"/>
      <c r="U426" s="1244"/>
      <c r="V426" s="1244"/>
      <c r="W426" s="1244"/>
      <c r="X426" s="1244"/>
      <c r="Y426" s="1244"/>
      <c r="Z426" s="1244"/>
    </row>
    <row r="427" spans="1:26" ht="18.75">
      <c r="A427" s="1241"/>
      <c r="B427" s="1242"/>
      <c r="C427" s="1243"/>
      <c r="D427" s="1243"/>
      <c r="E427" s="1243"/>
      <c r="F427" s="1243" t="s">
        <v>188</v>
      </c>
      <c r="G427" s="963"/>
      <c r="H427" s="778" t="s">
        <v>12</v>
      </c>
      <c r="I427" s="830"/>
      <c r="J427" s="830"/>
      <c r="K427" s="831"/>
      <c r="L427" s="831"/>
      <c r="M427" s="831"/>
      <c r="N427" s="1031">
        <v>0</v>
      </c>
      <c r="O427" s="831"/>
      <c r="P427" s="831"/>
      <c r="Q427" s="1244"/>
      <c r="R427" s="1244"/>
      <c r="S427" s="1244"/>
      <c r="T427" s="1244"/>
      <c r="U427" s="1244"/>
      <c r="V427" s="1244"/>
      <c r="W427" s="1244"/>
      <c r="X427" s="1244"/>
      <c r="Y427" s="1244"/>
      <c r="Z427" s="1244"/>
    </row>
    <row r="428" spans="1:26" ht="18.75">
      <c r="A428" s="1032"/>
      <c r="B428" s="1030"/>
      <c r="C428" s="827"/>
      <c r="D428" s="827"/>
      <c r="E428" s="827"/>
      <c r="F428" s="943" t="s">
        <v>189</v>
      </c>
      <c r="G428" s="977"/>
      <c r="H428" s="778" t="s">
        <v>12</v>
      </c>
      <c r="I428" s="830"/>
      <c r="J428" s="830"/>
      <c r="K428" s="831"/>
      <c r="L428" s="831"/>
      <c r="M428" s="831"/>
      <c r="N428" s="1031">
        <v>26900</v>
      </c>
      <c r="O428" s="831"/>
      <c r="P428" s="831"/>
      <c r="Q428" s="818"/>
      <c r="R428" s="818"/>
      <c r="S428" s="818"/>
      <c r="T428" s="818"/>
      <c r="U428" s="818"/>
      <c r="V428" s="818"/>
      <c r="W428" s="818"/>
      <c r="X428" s="818"/>
      <c r="Y428" s="818"/>
      <c r="Z428" s="818"/>
    </row>
    <row r="429" spans="1:26" ht="18.75">
      <c r="A429" s="942"/>
      <c r="B429" s="1030"/>
      <c r="C429" s="827"/>
      <c r="D429" s="828" t="s">
        <v>21</v>
      </c>
      <c r="E429" s="827"/>
      <c r="F429" s="827"/>
      <c r="G429" s="829"/>
      <c r="H429" s="168" t="s">
        <v>12</v>
      </c>
      <c r="I429" s="944"/>
      <c r="J429" s="944"/>
      <c r="K429" s="945"/>
      <c r="L429" s="831">
        <f t="shared" ref="L429:N429" ca="1" si="189">L430+L431</f>
        <v>0</v>
      </c>
      <c r="M429" s="831">
        <f t="shared" si="189"/>
        <v>0</v>
      </c>
      <c r="N429" s="831">
        <f t="shared" si="189"/>
        <v>0</v>
      </c>
      <c r="O429" s="831">
        <f t="shared" ref="O429:O431" ca="1" si="190">IF(L429&gt;0,N429*100/L429,0)</f>
        <v>0</v>
      </c>
      <c r="P429" s="831">
        <f t="shared" ref="P429:P431" si="191">IF(M429&gt;0,N429*100/M429,0)</f>
        <v>0</v>
      </c>
      <c r="Q429" s="818"/>
      <c r="R429" s="818"/>
      <c r="S429" s="818"/>
      <c r="T429" s="818"/>
      <c r="U429" s="818"/>
      <c r="V429" s="818"/>
      <c r="W429" s="818"/>
      <c r="X429" s="818"/>
      <c r="Y429" s="818"/>
      <c r="Z429" s="818"/>
    </row>
    <row r="430" spans="1:26" ht="18.75" hidden="1">
      <c r="A430" s="940"/>
      <c r="B430" s="1052"/>
      <c r="C430" s="833"/>
      <c r="D430" s="833"/>
      <c r="E430" s="834" t="s">
        <v>18</v>
      </c>
      <c r="F430" s="833"/>
      <c r="G430" s="835"/>
      <c r="H430" s="165" t="s">
        <v>12</v>
      </c>
      <c r="I430" s="947"/>
      <c r="J430" s="947"/>
      <c r="K430" s="948"/>
      <c r="L430" s="837">
        <v>0</v>
      </c>
      <c r="M430" s="837">
        <v>0</v>
      </c>
      <c r="N430" s="837">
        <v>0</v>
      </c>
      <c r="O430" s="837">
        <f t="shared" si="190"/>
        <v>0</v>
      </c>
      <c r="P430" s="837">
        <f t="shared" si="191"/>
        <v>0</v>
      </c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</row>
    <row r="431" spans="1:26" ht="18.75" hidden="1">
      <c r="A431" s="940"/>
      <c r="B431" s="1052"/>
      <c r="C431" s="833"/>
      <c r="D431" s="833"/>
      <c r="E431" s="834" t="s">
        <v>19</v>
      </c>
      <c r="F431" s="833"/>
      <c r="G431" s="835"/>
      <c r="H431" s="169" t="s">
        <v>12</v>
      </c>
      <c r="I431" s="947"/>
      <c r="J431" s="947"/>
      <c r="K431" s="948"/>
      <c r="L431" s="837">
        <f ca="1">IFERROR(__xludf.DUMMYFUNCTION("IMPORTRANGE(""https://docs.google.com/spreadsheets/d/1QqKyyYR6Q21VydFLVH3TRQUabQu_ym0Zz7PgGX0-kHA/edit?usp=sharing"",""แผน!FB26"")"),0)</f>
        <v>0</v>
      </c>
      <c r="M431" s="837">
        <v>0</v>
      </c>
      <c r="N431" s="837">
        <v>0</v>
      </c>
      <c r="O431" s="837">
        <f t="shared" ca="1" si="190"/>
        <v>0</v>
      </c>
      <c r="P431" s="837">
        <f t="shared" si="191"/>
        <v>0</v>
      </c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</row>
    <row r="432" spans="1:26" ht="19.5">
      <c r="A432" s="1112"/>
      <c r="B432" s="1113"/>
      <c r="C432" s="933" t="s">
        <v>16</v>
      </c>
      <c r="D432" s="1245" t="s">
        <v>38</v>
      </c>
      <c r="E432" s="1246"/>
      <c r="F432" s="1246"/>
      <c r="G432" s="1247"/>
      <c r="H432" s="1248"/>
      <c r="I432" s="937"/>
      <c r="J432" s="937"/>
      <c r="K432" s="938"/>
      <c r="L432" s="938"/>
      <c r="M432" s="938"/>
      <c r="N432" s="938"/>
      <c r="O432" s="938"/>
      <c r="P432" s="938"/>
      <c r="Q432" s="818"/>
      <c r="R432" s="818"/>
      <c r="S432" s="818"/>
      <c r="T432" s="818"/>
      <c r="U432" s="818"/>
      <c r="V432" s="818"/>
      <c r="W432" s="818"/>
      <c r="X432" s="818"/>
      <c r="Y432" s="818"/>
      <c r="Z432" s="818"/>
    </row>
    <row r="433" spans="1:26" ht="19.5">
      <c r="A433" s="949"/>
      <c r="B433" s="950"/>
      <c r="C433" s="950"/>
      <c r="D433" s="960" t="s">
        <v>190</v>
      </c>
      <c r="E433" s="957"/>
      <c r="F433" s="957"/>
      <c r="G433" s="958"/>
      <c r="H433" s="196" t="s">
        <v>35</v>
      </c>
      <c r="I433" s="966">
        <f ca="1">I435</f>
        <v>60</v>
      </c>
      <c r="J433" s="966">
        <f ca="1">IF(AND(J435=I435,J437=I437,J439=I439),I437+I439,IF(AND(J435=I437,J437=I437),I437,IF(AND(J435=I439,J439=I439),I439,0)))</f>
        <v>60</v>
      </c>
      <c r="K433" s="967">
        <f t="shared" ref="K433:K435" ca="1" si="192">IF(I433&gt;0,J433*100/I433,0)</f>
        <v>100</v>
      </c>
      <c r="L433" s="831"/>
      <c r="M433" s="831"/>
      <c r="N433" s="831"/>
      <c r="O433" s="831"/>
      <c r="P433" s="831"/>
      <c r="Q433" s="818"/>
      <c r="R433" s="818"/>
      <c r="S433" s="818"/>
      <c r="T433" s="818"/>
      <c r="U433" s="818"/>
      <c r="V433" s="818"/>
      <c r="W433" s="818"/>
      <c r="X433" s="818"/>
      <c r="Y433" s="818"/>
      <c r="Z433" s="818"/>
    </row>
    <row r="434" spans="1:26" ht="19.5">
      <c r="A434" s="949"/>
      <c r="B434" s="950"/>
      <c r="C434" s="950"/>
      <c r="D434" s="960" t="s">
        <v>191</v>
      </c>
      <c r="E434" s="957"/>
      <c r="F434" s="957"/>
      <c r="G434" s="958"/>
      <c r="H434" s="196" t="s">
        <v>49</v>
      </c>
      <c r="I434" s="966">
        <f t="shared" ref="I434:J434" ca="1" si="193">I438+I440</f>
        <v>2</v>
      </c>
      <c r="J434" s="966">
        <f t="shared" si="193"/>
        <v>2</v>
      </c>
      <c r="K434" s="967">
        <f t="shared" ca="1" si="192"/>
        <v>100</v>
      </c>
      <c r="L434" s="831"/>
      <c r="M434" s="831"/>
      <c r="N434" s="831"/>
      <c r="O434" s="831"/>
      <c r="P434" s="831"/>
      <c r="Q434" s="818"/>
      <c r="R434" s="818"/>
      <c r="S434" s="818"/>
      <c r="T434" s="818"/>
      <c r="U434" s="818"/>
      <c r="V434" s="818"/>
      <c r="W434" s="818"/>
      <c r="X434" s="818"/>
      <c r="Y434" s="818"/>
      <c r="Z434" s="818"/>
    </row>
    <row r="435" spans="1:26" ht="18.75">
      <c r="A435" s="949"/>
      <c r="B435" s="950"/>
      <c r="C435" s="950"/>
      <c r="D435" s="956" t="s">
        <v>192</v>
      </c>
      <c r="E435" s="957"/>
      <c r="F435" s="957"/>
      <c r="G435" s="958"/>
      <c r="H435" s="590" t="s">
        <v>35</v>
      </c>
      <c r="I435" s="548">
        <f ca="1">IFERROR(__xludf.DUMMYFUNCTION("IMPORTRANGE(""https://docs.google.com/spreadsheets/d/1QqKyyYR6Q21VydFLVH3TRQUabQu_ym0Zz7PgGX0-kHA/edit?usp=sharing"",""แผน!FC26"")"),60)</f>
        <v>60</v>
      </c>
      <c r="J435" s="549">
        <v>60</v>
      </c>
      <c r="K435" s="831">
        <f t="shared" ca="1" si="192"/>
        <v>100</v>
      </c>
      <c r="L435" s="831"/>
      <c r="M435" s="831"/>
      <c r="N435" s="831"/>
      <c r="O435" s="831"/>
      <c r="P435" s="831"/>
      <c r="Q435" s="818"/>
      <c r="R435" s="818"/>
      <c r="S435" s="818"/>
      <c r="T435" s="818"/>
      <c r="U435" s="818"/>
      <c r="V435" s="818"/>
      <c r="W435" s="818"/>
      <c r="X435" s="818"/>
      <c r="Y435" s="818"/>
      <c r="Z435" s="818"/>
    </row>
    <row r="436" spans="1:26" ht="18.75">
      <c r="A436" s="949"/>
      <c r="B436" s="950"/>
      <c r="C436" s="950"/>
      <c r="D436" s="956" t="s">
        <v>193</v>
      </c>
      <c r="E436" s="957"/>
      <c r="F436" s="957"/>
      <c r="G436" s="958"/>
      <c r="H436" s="590"/>
      <c r="I436" s="830"/>
      <c r="J436" s="830"/>
      <c r="K436" s="831"/>
      <c r="L436" s="831"/>
      <c r="M436" s="831"/>
      <c r="N436" s="831"/>
      <c r="O436" s="831"/>
      <c r="P436" s="831"/>
      <c r="Q436" s="818"/>
      <c r="R436" s="818"/>
      <c r="S436" s="818"/>
      <c r="T436" s="818"/>
      <c r="U436" s="818"/>
      <c r="V436" s="818"/>
      <c r="W436" s="818"/>
      <c r="X436" s="818"/>
      <c r="Y436" s="818"/>
      <c r="Z436" s="818"/>
    </row>
    <row r="437" spans="1:26" ht="18.75">
      <c r="A437" s="949"/>
      <c r="B437" s="950"/>
      <c r="C437" s="950"/>
      <c r="D437" s="956" t="s">
        <v>194</v>
      </c>
      <c r="E437" s="957"/>
      <c r="F437" s="957"/>
      <c r="G437" s="958"/>
      <c r="H437" s="590" t="s">
        <v>35</v>
      </c>
      <c r="I437" s="548">
        <f ca="1">IFERROR(__xludf.DUMMYFUNCTION("IMPORTRANGE(""https://docs.google.com/spreadsheets/d/1QqKyyYR6Q21VydFLVH3TRQUabQu_ym0Zz7PgGX0-kHA/edit?usp=sharing"",""แผน!FD26"")"),40)</f>
        <v>40</v>
      </c>
      <c r="J437" s="549">
        <v>40</v>
      </c>
      <c r="K437" s="831">
        <f t="shared" ref="K437:K443" ca="1" si="194">IF(I437&gt;0,J437*100/I437,0)</f>
        <v>100</v>
      </c>
      <c r="L437" s="831"/>
      <c r="M437" s="831"/>
      <c r="N437" s="831"/>
      <c r="O437" s="831"/>
      <c r="P437" s="831"/>
      <c r="Q437" s="818"/>
      <c r="R437" s="818"/>
      <c r="S437" s="818"/>
      <c r="T437" s="818"/>
      <c r="U437" s="818"/>
      <c r="V437" s="818"/>
      <c r="W437" s="818"/>
      <c r="X437" s="818"/>
      <c r="Y437" s="818"/>
      <c r="Z437" s="818"/>
    </row>
    <row r="438" spans="1:26" ht="18.75">
      <c r="A438" s="949"/>
      <c r="B438" s="950"/>
      <c r="C438" s="950"/>
      <c r="D438" s="956" t="s">
        <v>195</v>
      </c>
      <c r="E438" s="957"/>
      <c r="F438" s="957"/>
      <c r="G438" s="958"/>
      <c r="H438" s="590" t="s">
        <v>49</v>
      </c>
      <c r="I438" s="830">
        <f ca="1">IFERROR(__xludf.DUMMYFUNCTION("IMPORTRANGE(""https://docs.google.com/spreadsheets/d/1QqKyyYR6Q21VydFLVH3TRQUabQu_ym0Zz7PgGX0-kHA/edit?usp=sharing"",""แผน!FE26"")"),1)</f>
        <v>1</v>
      </c>
      <c r="J438" s="959">
        <v>1</v>
      </c>
      <c r="K438" s="831">
        <f t="shared" ca="1" si="194"/>
        <v>100</v>
      </c>
      <c r="L438" s="831"/>
      <c r="M438" s="831"/>
      <c r="N438" s="831"/>
      <c r="O438" s="831"/>
      <c r="P438" s="831"/>
      <c r="Q438" s="818"/>
      <c r="R438" s="818"/>
      <c r="S438" s="818"/>
      <c r="T438" s="818"/>
      <c r="U438" s="818"/>
      <c r="V438" s="818"/>
      <c r="W438" s="818"/>
      <c r="X438" s="818"/>
      <c r="Y438" s="818"/>
      <c r="Z438" s="818"/>
    </row>
    <row r="439" spans="1:26" ht="18.75">
      <c r="A439" s="949"/>
      <c r="B439" s="950"/>
      <c r="C439" s="950"/>
      <c r="D439" s="956" t="s">
        <v>196</v>
      </c>
      <c r="E439" s="957"/>
      <c r="F439" s="957"/>
      <c r="G439" s="958"/>
      <c r="H439" s="590" t="s">
        <v>35</v>
      </c>
      <c r="I439" s="548">
        <f ca="1">IFERROR(__xludf.DUMMYFUNCTION("IMPORTRANGE(""https://docs.google.com/spreadsheets/d/1QqKyyYR6Q21VydFLVH3TRQUabQu_ym0Zz7PgGX0-kHA/edit?usp=sharing"",""แผน!FF26"")"),20)</f>
        <v>20</v>
      </c>
      <c r="J439" s="549">
        <v>20</v>
      </c>
      <c r="K439" s="831">
        <f t="shared" ca="1" si="194"/>
        <v>100</v>
      </c>
      <c r="L439" s="831"/>
      <c r="M439" s="831"/>
      <c r="N439" s="831"/>
      <c r="O439" s="831"/>
      <c r="P439" s="831"/>
      <c r="Q439" s="818"/>
      <c r="R439" s="818"/>
      <c r="S439" s="818"/>
      <c r="T439" s="818"/>
      <c r="U439" s="818"/>
      <c r="V439" s="818"/>
      <c r="W439" s="818"/>
      <c r="X439" s="818"/>
      <c r="Y439" s="818"/>
      <c r="Z439" s="818"/>
    </row>
    <row r="440" spans="1:26" ht="18.75">
      <c r="A440" s="949"/>
      <c r="B440" s="950"/>
      <c r="C440" s="950"/>
      <c r="D440" s="956" t="s">
        <v>197</v>
      </c>
      <c r="E440" s="957"/>
      <c r="F440" s="957"/>
      <c r="G440" s="958"/>
      <c r="H440" s="590" t="s">
        <v>49</v>
      </c>
      <c r="I440" s="830">
        <f ca="1">IFERROR(__xludf.DUMMYFUNCTION("IMPORTRANGE(""https://docs.google.com/spreadsheets/d/1QqKyyYR6Q21VydFLVH3TRQUabQu_ym0Zz7PgGX0-kHA/edit?usp=sharing"",""แผน!FG26"")"),1)</f>
        <v>1</v>
      </c>
      <c r="J440" s="959">
        <v>1</v>
      </c>
      <c r="K440" s="831">
        <f t="shared" ca="1" si="194"/>
        <v>100</v>
      </c>
      <c r="L440" s="831"/>
      <c r="M440" s="831"/>
      <c r="N440" s="831"/>
      <c r="O440" s="831"/>
      <c r="P440" s="831"/>
      <c r="Q440" s="818"/>
      <c r="R440" s="818"/>
      <c r="S440" s="818"/>
      <c r="T440" s="818"/>
      <c r="U440" s="818"/>
      <c r="V440" s="818"/>
      <c r="W440" s="818"/>
      <c r="X440" s="818"/>
      <c r="Y440" s="818"/>
      <c r="Z440" s="818"/>
    </row>
    <row r="441" spans="1:26" ht="18.75" hidden="1">
      <c r="A441" s="949"/>
      <c r="B441" s="950"/>
      <c r="C441" s="950"/>
      <c r="D441" s="956" t="s">
        <v>198</v>
      </c>
      <c r="E441" s="957"/>
      <c r="F441" s="957"/>
      <c r="G441" s="958"/>
      <c r="H441" s="590" t="s">
        <v>35</v>
      </c>
      <c r="I441" s="830">
        <f ca="1">IFERROR(__xludf.DUMMYFUNCTION("IMPORTRANGE(""https://docs.google.com/spreadsheets/d/1QqKyyYR6Q21VydFLVH3TRQUabQu_ym0Zz7PgGX0-kHA/edit?usp=sharing"",""แผน!FH26"")"),0)</f>
        <v>0</v>
      </c>
      <c r="J441" s="830">
        <v>0</v>
      </c>
      <c r="K441" s="831">
        <f t="shared" ca="1" si="194"/>
        <v>0</v>
      </c>
      <c r="L441" s="831"/>
      <c r="M441" s="831"/>
      <c r="N441" s="831"/>
      <c r="O441" s="831"/>
      <c r="P441" s="831"/>
      <c r="Q441" s="818"/>
      <c r="R441" s="818"/>
      <c r="S441" s="818"/>
      <c r="T441" s="818"/>
      <c r="U441" s="818"/>
      <c r="V441" s="818"/>
      <c r="W441" s="818"/>
      <c r="X441" s="818"/>
      <c r="Y441" s="818"/>
      <c r="Z441" s="818"/>
    </row>
    <row r="442" spans="1:26" ht="19.5">
      <c r="A442" s="550">
        <v>2</v>
      </c>
      <c r="B442" s="1249" t="s">
        <v>199</v>
      </c>
      <c r="C442" s="1250"/>
      <c r="D442" s="1250"/>
      <c r="E442" s="1250"/>
      <c r="F442" s="1250"/>
      <c r="G442" s="1251"/>
      <c r="H442" s="554" t="s">
        <v>35</v>
      </c>
      <c r="I442" s="1252">
        <f t="shared" ref="I442:J442" ca="1" si="195">I460</f>
        <v>20</v>
      </c>
      <c r="J442" s="1252">
        <f t="shared" si="195"/>
        <v>20</v>
      </c>
      <c r="K442" s="1253">
        <f t="shared" ca="1" si="194"/>
        <v>100</v>
      </c>
      <c r="L442" s="1254"/>
      <c r="M442" s="1254"/>
      <c r="N442" s="1254"/>
      <c r="O442" s="1254"/>
      <c r="P442" s="1254"/>
      <c r="Q442" s="1244"/>
      <c r="R442" s="1244"/>
      <c r="S442" s="1244"/>
      <c r="T442" s="1244"/>
      <c r="U442" s="1244"/>
      <c r="V442" s="1244"/>
      <c r="W442" s="1244"/>
      <c r="X442" s="1244"/>
      <c r="Y442" s="1244"/>
      <c r="Z442" s="1244"/>
    </row>
    <row r="443" spans="1:26" ht="19.5">
      <c r="A443" s="1255"/>
      <c r="B443" s="1256"/>
      <c r="C443" s="1257"/>
      <c r="D443" s="1257"/>
      <c r="E443" s="1257"/>
      <c r="F443" s="1257"/>
      <c r="G443" s="1258"/>
      <c r="H443" s="532" t="s">
        <v>46</v>
      </c>
      <c r="I443" s="1237">
        <f t="shared" ref="I443:J443" ca="1" si="196">I462</f>
        <v>70</v>
      </c>
      <c r="J443" s="1237">
        <f t="shared" si="196"/>
        <v>70</v>
      </c>
      <c r="K443" s="1238">
        <f t="shared" ca="1" si="194"/>
        <v>100</v>
      </c>
      <c r="L443" s="1239"/>
      <c r="M443" s="1239"/>
      <c r="N443" s="1239"/>
      <c r="O443" s="1239"/>
      <c r="P443" s="1239"/>
      <c r="Q443" s="1244"/>
      <c r="R443" s="1244"/>
      <c r="S443" s="1244"/>
      <c r="T443" s="1244"/>
      <c r="U443" s="1244"/>
      <c r="V443" s="1244"/>
      <c r="W443" s="1244"/>
      <c r="X443" s="1244"/>
      <c r="Y443" s="1244"/>
      <c r="Z443" s="1244"/>
    </row>
    <row r="444" spans="1:26" ht="19.5">
      <c r="A444" s="1259"/>
      <c r="B444" s="1243"/>
      <c r="C444" s="1243" t="s">
        <v>16</v>
      </c>
      <c r="D444" s="1507" t="s">
        <v>17</v>
      </c>
      <c r="E444" s="1485"/>
      <c r="F444" s="1485"/>
      <c r="G444" s="963"/>
      <c r="H444" s="563" t="s">
        <v>12</v>
      </c>
      <c r="I444" s="830"/>
      <c r="J444" s="830"/>
      <c r="K444" s="831"/>
      <c r="L444" s="967">
        <f t="shared" ref="L444:N444" ca="1" si="197">L445+L446</f>
        <v>128460</v>
      </c>
      <c r="M444" s="967">
        <f t="shared" si="197"/>
        <v>0</v>
      </c>
      <c r="N444" s="967">
        <f t="shared" si="197"/>
        <v>8060</v>
      </c>
      <c r="O444" s="967">
        <f t="shared" ref="O444:O449" ca="1" si="198">IF(L444&gt;0,N444*100/L444,0)</f>
        <v>6.2743266386423793</v>
      </c>
      <c r="P444" s="967">
        <f t="shared" ref="P444:P449" si="199">IF(M444&gt;0,N444*100/M444,0)</f>
        <v>0</v>
      </c>
      <c r="Q444" s="1244"/>
      <c r="R444" s="1244"/>
      <c r="S444" s="1244"/>
      <c r="T444" s="1244"/>
      <c r="U444" s="1244"/>
      <c r="V444" s="1244"/>
      <c r="W444" s="1244"/>
      <c r="X444" s="1244"/>
      <c r="Y444" s="1244"/>
      <c r="Z444" s="1244"/>
    </row>
    <row r="445" spans="1:26" ht="18.75" hidden="1">
      <c r="A445" s="1260"/>
      <c r="B445" s="1261"/>
      <c r="C445" s="1261"/>
      <c r="D445" s="1262"/>
      <c r="E445" s="1261" t="s">
        <v>184</v>
      </c>
      <c r="F445" s="1261"/>
      <c r="G445" s="1263"/>
      <c r="H445" s="165" t="s">
        <v>12</v>
      </c>
      <c r="I445" s="836"/>
      <c r="J445" s="836"/>
      <c r="K445" s="837"/>
      <c r="L445" s="837">
        <f t="shared" ref="L445:N446" si="200">L448+L455</f>
        <v>0</v>
      </c>
      <c r="M445" s="837">
        <f t="shared" si="200"/>
        <v>0</v>
      </c>
      <c r="N445" s="837">
        <f t="shared" si="200"/>
        <v>0</v>
      </c>
      <c r="O445" s="837">
        <f t="shared" si="198"/>
        <v>0</v>
      </c>
      <c r="P445" s="837">
        <f t="shared" si="199"/>
        <v>0</v>
      </c>
      <c r="Q445" s="1264"/>
      <c r="R445" s="1264"/>
      <c r="S445" s="1264"/>
      <c r="T445" s="1264"/>
      <c r="U445" s="1264"/>
      <c r="V445" s="1264"/>
      <c r="W445" s="1264"/>
      <c r="X445" s="1264"/>
      <c r="Y445" s="1264"/>
      <c r="Z445" s="1264"/>
    </row>
    <row r="446" spans="1:26" ht="18.75" hidden="1">
      <c r="A446" s="1260"/>
      <c r="B446" s="1265"/>
      <c r="C446" s="1261"/>
      <c r="D446" s="1262"/>
      <c r="E446" s="1261" t="s">
        <v>185</v>
      </c>
      <c r="F446" s="1261"/>
      <c r="G446" s="1263"/>
      <c r="H446" s="165" t="s">
        <v>12</v>
      </c>
      <c r="I446" s="836"/>
      <c r="J446" s="836"/>
      <c r="K446" s="837"/>
      <c r="L446" s="837">
        <f t="shared" ca="1" si="200"/>
        <v>128460</v>
      </c>
      <c r="M446" s="837">
        <f t="shared" si="200"/>
        <v>0</v>
      </c>
      <c r="N446" s="837">
        <f t="shared" si="200"/>
        <v>8060</v>
      </c>
      <c r="O446" s="837">
        <f t="shared" ca="1" si="198"/>
        <v>6.2743266386423793</v>
      </c>
      <c r="P446" s="837">
        <f t="shared" si="199"/>
        <v>0</v>
      </c>
      <c r="Q446" s="1264"/>
      <c r="R446" s="1264"/>
      <c r="S446" s="1264"/>
      <c r="T446" s="1264"/>
      <c r="U446" s="1264"/>
      <c r="V446" s="1264"/>
      <c r="W446" s="1264"/>
      <c r="X446" s="1264"/>
      <c r="Y446" s="1264"/>
      <c r="Z446" s="1264"/>
    </row>
    <row r="447" spans="1:26" ht="18.75">
      <c r="A447" s="1259"/>
      <c r="B447" s="1242"/>
      <c r="C447" s="1243"/>
      <c r="D447" s="1266" t="s">
        <v>20</v>
      </c>
      <c r="E447" s="1243"/>
      <c r="F447" s="1243"/>
      <c r="G447" s="963"/>
      <c r="H447" s="778" t="s">
        <v>12</v>
      </c>
      <c r="I447" s="944"/>
      <c r="J447" s="944"/>
      <c r="K447" s="945"/>
      <c r="L447" s="831">
        <f t="shared" ref="L447:N447" ca="1" si="201">L448+L449</f>
        <v>128460</v>
      </c>
      <c r="M447" s="831">
        <f t="shared" si="201"/>
        <v>0</v>
      </c>
      <c r="N447" s="831">
        <f t="shared" si="201"/>
        <v>8060</v>
      </c>
      <c r="O447" s="831">
        <f t="shared" ca="1" si="198"/>
        <v>6.2743266386423793</v>
      </c>
      <c r="P447" s="831">
        <f t="shared" si="199"/>
        <v>0</v>
      </c>
      <c r="Q447" s="1244"/>
      <c r="R447" s="1244"/>
      <c r="S447" s="1244"/>
      <c r="T447" s="1244"/>
      <c r="U447" s="1244"/>
      <c r="V447" s="1244"/>
      <c r="W447" s="1244"/>
      <c r="X447" s="1244"/>
      <c r="Y447" s="1244"/>
      <c r="Z447" s="1244"/>
    </row>
    <row r="448" spans="1:26" ht="18.75" hidden="1">
      <c r="A448" s="1260"/>
      <c r="B448" s="1265"/>
      <c r="C448" s="1261"/>
      <c r="D448" s="1262"/>
      <c r="E448" s="1261" t="s">
        <v>184</v>
      </c>
      <c r="F448" s="1261"/>
      <c r="G448" s="1263"/>
      <c r="H448" s="165" t="s">
        <v>12</v>
      </c>
      <c r="I448" s="836"/>
      <c r="J448" s="836"/>
      <c r="K448" s="837"/>
      <c r="L448" s="837">
        <v>0</v>
      </c>
      <c r="M448" s="837">
        <v>0</v>
      </c>
      <c r="N448" s="837">
        <v>0</v>
      </c>
      <c r="O448" s="837">
        <f t="shared" si="198"/>
        <v>0</v>
      </c>
      <c r="P448" s="837">
        <f t="shared" si="199"/>
        <v>0</v>
      </c>
      <c r="Q448" s="1264"/>
      <c r="R448" s="1264"/>
      <c r="S448" s="1264"/>
      <c r="T448" s="1264"/>
      <c r="U448" s="1264"/>
      <c r="V448" s="1264"/>
      <c r="W448" s="1264"/>
      <c r="X448" s="1264"/>
      <c r="Y448" s="1264"/>
      <c r="Z448" s="1264"/>
    </row>
    <row r="449" spans="1:26" ht="18.75" hidden="1">
      <c r="A449" s="1260"/>
      <c r="B449" s="1265"/>
      <c r="C449" s="1261"/>
      <c r="D449" s="1262"/>
      <c r="E449" s="1261" t="s">
        <v>185</v>
      </c>
      <c r="F449" s="1261"/>
      <c r="G449" s="1263"/>
      <c r="H449" s="165" t="s">
        <v>12</v>
      </c>
      <c r="I449" s="836"/>
      <c r="J449" s="836"/>
      <c r="K449" s="837"/>
      <c r="L449" s="837">
        <f ca="1">IFERROR(__xludf.DUMMYFUNCTION("IMPORTRANGE(""https://docs.google.com/spreadsheets/d/1QqKyyYR6Q21VydFLVH3TRQUabQu_ym0Zz7PgGX0-kHA/edit?usp=sharing"",""แผน!FJ26"")"),128460)</f>
        <v>128460</v>
      </c>
      <c r="M449" s="837">
        <v>0</v>
      </c>
      <c r="N449" s="837">
        <f>N450+N451+N452+N453</f>
        <v>8060</v>
      </c>
      <c r="O449" s="837">
        <f t="shared" ca="1" si="198"/>
        <v>6.2743266386423793</v>
      </c>
      <c r="P449" s="837">
        <f t="shared" si="199"/>
        <v>0</v>
      </c>
      <c r="Q449" s="1264"/>
      <c r="R449" s="1264"/>
      <c r="S449" s="1264"/>
      <c r="T449" s="1264"/>
      <c r="U449" s="1264"/>
      <c r="V449" s="1264"/>
      <c r="W449" s="1264"/>
      <c r="X449" s="1264"/>
      <c r="Y449" s="1264"/>
      <c r="Z449" s="1264"/>
    </row>
    <row r="450" spans="1:26" ht="18.75">
      <c r="A450" s="1241"/>
      <c r="B450" s="1242"/>
      <c r="C450" s="1243"/>
      <c r="D450" s="1243"/>
      <c r="E450" s="1243"/>
      <c r="F450" s="1243" t="s">
        <v>186</v>
      </c>
      <c r="G450" s="963"/>
      <c r="H450" s="778" t="s">
        <v>12</v>
      </c>
      <c r="I450" s="830"/>
      <c r="J450" s="830"/>
      <c r="K450" s="831"/>
      <c r="L450" s="831"/>
      <c r="M450" s="831"/>
      <c r="N450" s="1031">
        <v>6820</v>
      </c>
      <c r="O450" s="831"/>
      <c r="P450" s="831"/>
      <c r="Q450" s="1244"/>
      <c r="R450" s="1244"/>
      <c r="S450" s="1244"/>
      <c r="T450" s="1244"/>
      <c r="U450" s="1244"/>
      <c r="V450" s="1244"/>
      <c r="W450" s="1244"/>
      <c r="X450" s="1244"/>
      <c r="Y450" s="1244"/>
      <c r="Z450" s="1244"/>
    </row>
    <row r="451" spans="1:26" ht="18.75">
      <c r="A451" s="1241"/>
      <c r="B451" s="1242"/>
      <c r="C451" s="1243"/>
      <c r="D451" s="1243"/>
      <c r="E451" s="1243"/>
      <c r="F451" s="1243" t="s">
        <v>187</v>
      </c>
      <c r="G451" s="963"/>
      <c r="H451" s="778" t="s">
        <v>12</v>
      </c>
      <c r="I451" s="830"/>
      <c r="J451" s="830"/>
      <c r="K451" s="831"/>
      <c r="L451" s="831"/>
      <c r="M451" s="831"/>
      <c r="N451" s="1031">
        <v>0</v>
      </c>
      <c r="O451" s="831"/>
      <c r="P451" s="831"/>
      <c r="Q451" s="1244"/>
      <c r="R451" s="1244"/>
      <c r="S451" s="1244"/>
      <c r="T451" s="1244"/>
      <c r="U451" s="1244"/>
      <c r="V451" s="1244"/>
      <c r="W451" s="1244"/>
      <c r="X451" s="1244"/>
      <c r="Y451" s="1244"/>
      <c r="Z451" s="1244"/>
    </row>
    <row r="452" spans="1:26" ht="18.75">
      <c r="A452" s="1241"/>
      <c r="B452" s="1242"/>
      <c r="C452" s="1242"/>
      <c r="D452" s="1242"/>
      <c r="E452" s="1242"/>
      <c r="F452" s="1243" t="s">
        <v>188</v>
      </c>
      <c r="G452" s="963"/>
      <c r="H452" s="778" t="s">
        <v>12</v>
      </c>
      <c r="I452" s="830"/>
      <c r="J452" s="830"/>
      <c r="K452" s="831"/>
      <c r="L452" s="831"/>
      <c r="M452" s="831"/>
      <c r="N452" s="1031">
        <v>0</v>
      </c>
      <c r="O452" s="831"/>
      <c r="P452" s="831"/>
      <c r="Q452" s="1244"/>
      <c r="R452" s="1244"/>
      <c r="S452" s="1244"/>
      <c r="T452" s="1244"/>
      <c r="U452" s="1244"/>
      <c r="V452" s="1244"/>
      <c r="W452" s="1244"/>
      <c r="X452" s="1244"/>
      <c r="Y452" s="1244"/>
      <c r="Z452" s="1244"/>
    </row>
    <row r="453" spans="1:26" ht="18.75">
      <c r="A453" s="1241"/>
      <c r="B453" s="1242"/>
      <c r="C453" s="1242"/>
      <c r="D453" s="1242"/>
      <c r="E453" s="1242"/>
      <c r="F453" s="1243" t="s">
        <v>189</v>
      </c>
      <c r="G453" s="963"/>
      <c r="H453" s="778" t="s">
        <v>12</v>
      </c>
      <c r="I453" s="830"/>
      <c r="J453" s="830"/>
      <c r="K453" s="831"/>
      <c r="L453" s="831"/>
      <c r="M453" s="831"/>
      <c r="N453" s="1031">
        <v>1240</v>
      </c>
      <c r="O453" s="831"/>
      <c r="P453" s="831"/>
      <c r="Q453" s="1244"/>
      <c r="R453" s="1244"/>
      <c r="S453" s="1244"/>
      <c r="T453" s="1244"/>
      <c r="U453" s="1244"/>
      <c r="V453" s="1244"/>
      <c r="W453" s="1244"/>
      <c r="X453" s="1244"/>
      <c r="Y453" s="1244"/>
      <c r="Z453" s="1244"/>
    </row>
    <row r="454" spans="1:26" ht="18.75">
      <c r="A454" s="1259"/>
      <c r="B454" s="1242"/>
      <c r="C454" s="1242"/>
      <c r="D454" s="1266" t="s">
        <v>21</v>
      </c>
      <c r="E454" s="1242"/>
      <c r="F454" s="1243"/>
      <c r="G454" s="963"/>
      <c r="H454" s="168" t="s">
        <v>12</v>
      </c>
      <c r="I454" s="944"/>
      <c r="J454" s="944"/>
      <c r="K454" s="945"/>
      <c r="L454" s="831">
        <f t="shared" ref="L454:N454" ca="1" si="202">L455+L456</f>
        <v>0</v>
      </c>
      <c r="M454" s="831">
        <f t="shared" si="202"/>
        <v>0</v>
      </c>
      <c r="N454" s="831">
        <f t="shared" si="202"/>
        <v>0</v>
      </c>
      <c r="O454" s="831">
        <f t="shared" ref="O454:O456" ca="1" si="203">IF(L454&gt;0,N454*100/L454,0)</f>
        <v>0</v>
      </c>
      <c r="P454" s="831">
        <f t="shared" ref="P454:P456" si="204">IF(M454&gt;0,N454*100/M454,0)</f>
        <v>0</v>
      </c>
      <c r="Q454" s="1244"/>
      <c r="R454" s="1244"/>
      <c r="S454" s="1244"/>
      <c r="T454" s="1244"/>
      <c r="U454" s="1244"/>
      <c r="V454" s="1244"/>
      <c r="W454" s="1244"/>
      <c r="X454" s="1244"/>
      <c r="Y454" s="1244"/>
      <c r="Z454" s="1244"/>
    </row>
    <row r="455" spans="1:26" ht="18.75" hidden="1">
      <c r="A455" s="1260"/>
      <c r="B455" s="1265"/>
      <c r="C455" s="1265"/>
      <c r="D455" s="1265"/>
      <c r="E455" s="1265" t="s">
        <v>18</v>
      </c>
      <c r="F455" s="1261"/>
      <c r="G455" s="1263"/>
      <c r="H455" s="165" t="s">
        <v>12</v>
      </c>
      <c r="I455" s="947"/>
      <c r="J455" s="947"/>
      <c r="K455" s="948"/>
      <c r="L455" s="837">
        <v>0</v>
      </c>
      <c r="M455" s="837">
        <v>0</v>
      </c>
      <c r="N455" s="837">
        <v>0</v>
      </c>
      <c r="O455" s="837">
        <f t="shared" si="203"/>
        <v>0</v>
      </c>
      <c r="P455" s="837">
        <f t="shared" si="204"/>
        <v>0</v>
      </c>
      <c r="Q455" s="1264"/>
      <c r="R455" s="1264"/>
      <c r="S455" s="1264"/>
      <c r="T455" s="1264"/>
      <c r="U455" s="1264"/>
      <c r="V455" s="1264"/>
      <c r="W455" s="1264"/>
      <c r="X455" s="1264"/>
      <c r="Y455" s="1264"/>
      <c r="Z455" s="1264"/>
    </row>
    <row r="456" spans="1:26" ht="18.75" hidden="1">
      <c r="A456" s="1260"/>
      <c r="B456" s="1265"/>
      <c r="C456" s="1265"/>
      <c r="D456" s="1265"/>
      <c r="E456" s="1265" t="s">
        <v>19</v>
      </c>
      <c r="F456" s="1261"/>
      <c r="G456" s="1263"/>
      <c r="H456" s="169" t="s">
        <v>12</v>
      </c>
      <c r="I456" s="947"/>
      <c r="J456" s="947"/>
      <c r="K456" s="948"/>
      <c r="L456" s="837">
        <f ca="1">IFERROR(__xludf.DUMMYFUNCTION("IMPORTRANGE(""https://docs.google.com/spreadsheets/d/1QqKyyYR6Q21VydFLVH3TRQUabQu_ym0Zz7PgGX0-kHA/edit?usp=sharing"",""แผน!FM26"")"),0)</f>
        <v>0</v>
      </c>
      <c r="M456" s="837">
        <v>0</v>
      </c>
      <c r="N456" s="837">
        <v>0</v>
      </c>
      <c r="O456" s="837">
        <f t="shared" ca="1" si="203"/>
        <v>0</v>
      </c>
      <c r="P456" s="837">
        <f t="shared" si="204"/>
        <v>0</v>
      </c>
      <c r="Q456" s="1264"/>
      <c r="R456" s="1264"/>
      <c r="S456" s="1264"/>
      <c r="T456" s="1264"/>
      <c r="U456" s="1264"/>
      <c r="V456" s="1264"/>
      <c r="W456" s="1264"/>
      <c r="X456" s="1264"/>
      <c r="Y456" s="1264"/>
      <c r="Z456" s="1264"/>
    </row>
    <row r="457" spans="1:26" ht="19.5">
      <c r="A457" s="1267"/>
      <c r="B457" s="1268"/>
      <c r="C457" s="1242" t="s">
        <v>16</v>
      </c>
      <c r="D457" s="1269" t="s">
        <v>38</v>
      </c>
      <c r="E457" s="1270"/>
      <c r="F457" s="1271"/>
      <c r="G457" s="1272"/>
      <c r="H457" s="954"/>
      <c r="I457" s="830"/>
      <c r="J457" s="830"/>
      <c r="K457" s="831"/>
      <c r="L457" s="831"/>
      <c r="M457" s="831"/>
      <c r="N457" s="831"/>
      <c r="O457" s="831"/>
      <c r="P457" s="831"/>
      <c r="Q457" s="1244"/>
      <c r="R457" s="1244"/>
      <c r="S457" s="1244"/>
      <c r="T457" s="1244"/>
      <c r="U457" s="1244"/>
      <c r="V457" s="1244"/>
      <c r="W457" s="1244"/>
      <c r="X457" s="1244"/>
      <c r="Y457" s="1244"/>
      <c r="Z457" s="1244"/>
    </row>
    <row r="458" spans="1:26" ht="18.75" hidden="1">
      <c r="A458" s="1273"/>
      <c r="B458" s="1274"/>
      <c r="C458" s="1274"/>
      <c r="D458" s="1274" t="s">
        <v>200</v>
      </c>
      <c r="E458" s="1274"/>
      <c r="F458" s="1262"/>
      <c r="G458" s="1060"/>
      <c r="H458" s="583" t="s">
        <v>35</v>
      </c>
      <c r="I458" s="836">
        <v>0</v>
      </c>
      <c r="J458" s="836">
        <v>0</v>
      </c>
      <c r="K458" s="837">
        <f>IF(I458&gt;0,J458*100/I458,0)</f>
        <v>0</v>
      </c>
      <c r="L458" s="837"/>
      <c r="M458" s="837"/>
      <c r="N458" s="837"/>
      <c r="O458" s="837"/>
      <c r="P458" s="837"/>
      <c r="Q458" s="1264"/>
      <c r="R458" s="1264"/>
      <c r="S458" s="1264"/>
      <c r="T458" s="1264"/>
      <c r="U458" s="1264"/>
      <c r="V458" s="1264"/>
      <c r="W458" s="1264"/>
      <c r="X458" s="1264"/>
      <c r="Y458" s="1264"/>
      <c r="Z458" s="1264"/>
    </row>
    <row r="459" spans="1:26" ht="18.75" hidden="1">
      <c r="A459" s="1273"/>
      <c r="B459" s="1274"/>
      <c r="C459" s="1274"/>
      <c r="D459" s="1274" t="s">
        <v>201</v>
      </c>
      <c r="E459" s="1274"/>
      <c r="F459" s="1262"/>
      <c r="G459" s="1060"/>
      <c r="H459" s="583"/>
      <c r="I459" s="836"/>
      <c r="J459" s="836"/>
      <c r="K459" s="837"/>
      <c r="L459" s="837"/>
      <c r="M459" s="837"/>
      <c r="N459" s="837"/>
      <c r="O459" s="837"/>
      <c r="P459" s="837"/>
      <c r="Q459" s="1264"/>
      <c r="R459" s="1264"/>
      <c r="S459" s="1264"/>
      <c r="T459" s="1264"/>
      <c r="U459" s="1264"/>
      <c r="V459" s="1264"/>
      <c r="W459" s="1264"/>
      <c r="X459" s="1264"/>
      <c r="Y459" s="1264"/>
      <c r="Z459" s="1264"/>
    </row>
    <row r="460" spans="1:26" ht="18.75">
      <c r="A460" s="1267"/>
      <c r="B460" s="1268"/>
      <c r="C460" s="1268"/>
      <c r="D460" s="1268" t="s">
        <v>202</v>
      </c>
      <c r="E460" s="1268"/>
      <c r="F460" s="961"/>
      <c r="G460" s="954"/>
      <c r="H460" s="730" t="s">
        <v>35</v>
      </c>
      <c r="I460" s="830">
        <f ca="1">IFERROR(__xludf.DUMMYFUNCTION("IMPORTRANGE(""https://docs.google.com/spreadsheets/d/1QqKyyYR6Q21VydFLVH3TRQUabQu_ym0Zz7PgGX0-kHA/edit?usp=sharing"",""แผน!FN26"")"),20)</f>
        <v>20</v>
      </c>
      <c r="J460" s="959">
        <v>20</v>
      </c>
      <c r="K460" s="831">
        <f ca="1">IF(I460&gt;0,J460*100/I460,0)</f>
        <v>100</v>
      </c>
      <c r="L460" s="831"/>
      <c r="M460" s="831"/>
      <c r="N460" s="831"/>
      <c r="O460" s="831"/>
      <c r="P460" s="831"/>
      <c r="Q460" s="1244"/>
      <c r="R460" s="1244"/>
      <c r="S460" s="1244"/>
      <c r="T460" s="1244"/>
      <c r="U460" s="1244"/>
      <c r="V460" s="1244"/>
      <c r="W460" s="1244"/>
      <c r="X460" s="1244"/>
      <c r="Y460" s="1244"/>
      <c r="Z460" s="1244"/>
    </row>
    <row r="461" spans="1:26" ht="18.75">
      <c r="A461" s="1267"/>
      <c r="B461" s="1268"/>
      <c r="C461" s="1268"/>
      <c r="D461" s="1268" t="s">
        <v>203</v>
      </c>
      <c r="E461" s="961"/>
      <c r="F461" s="961"/>
      <c r="G461" s="954"/>
      <c r="H461" s="730"/>
      <c r="I461" s="830"/>
      <c r="J461" s="830"/>
      <c r="K461" s="831"/>
      <c r="L461" s="831"/>
      <c r="M461" s="831"/>
      <c r="N461" s="831"/>
      <c r="O461" s="831"/>
      <c r="P461" s="831"/>
      <c r="Q461" s="1244"/>
      <c r="R461" s="1244"/>
      <c r="S461" s="1244"/>
      <c r="T461" s="1244"/>
      <c r="U461" s="1244"/>
      <c r="V461" s="1244"/>
      <c r="W461" s="1244"/>
      <c r="X461" s="1244"/>
      <c r="Y461" s="1244"/>
      <c r="Z461" s="1244"/>
    </row>
    <row r="462" spans="1:26" ht="18.75">
      <c r="A462" s="1267"/>
      <c r="B462" s="1268"/>
      <c r="C462" s="1268"/>
      <c r="D462" s="1268" t="s">
        <v>204</v>
      </c>
      <c r="E462" s="961"/>
      <c r="F462" s="961"/>
      <c r="G462" s="954"/>
      <c r="H462" s="730" t="s">
        <v>46</v>
      </c>
      <c r="I462" s="830">
        <f ca="1">IFERROR(__xludf.DUMMYFUNCTION("IMPORTRANGE(""https://docs.google.com/spreadsheets/d/1QqKyyYR6Q21VydFLVH3TRQUabQu_ym0Zz7PgGX0-kHA/edit?usp=sharing"",""แผน!FO26"")"),70)</f>
        <v>70</v>
      </c>
      <c r="J462" s="959">
        <v>70</v>
      </c>
      <c r="K462" s="831">
        <f ca="1">IF(I462&gt;0,J462*100/I462,0)</f>
        <v>100</v>
      </c>
      <c r="L462" s="831"/>
      <c r="M462" s="831"/>
      <c r="N462" s="831"/>
      <c r="O462" s="831"/>
      <c r="P462" s="831"/>
      <c r="Q462" s="1244"/>
      <c r="R462" s="1244"/>
      <c r="S462" s="1244"/>
      <c r="T462" s="1244"/>
      <c r="U462" s="1244"/>
      <c r="V462" s="1244"/>
      <c r="W462" s="1244"/>
      <c r="X462" s="1244"/>
      <c r="Y462" s="1244"/>
      <c r="Z462" s="1244"/>
    </row>
    <row r="463" spans="1:26" ht="18.75">
      <c r="A463" s="1267"/>
      <c r="B463" s="1268"/>
      <c r="C463" s="1268"/>
      <c r="D463" s="1268" t="s">
        <v>59</v>
      </c>
      <c r="E463" s="961"/>
      <c r="F463" s="1243"/>
      <c r="G463" s="963"/>
      <c r="H463" s="730" t="s">
        <v>46</v>
      </c>
      <c r="I463" s="830">
        <f ca="1">IFERROR(__xludf.DUMMYFUNCTION("IMPORTRANGE(""https://docs.google.com/spreadsheets/d/1QqKyyYR6Q21VydFLVH3TRQUabQu_ym0Zz7PgGX0-kHA/edit?usp=sharing"",""แผน!FO26"")"),70)</f>
        <v>70</v>
      </c>
      <c r="J463" s="959">
        <v>0</v>
      </c>
      <c r="K463" s="831"/>
      <c r="L463" s="831"/>
      <c r="M463" s="831"/>
      <c r="N463" s="831"/>
      <c r="O463" s="831"/>
      <c r="P463" s="831"/>
      <c r="Q463" s="1244"/>
      <c r="R463" s="1244"/>
      <c r="S463" s="1244"/>
      <c r="T463" s="1244"/>
      <c r="U463" s="1244"/>
      <c r="V463" s="1244"/>
      <c r="W463" s="1244"/>
      <c r="X463" s="1244"/>
      <c r="Y463" s="1244"/>
      <c r="Z463" s="1244"/>
    </row>
    <row r="464" spans="1:26" ht="19.5">
      <c r="A464" s="1267"/>
      <c r="B464" s="1268"/>
      <c r="C464" s="1268"/>
      <c r="D464" s="1268"/>
      <c r="E464" s="961"/>
      <c r="F464" s="961"/>
      <c r="G464" s="1275"/>
      <c r="H464" s="730" t="s">
        <v>35</v>
      </c>
      <c r="I464" s="830">
        <f ca="1">IFERROR(__xludf.DUMMYFUNCTION("IMPORTRANGE(""https://docs.google.com/spreadsheets/d/1QqKyyYR6Q21VydFLVH3TRQUabQu_ym0Zz7PgGX0-kHA/edit?usp=sharing"",""แผน!FN26"")"),20)</f>
        <v>20</v>
      </c>
      <c r="J464" s="959">
        <v>0</v>
      </c>
      <c r="K464" s="831"/>
      <c r="L464" s="831"/>
      <c r="M464" s="831"/>
      <c r="N464" s="831"/>
      <c r="O464" s="831"/>
      <c r="P464" s="831"/>
      <c r="Q464" s="1244"/>
      <c r="R464" s="1244"/>
      <c r="S464" s="1244"/>
      <c r="T464" s="1244"/>
      <c r="U464" s="1244"/>
      <c r="V464" s="1244"/>
      <c r="W464" s="1244"/>
      <c r="X464" s="1244"/>
      <c r="Y464" s="1244"/>
      <c r="Z464" s="1244"/>
    </row>
    <row r="465" spans="1:26" ht="19.5">
      <c r="A465" s="550">
        <v>3</v>
      </c>
      <c r="B465" s="1249" t="s">
        <v>205</v>
      </c>
      <c r="C465" s="1250"/>
      <c r="D465" s="1250"/>
      <c r="E465" s="1250"/>
      <c r="F465" s="1250"/>
      <c r="G465" s="1251"/>
      <c r="H465" s="554" t="s">
        <v>35</v>
      </c>
      <c r="I465" s="1252">
        <f ca="1">IFERROR(__xludf.DUMMYFUNCTION("IMPORTRANGE(""https://docs.google.com/spreadsheets/d/1QqKyyYR6Q21VydFLVH3TRQUabQu_ym0Zz7PgGX0-kHA/edit?usp=sharing"",""แผน!FX26"")"),131)</f>
        <v>131</v>
      </c>
      <c r="J465" s="1252">
        <f>J485+J489+J492</f>
        <v>131</v>
      </c>
      <c r="K465" s="1253">
        <f t="shared" ref="K465:K466" ca="1" si="205">IF(I465&gt;0,J465*100/I465,0)</f>
        <v>100</v>
      </c>
      <c r="L465" s="1254"/>
      <c r="M465" s="1254"/>
      <c r="N465" s="1254"/>
      <c r="O465" s="1254"/>
      <c r="P465" s="1254"/>
      <c r="Q465" s="1244"/>
      <c r="R465" s="1244"/>
      <c r="S465" s="1244"/>
      <c r="T465" s="1244"/>
      <c r="U465" s="1244"/>
      <c r="V465" s="1244"/>
      <c r="W465" s="1244"/>
      <c r="X465" s="1244"/>
      <c r="Y465" s="1244"/>
      <c r="Z465" s="1244"/>
    </row>
    <row r="466" spans="1:26" ht="19.5">
      <c r="A466" s="1255"/>
      <c r="B466" s="1256"/>
      <c r="C466" s="1257"/>
      <c r="D466" s="1257"/>
      <c r="E466" s="1257"/>
      <c r="F466" s="1257"/>
      <c r="G466" s="1258"/>
      <c r="H466" s="532" t="s">
        <v>46</v>
      </c>
      <c r="I466" s="1237">
        <f ca="1">IFERROR(__xludf.DUMMYFUNCTION("IMPORTRANGE(""https://docs.google.com/spreadsheets/d/1QqKyyYR6Q21VydFLVH3TRQUabQu_ym0Zz7PgGX0-kHA/edit?usp=sharing"",""แผน!FW26"")"),1300)</f>
        <v>1300</v>
      </c>
      <c r="J466" s="1237">
        <f>J495+J498</f>
        <v>0</v>
      </c>
      <c r="K466" s="1238">
        <f t="shared" ca="1" si="205"/>
        <v>0</v>
      </c>
      <c r="L466" s="1239"/>
      <c r="M466" s="1239"/>
      <c r="N466" s="1239"/>
      <c r="O466" s="1239"/>
      <c r="P466" s="1239"/>
      <c r="Q466" s="1244"/>
      <c r="R466" s="1244"/>
      <c r="S466" s="1244"/>
      <c r="T466" s="1244"/>
      <c r="U466" s="1244"/>
      <c r="V466" s="1244"/>
      <c r="W466" s="1244"/>
      <c r="X466" s="1244"/>
      <c r="Y466" s="1244"/>
      <c r="Z466" s="1244"/>
    </row>
    <row r="467" spans="1:26" ht="19.5">
      <c r="A467" s="1259"/>
      <c r="B467" s="1243"/>
      <c r="C467" s="1243" t="s">
        <v>16</v>
      </c>
      <c r="D467" s="1507" t="s">
        <v>17</v>
      </c>
      <c r="E467" s="1485"/>
      <c r="F467" s="1485"/>
      <c r="G467" s="963"/>
      <c r="H467" s="563" t="s">
        <v>12</v>
      </c>
      <c r="I467" s="830"/>
      <c r="J467" s="830"/>
      <c r="K467" s="831"/>
      <c r="L467" s="967">
        <f t="shared" ref="L467:N467" ca="1" si="206">L468+L469</f>
        <v>1171028</v>
      </c>
      <c r="M467" s="967">
        <f t="shared" si="206"/>
        <v>0</v>
      </c>
      <c r="N467" s="967">
        <f t="shared" si="206"/>
        <v>196983.66999999998</v>
      </c>
      <c r="O467" s="967">
        <f t="shared" ref="O467:O472" ca="1" si="207">IF(L467&gt;0,N467*100/L467,0)</f>
        <v>16.821431255273144</v>
      </c>
      <c r="P467" s="967">
        <f t="shared" ref="P467:P472" si="208">IF(M467&gt;0,N467*100/M467,0)</f>
        <v>0</v>
      </c>
      <c r="Q467" s="1244"/>
      <c r="R467" s="1244"/>
      <c r="S467" s="1244"/>
      <c r="T467" s="1244"/>
      <c r="U467" s="1244"/>
      <c r="V467" s="1244"/>
      <c r="W467" s="1244"/>
      <c r="X467" s="1244"/>
      <c r="Y467" s="1244"/>
      <c r="Z467" s="1244"/>
    </row>
    <row r="468" spans="1:26" ht="18.75" hidden="1">
      <c r="A468" s="1260"/>
      <c r="B468" s="1261"/>
      <c r="C468" s="1261"/>
      <c r="D468" s="1262"/>
      <c r="E468" s="1261" t="s">
        <v>184</v>
      </c>
      <c r="F468" s="1261"/>
      <c r="G468" s="1263"/>
      <c r="H468" s="165" t="s">
        <v>12</v>
      </c>
      <c r="I468" s="836"/>
      <c r="J468" s="836"/>
      <c r="K468" s="837"/>
      <c r="L468" s="837">
        <f t="shared" ref="L468:N469" si="209">L471+L478</f>
        <v>0</v>
      </c>
      <c r="M468" s="837">
        <f t="shared" si="209"/>
        <v>0</v>
      </c>
      <c r="N468" s="837">
        <f t="shared" si="209"/>
        <v>0</v>
      </c>
      <c r="O468" s="837">
        <f t="shared" si="207"/>
        <v>0</v>
      </c>
      <c r="P468" s="837">
        <f t="shared" si="208"/>
        <v>0</v>
      </c>
      <c r="Q468" s="1264"/>
      <c r="R468" s="1264"/>
      <c r="S468" s="1264"/>
      <c r="T468" s="1264"/>
      <c r="U468" s="1264"/>
      <c r="V468" s="1264"/>
      <c r="W468" s="1264"/>
      <c r="X468" s="1264"/>
      <c r="Y468" s="1264"/>
      <c r="Z468" s="1264"/>
    </row>
    <row r="469" spans="1:26" ht="18.75" hidden="1">
      <c r="A469" s="1260"/>
      <c r="B469" s="1265"/>
      <c r="C469" s="1261"/>
      <c r="D469" s="1262"/>
      <c r="E469" s="1261" t="s">
        <v>185</v>
      </c>
      <c r="F469" s="1261"/>
      <c r="G469" s="1263"/>
      <c r="H469" s="165" t="s">
        <v>12</v>
      </c>
      <c r="I469" s="836"/>
      <c r="J469" s="836"/>
      <c r="K469" s="837"/>
      <c r="L469" s="837">
        <f t="shared" ca="1" si="209"/>
        <v>1171028</v>
      </c>
      <c r="M469" s="837">
        <f t="shared" si="209"/>
        <v>0</v>
      </c>
      <c r="N469" s="837">
        <f t="shared" si="209"/>
        <v>196983.66999999998</v>
      </c>
      <c r="O469" s="837">
        <f t="shared" ca="1" si="207"/>
        <v>16.821431255273144</v>
      </c>
      <c r="P469" s="837">
        <f t="shared" si="208"/>
        <v>0</v>
      </c>
      <c r="Q469" s="1264"/>
      <c r="R469" s="1264"/>
      <c r="S469" s="1264"/>
      <c r="T469" s="1264"/>
      <c r="U469" s="1264"/>
      <c r="V469" s="1264"/>
      <c r="W469" s="1264"/>
      <c r="X469" s="1264"/>
      <c r="Y469" s="1264"/>
      <c r="Z469" s="1264"/>
    </row>
    <row r="470" spans="1:26" ht="18.75">
      <c r="A470" s="1259"/>
      <c r="B470" s="1242"/>
      <c r="C470" s="1243"/>
      <c r="D470" s="1266" t="s">
        <v>20</v>
      </c>
      <c r="E470" s="1243"/>
      <c r="F470" s="1243"/>
      <c r="G470" s="963"/>
      <c r="H470" s="778" t="s">
        <v>12</v>
      </c>
      <c r="I470" s="944"/>
      <c r="J470" s="944"/>
      <c r="K470" s="945"/>
      <c r="L470" s="831">
        <f t="shared" ref="L470:N470" ca="1" si="210">L471+L472</f>
        <v>1171028</v>
      </c>
      <c r="M470" s="831">
        <f t="shared" si="210"/>
        <v>0</v>
      </c>
      <c r="N470" s="831">
        <f t="shared" si="210"/>
        <v>196983.66999999998</v>
      </c>
      <c r="O470" s="831">
        <f t="shared" ca="1" si="207"/>
        <v>16.821431255273144</v>
      </c>
      <c r="P470" s="831">
        <f t="shared" si="208"/>
        <v>0</v>
      </c>
      <c r="Q470" s="1244"/>
      <c r="R470" s="1244"/>
      <c r="S470" s="1244"/>
      <c r="T470" s="1244"/>
      <c r="U470" s="1244"/>
      <c r="V470" s="1244"/>
      <c r="W470" s="1244"/>
      <c r="X470" s="1244"/>
      <c r="Y470" s="1244"/>
      <c r="Z470" s="1244"/>
    </row>
    <row r="471" spans="1:26" ht="18.75" hidden="1">
      <c r="A471" s="1260"/>
      <c r="B471" s="1265"/>
      <c r="C471" s="1261"/>
      <c r="D471" s="1262"/>
      <c r="E471" s="1261" t="s">
        <v>184</v>
      </c>
      <c r="F471" s="1261"/>
      <c r="G471" s="1263"/>
      <c r="H471" s="165" t="s">
        <v>12</v>
      </c>
      <c r="I471" s="836"/>
      <c r="J471" s="836"/>
      <c r="K471" s="837"/>
      <c r="L471" s="837">
        <v>0</v>
      </c>
      <c r="M471" s="837">
        <v>0</v>
      </c>
      <c r="N471" s="837">
        <v>0</v>
      </c>
      <c r="O471" s="837">
        <f t="shared" si="207"/>
        <v>0</v>
      </c>
      <c r="P471" s="837">
        <f t="shared" si="208"/>
        <v>0</v>
      </c>
      <c r="Q471" s="1264"/>
      <c r="R471" s="1264"/>
      <c r="S471" s="1264"/>
      <c r="T471" s="1264"/>
      <c r="U471" s="1264"/>
      <c r="V471" s="1264"/>
      <c r="W471" s="1264"/>
      <c r="X471" s="1264"/>
      <c r="Y471" s="1264"/>
      <c r="Z471" s="1264"/>
    </row>
    <row r="472" spans="1:26" ht="18.75" hidden="1">
      <c r="A472" s="1260"/>
      <c r="B472" s="1265"/>
      <c r="C472" s="1261"/>
      <c r="D472" s="1262"/>
      <c r="E472" s="1261" t="s">
        <v>185</v>
      </c>
      <c r="F472" s="1261"/>
      <c r="G472" s="1263"/>
      <c r="H472" s="165" t="s">
        <v>12</v>
      </c>
      <c r="I472" s="836"/>
      <c r="J472" s="836"/>
      <c r="K472" s="837"/>
      <c r="L472" s="837">
        <f ca="1">IFERROR(__xludf.DUMMYFUNCTION("IMPORTRANGE(""https://docs.google.com/spreadsheets/d/1QqKyyYR6Q21VydFLVH3TRQUabQu_ym0Zz7PgGX0-kHA/edit?usp=sharing"",""แผน!FS26"")"),1171028)</f>
        <v>1171028</v>
      </c>
      <c r="M472" s="837">
        <v>0</v>
      </c>
      <c r="N472" s="837">
        <f>N473+N474+N475+N476</f>
        <v>196983.66999999998</v>
      </c>
      <c r="O472" s="837">
        <f t="shared" ca="1" si="207"/>
        <v>16.821431255273144</v>
      </c>
      <c r="P472" s="837">
        <f t="shared" si="208"/>
        <v>0</v>
      </c>
      <c r="Q472" s="1264"/>
      <c r="R472" s="1264"/>
      <c r="S472" s="1264"/>
      <c r="T472" s="1264"/>
      <c r="U472" s="1264"/>
      <c r="V472" s="1264"/>
      <c r="W472" s="1264"/>
      <c r="X472" s="1264"/>
      <c r="Y472" s="1264"/>
      <c r="Z472" s="1264"/>
    </row>
    <row r="473" spans="1:26" ht="18.75">
      <c r="A473" s="1241"/>
      <c r="B473" s="1242"/>
      <c r="C473" s="1243"/>
      <c r="D473" s="1243"/>
      <c r="E473" s="1243"/>
      <c r="F473" s="1243" t="s">
        <v>186</v>
      </c>
      <c r="G473" s="963"/>
      <c r="H473" s="778" t="s">
        <v>12</v>
      </c>
      <c r="I473" s="830"/>
      <c r="J473" s="830"/>
      <c r="K473" s="831"/>
      <c r="L473" s="831"/>
      <c r="M473" s="831"/>
      <c r="N473" s="1031">
        <v>117068</v>
      </c>
      <c r="O473" s="831"/>
      <c r="P473" s="831"/>
      <c r="Q473" s="1244"/>
      <c r="R473" s="1244"/>
      <c r="S473" s="1244"/>
      <c r="T473" s="1244"/>
      <c r="U473" s="1244"/>
      <c r="V473" s="1244"/>
      <c r="W473" s="1244"/>
      <c r="X473" s="1244"/>
      <c r="Y473" s="1244"/>
      <c r="Z473" s="1244"/>
    </row>
    <row r="474" spans="1:26" ht="18.75">
      <c r="A474" s="1241"/>
      <c r="B474" s="1242"/>
      <c r="C474" s="1243"/>
      <c r="D474" s="1243"/>
      <c r="E474" s="1243"/>
      <c r="F474" s="1243" t="s">
        <v>187</v>
      </c>
      <c r="G474" s="963"/>
      <c r="H474" s="778" t="s">
        <v>12</v>
      </c>
      <c r="I474" s="830"/>
      <c r="J474" s="830"/>
      <c r="K474" s="831"/>
      <c r="L474" s="831"/>
      <c r="M474" s="831"/>
      <c r="N474" s="1031">
        <v>4000</v>
      </c>
      <c r="O474" s="831"/>
      <c r="P474" s="831"/>
      <c r="Q474" s="1244"/>
      <c r="R474" s="1244"/>
      <c r="S474" s="1244"/>
      <c r="T474" s="1244"/>
      <c r="U474" s="1244"/>
      <c r="V474" s="1244"/>
      <c r="W474" s="1244"/>
      <c r="X474" s="1244"/>
      <c r="Y474" s="1244"/>
      <c r="Z474" s="1244"/>
    </row>
    <row r="475" spans="1:26" ht="18.75">
      <c r="A475" s="1241"/>
      <c r="B475" s="1242"/>
      <c r="C475" s="1242"/>
      <c r="D475" s="1242"/>
      <c r="E475" s="1242"/>
      <c r="F475" s="1243" t="s">
        <v>188</v>
      </c>
      <c r="G475" s="963"/>
      <c r="H475" s="778" t="s">
        <v>12</v>
      </c>
      <c r="I475" s="830"/>
      <c r="J475" s="830"/>
      <c r="K475" s="831"/>
      <c r="L475" s="831"/>
      <c r="M475" s="831"/>
      <c r="N475" s="1031">
        <v>38566.67</v>
      </c>
      <c r="O475" s="831"/>
      <c r="P475" s="831"/>
      <c r="Q475" s="1244"/>
      <c r="R475" s="1244"/>
      <c r="S475" s="1244"/>
      <c r="T475" s="1244"/>
      <c r="U475" s="1244"/>
      <c r="V475" s="1244"/>
      <c r="W475" s="1244"/>
      <c r="X475" s="1244"/>
      <c r="Y475" s="1244"/>
      <c r="Z475" s="1244"/>
    </row>
    <row r="476" spans="1:26" ht="18.75">
      <c r="A476" s="1241"/>
      <c r="B476" s="1242"/>
      <c r="C476" s="1242"/>
      <c r="D476" s="1242"/>
      <c r="E476" s="1242"/>
      <c r="F476" s="1243" t="s">
        <v>189</v>
      </c>
      <c r="G476" s="963"/>
      <c r="H476" s="778" t="s">
        <v>12</v>
      </c>
      <c r="I476" s="830"/>
      <c r="J476" s="830"/>
      <c r="K476" s="831"/>
      <c r="L476" s="831"/>
      <c r="M476" s="831"/>
      <c r="N476" s="1031">
        <v>37349</v>
      </c>
      <c r="O476" s="831"/>
      <c r="P476" s="831"/>
      <c r="Q476" s="1244"/>
      <c r="R476" s="1244"/>
      <c r="S476" s="1244"/>
      <c r="T476" s="1244"/>
      <c r="U476" s="1244"/>
      <c r="V476" s="1244"/>
      <c r="W476" s="1244"/>
      <c r="X476" s="1244"/>
      <c r="Y476" s="1244"/>
      <c r="Z476" s="1244"/>
    </row>
    <row r="477" spans="1:26" ht="18.75">
      <c r="A477" s="1259"/>
      <c r="B477" s="1242"/>
      <c r="C477" s="1242"/>
      <c r="D477" s="1266" t="s">
        <v>21</v>
      </c>
      <c r="E477" s="1242"/>
      <c r="F477" s="1242"/>
      <c r="G477" s="963"/>
      <c r="H477" s="168" t="s">
        <v>12</v>
      </c>
      <c r="I477" s="944"/>
      <c r="J477" s="944"/>
      <c r="K477" s="945"/>
      <c r="L477" s="831">
        <f t="shared" ref="L477:N477" ca="1" si="211">L478+L479</f>
        <v>0</v>
      </c>
      <c r="M477" s="831">
        <f t="shared" si="211"/>
        <v>0</v>
      </c>
      <c r="N477" s="831">
        <f t="shared" si="211"/>
        <v>0</v>
      </c>
      <c r="O477" s="831">
        <f t="shared" ref="O477:O479" ca="1" si="212">IF(L477&gt;0,N477*100/L477,0)</f>
        <v>0</v>
      </c>
      <c r="P477" s="831">
        <f t="shared" ref="P477:P479" si="213">IF(M477&gt;0,N477*100/M477,0)</f>
        <v>0</v>
      </c>
      <c r="Q477" s="1244"/>
      <c r="R477" s="1244"/>
      <c r="S477" s="1244"/>
      <c r="T477" s="1244"/>
      <c r="U477" s="1244"/>
      <c r="V477" s="1244"/>
      <c r="W477" s="1244"/>
      <c r="X477" s="1244"/>
      <c r="Y477" s="1244"/>
      <c r="Z477" s="1244"/>
    </row>
    <row r="478" spans="1:26" ht="18.75" hidden="1">
      <c r="A478" s="1260"/>
      <c r="B478" s="1265"/>
      <c r="C478" s="1265"/>
      <c r="D478" s="1265"/>
      <c r="E478" s="1265" t="s">
        <v>18</v>
      </c>
      <c r="F478" s="1265"/>
      <c r="G478" s="1263"/>
      <c r="H478" s="165" t="s">
        <v>12</v>
      </c>
      <c r="I478" s="947"/>
      <c r="J478" s="947"/>
      <c r="K478" s="948"/>
      <c r="L478" s="837">
        <v>0</v>
      </c>
      <c r="M478" s="837">
        <v>0</v>
      </c>
      <c r="N478" s="837">
        <v>0</v>
      </c>
      <c r="O478" s="837">
        <f t="shared" si="212"/>
        <v>0</v>
      </c>
      <c r="P478" s="837">
        <f t="shared" si="213"/>
        <v>0</v>
      </c>
      <c r="Q478" s="1264"/>
      <c r="R478" s="1264"/>
      <c r="S478" s="1264"/>
      <c r="T478" s="1264"/>
      <c r="U478" s="1264"/>
      <c r="V478" s="1264"/>
      <c r="W478" s="1264"/>
      <c r="X478" s="1264"/>
      <c r="Y478" s="1264"/>
      <c r="Z478" s="1264"/>
    </row>
    <row r="479" spans="1:26" ht="18.75" hidden="1">
      <c r="A479" s="1260"/>
      <c r="B479" s="1265"/>
      <c r="C479" s="1265"/>
      <c r="D479" s="1265"/>
      <c r="E479" s="1265" t="s">
        <v>19</v>
      </c>
      <c r="F479" s="1265"/>
      <c r="G479" s="1263"/>
      <c r="H479" s="169" t="s">
        <v>12</v>
      </c>
      <c r="I479" s="947"/>
      <c r="J479" s="947"/>
      <c r="K479" s="948"/>
      <c r="L479" s="837">
        <f ca="1">IFERROR(__xludf.DUMMYFUNCTION("IMPORTRANGE(""https://docs.google.com/spreadsheets/d/1QqKyyYR6Q21VydFLVH3TRQUabQu_ym0Zz7PgGX0-kHA/edit?usp=sharing"",""แผน!FV26"")"),0)</f>
        <v>0</v>
      </c>
      <c r="M479" s="837">
        <v>0</v>
      </c>
      <c r="N479" s="837">
        <v>0</v>
      </c>
      <c r="O479" s="837">
        <f t="shared" ca="1" si="212"/>
        <v>0</v>
      </c>
      <c r="P479" s="837">
        <f t="shared" si="213"/>
        <v>0</v>
      </c>
      <c r="Q479" s="1264"/>
      <c r="R479" s="1264"/>
      <c r="S479" s="1264"/>
      <c r="T479" s="1264"/>
      <c r="U479" s="1264"/>
      <c r="V479" s="1264"/>
      <c r="W479" s="1264"/>
      <c r="X479" s="1264"/>
      <c r="Y479" s="1264"/>
      <c r="Z479" s="1264"/>
    </row>
    <row r="480" spans="1:26" ht="19.5">
      <c r="A480" s="1267"/>
      <c r="B480" s="1268"/>
      <c r="C480" s="1242" t="s">
        <v>16</v>
      </c>
      <c r="D480" s="1276" t="s">
        <v>38</v>
      </c>
      <c r="E480" s="1270"/>
      <c r="F480" s="1271"/>
      <c r="G480" s="1272"/>
      <c r="H480" s="954"/>
      <c r="I480" s="830"/>
      <c r="J480" s="830"/>
      <c r="K480" s="831"/>
      <c r="L480" s="831"/>
      <c r="M480" s="831"/>
      <c r="N480" s="831"/>
      <c r="O480" s="831"/>
      <c r="P480" s="831"/>
      <c r="Q480" s="1244"/>
      <c r="R480" s="1244"/>
      <c r="S480" s="1244"/>
      <c r="T480" s="1244"/>
      <c r="U480" s="1244"/>
      <c r="V480" s="1244"/>
      <c r="W480" s="1244"/>
      <c r="X480" s="1244"/>
      <c r="Y480" s="1244"/>
      <c r="Z480" s="1244"/>
    </row>
    <row r="481" spans="1:26" ht="19.5">
      <c r="A481" s="1267"/>
      <c r="B481" s="1268"/>
      <c r="C481" s="1268"/>
      <c r="D481" s="1277" t="s">
        <v>206</v>
      </c>
      <c r="E481" s="1268"/>
      <c r="F481" s="1268"/>
      <c r="G481" s="954"/>
      <c r="H481" s="963"/>
      <c r="I481" s="830"/>
      <c r="J481" s="830"/>
      <c r="K481" s="831"/>
      <c r="L481" s="831"/>
      <c r="M481" s="831"/>
      <c r="N481" s="831"/>
      <c r="O481" s="831"/>
      <c r="P481" s="831"/>
      <c r="Q481" s="1244"/>
      <c r="R481" s="1244"/>
      <c r="S481" s="1244"/>
      <c r="T481" s="1244"/>
      <c r="U481" s="1244"/>
      <c r="V481" s="1244"/>
      <c r="W481" s="1244"/>
      <c r="X481" s="1244"/>
      <c r="Y481" s="1244"/>
      <c r="Z481" s="1244"/>
    </row>
    <row r="482" spans="1:26" ht="18.75">
      <c r="A482" s="1267"/>
      <c r="B482" s="1268"/>
      <c r="C482" s="1268"/>
      <c r="D482" s="1268"/>
      <c r="E482" s="1268" t="s">
        <v>207</v>
      </c>
      <c r="F482" s="1268"/>
      <c r="G482" s="954"/>
      <c r="H482" s="963"/>
      <c r="I482" s="830"/>
      <c r="J482" s="830"/>
      <c r="K482" s="831"/>
      <c r="L482" s="831"/>
      <c r="M482" s="831"/>
      <c r="N482" s="831"/>
      <c r="O482" s="831"/>
      <c r="P482" s="831"/>
      <c r="Q482" s="1244"/>
      <c r="R482" s="1244"/>
      <c r="S482" s="1244"/>
      <c r="T482" s="1244"/>
      <c r="U482" s="1244"/>
      <c r="V482" s="1244"/>
      <c r="W482" s="1244"/>
      <c r="X482" s="1244"/>
      <c r="Y482" s="1244"/>
      <c r="Z482" s="1244"/>
    </row>
    <row r="483" spans="1:26" ht="18.75">
      <c r="A483" s="1267"/>
      <c r="B483" s="1268"/>
      <c r="C483" s="1268"/>
      <c r="D483" s="1268"/>
      <c r="E483" s="1268"/>
      <c r="F483" s="1268" t="s">
        <v>208</v>
      </c>
      <c r="G483" s="954"/>
      <c r="H483" s="590" t="s">
        <v>46</v>
      </c>
      <c r="I483" s="830">
        <f ca="1">IFERROR(__xludf.DUMMYFUNCTION("IMPORTRANGE(""https://docs.google.com/spreadsheets/d/1QqKyyYR6Q21VydFLVH3TRQUabQu_ym0Zz7PgGX0-kHA/edit?usp=sharing"",""แผน!FY26"")"),1170)</f>
        <v>1170</v>
      </c>
      <c r="J483" s="959">
        <v>1170</v>
      </c>
      <c r="K483" s="831">
        <f ca="1">IF(I483&gt;0,J483*100/I483,0)</f>
        <v>100</v>
      </c>
      <c r="L483" s="831"/>
      <c r="M483" s="831"/>
      <c r="N483" s="831"/>
      <c r="O483" s="831"/>
      <c r="P483" s="831"/>
      <c r="Q483" s="1244"/>
      <c r="R483" s="1244"/>
      <c r="S483" s="1244"/>
      <c r="T483" s="1244"/>
      <c r="U483" s="1244"/>
      <c r="V483" s="1244"/>
      <c r="W483" s="1244"/>
      <c r="X483" s="1244"/>
      <c r="Y483" s="1244"/>
      <c r="Z483" s="1244"/>
    </row>
    <row r="484" spans="1:26" ht="18.75">
      <c r="A484" s="1267"/>
      <c r="B484" s="1268"/>
      <c r="C484" s="1268"/>
      <c r="D484" s="1268"/>
      <c r="E484" s="1268"/>
      <c r="F484" s="1268" t="s">
        <v>209</v>
      </c>
      <c r="G484" s="954"/>
      <c r="H484" s="590" t="s">
        <v>35</v>
      </c>
      <c r="I484" s="830"/>
      <c r="J484" s="959">
        <v>0</v>
      </c>
      <c r="K484" s="831"/>
      <c r="L484" s="831"/>
      <c r="M484" s="831"/>
      <c r="N484" s="831"/>
      <c r="O484" s="831"/>
      <c r="P484" s="831"/>
      <c r="Q484" s="1244"/>
      <c r="R484" s="1244"/>
      <c r="S484" s="1244"/>
      <c r="T484" s="1244"/>
      <c r="U484" s="1244"/>
      <c r="V484" s="1244"/>
      <c r="W484" s="1244"/>
      <c r="X484" s="1244"/>
      <c r="Y484" s="1244"/>
      <c r="Z484" s="1244"/>
    </row>
    <row r="485" spans="1:26" ht="18.75">
      <c r="A485" s="1267"/>
      <c r="B485" s="1268"/>
      <c r="C485" s="1268"/>
      <c r="D485" s="1268"/>
      <c r="E485" s="1268"/>
      <c r="F485" s="1268" t="s">
        <v>210</v>
      </c>
      <c r="G485" s="954"/>
      <c r="H485" s="590" t="s">
        <v>35</v>
      </c>
      <c r="I485" s="830">
        <f ca="1">IFERROR(__xludf.DUMMYFUNCTION("IMPORTRANGE(""https://docs.google.com/spreadsheets/d/1QqKyyYR6Q21VydFLVH3TRQUabQu_ym0Zz7PgGX0-kHA/edit?usp=sharing"",""แผน!FZ26"")"),117)</f>
        <v>117</v>
      </c>
      <c r="J485" s="959">
        <v>117</v>
      </c>
      <c r="K485" s="831">
        <f ca="1">IF(I485&gt;0,J485*100/I485,0)</f>
        <v>100</v>
      </c>
      <c r="L485" s="831"/>
      <c r="M485" s="831"/>
      <c r="N485" s="831"/>
      <c r="O485" s="831"/>
      <c r="P485" s="831"/>
      <c r="Q485" s="1244"/>
      <c r="R485" s="1244"/>
      <c r="S485" s="1244"/>
      <c r="T485" s="1244"/>
      <c r="U485" s="1244"/>
      <c r="V485" s="1244"/>
      <c r="W485" s="1244"/>
      <c r="X485" s="1244"/>
      <c r="Y485" s="1244"/>
      <c r="Z485" s="1244"/>
    </row>
    <row r="486" spans="1:26" ht="18.75">
      <c r="A486" s="1267"/>
      <c r="B486" s="1268"/>
      <c r="C486" s="1268"/>
      <c r="D486" s="1268"/>
      <c r="E486" s="1268" t="s">
        <v>62</v>
      </c>
      <c r="F486" s="1268"/>
      <c r="G486" s="954"/>
      <c r="H486" s="590"/>
      <c r="I486" s="830"/>
      <c r="J486" s="830"/>
      <c r="K486" s="831"/>
      <c r="L486" s="831"/>
      <c r="M486" s="831"/>
      <c r="N486" s="831"/>
      <c r="O486" s="831"/>
      <c r="P486" s="831"/>
      <c r="Q486" s="1244"/>
      <c r="R486" s="1244"/>
      <c r="S486" s="1244"/>
      <c r="T486" s="1244"/>
      <c r="U486" s="1244"/>
      <c r="V486" s="1244"/>
      <c r="W486" s="1244"/>
      <c r="X486" s="1244"/>
      <c r="Y486" s="1244"/>
      <c r="Z486" s="1244"/>
    </row>
    <row r="487" spans="1:26" ht="18.75">
      <c r="A487" s="1267"/>
      <c r="B487" s="1268"/>
      <c r="C487" s="1268"/>
      <c r="D487" s="1268"/>
      <c r="E487" s="1268"/>
      <c r="F487" s="1268" t="s">
        <v>208</v>
      </c>
      <c r="G487" s="954"/>
      <c r="H487" s="590" t="s">
        <v>46</v>
      </c>
      <c r="I487" s="830">
        <f ca="1">IFERROR(__xludf.DUMMYFUNCTION("IMPORTRANGE(""https://docs.google.com/spreadsheets/d/1QqKyyYR6Q21VydFLVH3TRQUabQu_ym0Zz7PgGX0-kHA/edit?usp=sharing"",""แผน!GA26"")"),130)</f>
        <v>130</v>
      </c>
      <c r="J487" s="959">
        <v>130</v>
      </c>
      <c r="K487" s="831">
        <f ca="1">IF(I487&gt;0,J487*100/I487,0)</f>
        <v>100</v>
      </c>
      <c r="L487" s="831"/>
      <c r="M487" s="831"/>
      <c r="N487" s="831"/>
      <c r="O487" s="831"/>
      <c r="P487" s="831"/>
      <c r="Q487" s="1244"/>
      <c r="R487" s="1244"/>
      <c r="S487" s="1244"/>
      <c r="T487" s="1244"/>
      <c r="U487" s="1244"/>
      <c r="V487" s="1244"/>
      <c r="W487" s="1244"/>
      <c r="X487" s="1244"/>
      <c r="Y487" s="1244"/>
      <c r="Z487" s="1244"/>
    </row>
    <row r="488" spans="1:26" ht="18.75">
      <c r="A488" s="1267"/>
      <c r="B488" s="1268"/>
      <c r="C488" s="1268"/>
      <c r="D488" s="1268"/>
      <c r="E488" s="1268"/>
      <c r="F488" s="1268" t="s">
        <v>211</v>
      </c>
      <c r="G488" s="954"/>
      <c r="H488" s="590" t="s">
        <v>35</v>
      </c>
      <c r="I488" s="830"/>
      <c r="J488" s="959">
        <v>0</v>
      </c>
      <c r="K488" s="831"/>
      <c r="L488" s="831"/>
      <c r="M488" s="831"/>
      <c r="N488" s="831"/>
      <c r="O488" s="831"/>
      <c r="P488" s="831"/>
      <c r="Q488" s="1244"/>
      <c r="R488" s="1244"/>
      <c r="S488" s="1244"/>
      <c r="T488" s="1244"/>
      <c r="U488" s="1244"/>
      <c r="V488" s="1244"/>
      <c r="W488" s="1244"/>
      <c r="X488" s="1244"/>
      <c r="Y488" s="1244"/>
      <c r="Z488" s="1244"/>
    </row>
    <row r="489" spans="1:26" ht="18.75">
      <c r="A489" s="1267"/>
      <c r="B489" s="1268"/>
      <c r="C489" s="1268"/>
      <c r="D489" s="1268"/>
      <c r="E489" s="1268"/>
      <c r="F489" s="1268" t="s">
        <v>212</v>
      </c>
      <c r="G489" s="954"/>
      <c r="H489" s="590" t="s">
        <v>35</v>
      </c>
      <c r="I489" s="830">
        <f ca="1">IFERROR(__xludf.DUMMYFUNCTION("IMPORTRANGE(""https://docs.google.com/spreadsheets/d/1QqKyyYR6Q21VydFLVH3TRQUabQu_ym0Zz7PgGX0-kHA/edit?usp=sharing"",""แผน!GB26"")"),13)</f>
        <v>13</v>
      </c>
      <c r="J489" s="959">
        <v>13</v>
      </c>
      <c r="K489" s="831">
        <f ca="1">IF(I489&gt;0,J489*100/I489,0)</f>
        <v>100</v>
      </c>
      <c r="L489" s="831"/>
      <c r="M489" s="831"/>
      <c r="N489" s="831"/>
      <c r="O489" s="831"/>
      <c r="P489" s="831"/>
      <c r="Q489" s="1244"/>
      <c r="R489" s="1244"/>
      <c r="S489" s="1244"/>
      <c r="T489" s="1244"/>
      <c r="U489" s="1244"/>
      <c r="V489" s="1244"/>
      <c r="W489" s="1244"/>
      <c r="X489" s="1244"/>
      <c r="Y489" s="1244"/>
      <c r="Z489" s="1244"/>
    </row>
    <row r="490" spans="1:26" ht="18.75">
      <c r="A490" s="1267"/>
      <c r="B490" s="1268"/>
      <c r="C490" s="1268"/>
      <c r="D490" s="1268"/>
      <c r="E490" s="1268" t="s">
        <v>63</v>
      </c>
      <c r="F490" s="961"/>
      <c r="G490" s="954"/>
      <c r="H490" s="590"/>
      <c r="I490" s="830"/>
      <c r="J490" s="830"/>
      <c r="K490" s="831"/>
      <c r="L490" s="831"/>
      <c r="M490" s="831"/>
      <c r="N490" s="831"/>
      <c r="O490" s="831"/>
      <c r="P490" s="831"/>
      <c r="Q490" s="1244"/>
      <c r="R490" s="1244"/>
      <c r="S490" s="1244"/>
      <c r="T490" s="1244"/>
      <c r="U490" s="1244"/>
      <c r="V490" s="1244"/>
      <c r="W490" s="1244"/>
      <c r="X490" s="1244"/>
      <c r="Y490" s="1244"/>
      <c r="Z490" s="1244"/>
    </row>
    <row r="491" spans="1:26" ht="18.75">
      <c r="A491" s="1267"/>
      <c r="B491" s="1268"/>
      <c r="C491" s="1268"/>
      <c r="D491" s="1268"/>
      <c r="E491" s="1268"/>
      <c r="F491" s="1268" t="s">
        <v>213</v>
      </c>
      <c r="G491" s="954"/>
      <c r="H491" s="590" t="s">
        <v>35</v>
      </c>
      <c r="I491" s="830"/>
      <c r="J491" s="1482"/>
      <c r="K491" s="831"/>
      <c r="L491" s="831"/>
      <c r="M491" s="831"/>
      <c r="N491" s="831"/>
      <c r="O491" s="831"/>
      <c r="P491" s="831"/>
      <c r="Q491" s="1244"/>
      <c r="R491" s="1244"/>
      <c r="S491" s="1244"/>
      <c r="T491" s="1244"/>
      <c r="U491" s="1244"/>
      <c r="V491" s="1244"/>
      <c r="W491" s="1244"/>
      <c r="X491" s="1244"/>
      <c r="Y491" s="1244"/>
      <c r="Z491" s="1244"/>
    </row>
    <row r="492" spans="1:26" ht="18.75">
      <c r="A492" s="1267"/>
      <c r="B492" s="1268"/>
      <c r="C492" s="1268"/>
      <c r="D492" s="1268"/>
      <c r="E492" s="1268"/>
      <c r="F492" s="1268" t="s">
        <v>214</v>
      </c>
      <c r="G492" s="954"/>
      <c r="H492" s="590" t="s">
        <v>35</v>
      </c>
      <c r="I492" s="830">
        <f ca="1">IFERROR(__xludf.DUMMYFUNCTION("IMPORTRANGE(""https://docs.google.com/spreadsheets/d/1QqKyyYR6Q21VydFLVH3TRQUabQu_ym0Zz7PgGX0-kHA/edit?usp=sharing"",""แผน!GC26"")"),1)</f>
        <v>1</v>
      </c>
      <c r="J492" s="959">
        <v>1</v>
      </c>
      <c r="K492" s="831">
        <f ca="1">IF(I492&gt;0,J492*100/I492,0)</f>
        <v>100</v>
      </c>
      <c r="L492" s="831"/>
      <c r="M492" s="831"/>
      <c r="N492" s="831"/>
      <c r="O492" s="831"/>
      <c r="P492" s="831"/>
      <c r="Q492" s="1244"/>
      <c r="R492" s="1244"/>
      <c r="S492" s="1244"/>
      <c r="T492" s="1244"/>
      <c r="U492" s="1244"/>
      <c r="V492" s="1244"/>
      <c r="W492" s="1244"/>
      <c r="X492" s="1244"/>
      <c r="Y492" s="1244"/>
      <c r="Z492" s="1244"/>
    </row>
    <row r="493" spans="1:26" ht="19.5">
      <c r="A493" s="1267"/>
      <c r="B493" s="1268"/>
      <c r="C493" s="1268"/>
      <c r="D493" s="1277" t="s">
        <v>59</v>
      </c>
      <c r="E493" s="1268"/>
      <c r="F493" s="961"/>
      <c r="G493" s="954"/>
      <c r="H493" s="963"/>
      <c r="I493" s="830"/>
      <c r="J493" s="830"/>
      <c r="K493" s="831"/>
      <c r="L493" s="831"/>
      <c r="M493" s="831"/>
      <c r="N493" s="831"/>
      <c r="O493" s="831"/>
      <c r="P493" s="831"/>
      <c r="Q493" s="1244"/>
      <c r="R493" s="1244"/>
      <c r="S493" s="1244"/>
      <c r="T493" s="1244"/>
      <c r="U493" s="1244"/>
      <c r="V493" s="1244"/>
      <c r="W493" s="1244"/>
      <c r="X493" s="1244"/>
      <c r="Y493" s="1244"/>
      <c r="Z493" s="1244"/>
    </row>
    <row r="494" spans="1:26" ht="18.75">
      <c r="A494" s="1267"/>
      <c r="B494" s="1268"/>
      <c r="C494" s="1268"/>
      <c r="D494" s="1268"/>
      <c r="E494" s="1268" t="s">
        <v>207</v>
      </c>
      <c r="F494" s="961"/>
      <c r="G494" s="954"/>
      <c r="H494" s="963"/>
      <c r="I494" s="830"/>
      <c r="J494" s="830"/>
      <c r="K494" s="831"/>
      <c r="L494" s="831"/>
      <c r="M494" s="831"/>
      <c r="N494" s="831"/>
      <c r="O494" s="831"/>
      <c r="P494" s="831"/>
      <c r="Q494" s="1244"/>
      <c r="R494" s="1244"/>
      <c r="S494" s="1244"/>
      <c r="T494" s="1244"/>
      <c r="U494" s="1244"/>
      <c r="V494" s="1244"/>
      <c r="W494" s="1244"/>
      <c r="X494" s="1244"/>
      <c r="Y494" s="1244"/>
      <c r="Z494" s="1244"/>
    </row>
    <row r="495" spans="1:26" ht="18.75">
      <c r="A495" s="1267"/>
      <c r="B495" s="1268"/>
      <c r="C495" s="1268"/>
      <c r="D495" s="1268"/>
      <c r="E495" s="1268"/>
      <c r="F495" s="961" t="s">
        <v>215</v>
      </c>
      <c r="G495" s="954"/>
      <c r="H495" s="590" t="s">
        <v>46</v>
      </c>
      <c r="I495" s="830">
        <f ca="1">IFERROR(__xludf.DUMMYFUNCTION("IMPORTRANGE(""https://docs.google.com/spreadsheets/d/1QqKyyYR6Q21VydFLVH3TRQUabQu_ym0Zz7PgGX0-kHA/edit?usp=sharing"",""แผน!FY26"")"),1170)</f>
        <v>1170</v>
      </c>
      <c r="J495" s="959">
        <v>0</v>
      </c>
      <c r="K495" s="831">
        <f ca="1">IF(I495&gt;0,J495*100/I495,0)</f>
        <v>0</v>
      </c>
      <c r="L495" s="831"/>
      <c r="M495" s="831"/>
      <c r="N495" s="831"/>
      <c r="O495" s="831"/>
      <c r="P495" s="831"/>
      <c r="Q495" s="1244"/>
      <c r="R495" s="1244"/>
      <c r="S495" s="1244"/>
      <c r="T495" s="1244"/>
      <c r="U495" s="1244"/>
      <c r="V495" s="1244"/>
      <c r="W495" s="1244"/>
      <c r="X495" s="1244"/>
      <c r="Y495" s="1244"/>
      <c r="Z495" s="1244"/>
    </row>
    <row r="496" spans="1:26" ht="18.75">
      <c r="A496" s="1267"/>
      <c r="B496" s="1268"/>
      <c r="C496" s="1268"/>
      <c r="D496" s="1268"/>
      <c r="E496" s="1268"/>
      <c r="F496" s="961" t="s">
        <v>216</v>
      </c>
      <c r="G496" s="954"/>
      <c r="H496" s="590" t="s">
        <v>46</v>
      </c>
      <c r="I496" s="830"/>
      <c r="J496" s="959">
        <v>0</v>
      </c>
      <c r="K496" s="831"/>
      <c r="L496" s="831"/>
      <c r="M496" s="831"/>
      <c r="N496" s="831"/>
      <c r="O496" s="831"/>
      <c r="P496" s="831"/>
      <c r="Q496" s="1244"/>
      <c r="R496" s="1244"/>
      <c r="S496" s="1244"/>
      <c r="T496" s="1244"/>
      <c r="U496" s="1244"/>
      <c r="V496" s="1244"/>
      <c r="W496" s="1244"/>
      <c r="X496" s="1244"/>
      <c r="Y496" s="1244"/>
      <c r="Z496" s="1244"/>
    </row>
    <row r="497" spans="1:26" ht="18.75">
      <c r="A497" s="1267"/>
      <c r="B497" s="1268"/>
      <c r="C497" s="1268"/>
      <c r="D497" s="1268"/>
      <c r="E497" s="1268" t="s">
        <v>62</v>
      </c>
      <c r="F497" s="961"/>
      <c r="G497" s="954"/>
      <c r="H497" s="963"/>
      <c r="I497" s="830"/>
      <c r="J497" s="830"/>
      <c r="K497" s="831"/>
      <c r="L497" s="831"/>
      <c r="M497" s="831"/>
      <c r="N497" s="831"/>
      <c r="O497" s="831"/>
      <c r="P497" s="831"/>
      <c r="Q497" s="1244"/>
      <c r="R497" s="1244"/>
      <c r="S497" s="1244"/>
      <c r="T497" s="1244"/>
      <c r="U497" s="1244"/>
      <c r="V497" s="1244"/>
      <c r="W497" s="1244"/>
      <c r="X497" s="1244"/>
      <c r="Y497" s="1244"/>
      <c r="Z497" s="1244"/>
    </row>
    <row r="498" spans="1:26" ht="18.75">
      <c r="A498" s="1267"/>
      <c r="B498" s="1268"/>
      <c r="C498" s="1268"/>
      <c r="D498" s="1268"/>
      <c r="E498" s="961"/>
      <c r="F498" s="961" t="s">
        <v>217</v>
      </c>
      <c r="G498" s="954"/>
      <c r="H498" s="590" t="s">
        <v>46</v>
      </c>
      <c r="I498" s="830">
        <f ca="1">IFERROR(__xludf.DUMMYFUNCTION("IMPORTRANGE(""https://docs.google.com/spreadsheets/d/1QqKyyYR6Q21VydFLVH3TRQUabQu_ym0Zz7PgGX0-kHA/edit?usp=sharing"",""แผน!GA26"")"),130)</f>
        <v>130</v>
      </c>
      <c r="J498" s="959">
        <v>0</v>
      </c>
      <c r="K498" s="831">
        <f ca="1">IF(I498&gt;0,J498*100/I498,0)</f>
        <v>0</v>
      </c>
      <c r="L498" s="831"/>
      <c r="M498" s="831"/>
      <c r="N498" s="831"/>
      <c r="O498" s="831"/>
      <c r="P498" s="831"/>
      <c r="Q498" s="1244"/>
      <c r="R498" s="1244"/>
      <c r="S498" s="1244"/>
      <c r="T498" s="1244"/>
      <c r="U498" s="1244"/>
      <c r="V498" s="1244"/>
      <c r="W498" s="1244"/>
      <c r="X498" s="1244"/>
      <c r="Y498" s="1244"/>
      <c r="Z498" s="1244"/>
    </row>
    <row r="499" spans="1:26" ht="18.75">
      <c r="A499" s="1267"/>
      <c r="B499" s="1268"/>
      <c r="C499" s="1268"/>
      <c r="D499" s="1268"/>
      <c r="E499" s="961"/>
      <c r="F499" s="961" t="s">
        <v>218</v>
      </c>
      <c r="G499" s="954"/>
      <c r="H499" s="590" t="s">
        <v>46</v>
      </c>
      <c r="I499" s="830"/>
      <c r="J499" s="959">
        <v>0</v>
      </c>
      <c r="K499" s="831"/>
      <c r="L499" s="831"/>
      <c r="M499" s="831"/>
      <c r="N499" s="831"/>
      <c r="O499" s="831"/>
      <c r="P499" s="831"/>
      <c r="Q499" s="1244"/>
      <c r="R499" s="1244"/>
      <c r="S499" s="1244"/>
      <c r="T499" s="1244"/>
      <c r="U499" s="1244"/>
      <c r="V499" s="1244"/>
      <c r="W499" s="1244"/>
      <c r="X499" s="1244"/>
      <c r="Y499" s="1244"/>
      <c r="Z499" s="1244"/>
    </row>
    <row r="500" spans="1:26" ht="19.5" hidden="1">
      <c r="A500" s="594">
        <v>4</v>
      </c>
      <c r="B500" s="1278" t="s">
        <v>219</v>
      </c>
      <c r="C500" s="1279"/>
      <c r="D500" s="1280"/>
      <c r="E500" s="1280"/>
      <c r="F500" s="1280"/>
      <c r="G500" s="1281"/>
      <c r="H500" s="599" t="s">
        <v>109</v>
      </c>
      <c r="I500" s="1282"/>
      <c r="J500" s="1282">
        <f t="shared" ref="J500:J501" si="214">J516</f>
        <v>0</v>
      </c>
      <c r="K500" s="1283">
        <f t="shared" ref="K500:K501" si="215">IF(I500&gt;0,J500*100/I500,0)</f>
        <v>0</v>
      </c>
      <c r="L500" s="1284"/>
      <c r="M500" s="1284"/>
      <c r="N500" s="1284"/>
      <c r="O500" s="1284"/>
      <c r="P500" s="1284"/>
      <c r="Q500" s="1264"/>
      <c r="R500" s="1264"/>
      <c r="S500" s="1264"/>
      <c r="T500" s="1264"/>
      <c r="U500" s="1264"/>
      <c r="V500" s="1264"/>
      <c r="W500" s="1264"/>
      <c r="X500" s="1264"/>
      <c r="Y500" s="1264"/>
      <c r="Z500" s="1264"/>
    </row>
    <row r="501" spans="1:26" ht="19.5" hidden="1">
      <c r="A501" s="1285"/>
      <c r="B501" s="1286" t="s">
        <v>220</v>
      </c>
      <c r="C501" s="1286"/>
      <c r="D501" s="1287"/>
      <c r="E501" s="1287"/>
      <c r="F501" s="1287"/>
      <c r="G501" s="1288"/>
      <c r="H501" s="608" t="s">
        <v>35</v>
      </c>
      <c r="I501" s="1289"/>
      <c r="J501" s="1289">
        <f t="shared" si="214"/>
        <v>0</v>
      </c>
      <c r="K501" s="1290">
        <f t="shared" si="215"/>
        <v>0</v>
      </c>
      <c r="L501" s="1291"/>
      <c r="M501" s="1291"/>
      <c r="N501" s="1291"/>
      <c r="O501" s="1291"/>
      <c r="P501" s="1291"/>
      <c r="Q501" s="1264"/>
      <c r="R501" s="1264"/>
      <c r="S501" s="1264"/>
      <c r="T501" s="1264"/>
      <c r="U501" s="1264"/>
      <c r="V501" s="1264"/>
      <c r="W501" s="1264"/>
      <c r="X501" s="1264"/>
      <c r="Y501" s="1264"/>
      <c r="Z501" s="1264"/>
    </row>
    <row r="502" spans="1:26" ht="19.5" hidden="1">
      <c r="A502" s="1260"/>
      <c r="B502" s="1261"/>
      <c r="C502" s="1261" t="s">
        <v>16</v>
      </c>
      <c r="D502" s="1508" t="s">
        <v>17</v>
      </c>
      <c r="E502" s="1485"/>
      <c r="F502" s="1485"/>
      <c r="G502" s="1263"/>
      <c r="H502" s="612" t="s">
        <v>12</v>
      </c>
      <c r="I502" s="836"/>
      <c r="J502" s="836"/>
      <c r="K502" s="837"/>
      <c r="L502" s="1292">
        <f t="shared" ref="L502:N502" si="216">L503+L504</f>
        <v>0</v>
      </c>
      <c r="M502" s="1292">
        <f t="shared" si="216"/>
        <v>0</v>
      </c>
      <c r="N502" s="1292">
        <f t="shared" si="216"/>
        <v>0</v>
      </c>
      <c r="O502" s="1292">
        <f t="shared" ref="O502:O507" si="217">IF(L502&gt;0,N502*100/L502,0)</f>
        <v>0</v>
      </c>
      <c r="P502" s="1292">
        <f t="shared" ref="P502:P507" si="218">IF(M502&gt;0,N502*100/M502,0)</f>
        <v>0</v>
      </c>
      <c r="Q502" s="1264"/>
      <c r="R502" s="1264"/>
      <c r="S502" s="1264"/>
      <c r="T502" s="1264"/>
      <c r="U502" s="1264"/>
      <c r="V502" s="1264"/>
      <c r="W502" s="1264"/>
      <c r="X502" s="1264"/>
      <c r="Y502" s="1264"/>
      <c r="Z502" s="1264"/>
    </row>
    <row r="503" spans="1:26" ht="18.75" hidden="1">
      <c r="A503" s="1260"/>
      <c r="B503" s="1261"/>
      <c r="C503" s="1261"/>
      <c r="D503" s="1262"/>
      <c r="E503" s="1261" t="s">
        <v>184</v>
      </c>
      <c r="F503" s="1261"/>
      <c r="G503" s="1263"/>
      <c r="H503" s="165" t="s">
        <v>12</v>
      </c>
      <c r="I503" s="836"/>
      <c r="J503" s="836"/>
      <c r="K503" s="837"/>
      <c r="L503" s="837">
        <f t="shared" ref="L503:N504" si="219">L506+L513</f>
        <v>0</v>
      </c>
      <c r="M503" s="837">
        <f t="shared" si="219"/>
        <v>0</v>
      </c>
      <c r="N503" s="837">
        <f t="shared" si="219"/>
        <v>0</v>
      </c>
      <c r="O503" s="837">
        <f t="shared" si="217"/>
        <v>0</v>
      </c>
      <c r="P503" s="837">
        <f t="shared" si="218"/>
        <v>0</v>
      </c>
      <c r="Q503" s="1264"/>
      <c r="R503" s="1264"/>
      <c r="S503" s="1264"/>
      <c r="T503" s="1264"/>
      <c r="U503" s="1264"/>
      <c r="V503" s="1264"/>
      <c r="W503" s="1264"/>
      <c r="X503" s="1264"/>
      <c r="Y503" s="1264"/>
      <c r="Z503" s="1264"/>
    </row>
    <row r="504" spans="1:26" ht="18.75" hidden="1">
      <c r="A504" s="1260"/>
      <c r="B504" s="1265"/>
      <c r="C504" s="1261"/>
      <c r="D504" s="1262"/>
      <c r="E504" s="1261" t="s">
        <v>185</v>
      </c>
      <c r="F504" s="1261"/>
      <c r="G504" s="1263"/>
      <c r="H504" s="165" t="s">
        <v>12</v>
      </c>
      <c r="I504" s="836"/>
      <c r="J504" s="836"/>
      <c r="K504" s="837"/>
      <c r="L504" s="837">
        <f t="shared" si="219"/>
        <v>0</v>
      </c>
      <c r="M504" s="837">
        <f t="shared" si="219"/>
        <v>0</v>
      </c>
      <c r="N504" s="837">
        <f t="shared" si="219"/>
        <v>0</v>
      </c>
      <c r="O504" s="837">
        <f t="shared" si="217"/>
        <v>0</v>
      </c>
      <c r="P504" s="837">
        <f t="shared" si="218"/>
        <v>0</v>
      </c>
      <c r="Q504" s="1264"/>
      <c r="R504" s="1264"/>
      <c r="S504" s="1264"/>
      <c r="T504" s="1264"/>
      <c r="U504" s="1264"/>
      <c r="V504" s="1264"/>
      <c r="W504" s="1264"/>
      <c r="X504" s="1264"/>
      <c r="Y504" s="1264"/>
      <c r="Z504" s="1264"/>
    </row>
    <row r="505" spans="1:26" ht="18.75" hidden="1">
      <c r="A505" s="1260"/>
      <c r="B505" s="1265"/>
      <c r="C505" s="1261"/>
      <c r="D505" s="1293" t="s">
        <v>20</v>
      </c>
      <c r="E505" s="1261"/>
      <c r="F505" s="1261"/>
      <c r="G505" s="1263"/>
      <c r="H505" s="165" t="s">
        <v>12</v>
      </c>
      <c r="I505" s="947"/>
      <c r="J505" s="947"/>
      <c r="K505" s="948"/>
      <c r="L505" s="837">
        <f t="shared" ref="L505:N505" si="220">L506+L507</f>
        <v>0</v>
      </c>
      <c r="M505" s="837">
        <f t="shared" si="220"/>
        <v>0</v>
      </c>
      <c r="N505" s="837">
        <f t="shared" si="220"/>
        <v>0</v>
      </c>
      <c r="O505" s="837">
        <f t="shared" si="217"/>
        <v>0</v>
      </c>
      <c r="P505" s="837">
        <f t="shared" si="218"/>
        <v>0</v>
      </c>
      <c r="Q505" s="1264"/>
      <c r="R505" s="1264"/>
      <c r="S505" s="1264"/>
      <c r="T505" s="1264"/>
      <c r="U505" s="1264"/>
      <c r="V505" s="1264"/>
      <c r="W505" s="1264"/>
      <c r="X505" s="1264"/>
      <c r="Y505" s="1264"/>
      <c r="Z505" s="1264"/>
    </row>
    <row r="506" spans="1:26" ht="18.75" hidden="1">
      <c r="A506" s="1260"/>
      <c r="B506" s="1265"/>
      <c r="C506" s="1261"/>
      <c r="D506" s="1262"/>
      <c r="E506" s="1261" t="s">
        <v>184</v>
      </c>
      <c r="F506" s="1261"/>
      <c r="G506" s="1263"/>
      <c r="H506" s="165" t="s">
        <v>12</v>
      </c>
      <c r="I506" s="836"/>
      <c r="J506" s="836"/>
      <c r="K506" s="837"/>
      <c r="L506" s="837">
        <v>0</v>
      </c>
      <c r="M506" s="837">
        <v>0</v>
      </c>
      <c r="N506" s="837">
        <v>0</v>
      </c>
      <c r="O506" s="837">
        <f t="shared" si="217"/>
        <v>0</v>
      </c>
      <c r="P506" s="837">
        <f t="shared" si="218"/>
        <v>0</v>
      </c>
      <c r="Q506" s="1264"/>
      <c r="R506" s="1264"/>
      <c r="S506" s="1264"/>
      <c r="T506" s="1264"/>
      <c r="U506" s="1264"/>
      <c r="V506" s="1264"/>
      <c r="W506" s="1264"/>
      <c r="X506" s="1264"/>
      <c r="Y506" s="1264"/>
      <c r="Z506" s="1264"/>
    </row>
    <row r="507" spans="1:26" ht="18.75" hidden="1">
      <c r="A507" s="1260"/>
      <c r="B507" s="1265"/>
      <c r="C507" s="1261"/>
      <c r="D507" s="1262"/>
      <c r="E507" s="1261" t="s">
        <v>185</v>
      </c>
      <c r="F507" s="1261"/>
      <c r="G507" s="1263"/>
      <c r="H507" s="165" t="s">
        <v>12</v>
      </c>
      <c r="I507" s="836"/>
      <c r="J507" s="836"/>
      <c r="K507" s="837"/>
      <c r="L507" s="837">
        <v>0</v>
      </c>
      <c r="M507" s="837">
        <v>0</v>
      </c>
      <c r="N507" s="837">
        <f>N508+N509+N510+N511</f>
        <v>0</v>
      </c>
      <c r="O507" s="837">
        <f t="shared" si="217"/>
        <v>0</v>
      </c>
      <c r="P507" s="837">
        <f t="shared" si="218"/>
        <v>0</v>
      </c>
      <c r="Q507" s="1264"/>
      <c r="R507" s="1264"/>
      <c r="S507" s="1264"/>
      <c r="T507" s="1264"/>
      <c r="U507" s="1264"/>
      <c r="V507" s="1264"/>
      <c r="W507" s="1264"/>
      <c r="X507" s="1264"/>
      <c r="Y507" s="1264"/>
      <c r="Z507" s="1264"/>
    </row>
    <row r="508" spans="1:26" ht="18.75" hidden="1">
      <c r="A508" s="1294"/>
      <c r="B508" s="1265"/>
      <c r="C508" s="1261"/>
      <c r="D508" s="1261"/>
      <c r="E508" s="1261"/>
      <c r="F508" s="1261" t="s">
        <v>186</v>
      </c>
      <c r="G508" s="1263"/>
      <c r="H508" s="165" t="s">
        <v>12</v>
      </c>
      <c r="I508" s="836"/>
      <c r="J508" s="836"/>
      <c r="K508" s="837"/>
      <c r="L508" s="837"/>
      <c r="M508" s="837"/>
      <c r="N508" s="837">
        <v>0</v>
      </c>
      <c r="O508" s="837"/>
      <c r="P508" s="837"/>
      <c r="Q508" s="1264"/>
      <c r="R508" s="1264"/>
      <c r="S508" s="1264"/>
      <c r="T508" s="1264"/>
      <c r="U508" s="1264"/>
      <c r="V508" s="1264"/>
      <c r="W508" s="1264"/>
      <c r="X508" s="1264"/>
      <c r="Y508" s="1264"/>
      <c r="Z508" s="1264"/>
    </row>
    <row r="509" spans="1:26" ht="18.75" hidden="1">
      <c r="A509" s="1294"/>
      <c r="B509" s="1265"/>
      <c r="C509" s="1261"/>
      <c r="D509" s="1261"/>
      <c r="E509" s="1261"/>
      <c r="F509" s="1261" t="s">
        <v>187</v>
      </c>
      <c r="G509" s="1263"/>
      <c r="H509" s="165" t="s">
        <v>12</v>
      </c>
      <c r="I509" s="836"/>
      <c r="J509" s="836"/>
      <c r="K509" s="837"/>
      <c r="L509" s="837"/>
      <c r="M509" s="837"/>
      <c r="N509" s="837">
        <v>0</v>
      </c>
      <c r="O509" s="837"/>
      <c r="P509" s="837"/>
      <c r="Q509" s="1264"/>
      <c r="R509" s="1264"/>
      <c r="S509" s="1264"/>
      <c r="T509" s="1264"/>
      <c r="U509" s="1264"/>
      <c r="V509" s="1264"/>
      <c r="W509" s="1264"/>
      <c r="X509" s="1264"/>
      <c r="Y509" s="1264"/>
      <c r="Z509" s="1264"/>
    </row>
    <row r="510" spans="1:26" ht="18.75" hidden="1">
      <c r="A510" s="1294"/>
      <c r="B510" s="1265"/>
      <c r="C510" s="1265"/>
      <c r="D510" s="1265"/>
      <c r="E510" s="1261"/>
      <c r="F510" s="1261" t="s">
        <v>188</v>
      </c>
      <c r="G510" s="1263"/>
      <c r="H510" s="165" t="s">
        <v>12</v>
      </c>
      <c r="I510" s="836"/>
      <c r="J510" s="836"/>
      <c r="K510" s="837"/>
      <c r="L510" s="837"/>
      <c r="M510" s="837"/>
      <c r="N510" s="837">
        <v>0</v>
      </c>
      <c r="O510" s="837"/>
      <c r="P510" s="837"/>
      <c r="Q510" s="1264"/>
      <c r="R510" s="1264"/>
      <c r="S510" s="1264"/>
      <c r="T510" s="1264"/>
      <c r="U510" s="1264"/>
      <c r="V510" s="1264"/>
      <c r="W510" s="1264"/>
      <c r="X510" s="1264"/>
      <c r="Y510" s="1264"/>
      <c r="Z510" s="1264"/>
    </row>
    <row r="511" spans="1:26" ht="18.75" hidden="1">
      <c r="A511" s="1294"/>
      <c r="B511" s="1265"/>
      <c r="C511" s="1265"/>
      <c r="D511" s="1265"/>
      <c r="E511" s="1261"/>
      <c r="F511" s="1261" t="s">
        <v>189</v>
      </c>
      <c r="G511" s="1263"/>
      <c r="H511" s="165" t="s">
        <v>12</v>
      </c>
      <c r="I511" s="836"/>
      <c r="J511" s="836"/>
      <c r="K511" s="837"/>
      <c r="L511" s="837"/>
      <c r="M511" s="837"/>
      <c r="N511" s="837">
        <v>0</v>
      </c>
      <c r="O511" s="837"/>
      <c r="P511" s="837"/>
      <c r="Q511" s="1264"/>
      <c r="R511" s="1264"/>
      <c r="S511" s="1264"/>
      <c r="T511" s="1264"/>
      <c r="U511" s="1264"/>
      <c r="V511" s="1264"/>
      <c r="W511" s="1264"/>
      <c r="X511" s="1264"/>
      <c r="Y511" s="1264"/>
      <c r="Z511" s="1264"/>
    </row>
    <row r="512" spans="1:26" ht="18.75" hidden="1">
      <c r="A512" s="1260"/>
      <c r="B512" s="1265"/>
      <c r="C512" s="1265"/>
      <c r="D512" s="1293" t="s">
        <v>21</v>
      </c>
      <c r="E512" s="1265"/>
      <c r="F512" s="1261"/>
      <c r="G512" s="1263"/>
      <c r="H512" s="169" t="s">
        <v>12</v>
      </c>
      <c r="I512" s="947"/>
      <c r="J512" s="947"/>
      <c r="K512" s="948"/>
      <c r="L512" s="837">
        <f t="shared" ref="L512:N512" si="221">L513+L514</f>
        <v>0</v>
      </c>
      <c r="M512" s="837">
        <f t="shared" si="221"/>
        <v>0</v>
      </c>
      <c r="N512" s="837">
        <f t="shared" si="221"/>
        <v>0</v>
      </c>
      <c r="O512" s="837">
        <f t="shared" ref="O512:O514" si="222">IF(L512&gt;0,N512*100/L512,0)</f>
        <v>0</v>
      </c>
      <c r="P512" s="837">
        <f t="shared" ref="P512:P514" si="223">IF(M512&gt;0,N512*100/M512,0)</f>
        <v>0</v>
      </c>
      <c r="Q512" s="1264"/>
      <c r="R512" s="1264"/>
      <c r="S512" s="1264"/>
      <c r="T512" s="1264"/>
      <c r="U512" s="1264"/>
      <c r="V512" s="1264"/>
      <c r="W512" s="1264"/>
      <c r="X512" s="1264"/>
      <c r="Y512" s="1264"/>
      <c r="Z512" s="1264"/>
    </row>
    <row r="513" spans="1:26" ht="18.75" hidden="1">
      <c r="A513" s="1260"/>
      <c r="B513" s="1265"/>
      <c r="C513" s="1265"/>
      <c r="D513" s="1265"/>
      <c r="E513" s="1265" t="s">
        <v>18</v>
      </c>
      <c r="F513" s="1261"/>
      <c r="G513" s="1263"/>
      <c r="H513" s="165" t="s">
        <v>12</v>
      </c>
      <c r="I513" s="947"/>
      <c r="J513" s="947"/>
      <c r="K513" s="948"/>
      <c r="L513" s="837">
        <v>0</v>
      </c>
      <c r="M513" s="837">
        <v>0</v>
      </c>
      <c r="N513" s="837">
        <v>0</v>
      </c>
      <c r="O513" s="837">
        <f t="shared" si="222"/>
        <v>0</v>
      </c>
      <c r="P513" s="837">
        <f t="shared" si="223"/>
        <v>0</v>
      </c>
      <c r="Q513" s="1264"/>
      <c r="R513" s="1264"/>
      <c r="S513" s="1264"/>
      <c r="T513" s="1264"/>
      <c r="U513" s="1264"/>
      <c r="V513" s="1264"/>
      <c r="W513" s="1264"/>
      <c r="X513" s="1264"/>
      <c r="Y513" s="1264"/>
      <c r="Z513" s="1264"/>
    </row>
    <row r="514" spans="1:26" ht="18.75" hidden="1">
      <c r="A514" s="1260"/>
      <c r="B514" s="1265"/>
      <c r="C514" s="1265"/>
      <c r="D514" s="1261"/>
      <c r="E514" s="1265" t="s">
        <v>19</v>
      </c>
      <c r="F514" s="1261"/>
      <c r="G514" s="1263"/>
      <c r="H514" s="169" t="s">
        <v>12</v>
      </c>
      <c r="I514" s="947"/>
      <c r="J514" s="947"/>
      <c r="K514" s="948"/>
      <c r="L514" s="837">
        <v>0</v>
      </c>
      <c r="M514" s="837">
        <v>0</v>
      </c>
      <c r="N514" s="837">
        <v>0</v>
      </c>
      <c r="O514" s="837">
        <f t="shared" si="222"/>
        <v>0</v>
      </c>
      <c r="P514" s="837">
        <f t="shared" si="223"/>
        <v>0</v>
      </c>
      <c r="Q514" s="1264"/>
      <c r="R514" s="1264"/>
      <c r="S514" s="1264"/>
      <c r="T514" s="1264"/>
      <c r="U514" s="1264"/>
      <c r="V514" s="1264"/>
      <c r="W514" s="1264"/>
      <c r="X514" s="1264"/>
      <c r="Y514" s="1264"/>
      <c r="Z514" s="1264"/>
    </row>
    <row r="515" spans="1:26" ht="19.5" hidden="1">
      <c r="A515" s="1273"/>
      <c r="B515" s="1274"/>
      <c r="C515" s="1265" t="s">
        <v>16</v>
      </c>
      <c r="D515" s="1295" t="s">
        <v>38</v>
      </c>
      <c r="E515" s="1296"/>
      <c r="F515" s="1296"/>
      <c r="G515" s="1297"/>
      <c r="H515" s="1060"/>
      <c r="I515" s="947"/>
      <c r="J515" s="947"/>
      <c r="K515" s="948"/>
      <c r="L515" s="948"/>
      <c r="M515" s="948"/>
      <c r="N515" s="948"/>
      <c r="O515" s="948"/>
      <c r="P515" s="948"/>
      <c r="Q515" s="1264"/>
      <c r="R515" s="1264"/>
      <c r="S515" s="1264"/>
      <c r="T515" s="1264"/>
      <c r="U515" s="1264"/>
      <c r="V515" s="1264"/>
      <c r="W515" s="1264"/>
      <c r="X515" s="1264"/>
      <c r="Y515" s="1264"/>
      <c r="Z515" s="1264"/>
    </row>
    <row r="516" spans="1:26" ht="18.75" hidden="1">
      <c r="A516" s="1273"/>
      <c r="B516" s="1274"/>
      <c r="C516" s="1274"/>
      <c r="D516" s="1274" t="s">
        <v>221</v>
      </c>
      <c r="E516" s="1262"/>
      <c r="F516" s="1262"/>
      <c r="G516" s="1060"/>
      <c r="H516" s="619" t="s">
        <v>109</v>
      </c>
      <c r="I516" s="836"/>
      <c r="J516" s="836">
        <v>0</v>
      </c>
      <c r="K516" s="948">
        <f t="shared" ref="K516:K517" si="224">IF(I516&gt;0,J516*100/I516,0)</f>
        <v>0</v>
      </c>
      <c r="L516" s="948"/>
      <c r="M516" s="948"/>
      <c r="N516" s="948"/>
      <c r="O516" s="948"/>
      <c r="P516" s="948"/>
      <c r="Q516" s="1264"/>
      <c r="R516" s="1264"/>
      <c r="S516" s="1264"/>
      <c r="T516" s="1264"/>
      <c r="U516" s="1264"/>
      <c r="V516" s="1264"/>
      <c r="W516" s="1264"/>
      <c r="X516" s="1264"/>
      <c r="Y516" s="1264"/>
      <c r="Z516" s="1264"/>
    </row>
    <row r="517" spans="1:26" ht="19.5" hidden="1">
      <c r="A517" s="1273"/>
      <c r="B517" s="1274"/>
      <c r="C517" s="1274"/>
      <c r="D517" s="1274" t="s">
        <v>222</v>
      </c>
      <c r="E517" s="1262"/>
      <c r="F517" s="1262"/>
      <c r="G517" s="1060"/>
      <c r="H517" s="620" t="s">
        <v>35</v>
      </c>
      <c r="I517" s="1298"/>
      <c r="J517" s="1298">
        <f>J518+J519</f>
        <v>0</v>
      </c>
      <c r="K517" s="1299">
        <f t="shared" si="224"/>
        <v>0</v>
      </c>
      <c r="L517" s="948"/>
      <c r="M517" s="948"/>
      <c r="N517" s="948"/>
      <c r="O517" s="948"/>
      <c r="P517" s="948"/>
      <c r="Q517" s="1264"/>
      <c r="R517" s="1264"/>
      <c r="S517" s="1264"/>
      <c r="T517" s="1264"/>
      <c r="U517" s="1264"/>
      <c r="V517" s="1264"/>
      <c r="W517" s="1264"/>
      <c r="X517" s="1264"/>
      <c r="Y517" s="1264"/>
      <c r="Z517" s="1264"/>
    </row>
    <row r="518" spans="1:26" ht="18.75" hidden="1">
      <c r="A518" s="1273"/>
      <c r="B518" s="1274"/>
      <c r="C518" s="1274"/>
      <c r="D518" s="1274"/>
      <c r="E518" s="1274" t="s">
        <v>223</v>
      </c>
      <c r="F518" s="1262"/>
      <c r="G518" s="1060"/>
      <c r="H518" s="583" t="s">
        <v>35</v>
      </c>
      <c r="I518" s="836"/>
      <c r="J518" s="836"/>
      <c r="K518" s="948"/>
      <c r="L518" s="948"/>
      <c r="M518" s="948"/>
      <c r="N518" s="948"/>
      <c r="O518" s="948"/>
      <c r="P518" s="948"/>
      <c r="Q518" s="1264"/>
      <c r="R518" s="1264"/>
      <c r="S518" s="1264"/>
      <c r="T518" s="1264"/>
      <c r="U518" s="1264"/>
      <c r="V518" s="1264"/>
      <c r="W518" s="1264"/>
      <c r="X518" s="1264"/>
      <c r="Y518" s="1264"/>
      <c r="Z518" s="1264"/>
    </row>
    <row r="519" spans="1:26" ht="18.75" hidden="1">
      <c r="A519" s="1273"/>
      <c r="B519" s="1274"/>
      <c r="C519" s="1274"/>
      <c r="D519" s="1274"/>
      <c r="E519" s="1274" t="s">
        <v>224</v>
      </c>
      <c r="F519" s="1262"/>
      <c r="G519" s="1060"/>
      <c r="H519" s="619" t="s">
        <v>35</v>
      </c>
      <c r="I519" s="836"/>
      <c r="J519" s="836"/>
      <c r="K519" s="948"/>
      <c r="L519" s="948"/>
      <c r="M519" s="948"/>
      <c r="N519" s="948"/>
      <c r="O519" s="948"/>
      <c r="P519" s="948"/>
      <c r="Q519" s="1264"/>
      <c r="R519" s="1264"/>
      <c r="S519" s="1264"/>
      <c r="T519" s="1264"/>
      <c r="U519" s="1264"/>
      <c r="V519" s="1264"/>
      <c r="W519" s="1264"/>
      <c r="X519" s="1264"/>
      <c r="Y519" s="1264"/>
      <c r="Z519" s="1264"/>
    </row>
    <row r="520" spans="1:26" ht="19.5">
      <c r="A520" s="1300" t="s">
        <v>137</v>
      </c>
      <c r="B520" s="1301"/>
      <c r="C520" s="1301"/>
      <c r="D520" s="1302"/>
      <c r="E520" s="1302"/>
      <c r="F520" s="1302"/>
      <c r="G520" s="1303"/>
      <c r="H520" s="1304"/>
      <c r="I520" s="1305"/>
      <c r="J520" s="1305"/>
      <c r="K520" s="1306"/>
      <c r="L520" s="1306"/>
      <c r="M520" s="1306"/>
      <c r="N520" s="1306"/>
      <c r="O520" s="1306"/>
      <c r="P520" s="1306"/>
    </row>
    <row r="521" spans="1:26" ht="19.5" hidden="1">
      <c r="A521" s="630">
        <v>5</v>
      </c>
      <c r="B521" s="1307" t="s">
        <v>225</v>
      </c>
      <c r="C521" s="1308"/>
      <c r="D521" s="1309"/>
      <c r="E521" s="1309"/>
      <c r="F521" s="1309"/>
      <c r="G521" s="1309"/>
      <c r="H521" s="1310"/>
      <c r="I521" s="1311"/>
      <c r="J521" s="1311"/>
      <c r="K521" s="1312"/>
      <c r="L521" s="1312"/>
      <c r="M521" s="1312"/>
      <c r="N521" s="1312"/>
      <c r="O521" s="1312"/>
      <c r="P521" s="1312"/>
      <c r="Q521" s="1244"/>
      <c r="R521" s="1244"/>
      <c r="S521" s="1244"/>
      <c r="T521" s="1244"/>
      <c r="U521" s="1244"/>
      <c r="V521" s="1244"/>
      <c r="W521" s="1244"/>
      <c r="X521" s="1244"/>
      <c r="Y521" s="1244"/>
      <c r="Z521" s="1244"/>
    </row>
    <row r="522" spans="1:26" ht="19.5" hidden="1">
      <c r="A522" s="1313"/>
      <c r="B522" s="1314" t="s">
        <v>226</v>
      </c>
      <c r="C522" s="1315"/>
      <c r="D522" s="1315"/>
      <c r="E522" s="1315"/>
      <c r="F522" s="1315"/>
      <c r="G522" s="1316"/>
      <c r="H522" s="641" t="s">
        <v>35</v>
      </c>
      <c r="I522" s="1317">
        <f t="shared" ref="I522:J522" ca="1" si="225">I537</f>
        <v>0</v>
      </c>
      <c r="J522" s="1317">
        <f t="shared" ca="1" si="225"/>
        <v>0</v>
      </c>
      <c r="K522" s="1318">
        <f ca="1">IF(I522&gt;0,J522*100/I522,0)</f>
        <v>0</v>
      </c>
      <c r="L522" s="1319"/>
      <c r="M522" s="1319"/>
      <c r="N522" s="1319"/>
      <c r="O522" s="1319"/>
      <c r="P522" s="1319"/>
      <c r="Q522" s="1244"/>
      <c r="R522" s="1244"/>
      <c r="S522" s="1244"/>
      <c r="T522" s="1244"/>
      <c r="U522" s="1244"/>
      <c r="V522" s="1244"/>
      <c r="W522" s="1244"/>
      <c r="X522" s="1244"/>
      <c r="Y522" s="1244"/>
      <c r="Z522" s="1244"/>
    </row>
    <row r="523" spans="1:26" ht="19.5" hidden="1">
      <c r="A523" s="1259"/>
      <c r="B523" s="1243"/>
      <c r="C523" s="1243" t="s">
        <v>16</v>
      </c>
      <c r="D523" s="1507" t="s">
        <v>17</v>
      </c>
      <c r="E523" s="1485"/>
      <c r="F523" s="1485"/>
      <c r="G523" s="963"/>
      <c r="H523" s="563" t="s">
        <v>12</v>
      </c>
      <c r="I523" s="830"/>
      <c r="J523" s="830"/>
      <c r="K523" s="831"/>
      <c r="L523" s="967">
        <f t="shared" ref="L523:N523" ca="1" si="226">L524+L525</f>
        <v>0</v>
      </c>
      <c r="M523" s="967">
        <f t="shared" si="226"/>
        <v>0</v>
      </c>
      <c r="N523" s="967">
        <f t="shared" si="226"/>
        <v>0</v>
      </c>
      <c r="O523" s="967">
        <f t="shared" ref="O523:O528" ca="1" si="227">IF(L523&gt;0,N523*100/L523,0)</f>
        <v>0</v>
      </c>
      <c r="P523" s="967">
        <f t="shared" ref="P523:P528" si="228">IF(M523&gt;0,N523*100/M523,0)</f>
        <v>0</v>
      </c>
      <c r="Q523" s="1244"/>
      <c r="R523" s="1244"/>
      <c r="S523" s="1244"/>
      <c r="T523" s="1244"/>
      <c r="U523" s="1244"/>
      <c r="V523" s="1244"/>
      <c r="W523" s="1244"/>
      <c r="X523" s="1244"/>
      <c r="Y523" s="1244"/>
      <c r="Z523" s="1244"/>
    </row>
    <row r="524" spans="1:26" ht="18.75" hidden="1">
      <c r="A524" s="1260"/>
      <c r="B524" s="1261"/>
      <c r="C524" s="1261"/>
      <c r="D524" s="1262"/>
      <c r="E524" s="1261" t="s">
        <v>184</v>
      </c>
      <c r="F524" s="1261"/>
      <c r="G524" s="1263"/>
      <c r="H524" s="165" t="s">
        <v>12</v>
      </c>
      <c r="I524" s="836"/>
      <c r="J524" s="836"/>
      <c r="K524" s="837"/>
      <c r="L524" s="837">
        <f t="shared" ref="L524:N525" si="229">L527+L534</f>
        <v>0</v>
      </c>
      <c r="M524" s="837">
        <f t="shared" si="229"/>
        <v>0</v>
      </c>
      <c r="N524" s="837">
        <f t="shared" si="229"/>
        <v>0</v>
      </c>
      <c r="O524" s="837">
        <f t="shared" si="227"/>
        <v>0</v>
      </c>
      <c r="P524" s="837">
        <f t="shared" si="228"/>
        <v>0</v>
      </c>
      <c r="Q524" s="1264"/>
      <c r="R524" s="1264"/>
      <c r="S524" s="1264"/>
      <c r="T524" s="1264"/>
      <c r="U524" s="1264"/>
      <c r="V524" s="1264"/>
      <c r="W524" s="1264"/>
      <c r="X524" s="1264"/>
      <c r="Y524" s="1264"/>
      <c r="Z524" s="1264"/>
    </row>
    <row r="525" spans="1:26" ht="18.75" hidden="1">
      <c r="A525" s="1260"/>
      <c r="B525" s="1265"/>
      <c r="C525" s="1261"/>
      <c r="D525" s="1262"/>
      <c r="E525" s="1261" t="s">
        <v>185</v>
      </c>
      <c r="F525" s="1261"/>
      <c r="G525" s="1263"/>
      <c r="H525" s="165" t="s">
        <v>12</v>
      </c>
      <c r="I525" s="836"/>
      <c r="J525" s="836"/>
      <c r="K525" s="837"/>
      <c r="L525" s="837">
        <f t="shared" ca="1" si="229"/>
        <v>0</v>
      </c>
      <c r="M525" s="837">
        <f t="shared" si="229"/>
        <v>0</v>
      </c>
      <c r="N525" s="837">
        <f t="shared" si="229"/>
        <v>0</v>
      </c>
      <c r="O525" s="837">
        <f t="shared" ca="1" si="227"/>
        <v>0</v>
      </c>
      <c r="P525" s="837">
        <f t="shared" si="228"/>
        <v>0</v>
      </c>
      <c r="Q525" s="1264"/>
      <c r="R525" s="1264"/>
      <c r="S525" s="1264"/>
      <c r="T525" s="1264"/>
      <c r="U525" s="1264"/>
      <c r="V525" s="1264"/>
      <c r="W525" s="1264"/>
      <c r="X525" s="1264"/>
      <c r="Y525" s="1264"/>
      <c r="Z525" s="1264"/>
    </row>
    <row r="526" spans="1:26" ht="18.75" hidden="1">
      <c r="A526" s="1259"/>
      <c r="B526" s="1242"/>
      <c r="C526" s="1243"/>
      <c r="D526" s="1266" t="s">
        <v>20</v>
      </c>
      <c r="E526" s="1243"/>
      <c r="F526" s="1243"/>
      <c r="G526" s="963"/>
      <c r="H526" s="778" t="s">
        <v>12</v>
      </c>
      <c r="I526" s="944"/>
      <c r="J526" s="944"/>
      <c r="K526" s="945"/>
      <c r="L526" s="831">
        <f t="shared" ref="L526:N526" ca="1" si="230">L527+L528</f>
        <v>0</v>
      </c>
      <c r="M526" s="831">
        <f t="shared" si="230"/>
        <v>0</v>
      </c>
      <c r="N526" s="831">
        <f t="shared" si="230"/>
        <v>0</v>
      </c>
      <c r="O526" s="831">
        <f t="shared" ca="1" si="227"/>
        <v>0</v>
      </c>
      <c r="P526" s="831">
        <f t="shared" si="228"/>
        <v>0</v>
      </c>
      <c r="Q526" s="1244"/>
      <c r="R526" s="1244"/>
      <c r="S526" s="1244"/>
      <c r="T526" s="1244"/>
      <c r="U526" s="1244"/>
      <c r="V526" s="1244"/>
      <c r="W526" s="1244"/>
      <c r="X526" s="1244"/>
      <c r="Y526" s="1244"/>
      <c r="Z526" s="1244"/>
    </row>
    <row r="527" spans="1:26" ht="18.75" hidden="1">
      <c r="A527" s="1260"/>
      <c r="B527" s="1265"/>
      <c r="C527" s="1261"/>
      <c r="D527" s="1262"/>
      <c r="E527" s="1261" t="s">
        <v>184</v>
      </c>
      <c r="F527" s="1261"/>
      <c r="G527" s="1263"/>
      <c r="H527" s="165" t="s">
        <v>12</v>
      </c>
      <c r="I527" s="836"/>
      <c r="J527" s="836"/>
      <c r="K527" s="837"/>
      <c r="L527" s="837">
        <v>0</v>
      </c>
      <c r="M527" s="837">
        <v>0</v>
      </c>
      <c r="N527" s="837">
        <v>0</v>
      </c>
      <c r="O527" s="837">
        <f t="shared" si="227"/>
        <v>0</v>
      </c>
      <c r="P527" s="837">
        <f t="shared" si="228"/>
        <v>0</v>
      </c>
      <c r="Q527" s="1264"/>
      <c r="R527" s="1264"/>
      <c r="S527" s="1264"/>
      <c r="T527" s="1264"/>
      <c r="U527" s="1264"/>
      <c r="V527" s="1264"/>
      <c r="W527" s="1264"/>
      <c r="X527" s="1264"/>
      <c r="Y527" s="1264"/>
      <c r="Z527" s="1264"/>
    </row>
    <row r="528" spans="1:26" ht="18.75" hidden="1">
      <c r="A528" s="1260"/>
      <c r="B528" s="1265"/>
      <c r="C528" s="1261"/>
      <c r="D528" s="1262"/>
      <c r="E528" s="1261" t="s">
        <v>185</v>
      </c>
      <c r="F528" s="1261"/>
      <c r="G528" s="1263"/>
      <c r="H528" s="165" t="s">
        <v>12</v>
      </c>
      <c r="I528" s="836"/>
      <c r="J528" s="836"/>
      <c r="K528" s="837"/>
      <c r="L528" s="837">
        <f ca="1">IFERROR(__xludf.DUMMYFUNCTION("IMPORTRANGE(""https://docs.google.com/spreadsheets/d/1QqKyyYR6Q21VydFLVH3TRQUabQu_ym0Zz7PgGX0-kHA/edit?usp=sharing"",""แผน!GQ26"")"),0)</f>
        <v>0</v>
      </c>
      <c r="M528" s="837">
        <v>0</v>
      </c>
      <c r="N528" s="837">
        <f>N529+N530+N531+N532</f>
        <v>0</v>
      </c>
      <c r="O528" s="837">
        <f t="shared" ca="1" si="227"/>
        <v>0</v>
      </c>
      <c r="P528" s="837">
        <f t="shared" si="228"/>
        <v>0</v>
      </c>
      <c r="Q528" s="1264"/>
      <c r="R528" s="1264"/>
      <c r="S528" s="1264"/>
      <c r="T528" s="1264"/>
      <c r="U528" s="1264"/>
      <c r="V528" s="1264"/>
      <c r="W528" s="1264"/>
      <c r="X528" s="1264"/>
      <c r="Y528" s="1264"/>
      <c r="Z528" s="1264"/>
    </row>
    <row r="529" spans="1:26" ht="18.75" hidden="1">
      <c r="A529" s="1241"/>
      <c r="B529" s="1242"/>
      <c r="C529" s="1243"/>
      <c r="D529" s="1243"/>
      <c r="E529" s="1243"/>
      <c r="F529" s="1243" t="s">
        <v>186</v>
      </c>
      <c r="G529" s="963"/>
      <c r="H529" s="778" t="s">
        <v>12</v>
      </c>
      <c r="I529" s="830"/>
      <c r="J529" s="830"/>
      <c r="K529" s="831"/>
      <c r="L529" s="831"/>
      <c r="M529" s="831"/>
      <c r="N529" s="1031">
        <v>0</v>
      </c>
      <c r="O529" s="831"/>
      <c r="P529" s="831"/>
      <c r="Q529" s="1244"/>
      <c r="R529" s="1244"/>
      <c r="S529" s="1244"/>
      <c r="T529" s="1244"/>
      <c r="U529" s="1244"/>
      <c r="V529" s="1244"/>
      <c r="W529" s="1244"/>
      <c r="X529" s="1244"/>
      <c r="Y529" s="1244"/>
      <c r="Z529" s="1244"/>
    </row>
    <row r="530" spans="1:26" ht="18.75" hidden="1">
      <c r="A530" s="1241"/>
      <c r="B530" s="1242"/>
      <c r="C530" s="1243"/>
      <c r="D530" s="1243"/>
      <c r="E530" s="1243"/>
      <c r="F530" s="1243" t="s">
        <v>187</v>
      </c>
      <c r="G530" s="963"/>
      <c r="H530" s="778" t="s">
        <v>12</v>
      </c>
      <c r="I530" s="830"/>
      <c r="J530" s="830"/>
      <c r="K530" s="831"/>
      <c r="L530" s="831"/>
      <c r="M530" s="831"/>
      <c r="N530" s="1031">
        <v>0</v>
      </c>
      <c r="O530" s="831"/>
      <c r="P530" s="831"/>
      <c r="Q530" s="1244"/>
      <c r="R530" s="1244"/>
      <c r="S530" s="1244"/>
      <c r="T530" s="1244"/>
      <c r="U530" s="1244"/>
      <c r="V530" s="1244"/>
      <c r="W530" s="1244"/>
      <c r="X530" s="1244"/>
      <c r="Y530" s="1244"/>
      <c r="Z530" s="1244"/>
    </row>
    <row r="531" spans="1:26" ht="18.75" hidden="1">
      <c r="A531" s="1241"/>
      <c r="B531" s="1242"/>
      <c r="C531" s="1243"/>
      <c r="D531" s="1243"/>
      <c r="E531" s="1243"/>
      <c r="F531" s="1243" t="s">
        <v>188</v>
      </c>
      <c r="G531" s="963"/>
      <c r="H531" s="778" t="s">
        <v>12</v>
      </c>
      <c r="I531" s="830"/>
      <c r="J531" s="830"/>
      <c r="K531" s="831"/>
      <c r="L531" s="831"/>
      <c r="M531" s="831"/>
      <c r="N531" s="1031">
        <v>0</v>
      </c>
      <c r="O531" s="831"/>
      <c r="P531" s="831"/>
      <c r="Q531" s="1244"/>
      <c r="R531" s="1244"/>
      <c r="S531" s="1244"/>
      <c r="T531" s="1244"/>
      <c r="U531" s="1244"/>
      <c r="V531" s="1244"/>
      <c r="W531" s="1244"/>
      <c r="X531" s="1244"/>
      <c r="Y531" s="1244"/>
      <c r="Z531" s="1244"/>
    </row>
    <row r="532" spans="1:26" ht="18.75" hidden="1">
      <c r="A532" s="1241"/>
      <c r="B532" s="1242"/>
      <c r="C532" s="1243"/>
      <c r="D532" s="1243"/>
      <c r="E532" s="1243"/>
      <c r="F532" s="1243" t="s">
        <v>189</v>
      </c>
      <c r="G532" s="963"/>
      <c r="H532" s="778" t="s">
        <v>12</v>
      </c>
      <c r="I532" s="830"/>
      <c r="J532" s="830"/>
      <c r="K532" s="831"/>
      <c r="L532" s="831"/>
      <c r="M532" s="831"/>
      <c r="N532" s="1031">
        <v>0</v>
      </c>
      <c r="O532" s="831"/>
      <c r="P532" s="831"/>
      <c r="Q532" s="1244"/>
      <c r="R532" s="1244"/>
      <c r="S532" s="1244"/>
      <c r="T532" s="1244"/>
      <c r="U532" s="1244"/>
      <c r="V532" s="1244"/>
      <c r="W532" s="1244"/>
      <c r="X532" s="1244"/>
      <c r="Y532" s="1244"/>
      <c r="Z532" s="1244"/>
    </row>
    <row r="533" spans="1:26" ht="18.75" hidden="1">
      <c r="A533" s="1259"/>
      <c r="B533" s="1242"/>
      <c r="C533" s="1243"/>
      <c r="D533" s="1266" t="s">
        <v>21</v>
      </c>
      <c r="E533" s="1243"/>
      <c r="F533" s="1243"/>
      <c r="G533" s="963"/>
      <c r="H533" s="168" t="s">
        <v>12</v>
      </c>
      <c r="I533" s="944"/>
      <c r="J533" s="944"/>
      <c r="K533" s="945"/>
      <c r="L533" s="831">
        <f t="shared" ref="L533:N533" ca="1" si="231">L534+L535</f>
        <v>0</v>
      </c>
      <c r="M533" s="831">
        <f t="shared" si="231"/>
        <v>0</v>
      </c>
      <c r="N533" s="831">
        <f t="shared" si="231"/>
        <v>0</v>
      </c>
      <c r="O533" s="831">
        <f t="shared" ref="O533:O535" ca="1" si="232">IF(L533&gt;0,N533*100/L533,0)</f>
        <v>0</v>
      </c>
      <c r="P533" s="831">
        <f t="shared" ref="P533:P535" si="233">IF(M533&gt;0,N533*100/M533,0)</f>
        <v>0</v>
      </c>
      <c r="Q533" s="1244"/>
      <c r="R533" s="1244"/>
      <c r="S533" s="1244"/>
      <c r="T533" s="1244"/>
      <c r="U533" s="1244"/>
      <c r="V533" s="1244"/>
      <c r="W533" s="1244"/>
      <c r="X533" s="1244"/>
      <c r="Y533" s="1244"/>
      <c r="Z533" s="1244"/>
    </row>
    <row r="534" spans="1:26" ht="18.75" hidden="1">
      <c r="A534" s="1260"/>
      <c r="B534" s="1265"/>
      <c r="C534" s="1261"/>
      <c r="D534" s="1261"/>
      <c r="E534" s="1261" t="s">
        <v>18</v>
      </c>
      <c r="F534" s="1261"/>
      <c r="G534" s="1263"/>
      <c r="H534" s="165" t="s">
        <v>12</v>
      </c>
      <c r="I534" s="947"/>
      <c r="J534" s="947"/>
      <c r="K534" s="948"/>
      <c r="L534" s="837">
        <v>0</v>
      </c>
      <c r="M534" s="837">
        <v>0</v>
      </c>
      <c r="N534" s="837">
        <v>0</v>
      </c>
      <c r="O534" s="837">
        <f t="shared" si="232"/>
        <v>0</v>
      </c>
      <c r="P534" s="837">
        <f t="shared" si="233"/>
        <v>0</v>
      </c>
      <c r="Q534" s="1264"/>
      <c r="R534" s="1264"/>
      <c r="S534" s="1264"/>
      <c r="T534" s="1264"/>
      <c r="U534" s="1264"/>
      <c r="V534" s="1264"/>
      <c r="W534" s="1264"/>
      <c r="X534" s="1264"/>
      <c r="Y534" s="1264"/>
      <c r="Z534" s="1264"/>
    </row>
    <row r="535" spans="1:26" ht="18.75" hidden="1">
      <c r="A535" s="1260"/>
      <c r="B535" s="1265"/>
      <c r="C535" s="1261"/>
      <c r="D535" s="1261"/>
      <c r="E535" s="1261" t="s">
        <v>19</v>
      </c>
      <c r="F535" s="1261"/>
      <c r="G535" s="1263"/>
      <c r="H535" s="169" t="s">
        <v>12</v>
      </c>
      <c r="I535" s="947"/>
      <c r="J535" s="947"/>
      <c r="K535" s="948"/>
      <c r="L535" s="837">
        <f ca="1">IFERROR(__xludf.DUMMYFUNCTION("IMPORTRANGE(""https://docs.google.com/spreadsheets/d/1QqKyyYR6Q21VydFLVH3TRQUabQu_ym0Zz7PgGX0-kHA/edit?usp=sharing"",""แผน!GT26"")"),0)</f>
        <v>0</v>
      </c>
      <c r="M535" s="837">
        <v>0</v>
      </c>
      <c r="N535" s="837">
        <v>0</v>
      </c>
      <c r="O535" s="837">
        <f t="shared" ca="1" si="232"/>
        <v>0</v>
      </c>
      <c r="P535" s="837">
        <f t="shared" si="233"/>
        <v>0</v>
      </c>
      <c r="Q535" s="1264"/>
      <c r="R535" s="1264"/>
      <c r="S535" s="1264"/>
      <c r="T535" s="1264"/>
      <c r="U535" s="1264"/>
      <c r="V535" s="1264"/>
      <c r="W535" s="1264"/>
      <c r="X535" s="1264"/>
      <c r="Y535" s="1264"/>
      <c r="Z535" s="1264"/>
    </row>
    <row r="536" spans="1:26" ht="19.5" hidden="1">
      <c r="A536" s="1267"/>
      <c r="B536" s="1268"/>
      <c r="C536" s="1243" t="s">
        <v>16</v>
      </c>
      <c r="D536" s="1320" t="s">
        <v>38</v>
      </c>
      <c r="E536" s="1271"/>
      <c r="F536" s="1271"/>
      <c r="G536" s="1272"/>
      <c r="H536" s="954"/>
      <c r="I536" s="944"/>
      <c r="J536" s="944"/>
      <c r="K536" s="945"/>
      <c r="L536" s="945"/>
      <c r="M536" s="945"/>
      <c r="N536" s="945"/>
      <c r="O536" s="945"/>
      <c r="P536" s="945"/>
      <c r="Q536" s="1244"/>
      <c r="R536" s="1244"/>
      <c r="S536" s="1244"/>
      <c r="T536" s="1244"/>
      <c r="U536" s="1244"/>
      <c r="V536" s="1244"/>
      <c r="W536" s="1244"/>
      <c r="X536" s="1244"/>
      <c r="Y536" s="1244"/>
      <c r="Z536" s="1244"/>
    </row>
    <row r="537" spans="1:26" ht="19.5" hidden="1">
      <c r="A537" s="1241"/>
      <c r="B537" s="1242"/>
      <c r="C537" s="1243"/>
      <c r="D537" s="1243" t="s">
        <v>227</v>
      </c>
      <c r="E537" s="1243"/>
      <c r="F537" s="1243"/>
      <c r="G537" s="963"/>
      <c r="H537" s="590" t="s">
        <v>35</v>
      </c>
      <c r="I537" s="966">
        <f ca="1">IFERROR(__xludf.DUMMYFUNCTION("IMPORTRANGE(""https://docs.google.com/spreadsheets/d/1QqKyyYR6Q21VydFLVH3TRQUabQu_ym0Zz7PgGX0-kHA/edit?usp=sharing"",""แผน!GU26"")"),0)</f>
        <v>0</v>
      </c>
      <c r="J537" s="966">
        <f ca="1">IF(AND(J538=I538,J539=I539,J540=I540,J541=I541),I537,0)</f>
        <v>0</v>
      </c>
      <c r="K537" s="831">
        <f t="shared" ref="K537:K543" ca="1" si="234">IF(I537&gt;0,J537*100/I537,0)</f>
        <v>0</v>
      </c>
      <c r="L537" s="831"/>
      <c r="M537" s="831"/>
      <c r="N537" s="831"/>
      <c r="O537" s="831"/>
      <c r="P537" s="831"/>
      <c r="Q537" s="1321"/>
      <c r="R537" s="1321"/>
      <c r="S537" s="1321"/>
      <c r="T537" s="1321"/>
      <c r="U537" s="1321"/>
      <c r="V537" s="1321"/>
      <c r="W537" s="1321"/>
      <c r="X537" s="1321"/>
      <c r="Y537" s="1321"/>
      <c r="Z537" s="1321"/>
    </row>
    <row r="538" spans="1:26" ht="18.75" hidden="1">
      <c r="A538" s="1241"/>
      <c r="B538" s="1242"/>
      <c r="C538" s="1243"/>
      <c r="D538" s="1243"/>
      <c r="E538" s="1243" t="s">
        <v>228</v>
      </c>
      <c r="F538" s="1243"/>
      <c r="G538" s="963"/>
      <c r="H538" s="590" t="s">
        <v>35</v>
      </c>
      <c r="I538" s="830">
        <f ca="1">IFERROR(__xludf.DUMMYFUNCTION("IMPORTRANGE(""https://docs.google.com/spreadsheets/d/1QqKyyYR6Q21VydFLVH3TRQUabQu_ym0Zz7PgGX0-kHA/edit?usp=sharing"",""แผน!GV26"")"),0)</f>
        <v>0</v>
      </c>
      <c r="J538" s="959">
        <v>0</v>
      </c>
      <c r="K538" s="831">
        <f t="shared" ca="1" si="234"/>
        <v>0</v>
      </c>
      <c r="L538" s="831"/>
      <c r="M538" s="831"/>
      <c r="N538" s="831"/>
      <c r="O538" s="831"/>
      <c r="P538" s="831"/>
      <c r="Q538" s="1321"/>
      <c r="R538" s="1321"/>
      <c r="S538" s="1321"/>
      <c r="T538" s="1321"/>
      <c r="U538" s="1321"/>
      <c r="V538" s="1321"/>
      <c r="W538" s="1321"/>
      <c r="X538" s="1321"/>
      <c r="Y538" s="1321"/>
      <c r="Z538" s="1321"/>
    </row>
    <row r="539" spans="1:26" ht="18.75" hidden="1">
      <c r="A539" s="1241"/>
      <c r="B539" s="1242"/>
      <c r="C539" s="1243"/>
      <c r="D539" s="1243"/>
      <c r="E539" s="1243" t="s">
        <v>229</v>
      </c>
      <c r="F539" s="1243"/>
      <c r="G539" s="963"/>
      <c r="H539" s="590" t="s">
        <v>35</v>
      </c>
      <c r="I539" s="830">
        <f ca="1">IFERROR(__xludf.DUMMYFUNCTION("IMPORTRANGE(""https://docs.google.com/spreadsheets/d/1QqKyyYR6Q21VydFLVH3TRQUabQu_ym0Zz7PgGX0-kHA/edit?usp=sharing"",""แผน!GW26"")"),0)</f>
        <v>0</v>
      </c>
      <c r="J539" s="959">
        <v>0</v>
      </c>
      <c r="K539" s="831">
        <f t="shared" ca="1" si="234"/>
        <v>0</v>
      </c>
      <c r="L539" s="831"/>
      <c r="M539" s="831"/>
      <c r="N539" s="831"/>
      <c r="O539" s="831"/>
      <c r="P539" s="831"/>
      <c r="Q539" s="1321"/>
      <c r="R539" s="1321"/>
      <c r="S539" s="1321"/>
      <c r="T539" s="1321"/>
      <c r="U539" s="1321"/>
      <c r="V539" s="1321"/>
      <c r="W539" s="1321"/>
      <c r="X539" s="1321"/>
      <c r="Y539" s="1321"/>
      <c r="Z539" s="1321"/>
    </row>
    <row r="540" spans="1:26" ht="18.75" hidden="1">
      <c r="A540" s="1241"/>
      <c r="B540" s="1242"/>
      <c r="C540" s="1243"/>
      <c r="D540" s="1243"/>
      <c r="E540" s="1243" t="s">
        <v>230</v>
      </c>
      <c r="F540" s="1243"/>
      <c r="G540" s="963"/>
      <c r="H540" s="590" t="s">
        <v>35</v>
      </c>
      <c r="I540" s="830">
        <f ca="1">IFERROR(__xludf.DUMMYFUNCTION("IMPORTRANGE(""https://docs.google.com/spreadsheets/d/1QqKyyYR6Q21VydFLVH3TRQUabQu_ym0Zz7PgGX0-kHA/edit?usp=sharing"",""แผน!GX26"")"),0)</f>
        <v>0</v>
      </c>
      <c r="J540" s="959">
        <v>0</v>
      </c>
      <c r="K540" s="831">
        <f t="shared" ca="1" si="234"/>
        <v>0</v>
      </c>
      <c r="L540" s="831"/>
      <c r="M540" s="831"/>
      <c r="N540" s="831"/>
      <c r="O540" s="831"/>
      <c r="P540" s="831"/>
      <c r="Q540" s="1321"/>
      <c r="R540" s="1321"/>
      <c r="S540" s="1321"/>
      <c r="T540" s="1321"/>
      <c r="U540" s="1321"/>
      <c r="V540" s="1321"/>
      <c r="W540" s="1321"/>
      <c r="X540" s="1321"/>
      <c r="Y540" s="1321"/>
      <c r="Z540" s="1321"/>
    </row>
    <row r="541" spans="1:26" ht="18.75" hidden="1">
      <c r="A541" s="1241"/>
      <c r="B541" s="1242"/>
      <c r="C541" s="1243"/>
      <c r="D541" s="1243"/>
      <c r="E541" s="1322" t="s">
        <v>231</v>
      </c>
      <c r="F541" s="1243"/>
      <c r="G541" s="963"/>
      <c r="H541" s="590" t="s">
        <v>35</v>
      </c>
      <c r="I541" s="830">
        <f ca="1">IFERROR(__xludf.DUMMYFUNCTION("IMPORTRANGE(""https://docs.google.com/spreadsheets/d/1QqKyyYR6Q21VydFLVH3TRQUabQu_ym0Zz7PgGX0-kHA/edit?usp=sharing"",""แผน!GY26"")"),0)</f>
        <v>0</v>
      </c>
      <c r="J541" s="959">
        <v>0</v>
      </c>
      <c r="K541" s="831">
        <f t="shared" ca="1" si="234"/>
        <v>0</v>
      </c>
      <c r="L541" s="831"/>
      <c r="M541" s="831"/>
      <c r="N541" s="831"/>
      <c r="O541" s="831"/>
      <c r="P541" s="831"/>
      <c r="Q541" s="1321"/>
      <c r="R541" s="1321"/>
      <c r="S541" s="1321"/>
      <c r="T541" s="1321"/>
      <c r="U541" s="1321"/>
      <c r="V541" s="1321"/>
      <c r="W541" s="1321"/>
      <c r="X541" s="1321"/>
      <c r="Y541" s="1321"/>
      <c r="Z541" s="1321"/>
    </row>
    <row r="542" spans="1:26" ht="18.75" hidden="1">
      <c r="A542" s="1241"/>
      <c r="B542" s="1242"/>
      <c r="C542" s="1243"/>
      <c r="D542" s="1243" t="s">
        <v>59</v>
      </c>
      <c r="E542" s="1243"/>
      <c r="F542" s="1243"/>
      <c r="G542" s="963"/>
      <c r="H542" s="590" t="s">
        <v>35</v>
      </c>
      <c r="I542" s="830">
        <f ca="1">IFERROR(__xludf.DUMMYFUNCTION("IMPORTRANGE(""https://docs.google.com/spreadsheets/d/1QqKyyYR6Q21VydFLVH3TRQUabQu_ym0Zz7PgGX0-kHA/edit?usp=sharing"",""แผน!GZ26"")"),0)</f>
        <v>0</v>
      </c>
      <c r="J542" s="959">
        <v>0</v>
      </c>
      <c r="K542" s="831">
        <f t="shared" ca="1" si="234"/>
        <v>0</v>
      </c>
      <c r="L542" s="831"/>
      <c r="M542" s="831"/>
      <c r="N542" s="831"/>
      <c r="O542" s="831"/>
      <c r="P542" s="831"/>
      <c r="Q542" s="1321"/>
      <c r="R542" s="1321"/>
      <c r="S542" s="1321"/>
      <c r="T542" s="1321"/>
      <c r="U542" s="1321"/>
      <c r="V542" s="1321"/>
      <c r="W542" s="1321"/>
      <c r="X542" s="1321"/>
      <c r="Y542" s="1321"/>
      <c r="Z542" s="1321"/>
    </row>
    <row r="543" spans="1:26" ht="19.5">
      <c r="A543" s="630">
        <v>6</v>
      </c>
      <c r="B543" s="1323" t="s">
        <v>232</v>
      </c>
      <c r="C543" s="1309"/>
      <c r="D543" s="1309"/>
      <c r="E543" s="1309"/>
      <c r="F543" s="1309"/>
      <c r="G543" s="1310"/>
      <c r="H543" s="652" t="s">
        <v>46</v>
      </c>
      <c r="I543" s="1324">
        <f t="shared" ref="I543:J543" ca="1" si="235">I559</f>
        <v>24651</v>
      </c>
      <c r="J543" s="1324">
        <f t="shared" si="235"/>
        <v>0</v>
      </c>
      <c r="K543" s="1325">
        <f t="shared" ca="1" si="234"/>
        <v>0</v>
      </c>
      <c r="L543" s="1312"/>
      <c r="M543" s="1312"/>
      <c r="N543" s="1312"/>
      <c r="O543" s="1312"/>
      <c r="P543" s="1312"/>
      <c r="Q543" s="1244"/>
      <c r="R543" s="1244"/>
      <c r="S543" s="1244"/>
      <c r="T543" s="1244"/>
      <c r="U543" s="1244"/>
      <c r="V543" s="1244"/>
      <c r="W543" s="1244"/>
      <c r="X543" s="1244"/>
      <c r="Y543" s="1244"/>
      <c r="Z543" s="1244"/>
    </row>
    <row r="544" spans="1:26" ht="19.5">
      <c r="A544" s="1326"/>
      <c r="B544" s="1327"/>
      <c r="C544" s="1327" t="s">
        <v>16</v>
      </c>
      <c r="D544" s="1511" t="s">
        <v>17</v>
      </c>
      <c r="E544" s="1487"/>
      <c r="F544" s="1487"/>
      <c r="G544" s="1328"/>
      <c r="H544" s="275" t="s">
        <v>12</v>
      </c>
      <c r="I544" s="937"/>
      <c r="J544" s="937"/>
      <c r="K544" s="938"/>
      <c r="L544" s="939">
        <f t="shared" ref="L544:N544" ca="1" si="236">L545+L546</f>
        <v>485811</v>
      </c>
      <c r="M544" s="939">
        <f t="shared" si="236"/>
        <v>0</v>
      </c>
      <c r="N544" s="939">
        <f t="shared" si="236"/>
        <v>100390</v>
      </c>
      <c r="O544" s="939">
        <f t="shared" ref="O544:O549" ca="1" si="237">IF(L544&gt;0,N544*100/L544,0)</f>
        <v>20.664414762119424</v>
      </c>
      <c r="P544" s="939">
        <f t="shared" ref="P544:P549" si="238">IF(M544&gt;0,N544*100/M544,0)</f>
        <v>0</v>
      </c>
      <c r="Q544" s="1244"/>
      <c r="R544" s="1244"/>
      <c r="S544" s="1244"/>
      <c r="T544" s="1244"/>
      <c r="U544" s="1244"/>
      <c r="V544" s="1244"/>
      <c r="W544" s="1244"/>
      <c r="X544" s="1244"/>
      <c r="Y544" s="1244"/>
      <c r="Z544" s="1244"/>
    </row>
    <row r="545" spans="1:26" ht="18.75" hidden="1">
      <c r="A545" s="1260"/>
      <c r="B545" s="1261"/>
      <c r="C545" s="1261"/>
      <c r="D545" s="1261"/>
      <c r="E545" s="1261" t="s">
        <v>184</v>
      </c>
      <c r="F545" s="1261"/>
      <c r="G545" s="1263"/>
      <c r="H545" s="165" t="s">
        <v>12</v>
      </c>
      <c r="I545" s="836"/>
      <c r="J545" s="836"/>
      <c r="K545" s="837"/>
      <c r="L545" s="837">
        <f t="shared" ref="L545:L546" si="239">L548+L556</f>
        <v>0</v>
      </c>
      <c r="M545" s="837">
        <f t="shared" ref="M545:N546" si="240">M548+M555</f>
        <v>0</v>
      </c>
      <c r="N545" s="837">
        <f t="shared" si="240"/>
        <v>0</v>
      </c>
      <c r="O545" s="837">
        <f t="shared" si="237"/>
        <v>0</v>
      </c>
      <c r="P545" s="837">
        <f t="shared" si="238"/>
        <v>0</v>
      </c>
      <c r="Q545" s="1264"/>
      <c r="R545" s="1264"/>
      <c r="S545" s="1264"/>
      <c r="T545" s="1264"/>
      <c r="U545" s="1264"/>
      <c r="V545" s="1264"/>
      <c r="W545" s="1264"/>
      <c r="X545" s="1264"/>
      <c r="Y545" s="1264"/>
      <c r="Z545" s="1264"/>
    </row>
    <row r="546" spans="1:26" ht="18.75" hidden="1">
      <c r="A546" s="1260"/>
      <c r="B546" s="1265"/>
      <c r="C546" s="1261"/>
      <c r="D546" s="1261"/>
      <c r="E546" s="1261" t="s">
        <v>185</v>
      </c>
      <c r="F546" s="1261"/>
      <c r="G546" s="1263"/>
      <c r="H546" s="165" t="s">
        <v>12</v>
      </c>
      <c r="I546" s="836"/>
      <c r="J546" s="836"/>
      <c r="K546" s="837"/>
      <c r="L546" s="837">
        <f t="shared" ca="1" si="239"/>
        <v>485811</v>
      </c>
      <c r="M546" s="837">
        <f t="shared" si="240"/>
        <v>0</v>
      </c>
      <c r="N546" s="837">
        <f t="shared" si="240"/>
        <v>100390</v>
      </c>
      <c r="O546" s="837">
        <f t="shared" ca="1" si="237"/>
        <v>20.664414762119424</v>
      </c>
      <c r="P546" s="837">
        <f t="shared" si="238"/>
        <v>0</v>
      </c>
      <c r="Q546" s="1264"/>
      <c r="R546" s="1264"/>
      <c r="S546" s="1264"/>
      <c r="T546" s="1264"/>
      <c r="U546" s="1264"/>
      <c r="V546" s="1264"/>
      <c r="W546" s="1264"/>
      <c r="X546" s="1264"/>
      <c r="Y546" s="1264"/>
      <c r="Z546" s="1264"/>
    </row>
    <row r="547" spans="1:26" ht="18.75">
      <c r="A547" s="1259"/>
      <c r="B547" s="1242"/>
      <c r="C547" s="1243"/>
      <c r="D547" s="1266" t="s">
        <v>20</v>
      </c>
      <c r="E547" s="1243"/>
      <c r="F547" s="1243"/>
      <c r="G547" s="963"/>
      <c r="H547" s="778" t="s">
        <v>12</v>
      </c>
      <c r="I547" s="944"/>
      <c r="J547" s="944"/>
      <c r="K547" s="945"/>
      <c r="L547" s="831">
        <f t="shared" ref="L547:N547" ca="1" si="241">L548+L549</f>
        <v>485811</v>
      </c>
      <c r="M547" s="831">
        <f t="shared" si="241"/>
        <v>0</v>
      </c>
      <c r="N547" s="831">
        <f t="shared" si="241"/>
        <v>100390</v>
      </c>
      <c r="O547" s="831">
        <f t="shared" ca="1" si="237"/>
        <v>20.664414762119424</v>
      </c>
      <c r="P547" s="831">
        <f t="shared" si="238"/>
        <v>0</v>
      </c>
      <c r="Q547" s="1244"/>
      <c r="R547" s="1244"/>
      <c r="S547" s="1244"/>
      <c r="T547" s="1244"/>
      <c r="U547" s="1244"/>
      <c r="V547" s="1244"/>
      <c r="W547" s="1244"/>
      <c r="X547" s="1244"/>
      <c r="Y547" s="1244"/>
      <c r="Z547" s="1244"/>
    </row>
    <row r="548" spans="1:26" ht="18.75" hidden="1">
      <c r="A548" s="1260"/>
      <c r="B548" s="1265"/>
      <c r="C548" s="1261"/>
      <c r="D548" s="1262"/>
      <c r="E548" s="1261" t="s">
        <v>184</v>
      </c>
      <c r="F548" s="1261"/>
      <c r="G548" s="1263"/>
      <c r="H548" s="165" t="s">
        <v>12</v>
      </c>
      <c r="I548" s="836"/>
      <c r="J548" s="836"/>
      <c r="K548" s="837"/>
      <c r="L548" s="837">
        <v>0</v>
      </c>
      <c r="M548" s="837">
        <v>0</v>
      </c>
      <c r="N548" s="837">
        <v>0</v>
      </c>
      <c r="O548" s="837">
        <f t="shared" si="237"/>
        <v>0</v>
      </c>
      <c r="P548" s="837">
        <f t="shared" si="238"/>
        <v>0</v>
      </c>
      <c r="Q548" s="1264"/>
      <c r="R548" s="1264"/>
      <c r="S548" s="1264"/>
      <c r="T548" s="1264"/>
      <c r="U548" s="1264"/>
      <c r="V548" s="1264"/>
      <c r="W548" s="1264"/>
      <c r="X548" s="1264"/>
      <c r="Y548" s="1264"/>
      <c r="Z548" s="1264"/>
    </row>
    <row r="549" spans="1:26" ht="18.75" hidden="1">
      <c r="A549" s="1260"/>
      <c r="B549" s="1265"/>
      <c r="C549" s="1261"/>
      <c r="D549" s="1262"/>
      <c r="E549" s="1261" t="s">
        <v>185</v>
      </c>
      <c r="F549" s="1261"/>
      <c r="G549" s="1263"/>
      <c r="H549" s="165" t="s">
        <v>12</v>
      </c>
      <c r="I549" s="836"/>
      <c r="J549" s="836"/>
      <c r="K549" s="837"/>
      <c r="L549" s="837">
        <f ca="1">IFERROR(__xludf.DUMMYFUNCTION("IMPORTRANGE(""https://docs.google.com/spreadsheets/d/1QqKyyYR6Q21VydFLVH3TRQUabQu_ym0Zz7PgGX0-kHA/edit?usp=sharing"",""แผน!HB26"")"),485811)</f>
        <v>485811</v>
      </c>
      <c r="M549" s="837">
        <v>0</v>
      </c>
      <c r="N549" s="837">
        <f>N550+N551+N552+N553+N554</f>
        <v>100390</v>
      </c>
      <c r="O549" s="837">
        <f t="shared" ca="1" si="237"/>
        <v>20.664414762119424</v>
      </c>
      <c r="P549" s="837">
        <f t="shared" si="238"/>
        <v>0</v>
      </c>
      <c r="Q549" s="1264"/>
      <c r="R549" s="1264"/>
      <c r="S549" s="1264"/>
      <c r="T549" s="1264"/>
      <c r="U549" s="1264"/>
      <c r="V549" s="1264"/>
      <c r="W549" s="1264"/>
      <c r="X549" s="1264"/>
      <c r="Y549" s="1264"/>
      <c r="Z549" s="1264"/>
    </row>
    <row r="550" spans="1:26" ht="18.75">
      <c r="A550" s="1241"/>
      <c r="B550" s="1242"/>
      <c r="C550" s="1243"/>
      <c r="D550" s="1243"/>
      <c r="E550" s="1243"/>
      <c r="F550" s="1243" t="s">
        <v>186</v>
      </c>
      <c r="G550" s="963"/>
      <c r="H550" s="778" t="s">
        <v>12</v>
      </c>
      <c r="I550" s="830"/>
      <c r="J550" s="830"/>
      <c r="K550" s="831"/>
      <c r="L550" s="831"/>
      <c r="M550" s="831"/>
      <c r="N550" s="1031">
        <v>0</v>
      </c>
      <c r="O550" s="831"/>
      <c r="P550" s="831"/>
      <c r="Q550" s="1244"/>
      <c r="R550" s="1244"/>
      <c r="S550" s="1244"/>
      <c r="T550" s="1244"/>
      <c r="U550" s="1244"/>
      <c r="V550" s="1244"/>
      <c r="W550" s="1244"/>
      <c r="X550" s="1244"/>
      <c r="Y550" s="1244"/>
      <c r="Z550" s="1244"/>
    </row>
    <row r="551" spans="1:26" ht="18.75">
      <c r="A551" s="1241"/>
      <c r="B551" s="1242"/>
      <c r="C551" s="1242"/>
      <c r="D551" s="1242"/>
      <c r="E551" s="1243"/>
      <c r="F551" s="1243" t="s">
        <v>187</v>
      </c>
      <c r="G551" s="963"/>
      <c r="H551" s="778" t="s">
        <v>12</v>
      </c>
      <c r="I551" s="830"/>
      <c r="J551" s="830"/>
      <c r="K551" s="831"/>
      <c r="L551" s="831"/>
      <c r="M551" s="831"/>
      <c r="N551" s="1031">
        <v>0</v>
      </c>
      <c r="O551" s="831"/>
      <c r="P551" s="831"/>
      <c r="Q551" s="1244"/>
      <c r="R551" s="1244"/>
      <c r="S551" s="1244"/>
      <c r="T551" s="1244"/>
      <c r="U551" s="1244"/>
      <c r="V551" s="1244"/>
      <c r="W551" s="1244"/>
      <c r="X551" s="1244"/>
      <c r="Y551" s="1244"/>
      <c r="Z551" s="1244"/>
    </row>
    <row r="552" spans="1:26" ht="18.75">
      <c r="A552" s="1241"/>
      <c r="B552" s="1242"/>
      <c r="C552" s="1243"/>
      <c r="D552" s="1243"/>
      <c r="E552" s="1243"/>
      <c r="F552" s="1243" t="s">
        <v>188</v>
      </c>
      <c r="G552" s="963"/>
      <c r="H552" s="778" t="s">
        <v>12</v>
      </c>
      <c r="I552" s="830"/>
      <c r="J552" s="830"/>
      <c r="K552" s="831"/>
      <c r="L552" s="831"/>
      <c r="M552" s="831"/>
      <c r="N552" s="1031">
        <v>39000</v>
      </c>
      <c r="O552" s="831"/>
      <c r="P552" s="831"/>
      <c r="Q552" s="1244"/>
      <c r="R552" s="1244"/>
      <c r="S552" s="1244"/>
      <c r="T552" s="1244"/>
      <c r="U552" s="1244"/>
      <c r="V552" s="1244"/>
      <c r="W552" s="1244"/>
      <c r="X552" s="1244"/>
      <c r="Y552" s="1244"/>
      <c r="Z552" s="1244"/>
    </row>
    <row r="553" spans="1:26" ht="18.75">
      <c r="A553" s="1241"/>
      <c r="B553" s="1242"/>
      <c r="C553" s="1242"/>
      <c r="D553" s="1242"/>
      <c r="E553" s="1243"/>
      <c r="F553" s="1243" t="s">
        <v>189</v>
      </c>
      <c r="G553" s="963"/>
      <c r="H553" s="778" t="s">
        <v>12</v>
      </c>
      <c r="I553" s="830"/>
      <c r="J553" s="830"/>
      <c r="K553" s="831"/>
      <c r="L553" s="831"/>
      <c r="M553" s="831"/>
      <c r="N553" s="1031">
        <v>61390</v>
      </c>
      <c r="O553" s="831"/>
      <c r="P553" s="831"/>
      <c r="Q553" s="1244"/>
      <c r="R553" s="1244"/>
      <c r="S553" s="1244"/>
      <c r="T553" s="1244"/>
      <c r="U553" s="1244"/>
      <c r="V553" s="1244"/>
      <c r="W553" s="1244"/>
      <c r="X553" s="1244"/>
      <c r="Y553" s="1244"/>
      <c r="Z553" s="1244"/>
    </row>
    <row r="554" spans="1:26" ht="18.75">
      <c r="A554" s="1241"/>
      <c r="B554" s="1242"/>
      <c r="C554" s="1242"/>
      <c r="D554" s="1242"/>
      <c r="E554" s="1243"/>
      <c r="F554" s="1243" t="s">
        <v>233</v>
      </c>
      <c r="G554" s="963"/>
      <c r="H554" s="778" t="s">
        <v>12</v>
      </c>
      <c r="I554" s="830"/>
      <c r="J554" s="830"/>
      <c r="K554" s="831"/>
      <c r="L554" s="831"/>
      <c r="M554" s="831"/>
      <c r="N554" s="1031">
        <v>0</v>
      </c>
      <c r="O554" s="831"/>
      <c r="P554" s="831"/>
      <c r="Q554" s="1244"/>
      <c r="R554" s="1244"/>
      <c r="S554" s="1244"/>
      <c r="T554" s="1244"/>
      <c r="U554" s="1244"/>
      <c r="V554" s="1244"/>
      <c r="W554" s="1244"/>
      <c r="X554" s="1244"/>
      <c r="Y554" s="1244"/>
      <c r="Z554" s="1244"/>
    </row>
    <row r="555" spans="1:26" ht="18.75">
      <c r="A555" s="1259"/>
      <c r="B555" s="1242"/>
      <c r="C555" s="1242"/>
      <c r="D555" s="1266" t="s">
        <v>21</v>
      </c>
      <c r="E555" s="1243"/>
      <c r="F555" s="1243"/>
      <c r="G555" s="963"/>
      <c r="H555" s="168" t="s">
        <v>12</v>
      </c>
      <c r="I555" s="944"/>
      <c r="J555" s="944"/>
      <c r="K555" s="945"/>
      <c r="L555" s="831">
        <f t="shared" ref="L555:N555" ca="1" si="242">L556+L557</f>
        <v>0</v>
      </c>
      <c r="M555" s="831">
        <f t="shared" si="242"/>
        <v>0</v>
      </c>
      <c r="N555" s="831">
        <f t="shared" si="242"/>
        <v>0</v>
      </c>
      <c r="O555" s="831">
        <f t="shared" ref="O555:O557" ca="1" si="243">IF(L555&gt;0,N555*100/L555,0)</f>
        <v>0</v>
      </c>
      <c r="P555" s="831">
        <f t="shared" ref="P555:P557" si="244">IF(M555&gt;0,N555*100/M555,0)</f>
        <v>0</v>
      </c>
      <c r="Q555" s="1244"/>
      <c r="R555" s="1244"/>
      <c r="S555" s="1244"/>
      <c r="T555" s="1244"/>
      <c r="U555" s="1244"/>
      <c r="V555" s="1244"/>
      <c r="W555" s="1244"/>
      <c r="X555" s="1244"/>
      <c r="Y555" s="1244"/>
      <c r="Z555" s="1244"/>
    </row>
    <row r="556" spans="1:26" ht="18.75" hidden="1">
      <c r="A556" s="1260"/>
      <c r="B556" s="1265"/>
      <c r="C556" s="1265"/>
      <c r="D556" s="1261"/>
      <c r="E556" s="1261" t="s">
        <v>18</v>
      </c>
      <c r="F556" s="1261"/>
      <c r="G556" s="1263"/>
      <c r="H556" s="165" t="s">
        <v>12</v>
      </c>
      <c r="I556" s="947"/>
      <c r="J556" s="947"/>
      <c r="K556" s="948"/>
      <c r="L556" s="837">
        <v>0</v>
      </c>
      <c r="M556" s="837">
        <v>0</v>
      </c>
      <c r="N556" s="837">
        <v>0</v>
      </c>
      <c r="O556" s="837">
        <f t="shared" si="243"/>
        <v>0</v>
      </c>
      <c r="P556" s="837">
        <f t="shared" si="244"/>
        <v>0</v>
      </c>
      <c r="Q556" s="1264"/>
      <c r="R556" s="1264"/>
      <c r="S556" s="1264"/>
      <c r="T556" s="1264"/>
      <c r="U556" s="1264"/>
      <c r="V556" s="1264"/>
      <c r="W556" s="1264"/>
      <c r="X556" s="1264"/>
      <c r="Y556" s="1264"/>
      <c r="Z556" s="1264"/>
    </row>
    <row r="557" spans="1:26" ht="18.75" hidden="1">
      <c r="A557" s="1260"/>
      <c r="B557" s="1265"/>
      <c r="C557" s="1265"/>
      <c r="D557" s="1261"/>
      <c r="E557" s="1261" t="s">
        <v>19</v>
      </c>
      <c r="F557" s="1261"/>
      <c r="G557" s="1263"/>
      <c r="H557" s="169" t="s">
        <v>12</v>
      </c>
      <c r="I557" s="947"/>
      <c r="J557" s="947"/>
      <c r="K557" s="948"/>
      <c r="L557" s="837">
        <f ca="1">IFERROR(__xludf.DUMMYFUNCTION("IMPORTRANGE(""https://docs.google.com/spreadsheets/d/1QqKyyYR6Q21VydFLVH3TRQUabQu_ym0Zz7PgGX0-kHA/edit?usp=sharing"",""แผน!HF26"")"),0)</f>
        <v>0</v>
      </c>
      <c r="M557" s="837">
        <v>0</v>
      </c>
      <c r="N557" s="837">
        <v>0</v>
      </c>
      <c r="O557" s="837">
        <f t="shared" ca="1" si="243"/>
        <v>0</v>
      </c>
      <c r="P557" s="837">
        <f t="shared" si="244"/>
        <v>0</v>
      </c>
      <c r="Q557" s="1264"/>
      <c r="R557" s="1264"/>
      <c r="S557" s="1264"/>
      <c r="T557" s="1264"/>
      <c r="U557" s="1264"/>
      <c r="V557" s="1264"/>
      <c r="W557" s="1264"/>
      <c r="X557" s="1264"/>
      <c r="Y557" s="1264"/>
      <c r="Z557" s="1264"/>
    </row>
    <row r="558" spans="1:26" ht="19.5">
      <c r="A558" s="1267"/>
      <c r="B558" s="1268"/>
      <c r="C558" s="1242" t="s">
        <v>16</v>
      </c>
      <c r="D558" s="1320" t="s">
        <v>38</v>
      </c>
      <c r="E558" s="1271"/>
      <c r="F558" s="1271"/>
      <c r="G558" s="1272"/>
      <c r="H558" s="954"/>
      <c r="I558" s="944"/>
      <c r="J558" s="944"/>
      <c r="K558" s="945"/>
      <c r="L558" s="945"/>
      <c r="M558" s="945"/>
      <c r="N558" s="945"/>
      <c r="O558" s="945"/>
      <c r="P558" s="945"/>
      <c r="Q558" s="1244"/>
      <c r="R558" s="1244"/>
      <c r="S558" s="1244"/>
      <c r="T558" s="1244"/>
      <c r="U558" s="1244"/>
      <c r="V558" s="1244"/>
      <c r="W558" s="1244"/>
      <c r="X558" s="1244"/>
      <c r="Y558" s="1244"/>
      <c r="Z558" s="1244"/>
    </row>
    <row r="559" spans="1:26" ht="19.5">
      <c r="A559" s="1329"/>
      <c r="B559" s="1330" t="s">
        <v>234</v>
      </c>
      <c r="C559" s="1331"/>
      <c r="D559" s="1331"/>
      <c r="E559" s="1315"/>
      <c r="F559" s="1315"/>
      <c r="G559" s="1316"/>
      <c r="H559" s="661" t="s">
        <v>46</v>
      </c>
      <c r="I559" s="1317">
        <f t="shared" ref="I559:J559" ca="1" si="245">I576</f>
        <v>24651</v>
      </c>
      <c r="J559" s="1317">
        <f t="shared" si="245"/>
        <v>0</v>
      </c>
      <c r="K559" s="1318">
        <f t="shared" ref="K559:K561" ca="1" si="246">IF(I559&gt;0,J559*100/I559,0)</f>
        <v>0</v>
      </c>
      <c r="L559" s="1319"/>
      <c r="M559" s="1319"/>
      <c r="N559" s="1319"/>
      <c r="O559" s="1319"/>
      <c r="P559" s="1319"/>
      <c r="Q559" s="1244"/>
      <c r="R559" s="1244"/>
      <c r="S559" s="1244"/>
      <c r="T559" s="1244"/>
      <c r="U559" s="1244"/>
      <c r="V559" s="1244"/>
      <c r="W559" s="1244"/>
      <c r="X559" s="1244"/>
      <c r="Y559" s="1244"/>
      <c r="Z559" s="1244"/>
    </row>
    <row r="560" spans="1:26" ht="19.5">
      <c r="A560" s="1267"/>
      <c r="B560" s="1268"/>
      <c r="C560" s="1277" t="s">
        <v>235</v>
      </c>
      <c r="D560" s="1268"/>
      <c r="E560" s="961"/>
      <c r="F560" s="961"/>
      <c r="G560" s="954"/>
      <c r="H560" s="733" t="s">
        <v>46</v>
      </c>
      <c r="I560" s="965">
        <f ca="1">IFERROR(__xludf.DUMMYFUNCTION("IMPORTRANGE(""https://docs.google.com/spreadsheets/d/1QqKyyYR6Q21VydFLVH3TRQUabQu_ym0Zz7PgGX0-kHA/edit?usp=sharing"",""แผน!HH26"")"),24651)</f>
        <v>24651</v>
      </c>
      <c r="J560" s="965">
        <f t="shared" ref="J560:J561" si="247">J562+J564+J566</f>
        <v>24379.07</v>
      </c>
      <c r="K560" s="1109">
        <f t="shared" ca="1" si="246"/>
        <v>98.896880451097317</v>
      </c>
      <c r="L560" s="945"/>
      <c r="M560" s="945"/>
      <c r="N560" s="945"/>
      <c r="O560" s="945"/>
      <c r="P560" s="945"/>
      <c r="Q560" s="1244"/>
      <c r="R560" s="1244"/>
      <c r="S560" s="1244"/>
      <c r="T560" s="1244"/>
      <c r="U560" s="1244"/>
      <c r="V560" s="1244"/>
      <c r="W560" s="1244"/>
      <c r="X560" s="1244"/>
      <c r="Y560" s="1244"/>
      <c r="Z560" s="1244"/>
    </row>
    <row r="561" spans="1:26" ht="19.5">
      <c r="A561" s="1267"/>
      <c r="B561" s="1268"/>
      <c r="C561" s="1268"/>
      <c r="D561" s="961"/>
      <c r="E561" s="961"/>
      <c r="F561" s="961"/>
      <c r="G561" s="954"/>
      <c r="H561" s="733" t="s">
        <v>34</v>
      </c>
      <c r="I561" s="965">
        <f ca="1">IFERROR(__xludf.DUMMYFUNCTION("IMPORTRANGE(""https://docs.google.com/spreadsheets/d/1QqKyyYR6Q21VydFLVH3TRQUabQu_ym0Zz7PgGX0-kHA/edit?usp=sharing"",""แผน!HG26"")"),4817)</f>
        <v>4817</v>
      </c>
      <c r="J561" s="965">
        <f t="shared" si="247"/>
        <v>4817</v>
      </c>
      <c r="K561" s="1109">
        <f t="shared" ca="1" si="246"/>
        <v>100</v>
      </c>
      <c r="L561" s="945"/>
      <c r="M561" s="945"/>
      <c r="N561" s="945"/>
      <c r="O561" s="945"/>
      <c r="P561" s="945"/>
      <c r="Q561" s="1244"/>
      <c r="R561" s="1244"/>
      <c r="S561" s="1244"/>
      <c r="T561" s="1244"/>
      <c r="U561" s="1244"/>
      <c r="V561" s="1244"/>
      <c r="W561" s="1244"/>
      <c r="X561" s="1244"/>
      <c r="Y561" s="1244"/>
      <c r="Z561" s="1244"/>
    </row>
    <row r="562" spans="1:26" ht="18.75">
      <c r="A562" s="1267"/>
      <c r="B562" s="1268"/>
      <c r="C562" s="1268"/>
      <c r="D562" s="961" t="s">
        <v>236</v>
      </c>
      <c r="E562" s="961"/>
      <c r="F562" s="961"/>
      <c r="G562" s="954"/>
      <c r="H562" s="730" t="s">
        <v>46</v>
      </c>
      <c r="I562" s="944"/>
      <c r="J562" s="959">
        <v>21636.07</v>
      </c>
      <c r="K562" s="945"/>
      <c r="L562" s="945"/>
      <c r="M562" s="945"/>
      <c r="N562" s="945"/>
      <c r="O562" s="945"/>
      <c r="P562" s="945"/>
      <c r="Q562" s="1244"/>
      <c r="R562" s="1244"/>
      <c r="S562" s="1244"/>
      <c r="T562" s="1244"/>
      <c r="U562" s="1244"/>
      <c r="V562" s="1244"/>
      <c r="W562" s="1244"/>
      <c r="X562" s="1244"/>
      <c r="Y562" s="1244"/>
      <c r="Z562" s="1244"/>
    </row>
    <row r="563" spans="1:26" ht="18.75">
      <c r="A563" s="1267"/>
      <c r="B563" s="1268"/>
      <c r="C563" s="1268"/>
      <c r="D563" s="1268"/>
      <c r="E563" s="961"/>
      <c r="F563" s="961"/>
      <c r="G563" s="954"/>
      <c r="H563" s="730" t="s">
        <v>34</v>
      </c>
      <c r="I563" s="944"/>
      <c r="J563" s="959">
        <v>4338</v>
      </c>
      <c r="K563" s="945"/>
      <c r="L563" s="945"/>
      <c r="M563" s="945"/>
      <c r="N563" s="945"/>
      <c r="O563" s="945"/>
      <c r="P563" s="945"/>
      <c r="Q563" s="1244"/>
      <c r="R563" s="1244"/>
      <c r="S563" s="1244"/>
      <c r="T563" s="1244"/>
      <c r="U563" s="1244"/>
      <c r="V563" s="1244"/>
      <c r="W563" s="1244"/>
      <c r="X563" s="1244"/>
      <c r="Y563" s="1244"/>
      <c r="Z563" s="1244"/>
    </row>
    <row r="564" spans="1:26" ht="18.75">
      <c r="A564" s="1267"/>
      <c r="B564" s="1268"/>
      <c r="C564" s="1268"/>
      <c r="D564" s="961" t="s">
        <v>237</v>
      </c>
      <c r="E564" s="961"/>
      <c r="F564" s="961"/>
      <c r="G564" s="954"/>
      <c r="H564" s="730" t="s">
        <v>46</v>
      </c>
      <c r="I564" s="944"/>
      <c r="J564" s="959">
        <v>2162</v>
      </c>
      <c r="K564" s="945"/>
      <c r="L564" s="945"/>
      <c r="M564" s="945"/>
      <c r="N564" s="945"/>
      <c r="O564" s="945"/>
      <c r="P564" s="945"/>
      <c r="Q564" s="1244"/>
      <c r="R564" s="1244"/>
      <c r="S564" s="1244"/>
      <c r="T564" s="1244"/>
      <c r="U564" s="1244"/>
      <c r="V564" s="1244"/>
      <c r="W564" s="1244"/>
      <c r="X564" s="1244"/>
      <c r="Y564" s="1244"/>
      <c r="Z564" s="1244"/>
    </row>
    <row r="565" spans="1:26" ht="18.75">
      <c r="A565" s="1267"/>
      <c r="B565" s="1268"/>
      <c r="C565" s="1268"/>
      <c r="D565" s="961"/>
      <c r="E565" s="961"/>
      <c r="F565" s="961"/>
      <c r="G565" s="954"/>
      <c r="H565" s="730" t="s">
        <v>34</v>
      </c>
      <c r="I565" s="944"/>
      <c r="J565" s="959">
        <v>383</v>
      </c>
      <c r="K565" s="945"/>
      <c r="L565" s="945"/>
      <c r="M565" s="945"/>
      <c r="N565" s="945"/>
      <c r="O565" s="945"/>
      <c r="P565" s="945"/>
      <c r="Q565" s="1244"/>
      <c r="R565" s="1244"/>
      <c r="S565" s="1244"/>
      <c r="T565" s="1244"/>
      <c r="U565" s="1244"/>
      <c r="V565" s="1244"/>
      <c r="W565" s="1244"/>
      <c r="X565" s="1244"/>
      <c r="Y565" s="1244"/>
      <c r="Z565" s="1244"/>
    </row>
    <row r="566" spans="1:26" ht="18.75">
      <c r="A566" s="1267"/>
      <c r="B566" s="1268"/>
      <c r="C566" s="1268"/>
      <c r="D566" s="961" t="s">
        <v>238</v>
      </c>
      <c r="E566" s="961"/>
      <c r="F566" s="961"/>
      <c r="G566" s="954"/>
      <c r="H566" s="730" t="s">
        <v>46</v>
      </c>
      <c r="I566" s="944"/>
      <c r="J566" s="959">
        <v>581</v>
      </c>
      <c r="K566" s="945"/>
      <c r="L566" s="945"/>
      <c r="M566" s="945"/>
      <c r="N566" s="945"/>
      <c r="O566" s="945"/>
      <c r="P566" s="945"/>
      <c r="Q566" s="1244"/>
      <c r="R566" s="1244"/>
      <c r="S566" s="1244"/>
      <c r="T566" s="1244"/>
      <c r="U566" s="1244"/>
      <c r="V566" s="1244"/>
      <c r="W566" s="1244"/>
      <c r="X566" s="1244"/>
      <c r="Y566" s="1244"/>
      <c r="Z566" s="1244"/>
    </row>
    <row r="567" spans="1:26" ht="18.75">
      <c r="A567" s="1267"/>
      <c r="B567" s="1268"/>
      <c r="C567" s="1268"/>
      <c r="D567" s="961"/>
      <c r="E567" s="961"/>
      <c r="F567" s="961"/>
      <c r="G567" s="954"/>
      <c r="H567" s="730" t="s">
        <v>34</v>
      </c>
      <c r="I567" s="944"/>
      <c r="J567" s="959">
        <v>96</v>
      </c>
      <c r="K567" s="945"/>
      <c r="L567" s="945"/>
      <c r="M567" s="945"/>
      <c r="N567" s="945"/>
      <c r="O567" s="945"/>
      <c r="P567" s="945"/>
      <c r="Q567" s="1244"/>
      <c r="R567" s="1244"/>
      <c r="S567" s="1244"/>
      <c r="T567" s="1244"/>
      <c r="U567" s="1244"/>
      <c r="V567" s="1244"/>
      <c r="W567" s="1244"/>
      <c r="X567" s="1244"/>
      <c r="Y567" s="1244"/>
      <c r="Z567" s="1244"/>
    </row>
    <row r="568" spans="1:26" ht="19.5">
      <c r="A568" s="1267"/>
      <c r="B568" s="1268"/>
      <c r="C568" s="1277" t="s">
        <v>239</v>
      </c>
      <c r="D568" s="961"/>
      <c r="E568" s="961"/>
      <c r="F568" s="961"/>
      <c r="G568" s="954"/>
      <c r="H568" s="733" t="s">
        <v>46</v>
      </c>
      <c r="I568" s="965">
        <f ca="1">IFERROR(__xludf.DUMMYFUNCTION("IMPORTRANGE(""https://docs.google.com/spreadsheets/d/1QqKyyYR6Q21VydFLVH3TRQUabQu_ym0Zz7PgGX0-kHA/edit?usp=sharing"",""แผน!HH26"")"),24651)</f>
        <v>24651</v>
      </c>
      <c r="J568" s="966">
        <f t="shared" ref="J568:J569" si="248">J570+J572+J574</f>
        <v>0</v>
      </c>
      <c r="K568" s="1109">
        <f t="shared" ref="K568:K569" ca="1" si="249">IF(I568&gt;0,J568*100/I568,0)</f>
        <v>0</v>
      </c>
      <c r="L568" s="945"/>
      <c r="M568" s="945"/>
      <c r="N568" s="945"/>
      <c r="O568" s="945"/>
      <c r="P568" s="945"/>
      <c r="Q568" s="1244"/>
      <c r="R568" s="1244"/>
      <c r="S568" s="1244"/>
      <c r="T568" s="1244"/>
      <c r="U568" s="1244"/>
      <c r="V568" s="1244"/>
      <c r="W568" s="1244"/>
      <c r="X568" s="1244"/>
      <c r="Y568" s="1244"/>
      <c r="Z568" s="1244"/>
    </row>
    <row r="569" spans="1:26" ht="19.5">
      <c r="A569" s="1267"/>
      <c r="B569" s="1268"/>
      <c r="C569" s="1268"/>
      <c r="D569" s="1268"/>
      <c r="E569" s="961"/>
      <c r="F569" s="961"/>
      <c r="G569" s="954"/>
      <c r="H569" s="733" t="s">
        <v>34</v>
      </c>
      <c r="I569" s="965">
        <f ca="1">IFERROR(__xludf.DUMMYFUNCTION("IMPORTRANGE(""https://docs.google.com/spreadsheets/d/1QqKyyYR6Q21VydFLVH3TRQUabQu_ym0Zz7PgGX0-kHA/edit?usp=sharing"",""แผน!HG26"")"),4817)</f>
        <v>4817</v>
      </c>
      <c r="J569" s="966">
        <f t="shared" si="248"/>
        <v>0</v>
      </c>
      <c r="K569" s="1109">
        <f t="shared" ca="1" si="249"/>
        <v>0</v>
      </c>
      <c r="L569" s="945"/>
      <c r="M569" s="945"/>
      <c r="N569" s="945"/>
      <c r="O569" s="945"/>
      <c r="P569" s="945"/>
      <c r="Q569" s="1244"/>
      <c r="R569" s="1244"/>
      <c r="S569" s="1244"/>
      <c r="T569" s="1244"/>
      <c r="U569" s="1244"/>
      <c r="V569" s="1244"/>
      <c r="W569" s="1244"/>
      <c r="X569" s="1244"/>
      <c r="Y569" s="1244"/>
      <c r="Z569" s="1244"/>
    </row>
    <row r="570" spans="1:26" ht="18.75">
      <c r="A570" s="1267"/>
      <c r="B570" s="1268"/>
      <c r="C570" s="1268"/>
      <c r="D570" s="961" t="s">
        <v>240</v>
      </c>
      <c r="E570" s="1268"/>
      <c r="F570" s="961"/>
      <c r="G570" s="954"/>
      <c r="H570" s="730" t="s">
        <v>46</v>
      </c>
      <c r="I570" s="944"/>
      <c r="J570" s="959">
        <v>0</v>
      </c>
      <c r="K570" s="945"/>
      <c r="L570" s="945"/>
      <c r="M570" s="945"/>
      <c r="N570" s="945"/>
      <c r="O570" s="945"/>
      <c r="P570" s="945"/>
      <c r="Q570" s="1244"/>
      <c r="R570" s="1244"/>
      <c r="S570" s="1244"/>
      <c r="T570" s="1244"/>
      <c r="U570" s="1244"/>
      <c r="V570" s="1244"/>
      <c r="W570" s="1244"/>
      <c r="X570" s="1244"/>
      <c r="Y570" s="1244"/>
      <c r="Z570" s="1244"/>
    </row>
    <row r="571" spans="1:26" ht="18.75">
      <c r="A571" s="1267"/>
      <c r="B571" s="1268"/>
      <c r="C571" s="1268"/>
      <c r="D571" s="1268"/>
      <c r="E571" s="961"/>
      <c r="F571" s="961"/>
      <c r="G571" s="954"/>
      <c r="H571" s="730" t="s">
        <v>34</v>
      </c>
      <c r="I571" s="944"/>
      <c r="J571" s="959">
        <v>0</v>
      </c>
      <c r="K571" s="945"/>
      <c r="L571" s="945"/>
      <c r="M571" s="945"/>
      <c r="N571" s="945"/>
      <c r="O571" s="945"/>
      <c r="P571" s="945"/>
      <c r="Q571" s="1244"/>
      <c r="R571" s="1244"/>
      <c r="S571" s="1244"/>
      <c r="T571" s="1244"/>
      <c r="U571" s="1244"/>
      <c r="V571" s="1244"/>
      <c r="W571" s="1244"/>
      <c r="X571" s="1244"/>
      <c r="Y571" s="1244"/>
      <c r="Z571" s="1244"/>
    </row>
    <row r="572" spans="1:26" ht="18.75">
      <c r="A572" s="1267"/>
      <c r="B572" s="1268"/>
      <c r="C572" s="1268"/>
      <c r="D572" s="961" t="s">
        <v>241</v>
      </c>
      <c r="E572" s="961"/>
      <c r="F572" s="961"/>
      <c r="G572" s="954"/>
      <c r="H572" s="730" t="s">
        <v>46</v>
      </c>
      <c r="I572" s="944"/>
      <c r="J572" s="959">
        <v>0</v>
      </c>
      <c r="K572" s="945"/>
      <c r="L572" s="945"/>
      <c r="M572" s="945"/>
      <c r="N572" s="945"/>
      <c r="O572" s="945"/>
      <c r="P572" s="945"/>
      <c r="Q572" s="1244"/>
      <c r="R572" s="1244"/>
      <c r="S572" s="1244"/>
      <c r="T572" s="1244"/>
      <c r="U572" s="1244"/>
      <c r="V572" s="1244"/>
      <c r="W572" s="1244"/>
      <c r="X572" s="1244"/>
      <c r="Y572" s="1244"/>
      <c r="Z572" s="1244"/>
    </row>
    <row r="573" spans="1:26" ht="18.75">
      <c r="A573" s="1267"/>
      <c r="B573" s="1268"/>
      <c r="C573" s="1268"/>
      <c r="D573" s="961"/>
      <c r="E573" s="961"/>
      <c r="F573" s="961"/>
      <c r="G573" s="954"/>
      <c r="H573" s="730" t="s">
        <v>34</v>
      </c>
      <c r="I573" s="944"/>
      <c r="J573" s="959">
        <v>0</v>
      </c>
      <c r="K573" s="945"/>
      <c r="L573" s="945"/>
      <c r="M573" s="945"/>
      <c r="N573" s="945"/>
      <c r="O573" s="945"/>
      <c r="P573" s="945"/>
      <c r="Q573" s="1244"/>
      <c r="R573" s="1244"/>
      <c r="S573" s="1244"/>
      <c r="T573" s="1244"/>
      <c r="U573" s="1244"/>
      <c r="V573" s="1244"/>
      <c r="W573" s="1244"/>
      <c r="X573" s="1244"/>
      <c r="Y573" s="1244"/>
      <c r="Z573" s="1244"/>
    </row>
    <row r="574" spans="1:26" ht="18.75">
      <c r="A574" s="1267"/>
      <c r="B574" s="1268"/>
      <c r="C574" s="1268"/>
      <c r="D574" s="961" t="s">
        <v>242</v>
      </c>
      <c r="E574" s="961"/>
      <c r="F574" s="961"/>
      <c r="G574" s="954"/>
      <c r="H574" s="730" t="s">
        <v>46</v>
      </c>
      <c r="I574" s="944"/>
      <c r="J574" s="959">
        <v>0</v>
      </c>
      <c r="K574" s="945"/>
      <c r="L574" s="945"/>
      <c r="M574" s="945"/>
      <c r="N574" s="945"/>
      <c r="O574" s="945"/>
      <c r="P574" s="945"/>
      <c r="Q574" s="1244"/>
      <c r="R574" s="1244"/>
      <c r="S574" s="1244"/>
      <c r="T574" s="1244"/>
      <c r="U574" s="1244"/>
      <c r="V574" s="1244"/>
      <c r="W574" s="1244"/>
      <c r="X574" s="1244"/>
      <c r="Y574" s="1244"/>
      <c r="Z574" s="1244"/>
    </row>
    <row r="575" spans="1:26" ht="18.75">
      <c r="A575" s="1267"/>
      <c r="B575" s="1268"/>
      <c r="C575" s="1268"/>
      <c r="D575" s="1268"/>
      <c r="E575" s="961"/>
      <c r="F575" s="961"/>
      <c r="G575" s="954"/>
      <c r="H575" s="730" t="s">
        <v>34</v>
      </c>
      <c r="I575" s="944"/>
      <c r="J575" s="959">
        <v>0</v>
      </c>
      <c r="K575" s="945"/>
      <c r="L575" s="945"/>
      <c r="M575" s="945"/>
      <c r="N575" s="945"/>
      <c r="O575" s="945"/>
      <c r="P575" s="945"/>
      <c r="Q575" s="1244"/>
      <c r="R575" s="1244"/>
      <c r="S575" s="1244"/>
      <c r="T575" s="1244"/>
      <c r="U575" s="1244"/>
      <c r="V575" s="1244"/>
      <c r="W575" s="1244"/>
      <c r="X575" s="1244"/>
      <c r="Y575" s="1244"/>
      <c r="Z575" s="1244"/>
    </row>
    <row r="576" spans="1:26" ht="19.5">
      <c r="A576" s="1267"/>
      <c r="B576" s="1268"/>
      <c r="C576" s="1277" t="s">
        <v>243</v>
      </c>
      <c r="D576" s="1268"/>
      <c r="E576" s="1268"/>
      <c r="F576" s="961"/>
      <c r="G576" s="954"/>
      <c r="H576" s="733" t="s">
        <v>46</v>
      </c>
      <c r="I576" s="965">
        <f ca="1">IFERROR(__xludf.DUMMYFUNCTION("IMPORTRANGE(""https://docs.google.com/spreadsheets/d/1QqKyyYR6Q21VydFLVH3TRQUabQu_ym0Zz7PgGX0-kHA/edit?usp=sharing"",""แผน!HH26"")"),24651)</f>
        <v>24651</v>
      </c>
      <c r="J576" s="966">
        <f t="shared" ref="J576:J577" si="250">J578+J580+J582+J588+J590</f>
        <v>0</v>
      </c>
      <c r="K576" s="1109">
        <f t="shared" ref="K576:K577" ca="1" si="251">IF(I576&gt;0,J576*100/I576,0)</f>
        <v>0</v>
      </c>
      <c r="L576" s="945"/>
      <c r="M576" s="945"/>
      <c r="N576" s="945"/>
      <c r="O576" s="945"/>
      <c r="P576" s="945"/>
      <c r="Q576" s="1244"/>
      <c r="R576" s="1244"/>
      <c r="S576" s="1244"/>
      <c r="T576" s="1244"/>
      <c r="U576" s="1244"/>
      <c r="V576" s="1244"/>
      <c r="W576" s="1244"/>
      <c r="X576" s="1244"/>
      <c r="Y576" s="1244"/>
      <c r="Z576" s="1244"/>
    </row>
    <row r="577" spans="1:26" ht="19.5">
      <c r="A577" s="1267"/>
      <c r="B577" s="1268"/>
      <c r="C577" s="1268"/>
      <c r="D577" s="1268"/>
      <c r="E577" s="961"/>
      <c r="F577" s="961"/>
      <c r="G577" s="954"/>
      <c r="H577" s="733" t="s">
        <v>34</v>
      </c>
      <c r="I577" s="965">
        <f ca="1">IFERROR(__xludf.DUMMYFUNCTION("IMPORTRANGE(""https://docs.google.com/spreadsheets/d/1QqKyyYR6Q21VydFLVH3TRQUabQu_ym0Zz7PgGX0-kHA/edit?usp=sharing"",""แผน!HG26"")"),4817)</f>
        <v>4817</v>
      </c>
      <c r="J577" s="966">
        <f t="shared" si="250"/>
        <v>0</v>
      </c>
      <c r="K577" s="1109">
        <f t="shared" ca="1" si="251"/>
        <v>0</v>
      </c>
      <c r="L577" s="945"/>
      <c r="M577" s="945"/>
      <c r="N577" s="945"/>
      <c r="O577" s="945"/>
      <c r="P577" s="945"/>
      <c r="Q577" s="1244"/>
      <c r="R577" s="1244"/>
      <c r="S577" s="1244"/>
      <c r="T577" s="1244"/>
      <c r="U577" s="1244"/>
      <c r="V577" s="1244"/>
      <c r="W577" s="1244"/>
      <c r="X577" s="1244"/>
      <c r="Y577" s="1244"/>
      <c r="Z577" s="1244"/>
    </row>
    <row r="578" spans="1:26" ht="18.75">
      <c r="A578" s="1267"/>
      <c r="B578" s="1268"/>
      <c r="C578" s="1268"/>
      <c r="D578" s="961" t="s">
        <v>244</v>
      </c>
      <c r="E578" s="961"/>
      <c r="F578" s="961"/>
      <c r="G578" s="954"/>
      <c r="H578" s="730" t="s">
        <v>46</v>
      </c>
      <c r="I578" s="944"/>
      <c r="J578" s="959">
        <v>0</v>
      </c>
      <c r="K578" s="945"/>
      <c r="L578" s="945"/>
      <c r="M578" s="945"/>
      <c r="N578" s="945"/>
      <c r="O578" s="945"/>
      <c r="P578" s="945"/>
      <c r="Q578" s="1244"/>
      <c r="R578" s="1244"/>
      <c r="S578" s="1244"/>
      <c r="T578" s="1244"/>
      <c r="U578" s="1244"/>
      <c r="V578" s="1244"/>
      <c r="W578" s="1244"/>
      <c r="X578" s="1244"/>
      <c r="Y578" s="1244"/>
      <c r="Z578" s="1244"/>
    </row>
    <row r="579" spans="1:26" ht="18.75">
      <c r="A579" s="1267"/>
      <c r="B579" s="1268"/>
      <c r="C579" s="1268"/>
      <c r="D579" s="1268"/>
      <c r="E579" s="961"/>
      <c r="F579" s="961"/>
      <c r="G579" s="954"/>
      <c r="H579" s="730" t="s">
        <v>34</v>
      </c>
      <c r="I579" s="944"/>
      <c r="J579" s="959">
        <v>0</v>
      </c>
      <c r="K579" s="945"/>
      <c r="L579" s="945"/>
      <c r="M579" s="945"/>
      <c r="N579" s="945"/>
      <c r="O579" s="945"/>
      <c r="P579" s="945"/>
      <c r="Q579" s="1244"/>
      <c r="R579" s="1244"/>
      <c r="S579" s="1244"/>
      <c r="T579" s="1244"/>
      <c r="U579" s="1244"/>
      <c r="V579" s="1244"/>
      <c r="W579" s="1244"/>
      <c r="X579" s="1244"/>
      <c r="Y579" s="1244"/>
      <c r="Z579" s="1244"/>
    </row>
    <row r="580" spans="1:26" ht="18.75">
      <c r="A580" s="1267"/>
      <c r="B580" s="1268"/>
      <c r="C580" s="1268"/>
      <c r="D580" s="961" t="s">
        <v>245</v>
      </c>
      <c r="E580" s="961"/>
      <c r="F580" s="961"/>
      <c r="G580" s="954"/>
      <c r="H580" s="730" t="s">
        <v>46</v>
      </c>
      <c r="I580" s="944"/>
      <c r="J580" s="959">
        <v>0</v>
      </c>
      <c r="K580" s="945"/>
      <c r="L580" s="945"/>
      <c r="M580" s="945"/>
      <c r="N580" s="945"/>
      <c r="O580" s="945"/>
      <c r="P580" s="945"/>
      <c r="Q580" s="1244"/>
      <c r="R580" s="1244"/>
      <c r="S580" s="1244"/>
      <c r="T580" s="1244"/>
      <c r="U580" s="1244"/>
      <c r="V580" s="1244"/>
      <c r="W580" s="1244"/>
      <c r="X580" s="1244"/>
      <c r="Y580" s="1244"/>
      <c r="Z580" s="1244"/>
    </row>
    <row r="581" spans="1:26" ht="18.75">
      <c r="A581" s="1267"/>
      <c r="B581" s="1268"/>
      <c r="C581" s="1268"/>
      <c r="D581" s="1268"/>
      <c r="E581" s="961"/>
      <c r="F581" s="961"/>
      <c r="G581" s="954"/>
      <c r="H581" s="730" t="s">
        <v>34</v>
      </c>
      <c r="I581" s="944"/>
      <c r="J581" s="959">
        <v>0</v>
      </c>
      <c r="K581" s="945"/>
      <c r="L581" s="945"/>
      <c r="M581" s="945"/>
      <c r="N581" s="945"/>
      <c r="O581" s="945"/>
      <c r="P581" s="945"/>
      <c r="Q581" s="1244"/>
      <c r="R581" s="1244"/>
      <c r="S581" s="1244"/>
      <c r="T581" s="1244"/>
      <c r="U581" s="1244"/>
      <c r="V581" s="1244"/>
      <c r="W581" s="1244"/>
      <c r="X581" s="1244"/>
      <c r="Y581" s="1244"/>
      <c r="Z581" s="1244"/>
    </row>
    <row r="582" spans="1:26" ht="19.5">
      <c r="A582" s="1267"/>
      <c r="B582" s="1268"/>
      <c r="C582" s="1268"/>
      <c r="D582" s="961" t="s">
        <v>246</v>
      </c>
      <c r="E582" s="961"/>
      <c r="F582" s="961"/>
      <c r="G582" s="954"/>
      <c r="H582" s="730" t="s">
        <v>46</v>
      </c>
      <c r="I582" s="944"/>
      <c r="J582" s="966">
        <f t="shared" ref="J582:J583" si="252">J584+J586</f>
        <v>0</v>
      </c>
      <c r="K582" s="1109"/>
      <c r="L582" s="945"/>
      <c r="M582" s="945"/>
      <c r="N582" s="945"/>
      <c r="O582" s="945"/>
      <c r="P582" s="945"/>
      <c r="Q582" s="1244"/>
      <c r="R582" s="1244"/>
      <c r="S582" s="1244"/>
      <c r="T582" s="1244"/>
      <c r="U582" s="1244"/>
      <c r="V582" s="1244"/>
      <c r="W582" s="1244"/>
      <c r="X582" s="1244"/>
      <c r="Y582" s="1244"/>
      <c r="Z582" s="1244"/>
    </row>
    <row r="583" spans="1:26" ht="19.5">
      <c r="A583" s="1267"/>
      <c r="B583" s="1268"/>
      <c r="C583" s="1268"/>
      <c r="D583" s="1268"/>
      <c r="E583" s="961"/>
      <c r="F583" s="961"/>
      <c r="G583" s="954"/>
      <c r="H583" s="730" t="s">
        <v>34</v>
      </c>
      <c r="I583" s="944"/>
      <c r="J583" s="966">
        <f t="shared" si="252"/>
        <v>0</v>
      </c>
      <c r="K583" s="1109"/>
      <c r="L583" s="945"/>
      <c r="M583" s="945"/>
      <c r="N583" s="945"/>
      <c r="O583" s="945"/>
      <c r="P583" s="945"/>
      <c r="Q583" s="1244"/>
      <c r="R583" s="1244"/>
      <c r="S583" s="1244"/>
      <c r="T583" s="1244"/>
      <c r="U583" s="1244"/>
      <c r="V583" s="1244"/>
      <c r="W583" s="1244"/>
      <c r="X583" s="1244"/>
      <c r="Y583" s="1244"/>
      <c r="Z583" s="1244"/>
    </row>
    <row r="584" spans="1:26" ht="18.75">
      <c r="A584" s="1267"/>
      <c r="B584" s="1268"/>
      <c r="C584" s="1268"/>
      <c r="D584" s="1268"/>
      <c r="E584" s="961" t="s">
        <v>247</v>
      </c>
      <c r="F584" s="961"/>
      <c r="G584" s="954"/>
      <c r="H584" s="730" t="s">
        <v>46</v>
      </c>
      <c r="I584" s="944"/>
      <c r="J584" s="959">
        <v>0</v>
      </c>
      <c r="K584" s="945"/>
      <c r="L584" s="945"/>
      <c r="M584" s="945"/>
      <c r="N584" s="945"/>
      <c r="O584" s="945"/>
      <c r="P584" s="945"/>
      <c r="Q584" s="1244"/>
      <c r="R584" s="1244"/>
      <c r="S584" s="1244"/>
      <c r="T584" s="1244"/>
      <c r="U584" s="1244"/>
      <c r="V584" s="1244"/>
      <c r="W584" s="1244"/>
      <c r="X584" s="1244"/>
      <c r="Y584" s="1244"/>
      <c r="Z584" s="1244"/>
    </row>
    <row r="585" spans="1:26" ht="18.75">
      <c r="A585" s="1267"/>
      <c r="B585" s="1268"/>
      <c r="C585" s="1268"/>
      <c r="D585" s="1268"/>
      <c r="E585" s="961"/>
      <c r="F585" s="961"/>
      <c r="G585" s="954"/>
      <c r="H585" s="730" t="s">
        <v>34</v>
      </c>
      <c r="I585" s="944"/>
      <c r="J585" s="959">
        <v>0</v>
      </c>
      <c r="K585" s="945"/>
      <c r="L585" s="945"/>
      <c r="M585" s="945"/>
      <c r="N585" s="945"/>
      <c r="O585" s="945"/>
      <c r="P585" s="945"/>
      <c r="Q585" s="1244"/>
      <c r="R585" s="1244"/>
      <c r="S585" s="1244"/>
      <c r="T585" s="1244"/>
      <c r="U585" s="1244"/>
      <c r="V585" s="1244"/>
      <c r="W585" s="1244"/>
      <c r="X585" s="1244"/>
      <c r="Y585" s="1244"/>
      <c r="Z585" s="1244"/>
    </row>
    <row r="586" spans="1:26" ht="18.75">
      <c r="A586" s="1267"/>
      <c r="B586" s="1268"/>
      <c r="C586" s="1268"/>
      <c r="D586" s="1268"/>
      <c r="E586" s="961" t="s">
        <v>248</v>
      </c>
      <c r="F586" s="961"/>
      <c r="G586" s="954"/>
      <c r="H586" s="730" t="s">
        <v>46</v>
      </c>
      <c r="I586" s="944"/>
      <c r="J586" s="959">
        <v>0</v>
      </c>
      <c r="K586" s="945"/>
      <c r="L586" s="945"/>
      <c r="M586" s="945"/>
      <c r="N586" s="945"/>
      <c r="O586" s="945"/>
      <c r="P586" s="945"/>
      <c r="Q586" s="1244"/>
      <c r="R586" s="1244"/>
      <c r="S586" s="1244"/>
      <c r="T586" s="1244"/>
      <c r="U586" s="1244"/>
      <c r="V586" s="1244"/>
      <c r="W586" s="1244"/>
      <c r="X586" s="1244"/>
      <c r="Y586" s="1244"/>
      <c r="Z586" s="1244"/>
    </row>
    <row r="587" spans="1:26" ht="18.75">
      <c r="A587" s="1267"/>
      <c r="B587" s="1268"/>
      <c r="C587" s="1268"/>
      <c r="D587" s="1268"/>
      <c r="E587" s="1268"/>
      <c r="F587" s="961"/>
      <c r="G587" s="954"/>
      <c r="H587" s="730" t="s">
        <v>34</v>
      </c>
      <c r="I587" s="944"/>
      <c r="J587" s="959">
        <v>0</v>
      </c>
      <c r="K587" s="945"/>
      <c r="L587" s="945"/>
      <c r="M587" s="945"/>
      <c r="N587" s="945"/>
      <c r="O587" s="945"/>
      <c r="P587" s="945"/>
      <c r="Q587" s="1244"/>
      <c r="R587" s="1244"/>
      <c r="S587" s="1244"/>
      <c r="T587" s="1244"/>
      <c r="U587" s="1244"/>
      <c r="V587" s="1244"/>
      <c r="W587" s="1244"/>
      <c r="X587" s="1244"/>
      <c r="Y587" s="1244"/>
      <c r="Z587" s="1244"/>
    </row>
    <row r="588" spans="1:26" ht="18.75">
      <c r="A588" s="1267"/>
      <c r="B588" s="1268"/>
      <c r="C588" s="1268"/>
      <c r="D588" s="961" t="s">
        <v>249</v>
      </c>
      <c r="E588" s="961"/>
      <c r="F588" s="961"/>
      <c r="G588" s="954"/>
      <c r="H588" s="730" t="s">
        <v>46</v>
      </c>
      <c r="I588" s="944"/>
      <c r="J588" s="959">
        <v>0</v>
      </c>
      <c r="K588" s="945"/>
      <c r="L588" s="945"/>
      <c r="M588" s="945"/>
      <c r="N588" s="945"/>
      <c r="O588" s="945"/>
      <c r="P588" s="945"/>
      <c r="Q588" s="1244"/>
      <c r="R588" s="1244"/>
      <c r="S588" s="1244"/>
      <c r="T588" s="1244"/>
      <c r="U588" s="1244"/>
      <c r="V588" s="1244"/>
      <c r="W588" s="1244"/>
      <c r="X588" s="1244"/>
      <c r="Y588" s="1244"/>
      <c r="Z588" s="1244"/>
    </row>
    <row r="589" spans="1:26" ht="18.75">
      <c r="A589" s="1267"/>
      <c r="B589" s="1268"/>
      <c r="C589" s="1268"/>
      <c r="D589" s="1268"/>
      <c r="E589" s="1268"/>
      <c r="F589" s="961"/>
      <c r="G589" s="954"/>
      <c r="H589" s="730" t="s">
        <v>34</v>
      </c>
      <c r="I589" s="944"/>
      <c r="J589" s="959">
        <v>0</v>
      </c>
      <c r="K589" s="945"/>
      <c r="L589" s="945"/>
      <c r="M589" s="945"/>
      <c r="N589" s="945"/>
      <c r="O589" s="945"/>
      <c r="P589" s="945"/>
      <c r="Q589" s="1244"/>
      <c r="R589" s="1244"/>
      <c r="S589" s="1244"/>
      <c r="T589" s="1244"/>
      <c r="U589" s="1244"/>
      <c r="V589" s="1244"/>
      <c r="W589" s="1244"/>
      <c r="X589" s="1244"/>
      <c r="Y589" s="1244"/>
      <c r="Z589" s="1244"/>
    </row>
    <row r="590" spans="1:26" ht="18.75">
      <c r="A590" s="1267"/>
      <c r="B590" s="1268"/>
      <c r="C590" s="1268"/>
      <c r="D590" s="961" t="s">
        <v>250</v>
      </c>
      <c r="E590" s="961"/>
      <c r="F590" s="961"/>
      <c r="G590" s="954"/>
      <c r="H590" s="730" t="s">
        <v>46</v>
      </c>
      <c r="I590" s="944"/>
      <c r="J590" s="959">
        <v>0</v>
      </c>
      <c r="K590" s="945"/>
      <c r="L590" s="945"/>
      <c r="M590" s="945"/>
      <c r="N590" s="945"/>
      <c r="O590" s="945"/>
      <c r="P590" s="945"/>
      <c r="Q590" s="1244"/>
      <c r="R590" s="1244"/>
      <c r="S590" s="1244"/>
      <c r="T590" s="1244"/>
      <c r="U590" s="1244"/>
      <c r="V590" s="1244"/>
      <c r="W590" s="1244"/>
      <c r="X590" s="1244"/>
      <c r="Y590" s="1244"/>
      <c r="Z590" s="1244"/>
    </row>
    <row r="591" spans="1:26" ht="18.75">
      <c r="A591" s="1332"/>
      <c r="B591" s="1333"/>
      <c r="C591" s="1333"/>
      <c r="D591" s="1333"/>
      <c r="E591" s="1244"/>
      <c r="F591" s="1244"/>
      <c r="G591" s="1334"/>
      <c r="H591" s="665" t="s">
        <v>34</v>
      </c>
      <c r="I591" s="1335"/>
      <c r="J591" s="1336">
        <v>0</v>
      </c>
      <c r="K591" s="1337"/>
      <c r="L591" s="1337"/>
      <c r="M591" s="1337"/>
      <c r="N591" s="1337"/>
      <c r="O591" s="1337"/>
      <c r="P591" s="1337"/>
      <c r="Q591" s="1244"/>
      <c r="R591" s="1244"/>
      <c r="S591" s="1244"/>
      <c r="T591" s="1244"/>
      <c r="U591" s="1244"/>
      <c r="V591" s="1244"/>
      <c r="W591" s="1244"/>
      <c r="X591" s="1244"/>
      <c r="Y591" s="1244"/>
      <c r="Z591" s="1244"/>
    </row>
    <row r="592" spans="1:26" ht="19.5">
      <c r="A592" s="1329"/>
      <c r="B592" s="1330" t="s">
        <v>251</v>
      </c>
      <c r="C592" s="1331"/>
      <c r="D592" s="1331"/>
      <c r="E592" s="1315"/>
      <c r="F592" s="1315"/>
      <c r="G592" s="1316"/>
      <c r="H592" s="661" t="s">
        <v>46</v>
      </c>
      <c r="I592" s="1338">
        <f t="shared" ref="I592:J592" ca="1" si="253">I593</f>
        <v>3952.03</v>
      </c>
      <c r="J592" s="1317">
        <f t="shared" si="253"/>
        <v>2834.49</v>
      </c>
      <c r="K592" s="1318">
        <f t="shared" ref="K592:K594" ca="1" si="254">IF(I592&gt;0,J592*100/I592,0)</f>
        <v>71.722380649944455</v>
      </c>
      <c r="L592" s="1319"/>
      <c r="M592" s="1319"/>
      <c r="N592" s="1319"/>
      <c r="O592" s="1319"/>
      <c r="P592" s="1319"/>
      <c r="Q592" s="1244"/>
      <c r="R592" s="1244"/>
      <c r="S592" s="1244"/>
      <c r="T592" s="1244"/>
      <c r="U592" s="1244"/>
      <c r="V592" s="1244"/>
      <c r="W592" s="1244"/>
      <c r="X592" s="1244"/>
      <c r="Y592" s="1244"/>
      <c r="Z592" s="1244"/>
    </row>
    <row r="593" spans="1:26" ht="19.5">
      <c r="A593" s="1267"/>
      <c r="B593" s="1268"/>
      <c r="C593" s="1277" t="s">
        <v>252</v>
      </c>
      <c r="D593" s="1268"/>
      <c r="E593" s="1268"/>
      <c r="F593" s="961"/>
      <c r="G593" s="954"/>
      <c r="H593" s="733" t="s">
        <v>46</v>
      </c>
      <c r="I593" s="1339">
        <f ca="1">IFERROR(__xludf.DUMMYFUNCTION("IMPORTRANGE(""https://docs.google.com/spreadsheets/d/1QqKyyYR6Q21VydFLVH3TRQUabQu_ym0Zz7PgGX0-kHA/edit?usp=sharing"",""แผน!HJ26"")"),3952.03)</f>
        <v>3952.03</v>
      </c>
      <c r="J593" s="965">
        <f t="shared" ref="J593:J594" si="255">J595+J603+J609</f>
        <v>2834.49</v>
      </c>
      <c r="K593" s="1109">
        <f t="shared" ca="1" si="254"/>
        <v>71.722380649944455</v>
      </c>
      <c r="L593" s="945"/>
      <c r="M593" s="945"/>
      <c r="N593" s="945"/>
      <c r="O593" s="945"/>
      <c r="P593" s="945"/>
      <c r="Q593" s="1244"/>
      <c r="R593" s="1244"/>
      <c r="S593" s="1244"/>
      <c r="T593" s="1244"/>
      <c r="U593" s="1244"/>
      <c r="V593" s="1244"/>
      <c r="W593" s="1244"/>
      <c r="X593" s="1244"/>
      <c r="Y593" s="1244"/>
      <c r="Z593" s="1244"/>
    </row>
    <row r="594" spans="1:26" ht="19.5">
      <c r="A594" s="1267"/>
      <c r="B594" s="1268"/>
      <c r="C594" s="1268"/>
      <c r="D594" s="1268"/>
      <c r="E594" s="961"/>
      <c r="F594" s="961"/>
      <c r="G594" s="954"/>
      <c r="H594" s="733" t="s">
        <v>34</v>
      </c>
      <c r="I594" s="965">
        <f ca="1">IFERROR(__xludf.DUMMYFUNCTION("IMPORTRANGE(""https://docs.google.com/spreadsheets/d/1QqKyyYR6Q21VydFLVH3TRQUabQu_ym0Zz7PgGX0-kHA/edit?usp=sharing"",""แผน!HI26"")"),599)</f>
        <v>599</v>
      </c>
      <c r="J594" s="965">
        <f t="shared" si="255"/>
        <v>395</v>
      </c>
      <c r="K594" s="1109">
        <f t="shared" ca="1" si="254"/>
        <v>65.943238731218699</v>
      </c>
      <c r="L594" s="945"/>
      <c r="M594" s="945"/>
      <c r="N594" s="945"/>
      <c r="O594" s="945"/>
      <c r="P594" s="945"/>
      <c r="Q594" s="1244"/>
      <c r="R594" s="1244"/>
      <c r="S594" s="1244"/>
      <c r="T594" s="1244"/>
      <c r="U594" s="1244"/>
      <c r="V594" s="1244"/>
      <c r="W594" s="1244"/>
      <c r="X594" s="1244"/>
      <c r="Y594" s="1244"/>
      <c r="Z594" s="1244"/>
    </row>
    <row r="595" spans="1:26" ht="18.75">
      <c r="A595" s="1267"/>
      <c r="B595" s="1268"/>
      <c r="C595" s="1268" t="s">
        <v>253</v>
      </c>
      <c r="D595" s="1268"/>
      <c r="E595" s="1268"/>
      <c r="F595" s="961"/>
      <c r="G595" s="954"/>
      <c r="H595" s="730" t="s">
        <v>46</v>
      </c>
      <c r="I595" s="944"/>
      <c r="J595" s="944">
        <f t="shared" ref="J595:J596" si="256">J597+J599</f>
        <v>2834.49</v>
      </c>
      <c r="K595" s="945"/>
      <c r="L595" s="945"/>
      <c r="M595" s="945"/>
      <c r="N595" s="945"/>
      <c r="O595" s="945"/>
      <c r="P595" s="945"/>
      <c r="Q595" s="1244"/>
      <c r="R595" s="1244"/>
      <c r="S595" s="1244"/>
      <c r="T595" s="1244"/>
      <c r="U595" s="1244"/>
      <c r="V595" s="1244"/>
      <c r="W595" s="1244"/>
      <c r="X595" s="1244"/>
      <c r="Y595" s="1244"/>
      <c r="Z595" s="1244"/>
    </row>
    <row r="596" spans="1:26" ht="18.75">
      <c r="A596" s="1267"/>
      <c r="B596" s="1268"/>
      <c r="C596" s="1268"/>
      <c r="D596" s="1268"/>
      <c r="E596" s="961"/>
      <c r="F596" s="961"/>
      <c r="G596" s="954"/>
      <c r="H596" s="730" t="s">
        <v>34</v>
      </c>
      <c r="I596" s="944"/>
      <c r="J596" s="944">
        <f t="shared" si="256"/>
        <v>395</v>
      </c>
      <c r="K596" s="945"/>
      <c r="L596" s="945"/>
      <c r="M596" s="945"/>
      <c r="N596" s="945"/>
      <c r="O596" s="945"/>
      <c r="P596" s="945"/>
      <c r="Q596" s="1244"/>
      <c r="R596" s="1244"/>
      <c r="S596" s="1244"/>
      <c r="T596" s="1244"/>
      <c r="U596" s="1244"/>
      <c r="V596" s="1244"/>
      <c r="W596" s="1244"/>
      <c r="X596" s="1244"/>
      <c r="Y596" s="1244"/>
      <c r="Z596" s="1244"/>
    </row>
    <row r="597" spans="1:26" ht="18.75">
      <c r="A597" s="1267"/>
      <c r="B597" s="1268"/>
      <c r="C597" s="1268"/>
      <c r="D597" s="1017" t="s">
        <v>254</v>
      </c>
      <c r="E597" s="961"/>
      <c r="F597" s="961"/>
      <c r="G597" s="954"/>
      <c r="H597" s="730" t="s">
        <v>46</v>
      </c>
      <c r="I597" s="944"/>
      <c r="J597" s="959">
        <v>136</v>
      </c>
      <c r="K597" s="945"/>
      <c r="L597" s="945"/>
      <c r="M597" s="945"/>
      <c r="N597" s="945"/>
      <c r="O597" s="945"/>
      <c r="P597" s="945"/>
      <c r="Q597" s="1244"/>
      <c r="R597" s="1244"/>
      <c r="S597" s="1244"/>
      <c r="T597" s="1244"/>
      <c r="U597" s="1244"/>
      <c r="V597" s="1244"/>
      <c r="W597" s="1244"/>
      <c r="X597" s="1244"/>
      <c r="Y597" s="1244"/>
      <c r="Z597" s="1244"/>
    </row>
    <row r="598" spans="1:26" ht="18.75">
      <c r="A598" s="1267"/>
      <c r="B598" s="1268"/>
      <c r="C598" s="1268"/>
      <c r="D598" s="1268"/>
      <c r="E598" s="961"/>
      <c r="F598" s="961"/>
      <c r="G598" s="954"/>
      <c r="H598" s="730" t="s">
        <v>34</v>
      </c>
      <c r="I598" s="830"/>
      <c r="J598" s="959">
        <v>13</v>
      </c>
      <c r="K598" s="945"/>
      <c r="L598" s="945"/>
      <c r="M598" s="945"/>
      <c r="N598" s="945"/>
      <c r="O598" s="945"/>
      <c r="P598" s="945"/>
      <c r="Q598" s="1244"/>
      <c r="R598" s="1244"/>
      <c r="S598" s="1244"/>
      <c r="T598" s="1244"/>
      <c r="U598" s="1244"/>
      <c r="V598" s="1244"/>
      <c r="W598" s="1244"/>
      <c r="X598" s="1244"/>
      <c r="Y598" s="1244"/>
      <c r="Z598" s="1244"/>
    </row>
    <row r="599" spans="1:26" ht="18.75">
      <c r="A599" s="1267"/>
      <c r="B599" s="1268"/>
      <c r="C599" s="1268"/>
      <c r="D599" s="1017" t="s">
        <v>255</v>
      </c>
      <c r="E599" s="961"/>
      <c r="F599" s="961"/>
      <c r="G599" s="954"/>
      <c r="H599" s="730" t="s">
        <v>46</v>
      </c>
      <c r="I599" s="830"/>
      <c r="J599" s="959">
        <v>2698.49</v>
      </c>
      <c r="K599" s="945"/>
      <c r="L599" s="945"/>
      <c r="M599" s="945"/>
      <c r="N599" s="945"/>
      <c r="O599" s="945"/>
      <c r="P599" s="945"/>
      <c r="Q599" s="1244"/>
      <c r="R599" s="1244"/>
      <c r="S599" s="1244"/>
      <c r="T599" s="1244"/>
      <c r="U599" s="1244"/>
      <c r="V599" s="1244"/>
      <c r="W599" s="1244"/>
      <c r="X599" s="1244"/>
      <c r="Y599" s="1244"/>
      <c r="Z599" s="1244"/>
    </row>
    <row r="600" spans="1:26" ht="18.75">
      <c r="A600" s="1267"/>
      <c r="B600" s="1268"/>
      <c r="C600" s="1268"/>
      <c r="D600" s="1268"/>
      <c r="E600" s="961"/>
      <c r="F600" s="961"/>
      <c r="G600" s="954"/>
      <c r="H600" s="730" t="s">
        <v>34</v>
      </c>
      <c r="I600" s="830"/>
      <c r="J600" s="959">
        <v>382</v>
      </c>
      <c r="K600" s="945"/>
      <c r="L600" s="945"/>
      <c r="M600" s="945"/>
      <c r="N600" s="945"/>
      <c r="O600" s="945"/>
      <c r="P600" s="945"/>
      <c r="Q600" s="1244"/>
      <c r="R600" s="1244"/>
      <c r="S600" s="1244"/>
      <c r="T600" s="1244"/>
      <c r="U600" s="1244"/>
      <c r="V600" s="1244"/>
      <c r="W600" s="1244"/>
      <c r="X600" s="1244"/>
      <c r="Y600" s="1244"/>
      <c r="Z600" s="1244"/>
    </row>
    <row r="601" spans="1:26" ht="18.75">
      <c r="A601" s="1267"/>
      <c r="B601" s="1268"/>
      <c r="C601" s="1268"/>
      <c r="D601" s="1017" t="s">
        <v>256</v>
      </c>
      <c r="E601" s="961"/>
      <c r="F601" s="961"/>
      <c r="G601" s="954"/>
      <c r="H601" s="730" t="s">
        <v>46</v>
      </c>
      <c r="I601" s="830"/>
      <c r="J601" s="959">
        <v>0</v>
      </c>
      <c r="K601" s="945"/>
      <c r="L601" s="945"/>
      <c r="M601" s="945"/>
      <c r="N601" s="945"/>
      <c r="O601" s="945"/>
      <c r="P601" s="945"/>
      <c r="Q601" s="1244"/>
      <c r="R601" s="1244"/>
      <c r="S601" s="1244"/>
      <c r="T601" s="1244"/>
      <c r="U601" s="1244"/>
      <c r="V601" s="1244"/>
      <c r="W601" s="1244"/>
      <c r="X601" s="1244"/>
      <c r="Y601" s="1244"/>
      <c r="Z601" s="1244"/>
    </row>
    <row r="602" spans="1:26" ht="18.75">
      <c r="A602" s="1267"/>
      <c r="B602" s="1268"/>
      <c r="C602" s="1268"/>
      <c r="D602" s="1268"/>
      <c r="E602" s="961"/>
      <c r="F602" s="961"/>
      <c r="G602" s="954"/>
      <c r="H602" s="730" t="s">
        <v>34</v>
      </c>
      <c r="I602" s="830"/>
      <c r="J602" s="959">
        <v>0</v>
      </c>
      <c r="K602" s="945"/>
      <c r="L602" s="945"/>
      <c r="M602" s="945"/>
      <c r="N602" s="945"/>
      <c r="O602" s="945"/>
      <c r="P602" s="945"/>
      <c r="Q602" s="1244"/>
      <c r="R602" s="1244"/>
      <c r="S602" s="1244"/>
      <c r="T602" s="1244"/>
      <c r="U602" s="1244"/>
      <c r="V602" s="1244"/>
      <c r="W602" s="1244"/>
      <c r="X602" s="1244"/>
      <c r="Y602" s="1244"/>
      <c r="Z602" s="1244"/>
    </row>
    <row r="603" spans="1:26" ht="18.75">
      <c r="A603" s="1267"/>
      <c r="B603" s="1268"/>
      <c r="C603" s="1340" t="s">
        <v>257</v>
      </c>
      <c r="D603" s="1268"/>
      <c r="E603" s="1268"/>
      <c r="F603" s="961"/>
      <c r="G603" s="954"/>
      <c r="H603" s="730" t="s">
        <v>46</v>
      </c>
      <c r="I603" s="830"/>
      <c r="J603" s="830">
        <f t="shared" ref="J603:J604" si="257">J605+J607</f>
        <v>0</v>
      </c>
      <c r="K603" s="945"/>
      <c r="L603" s="945"/>
      <c r="M603" s="945"/>
      <c r="N603" s="945"/>
      <c r="O603" s="945"/>
      <c r="P603" s="945"/>
      <c r="Q603" s="1244"/>
      <c r="R603" s="1244"/>
      <c r="S603" s="1244"/>
      <c r="T603" s="1244"/>
      <c r="U603" s="1244"/>
      <c r="V603" s="1244"/>
      <c r="W603" s="1244"/>
      <c r="X603" s="1244"/>
      <c r="Y603" s="1244"/>
      <c r="Z603" s="1244"/>
    </row>
    <row r="604" spans="1:26" ht="18.75">
      <c r="A604" s="1267"/>
      <c r="B604" s="1268"/>
      <c r="C604" s="1268"/>
      <c r="D604" s="1268"/>
      <c r="E604" s="961"/>
      <c r="F604" s="961"/>
      <c r="G604" s="954"/>
      <c r="H604" s="730" t="s">
        <v>34</v>
      </c>
      <c r="I604" s="830"/>
      <c r="J604" s="830">
        <f t="shared" si="257"/>
        <v>0</v>
      </c>
      <c r="K604" s="945"/>
      <c r="L604" s="945"/>
      <c r="M604" s="945"/>
      <c r="N604" s="945"/>
      <c r="O604" s="945"/>
      <c r="P604" s="945"/>
      <c r="Q604" s="1244"/>
      <c r="R604" s="1244"/>
      <c r="S604" s="1244"/>
      <c r="T604" s="1244"/>
      <c r="U604" s="1244"/>
      <c r="V604" s="1244"/>
      <c r="W604" s="1244"/>
      <c r="X604" s="1244"/>
      <c r="Y604" s="1244"/>
      <c r="Z604" s="1244"/>
    </row>
    <row r="605" spans="1:26" ht="18.75">
      <c r="A605" s="1267"/>
      <c r="B605" s="1268"/>
      <c r="C605" s="1268"/>
      <c r="D605" s="1340" t="s">
        <v>258</v>
      </c>
      <c r="E605" s="961"/>
      <c r="F605" s="961"/>
      <c r="G605" s="954"/>
      <c r="H605" s="730" t="s">
        <v>46</v>
      </c>
      <c r="I605" s="830"/>
      <c r="J605" s="959">
        <v>0</v>
      </c>
      <c r="K605" s="945"/>
      <c r="L605" s="945"/>
      <c r="M605" s="945"/>
      <c r="N605" s="945"/>
      <c r="O605" s="945"/>
      <c r="P605" s="945"/>
      <c r="Q605" s="1244"/>
      <c r="R605" s="1244"/>
      <c r="S605" s="1244"/>
      <c r="T605" s="1244"/>
      <c r="U605" s="1244"/>
      <c r="V605" s="1244"/>
      <c r="W605" s="1244"/>
      <c r="X605" s="1244"/>
      <c r="Y605" s="1244"/>
      <c r="Z605" s="1244"/>
    </row>
    <row r="606" spans="1:26" ht="18.75">
      <c r="A606" s="1267"/>
      <c r="B606" s="1268"/>
      <c r="C606" s="1268"/>
      <c r="D606" s="1268"/>
      <c r="E606" s="1268"/>
      <c r="F606" s="961"/>
      <c r="G606" s="954"/>
      <c r="H606" s="730" t="s">
        <v>34</v>
      </c>
      <c r="I606" s="830"/>
      <c r="J606" s="959">
        <v>0</v>
      </c>
      <c r="K606" s="945"/>
      <c r="L606" s="945"/>
      <c r="M606" s="945"/>
      <c r="N606" s="945"/>
      <c r="O606" s="945"/>
      <c r="P606" s="945"/>
      <c r="Q606" s="1244"/>
      <c r="R606" s="1244"/>
      <c r="S606" s="1244"/>
      <c r="T606" s="1244"/>
      <c r="U606" s="1244"/>
      <c r="V606" s="1244"/>
      <c r="W606" s="1244"/>
      <c r="X606" s="1244"/>
      <c r="Y606" s="1244"/>
      <c r="Z606" s="1244"/>
    </row>
    <row r="607" spans="1:26" ht="18.75">
      <c r="A607" s="1267"/>
      <c r="B607" s="1268"/>
      <c r="C607" s="1268"/>
      <c r="D607" s="1340" t="s">
        <v>259</v>
      </c>
      <c r="E607" s="1268"/>
      <c r="F607" s="961"/>
      <c r="G607" s="954"/>
      <c r="H607" s="730" t="s">
        <v>46</v>
      </c>
      <c r="I607" s="830"/>
      <c r="J607" s="959">
        <v>0</v>
      </c>
      <c r="K607" s="945"/>
      <c r="L607" s="945"/>
      <c r="M607" s="945"/>
      <c r="N607" s="945"/>
      <c r="O607" s="945"/>
      <c r="P607" s="945"/>
      <c r="Q607" s="1244"/>
      <c r="R607" s="1244"/>
      <c r="S607" s="1244"/>
      <c r="T607" s="1244"/>
      <c r="U607" s="1244"/>
      <c r="V607" s="1244"/>
      <c r="W607" s="1244"/>
      <c r="X607" s="1244"/>
      <c r="Y607" s="1244"/>
      <c r="Z607" s="1244"/>
    </row>
    <row r="608" spans="1:26" ht="18.75">
      <c r="A608" s="1267"/>
      <c r="B608" s="1268"/>
      <c r="C608" s="1268"/>
      <c r="D608" s="1268"/>
      <c r="E608" s="961"/>
      <c r="F608" s="961"/>
      <c r="G608" s="954"/>
      <c r="H608" s="730" t="s">
        <v>34</v>
      </c>
      <c r="I608" s="830"/>
      <c r="J608" s="959">
        <v>0</v>
      </c>
      <c r="K608" s="945"/>
      <c r="L608" s="945"/>
      <c r="M608" s="945"/>
      <c r="N608" s="945"/>
      <c r="O608" s="945"/>
      <c r="P608" s="945"/>
      <c r="Q608" s="1244"/>
      <c r="R608" s="1244"/>
      <c r="S608" s="1244"/>
      <c r="T608" s="1244"/>
      <c r="U608" s="1244"/>
      <c r="V608" s="1244"/>
      <c r="W608" s="1244"/>
      <c r="X608" s="1244"/>
      <c r="Y608" s="1244"/>
      <c r="Z608" s="1244"/>
    </row>
    <row r="609" spans="1:26" ht="18.75">
      <c r="A609" s="1267"/>
      <c r="B609" s="1268"/>
      <c r="C609" s="1268" t="s">
        <v>260</v>
      </c>
      <c r="D609" s="1268"/>
      <c r="E609" s="1268"/>
      <c r="F609" s="961"/>
      <c r="G609" s="954"/>
      <c r="H609" s="730" t="s">
        <v>46</v>
      </c>
      <c r="I609" s="830"/>
      <c r="J609" s="959">
        <v>0</v>
      </c>
      <c r="K609" s="945"/>
      <c r="L609" s="945"/>
      <c r="M609" s="945"/>
      <c r="N609" s="945"/>
      <c r="O609" s="945"/>
      <c r="P609" s="945"/>
      <c r="Q609" s="1244"/>
      <c r="R609" s="1244"/>
      <c r="S609" s="1244"/>
      <c r="T609" s="1244"/>
      <c r="U609" s="1244"/>
      <c r="V609" s="1244"/>
      <c r="W609" s="1244"/>
      <c r="X609" s="1244"/>
      <c r="Y609" s="1244"/>
      <c r="Z609" s="1244"/>
    </row>
    <row r="610" spans="1:26" ht="18.75">
      <c r="A610" s="1267"/>
      <c r="B610" s="1268"/>
      <c r="C610" s="1268"/>
      <c r="D610" s="1268"/>
      <c r="E610" s="961"/>
      <c r="F610" s="961"/>
      <c r="G610" s="954"/>
      <c r="H610" s="730" t="s">
        <v>34</v>
      </c>
      <c r="I610" s="830"/>
      <c r="J610" s="959">
        <v>0</v>
      </c>
      <c r="K610" s="945"/>
      <c r="L610" s="945"/>
      <c r="M610" s="945"/>
      <c r="N610" s="945"/>
      <c r="O610" s="945"/>
      <c r="P610" s="945"/>
      <c r="Q610" s="1244"/>
      <c r="R610" s="1244"/>
      <c r="S610" s="1244"/>
      <c r="T610" s="1244"/>
      <c r="U610" s="1244"/>
      <c r="V610" s="1244"/>
      <c r="W610" s="1244"/>
      <c r="X610" s="1244"/>
      <c r="Y610" s="1244"/>
      <c r="Z610" s="1244"/>
    </row>
    <row r="611" spans="1:26" ht="19.5">
      <c r="A611" s="1329"/>
      <c r="B611" s="1341" t="s">
        <v>261</v>
      </c>
      <c r="C611" s="1331"/>
      <c r="D611" s="1331"/>
      <c r="E611" s="1315"/>
      <c r="F611" s="1315"/>
      <c r="G611" s="1316"/>
      <c r="H611" s="673" t="s">
        <v>46</v>
      </c>
      <c r="I611" s="1317">
        <v>0</v>
      </c>
      <c r="J611" s="1317">
        <f>J614+J616</f>
        <v>0</v>
      </c>
      <c r="K611" s="1318">
        <f t="shared" ref="K611:K613" si="258">IF(I611&gt;0,J611*100/I611,0)</f>
        <v>0</v>
      </c>
      <c r="L611" s="1319"/>
      <c r="M611" s="1319"/>
      <c r="N611" s="1319"/>
      <c r="O611" s="1319"/>
      <c r="P611" s="1319"/>
      <c r="Q611" s="1244"/>
      <c r="R611" s="1244"/>
      <c r="S611" s="1244"/>
      <c r="T611" s="1244"/>
      <c r="U611" s="1244"/>
      <c r="V611" s="1244"/>
      <c r="W611" s="1244"/>
      <c r="X611" s="1244"/>
      <c r="Y611" s="1244"/>
      <c r="Z611" s="1244"/>
    </row>
    <row r="612" spans="1:26" ht="19.5" hidden="1">
      <c r="A612" s="1342"/>
      <c r="B612" s="1343"/>
      <c r="C612" s="1344" t="s">
        <v>262</v>
      </c>
      <c r="D612" s="1343"/>
      <c r="E612" s="1343"/>
      <c r="F612" s="1345"/>
      <c r="G612" s="1346"/>
      <c r="H612" s="680" t="s">
        <v>46</v>
      </c>
      <c r="I612" s="1347">
        <v>0</v>
      </c>
      <c r="J612" s="1347">
        <f t="shared" ref="J612:J613" si="259">J614+J616</f>
        <v>0</v>
      </c>
      <c r="K612" s="1348">
        <f t="shared" si="258"/>
        <v>0</v>
      </c>
      <c r="L612" s="1349"/>
      <c r="M612" s="1349"/>
      <c r="N612" s="1349"/>
      <c r="O612" s="1349"/>
      <c r="P612" s="1349"/>
      <c r="Q612" s="1264"/>
      <c r="R612" s="1264"/>
      <c r="S612" s="1264"/>
      <c r="T612" s="1264"/>
      <c r="U612" s="1264"/>
      <c r="V612" s="1264"/>
      <c r="W612" s="1264"/>
      <c r="X612" s="1264"/>
      <c r="Y612" s="1264"/>
      <c r="Z612" s="1264"/>
    </row>
    <row r="613" spans="1:26" ht="19.5" hidden="1">
      <c r="A613" s="1342"/>
      <c r="B613" s="1343"/>
      <c r="C613" s="1343" t="s">
        <v>263</v>
      </c>
      <c r="D613" s="1343"/>
      <c r="E613" s="1343"/>
      <c r="F613" s="1345"/>
      <c r="G613" s="1346"/>
      <c r="H613" s="680" t="s">
        <v>34</v>
      </c>
      <c r="I613" s="1347">
        <v>0</v>
      </c>
      <c r="J613" s="1347">
        <f t="shared" si="259"/>
        <v>0</v>
      </c>
      <c r="K613" s="1348">
        <f t="shared" si="258"/>
        <v>0</v>
      </c>
      <c r="L613" s="1349"/>
      <c r="M613" s="1349"/>
      <c r="N613" s="1349"/>
      <c r="O613" s="1349"/>
      <c r="P613" s="1349"/>
      <c r="Q613" s="1264"/>
      <c r="R613" s="1264"/>
      <c r="S613" s="1264"/>
      <c r="T613" s="1264"/>
      <c r="U613" s="1264"/>
      <c r="V613" s="1264"/>
      <c r="W613" s="1264"/>
      <c r="X613" s="1264"/>
      <c r="Y613" s="1264"/>
      <c r="Z613" s="1264"/>
    </row>
    <row r="614" spans="1:26" ht="18.75" hidden="1">
      <c r="A614" s="1273"/>
      <c r="B614" s="1274"/>
      <c r="C614" s="1274"/>
      <c r="D614" s="1262" t="s">
        <v>264</v>
      </c>
      <c r="E614" s="1274"/>
      <c r="F614" s="1262"/>
      <c r="G614" s="1060"/>
      <c r="H614" s="583" t="s">
        <v>46</v>
      </c>
      <c r="I614" s="836"/>
      <c r="J614" s="836">
        <v>0</v>
      </c>
      <c r="K614" s="948"/>
      <c r="L614" s="948"/>
      <c r="M614" s="948"/>
      <c r="N614" s="948"/>
      <c r="O614" s="948"/>
      <c r="P614" s="948"/>
      <c r="Q614" s="1264"/>
      <c r="R614" s="1264"/>
      <c r="S614" s="1264"/>
      <c r="T614" s="1264"/>
      <c r="U614" s="1264"/>
      <c r="V614" s="1264"/>
      <c r="W614" s="1264"/>
      <c r="X614" s="1264"/>
      <c r="Y614" s="1264"/>
      <c r="Z614" s="1264"/>
    </row>
    <row r="615" spans="1:26" ht="18.75" hidden="1">
      <c r="A615" s="1273"/>
      <c r="B615" s="1274"/>
      <c r="C615" s="1274"/>
      <c r="D615" s="1274"/>
      <c r="E615" s="1274"/>
      <c r="F615" s="1262"/>
      <c r="G615" s="1060"/>
      <c r="H615" s="583" t="s">
        <v>34</v>
      </c>
      <c r="I615" s="836"/>
      <c r="J615" s="836">
        <v>0</v>
      </c>
      <c r="K615" s="948"/>
      <c r="L615" s="948"/>
      <c r="M615" s="948"/>
      <c r="N615" s="948"/>
      <c r="O615" s="948"/>
      <c r="P615" s="948"/>
      <c r="Q615" s="1264"/>
      <c r="R615" s="1264"/>
      <c r="S615" s="1264"/>
      <c r="T615" s="1264"/>
      <c r="U615" s="1264"/>
      <c r="V615" s="1264"/>
      <c r="W615" s="1264"/>
      <c r="X615" s="1264"/>
      <c r="Y615" s="1264"/>
      <c r="Z615" s="1264"/>
    </row>
    <row r="616" spans="1:26" ht="18.75" hidden="1">
      <c r="A616" s="1273"/>
      <c r="B616" s="1274"/>
      <c r="C616" s="1274"/>
      <c r="D616" s="1350" t="s">
        <v>264</v>
      </c>
      <c r="E616" s="1262"/>
      <c r="F616" s="1262"/>
      <c r="G616" s="1060"/>
      <c r="H616" s="583" t="s">
        <v>46</v>
      </c>
      <c r="I616" s="836"/>
      <c r="J616" s="836">
        <v>0</v>
      </c>
      <c r="K616" s="948"/>
      <c r="L616" s="948"/>
      <c r="M616" s="948"/>
      <c r="N616" s="948"/>
      <c r="O616" s="948"/>
      <c r="P616" s="948"/>
      <c r="Q616" s="1264"/>
      <c r="R616" s="1264"/>
      <c r="S616" s="1264"/>
      <c r="T616" s="1264"/>
      <c r="U616" s="1264"/>
      <c r="V616" s="1264"/>
      <c r="W616" s="1264"/>
      <c r="X616" s="1264"/>
      <c r="Y616" s="1264"/>
      <c r="Z616" s="1264"/>
    </row>
    <row r="617" spans="1:26" ht="18.75" hidden="1">
      <c r="A617" s="1273"/>
      <c r="B617" s="1274"/>
      <c r="C617" s="1274"/>
      <c r="D617" s="1274"/>
      <c r="E617" s="1262"/>
      <c r="F617" s="1262"/>
      <c r="G617" s="1060"/>
      <c r="H617" s="583" t="s">
        <v>34</v>
      </c>
      <c r="I617" s="836"/>
      <c r="J617" s="836">
        <v>0</v>
      </c>
      <c r="K617" s="948"/>
      <c r="L617" s="948"/>
      <c r="M617" s="948"/>
      <c r="N617" s="948"/>
      <c r="O617" s="948"/>
      <c r="P617" s="948"/>
      <c r="Q617" s="1264"/>
      <c r="R617" s="1264"/>
      <c r="S617" s="1264"/>
      <c r="T617" s="1264"/>
      <c r="U617" s="1264"/>
      <c r="V617" s="1264"/>
      <c r="W617" s="1264"/>
      <c r="X617" s="1264"/>
      <c r="Y617" s="1264"/>
      <c r="Z617" s="1264"/>
    </row>
    <row r="618" spans="1:26" ht="18.75" hidden="1">
      <c r="A618" s="1273"/>
      <c r="B618" s="1274"/>
      <c r="C618" s="1274"/>
      <c r="D618" s="1350" t="s">
        <v>265</v>
      </c>
      <c r="E618" s="1262"/>
      <c r="F618" s="1262"/>
      <c r="G618" s="1060"/>
      <c r="H618" s="583" t="s">
        <v>46</v>
      </c>
      <c r="I618" s="836"/>
      <c r="J618" s="836">
        <v>0</v>
      </c>
      <c r="K618" s="948"/>
      <c r="L618" s="948"/>
      <c r="M618" s="948"/>
      <c r="N618" s="948"/>
      <c r="O618" s="948"/>
      <c r="P618" s="948"/>
      <c r="Q618" s="1264"/>
      <c r="R618" s="1264"/>
      <c r="S618" s="1264"/>
      <c r="T618" s="1264"/>
      <c r="U618" s="1264"/>
      <c r="V618" s="1264"/>
      <c r="W618" s="1264"/>
      <c r="X618" s="1264"/>
      <c r="Y618" s="1264"/>
      <c r="Z618" s="1264"/>
    </row>
    <row r="619" spans="1:26" ht="18.75" hidden="1">
      <c r="A619" s="1273"/>
      <c r="B619" s="1274"/>
      <c r="C619" s="1274"/>
      <c r="D619" s="1274"/>
      <c r="E619" s="1262"/>
      <c r="F619" s="1262"/>
      <c r="G619" s="1060"/>
      <c r="H619" s="583" t="s">
        <v>34</v>
      </c>
      <c r="I619" s="836"/>
      <c r="J619" s="836">
        <v>0</v>
      </c>
      <c r="K619" s="948"/>
      <c r="L619" s="948"/>
      <c r="M619" s="948"/>
      <c r="N619" s="948"/>
      <c r="O619" s="948"/>
      <c r="P619" s="948"/>
      <c r="Q619" s="1264"/>
      <c r="R619" s="1264"/>
      <c r="S619" s="1264"/>
      <c r="T619" s="1264"/>
      <c r="U619" s="1264"/>
      <c r="V619" s="1264"/>
      <c r="W619" s="1264"/>
      <c r="X619" s="1264"/>
      <c r="Y619" s="1264"/>
      <c r="Z619" s="1264"/>
    </row>
    <row r="620" spans="1:26" ht="19.5">
      <c r="A620" s="1351"/>
      <c r="B620" s="1352"/>
      <c r="C620" s="1353" t="s">
        <v>266</v>
      </c>
      <c r="D620" s="1352"/>
      <c r="E620" s="1352"/>
      <c r="F620" s="1354"/>
      <c r="G620" s="1355"/>
      <c r="H620" s="693" t="s">
        <v>46</v>
      </c>
      <c r="I620" s="1356">
        <f ca="1">IFERROR(__xludf.DUMMYFUNCTION("IMPORTRANGE(""https://docs.google.com/spreadsheets/d/1QqKyyYR6Q21VydFLVH3TRQUabQu_ym0Zz7PgGX0-kHA/edit?usp=sharing"",""แผน!HL26"")"),114)</f>
        <v>114</v>
      </c>
      <c r="J620" s="1356">
        <f t="shared" ref="J620:J621" si="260">J622+J624+J626</f>
        <v>0</v>
      </c>
      <c r="K620" s="1357">
        <f t="shared" ref="K620:K621" ca="1" si="261">IF(I620&gt;0,J620*100/I620,0)</f>
        <v>0</v>
      </c>
      <c r="L620" s="1358"/>
      <c r="M620" s="1358"/>
      <c r="N620" s="1358"/>
      <c r="O620" s="1358"/>
      <c r="P620" s="1358"/>
      <c r="Q620" s="1244"/>
      <c r="R620" s="1244"/>
      <c r="S620" s="1244"/>
      <c r="T620" s="1244"/>
      <c r="U620" s="1244"/>
      <c r="V620" s="1244"/>
      <c r="W620" s="1244"/>
      <c r="X620" s="1244"/>
      <c r="Y620" s="1244"/>
      <c r="Z620" s="1244"/>
    </row>
    <row r="621" spans="1:26" ht="19.5">
      <c r="A621" s="1351"/>
      <c r="B621" s="1352"/>
      <c r="C621" s="1352" t="s">
        <v>267</v>
      </c>
      <c r="D621" s="1352"/>
      <c r="E621" s="1352"/>
      <c r="F621" s="1354"/>
      <c r="G621" s="1355"/>
      <c r="H621" s="693" t="s">
        <v>34</v>
      </c>
      <c r="I621" s="1356">
        <f ca="1">IFERROR(__xludf.DUMMYFUNCTION("IMPORTRANGE(""https://docs.google.com/spreadsheets/d/1QqKyyYR6Q21VydFLVH3TRQUabQu_ym0Zz7PgGX0-kHA/edit?usp=sharing"",""แผน!HK26"")"),13)</f>
        <v>13</v>
      </c>
      <c r="J621" s="1356">
        <f t="shared" si="260"/>
        <v>0</v>
      </c>
      <c r="K621" s="1357">
        <f t="shared" ca="1" si="261"/>
        <v>0</v>
      </c>
      <c r="L621" s="1358"/>
      <c r="M621" s="1358"/>
      <c r="N621" s="1358"/>
      <c r="O621" s="1358"/>
      <c r="P621" s="1358"/>
      <c r="Q621" s="1244"/>
      <c r="R621" s="1244"/>
      <c r="S621" s="1244"/>
      <c r="T621" s="1244"/>
      <c r="U621" s="1244"/>
      <c r="V621" s="1244"/>
      <c r="W621" s="1244"/>
      <c r="X621" s="1244"/>
      <c r="Y621" s="1244"/>
      <c r="Z621" s="1244"/>
    </row>
    <row r="622" spans="1:26" ht="18.75">
      <c r="A622" s="1267"/>
      <c r="B622" s="1268"/>
      <c r="C622" s="1268"/>
      <c r="D622" s="1017" t="s">
        <v>268</v>
      </c>
      <c r="E622" s="961"/>
      <c r="F622" s="961"/>
      <c r="G622" s="954"/>
      <c r="H622" s="730" t="s">
        <v>46</v>
      </c>
      <c r="I622" s="830"/>
      <c r="J622" s="959">
        <v>0</v>
      </c>
      <c r="K622" s="945"/>
      <c r="L622" s="945"/>
      <c r="M622" s="945"/>
      <c r="N622" s="945"/>
      <c r="O622" s="945"/>
      <c r="P622" s="945"/>
      <c r="Q622" s="1244"/>
      <c r="R622" s="1244"/>
      <c r="S622" s="1244"/>
      <c r="T622" s="1244"/>
      <c r="U622" s="1244"/>
      <c r="V622" s="1244"/>
      <c r="W622" s="1244"/>
      <c r="X622" s="1244"/>
      <c r="Y622" s="1244"/>
      <c r="Z622" s="1244"/>
    </row>
    <row r="623" spans="1:26" ht="18.75">
      <c r="A623" s="1267"/>
      <c r="B623" s="1268"/>
      <c r="C623" s="1268"/>
      <c r="D623" s="1268"/>
      <c r="E623" s="961"/>
      <c r="F623" s="961"/>
      <c r="G623" s="954"/>
      <c r="H623" s="730" t="s">
        <v>34</v>
      </c>
      <c r="I623" s="830"/>
      <c r="J623" s="959">
        <v>0</v>
      </c>
      <c r="K623" s="945"/>
      <c r="L623" s="945"/>
      <c r="M623" s="945"/>
      <c r="N623" s="945"/>
      <c r="O623" s="945"/>
      <c r="P623" s="945"/>
      <c r="Q623" s="1244"/>
      <c r="R623" s="1244"/>
      <c r="S623" s="1244"/>
      <c r="T623" s="1244"/>
      <c r="U623" s="1244"/>
      <c r="V623" s="1244"/>
      <c r="W623" s="1244"/>
      <c r="X623" s="1244"/>
      <c r="Y623" s="1244"/>
      <c r="Z623" s="1244"/>
    </row>
    <row r="624" spans="1:26" ht="18.75">
      <c r="A624" s="1267"/>
      <c r="B624" s="1268"/>
      <c r="C624" s="1268"/>
      <c r="D624" s="1017" t="s">
        <v>264</v>
      </c>
      <c r="E624" s="961"/>
      <c r="F624" s="961"/>
      <c r="G624" s="954"/>
      <c r="H624" s="730" t="s">
        <v>46</v>
      </c>
      <c r="I624" s="830"/>
      <c r="J624" s="959">
        <v>0</v>
      </c>
      <c r="K624" s="945"/>
      <c r="L624" s="945"/>
      <c r="M624" s="945"/>
      <c r="N624" s="945"/>
      <c r="O624" s="945"/>
      <c r="P624" s="945"/>
      <c r="Q624" s="1244"/>
      <c r="R624" s="1244"/>
      <c r="S624" s="1244"/>
      <c r="T624" s="1244"/>
      <c r="U624" s="1244"/>
      <c r="V624" s="1244"/>
      <c r="W624" s="1244"/>
      <c r="X624" s="1244"/>
      <c r="Y624" s="1244"/>
      <c r="Z624" s="1244"/>
    </row>
    <row r="625" spans="1:26" ht="18.75">
      <c r="A625" s="1267"/>
      <c r="B625" s="1268"/>
      <c r="C625" s="1268"/>
      <c r="D625" s="1268"/>
      <c r="E625" s="961"/>
      <c r="F625" s="961"/>
      <c r="G625" s="954"/>
      <c r="H625" s="730" t="s">
        <v>34</v>
      </c>
      <c r="I625" s="830"/>
      <c r="J625" s="959">
        <v>0</v>
      </c>
      <c r="K625" s="945"/>
      <c r="L625" s="945"/>
      <c r="M625" s="945"/>
      <c r="N625" s="945"/>
      <c r="O625" s="945"/>
      <c r="P625" s="945"/>
      <c r="Q625" s="1244"/>
      <c r="R625" s="1244"/>
      <c r="S625" s="1244"/>
      <c r="T625" s="1244"/>
      <c r="U625" s="1244"/>
      <c r="V625" s="1244"/>
      <c r="W625" s="1244"/>
      <c r="X625" s="1244"/>
      <c r="Y625" s="1244"/>
      <c r="Z625" s="1244"/>
    </row>
    <row r="626" spans="1:26" ht="18.75">
      <c r="A626" s="1267"/>
      <c r="B626" s="1268"/>
      <c r="C626" s="1268"/>
      <c r="D626" s="1017" t="s">
        <v>269</v>
      </c>
      <c r="E626" s="961"/>
      <c r="F626" s="961"/>
      <c r="G626" s="954"/>
      <c r="H626" s="730" t="s">
        <v>46</v>
      </c>
      <c r="I626" s="830"/>
      <c r="J626" s="959">
        <v>0</v>
      </c>
      <c r="K626" s="945"/>
      <c r="L626" s="945"/>
      <c r="M626" s="945"/>
      <c r="N626" s="945"/>
      <c r="O626" s="945"/>
      <c r="P626" s="945"/>
      <c r="Q626" s="1244"/>
      <c r="R626" s="1244"/>
      <c r="S626" s="1244"/>
      <c r="T626" s="1244"/>
      <c r="U626" s="1244"/>
      <c r="V626" s="1244"/>
      <c r="W626" s="1244"/>
      <c r="X626" s="1244"/>
      <c r="Y626" s="1244"/>
      <c r="Z626" s="1244"/>
    </row>
    <row r="627" spans="1:26" ht="18.75">
      <c r="A627" s="1359"/>
      <c r="B627" s="1360"/>
      <c r="C627" s="1360"/>
      <c r="D627" s="1360"/>
      <c r="E627" s="1116"/>
      <c r="F627" s="1116"/>
      <c r="G627" s="1361"/>
      <c r="H627" s="391" t="s">
        <v>34</v>
      </c>
      <c r="I627" s="1085"/>
      <c r="J627" s="1118">
        <v>0</v>
      </c>
      <c r="K627" s="1086"/>
      <c r="L627" s="1086"/>
      <c r="M627" s="1086"/>
      <c r="N627" s="1086"/>
      <c r="O627" s="1086"/>
      <c r="P627" s="1086"/>
      <c r="Q627" s="1244"/>
      <c r="R627" s="1244"/>
      <c r="S627" s="1244"/>
      <c r="T627" s="1244"/>
      <c r="U627" s="1244"/>
      <c r="V627" s="1244"/>
      <c r="W627" s="1244"/>
      <c r="X627" s="1244"/>
      <c r="Y627" s="1244"/>
      <c r="Z627" s="1244"/>
    </row>
    <row r="628" spans="1:26" ht="19.5">
      <c r="A628" s="702">
        <v>7</v>
      </c>
      <c r="B628" s="1362" t="s">
        <v>270</v>
      </c>
      <c r="C628" s="1363"/>
      <c r="D628" s="1363"/>
      <c r="E628" s="1363"/>
      <c r="F628" s="1363"/>
      <c r="G628" s="1364"/>
      <c r="H628" s="706" t="s">
        <v>35</v>
      </c>
      <c r="I628" s="1365">
        <f t="shared" ref="I628:J628" ca="1" si="262">I651</f>
        <v>20</v>
      </c>
      <c r="J628" s="1365">
        <f t="shared" ca="1" si="262"/>
        <v>0</v>
      </c>
      <c r="K628" s="1366">
        <f ca="1">IF(I628&gt;0,J628*100/I628,0)</f>
        <v>0</v>
      </c>
      <c r="L628" s="1367"/>
      <c r="M628" s="1367"/>
      <c r="N628" s="1367"/>
      <c r="O628" s="1367"/>
      <c r="P628" s="1367"/>
      <c r="Q628" s="1244"/>
      <c r="R628" s="1244"/>
      <c r="S628" s="1244"/>
      <c r="T628" s="1244"/>
      <c r="U628" s="1244"/>
      <c r="V628" s="1244"/>
      <c r="W628" s="1244"/>
      <c r="X628" s="1244"/>
      <c r="Y628" s="1244"/>
      <c r="Z628" s="1244"/>
    </row>
    <row r="629" spans="1:26" ht="19.5">
      <c r="A629" s="1259"/>
      <c r="B629" s="1243"/>
      <c r="C629" s="1243" t="s">
        <v>16</v>
      </c>
      <c r="D629" s="1507" t="s">
        <v>17</v>
      </c>
      <c r="E629" s="1485"/>
      <c r="F629" s="1485"/>
      <c r="G629" s="963"/>
      <c r="H629" s="563" t="s">
        <v>12</v>
      </c>
      <c r="I629" s="830"/>
      <c r="J629" s="830"/>
      <c r="K629" s="831"/>
      <c r="L629" s="967">
        <f t="shared" ref="L629:N629" ca="1" si="263">L630+L631</f>
        <v>187805</v>
      </c>
      <c r="M629" s="967">
        <f t="shared" si="263"/>
        <v>0</v>
      </c>
      <c r="N629" s="967">
        <f t="shared" si="263"/>
        <v>20986</v>
      </c>
      <c r="O629" s="967">
        <f t="shared" ref="O629:O634" ca="1" si="264">IF(L629&gt;0,N629*100/L629,0)</f>
        <v>11.174356380288065</v>
      </c>
      <c r="P629" s="967">
        <f t="shared" ref="P629:P634" si="265">IF(M629&gt;0,N629*100/M629,0)</f>
        <v>0</v>
      </c>
      <c r="Q629" s="1244"/>
      <c r="R629" s="1244"/>
      <c r="S629" s="1244"/>
      <c r="T629" s="1244"/>
      <c r="U629" s="1244"/>
      <c r="V629" s="1244"/>
      <c r="W629" s="1244"/>
      <c r="X629" s="1244"/>
      <c r="Y629" s="1244"/>
      <c r="Z629" s="1244"/>
    </row>
    <row r="630" spans="1:26" ht="18.75" hidden="1">
      <c r="A630" s="1260"/>
      <c r="B630" s="1261"/>
      <c r="C630" s="1261"/>
      <c r="D630" s="1262"/>
      <c r="E630" s="1261" t="s">
        <v>184</v>
      </c>
      <c r="F630" s="1261"/>
      <c r="G630" s="1263"/>
      <c r="H630" s="165" t="s">
        <v>12</v>
      </c>
      <c r="I630" s="836"/>
      <c r="J630" s="836"/>
      <c r="K630" s="837"/>
      <c r="L630" s="837">
        <f t="shared" ref="L630:N631" si="266">L633+L640</f>
        <v>0</v>
      </c>
      <c r="M630" s="837">
        <f t="shared" si="266"/>
        <v>0</v>
      </c>
      <c r="N630" s="837">
        <f t="shared" si="266"/>
        <v>0</v>
      </c>
      <c r="O630" s="837">
        <f t="shared" si="264"/>
        <v>0</v>
      </c>
      <c r="P630" s="837">
        <f t="shared" si="265"/>
        <v>0</v>
      </c>
      <c r="Q630" s="1264"/>
      <c r="R630" s="1264"/>
      <c r="S630" s="1264"/>
      <c r="T630" s="1264"/>
      <c r="U630" s="1264"/>
      <c r="V630" s="1264"/>
      <c r="W630" s="1264"/>
      <c r="X630" s="1264"/>
      <c r="Y630" s="1264"/>
      <c r="Z630" s="1264"/>
    </row>
    <row r="631" spans="1:26" ht="18.75" hidden="1">
      <c r="A631" s="1260"/>
      <c r="B631" s="1265"/>
      <c r="C631" s="1261"/>
      <c r="D631" s="1262"/>
      <c r="E631" s="1261" t="s">
        <v>185</v>
      </c>
      <c r="F631" s="1261"/>
      <c r="G631" s="1263"/>
      <c r="H631" s="165" t="s">
        <v>12</v>
      </c>
      <c r="I631" s="836"/>
      <c r="J631" s="836"/>
      <c r="K631" s="837"/>
      <c r="L631" s="837">
        <f t="shared" ca="1" si="266"/>
        <v>187805</v>
      </c>
      <c r="M631" s="837">
        <f t="shared" si="266"/>
        <v>0</v>
      </c>
      <c r="N631" s="837">
        <f t="shared" si="266"/>
        <v>20986</v>
      </c>
      <c r="O631" s="837">
        <f t="shared" ca="1" si="264"/>
        <v>11.174356380288065</v>
      </c>
      <c r="P631" s="837">
        <f t="shared" si="265"/>
        <v>0</v>
      </c>
      <c r="Q631" s="1264"/>
      <c r="R631" s="1264"/>
      <c r="S631" s="1264"/>
      <c r="T631" s="1264"/>
      <c r="U631" s="1264"/>
      <c r="V631" s="1264"/>
      <c r="W631" s="1264"/>
      <c r="X631" s="1264"/>
      <c r="Y631" s="1264"/>
      <c r="Z631" s="1264"/>
    </row>
    <row r="632" spans="1:26" ht="18.75">
      <c r="A632" s="1259"/>
      <c r="B632" s="1242"/>
      <c r="C632" s="1243"/>
      <c r="D632" s="1266" t="s">
        <v>20</v>
      </c>
      <c r="E632" s="1243"/>
      <c r="F632" s="1243"/>
      <c r="G632" s="963"/>
      <c r="H632" s="778" t="s">
        <v>12</v>
      </c>
      <c r="I632" s="944"/>
      <c r="J632" s="944"/>
      <c r="K632" s="945"/>
      <c r="L632" s="831">
        <f t="shared" ref="L632:N632" ca="1" si="267">L633+L634</f>
        <v>187805</v>
      </c>
      <c r="M632" s="831">
        <f t="shared" si="267"/>
        <v>0</v>
      </c>
      <c r="N632" s="831">
        <f t="shared" si="267"/>
        <v>20986</v>
      </c>
      <c r="O632" s="831">
        <f t="shared" ca="1" si="264"/>
        <v>11.174356380288065</v>
      </c>
      <c r="P632" s="831">
        <f t="shared" si="265"/>
        <v>0</v>
      </c>
      <c r="Q632" s="1244"/>
      <c r="R632" s="1244"/>
      <c r="S632" s="1244"/>
      <c r="T632" s="1244"/>
      <c r="U632" s="1244"/>
      <c r="V632" s="1244"/>
      <c r="W632" s="1244"/>
      <c r="X632" s="1244"/>
      <c r="Y632" s="1244"/>
      <c r="Z632" s="1244"/>
    </row>
    <row r="633" spans="1:26" ht="18.75" hidden="1">
      <c r="A633" s="1260"/>
      <c r="B633" s="1265"/>
      <c r="C633" s="1261"/>
      <c r="D633" s="1262"/>
      <c r="E633" s="1261" t="s">
        <v>184</v>
      </c>
      <c r="F633" s="1261"/>
      <c r="G633" s="1263"/>
      <c r="H633" s="165" t="s">
        <v>12</v>
      </c>
      <c r="I633" s="836"/>
      <c r="J633" s="836"/>
      <c r="K633" s="837"/>
      <c r="L633" s="837">
        <v>0</v>
      </c>
      <c r="M633" s="837">
        <v>0</v>
      </c>
      <c r="N633" s="837">
        <v>0</v>
      </c>
      <c r="O633" s="837">
        <f t="shared" si="264"/>
        <v>0</v>
      </c>
      <c r="P633" s="837">
        <f t="shared" si="265"/>
        <v>0</v>
      </c>
      <c r="Q633" s="1264"/>
      <c r="R633" s="1264"/>
      <c r="S633" s="1264"/>
      <c r="T633" s="1264"/>
      <c r="U633" s="1264"/>
      <c r="V633" s="1264"/>
      <c r="W633" s="1264"/>
      <c r="X633" s="1264"/>
      <c r="Y633" s="1264"/>
      <c r="Z633" s="1264"/>
    </row>
    <row r="634" spans="1:26" ht="18.75" hidden="1">
      <c r="A634" s="1260"/>
      <c r="B634" s="1265"/>
      <c r="C634" s="1261"/>
      <c r="D634" s="1262"/>
      <c r="E634" s="1261" t="s">
        <v>185</v>
      </c>
      <c r="F634" s="1261"/>
      <c r="G634" s="1263"/>
      <c r="H634" s="165" t="s">
        <v>12</v>
      </c>
      <c r="I634" s="836"/>
      <c r="J634" s="836"/>
      <c r="K634" s="837"/>
      <c r="L634" s="837">
        <f ca="1">IFERROR(__xludf.DUMMYFUNCTION("IMPORTRANGE(""https://docs.google.com/spreadsheets/d/1QqKyyYR6Q21VydFLVH3TRQUabQu_ym0Zz7PgGX0-kHA/edit?usp=sharing"",""แผน!HN26"")"),187805)</f>
        <v>187805</v>
      </c>
      <c r="M634" s="837">
        <v>0</v>
      </c>
      <c r="N634" s="837">
        <f>N635+N636+N637+N638</f>
        <v>20986</v>
      </c>
      <c r="O634" s="837">
        <f t="shared" ca="1" si="264"/>
        <v>11.174356380288065</v>
      </c>
      <c r="P634" s="837">
        <f t="shared" si="265"/>
        <v>0</v>
      </c>
      <c r="Q634" s="1264"/>
      <c r="R634" s="1264"/>
      <c r="S634" s="1264"/>
      <c r="T634" s="1264"/>
      <c r="U634" s="1264"/>
      <c r="V634" s="1264"/>
      <c r="W634" s="1264"/>
      <c r="X634" s="1264"/>
      <c r="Y634" s="1264"/>
      <c r="Z634" s="1264"/>
    </row>
    <row r="635" spans="1:26" ht="18.75">
      <c r="A635" s="1241"/>
      <c r="B635" s="1242"/>
      <c r="C635" s="1243"/>
      <c r="D635" s="1243"/>
      <c r="E635" s="1243"/>
      <c r="F635" s="1243" t="s">
        <v>186</v>
      </c>
      <c r="G635" s="963"/>
      <c r="H635" s="778" t="s">
        <v>12</v>
      </c>
      <c r="I635" s="830"/>
      <c r="J635" s="830"/>
      <c r="K635" s="831"/>
      <c r="L635" s="831"/>
      <c r="M635" s="831"/>
      <c r="N635" s="1031">
        <v>0</v>
      </c>
      <c r="O635" s="831"/>
      <c r="P635" s="831"/>
      <c r="Q635" s="1244"/>
      <c r="R635" s="1244"/>
      <c r="S635" s="1244"/>
      <c r="T635" s="1244"/>
      <c r="U635" s="1244"/>
      <c r="V635" s="1244"/>
      <c r="W635" s="1244"/>
      <c r="X635" s="1244"/>
      <c r="Y635" s="1244"/>
      <c r="Z635" s="1244"/>
    </row>
    <row r="636" spans="1:26" ht="18.75">
      <c r="A636" s="1241"/>
      <c r="B636" s="1242"/>
      <c r="C636" s="1243"/>
      <c r="D636" s="1243"/>
      <c r="E636" s="1243"/>
      <c r="F636" s="1243" t="s">
        <v>187</v>
      </c>
      <c r="G636" s="963"/>
      <c r="H636" s="778" t="s">
        <v>12</v>
      </c>
      <c r="I636" s="830"/>
      <c r="J636" s="830"/>
      <c r="K636" s="831"/>
      <c r="L636" s="831"/>
      <c r="M636" s="831"/>
      <c r="N636" s="1031">
        <v>0</v>
      </c>
      <c r="O636" s="831"/>
      <c r="P636" s="831"/>
      <c r="Q636" s="1244"/>
      <c r="R636" s="1244"/>
      <c r="S636" s="1244"/>
      <c r="T636" s="1244"/>
      <c r="U636" s="1244"/>
      <c r="V636" s="1244"/>
      <c r="W636" s="1244"/>
      <c r="X636" s="1244"/>
      <c r="Y636" s="1244"/>
      <c r="Z636" s="1244"/>
    </row>
    <row r="637" spans="1:26" ht="18.75">
      <c r="A637" s="1241"/>
      <c r="B637" s="1242"/>
      <c r="C637" s="1243"/>
      <c r="D637" s="1243"/>
      <c r="E637" s="1243"/>
      <c r="F637" s="1243" t="s">
        <v>188</v>
      </c>
      <c r="G637" s="963"/>
      <c r="H637" s="778" t="s">
        <v>12</v>
      </c>
      <c r="I637" s="830"/>
      <c r="J637" s="830"/>
      <c r="K637" s="831"/>
      <c r="L637" s="831"/>
      <c r="M637" s="831"/>
      <c r="N637" s="1031">
        <v>0</v>
      </c>
      <c r="O637" s="831"/>
      <c r="P637" s="831"/>
      <c r="Q637" s="1244"/>
      <c r="R637" s="1244"/>
      <c r="S637" s="1244"/>
      <c r="T637" s="1244"/>
      <c r="U637" s="1244"/>
      <c r="V637" s="1244"/>
      <c r="W637" s="1244"/>
      <c r="X637" s="1244"/>
      <c r="Y637" s="1244"/>
      <c r="Z637" s="1244"/>
    </row>
    <row r="638" spans="1:26" ht="18.75">
      <c r="A638" s="1241"/>
      <c r="B638" s="1242"/>
      <c r="C638" s="1243"/>
      <c r="D638" s="1243"/>
      <c r="E638" s="1243"/>
      <c r="F638" s="1243" t="s">
        <v>189</v>
      </c>
      <c r="G638" s="963"/>
      <c r="H638" s="778" t="s">
        <v>12</v>
      </c>
      <c r="I638" s="830"/>
      <c r="J638" s="830"/>
      <c r="K638" s="831"/>
      <c r="L638" s="831"/>
      <c r="M638" s="831"/>
      <c r="N638" s="1031">
        <v>20986</v>
      </c>
      <c r="O638" s="831"/>
      <c r="P638" s="831"/>
      <c r="Q638" s="1244"/>
      <c r="R638" s="1244"/>
      <c r="S638" s="1244"/>
      <c r="T638" s="1244"/>
      <c r="U638" s="1244"/>
      <c r="V638" s="1244"/>
      <c r="W638" s="1244"/>
      <c r="X638" s="1244"/>
      <c r="Y638" s="1244"/>
      <c r="Z638" s="1244"/>
    </row>
    <row r="639" spans="1:26" ht="18.75">
      <c r="A639" s="1259"/>
      <c r="B639" s="1242"/>
      <c r="C639" s="1243"/>
      <c r="D639" s="1266" t="s">
        <v>21</v>
      </c>
      <c r="E639" s="1243"/>
      <c r="F639" s="1243"/>
      <c r="G639" s="963"/>
      <c r="H639" s="168" t="s">
        <v>12</v>
      </c>
      <c r="I639" s="944"/>
      <c r="J639" s="944"/>
      <c r="K639" s="945"/>
      <c r="L639" s="831">
        <f t="shared" ref="L639:N639" ca="1" si="268">L640+L641</f>
        <v>0</v>
      </c>
      <c r="M639" s="831">
        <f t="shared" si="268"/>
        <v>0</v>
      </c>
      <c r="N639" s="831">
        <f t="shared" si="268"/>
        <v>0</v>
      </c>
      <c r="O639" s="831">
        <f t="shared" ref="O639:O641" ca="1" si="269">IF(L639&gt;0,N639*100/L639,0)</f>
        <v>0</v>
      </c>
      <c r="P639" s="831">
        <f t="shared" ref="P639:P641" si="270">IF(M639&gt;0,N639*100/M639,0)</f>
        <v>0</v>
      </c>
      <c r="Q639" s="1244"/>
      <c r="R639" s="1244"/>
      <c r="S639" s="1244"/>
      <c r="T639" s="1244"/>
      <c r="U639" s="1244"/>
      <c r="V639" s="1244"/>
      <c r="W639" s="1244"/>
      <c r="X639" s="1244"/>
      <c r="Y639" s="1244"/>
      <c r="Z639" s="1244"/>
    </row>
    <row r="640" spans="1:26" ht="18.75" hidden="1">
      <c r="A640" s="1260"/>
      <c r="B640" s="1265"/>
      <c r="C640" s="1261"/>
      <c r="D640" s="1261"/>
      <c r="E640" s="1261" t="s">
        <v>18</v>
      </c>
      <c r="F640" s="1261"/>
      <c r="G640" s="1263"/>
      <c r="H640" s="165" t="s">
        <v>12</v>
      </c>
      <c r="I640" s="947"/>
      <c r="J640" s="947"/>
      <c r="K640" s="948"/>
      <c r="L640" s="837">
        <v>0</v>
      </c>
      <c r="M640" s="837">
        <v>0</v>
      </c>
      <c r="N640" s="837">
        <v>0</v>
      </c>
      <c r="O640" s="837">
        <f t="shared" si="269"/>
        <v>0</v>
      </c>
      <c r="P640" s="837">
        <f t="shared" si="270"/>
        <v>0</v>
      </c>
      <c r="Q640" s="1264"/>
      <c r="R640" s="1264"/>
      <c r="S640" s="1264"/>
      <c r="T640" s="1264"/>
      <c r="U640" s="1264"/>
      <c r="V640" s="1264"/>
      <c r="W640" s="1264"/>
      <c r="X640" s="1264"/>
      <c r="Y640" s="1264"/>
      <c r="Z640" s="1264"/>
    </row>
    <row r="641" spans="1:26" ht="18.75" hidden="1">
      <c r="A641" s="1260"/>
      <c r="B641" s="1265"/>
      <c r="C641" s="1261"/>
      <c r="D641" s="1261"/>
      <c r="E641" s="1261" t="s">
        <v>19</v>
      </c>
      <c r="F641" s="1261"/>
      <c r="G641" s="1263"/>
      <c r="H641" s="169" t="s">
        <v>12</v>
      </c>
      <c r="I641" s="947"/>
      <c r="J641" s="947"/>
      <c r="K641" s="948"/>
      <c r="L641" s="837">
        <f ca="1">IFERROR(__xludf.DUMMYFUNCTION("IMPORTRANGE(""https://docs.google.com/spreadsheets/d/1QqKyyYR6Q21VydFLVH3TRQUabQu_ym0Zz7PgGX0-kHA/edit?usp=sharing"",""แผน!HQ26"")"),0)</f>
        <v>0</v>
      </c>
      <c r="M641" s="837">
        <v>0</v>
      </c>
      <c r="N641" s="837">
        <v>0</v>
      </c>
      <c r="O641" s="837">
        <f t="shared" ca="1" si="269"/>
        <v>0</v>
      </c>
      <c r="P641" s="837">
        <f t="shared" si="270"/>
        <v>0</v>
      </c>
      <c r="Q641" s="1264"/>
      <c r="R641" s="1264"/>
      <c r="S641" s="1264"/>
      <c r="T641" s="1264"/>
      <c r="U641" s="1264"/>
      <c r="V641" s="1264"/>
      <c r="W641" s="1264"/>
      <c r="X641" s="1264"/>
      <c r="Y641" s="1264"/>
      <c r="Z641" s="1264"/>
    </row>
    <row r="642" spans="1:26" ht="19.5">
      <c r="A642" s="1267"/>
      <c r="B642" s="1268"/>
      <c r="C642" s="1243" t="s">
        <v>16</v>
      </c>
      <c r="D642" s="1320" t="s">
        <v>38</v>
      </c>
      <c r="E642" s="1271"/>
      <c r="F642" s="1271"/>
      <c r="G642" s="1272"/>
      <c r="H642" s="954"/>
      <c r="I642" s="944"/>
      <c r="J642" s="944"/>
      <c r="K642" s="945"/>
      <c r="L642" s="945"/>
      <c r="M642" s="945"/>
      <c r="N642" s="945"/>
      <c r="O642" s="945"/>
      <c r="P642" s="945"/>
      <c r="Q642" s="1244"/>
      <c r="R642" s="1244"/>
      <c r="S642" s="1244"/>
      <c r="T642" s="1244"/>
      <c r="U642" s="1244"/>
      <c r="V642" s="1244"/>
      <c r="W642" s="1244"/>
      <c r="X642" s="1244"/>
      <c r="Y642" s="1244"/>
      <c r="Z642" s="1244"/>
    </row>
    <row r="643" spans="1:26" ht="18.75">
      <c r="A643" s="1368"/>
      <c r="B643" s="1242"/>
      <c r="C643" s="1243"/>
      <c r="D643" s="961"/>
      <c r="E643" s="1017" t="s">
        <v>271</v>
      </c>
      <c r="F643" s="961"/>
      <c r="G643" s="954"/>
      <c r="H643" s="730" t="s">
        <v>272</v>
      </c>
      <c r="I643" s="830">
        <f ca="1">IFERROR(__xludf.DUMMYFUNCTION("IMPORTRANGE(""https://docs.google.com/spreadsheets/d/1QqKyyYR6Q21VydFLVH3TRQUabQu_ym0Zz7PgGX0-kHA/edit?usp=sharing"",""แผน!HR26"")"),0)</f>
        <v>0</v>
      </c>
      <c r="J643" s="959">
        <v>0</v>
      </c>
      <c r="K643" s="945">
        <f t="shared" ref="K643:K652" ca="1" si="271">IF(I643&gt;0,J643*100/I643,0)</f>
        <v>0</v>
      </c>
      <c r="L643" s="945"/>
      <c r="M643" s="945"/>
      <c r="N643" s="831"/>
      <c r="O643" s="945"/>
      <c r="P643" s="945"/>
      <c r="Q643" s="1244"/>
      <c r="R643" s="1244"/>
      <c r="S643" s="1244"/>
      <c r="T643" s="1244"/>
      <c r="U643" s="1244"/>
      <c r="V643" s="1244"/>
      <c r="W643" s="1244"/>
      <c r="X643" s="1244"/>
      <c r="Y643" s="1244"/>
      <c r="Z643" s="1244"/>
    </row>
    <row r="644" spans="1:26" ht="18.75">
      <c r="A644" s="1368"/>
      <c r="B644" s="1242"/>
      <c r="C644" s="1243"/>
      <c r="D644" s="961"/>
      <c r="E644" s="1017" t="s">
        <v>273</v>
      </c>
      <c r="F644" s="961"/>
      <c r="G644" s="954"/>
      <c r="H644" s="730" t="s">
        <v>274</v>
      </c>
      <c r="I644" s="830">
        <f ca="1">IFERROR(__xludf.DUMMYFUNCTION("IMPORTRANGE(""https://docs.google.com/spreadsheets/d/1QqKyyYR6Q21VydFLVH3TRQUabQu_ym0Zz7PgGX0-kHA/edit?usp=sharing"",""แผน!HR26"")"),0)</f>
        <v>0</v>
      </c>
      <c r="J644" s="959">
        <v>0</v>
      </c>
      <c r="K644" s="945">
        <f t="shared" ca="1" si="271"/>
        <v>0</v>
      </c>
      <c r="L644" s="945"/>
      <c r="M644" s="945"/>
      <c r="N644" s="831"/>
      <c r="O644" s="945"/>
      <c r="P644" s="945"/>
      <c r="Q644" s="1244"/>
      <c r="R644" s="1244"/>
      <c r="S644" s="1244"/>
      <c r="T644" s="1244"/>
      <c r="U644" s="1244"/>
      <c r="V644" s="1244"/>
      <c r="W644" s="1244"/>
      <c r="X644" s="1244"/>
      <c r="Y644" s="1244"/>
      <c r="Z644" s="1244"/>
    </row>
    <row r="645" spans="1:26" ht="18.75">
      <c r="A645" s="1368"/>
      <c r="B645" s="1242"/>
      <c r="C645" s="1243"/>
      <c r="D645" s="961"/>
      <c r="E645" s="1017" t="s">
        <v>275</v>
      </c>
      <c r="F645" s="961"/>
      <c r="G645" s="954"/>
      <c r="H645" s="730" t="s">
        <v>34</v>
      </c>
      <c r="I645" s="830">
        <v>0</v>
      </c>
      <c r="J645" s="830">
        <f ca="1">IFERROR(__xludf.DUMMYFUNCTION("IMPORTRANGE(""https://docs.google.com/spreadsheets/d/1XWAQStnk-4SwqDmLtmXYiTMKHgktTP8We1SCoS47DrQ/edit?usp=sharing"",""จัดที่ดิน!AS26"")"),23)</f>
        <v>23</v>
      </c>
      <c r="K645" s="945">
        <f t="shared" si="271"/>
        <v>0</v>
      </c>
      <c r="L645" s="945"/>
      <c r="M645" s="945"/>
      <c r="N645" s="831"/>
      <c r="O645" s="945"/>
      <c r="P645" s="945"/>
      <c r="Q645" s="1244"/>
      <c r="R645" s="1244"/>
      <c r="S645" s="1244"/>
      <c r="T645" s="1244"/>
      <c r="U645" s="1244"/>
      <c r="V645" s="1244"/>
      <c r="W645" s="1244"/>
      <c r="X645" s="1244"/>
      <c r="Y645" s="1244"/>
      <c r="Z645" s="1244"/>
    </row>
    <row r="646" spans="1:26" ht="18.75">
      <c r="A646" s="1368"/>
      <c r="B646" s="1242"/>
      <c r="C646" s="1243"/>
      <c r="D646" s="961"/>
      <c r="E646" s="961"/>
      <c r="F646" s="961"/>
      <c r="G646" s="954"/>
      <c r="H646" s="730" t="s">
        <v>46</v>
      </c>
      <c r="I646" s="830">
        <v>0</v>
      </c>
      <c r="J646" s="830">
        <f ca="1">IFERROR(__xludf.DUMMYFUNCTION("IMPORTRANGE(""https://docs.google.com/spreadsheets/d/1XWAQStnk-4SwqDmLtmXYiTMKHgktTP8We1SCoS47DrQ/edit?usp=sharing"",""จัดที่ดิน!AT26"")"),16.14)</f>
        <v>16.14</v>
      </c>
      <c r="K646" s="831">
        <f t="shared" si="271"/>
        <v>0</v>
      </c>
      <c r="L646" s="945"/>
      <c r="M646" s="945"/>
      <c r="N646" s="831"/>
      <c r="O646" s="945"/>
      <c r="P646" s="945"/>
      <c r="Q646" s="1244"/>
      <c r="R646" s="1244"/>
      <c r="S646" s="1244"/>
      <c r="T646" s="1244"/>
      <c r="U646" s="1244"/>
      <c r="V646" s="1244"/>
      <c r="W646" s="1244"/>
      <c r="X646" s="1244"/>
      <c r="Y646" s="1244"/>
      <c r="Z646" s="1244"/>
    </row>
    <row r="647" spans="1:26" ht="18.75">
      <c r="A647" s="1368"/>
      <c r="B647" s="1242"/>
      <c r="C647" s="1243"/>
      <c r="D647" s="961"/>
      <c r="E647" s="1017" t="s">
        <v>162</v>
      </c>
      <c r="F647" s="961"/>
      <c r="G647" s="954"/>
      <c r="H647" s="730" t="s">
        <v>35</v>
      </c>
      <c r="I647" s="830">
        <f ca="1">IFERROR(__xludf.DUMMYFUNCTION("IMPORTRANGE(""https://docs.google.com/spreadsheets/d/1QqKyyYR6Q21VydFLVH3TRQUabQu_ym0Zz7PgGX0-kHA/edit?usp=sharing"",""แผน!HS26"")"),20)</f>
        <v>20</v>
      </c>
      <c r="J647" s="830">
        <f ca="1">IFERROR(__xludf.DUMMYFUNCTION("IMPORTRANGE(""https://docs.google.com/spreadsheets/d/1XWAQStnk-4SwqDmLtmXYiTMKHgktTP8We1SCoS47DrQ/edit?usp=sharing"",""จัดที่ดิน!AU26"")"),0)</f>
        <v>0</v>
      </c>
      <c r="K647" s="945">
        <f t="shared" ca="1" si="271"/>
        <v>0</v>
      </c>
      <c r="L647" s="945"/>
      <c r="M647" s="945"/>
      <c r="N647" s="945"/>
      <c r="O647" s="945"/>
      <c r="P647" s="945"/>
      <c r="Q647" s="1244"/>
      <c r="R647" s="1244"/>
      <c r="S647" s="1244"/>
      <c r="T647" s="1244"/>
      <c r="U647" s="1244"/>
      <c r="V647" s="1244"/>
      <c r="W647" s="1244"/>
      <c r="X647" s="1244"/>
      <c r="Y647" s="1244"/>
      <c r="Z647" s="1244"/>
    </row>
    <row r="648" spans="1:26" ht="18.75">
      <c r="A648" s="1368"/>
      <c r="B648" s="1242"/>
      <c r="C648" s="1243"/>
      <c r="D648" s="961"/>
      <c r="E648" s="961"/>
      <c r="F648" s="961"/>
      <c r="G648" s="954"/>
      <c r="H648" s="730" t="s">
        <v>46</v>
      </c>
      <c r="I648" s="830">
        <v>0</v>
      </c>
      <c r="J648" s="830">
        <f ca="1">IFERROR(__xludf.DUMMYFUNCTION("IMPORTRANGE(""https://docs.google.com/spreadsheets/d/1XWAQStnk-4SwqDmLtmXYiTMKHgktTP8We1SCoS47DrQ/edit?usp=sharing"",""จัดที่ดิน!AV26"")"),0)</f>
        <v>0</v>
      </c>
      <c r="K648" s="831">
        <f t="shared" si="271"/>
        <v>0</v>
      </c>
      <c r="L648" s="945"/>
      <c r="M648" s="945"/>
      <c r="N648" s="945"/>
      <c r="O648" s="945"/>
      <c r="P648" s="945"/>
      <c r="Q648" s="1244"/>
      <c r="R648" s="1244"/>
      <c r="S648" s="1244"/>
      <c r="T648" s="1244"/>
      <c r="U648" s="1244"/>
      <c r="V648" s="1244"/>
      <c r="W648" s="1244"/>
      <c r="X648" s="1244"/>
      <c r="Y648" s="1244"/>
      <c r="Z648" s="1244"/>
    </row>
    <row r="649" spans="1:26" ht="18.75">
      <c r="A649" s="1368"/>
      <c r="B649" s="1242"/>
      <c r="C649" s="1243"/>
      <c r="D649" s="961"/>
      <c r="E649" s="1017" t="s">
        <v>276</v>
      </c>
      <c r="F649" s="961"/>
      <c r="G649" s="954"/>
      <c r="H649" s="730" t="s">
        <v>35</v>
      </c>
      <c r="I649" s="830">
        <f ca="1">IFERROR(__xludf.DUMMYFUNCTION("IMPORTRANGE(""https://docs.google.com/spreadsheets/d/1QqKyyYR6Q21VydFLVH3TRQUabQu_ym0Zz7PgGX0-kHA/edit?usp=sharing"",""แผน!HS26"")"),20)</f>
        <v>20</v>
      </c>
      <c r="J649" s="830">
        <f ca="1">IFERROR(__xludf.DUMMYFUNCTION("IMPORTRANGE(""https://docs.google.com/spreadsheets/d/1XWAQStnk-4SwqDmLtmXYiTMKHgktTP8We1SCoS47DrQ/edit?usp=sharing"",""จัดที่ดิน!AW26"")"),0)</f>
        <v>0</v>
      </c>
      <c r="K649" s="945">
        <f t="shared" ca="1" si="271"/>
        <v>0</v>
      </c>
      <c r="L649" s="945"/>
      <c r="M649" s="945"/>
      <c r="N649" s="945"/>
      <c r="O649" s="945"/>
      <c r="P649" s="945"/>
      <c r="Q649" s="1244"/>
      <c r="R649" s="1244"/>
      <c r="S649" s="1244"/>
      <c r="T649" s="1244"/>
      <c r="U649" s="1244"/>
      <c r="V649" s="1244"/>
      <c r="W649" s="1244"/>
      <c r="X649" s="1244"/>
      <c r="Y649" s="1244"/>
      <c r="Z649" s="1244"/>
    </row>
    <row r="650" spans="1:26" ht="18.75">
      <c r="A650" s="1368"/>
      <c r="B650" s="1242"/>
      <c r="C650" s="1243"/>
      <c r="D650" s="961"/>
      <c r="E650" s="961"/>
      <c r="F650" s="961"/>
      <c r="G650" s="954"/>
      <c r="H650" s="730" t="s">
        <v>46</v>
      </c>
      <c r="I650" s="830">
        <v>0</v>
      </c>
      <c r="J650" s="830">
        <f ca="1">IFERROR(__xludf.DUMMYFUNCTION("IMPORTRANGE(""https://docs.google.com/spreadsheets/d/1XWAQStnk-4SwqDmLtmXYiTMKHgktTP8We1SCoS47DrQ/edit?usp=sharing"",""จัดที่ดิน!AX26"")"),0)</f>
        <v>0</v>
      </c>
      <c r="K650" s="831">
        <f t="shared" si="271"/>
        <v>0</v>
      </c>
      <c r="L650" s="945"/>
      <c r="M650" s="945"/>
      <c r="N650" s="945"/>
      <c r="O650" s="945"/>
      <c r="P650" s="945"/>
      <c r="Q650" s="1244"/>
      <c r="R650" s="1244"/>
      <c r="S650" s="1244"/>
      <c r="T650" s="1244"/>
      <c r="U650" s="1244"/>
      <c r="V650" s="1244"/>
      <c r="W650" s="1244"/>
      <c r="X650" s="1244"/>
      <c r="Y650" s="1244"/>
      <c r="Z650" s="1244"/>
    </row>
    <row r="651" spans="1:26" ht="18.75">
      <c r="A651" s="1368"/>
      <c r="B651" s="1242"/>
      <c r="C651" s="1243"/>
      <c r="D651" s="961"/>
      <c r="E651" s="1017" t="s">
        <v>277</v>
      </c>
      <c r="F651" s="961"/>
      <c r="G651" s="954"/>
      <c r="H651" s="730" t="s">
        <v>35</v>
      </c>
      <c r="I651" s="830">
        <f ca="1">IFERROR(__xludf.DUMMYFUNCTION("IMPORTRANGE(""https://docs.google.com/spreadsheets/d/1QqKyyYR6Q21VydFLVH3TRQUabQu_ym0Zz7PgGX0-kHA/edit?usp=sharing"",""แผน!HS26"")"),20)</f>
        <v>20</v>
      </c>
      <c r="J651" s="830">
        <f ca="1">IFERROR(__xludf.DUMMYFUNCTION("IMPORTRANGE(""https://docs.google.com/spreadsheets/d/1XWAQStnk-4SwqDmLtmXYiTMKHgktTP8We1SCoS47DrQ/edit?usp=sharing"",""จัดที่ดิน!AY26"")"),0)</f>
        <v>0</v>
      </c>
      <c r="K651" s="945">
        <f t="shared" ca="1" si="271"/>
        <v>0</v>
      </c>
      <c r="L651" s="945"/>
      <c r="M651" s="945"/>
      <c r="N651" s="945"/>
      <c r="O651" s="945"/>
      <c r="P651" s="945"/>
      <c r="Q651" s="1244"/>
      <c r="R651" s="1244"/>
      <c r="S651" s="1244"/>
      <c r="T651" s="1244"/>
      <c r="U651" s="1244"/>
      <c r="V651" s="1244"/>
      <c r="W651" s="1244"/>
      <c r="X651" s="1244"/>
      <c r="Y651" s="1244"/>
      <c r="Z651" s="1244"/>
    </row>
    <row r="652" spans="1:26" ht="18.75">
      <c r="A652" s="1369"/>
      <c r="B652" s="1370"/>
      <c r="C652" s="1371"/>
      <c r="D652" s="1116"/>
      <c r="E652" s="1116"/>
      <c r="F652" s="1116"/>
      <c r="G652" s="1361"/>
      <c r="H652" s="468" t="s">
        <v>46</v>
      </c>
      <c r="I652" s="1085">
        <v>0</v>
      </c>
      <c r="J652" s="1085">
        <f ca="1">IFERROR(__xludf.DUMMYFUNCTION("IMPORTRANGE(""https://docs.google.com/spreadsheets/d/1XWAQStnk-4SwqDmLtmXYiTMKHgktTP8We1SCoS47DrQ/edit?usp=sharing"",""จัดที่ดิน!AZ26"")"),0)</f>
        <v>0</v>
      </c>
      <c r="K652" s="1182">
        <f t="shared" si="271"/>
        <v>0</v>
      </c>
      <c r="L652" s="1086"/>
      <c r="M652" s="1086"/>
      <c r="N652" s="1086"/>
      <c r="O652" s="1086"/>
      <c r="P652" s="1086"/>
      <c r="Q652" s="1244"/>
      <c r="R652" s="1244"/>
      <c r="S652" s="1244"/>
      <c r="T652" s="1244"/>
      <c r="U652" s="1244"/>
      <c r="V652" s="1244"/>
      <c r="W652" s="1244"/>
      <c r="X652" s="1244"/>
      <c r="Y652" s="1244"/>
      <c r="Z652" s="1244"/>
    </row>
    <row r="653" spans="1:26" ht="19.5">
      <c r="A653" s="716">
        <v>8</v>
      </c>
      <c r="B653" s="1362" t="s">
        <v>278</v>
      </c>
      <c r="C653" s="1363"/>
      <c r="D653" s="1363"/>
      <c r="E653" s="1363"/>
      <c r="F653" s="1363"/>
      <c r="G653" s="1364"/>
      <c r="H653" s="1364"/>
      <c r="I653" s="1372"/>
      <c r="J653" s="1372"/>
      <c r="K653" s="1367"/>
      <c r="L653" s="1367"/>
      <c r="M653" s="1367"/>
      <c r="N653" s="1367"/>
      <c r="O653" s="1367"/>
      <c r="P653" s="1367"/>
      <c r="Q653" s="1244"/>
      <c r="R653" s="1244"/>
      <c r="S653" s="1244"/>
      <c r="T653" s="1244"/>
      <c r="U653" s="1244"/>
      <c r="V653" s="1244"/>
      <c r="W653" s="1244"/>
      <c r="X653" s="1244"/>
      <c r="Y653" s="1244"/>
      <c r="Z653" s="1244"/>
    </row>
    <row r="654" spans="1:26" ht="19.5">
      <c r="A654" s="1315"/>
      <c r="B654" s="1314" t="s">
        <v>279</v>
      </c>
      <c r="C654" s="1315"/>
      <c r="D654" s="1315"/>
      <c r="E654" s="1315"/>
      <c r="F654" s="1315"/>
      <c r="G654" s="1316"/>
      <c r="H654" s="673" t="s">
        <v>46</v>
      </c>
      <c r="I654" s="1317">
        <f t="shared" ref="I654:J654" ca="1" si="272">I669</f>
        <v>100</v>
      </c>
      <c r="J654" s="1317">
        <f t="shared" si="272"/>
        <v>0</v>
      </c>
      <c r="K654" s="1318">
        <f ca="1">IF(I654&gt;0,J654*100/I654,0)</f>
        <v>0</v>
      </c>
      <c r="L654" s="1319"/>
      <c r="M654" s="1319"/>
      <c r="N654" s="1319"/>
      <c r="O654" s="1319"/>
      <c r="P654" s="1319"/>
      <c r="Q654" s="1244"/>
      <c r="R654" s="1244"/>
      <c r="S654" s="1244"/>
      <c r="T654" s="1244"/>
      <c r="U654" s="1244"/>
      <c r="V654" s="1244"/>
      <c r="W654" s="1244"/>
      <c r="X654" s="1244"/>
      <c r="Y654" s="1244"/>
      <c r="Z654" s="1244"/>
    </row>
    <row r="655" spans="1:26" ht="19.5">
      <c r="A655" s="1259"/>
      <c r="B655" s="1243"/>
      <c r="C655" s="1243" t="s">
        <v>16</v>
      </c>
      <c r="D655" s="1507" t="s">
        <v>17</v>
      </c>
      <c r="E655" s="1485"/>
      <c r="F655" s="1485"/>
      <c r="G655" s="963"/>
      <c r="H655" s="563" t="s">
        <v>12</v>
      </c>
      <c r="I655" s="830"/>
      <c r="J655" s="830"/>
      <c r="K655" s="831"/>
      <c r="L655" s="967">
        <f t="shared" ref="L655:N655" ca="1" si="273">L656+L657</f>
        <v>14000</v>
      </c>
      <c r="M655" s="967">
        <f t="shared" si="273"/>
        <v>0</v>
      </c>
      <c r="N655" s="967">
        <f t="shared" si="273"/>
        <v>5780</v>
      </c>
      <c r="O655" s="967">
        <f t="shared" ref="O655:O660" ca="1" si="274">IF(L655&gt;0,N655*100/L655,0)</f>
        <v>41.285714285714285</v>
      </c>
      <c r="P655" s="967">
        <f t="shared" ref="P655:P660" si="275">IF(M655&gt;0,N655*100/M655,0)</f>
        <v>0</v>
      </c>
      <c r="Q655" s="1244"/>
      <c r="R655" s="1244"/>
      <c r="S655" s="1244"/>
      <c r="T655" s="1244"/>
      <c r="U655" s="1244"/>
      <c r="V655" s="1244"/>
      <c r="W655" s="1244"/>
      <c r="X655" s="1244"/>
      <c r="Y655" s="1244"/>
      <c r="Z655" s="1244"/>
    </row>
    <row r="656" spans="1:26" ht="18.75" hidden="1">
      <c r="A656" s="1260"/>
      <c r="B656" s="1261"/>
      <c r="C656" s="1261"/>
      <c r="D656" s="1262"/>
      <c r="E656" s="1261" t="s">
        <v>184</v>
      </c>
      <c r="F656" s="1261"/>
      <c r="G656" s="1263"/>
      <c r="H656" s="165" t="s">
        <v>12</v>
      </c>
      <c r="I656" s="836"/>
      <c r="J656" s="836"/>
      <c r="K656" s="837"/>
      <c r="L656" s="837">
        <f t="shared" ref="L656:N657" si="276">L659+L666</f>
        <v>0</v>
      </c>
      <c r="M656" s="837">
        <f t="shared" si="276"/>
        <v>0</v>
      </c>
      <c r="N656" s="837">
        <f t="shared" si="276"/>
        <v>0</v>
      </c>
      <c r="O656" s="837">
        <f t="shared" si="274"/>
        <v>0</v>
      </c>
      <c r="P656" s="837">
        <f t="shared" si="275"/>
        <v>0</v>
      </c>
      <c r="Q656" s="1264"/>
      <c r="R656" s="1264"/>
      <c r="S656" s="1264"/>
      <c r="T656" s="1264"/>
      <c r="U656" s="1264"/>
      <c r="V656" s="1264"/>
      <c r="W656" s="1264"/>
      <c r="X656" s="1264"/>
      <c r="Y656" s="1264"/>
      <c r="Z656" s="1264"/>
    </row>
    <row r="657" spans="1:26" ht="18.75" hidden="1">
      <c r="A657" s="1260"/>
      <c r="B657" s="1265"/>
      <c r="C657" s="1261"/>
      <c r="D657" s="1262"/>
      <c r="E657" s="1261" t="s">
        <v>185</v>
      </c>
      <c r="F657" s="1261"/>
      <c r="G657" s="1263"/>
      <c r="H657" s="165" t="s">
        <v>12</v>
      </c>
      <c r="I657" s="836"/>
      <c r="J657" s="836"/>
      <c r="K657" s="837"/>
      <c r="L657" s="837">
        <f t="shared" ca="1" si="276"/>
        <v>14000</v>
      </c>
      <c r="M657" s="837">
        <f t="shared" si="276"/>
        <v>0</v>
      </c>
      <c r="N657" s="837">
        <f t="shared" si="276"/>
        <v>5780</v>
      </c>
      <c r="O657" s="837">
        <f t="shared" ca="1" si="274"/>
        <v>41.285714285714285</v>
      </c>
      <c r="P657" s="837">
        <f t="shared" si="275"/>
        <v>0</v>
      </c>
      <c r="Q657" s="1264"/>
      <c r="R657" s="1264"/>
      <c r="S657" s="1264"/>
      <c r="T657" s="1264"/>
      <c r="U657" s="1264"/>
      <c r="V657" s="1264"/>
      <c r="W657" s="1264"/>
      <c r="X657" s="1264"/>
      <c r="Y657" s="1264"/>
      <c r="Z657" s="1264"/>
    </row>
    <row r="658" spans="1:26" ht="18.75">
      <c r="A658" s="1259"/>
      <c r="B658" s="1242"/>
      <c r="C658" s="1243"/>
      <c r="D658" s="1266" t="s">
        <v>20</v>
      </c>
      <c r="E658" s="1243"/>
      <c r="F658" s="1243"/>
      <c r="G658" s="963"/>
      <c r="H658" s="778" t="s">
        <v>12</v>
      </c>
      <c r="I658" s="944"/>
      <c r="J658" s="944"/>
      <c r="K658" s="945"/>
      <c r="L658" s="831">
        <f t="shared" ref="L658:N658" ca="1" si="277">L659+L660</f>
        <v>14000</v>
      </c>
      <c r="M658" s="831">
        <f t="shared" si="277"/>
        <v>0</v>
      </c>
      <c r="N658" s="831">
        <f t="shared" si="277"/>
        <v>5780</v>
      </c>
      <c r="O658" s="831">
        <f t="shared" ca="1" si="274"/>
        <v>41.285714285714285</v>
      </c>
      <c r="P658" s="831">
        <f t="shared" si="275"/>
        <v>0</v>
      </c>
      <c r="Q658" s="1244"/>
      <c r="R658" s="1244"/>
      <c r="S658" s="1244"/>
      <c r="T658" s="1244"/>
      <c r="U658" s="1244"/>
      <c r="V658" s="1244"/>
      <c r="W658" s="1244"/>
      <c r="X658" s="1244"/>
      <c r="Y658" s="1244"/>
      <c r="Z658" s="1244"/>
    </row>
    <row r="659" spans="1:26" ht="18.75" hidden="1">
      <c r="A659" s="1260"/>
      <c r="B659" s="1265"/>
      <c r="C659" s="1261"/>
      <c r="D659" s="1262"/>
      <c r="E659" s="1261" t="s">
        <v>184</v>
      </c>
      <c r="F659" s="1261"/>
      <c r="G659" s="1263"/>
      <c r="H659" s="165" t="s">
        <v>12</v>
      </c>
      <c r="I659" s="836"/>
      <c r="J659" s="836"/>
      <c r="K659" s="837"/>
      <c r="L659" s="837">
        <v>0</v>
      </c>
      <c r="M659" s="837">
        <v>0</v>
      </c>
      <c r="N659" s="837">
        <v>0</v>
      </c>
      <c r="O659" s="837">
        <f t="shared" si="274"/>
        <v>0</v>
      </c>
      <c r="P659" s="837">
        <f t="shared" si="275"/>
        <v>0</v>
      </c>
      <c r="Q659" s="1264"/>
      <c r="R659" s="1264"/>
      <c r="S659" s="1264"/>
      <c r="T659" s="1264"/>
      <c r="U659" s="1264"/>
      <c r="V659" s="1264"/>
      <c r="W659" s="1264"/>
      <c r="X659" s="1264"/>
      <c r="Y659" s="1264"/>
      <c r="Z659" s="1264"/>
    </row>
    <row r="660" spans="1:26" ht="18.75" hidden="1">
      <c r="A660" s="1260"/>
      <c r="B660" s="1265"/>
      <c r="C660" s="1261"/>
      <c r="D660" s="1262"/>
      <c r="E660" s="1261" t="s">
        <v>185</v>
      </c>
      <c r="F660" s="1261"/>
      <c r="G660" s="1263"/>
      <c r="H660" s="165" t="s">
        <v>12</v>
      </c>
      <c r="I660" s="836"/>
      <c r="J660" s="836"/>
      <c r="K660" s="837"/>
      <c r="L660" s="837">
        <f ca="1">IFERROR(__xludf.DUMMYFUNCTION("IMPORTRANGE(""https://docs.google.com/spreadsheets/d/1QqKyyYR6Q21VydFLVH3TRQUabQu_ym0Zz7PgGX0-kHA/edit?usp=sharing"",""แผน!HV26"")"),14000)</f>
        <v>14000</v>
      </c>
      <c r="M660" s="837">
        <v>0</v>
      </c>
      <c r="N660" s="837">
        <f>N661+N662+N663+N664</f>
        <v>5780</v>
      </c>
      <c r="O660" s="837">
        <f t="shared" ca="1" si="274"/>
        <v>41.285714285714285</v>
      </c>
      <c r="P660" s="837">
        <f t="shared" si="275"/>
        <v>0</v>
      </c>
      <c r="Q660" s="1264"/>
      <c r="R660" s="1264"/>
      <c r="S660" s="1264"/>
      <c r="T660" s="1264"/>
      <c r="U660" s="1264"/>
      <c r="V660" s="1264"/>
      <c r="W660" s="1264"/>
      <c r="X660" s="1264"/>
      <c r="Y660" s="1264"/>
      <c r="Z660" s="1264"/>
    </row>
    <row r="661" spans="1:26" ht="18.75">
      <c r="A661" s="1241"/>
      <c r="B661" s="1242"/>
      <c r="C661" s="1243"/>
      <c r="D661" s="1243"/>
      <c r="E661" s="1243"/>
      <c r="F661" s="1243" t="s">
        <v>186</v>
      </c>
      <c r="G661" s="963"/>
      <c r="H661" s="778" t="s">
        <v>12</v>
      </c>
      <c r="I661" s="830"/>
      <c r="J661" s="830"/>
      <c r="K661" s="831"/>
      <c r="L661" s="831"/>
      <c r="M661" s="831"/>
      <c r="N661" s="1031">
        <v>0</v>
      </c>
      <c r="O661" s="831"/>
      <c r="P661" s="831"/>
      <c r="Q661" s="1244"/>
      <c r="R661" s="1244"/>
      <c r="S661" s="1244"/>
      <c r="T661" s="1244"/>
      <c r="U661" s="1244"/>
      <c r="V661" s="1244"/>
      <c r="W661" s="1244"/>
      <c r="X661" s="1244"/>
      <c r="Y661" s="1244"/>
      <c r="Z661" s="1244"/>
    </row>
    <row r="662" spans="1:26" ht="18.75">
      <c r="A662" s="1241"/>
      <c r="B662" s="1242"/>
      <c r="C662" s="1243"/>
      <c r="D662" s="1243"/>
      <c r="E662" s="1243"/>
      <c r="F662" s="1243" t="s">
        <v>187</v>
      </c>
      <c r="G662" s="963"/>
      <c r="H662" s="778" t="s">
        <v>12</v>
      </c>
      <c r="I662" s="830"/>
      <c r="J662" s="830"/>
      <c r="K662" s="831"/>
      <c r="L662" s="831"/>
      <c r="M662" s="831"/>
      <c r="N662" s="1031">
        <v>0</v>
      </c>
      <c r="O662" s="831"/>
      <c r="P662" s="831"/>
      <c r="Q662" s="1244"/>
      <c r="R662" s="1244"/>
      <c r="S662" s="1244"/>
      <c r="T662" s="1244"/>
      <c r="U662" s="1244"/>
      <c r="V662" s="1244"/>
      <c r="W662" s="1244"/>
      <c r="X662" s="1244"/>
      <c r="Y662" s="1244"/>
      <c r="Z662" s="1244"/>
    </row>
    <row r="663" spans="1:26" ht="18.75">
      <c r="A663" s="1241"/>
      <c r="B663" s="1242"/>
      <c r="C663" s="1242"/>
      <c r="D663" s="1243"/>
      <c r="E663" s="1243"/>
      <c r="F663" s="1243" t="s">
        <v>188</v>
      </c>
      <c r="G663" s="963"/>
      <c r="H663" s="778" t="s">
        <v>12</v>
      </c>
      <c r="I663" s="830"/>
      <c r="J663" s="830"/>
      <c r="K663" s="831"/>
      <c r="L663" s="831"/>
      <c r="M663" s="831"/>
      <c r="N663" s="1031">
        <v>0</v>
      </c>
      <c r="O663" s="831"/>
      <c r="P663" s="831"/>
      <c r="Q663" s="1244"/>
      <c r="R663" s="1244"/>
      <c r="S663" s="1244"/>
      <c r="T663" s="1244"/>
      <c r="U663" s="1244"/>
      <c r="V663" s="1244"/>
      <c r="W663" s="1244"/>
      <c r="X663" s="1244"/>
      <c r="Y663" s="1244"/>
      <c r="Z663" s="1244"/>
    </row>
    <row r="664" spans="1:26" ht="18.75">
      <c r="A664" s="1241"/>
      <c r="B664" s="1242"/>
      <c r="C664" s="1242"/>
      <c r="D664" s="1242"/>
      <c r="E664" s="1243"/>
      <c r="F664" s="1243" t="s">
        <v>189</v>
      </c>
      <c r="G664" s="963"/>
      <c r="H664" s="778" t="s">
        <v>12</v>
      </c>
      <c r="I664" s="830"/>
      <c r="J664" s="830"/>
      <c r="K664" s="831"/>
      <c r="L664" s="831"/>
      <c r="M664" s="831"/>
      <c r="N664" s="1031">
        <v>5780</v>
      </c>
      <c r="O664" s="831"/>
      <c r="P664" s="831"/>
      <c r="Q664" s="1244"/>
      <c r="R664" s="1244"/>
      <c r="S664" s="1244"/>
      <c r="T664" s="1244"/>
      <c r="U664" s="1244"/>
      <c r="V664" s="1244"/>
      <c r="W664" s="1244"/>
      <c r="X664" s="1244"/>
      <c r="Y664" s="1244"/>
      <c r="Z664" s="1244"/>
    </row>
    <row r="665" spans="1:26" ht="18.75">
      <c r="A665" s="1259"/>
      <c r="B665" s="1242"/>
      <c r="C665" s="1242"/>
      <c r="D665" s="1266" t="s">
        <v>21</v>
      </c>
      <c r="E665" s="1243"/>
      <c r="F665" s="1243"/>
      <c r="G665" s="963"/>
      <c r="H665" s="168" t="s">
        <v>12</v>
      </c>
      <c r="I665" s="944"/>
      <c r="J665" s="944"/>
      <c r="K665" s="945"/>
      <c r="L665" s="831">
        <f t="shared" ref="L665:N665" si="278">L666+L667</f>
        <v>0</v>
      </c>
      <c r="M665" s="831">
        <f t="shared" si="278"/>
        <v>0</v>
      </c>
      <c r="N665" s="831">
        <f t="shared" si="278"/>
        <v>0</v>
      </c>
      <c r="O665" s="831">
        <f t="shared" ref="O665:O667" si="279">IF(L665&gt;0,N665*100/L665,0)</f>
        <v>0</v>
      </c>
      <c r="P665" s="831">
        <f t="shared" ref="P665:P667" si="280">IF(M665&gt;0,N665*100/M665,0)</f>
        <v>0</v>
      </c>
      <c r="Q665" s="1244"/>
      <c r="R665" s="1244"/>
      <c r="S665" s="1244"/>
      <c r="T665" s="1244"/>
      <c r="U665" s="1244"/>
      <c r="V665" s="1244"/>
      <c r="W665" s="1244"/>
      <c r="X665" s="1244"/>
      <c r="Y665" s="1244"/>
      <c r="Z665" s="1244"/>
    </row>
    <row r="666" spans="1:26" ht="18.75" hidden="1">
      <c r="A666" s="1260"/>
      <c r="B666" s="1265"/>
      <c r="C666" s="1265"/>
      <c r="D666" s="1265"/>
      <c r="E666" s="1261" t="s">
        <v>18</v>
      </c>
      <c r="F666" s="1261"/>
      <c r="G666" s="1263"/>
      <c r="H666" s="165" t="s">
        <v>12</v>
      </c>
      <c r="I666" s="947"/>
      <c r="J666" s="947"/>
      <c r="K666" s="948"/>
      <c r="L666" s="837">
        <v>0</v>
      </c>
      <c r="M666" s="837">
        <v>0</v>
      </c>
      <c r="N666" s="837">
        <v>0</v>
      </c>
      <c r="O666" s="837">
        <f t="shared" si="279"/>
        <v>0</v>
      </c>
      <c r="P666" s="837">
        <f t="shared" si="280"/>
        <v>0</v>
      </c>
      <c r="Q666" s="1264"/>
      <c r="R666" s="1264"/>
      <c r="S666" s="1264"/>
      <c r="T666" s="1264"/>
      <c r="U666" s="1264"/>
      <c r="V666" s="1264"/>
      <c r="W666" s="1264"/>
      <c r="X666" s="1264"/>
      <c r="Y666" s="1264"/>
      <c r="Z666" s="1264"/>
    </row>
    <row r="667" spans="1:26" ht="18.75" hidden="1">
      <c r="A667" s="1260"/>
      <c r="B667" s="1265"/>
      <c r="C667" s="1265"/>
      <c r="D667" s="1265"/>
      <c r="E667" s="1261" t="s">
        <v>19</v>
      </c>
      <c r="F667" s="1261"/>
      <c r="G667" s="1263"/>
      <c r="H667" s="169" t="s">
        <v>12</v>
      </c>
      <c r="I667" s="947"/>
      <c r="J667" s="947"/>
      <c r="K667" s="948"/>
      <c r="L667" s="837">
        <v>0</v>
      </c>
      <c r="M667" s="837">
        <v>0</v>
      </c>
      <c r="N667" s="837">
        <v>0</v>
      </c>
      <c r="O667" s="837">
        <f t="shared" si="279"/>
        <v>0</v>
      </c>
      <c r="P667" s="837">
        <f t="shared" si="280"/>
        <v>0</v>
      </c>
      <c r="Q667" s="1264"/>
      <c r="R667" s="1264"/>
      <c r="S667" s="1264"/>
      <c r="T667" s="1264"/>
      <c r="U667" s="1264"/>
      <c r="V667" s="1264"/>
      <c r="W667" s="1264"/>
      <c r="X667" s="1264"/>
      <c r="Y667" s="1264"/>
      <c r="Z667" s="1264"/>
    </row>
    <row r="668" spans="1:26" ht="19.5">
      <c r="A668" s="1267"/>
      <c r="B668" s="1268"/>
      <c r="C668" s="1242" t="s">
        <v>16</v>
      </c>
      <c r="D668" s="1269" t="s">
        <v>38</v>
      </c>
      <c r="E668" s="1271"/>
      <c r="F668" s="1271"/>
      <c r="G668" s="1272"/>
      <c r="H668" s="954"/>
      <c r="I668" s="944"/>
      <c r="J668" s="944"/>
      <c r="K668" s="945"/>
      <c r="L668" s="945"/>
      <c r="M668" s="945"/>
      <c r="N668" s="945"/>
      <c r="O668" s="945"/>
      <c r="P668" s="945"/>
      <c r="Q668" s="1244"/>
      <c r="R668" s="1244"/>
      <c r="S668" s="1244"/>
      <c r="T668" s="1244"/>
      <c r="U668" s="1244"/>
      <c r="V668" s="1244"/>
      <c r="W668" s="1244"/>
      <c r="X668" s="1244"/>
      <c r="Y668" s="1244"/>
      <c r="Z668" s="1244"/>
    </row>
    <row r="669" spans="1:26" ht="19.5">
      <c r="A669" s="1267"/>
      <c r="B669" s="1268"/>
      <c r="C669" s="1268"/>
      <c r="D669" s="1268" t="s">
        <v>280</v>
      </c>
      <c r="E669" s="961"/>
      <c r="F669" s="961"/>
      <c r="G669" s="954"/>
      <c r="H669" s="733" t="s">
        <v>46</v>
      </c>
      <c r="I669" s="966">
        <f ca="1">IFERROR(__xludf.DUMMYFUNCTION("IMPORTRANGE(""https://docs.google.com/spreadsheets/d/1QqKyyYR6Q21VydFLVH3TRQUabQu_ym0Zz7PgGX0-kHA/edit?usp=sharing"",""แผน!IA26"")"),100)</f>
        <v>100</v>
      </c>
      <c r="J669" s="966">
        <f>J675</f>
        <v>0</v>
      </c>
      <c r="K669" s="967">
        <f ca="1">IF(I669&gt;0,J669*100/I669,0)</f>
        <v>0</v>
      </c>
      <c r="L669" s="945"/>
      <c r="M669" s="945"/>
      <c r="N669" s="945"/>
      <c r="O669" s="945"/>
      <c r="P669" s="945"/>
      <c r="Q669" s="1244"/>
      <c r="R669" s="1244"/>
      <c r="S669" s="1244"/>
      <c r="T669" s="1244"/>
      <c r="U669" s="1244"/>
      <c r="V669" s="1244"/>
      <c r="W669" s="1244"/>
      <c r="X669" s="1244"/>
      <c r="Y669" s="1244"/>
      <c r="Z669" s="1244"/>
    </row>
    <row r="670" spans="1:26" ht="18.75">
      <c r="A670" s="1267"/>
      <c r="B670" s="1268"/>
      <c r="C670" s="1268"/>
      <c r="D670" s="1268"/>
      <c r="E670" s="961" t="s">
        <v>281</v>
      </c>
      <c r="F670" s="961"/>
      <c r="G670" s="954"/>
      <c r="H670" s="730" t="s">
        <v>66</v>
      </c>
      <c r="I670" s="830">
        <f ca="1">IFERROR(__xludf.DUMMYFUNCTION("IMPORTRANGE(""https://docs.google.com/spreadsheets/d/1QqKyyYR6Q21VydFLVH3TRQUabQu_ym0Zz7PgGX0-kHA/edit?usp=sharing"",""แผน!HZ26"")"),5)</f>
        <v>5</v>
      </c>
      <c r="J670" s="959">
        <v>5</v>
      </c>
      <c r="K670" s="831">
        <f ca="1">IF(I670&gt;0,(J670*100)/I670,0)</f>
        <v>100</v>
      </c>
      <c r="L670" s="945"/>
      <c r="M670" s="945"/>
      <c r="N670" s="945"/>
      <c r="O670" s="945"/>
      <c r="P670" s="945"/>
      <c r="Q670" s="1244"/>
      <c r="R670" s="1244"/>
      <c r="S670" s="1244"/>
      <c r="T670" s="1244"/>
      <c r="U670" s="1244"/>
      <c r="V670" s="1244"/>
      <c r="W670" s="1244"/>
      <c r="X670" s="1244"/>
      <c r="Y670" s="1244"/>
      <c r="Z670" s="1244"/>
    </row>
    <row r="671" spans="1:26" ht="18.75">
      <c r="A671" s="1267"/>
      <c r="B671" s="1268"/>
      <c r="C671" s="1268"/>
      <c r="D671" s="1268"/>
      <c r="E671" s="961" t="s">
        <v>282</v>
      </c>
      <c r="F671" s="961"/>
      <c r="G671" s="954"/>
      <c r="H671" s="730" t="s">
        <v>66</v>
      </c>
      <c r="I671" s="830">
        <f ca="1">IFERROR(__xludf.DUMMYFUNCTION("IMPORTRANGE(""https://docs.google.com/spreadsheets/d/1QqKyyYR6Q21VydFLVH3TRQUabQu_ym0Zz7PgGX0-kHA/edit?usp=sharing"",""แผน!HZ26"")"),5)</f>
        <v>5</v>
      </c>
      <c r="J671" s="959">
        <v>5</v>
      </c>
      <c r="K671" s="831">
        <f ca="1">IF(I$671&gt;0,J671*100/I$671,0)</f>
        <v>100</v>
      </c>
      <c r="L671" s="945"/>
      <c r="M671" s="945"/>
      <c r="N671" s="945"/>
      <c r="O671" s="945"/>
      <c r="P671" s="945"/>
      <c r="Q671" s="1244"/>
      <c r="R671" s="1244"/>
      <c r="S671" s="1244"/>
      <c r="T671" s="1244"/>
      <c r="U671" s="1244"/>
      <c r="V671" s="1244"/>
      <c r="W671" s="1244"/>
      <c r="X671" s="1244"/>
      <c r="Y671" s="1244"/>
      <c r="Z671" s="1244"/>
    </row>
    <row r="672" spans="1:26" ht="18.75">
      <c r="A672" s="1267"/>
      <c r="B672" s="1268"/>
      <c r="C672" s="1268"/>
      <c r="D672" s="1268"/>
      <c r="E672" s="961" t="s">
        <v>283</v>
      </c>
      <c r="F672" s="961"/>
      <c r="G672" s="954"/>
      <c r="H672" s="730" t="s">
        <v>46</v>
      </c>
      <c r="I672" s="830"/>
      <c r="J672" s="959">
        <v>0</v>
      </c>
      <c r="K672" s="831">
        <f t="shared" ref="K672:K675" ca="1" si="281">IF(I$669&gt;0,J672*100/I$669,0)</f>
        <v>0</v>
      </c>
      <c r="L672" s="945"/>
      <c r="M672" s="945"/>
      <c r="N672" s="945"/>
      <c r="O672" s="945"/>
      <c r="P672" s="945"/>
      <c r="Q672" s="1244"/>
      <c r="R672" s="1244"/>
      <c r="S672" s="1244"/>
      <c r="T672" s="1244"/>
      <c r="U672" s="1244"/>
      <c r="V672" s="1244"/>
      <c r="W672" s="1244"/>
      <c r="X672" s="1244"/>
      <c r="Y672" s="1244"/>
      <c r="Z672" s="1244"/>
    </row>
    <row r="673" spans="1:26" ht="18.75">
      <c r="A673" s="1267"/>
      <c r="B673" s="1268"/>
      <c r="C673" s="1268"/>
      <c r="D673" s="1268"/>
      <c r="E673" s="961" t="s">
        <v>284</v>
      </c>
      <c r="F673" s="961"/>
      <c r="G673" s="954"/>
      <c r="H673" s="730" t="s">
        <v>46</v>
      </c>
      <c r="I673" s="830"/>
      <c r="J673" s="959">
        <v>0</v>
      </c>
      <c r="K673" s="831">
        <f t="shared" ca="1" si="281"/>
        <v>0</v>
      </c>
      <c r="L673" s="945"/>
      <c r="M673" s="945"/>
      <c r="N673" s="945"/>
      <c r="O673" s="945"/>
      <c r="P673" s="945"/>
      <c r="Q673" s="1244"/>
      <c r="R673" s="1244"/>
      <c r="S673" s="1244"/>
      <c r="T673" s="1244"/>
      <c r="U673" s="1244"/>
      <c r="V673" s="1244"/>
      <c r="W673" s="1244"/>
      <c r="X673" s="1244"/>
      <c r="Y673" s="1244"/>
      <c r="Z673" s="1244"/>
    </row>
    <row r="674" spans="1:26" ht="18.75">
      <c r="A674" s="1267"/>
      <c r="B674" s="1268"/>
      <c r="C674" s="1268"/>
      <c r="D674" s="1268"/>
      <c r="E674" s="961" t="s">
        <v>285</v>
      </c>
      <c r="F674" s="961"/>
      <c r="G674" s="954"/>
      <c r="H674" s="730" t="s">
        <v>46</v>
      </c>
      <c r="I674" s="830"/>
      <c r="J674" s="959">
        <v>0</v>
      </c>
      <c r="K674" s="831">
        <f t="shared" ca="1" si="281"/>
        <v>0</v>
      </c>
      <c r="L674" s="945"/>
      <c r="M674" s="945"/>
      <c r="N674" s="945"/>
      <c r="O674" s="945"/>
      <c r="P674" s="945"/>
      <c r="Q674" s="1244"/>
      <c r="R674" s="1244"/>
      <c r="S674" s="1244"/>
      <c r="T674" s="1244"/>
      <c r="U674" s="1244"/>
      <c r="V674" s="1244"/>
      <c r="W674" s="1244"/>
      <c r="X674" s="1244"/>
      <c r="Y674" s="1244"/>
      <c r="Z674" s="1244"/>
    </row>
    <row r="675" spans="1:26" ht="19.5">
      <c r="A675" s="1267"/>
      <c r="B675" s="1268"/>
      <c r="C675" s="1268"/>
      <c r="D675" s="1268"/>
      <c r="E675" s="961" t="s">
        <v>286</v>
      </c>
      <c r="F675" s="961"/>
      <c r="G675" s="954"/>
      <c r="H675" s="730" t="s">
        <v>46</v>
      </c>
      <c r="I675" s="830"/>
      <c r="J675" s="966">
        <f>J676+J677</f>
        <v>0</v>
      </c>
      <c r="K675" s="967">
        <f t="shared" ca="1" si="281"/>
        <v>0</v>
      </c>
      <c r="L675" s="945"/>
      <c r="M675" s="945"/>
      <c r="N675" s="945"/>
      <c r="O675" s="945"/>
      <c r="P675" s="945"/>
      <c r="Q675" s="1244"/>
      <c r="R675" s="1244"/>
      <c r="S675" s="1244"/>
      <c r="T675" s="1244"/>
      <c r="U675" s="1244"/>
      <c r="V675" s="1244"/>
      <c r="W675" s="1244"/>
      <c r="X675" s="1244"/>
      <c r="Y675" s="1244"/>
      <c r="Z675" s="1244"/>
    </row>
    <row r="676" spans="1:26" ht="18.75">
      <c r="A676" s="1267"/>
      <c r="B676" s="1268"/>
      <c r="C676" s="1268"/>
      <c r="D676" s="1268"/>
      <c r="E676" s="961"/>
      <c r="F676" s="961" t="s">
        <v>287</v>
      </c>
      <c r="G676" s="954"/>
      <c r="H676" s="730" t="s">
        <v>46</v>
      </c>
      <c r="I676" s="830"/>
      <c r="J676" s="959">
        <v>0</v>
      </c>
      <c r="K676" s="831"/>
      <c r="L676" s="945"/>
      <c r="M676" s="945"/>
      <c r="N676" s="945"/>
      <c r="O676" s="945"/>
      <c r="P676" s="945"/>
      <c r="Q676" s="1244"/>
      <c r="R676" s="1244"/>
      <c r="S676" s="1244"/>
      <c r="T676" s="1244"/>
      <c r="U676" s="1244"/>
      <c r="V676" s="1244"/>
      <c r="W676" s="1244"/>
      <c r="X676" s="1244"/>
      <c r="Y676" s="1244"/>
      <c r="Z676" s="1244"/>
    </row>
    <row r="677" spans="1:26" ht="18.75">
      <c r="A677" s="1267"/>
      <c r="B677" s="1268"/>
      <c r="C677" s="1268"/>
      <c r="D677" s="1268"/>
      <c r="E677" s="961"/>
      <c r="F677" s="961" t="s">
        <v>288</v>
      </c>
      <c r="G677" s="954"/>
      <c r="H677" s="730" t="s">
        <v>46</v>
      </c>
      <c r="I677" s="830"/>
      <c r="J677" s="959">
        <v>0</v>
      </c>
      <c r="K677" s="831"/>
      <c r="L677" s="945"/>
      <c r="M677" s="945"/>
      <c r="N677" s="945"/>
      <c r="O677" s="945"/>
      <c r="P677" s="945"/>
      <c r="Q677" s="1244"/>
      <c r="R677" s="1244"/>
      <c r="S677" s="1244"/>
      <c r="T677" s="1244"/>
      <c r="U677" s="1244"/>
      <c r="V677" s="1244"/>
      <c r="W677" s="1244"/>
      <c r="X677" s="1244"/>
      <c r="Y677" s="1244"/>
      <c r="Z677" s="1244"/>
    </row>
    <row r="678" spans="1:26" ht="19.5">
      <c r="A678" s="1267"/>
      <c r="B678" s="1268"/>
      <c r="C678" s="1268"/>
      <c r="D678" s="1268" t="s">
        <v>289</v>
      </c>
      <c r="E678" s="961"/>
      <c r="F678" s="961"/>
      <c r="G678" s="954"/>
      <c r="H678" s="730" t="s">
        <v>46</v>
      </c>
      <c r="I678" s="966">
        <f ca="1">IFERROR(__xludf.DUMMYFUNCTION("IMPORTRANGE(""https://docs.google.com/spreadsheets/d/1QqKyyYR6Q21VydFLVH3TRQUabQu_ym0Zz7PgGX0-kHA/edit?usp=sharing"",""แผน!IB26"")"),0)</f>
        <v>0</v>
      </c>
      <c r="J678" s="966">
        <f>J679</f>
        <v>0</v>
      </c>
      <c r="K678" s="967">
        <f ca="1">IF(I678&gt;0,J678*100/I678,0)</f>
        <v>0</v>
      </c>
      <c r="L678" s="945"/>
      <c r="M678" s="945"/>
      <c r="N678" s="945"/>
      <c r="O678" s="945"/>
      <c r="P678" s="945"/>
      <c r="Q678" s="1244"/>
      <c r="R678" s="1244"/>
      <c r="S678" s="1244"/>
      <c r="T678" s="1244"/>
      <c r="U678" s="1244"/>
      <c r="V678" s="1244"/>
      <c r="W678" s="1244"/>
      <c r="X678" s="1244"/>
      <c r="Y678" s="1244"/>
      <c r="Z678" s="1244"/>
    </row>
    <row r="679" spans="1:26" ht="18.75">
      <c r="A679" s="1267"/>
      <c r="B679" s="1268"/>
      <c r="C679" s="1268"/>
      <c r="D679" s="1268"/>
      <c r="E679" s="961" t="s">
        <v>290</v>
      </c>
      <c r="F679" s="961"/>
      <c r="G679" s="954"/>
      <c r="H679" s="730" t="s">
        <v>46</v>
      </c>
      <c r="I679" s="830"/>
      <c r="J679" s="830">
        <f>J680+J681</f>
        <v>0</v>
      </c>
      <c r="K679" s="831"/>
      <c r="L679" s="945"/>
      <c r="M679" s="945"/>
      <c r="N679" s="945"/>
      <c r="O679" s="945"/>
      <c r="P679" s="945"/>
      <c r="Q679" s="1244"/>
      <c r="R679" s="1244"/>
      <c r="S679" s="1244"/>
      <c r="T679" s="1244"/>
      <c r="U679" s="1244"/>
      <c r="V679" s="1244"/>
      <c r="W679" s="1244"/>
      <c r="X679" s="1244"/>
      <c r="Y679" s="1244"/>
      <c r="Z679" s="1244"/>
    </row>
    <row r="680" spans="1:26" ht="18.75">
      <c r="A680" s="1267"/>
      <c r="B680" s="1268"/>
      <c r="C680" s="1268"/>
      <c r="D680" s="1268"/>
      <c r="E680" s="961"/>
      <c r="F680" s="961" t="s">
        <v>287</v>
      </c>
      <c r="G680" s="954"/>
      <c r="H680" s="730" t="s">
        <v>46</v>
      </c>
      <c r="I680" s="830"/>
      <c r="J680" s="959">
        <v>0</v>
      </c>
      <c r="K680" s="831"/>
      <c r="L680" s="945"/>
      <c r="M680" s="945"/>
      <c r="N680" s="945"/>
      <c r="O680" s="945"/>
      <c r="P680" s="945"/>
      <c r="Q680" s="1244"/>
      <c r="R680" s="1244"/>
      <c r="S680" s="1244"/>
      <c r="T680" s="1244"/>
      <c r="U680" s="1244"/>
      <c r="V680" s="1244"/>
      <c r="W680" s="1244"/>
      <c r="X680" s="1244"/>
      <c r="Y680" s="1244"/>
      <c r="Z680" s="1244"/>
    </row>
    <row r="681" spans="1:26" ht="18.75">
      <c r="A681" s="1267"/>
      <c r="B681" s="1268"/>
      <c r="C681" s="1268"/>
      <c r="D681" s="1268"/>
      <c r="E681" s="961"/>
      <c r="F681" s="961" t="s">
        <v>288</v>
      </c>
      <c r="G681" s="954"/>
      <c r="H681" s="730" t="s">
        <v>46</v>
      </c>
      <c r="I681" s="830"/>
      <c r="J681" s="959">
        <v>0</v>
      </c>
      <c r="K681" s="831"/>
      <c r="L681" s="945"/>
      <c r="M681" s="945"/>
      <c r="N681" s="945"/>
      <c r="O681" s="945"/>
      <c r="P681" s="945"/>
      <c r="Q681" s="1244"/>
      <c r="R681" s="1244"/>
      <c r="S681" s="1244"/>
      <c r="T681" s="1244"/>
      <c r="U681" s="1244"/>
      <c r="V681" s="1244"/>
      <c r="W681" s="1244"/>
      <c r="X681" s="1244"/>
      <c r="Y681" s="1244"/>
      <c r="Z681" s="1244"/>
    </row>
    <row r="682" spans="1:26" ht="18.75">
      <c r="A682" s="1267"/>
      <c r="B682" s="1268"/>
      <c r="C682" s="1268"/>
      <c r="D682" s="1268"/>
      <c r="E682" s="961" t="s">
        <v>291</v>
      </c>
      <c r="F682" s="961"/>
      <c r="G682" s="954"/>
      <c r="H682" s="730" t="s">
        <v>46</v>
      </c>
      <c r="I682" s="830"/>
      <c r="J682" s="959">
        <v>0</v>
      </c>
      <c r="K682" s="831"/>
      <c r="L682" s="945"/>
      <c r="M682" s="945"/>
      <c r="N682" s="945"/>
      <c r="O682" s="945"/>
      <c r="P682" s="945"/>
      <c r="Q682" s="1244"/>
      <c r="R682" s="1244"/>
      <c r="S682" s="1244"/>
      <c r="T682" s="1244"/>
      <c r="U682" s="1244"/>
      <c r="V682" s="1244"/>
      <c r="W682" s="1244"/>
      <c r="X682" s="1244"/>
      <c r="Y682" s="1244"/>
      <c r="Z682" s="1244"/>
    </row>
    <row r="683" spans="1:26" ht="18.75">
      <c r="A683" s="1267"/>
      <c r="B683" s="1268"/>
      <c r="C683" s="1268"/>
      <c r="D683" s="1268"/>
      <c r="E683" s="961"/>
      <c r="F683" s="961" t="s">
        <v>292</v>
      </c>
      <c r="G683" s="954"/>
      <c r="H683" s="730" t="s">
        <v>46</v>
      </c>
      <c r="I683" s="830"/>
      <c r="J683" s="959">
        <v>0</v>
      </c>
      <c r="K683" s="831"/>
      <c r="L683" s="945"/>
      <c r="M683" s="945"/>
      <c r="N683" s="945"/>
      <c r="O683" s="945"/>
      <c r="P683" s="945"/>
      <c r="Q683" s="1244"/>
      <c r="R683" s="1244"/>
      <c r="S683" s="1244"/>
      <c r="T683" s="1244"/>
      <c r="U683" s="1244"/>
      <c r="V683" s="1244"/>
      <c r="W683" s="1244"/>
      <c r="X683" s="1244"/>
      <c r="Y683" s="1244"/>
      <c r="Z683" s="1244"/>
    </row>
    <row r="684" spans="1:26" ht="19.5" hidden="1">
      <c r="A684" s="1373"/>
      <c r="B684" s="1374" t="s">
        <v>293</v>
      </c>
      <c r="C684" s="1373"/>
      <c r="D684" s="1373"/>
      <c r="E684" s="1373"/>
      <c r="F684" s="1373"/>
      <c r="G684" s="1375"/>
      <c r="H684" s="1375"/>
      <c r="I684" s="1376"/>
      <c r="J684" s="1376"/>
      <c r="K684" s="1377"/>
      <c r="L684" s="1377"/>
      <c r="M684" s="1377"/>
      <c r="N684" s="1377"/>
      <c r="O684" s="1377"/>
      <c r="P684" s="1377"/>
      <c r="Q684" s="1244"/>
      <c r="R684" s="1244"/>
      <c r="S684" s="1244"/>
      <c r="T684" s="1244"/>
      <c r="U684" s="1244"/>
      <c r="V684" s="1244"/>
      <c r="W684" s="1244"/>
      <c r="X684" s="1244"/>
      <c r="Y684" s="1244"/>
      <c r="Z684" s="1244"/>
    </row>
    <row r="685" spans="1:26" ht="19.5" hidden="1">
      <c r="A685" s="1259"/>
      <c r="B685" s="1243"/>
      <c r="C685" s="1243" t="s">
        <v>16</v>
      </c>
      <c r="D685" s="1507" t="s">
        <v>17</v>
      </c>
      <c r="E685" s="1485"/>
      <c r="F685" s="1485"/>
      <c r="G685" s="963"/>
      <c r="H685" s="563" t="s">
        <v>12</v>
      </c>
      <c r="I685" s="830"/>
      <c r="J685" s="830"/>
      <c r="K685" s="831"/>
      <c r="L685" s="967">
        <f t="shared" ref="L685:N685" ca="1" si="282">L686+L687</f>
        <v>0</v>
      </c>
      <c r="M685" s="967">
        <f t="shared" si="282"/>
        <v>0</v>
      </c>
      <c r="N685" s="967">
        <f t="shared" si="282"/>
        <v>0</v>
      </c>
      <c r="O685" s="967">
        <f t="shared" ref="O685:O688" ca="1" si="283">IF(L685&gt;0,N685*100/L685,0)</f>
        <v>0</v>
      </c>
      <c r="P685" s="967">
        <f t="shared" ref="P685:P688" si="284">IF(M685&gt;0,N685*100/M685,0)</f>
        <v>0</v>
      </c>
      <c r="Q685" s="1244"/>
      <c r="R685" s="1244"/>
      <c r="S685" s="1244"/>
      <c r="T685" s="1244"/>
      <c r="U685" s="1244"/>
      <c r="V685" s="1244"/>
      <c r="W685" s="1244"/>
      <c r="X685" s="1244"/>
      <c r="Y685" s="1244"/>
      <c r="Z685" s="1244"/>
    </row>
    <row r="686" spans="1:26" ht="18.75" hidden="1">
      <c r="A686" s="1260"/>
      <c r="B686" s="1261"/>
      <c r="C686" s="1261"/>
      <c r="D686" s="1262"/>
      <c r="E686" s="1261" t="s">
        <v>184</v>
      </c>
      <c r="F686" s="1261"/>
      <c r="G686" s="1263"/>
      <c r="H686" s="165" t="s">
        <v>12</v>
      </c>
      <c r="I686" s="836"/>
      <c r="J686" s="836"/>
      <c r="K686" s="837"/>
      <c r="L686" s="837">
        <f t="shared" ref="L686:N687" si="285">L689+L696</f>
        <v>0</v>
      </c>
      <c r="M686" s="837">
        <f t="shared" si="285"/>
        <v>0</v>
      </c>
      <c r="N686" s="837">
        <f t="shared" si="285"/>
        <v>0</v>
      </c>
      <c r="O686" s="837">
        <f t="shared" si="283"/>
        <v>0</v>
      </c>
      <c r="P686" s="837">
        <f t="shared" si="284"/>
        <v>0</v>
      </c>
      <c r="Q686" s="1264"/>
      <c r="R686" s="1264"/>
      <c r="S686" s="1264"/>
      <c r="T686" s="1264"/>
      <c r="U686" s="1264"/>
      <c r="V686" s="1264"/>
      <c r="W686" s="1264"/>
      <c r="X686" s="1264"/>
      <c r="Y686" s="1264"/>
      <c r="Z686" s="1264"/>
    </row>
    <row r="687" spans="1:26" ht="18.75" hidden="1">
      <c r="A687" s="1260"/>
      <c r="B687" s="1265"/>
      <c r="C687" s="1261"/>
      <c r="D687" s="1262"/>
      <c r="E687" s="1261" t="s">
        <v>185</v>
      </c>
      <c r="F687" s="1261"/>
      <c r="G687" s="1263"/>
      <c r="H687" s="165" t="s">
        <v>12</v>
      </c>
      <c r="I687" s="836"/>
      <c r="J687" s="836"/>
      <c r="K687" s="837"/>
      <c r="L687" s="837">
        <f t="shared" ca="1" si="285"/>
        <v>0</v>
      </c>
      <c r="M687" s="837">
        <f t="shared" si="285"/>
        <v>0</v>
      </c>
      <c r="N687" s="837">
        <f t="shared" si="285"/>
        <v>0</v>
      </c>
      <c r="O687" s="837">
        <f t="shared" ca="1" si="283"/>
        <v>0</v>
      </c>
      <c r="P687" s="837">
        <f t="shared" si="284"/>
        <v>0</v>
      </c>
      <c r="Q687" s="1264"/>
      <c r="R687" s="1264"/>
      <c r="S687" s="1264"/>
      <c r="T687" s="1264"/>
      <c r="U687" s="1264"/>
      <c r="V687" s="1264"/>
      <c r="W687" s="1264"/>
      <c r="X687" s="1264"/>
      <c r="Y687" s="1264"/>
      <c r="Z687" s="1264"/>
    </row>
    <row r="688" spans="1:26" ht="18.75" hidden="1">
      <c r="A688" s="1259"/>
      <c r="B688" s="1242"/>
      <c r="C688" s="1243"/>
      <c r="D688" s="1266" t="s">
        <v>20</v>
      </c>
      <c r="E688" s="1243"/>
      <c r="F688" s="1243"/>
      <c r="G688" s="963"/>
      <c r="H688" s="778" t="s">
        <v>12</v>
      </c>
      <c r="I688" s="944"/>
      <c r="J688" s="944"/>
      <c r="K688" s="945"/>
      <c r="L688" s="831">
        <f t="shared" ref="L688:N688" ca="1" si="286">L689+L690</f>
        <v>0</v>
      </c>
      <c r="M688" s="831">
        <f t="shared" si="286"/>
        <v>0</v>
      </c>
      <c r="N688" s="831">
        <f t="shared" si="286"/>
        <v>0</v>
      </c>
      <c r="O688" s="831">
        <f t="shared" ca="1" si="283"/>
        <v>0</v>
      </c>
      <c r="P688" s="831">
        <f t="shared" si="284"/>
        <v>0</v>
      </c>
      <c r="Q688" s="1244"/>
      <c r="R688" s="1244"/>
      <c r="S688" s="1244"/>
      <c r="T688" s="1244"/>
      <c r="U688" s="1244"/>
      <c r="V688" s="1244"/>
      <c r="W688" s="1244"/>
      <c r="X688" s="1244"/>
      <c r="Y688" s="1244"/>
      <c r="Z688" s="1244"/>
    </row>
    <row r="689" spans="1:26" ht="18.75" hidden="1">
      <c r="A689" s="1260"/>
      <c r="B689" s="1265"/>
      <c r="C689" s="1261"/>
      <c r="D689" s="1262"/>
      <c r="E689" s="1261" t="s">
        <v>184</v>
      </c>
      <c r="F689" s="1261"/>
      <c r="G689" s="1263"/>
      <c r="H689" s="165" t="s">
        <v>12</v>
      </c>
      <c r="I689" s="836"/>
      <c r="J689" s="836"/>
      <c r="K689" s="837"/>
      <c r="L689" s="837">
        <v>0</v>
      </c>
      <c r="M689" s="837">
        <v>0</v>
      </c>
      <c r="N689" s="837">
        <v>0</v>
      </c>
      <c r="O689" s="837"/>
      <c r="P689" s="837"/>
      <c r="Q689" s="1264"/>
      <c r="R689" s="1264"/>
      <c r="S689" s="1264"/>
      <c r="T689" s="1264"/>
      <c r="U689" s="1264"/>
      <c r="V689" s="1264"/>
      <c r="W689" s="1264"/>
      <c r="X689" s="1264"/>
      <c r="Y689" s="1264"/>
      <c r="Z689" s="1264"/>
    </row>
    <row r="690" spans="1:26" ht="18.75" hidden="1">
      <c r="A690" s="1260"/>
      <c r="B690" s="1265"/>
      <c r="C690" s="1261"/>
      <c r="D690" s="1262"/>
      <c r="E690" s="1261" t="s">
        <v>185</v>
      </c>
      <c r="F690" s="1261"/>
      <c r="G690" s="1263"/>
      <c r="H690" s="165" t="s">
        <v>12</v>
      </c>
      <c r="I690" s="836"/>
      <c r="J690" s="836"/>
      <c r="K690" s="837"/>
      <c r="L690" s="837">
        <f ca="1">IFERROR(__xludf.DUMMYFUNCTION("IMPORTRANGE(""https://docs.google.com/spreadsheets/d/1QqKyyYR6Q21VydFLVH3TRQUabQu_ym0Zz7PgGX0-kHA/edit?usp=sharing"",""แผน!HW26"")"),0)</f>
        <v>0</v>
      </c>
      <c r="M690" s="837">
        <v>0</v>
      </c>
      <c r="N690" s="837">
        <f>N691+N692+N693+N694</f>
        <v>0</v>
      </c>
      <c r="O690" s="837">
        <f ca="1">IF(L690&gt;0,N690*100/L690,0)</f>
        <v>0</v>
      </c>
      <c r="P690" s="837">
        <f>IF(M690&gt;0,N690*100/M690,0)</f>
        <v>0</v>
      </c>
      <c r="Q690" s="1264"/>
      <c r="R690" s="1264"/>
      <c r="S690" s="1264"/>
      <c r="T690" s="1264"/>
      <c r="U690" s="1264"/>
      <c r="V690" s="1264"/>
      <c r="W690" s="1264"/>
      <c r="X690" s="1264"/>
      <c r="Y690" s="1264"/>
      <c r="Z690" s="1264"/>
    </row>
    <row r="691" spans="1:26" ht="18.75" hidden="1">
      <c r="A691" s="1241"/>
      <c r="B691" s="1242"/>
      <c r="C691" s="1243"/>
      <c r="D691" s="1243"/>
      <c r="E691" s="1243"/>
      <c r="F691" s="1243" t="s">
        <v>186</v>
      </c>
      <c r="G691" s="963"/>
      <c r="H691" s="778" t="s">
        <v>12</v>
      </c>
      <c r="I691" s="830"/>
      <c r="J691" s="830"/>
      <c r="K691" s="831"/>
      <c r="L691" s="831"/>
      <c r="M691" s="831"/>
      <c r="N691" s="1031">
        <v>0</v>
      </c>
      <c r="O691" s="831"/>
      <c r="P691" s="831"/>
      <c r="Q691" s="1244"/>
      <c r="R691" s="1244"/>
      <c r="S691" s="1244"/>
      <c r="T691" s="1244"/>
      <c r="U691" s="1244"/>
      <c r="V691" s="1244"/>
      <c r="W691" s="1244"/>
      <c r="X691" s="1244"/>
      <c r="Y691" s="1244"/>
      <c r="Z691" s="1244"/>
    </row>
    <row r="692" spans="1:26" ht="18.75" hidden="1">
      <c r="A692" s="1241"/>
      <c r="B692" s="1242"/>
      <c r="C692" s="1243"/>
      <c r="D692" s="1243"/>
      <c r="E692" s="1243"/>
      <c r="F692" s="1243" t="s">
        <v>187</v>
      </c>
      <c r="G692" s="963"/>
      <c r="H692" s="778" t="s">
        <v>12</v>
      </c>
      <c r="I692" s="830"/>
      <c r="J692" s="830"/>
      <c r="K692" s="831"/>
      <c r="L692" s="831"/>
      <c r="M692" s="831"/>
      <c r="N692" s="1031">
        <v>0</v>
      </c>
      <c r="O692" s="831"/>
      <c r="P692" s="831"/>
      <c r="Q692" s="1244"/>
      <c r="R692" s="1244"/>
      <c r="S692" s="1244"/>
      <c r="T692" s="1244"/>
      <c r="U692" s="1244"/>
      <c r="V692" s="1244"/>
      <c r="W692" s="1244"/>
      <c r="X692" s="1244"/>
      <c r="Y692" s="1244"/>
      <c r="Z692" s="1244"/>
    </row>
    <row r="693" spans="1:26" ht="18.75" hidden="1">
      <c r="A693" s="1241"/>
      <c r="B693" s="1242"/>
      <c r="C693" s="1243"/>
      <c r="D693" s="1243"/>
      <c r="E693" s="1243"/>
      <c r="F693" s="1243" t="s">
        <v>188</v>
      </c>
      <c r="G693" s="963"/>
      <c r="H693" s="778" t="s">
        <v>12</v>
      </c>
      <c r="I693" s="830"/>
      <c r="J693" s="830"/>
      <c r="K693" s="831"/>
      <c r="L693" s="831"/>
      <c r="M693" s="831"/>
      <c r="N693" s="1031">
        <v>0</v>
      </c>
      <c r="O693" s="831"/>
      <c r="P693" s="831"/>
      <c r="Q693" s="1244"/>
      <c r="R693" s="1244"/>
      <c r="S693" s="1244"/>
      <c r="T693" s="1244"/>
      <c r="U693" s="1244"/>
      <c r="V693" s="1244"/>
      <c r="W693" s="1244"/>
      <c r="X693" s="1244"/>
      <c r="Y693" s="1244"/>
      <c r="Z693" s="1244"/>
    </row>
    <row r="694" spans="1:26" ht="18.75" hidden="1">
      <c r="A694" s="1241"/>
      <c r="B694" s="1242"/>
      <c r="C694" s="1243"/>
      <c r="D694" s="1243"/>
      <c r="E694" s="1243"/>
      <c r="F694" s="1243" t="s">
        <v>189</v>
      </c>
      <c r="G694" s="963"/>
      <c r="H694" s="778" t="s">
        <v>12</v>
      </c>
      <c r="I694" s="830"/>
      <c r="J694" s="830"/>
      <c r="K694" s="831"/>
      <c r="L694" s="831"/>
      <c r="M694" s="831"/>
      <c r="N694" s="1031">
        <v>0</v>
      </c>
      <c r="O694" s="831"/>
      <c r="P694" s="831"/>
      <c r="Q694" s="1244"/>
      <c r="R694" s="1244"/>
      <c r="S694" s="1244"/>
      <c r="T694" s="1244"/>
      <c r="U694" s="1244"/>
      <c r="V694" s="1244"/>
      <c r="W694" s="1244"/>
      <c r="X694" s="1244"/>
      <c r="Y694" s="1244"/>
      <c r="Z694" s="1244"/>
    </row>
    <row r="695" spans="1:26" ht="18.75" hidden="1">
      <c r="A695" s="1259"/>
      <c r="B695" s="1242"/>
      <c r="C695" s="1243"/>
      <c r="D695" s="1266" t="s">
        <v>21</v>
      </c>
      <c r="E695" s="1243"/>
      <c r="F695" s="1243"/>
      <c r="G695" s="963"/>
      <c r="H695" s="168" t="s">
        <v>12</v>
      </c>
      <c r="I695" s="944"/>
      <c r="J695" s="944"/>
      <c r="K695" s="945"/>
      <c r="L695" s="831">
        <f t="shared" ref="L695:N695" si="287">L696+L697</f>
        <v>0</v>
      </c>
      <c r="M695" s="831">
        <f t="shared" si="287"/>
        <v>0</v>
      </c>
      <c r="N695" s="831">
        <f t="shared" si="287"/>
        <v>0</v>
      </c>
      <c r="O695" s="831">
        <f t="shared" ref="O695:O697" si="288">IF(L695&gt;0,N695*100/L695,0)</f>
        <v>0</v>
      </c>
      <c r="P695" s="831">
        <f t="shared" ref="P695:P697" si="289">IF(M695&gt;0,N695*100/M695,0)</f>
        <v>0</v>
      </c>
      <c r="Q695" s="1244"/>
      <c r="R695" s="1244"/>
      <c r="S695" s="1244"/>
      <c r="T695" s="1244"/>
      <c r="U695" s="1244"/>
      <c r="V695" s="1244"/>
      <c r="W695" s="1244"/>
      <c r="X695" s="1244"/>
      <c r="Y695" s="1244"/>
      <c r="Z695" s="1244"/>
    </row>
    <row r="696" spans="1:26" ht="18.75" hidden="1">
      <c r="A696" s="1260"/>
      <c r="B696" s="1265"/>
      <c r="C696" s="1261"/>
      <c r="D696" s="1261"/>
      <c r="E696" s="1261" t="s">
        <v>18</v>
      </c>
      <c r="F696" s="1261"/>
      <c r="G696" s="1263"/>
      <c r="H696" s="165" t="s">
        <v>12</v>
      </c>
      <c r="I696" s="947"/>
      <c r="J696" s="947"/>
      <c r="K696" s="948"/>
      <c r="L696" s="837">
        <v>0</v>
      </c>
      <c r="M696" s="837">
        <v>0</v>
      </c>
      <c r="N696" s="837">
        <v>0</v>
      </c>
      <c r="O696" s="837">
        <f t="shared" si="288"/>
        <v>0</v>
      </c>
      <c r="P696" s="837">
        <f t="shared" si="289"/>
        <v>0</v>
      </c>
      <c r="Q696" s="1264"/>
      <c r="R696" s="1264"/>
      <c r="S696" s="1264"/>
      <c r="T696" s="1264"/>
      <c r="U696" s="1264"/>
      <c r="V696" s="1264"/>
      <c r="W696" s="1264"/>
      <c r="X696" s="1264"/>
      <c r="Y696" s="1264"/>
      <c r="Z696" s="1264"/>
    </row>
    <row r="697" spans="1:26" ht="18.75" hidden="1">
      <c r="A697" s="1260"/>
      <c r="B697" s="1265"/>
      <c r="C697" s="1261"/>
      <c r="D697" s="1261"/>
      <c r="E697" s="1261" t="s">
        <v>19</v>
      </c>
      <c r="F697" s="1261"/>
      <c r="G697" s="1263"/>
      <c r="H697" s="169" t="s">
        <v>12</v>
      </c>
      <c r="I697" s="947"/>
      <c r="J697" s="947"/>
      <c r="K697" s="948"/>
      <c r="L697" s="837">
        <v>0</v>
      </c>
      <c r="M697" s="837">
        <v>0</v>
      </c>
      <c r="N697" s="837">
        <v>0</v>
      </c>
      <c r="O697" s="837">
        <f t="shared" si="288"/>
        <v>0</v>
      </c>
      <c r="P697" s="837">
        <f t="shared" si="289"/>
        <v>0</v>
      </c>
      <c r="Q697" s="1264"/>
      <c r="R697" s="1264"/>
      <c r="S697" s="1264"/>
      <c r="T697" s="1264"/>
      <c r="U697" s="1264"/>
      <c r="V697" s="1264"/>
      <c r="W697" s="1264"/>
      <c r="X697" s="1264"/>
      <c r="Y697" s="1264"/>
      <c r="Z697" s="1264"/>
    </row>
    <row r="698" spans="1:26" ht="19.5" hidden="1">
      <c r="A698" s="1267"/>
      <c r="B698" s="1268"/>
      <c r="C698" s="1243" t="s">
        <v>16</v>
      </c>
      <c r="D698" s="1378" t="s">
        <v>38</v>
      </c>
      <c r="E698" s="1271"/>
      <c r="F698" s="1271"/>
      <c r="G698" s="1272"/>
      <c r="H698" s="954"/>
      <c r="I698" s="944"/>
      <c r="J698" s="944"/>
      <c r="K698" s="945"/>
      <c r="L698" s="945"/>
      <c r="M698" s="945"/>
      <c r="N698" s="945"/>
      <c r="O698" s="945"/>
      <c r="P698" s="945"/>
      <c r="Q698" s="1244"/>
      <c r="R698" s="1244"/>
      <c r="S698" s="1244"/>
      <c r="T698" s="1244"/>
      <c r="U698" s="1244"/>
      <c r="V698" s="1244"/>
      <c r="W698" s="1244"/>
      <c r="X698" s="1244"/>
      <c r="Y698" s="1244"/>
      <c r="Z698" s="1244"/>
    </row>
    <row r="699" spans="1:26" ht="18.75" hidden="1">
      <c r="A699" s="1368"/>
      <c r="B699" s="1243"/>
      <c r="C699" s="1243"/>
      <c r="D699" s="1243" t="s">
        <v>294</v>
      </c>
      <c r="E699" s="1243"/>
      <c r="F699" s="1243"/>
      <c r="G699" s="963"/>
      <c r="H699" s="730" t="s">
        <v>46</v>
      </c>
      <c r="I699" s="1379">
        <f ca="1">IFERROR(__xludf.DUMMYFUNCTION("IMPORTRANGE(""https://docs.google.com/spreadsheets/d/1QqKyyYR6Q21VydFLVH3TRQUabQu_ym0Zz7PgGX0-kHA/edit?usp=sharing"",""แผน!IC26"")"),0)</f>
        <v>0</v>
      </c>
      <c r="J699" s="830">
        <f ca="1">IFERROR(__xludf.DUMMYFUNCTION("IMPORTRANGE(""https://docs.google.com/spreadsheets/d/1XWAQStnk-4SwqDmLtmXYiTMKHgktTP8We1SCoS47DrQ/edit?usp=sharing"",""จัดที่ดิน!BB26"")"),0)</f>
        <v>0</v>
      </c>
      <c r="K699" s="831">
        <f t="shared" ref="K699:K701" ca="1" si="290">IF(I699&gt;0,J699*100/I699,0)</f>
        <v>0</v>
      </c>
      <c r="L699" s="831"/>
      <c r="M699" s="963"/>
      <c r="N699" s="1380"/>
      <c r="O699" s="831"/>
      <c r="P699" s="831"/>
      <c r="Q699" s="1244"/>
      <c r="R699" s="1244"/>
      <c r="S699" s="1244"/>
      <c r="T699" s="1244"/>
      <c r="U699" s="1244"/>
      <c r="V699" s="1244"/>
      <c r="W699" s="1244"/>
      <c r="X699" s="1244"/>
      <c r="Y699" s="1244"/>
      <c r="Z699" s="1244"/>
    </row>
    <row r="700" spans="1:26" ht="18.75" hidden="1">
      <c r="A700" s="1368"/>
      <c r="B700" s="1243"/>
      <c r="C700" s="1243"/>
      <c r="D700" s="1243" t="s">
        <v>295</v>
      </c>
      <c r="E700" s="1243"/>
      <c r="F700" s="1243"/>
      <c r="G700" s="963"/>
      <c r="H700" s="730" t="s">
        <v>35</v>
      </c>
      <c r="I700" s="1379">
        <f ca="1">IFERROR(__xludf.DUMMYFUNCTION("IMPORTRANGE(""https://docs.google.com/spreadsheets/d/1QqKyyYR6Q21VydFLVH3TRQUabQu_ym0Zz7PgGX0-kHA/edit?usp=sharing"",""แผน!ID26"")"),0)</f>
        <v>0</v>
      </c>
      <c r="J700" s="830">
        <f ca="1">IFERROR(__xludf.DUMMYFUNCTION("IMPORTRANGE(""https://docs.google.com/spreadsheets/d/1XWAQStnk-4SwqDmLtmXYiTMKHgktTP8We1SCoS47DrQ/edit?usp=sharing"",""จัดที่ดิน!BD26"")"),0)</f>
        <v>0</v>
      </c>
      <c r="K700" s="831">
        <f t="shared" ca="1" si="290"/>
        <v>0</v>
      </c>
      <c r="L700" s="831"/>
      <c r="M700" s="963"/>
      <c r="N700" s="1380"/>
      <c r="O700" s="831"/>
      <c r="P700" s="831"/>
      <c r="Q700" s="1244"/>
      <c r="R700" s="1244"/>
      <c r="S700" s="1244"/>
      <c r="T700" s="1244"/>
      <c r="U700" s="1244"/>
      <c r="V700" s="1244"/>
      <c r="W700" s="1244"/>
      <c r="X700" s="1244"/>
      <c r="Y700" s="1244"/>
      <c r="Z700" s="1244"/>
    </row>
    <row r="701" spans="1:26" ht="19.5" hidden="1">
      <c r="A701" s="1368"/>
      <c r="B701" s="1243"/>
      <c r="C701" s="1243"/>
      <c r="D701" s="1243" t="s">
        <v>296</v>
      </c>
      <c r="E701" s="1243"/>
      <c r="F701" s="1243"/>
      <c r="G701" s="963"/>
      <c r="H701" s="733" t="s">
        <v>46</v>
      </c>
      <c r="I701" s="1381">
        <f ca="1">IFERROR(__xludf.DUMMYFUNCTION("IMPORTRANGE(""https://docs.google.com/spreadsheets/d/1QqKyyYR6Q21VydFLVH3TRQUabQu_ym0Zz7PgGX0-kHA/edit?usp=sharing"",""แผน!IE26"")"),0)</f>
        <v>0</v>
      </c>
      <c r="J701" s="966">
        <f>J704+J707</f>
        <v>0</v>
      </c>
      <c r="K701" s="967">
        <f t="shared" ca="1" si="290"/>
        <v>0</v>
      </c>
      <c r="L701" s="831"/>
      <c r="M701" s="963"/>
      <c r="N701" s="1380"/>
      <c r="O701" s="831"/>
      <c r="P701" s="831"/>
      <c r="Q701" s="1244"/>
      <c r="R701" s="1244"/>
      <c r="S701" s="1244"/>
      <c r="T701" s="1244"/>
      <c r="U701" s="1244"/>
      <c r="V701" s="1244"/>
      <c r="W701" s="1244"/>
      <c r="X701" s="1244"/>
      <c r="Y701" s="1244"/>
      <c r="Z701" s="1244"/>
    </row>
    <row r="702" spans="1:26" ht="18.75" hidden="1">
      <c r="A702" s="1368"/>
      <c r="B702" s="1243"/>
      <c r="C702" s="1243"/>
      <c r="D702" s="1243"/>
      <c r="E702" s="1243" t="s">
        <v>297</v>
      </c>
      <c r="F702" s="1243"/>
      <c r="G702" s="963"/>
      <c r="H702" s="730" t="s">
        <v>35</v>
      </c>
      <c r="I702" s="1379"/>
      <c r="J702" s="959">
        <v>0</v>
      </c>
      <c r="K702" s="831"/>
      <c r="L702" s="831"/>
      <c r="M702" s="963"/>
      <c r="N702" s="1380"/>
      <c r="O702" s="831"/>
      <c r="P702" s="831"/>
      <c r="Q702" s="1244"/>
      <c r="R702" s="1244"/>
      <c r="S702" s="1244"/>
      <c r="T702" s="1244"/>
      <c r="U702" s="1244"/>
      <c r="V702" s="1244"/>
      <c r="W702" s="1244"/>
      <c r="X702" s="1244"/>
      <c r="Y702" s="1244"/>
      <c r="Z702" s="1244"/>
    </row>
    <row r="703" spans="1:26" ht="18.75" hidden="1">
      <c r="A703" s="1368"/>
      <c r="B703" s="1243"/>
      <c r="C703" s="1243"/>
      <c r="D703" s="1243"/>
      <c r="E703" s="1243"/>
      <c r="F703" s="1243"/>
      <c r="G703" s="963"/>
      <c r="H703" s="730" t="s">
        <v>34</v>
      </c>
      <c r="I703" s="1379"/>
      <c r="J703" s="959">
        <v>0</v>
      </c>
      <c r="K703" s="831"/>
      <c r="L703" s="831"/>
      <c r="M703" s="963"/>
      <c r="N703" s="1380"/>
      <c r="O703" s="831"/>
      <c r="P703" s="831"/>
      <c r="Q703" s="1244"/>
      <c r="R703" s="1244"/>
      <c r="S703" s="1244"/>
      <c r="T703" s="1244"/>
      <c r="U703" s="1244"/>
      <c r="V703" s="1244"/>
      <c r="W703" s="1244"/>
      <c r="X703" s="1244"/>
      <c r="Y703" s="1244"/>
      <c r="Z703" s="1244"/>
    </row>
    <row r="704" spans="1:26" ht="18.75" hidden="1">
      <c r="A704" s="1368"/>
      <c r="B704" s="1243"/>
      <c r="C704" s="1243"/>
      <c r="D704" s="1243"/>
      <c r="E704" s="1243"/>
      <c r="F704" s="1243"/>
      <c r="G704" s="963"/>
      <c r="H704" s="730" t="s">
        <v>46</v>
      </c>
      <c r="I704" s="1379">
        <f ca="1">IFERROR(__xludf.DUMMYFUNCTION("IMPORTRANGE(""https://docs.google.com/spreadsheets/d/1QqKyyYR6Q21VydFLVH3TRQUabQu_ym0Zz7PgGX0-kHA/edit?usp=sharing"",""แผน!IF26"")"),0)</f>
        <v>0</v>
      </c>
      <c r="J704" s="959">
        <v>0</v>
      </c>
      <c r="K704" s="831"/>
      <c r="L704" s="831"/>
      <c r="M704" s="963"/>
      <c r="N704" s="1380"/>
      <c r="O704" s="831"/>
      <c r="P704" s="831"/>
      <c r="Q704" s="1244"/>
      <c r="R704" s="1244"/>
      <c r="S704" s="1244"/>
      <c r="T704" s="1244"/>
      <c r="U704" s="1244"/>
      <c r="V704" s="1244"/>
      <c r="W704" s="1244"/>
      <c r="X704" s="1244"/>
      <c r="Y704" s="1244"/>
      <c r="Z704" s="1244"/>
    </row>
    <row r="705" spans="1:26" ht="18.75" hidden="1">
      <c r="A705" s="1368"/>
      <c r="B705" s="1243"/>
      <c r="C705" s="1243"/>
      <c r="D705" s="1243"/>
      <c r="E705" s="1243" t="s">
        <v>298</v>
      </c>
      <c r="F705" s="1243"/>
      <c r="G705" s="963"/>
      <c r="H705" s="730" t="s">
        <v>35</v>
      </c>
      <c r="I705" s="1379"/>
      <c r="J705" s="959">
        <v>0</v>
      </c>
      <c r="K705" s="831"/>
      <c r="L705" s="831"/>
      <c r="M705" s="963"/>
      <c r="N705" s="1380"/>
      <c r="O705" s="831"/>
      <c r="P705" s="831"/>
      <c r="Q705" s="1244"/>
      <c r="R705" s="1244"/>
      <c r="S705" s="1244"/>
      <c r="T705" s="1244"/>
      <c r="U705" s="1244"/>
      <c r="V705" s="1244"/>
      <c r="W705" s="1244"/>
      <c r="X705" s="1244"/>
      <c r="Y705" s="1244"/>
      <c r="Z705" s="1244"/>
    </row>
    <row r="706" spans="1:26" ht="18.75" hidden="1">
      <c r="A706" s="1368"/>
      <c r="B706" s="1243"/>
      <c r="C706" s="1243"/>
      <c r="D706" s="1243"/>
      <c r="E706" s="1243"/>
      <c r="F706" s="1243"/>
      <c r="G706" s="963"/>
      <c r="H706" s="730" t="s">
        <v>34</v>
      </c>
      <c r="I706" s="1379"/>
      <c r="J706" s="959">
        <v>0</v>
      </c>
      <c r="K706" s="831"/>
      <c r="L706" s="831"/>
      <c r="M706" s="963"/>
      <c r="N706" s="1380"/>
      <c r="O706" s="831"/>
      <c r="P706" s="831"/>
      <c r="Q706" s="1244"/>
      <c r="R706" s="1244"/>
      <c r="S706" s="1244"/>
      <c r="T706" s="1244"/>
      <c r="U706" s="1244"/>
      <c r="V706" s="1244"/>
      <c r="W706" s="1244"/>
      <c r="X706" s="1244"/>
      <c r="Y706" s="1244"/>
      <c r="Z706" s="1244"/>
    </row>
    <row r="707" spans="1:26" ht="18.75" hidden="1">
      <c r="A707" s="1368"/>
      <c r="B707" s="1243"/>
      <c r="C707" s="1243"/>
      <c r="D707" s="1243"/>
      <c r="E707" s="1243"/>
      <c r="F707" s="1243"/>
      <c r="G707" s="963"/>
      <c r="H707" s="730" t="s">
        <v>46</v>
      </c>
      <c r="I707" s="1379">
        <f ca="1">IFERROR(__xludf.DUMMYFUNCTION("IMPORTRANGE(""https://docs.google.com/spreadsheets/d/1QqKyyYR6Q21VydFLVH3TRQUabQu_ym0Zz7PgGX0-kHA/edit?usp=sharing"",""แผน!IG26"")"),0)</f>
        <v>0</v>
      </c>
      <c r="J707" s="959">
        <v>0</v>
      </c>
      <c r="K707" s="831"/>
      <c r="L707" s="831"/>
      <c r="M707" s="963"/>
      <c r="N707" s="1380"/>
      <c r="O707" s="831"/>
      <c r="P707" s="831"/>
      <c r="Q707" s="1244"/>
      <c r="R707" s="1244"/>
      <c r="S707" s="1244"/>
      <c r="T707" s="1244"/>
      <c r="U707" s="1244"/>
      <c r="V707" s="1244"/>
      <c r="W707" s="1244"/>
      <c r="X707" s="1244"/>
      <c r="Y707" s="1244"/>
      <c r="Z707" s="1244"/>
    </row>
    <row r="708" spans="1:26" ht="19.5" hidden="1">
      <c r="A708" s="1368"/>
      <c r="B708" s="1243"/>
      <c r="C708" s="1243"/>
      <c r="D708" s="1322" t="s">
        <v>299</v>
      </c>
      <c r="E708" s="1243"/>
      <c r="F708" s="1243"/>
      <c r="G708" s="963"/>
      <c r="H708" s="733" t="s">
        <v>46</v>
      </c>
      <c r="I708" s="1381">
        <f ca="1">IFERROR(__xludf.DUMMYFUNCTION("IMPORTRANGE(""https://docs.google.com/spreadsheets/d/1QqKyyYR6Q21VydFLVH3TRQUabQu_ym0Zz7PgGX0-kHA/edit?usp=sharing"",""แผน!IH26"")"),0)</f>
        <v>0</v>
      </c>
      <c r="J708" s="966">
        <f>J714+J717</f>
        <v>0</v>
      </c>
      <c r="K708" s="967">
        <f ca="1">IF(I708&gt;0,J708*100/I708,0)</f>
        <v>0</v>
      </c>
      <c r="L708" s="831"/>
      <c r="M708" s="963"/>
      <c r="N708" s="1380"/>
      <c r="O708" s="831"/>
      <c r="P708" s="831"/>
      <c r="Q708" s="1244"/>
      <c r="R708" s="1244"/>
      <c r="S708" s="1244"/>
      <c r="T708" s="1244"/>
      <c r="U708" s="1244"/>
      <c r="V708" s="1244"/>
      <c r="W708" s="1244"/>
      <c r="X708" s="1244"/>
      <c r="Y708" s="1244"/>
      <c r="Z708" s="1244"/>
    </row>
    <row r="709" spans="1:26" ht="18.75" hidden="1">
      <c r="A709" s="1368"/>
      <c r="B709" s="1243"/>
      <c r="C709" s="1243"/>
      <c r="D709" s="1243"/>
      <c r="E709" s="1243" t="s">
        <v>300</v>
      </c>
      <c r="F709" s="1243"/>
      <c r="G709" s="963"/>
      <c r="H709" s="730" t="s">
        <v>34</v>
      </c>
      <c r="I709" s="1379"/>
      <c r="J709" s="959">
        <v>0</v>
      </c>
      <c r="K709" s="831"/>
      <c r="L709" s="1380"/>
      <c r="M709" s="963"/>
      <c r="N709" s="1380"/>
      <c r="O709" s="831"/>
      <c r="P709" s="831"/>
      <c r="Q709" s="1244"/>
      <c r="R709" s="1244"/>
      <c r="S709" s="1244"/>
      <c r="T709" s="1244"/>
      <c r="U709" s="1244"/>
      <c r="V709" s="1244"/>
      <c r="W709" s="1244"/>
      <c r="X709" s="1244"/>
      <c r="Y709" s="1244"/>
      <c r="Z709" s="1244"/>
    </row>
    <row r="710" spans="1:26" ht="18.75" hidden="1">
      <c r="A710" s="1368"/>
      <c r="B710" s="1243"/>
      <c r="C710" s="1243"/>
      <c r="D710" s="1243"/>
      <c r="E710" s="1243"/>
      <c r="F710" s="1243"/>
      <c r="G710" s="963"/>
      <c r="H710" s="730" t="s">
        <v>46</v>
      </c>
      <c r="I710" s="1379"/>
      <c r="J710" s="959">
        <v>0</v>
      </c>
      <c r="K710" s="831"/>
      <c r="L710" s="1380"/>
      <c r="M710" s="963"/>
      <c r="N710" s="1380"/>
      <c r="O710" s="831"/>
      <c r="P710" s="831"/>
      <c r="Q710" s="1244"/>
      <c r="R710" s="1244"/>
      <c r="S710" s="1244"/>
      <c r="T710" s="1244"/>
      <c r="U710" s="1244"/>
      <c r="V710" s="1244"/>
      <c r="W710" s="1244"/>
      <c r="X710" s="1244"/>
      <c r="Y710" s="1244"/>
      <c r="Z710" s="1244"/>
    </row>
    <row r="711" spans="1:26" ht="18.75" hidden="1">
      <c r="A711" s="1368"/>
      <c r="B711" s="1243"/>
      <c r="C711" s="1243"/>
      <c r="D711" s="1243"/>
      <c r="E711" s="1243" t="s">
        <v>301</v>
      </c>
      <c r="F711" s="1243"/>
      <c r="G711" s="963"/>
      <c r="H711" s="954"/>
      <c r="I711" s="1379"/>
      <c r="J711" s="830"/>
      <c r="K711" s="831"/>
      <c r="L711" s="1380"/>
      <c r="M711" s="963"/>
      <c r="N711" s="1380"/>
      <c r="O711" s="831"/>
      <c r="P711" s="831"/>
      <c r="Q711" s="1244"/>
      <c r="R711" s="1244"/>
      <c r="S711" s="1244"/>
      <c r="T711" s="1244"/>
      <c r="U711" s="1244"/>
      <c r="V711" s="1244"/>
      <c r="W711" s="1244"/>
      <c r="X711" s="1244"/>
      <c r="Y711" s="1244"/>
      <c r="Z711" s="1244"/>
    </row>
    <row r="712" spans="1:26" ht="18.75" hidden="1">
      <c r="A712" s="1368"/>
      <c r="B712" s="1243"/>
      <c r="C712" s="1243"/>
      <c r="D712" s="1243"/>
      <c r="E712" s="1243"/>
      <c r="F712" s="1243" t="s">
        <v>302</v>
      </c>
      <c r="G712" s="963"/>
      <c r="H712" s="730" t="s">
        <v>35</v>
      </c>
      <c r="I712" s="1379"/>
      <c r="J712" s="959">
        <v>0</v>
      </c>
      <c r="K712" s="831"/>
      <c r="L712" s="1380"/>
      <c r="M712" s="963"/>
      <c r="N712" s="1380"/>
      <c r="O712" s="831"/>
      <c r="P712" s="831"/>
      <c r="Q712" s="1244"/>
      <c r="R712" s="1244"/>
      <c r="S712" s="1244"/>
      <c r="T712" s="1244"/>
      <c r="U712" s="1244"/>
      <c r="V712" s="1244"/>
      <c r="W712" s="1244"/>
      <c r="X712" s="1244"/>
      <c r="Y712" s="1244"/>
      <c r="Z712" s="1244"/>
    </row>
    <row r="713" spans="1:26" ht="18.75" hidden="1">
      <c r="A713" s="1368"/>
      <c r="B713" s="1243"/>
      <c r="C713" s="1243"/>
      <c r="D713" s="1243"/>
      <c r="E713" s="1243"/>
      <c r="F713" s="1243"/>
      <c r="G713" s="963"/>
      <c r="H713" s="730" t="s">
        <v>34</v>
      </c>
      <c r="I713" s="1379"/>
      <c r="J713" s="959">
        <v>0</v>
      </c>
      <c r="K713" s="831"/>
      <c r="L713" s="1380"/>
      <c r="M713" s="963"/>
      <c r="N713" s="1380"/>
      <c r="O713" s="831"/>
      <c r="P713" s="831"/>
      <c r="Q713" s="1244"/>
      <c r="R713" s="1244"/>
      <c r="S713" s="1244"/>
      <c r="T713" s="1244"/>
      <c r="U713" s="1244"/>
      <c r="V713" s="1244"/>
      <c r="W713" s="1244"/>
      <c r="X713" s="1244"/>
      <c r="Y713" s="1244"/>
      <c r="Z713" s="1244"/>
    </row>
    <row r="714" spans="1:26" ht="18.75" hidden="1">
      <c r="A714" s="1368"/>
      <c r="B714" s="1243"/>
      <c r="C714" s="1243"/>
      <c r="D714" s="1243"/>
      <c r="E714" s="1243"/>
      <c r="F714" s="1243"/>
      <c r="G714" s="963"/>
      <c r="H714" s="730" t="s">
        <v>46</v>
      </c>
      <c r="I714" s="1379"/>
      <c r="J714" s="959">
        <v>0</v>
      </c>
      <c r="K714" s="831"/>
      <c r="L714" s="1380"/>
      <c r="M714" s="963"/>
      <c r="N714" s="1380"/>
      <c r="O714" s="831"/>
      <c r="P714" s="831"/>
      <c r="Q714" s="1244"/>
      <c r="R714" s="1244"/>
      <c r="S714" s="1244"/>
      <c r="T714" s="1244"/>
      <c r="U714" s="1244"/>
      <c r="V714" s="1244"/>
      <c r="W714" s="1244"/>
      <c r="X714" s="1244"/>
      <c r="Y714" s="1244"/>
      <c r="Z714" s="1244"/>
    </row>
    <row r="715" spans="1:26" ht="18.75" hidden="1">
      <c r="A715" s="1368"/>
      <c r="B715" s="1243"/>
      <c r="C715" s="1243"/>
      <c r="D715" s="1243"/>
      <c r="E715" s="1243"/>
      <c r="F715" s="1243" t="s">
        <v>303</v>
      </c>
      <c r="G715" s="963"/>
      <c r="H715" s="730" t="s">
        <v>35</v>
      </c>
      <c r="I715" s="1379"/>
      <c r="J715" s="959">
        <v>0</v>
      </c>
      <c r="K715" s="831"/>
      <c r="L715" s="1380"/>
      <c r="M715" s="963"/>
      <c r="N715" s="1380"/>
      <c r="O715" s="831"/>
      <c r="P715" s="831"/>
      <c r="Q715" s="1244"/>
      <c r="R715" s="1244"/>
      <c r="S715" s="1244"/>
      <c r="T715" s="1244"/>
      <c r="U715" s="1244"/>
      <c r="V715" s="1244"/>
      <c r="W715" s="1244"/>
      <c r="X715" s="1244"/>
      <c r="Y715" s="1244"/>
      <c r="Z715" s="1244"/>
    </row>
    <row r="716" spans="1:26" ht="18.75" hidden="1">
      <c r="A716" s="1368"/>
      <c r="B716" s="1243"/>
      <c r="C716" s="1243"/>
      <c r="D716" s="1243"/>
      <c r="E716" s="1243"/>
      <c r="F716" s="1243"/>
      <c r="G716" s="963"/>
      <c r="H716" s="730" t="s">
        <v>34</v>
      </c>
      <c r="I716" s="1379"/>
      <c r="J716" s="959">
        <v>0</v>
      </c>
      <c r="K716" s="831"/>
      <c r="L716" s="1380"/>
      <c r="M716" s="963"/>
      <c r="N716" s="1380"/>
      <c r="O716" s="831"/>
      <c r="P716" s="831"/>
      <c r="Q716" s="1244"/>
      <c r="R716" s="1244"/>
      <c r="S716" s="1244"/>
      <c r="T716" s="1244"/>
      <c r="U716" s="1244"/>
      <c r="V716" s="1244"/>
      <c r="W716" s="1244"/>
      <c r="X716" s="1244"/>
      <c r="Y716" s="1244"/>
      <c r="Z716" s="1244"/>
    </row>
    <row r="717" spans="1:26" ht="18.75" hidden="1">
      <c r="A717" s="1368"/>
      <c r="B717" s="1243"/>
      <c r="C717" s="1243"/>
      <c r="D717" s="1243"/>
      <c r="E717" s="1243"/>
      <c r="F717" s="1243"/>
      <c r="G717" s="963"/>
      <c r="H717" s="730" t="s">
        <v>46</v>
      </c>
      <c r="I717" s="1379"/>
      <c r="J717" s="959">
        <v>0</v>
      </c>
      <c r="K717" s="831"/>
      <c r="L717" s="1380"/>
      <c r="M717" s="963"/>
      <c r="N717" s="1380"/>
      <c r="O717" s="831"/>
      <c r="P717" s="831"/>
      <c r="Q717" s="1244"/>
      <c r="R717" s="1244"/>
      <c r="S717" s="1244"/>
      <c r="T717" s="1244"/>
      <c r="U717" s="1244"/>
      <c r="V717" s="1244"/>
      <c r="W717" s="1244"/>
      <c r="X717" s="1244"/>
      <c r="Y717" s="1244"/>
      <c r="Z717" s="1244"/>
    </row>
    <row r="718" spans="1:26" ht="18.75" hidden="1">
      <c r="A718" s="1368"/>
      <c r="B718" s="1243"/>
      <c r="C718" s="1243"/>
      <c r="D718" s="1243" t="s">
        <v>304</v>
      </c>
      <c r="E718" s="1243"/>
      <c r="F718" s="1243"/>
      <c r="G718" s="963"/>
      <c r="H718" s="730" t="s">
        <v>35</v>
      </c>
      <c r="I718" s="1379"/>
      <c r="J718" s="830">
        <f ca="1">IFERROR(__xludf.DUMMYFUNCTION("IMPORTRANGE(""https://docs.google.com/spreadsheets/d/1XWAQStnk-4SwqDmLtmXYiTMKHgktTP8We1SCoS47DrQ/edit?usp=sharing"",""จัดที่ดิน!BF26"")"),0)</f>
        <v>0</v>
      </c>
      <c r="K718" s="831"/>
      <c r="L718" s="831"/>
      <c r="M718" s="963"/>
      <c r="N718" s="1380"/>
      <c r="O718" s="831"/>
      <c r="P718" s="831"/>
      <c r="Q718" s="1244"/>
      <c r="R718" s="1244"/>
      <c r="S718" s="1244"/>
      <c r="T718" s="1244"/>
      <c r="U718" s="1244"/>
      <c r="V718" s="1244"/>
      <c r="W718" s="1244"/>
      <c r="X718" s="1244"/>
      <c r="Y718" s="1244"/>
      <c r="Z718" s="1244"/>
    </row>
    <row r="719" spans="1:26" ht="18.75" hidden="1">
      <c r="A719" s="1368"/>
      <c r="B719" s="1243"/>
      <c r="C719" s="1243"/>
      <c r="D719" s="1243"/>
      <c r="E719" s="1243"/>
      <c r="F719" s="1243"/>
      <c r="G719" s="963"/>
      <c r="H719" s="730" t="s">
        <v>34</v>
      </c>
      <c r="I719" s="1379"/>
      <c r="J719" s="830">
        <f ca="1">IFERROR(__xludf.DUMMYFUNCTION("IMPORTRANGE(""https://docs.google.com/spreadsheets/d/1XWAQStnk-4SwqDmLtmXYiTMKHgktTP8We1SCoS47DrQ/edit?usp=sharing"",""จัดที่ดิน!BG26"")"),0)</f>
        <v>0</v>
      </c>
      <c r="K719" s="831"/>
      <c r="L719" s="1380"/>
      <c r="M719" s="963"/>
      <c r="N719" s="1380"/>
      <c r="O719" s="831"/>
      <c r="P719" s="831"/>
      <c r="Q719" s="1244"/>
      <c r="R719" s="1244"/>
      <c r="S719" s="1244"/>
      <c r="T719" s="1244"/>
      <c r="U719" s="1244"/>
      <c r="V719" s="1244"/>
      <c r="W719" s="1244"/>
      <c r="X719" s="1244"/>
      <c r="Y719" s="1244"/>
      <c r="Z719" s="1244"/>
    </row>
    <row r="720" spans="1:26" ht="18.75" hidden="1">
      <c r="A720" s="1368"/>
      <c r="B720" s="1243"/>
      <c r="C720" s="1243"/>
      <c r="D720" s="1243"/>
      <c r="E720" s="1243"/>
      <c r="F720" s="1243"/>
      <c r="G720" s="963"/>
      <c r="H720" s="730" t="s">
        <v>46</v>
      </c>
      <c r="I720" s="1379">
        <f ca="1">IFERROR(__xludf.DUMMYFUNCTION("IMPORTRANGE(""https://docs.google.com/spreadsheets/d/1QqKyyYR6Q21VydFLVH3TRQUabQu_ym0Zz7PgGX0-kHA/edit?usp=sharing"",""แผน!II26"")"),0)</f>
        <v>0</v>
      </c>
      <c r="J720" s="830">
        <f ca="1">IFERROR(__xludf.DUMMYFUNCTION("IMPORTRANGE(""https://docs.google.com/spreadsheets/d/1XWAQStnk-4SwqDmLtmXYiTMKHgktTP8We1SCoS47DrQ/edit?usp=sharing"",""จัดที่ดิน!BH26"")"),0)</f>
        <v>0</v>
      </c>
      <c r="K720" s="831">
        <f t="shared" ref="K720:K723" ca="1" si="291">IF(I720&gt;0,J720*100/I720,0)</f>
        <v>0</v>
      </c>
      <c r="L720" s="1380"/>
      <c r="M720" s="963"/>
      <c r="N720" s="1380"/>
      <c r="O720" s="831"/>
      <c r="P720" s="831"/>
      <c r="Q720" s="1244"/>
      <c r="R720" s="1244"/>
      <c r="S720" s="1244"/>
      <c r="T720" s="1244"/>
      <c r="U720" s="1244"/>
      <c r="V720" s="1244"/>
      <c r="W720" s="1244"/>
      <c r="X720" s="1244"/>
      <c r="Y720" s="1244"/>
      <c r="Z720" s="1244"/>
    </row>
    <row r="721" spans="1:26" ht="19.5" hidden="1">
      <c r="A721" s="1368"/>
      <c r="B721" s="1243"/>
      <c r="C721" s="1243"/>
      <c r="D721" s="1243" t="s">
        <v>305</v>
      </c>
      <c r="E721" s="1243"/>
      <c r="F721" s="1243"/>
      <c r="G721" s="963"/>
      <c r="H721" s="733" t="s">
        <v>35</v>
      </c>
      <c r="I721" s="1381">
        <f ca="1">IFERROR(__xludf.DUMMYFUNCTION("IMPORTRANGE(""https://docs.google.com/spreadsheets/d/1QqKyyYR6Q21VydFLVH3TRQUabQu_ym0Zz7PgGX0-kHA/edit?usp=sharing"",""แผน!IJ26"")"),0)</f>
        <v>0</v>
      </c>
      <c r="J721" s="966">
        <f ca="1">J723+J726</f>
        <v>0</v>
      </c>
      <c r="K721" s="967">
        <f t="shared" ca="1" si="291"/>
        <v>0</v>
      </c>
      <c r="L721" s="1380"/>
      <c r="M721" s="963"/>
      <c r="N721" s="1380"/>
      <c r="O721" s="831"/>
      <c r="P721" s="831"/>
      <c r="Q721" s="1244"/>
      <c r="R721" s="1244"/>
      <c r="S721" s="1244"/>
      <c r="T721" s="1244"/>
      <c r="U721" s="1244"/>
      <c r="V721" s="1244"/>
      <c r="W721" s="1244"/>
      <c r="X721" s="1244"/>
      <c r="Y721" s="1244"/>
      <c r="Z721" s="1244"/>
    </row>
    <row r="722" spans="1:26" ht="19.5" hidden="1">
      <c r="A722" s="1368"/>
      <c r="B722" s="1243"/>
      <c r="C722" s="1243"/>
      <c r="D722" s="1243"/>
      <c r="E722" s="1243"/>
      <c r="F722" s="1243"/>
      <c r="G722" s="963"/>
      <c r="H722" s="733" t="s">
        <v>46</v>
      </c>
      <c r="I722" s="1381">
        <f ca="1">IFERROR(__xludf.DUMMYFUNCTION("IMPORTRANGE(""https://docs.google.com/spreadsheets/d/1QqKyyYR6Q21VydFLVH3TRQUabQu_ym0Zz7PgGX0-kHA/edit?usp=sharing"",""แผน!IK26"")"),0)</f>
        <v>0</v>
      </c>
      <c r="J722" s="966">
        <f ca="1">J725+J728</f>
        <v>0</v>
      </c>
      <c r="K722" s="967">
        <f t="shared" ca="1" si="291"/>
        <v>0</v>
      </c>
      <c r="L722" s="831"/>
      <c r="M722" s="963"/>
      <c r="N722" s="1380"/>
      <c r="O722" s="831"/>
      <c r="P722" s="831"/>
      <c r="Q722" s="1244"/>
      <c r="R722" s="1244"/>
      <c r="S722" s="1244"/>
      <c r="T722" s="1244"/>
      <c r="U722" s="1244"/>
      <c r="V722" s="1244"/>
      <c r="W722" s="1244"/>
      <c r="X722" s="1244"/>
      <c r="Y722" s="1244"/>
      <c r="Z722" s="1244"/>
    </row>
    <row r="723" spans="1:26" ht="18.75" hidden="1">
      <c r="A723" s="1368"/>
      <c r="B723" s="1243"/>
      <c r="C723" s="1243"/>
      <c r="D723" s="1243"/>
      <c r="E723" s="1243" t="s">
        <v>306</v>
      </c>
      <c r="F723" s="1243"/>
      <c r="G723" s="963"/>
      <c r="H723" s="730" t="s">
        <v>35</v>
      </c>
      <c r="I723" s="1379">
        <f ca="1">IFERROR(__xludf.DUMMYFUNCTION("IMPORTRANGE(""https://docs.google.com/spreadsheets/d/1QqKyyYR6Q21VydFLVH3TRQUabQu_ym0Zz7PgGX0-kHA/edit?usp=sharing"",""แผน!IL26"")"),0)</f>
        <v>0</v>
      </c>
      <c r="J723" s="830">
        <f ca="1">IFERROR(__xludf.DUMMYFUNCTION("IMPORTRANGE(""https://docs.google.com/spreadsheets/d/1XWAQStnk-4SwqDmLtmXYiTMKHgktTP8We1SCoS47DrQ/edit?usp=sharing"",""จัดที่ดิน!BM26"")"),0)</f>
        <v>0</v>
      </c>
      <c r="K723" s="831">
        <f t="shared" ca="1" si="291"/>
        <v>0</v>
      </c>
      <c r="L723" s="831"/>
      <c r="M723" s="963"/>
      <c r="N723" s="1380"/>
      <c r="O723" s="831"/>
      <c r="P723" s="831"/>
      <c r="Q723" s="1244"/>
      <c r="R723" s="1244"/>
      <c r="S723" s="1244"/>
      <c r="T723" s="1244"/>
      <c r="U723" s="1244"/>
      <c r="V723" s="1244"/>
      <c r="W723" s="1244"/>
      <c r="X723" s="1244"/>
      <c r="Y723" s="1244"/>
      <c r="Z723" s="1244"/>
    </row>
    <row r="724" spans="1:26" ht="18.75" hidden="1">
      <c r="A724" s="1368"/>
      <c r="B724" s="1243"/>
      <c r="C724" s="1243"/>
      <c r="D724" s="1243"/>
      <c r="E724" s="1243"/>
      <c r="F724" s="1243"/>
      <c r="G724" s="963"/>
      <c r="H724" s="730" t="s">
        <v>34</v>
      </c>
      <c r="I724" s="1379"/>
      <c r="J724" s="830">
        <f ca="1">IFERROR(__xludf.DUMMYFUNCTION("IMPORTRANGE(""https://docs.google.com/spreadsheets/d/1XWAQStnk-4SwqDmLtmXYiTMKHgktTP8We1SCoS47DrQ/edit?usp=sharing"",""จัดที่ดิน!BN26"")"),0)</f>
        <v>0</v>
      </c>
      <c r="K724" s="831"/>
      <c r="L724" s="1380"/>
      <c r="M724" s="963"/>
      <c r="N724" s="1380"/>
      <c r="O724" s="831"/>
      <c r="P724" s="831"/>
      <c r="Q724" s="1244"/>
      <c r="R724" s="1244"/>
      <c r="S724" s="1244"/>
      <c r="T724" s="1244"/>
      <c r="U724" s="1244"/>
      <c r="V724" s="1244"/>
      <c r="W724" s="1244"/>
      <c r="X724" s="1244"/>
      <c r="Y724" s="1244"/>
      <c r="Z724" s="1244"/>
    </row>
    <row r="725" spans="1:26" ht="18.75" hidden="1">
      <c r="A725" s="1368"/>
      <c r="B725" s="1243"/>
      <c r="C725" s="1243"/>
      <c r="D725" s="1243"/>
      <c r="E725" s="1243"/>
      <c r="F725" s="1243"/>
      <c r="G725" s="963"/>
      <c r="H725" s="730" t="s">
        <v>46</v>
      </c>
      <c r="I725" s="1379">
        <f ca="1">IFERROR(__xludf.DUMMYFUNCTION("IMPORTRANGE(""https://docs.google.com/spreadsheets/d/1QqKyyYR6Q21VydFLVH3TRQUabQu_ym0Zz7PgGX0-kHA/edit?usp=sharing"",""แผน!IM26"")"),0)</f>
        <v>0</v>
      </c>
      <c r="J725" s="830">
        <f ca="1">IFERROR(__xludf.DUMMYFUNCTION("IMPORTRANGE(""https://docs.google.com/spreadsheets/d/1XWAQStnk-4SwqDmLtmXYiTMKHgktTP8We1SCoS47DrQ/edit?usp=sharing"",""จัดที่ดิน!BO26"")"),0)</f>
        <v>0</v>
      </c>
      <c r="K725" s="831">
        <f t="shared" ref="K725:K726" ca="1" si="292">IF(I725&gt;0,J725*100/I725,0)</f>
        <v>0</v>
      </c>
      <c r="L725" s="1380"/>
      <c r="M725" s="963"/>
      <c r="N725" s="1380"/>
      <c r="O725" s="831"/>
      <c r="P725" s="831"/>
      <c r="Q725" s="1244"/>
      <c r="R725" s="1244"/>
      <c r="S725" s="1244"/>
      <c r="T725" s="1244"/>
      <c r="U725" s="1244"/>
      <c r="V725" s="1244"/>
      <c r="W725" s="1244"/>
      <c r="X725" s="1244"/>
      <c r="Y725" s="1244"/>
      <c r="Z725" s="1244"/>
    </row>
    <row r="726" spans="1:26" ht="18.75" hidden="1">
      <c r="A726" s="1368"/>
      <c r="B726" s="1243"/>
      <c r="C726" s="1243"/>
      <c r="D726" s="1243"/>
      <c r="E726" s="1243" t="s">
        <v>307</v>
      </c>
      <c r="F726" s="1243"/>
      <c r="G726" s="963"/>
      <c r="H726" s="730" t="s">
        <v>35</v>
      </c>
      <c r="I726" s="1379">
        <f ca="1">IFERROR(__xludf.DUMMYFUNCTION("IMPORTRANGE(""https://docs.google.com/spreadsheets/d/1QqKyyYR6Q21VydFLVH3TRQUabQu_ym0Zz7PgGX0-kHA/edit?usp=sharing"",""แผน!IN26"")"),0)</f>
        <v>0</v>
      </c>
      <c r="J726" s="830">
        <f ca="1">IFERROR(__xludf.DUMMYFUNCTION("IMPORTRANGE(""https://docs.google.com/spreadsheets/d/1XWAQStnk-4SwqDmLtmXYiTMKHgktTP8We1SCoS47DrQ/edit?usp=sharing"",""จัดที่ดิน!BR26"")"),0)</f>
        <v>0</v>
      </c>
      <c r="K726" s="831">
        <f t="shared" ca="1" si="292"/>
        <v>0</v>
      </c>
      <c r="L726" s="831"/>
      <c r="M726" s="963"/>
      <c r="N726" s="1380"/>
      <c r="O726" s="831"/>
      <c r="P726" s="831"/>
      <c r="Q726" s="1244"/>
      <c r="R726" s="1244"/>
      <c r="S726" s="1244"/>
      <c r="T726" s="1244"/>
      <c r="U726" s="1244"/>
      <c r="V726" s="1244"/>
      <c r="W726" s="1244"/>
      <c r="X726" s="1244"/>
      <c r="Y726" s="1244"/>
      <c r="Z726" s="1244"/>
    </row>
    <row r="727" spans="1:26" ht="18.75" hidden="1">
      <c r="A727" s="1368"/>
      <c r="B727" s="1243"/>
      <c r="C727" s="1243"/>
      <c r="D727" s="1243"/>
      <c r="E727" s="1243"/>
      <c r="F727" s="1243"/>
      <c r="G727" s="963"/>
      <c r="H727" s="730" t="s">
        <v>34</v>
      </c>
      <c r="I727" s="1379"/>
      <c r="J727" s="830">
        <f ca="1">IFERROR(__xludf.DUMMYFUNCTION("IMPORTRANGE(""https://docs.google.com/spreadsheets/d/1XWAQStnk-4SwqDmLtmXYiTMKHgktTP8We1SCoS47DrQ/edit?usp=sharing"",""จัดที่ดิน!BS26"")"),0)</f>
        <v>0</v>
      </c>
      <c r="K727" s="831"/>
      <c r="L727" s="1380"/>
      <c r="M727" s="963"/>
      <c r="N727" s="1380"/>
      <c r="O727" s="831"/>
      <c r="P727" s="831"/>
      <c r="Q727" s="1244"/>
      <c r="R727" s="1244"/>
      <c r="S727" s="1244"/>
      <c r="T727" s="1244"/>
      <c r="U727" s="1244"/>
      <c r="V727" s="1244"/>
      <c r="W727" s="1244"/>
      <c r="X727" s="1244"/>
      <c r="Y727" s="1244"/>
      <c r="Z727" s="1244"/>
    </row>
    <row r="728" spans="1:26" ht="18.75" hidden="1">
      <c r="A728" s="1368"/>
      <c r="B728" s="1243"/>
      <c r="C728" s="1243"/>
      <c r="D728" s="1243"/>
      <c r="E728" s="1243"/>
      <c r="F728" s="1243"/>
      <c r="G728" s="963"/>
      <c r="H728" s="730" t="s">
        <v>46</v>
      </c>
      <c r="I728" s="1379">
        <f ca="1">IFERROR(__xludf.DUMMYFUNCTION("IMPORTRANGE(""https://docs.google.com/spreadsheets/d/1QqKyyYR6Q21VydFLVH3TRQUabQu_ym0Zz7PgGX0-kHA/edit?usp=sharing"",""แผน!IO26"")"),0)</f>
        <v>0</v>
      </c>
      <c r="J728" s="830">
        <f ca="1">IFERROR(__xludf.DUMMYFUNCTION("IMPORTRANGE(""https://docs.google.com/spreadsheets/d/1XWAQStnk-4SwqDmLtmXYiTMKHgktTP8We1SCoS47DrQ/edit?usp=sharing"",""จัดที่ดิน!BT26"")"),0)</f>
        <v>0</v>
      </c>
      <c r="K728" s="831">
        <f t="shared" ref="K728:K729" ca="1" si="293">IF(I728&gt;0,J728*100/I728,0)</f>
        <v>0</v>
      </c>
      <c r="L728" s="1380"/>
      <c r="M728" s="963"/>
      <c r="N728" s="1380"/>
      <c r="O728" s="831"/>
      <c r="P728" s="831"/>
      <c r="Q728" s="1244"/>
      <c r="R728" s="1244"/>
      <c r="S728" s="1244"/>
      <c r="T728" s="1244"/>
      <c r="U728" s="1244"/>
      <c r="V728" s="1244"/>
      <c r="W728" s="1244"/>
      <c r="X728" s="1244"/>
      <c r="Y728" s="1244"/>
      <c r="Z728" s="1244"/>
    </row>
    <row r="729" spans="1:26" ht="19.5" hidden="1">
      <c r="A729" s="1368"/>
      <c r="B729" s="1243"/>
      <c r="C729" s="1243"/>
      <c r="D729" s="1243" t="s">
        <v>308</v>
      </c>
      <c r="E729" s="1243"/>
      <c r="F729" s="1243"/>
      <c r="G729" s="963"/>
      <c r="H729" s="733" t="s">
        <v>46</v>
      </c>
      <c r="I729" s="1381">
        <f ca="1">IFERROR(__xludf.DUMMYFUNCTION("IMPORTRANGE(""https://docs.google.com/spreadsheets/d/1QqKyyYR6Q21VydFLVH3TRQUabQu_ym0Zz7PgGX0-kHA/edit?usp=sharing"",""แผน!IP26"")"),0)</f>
        <v>0</v>
      </c>
      <c r="J729" s="966">
        <f>J732+J735</f>
        <v>0</v>
      </c>
      <c r="K729" s="967">
        <f t="shared" ca="1" si="293"/>
        <v>0</v>
      </c>
      <c r="L729" s="831"/>
      <c r="M729" s="963"/>
      <c r="N729" s="1380"/>
      <c r="O729" s="831"/>
      <c r="P729" s="831"/>
      <c r="Q729" s="1244"/>
      <c r="R729" s="1244"/>
      <c r="S729" s="1244"/>
      <c r="T729" s="1244"/>
      <c r="U729" s="1244"/>
      <c r="V729" s="1244"/>
      <c r="W729" s="1244"/>
      <c r="X729" s="1244"/>
      <c r="Y729" s="1244"/>
      <c r="Z729" s="1244"/>
    </row>
    <row r="730" spans="1:26" ht="18.75" hidden="1">
      <c r="A730" s="1368"/>
      <c r="B730" s="1243"/>
      <c r="C730" s="1243"/>
      <c r="D730" s="1243"/>
      <c r="E730" s="1243" t="s">
        <v>309</v>
      </c>
      <c r="F730" s="1243"/>
      <c r="G730" s="963"/>
      <c r="H730" s="730" t="s">
        <v>35</v>
      </c>
      <c r="I730" s="1379"/>
      <c r="J730" s="959">
        <v>0</v>
      </c>
      <c r="K730" s="831"/>
      <c r="L730" s="1380"/>
      <c r="M730" s="831"/>
      <c r="N730" s="1380"/>
      <c r="O730" s="831"/>
      <c r="P730" s="831"/>
      <c r="Q730" s="1244"/>
      <c r="R730" s="1244"/>
      <c r="S730" s="1244"/>
      <c r="T730" s="1244"/>
      <c r="U730" s="1244"/>
      <c r="V730" s="1244"/>
      <c r="W730" s="1244"/>
      <c r="X730" s="1244"/>
      <c r="Y730" s="1244"/>
      <c r="Z730" s="1244"/>
    </row>
    <row r="731" spans="1:26" ht="18.75" hidden="1">
      <c r="A731" s="1368"/>
      <c r="B731" s="1243"/>
      <c r="C731" s="1243"/>
      <c r="D731" s="1243"/>
      <c r="E731" s="1243"/>
      <c r="F731" s="1243"/>
      <c r="G731" s="963"/>
      <c r="H731" s="730" t="s">
        <v>34</v>
      </c>
      <c r="I731" s="1379"/>
      <c r="J731" s="959">
        <v>0</v>
      </c>
      <c r="K731" s="831"/>
      <c r="L731" s="1380"/>
      <c r="M731" s="831"/>
      <c r="N731" s="1380"/>
      <c r="O731" s="831"/>
      <c r="P731" s="831"/>
      <c r="Q731" s="1244"/>
      <c r="R731" s="1244"/>
      <c r="S731" s="1244"/>
      <c r="T731" s="1244"/>
      <c r="U731" s="1244"/>
      <c r="V731" s="1244"/>
      <c r="W731" s="1244"/>
      <c r="X731" s="1244"/>
      <c r="Y731" s="1244"/>
      <c r="Z731" s="1244"/>
    </row>
    <row r="732" spans="1:26" ht="18.75" hidden="1">
      <c r="A732" s="1368"/>
      <c r="B732" s="1243"/>
      <c r="C732" s="1243"/>
      <c r="D732" s="1243"/>
      <c r="E732" s="1243"/>
      <c r="F732" s="1243"/>
      <c r="G732" s="963"/>
      <c r="H732" s="730" t="s">
        <v>46</v>
      </c>
      <c r="I732" s="1379"/>
      <c r="J732" s="959">
        <v>0</v>
      </c>
      <c r="K732" s="831"/>
      <c r="L732" s="1380"/>
      <c r="M732" s="831"/>
      <c r="N732" s="1380"/>
      <c r="O732" s="831"/>
      <c r="P732" s="831"/>
      <c r="Q732" s="1244"/>
      <c r="R732" s="1244"/>
      <c r="S732" s="1244"/>
      <c r="T732" s="1244"/>
      <c r="U732" s="1244"/>
      <c r="V732" s="1244"/>
      <c r="W732" s="1244"/>
      <c r="X732" s="1244"/>
      <c r="Y732" s="1244"/>
      <c r="Z732" s="1244"/>
    </row>
    <row r="733" spans="1:26" ht="18.75" hidden="1">
      <c r="A733" s="1368"/>
      <c r="B733" s="1243"/>
      <c r="C733" s="1243"/>
      <c r="D733" s="1243"/>
      <c r="E733" s="1243" t="s">
        <v>310</v>
      </c>
      <c r="F733" s="1243"/>
      <c r="G733" s="963"/>
      <c r="H733" s="730" t="s">
        <v>35</v>
      </c>
      <c r="I733" s="1379"/>
      <c r="J733" s="959">
        <v>0</v>
      </c>
      <c r="K733" s="831"/>
      <c r="L733" s="1380"/>
      <c r="M733" s="831"/>
      <c r="N733" s="1380"/>
      <c r="O733" s="831"/>
      <c r="P733" s="831"/>
      <c r="Q733" s="1244"/>
      <c r="R733" s="1244"/>
      <c r="S733" s="1244"/>
      <c r="T733" s="1244"/>
      <c r="U733" s="1244"/>
      <c r="V733" s="1244"/>
      <c r="W733" s="1244"/>
      <c r="X733" s="1244"/>
      <c r="Y733" s="1244"/>
      <c r="Z733" s="1244"/>
    </row>
    <row r="734" spans="1:26" ht="18.75" hidden="1">
      <c r="A734" s="1368"/>
      <c r="B734" s="1243"/>
      <c r="C734" s="1243"/>
      <c r="D734" s="1243"/>
      <c r="E734" s="1243"/>
      <c r="F734" s="1243"/>
      <c r="G734" s="963"/>
      <c r="H734" s="730" t="s">
        <v>34</v>
      </c>
      <c r="I734" s="1379"/>
      <c r="J734" s="959">
        <v>0</v>
      </c>
      <c r="K734" s="831"/>
      <c r="L734" s="1380"/>
      <c r="M734" s="831"/>
      <c r="N734" s="1380"/>
      <c r="O734" s="831"/>
      <c r="P734" s="831"/>
      <c r="Q734" s="1244"/>
      <c r="R734" s="1244"/>
      <c r="S734" s="1244"/>
      <c r="T734" s="1244"/>
      <c r="U734" s="1244"/>
      <c r="V734" s="1244"/>
      <c r="W734" s="1244"/>
      <c r="X734" s="1244"/>
      <c r="Y734" s="1244"/>
      <c r="Z734" s="1244"/>
    </row>
    <row r="735" spans="1:26" ht="19.5" hidden="1">
      <c r="A735" s="1382"/>
      <c r="B735" s="1383" t="s">
        <v>311</v>
      </c>
      <c r="C735" s="1116"/>
      <c r="D735" s="1116"/>
      <c r="E735" s="1116"/>
      <c r="F735" s="1116"/>
      <c r="G735" s="1361"/>
      <c r="H735" s="391" t="s">
        <v>46</v>
      </c>
      <c r="I735" s="1384"/>
      <c r="J735" s="1118">
        <v>0</v>
      </c>
      <c r="K735" s="1182"/>
      <c r="L735" s="1385"/>
      <c r="M735" s="1182"/>
      <c r="N735" s="1385"/>
      <c r="O735" s="1182"/>
      <c r="P735" s="1182"/>
      <c r="Q735" s="1244"/>
      <c r="R735" s="1244"/>
      <c r="S735" s="1244"/>
      <c r="T735" s="1244"/>
      <c r="U735" s="1244"/>
      <c r="V735" s="1244"/>
      <c r="W735" s="1244"/>
      <c r="X735" s="1244"/>
      <c r="Y735" s="1244"/>
      <c r="Z735" s="1244"/>
    </row>
    <row r="736" spans="1:26" ht="19.5" hidden="1">
      <c r="A736" s="740">
        <v>9</v>
      </c>
      <c r="B736" s="1386" t="s">
        <v>312</v>
      </c>
      <c r="C736" s="1387"/>
      <c r="D736" s="1387"/>
      <c r="E736" s="1387"/>
      <c r="F736" s="1387"/>
      <c r="G736" s="1388"/>
      <c r="H736" s="744" t="s">
        <v>46</v>
      </c>
      <c r="I736" s="1389"/>
      <c r="J736" s="1389">
        <f>J751</f>
        <v>0</v>
      </c>
      <c r="K736" s="1390">
        <f>IF(I736&gt;0,J736*100/I736,0)</f>
        <v>0</v>
      </c>
      <c r="L736" s="1391"/>
      <c r="M736" s="1391"/>
      <c r="N736" s="1391"/>
      <c r="O736" s="1391"/>
      <c r="P736" s="1391"/>
      <c r="Q736" s="1264"/>
      <c r="R736" s="1264"/>
      <c r="S736" s="1264"/>
      <c r="T736" s="1264"/>
      <c r="U736" s="1264"/>
      <c r="V736" s="1264"/>
      <c r="W736" s="1264"/>
      <c r="X736" s="1264"/>
      <c r="Y736" s="1264"/>
      <c r="Z736" s="1264"/>
    </row>
    <row r="737" spans="1:26" ht="19.5" hidden="1">
      <c r="A737" s="1260"/>
      <c r="B737" s="1261"/>
      <c r="C737" s="1261" t="s">
        <v>16</v>
      </c>
      <c r="D737" s="1508" t="s">
        <v>17</v>
      </c>
      <c r="E737" s="1485"/>
      <c r="F737" s="1485"/>
      <c r="G737" s="1263"/>
      <c r="H737" s="612" t="s">
        <v>12</v>
      </c>
      <c r="I737" s="836"/>
      <c r="J737" s="836"/>
      <c r="K737" s="837"/>
      <c r="L737" s="1292">
        <f t="shared" ref="L737:N737" si="294">L738+L739</f>
        <v>0</v>
      </c>
      <c r="M737" s="1292">
        <f t="shared" si="294"/>
        <v>0</v>
      </c>
      <c r="N737" s="1292">
        <f t="shared" si="294"/>
        <v>0</v>
      </c>
      <c r="O737" s="1292">
        <f t="shared" ref="O737:O742" si="295">IF(L737&gt;0,N737*100/L737,0)</f>
        <v>0</v>
      </c>
      <c r="P737" s="1292">
        <f t="shared" ref="P737:P742" si="296">IF(M737&gt;0,N737*100/M737,0)</f>
        <v>0</v>
      </c>
      <c r="Q737" s="1264"/>
      <c r="R737" s="1264"/>
      <c r="S737" s="1264"/>
      <c r="T737" s="1264"/>
      <c r="U737" s="1264"/>
      <c r="V737" s="1264"/>
      <c r="W737" s="1264"/>
      <c r="X737" s="1264"/>
      <c r="Y737" s="1264"/>
      <c r="Z737" s="1264"/>
    </row>
    <row r="738" spans="1:26" ht="18.75" hidden="1">
      <c r="A738" s="1260"/>
      <c r="B738" s="1261"/>
      <c r="C738" s="1261"/>
      <c r="D738" s="1262"/>
      <c r="E738" s="1261" t="s">
        <v>184</v>
      </c>
      <c r="F738" s="1261"/>
      <c r="G738" s="1263"/>
      <c r="H738" s="165" t="s">
        <v>12</v>
      </c>
      <c r="I738" s="836"/>
      <c r="J738" s="836"/>
      <c r="K738" s="837"/>
      <c r="L738" s="837">
        <f t="shared" ref="L738:N739" si="297">L741+L748</f>
        <v>0</v>
      </c>
      <c r="M738" s="837">
        <f t="shared" si="297"/>
        <v>0</v>
      </c>
      <c r="N738" s="837">
        <f t="shared" si="297"/>
        <v>0</v>
      </c>
      <c r="O738" s="837">
        <f t="shared" si="295"/>
        <v>0</v>
      </c>
      <c r="P738" s="837">
        <f t="shared" si="296"/>
        <v>0</v>
      </c>
      <c r="Q738" s="1264"/>
      <c r="R738" s="1264"/>
      <c r="S738" s="1264"/>
      <c r="T738" s="1264"/>
      <c r="U738" s="1264"/>
      <c r="V738" s="1264"/>
      <c r="W738" s="1264"/>
      <c r="X738" s="1264"/>
      <c r="Y738" s="1264"/>
      <c r="Z738" s="1264"/>
    </row>
    <row r="739" spans="1:26" ht="18.75" hidden="1">
      <c r="A739" s="1260"/>
      <c r="B739" s="1265"/>
      <c r="C739" s="1261"/>
      <c r="D739" s="1262"/>
      <c r="E739" s="1261" t="s">
        <v>185</v>
      </c>
      <c r="F739" s="1261"/>
      <c r="G739" s="1263"/>
      <c r="H739" s="165" t="s">
        <v>12</v>
      </c>
      <c r="I739" s="836"/>
      <c r="J739" s="836"/>
      <c r="K739" s="837"/>
      <c r="L739" s="837">
        <f t="shared" si="297"/>
        <v>0</v>
      </c>
      <c r="M739" s="837">
        <f t="shared" si="297"/>
        <v>0</v>
      </c>
      <c r="N739" s="837">
        <f t="shared" si="297"/>
        <v>0</v>
      </c>
      <c r="O739" s="837">
        <f t="shared" si="295"/>
        <v>0</v>
      </c>
      <c r="P739" s="837">
        <f t="shared" si="296"/>
        <v>0</v>
      </c>
      <c r="Q739" s="1264"/>
      <c r="R739" s="1264"/>
      <c r="S739" s="1264"/>
      <c r="T739" s="1264"/>
      <c r="U739" s="1264"/>
      <c r="V739" s="1264"/>
      <c r="W739" s="1264"/>
      <c r="X739" s="1264"/>
      <c r="Y739" s="1264"/>
      <c r="Z739" s="1264"/>
    </row>
    <row r="740" spans="1:26" ht="19.5" hidden="1">
      <c r="A740" s="1260"/>
      <c r="B740" s="1265"/>
      <c r="C740" s="1261"/>
      <c r="D740" s="1392" t="s">
        <v>20</v>
      </c>
      <c r="E740" s="1261"/>
      <c r="F740" s="1261"/>
      <c r="G740" s="1263"/>
      <c r="H740" s="612" t="s">
        <v>12</v>
      </c>
      <c r="I740" s="947"/>
      <c r="J740" s="947"/>
      <c r="K740" s="948"/>
      <c r="L740" s="1292">
        <f t="shared" ref="L740:N740" si="298">L741+L742</f>
        <v>0</v>
      </c>
      <c r="M740" s="1292">
        <f t="shared" si="298"/>
        <v>0</v>
      </c>
      <c r="N740" s="1292">
        <f t="shared" si="298"/>
        <v>0</v>
      </c>
      <c r="O740" s="1292">
        <f t="shared" si="295"/>
        <v>0</v>
      </c>
      <c r="P740" s="1292">
        <f t="shared" si="296"/>
        <v>0</v>
      </c>
      <c r="Q740" s="1264"/>
      <c r="R740" s="1264"/>
      <c r="S740" s="1264"/>
      <c r="T740" s="1264"/>
      <c r="U740" s="1264"/>
      <c r="V740" s="1264"/>
      <c r="W740" s="1264"/>
      <c r="X740" s="1264"/>
      <c r="Y740" s="1264"/>
      <c r="Z740" s="1264"/>
    </row>
    <row r="741" spans="1:26" ht="18.75" hidden="1">
      <c r="A741" s="1260"/>
      <c r="B741" s="1265"/>
      <c r="C741" s="1261"/>
      <c r="D741" s="1262"/>
      <c r="E741" s="1261" t="s">
        <v>184</v>
      </c>
      <c r="F741" s="1261"/>
      <c r="G741" s="1263"/>
      <c r="H741" s="165" t="s">
        <v>12</v>
      </c>
      <c r="I741" s="836"/>
      <c r="J741" s="836"/>
      <c r="K741" s="837"/>
      <c r="L741" s="837">
        <v>0</v>
      </c>
      <c r="M741" s="837">
        <v>0</v>
      </c>
      <c r="N741" s="837">
        <v>0</v>
      </c>
      <c r="O741" s="837">
        <f t="shared" si="295"/>
        <v>0</v>
      </c>
      <c r="P741" s="837">
        <f t="shared" si="296"/>
        <v>0</v>
      </c>
      <c r="Q741" s="1264"/>
      <c r="R741" s="1264"/>
      <c r="S741" s="1264"/>
      <c r="T741" s="1264"/>
      <c r="U741" s="1264"/>
      <c r="V741" s="1264"/>
      <c r="W741" s="1264"/>
      <c r="X741" s="1264"/>
      <c r="Y741" s="1264"/>
      <c r="Z741" s="1264"/>
    </row>
    <row r="742" spans="1:26" ht="18.75" hidden="1">
      <c r="A742" s="1260"/>
      <c r="B742" s="1265"/>
      <c r="C742" s="1261"/>
      <c r="D742" s="1262"/>
      <c r="E742" s="1261" t="s">
        <v>185</v>
      </c>
      <c r="F742" s="1261"/>
      <c r="G742" s="1263"/>
      <c r="H742" s="165" t="s">
        <v>12</v>
      </c>
      <c r="I742" s="836"/>
      <c r="J742" s="836"/>
      <c r="K742" s="837"/>
      <c r="L742" s="837">
        <v>0</v>
      </c>
      <c r="M742" s="837">
        <v>0</v>
      </c>
      <c r="N742" s="837">
        <f>N743+N744+N745+N746</f>
        <v>0</v>
      </c>
      <c r="O742" s="837">
        <f t="shared" si="295"/>
        <v>0</v>
      </c>
      <c r="P742" s="837">
        <f t="shared" si="296"/>
        <v>0</v>
      </c>
      <c r="Q742" s="1264"/>
      <c r="R742" s="1264"/>
      <c r="S742" s="1264"/>
      <c r="T742" s="1264"/>
      <c r="U742" s="1264"/>
      <c r="V742" s="1264"/>
      <c r="W742" s="1264"/>
      <c r="X742" s="1264"/>
      <c r="Y742" s="1264"/>
      <c r="Z742" s="1264"/>
    </row>
    <row r="743" spans="1:26" ht="18.75" hidden="1">
      <c r="A743" s="1294"/>
      <c r="B743" s="1265"/>
      <c r="C743" s="1261"/>
      <c r="D743" s="1261"/>
      <c r="E743" s="1261"/>
      <c r="F743" s="1261" t="s">
        <v>186</v>
      </c>
      <c r="G743" s="1263"/>
      <c r="H743" s="165" t="s">
        <v>12</v>
      </c>
      <c r="I743" s="836"/>
      <c r="J743" s="836"/>
      <c r="K743" s="837"/>
      <c r="L743" s="837"/>
      <c r="M743" s="837"/>
      <c r="N743" s="837"/>
      <c r="O743" s="837"/>
      <c r="P743" s="837"/>
      <c r="Q743" s="1264"/>
      <c r="R743" s="1264"/>
      <c r="S743" s="1264"/>
      <c r="T743" s="1264"/>
      <c r="U743" s="1264"/>
      <c r="V743" s="1264"/>
      <c r="W743" s="1264"/>
      <c r="X743" s="1264"/>
      <c r="Y743" s="1264"/>
      <c r="Z743" s="1264"/>
    </row>
    <row r="744" spans="1:26" ht="18.75" hidden="1">
      <c r="A744" s="1294"/>
      <c r="B744" s="1265"/>
      <c r="C744" s="1261"/>
      <c r="D744" s="1261"/>
      <c r="E744" s="1261"/>
      <c r="F744" s="1261" t="s">
        <v>187</v>
      </c>
      <c r="G744" s="1263"/>
      <c r="H744" s="165" t="s">
        <v>12</v>
      </c>
      <c r="I744" s="836"/>
      <c r="J744" s="836"/>
      <c r="K744" s="837"/>
      <c r="L744" s="837"/>
      <c r="M744" s="837"/>
      <c r="N744" s="837"/>
      <c r="O744" s="837"/>
      <c r="P744" s="837"/>
      <c r="Q744" s="1264"/>
      <c r="R744" s="1264"/>
      <c r="S744" s="1264"/>
      <c r="T744" s="1264"/>
      <c r="U744" s="1264"/>
      <c r="V744" s="1264"/>
      <c r="W744" s="1264"/>
      <c r="X744" s="1264"/>
      <c r="Y744" s="1264"/>
      <c r="Z744" s="1264"/>
    </row>
    <row r="745" spans="1:26" ht="18.75" hidden="1">
      <c r="A745" s="1294"/>
      <c r="B745" s="1265"/>
      <c r="C745" s="1261"/>
      <c r="D745" s="1261"/>
      <c r="E745" s="1261"/>
      <c r="F745" s="1261" t="s">
        <v>188</v>
      </c>
      <c r="G745" s="1263"/>
      <c r="H745" s="165" t="s">
        <v>12</v>
      </c>
      <c r="I745" s="836"/>
      <c r="J745" s="836"/>
      <c r="K745" s="837"/>
      <c r="L745" s="837"/>
      <c r="M745" s="837"/>
      <c r="N745" s="837"/>
      <c r="O745" s="837"/>
      <c r="P745" s="837"/>
      <c r="Q745" s="1264"/>
      <c r="R745" s="1264"/>
      <c r="S745" s="1264"/>
      <c r="T745" s="1264"/>
      <c r="U745" s="1264"/>
      <c r="V745" s="1264"/>
      <c r="W745" s="1264"/>
      <c r="X745" s="1264"/>
      <c r="Y745" s="1264"/>
      <c r="Z745" s="1264"/>
    </row>
    <row r="746" spans="1:26" ht="18.75" hidden="1">
      <c r="A746" s="1294"/>
      <c r="B746" s="1265"/>
      <c r="C746" s="1261"/>
      <c r="D746" s="1261"/>
      <c r="E746" s="1261"/>
      <c r="F746" s="1261" t="s">
        <v>189</v>
      </c>
      <c r="G746" s="1263"/>
      <c r="H746" s="165" t="s">
        <v>12</v>
      </c>
      <c r="I746" s="836"/>
      <c r="J746" s="836"/>
      <c r="K746" s="837"/>
      <c r="L746" s="837"/>
      <c r="M746" s="837"/>
      <c r="N746" s="837"/>
      <c r="O746" s="837"/>
      <c r="P746" s="837"/>
      <c r="Q746" s="1264"/>
      <c r="R746" s="1264"/>
      <c r="S746" s="1264"/>
      <c r="T746" s="1264"/>
      <c r="U746" s="1264"/>
      <c r="V746" s="1264"/>
      <c r="W746" s="1264"/>
      <c r="X746" s="1264"/>
      <c r="Y746" s="1264"/>
      <c r="Z746" s="1264"/>
    </row>
    <row r="747" spans="1:26" ht="19.5" hidden="1">
      <c r="A747" s="1260"/>
      <c r="B747" s="1265"/>
      <c r="C747" s="1261"/>
      <c r="D747" s="1392" t="s">
        <v>21</v>
      </c>
      <c r="E747" s="1261"/>
      <c r="F747" s="1261"/>
      <c r="G747" s="1263"/>
      <c r="H747" s="749" t="s">
        <v>12</v>
      </c>
      <c r="I747" s="947"/>
      <c r="J747" s="947"/>
      <c r="K747" s="948"/>
      <c r="L747" s="1292">
        <f t="shared" ref="L747:N747" si="299">L748+L749</f>
        <v>0</v>
      </c>
      <c r="M747" s="1292">
        <f t="shared" si="299"/>
        <v>0</v>
      </c>
      <c r="N747" s="1292">
        <f t="shared" si="299"/>
        <v>0</v>
      </c>
      <c r="O747" s="1292">
        <f t="shared" ref="O747:O749" si="300">IF(L747&gt;0,N747*100/L747,0)</f>
        <v>0</v>
      </c>
      <c r="P747" s="1292">
        <f t="shared" ref="P747:P749" si="301">IF(M747&gt;0,N747*100/M747,0)</f>
        <v>0</v>
      </c>
      <c r="Q747" s="1264"/>
      <c r="R747" s="1264"/>
      <c r="S747" s="1264"/>
      <c r="T747" s="1264"/>
      <c r="U747" s="1264"/>
      <c r="V747" s="1264"/>
      <c r="W747" s="1264"/>
      <c r="X747" s="1264"/>
      <c r="Y747" s="1264"/>
      <c r="Z747" s="1264"/>
    </row>
    <row r="748" spans="1:26" ht="18.75" hidden="1">
      <c r="A748" s="1260"/>
      <c r="B748" s="1265"/>
      <c r="C748" s="1261"/>
      <c r="D748" s="1261"/>
      <c r="E748" s="1261" t="s">
        <v>18</v>
      </c>
      <c r="F748" s="1261"/>
      <c r="G748" s="1263"/>
      <c r="H748" s="165" t="s">
        <v>12</v>
      </c>
      <c r="I748" s="947"/>
      <c r="J748" s="947"/>
      <c r="K748" s="948"/>
      <c r="L748" s="837">
        <v>0</v>
      </c>
      <c r="M748" s="837">
        <v>0</v>
      </c>
      <c r="N748" s="837">
        <v>0</v>
      </c>
      <c r="O748" s="837">
        <f t="shared" si="300"/>
        <v>0</v>
      </c>
      <c r="P748" s="837">
        <f t="shared" si="301"/>
        <v>0</v>
      </c>
      <c r="Q748" s="1264"/>
      <c r="R748" s="1264"/>
      <c r="S748" s="1264"/>
      <c r="T748" s="1264"/>
      <c r="U748" s="1264"/>
      <c r="V748" s="1264"/>
      <c r="W748" s="1264"/>
      <c r="X748" s="1264"/>
      <c r="Y748" s="1264"/>
      <c r="Z748" s="1264"/>
    </row>
    <row r="749" spans="1:26" ht="18.75" hidden="1">
      <c r="A749" s="1260"/>
      <c r="B749" s="1265"/>
      <c r="C749" s="1261"/>
      <c r="D749" s="1261"/>
      <c r="E749" s="1261" t="s">
        <v>19</v>
      </c>
      <c r="F749" s="1261"/>
      <c r="G749" s="1263"/>
      <c r="H749" s="169" t="s">
        <v>12</v>
      </c>
      <c r="I749" s="947"/>
      <c r="J749" s="947"/>
      <c r="K749" s="948"/>
      <c r="L749" s="837">
        <v>0</v>
      </c>
      <c r="M749" s="837">
        <v>0</v>
      </c>
      <c r="N749" s="837">
        <v>0</v>
      </c>
      <c r="O749" s="837">
        <f t="shared" si="300"/>
        <v>0</v>
      </c>
      <c r="P749" s="837">
        <f t="shared" si="301"/>
        <v>0</v>
      </c>
      <c r="Q749" s="1264"/>
      <c r="R749" s="1264"/>
      <c r="S749" s="1264"/>
      <c r="T749" s="1264"/>
      <c r="U749" s="1264"/>
      <c r="V749" s="1264"/>
      <c r="W749" s="1264"/>
      <c r="X749" s="1264"/>
      <c r="Y749" s="1264"/>
      <c r="Z749" s="1264"/>
    </row>
    <row r="750" spans="1:26" ht="19.5" hidden="1">
      <c r="A750" s="1273"/>
      <c r="B750" s="1274"/>
      <c r="C750" s="1261" t="s">
        <v>16</v>
      </c>
      <c r="D750" s="1393" t="s">
        <v>38</v>
      </c>
      <c r="E750" s="1296"/>
      <c r="F750" s="1296"/>
      <c r="G750" s="1297"/>
      <c r="H750" s="1060"/>
      <c r="I750" s="947"/>
      <c r="J750" s="947"/>
      <c r="K750" s="948"/>
      <c r="L750" s="948"/>
      <c r="M750" s="948"/>
      <c r="N750" s="948"/>
      <c r="O750" s="948"/>
      <c r="P750" s="948"/>
      <c r="Q750" s="1264"/>
      <c r="R750" s="1264"/>
      <c r="S750" s="1264"/>
      <c r="T750" s="1264"/>
      <c r="U750" s="1264"/>
      <c r="V750" s="1264"/>
      <c r="W750" s="1264"/>
      <c r="X750" s="1264"/>
      <c r="Y750" s="1264"/>
      <c r="Z750" s="1264"/>
    </row>
    <row r="751" spans="1:26" ht="18.75" hidden="1">
      <c r="A751" s="1294"/>
      <c r="B751" s="1265"/>
      <c r="C751" s="1261"/>
      <c r="D751" s="1261"/>
      <c r="E751" s="1261" t="s">
        <v>313</v>
      </c>
      <c r="F751" s="1261"/>
      <c r="G751" s="1263"/>
      <c r="H751" s="165" t="s">
        <v>46</v>
      </c>
      <c r="I751" s="836"/>
      <c r="J751" s="836"/>
      <c r="K751" s="837"/>
      <c r="L751" s="837"/>
      <c r="M751" s="837"/>
      <c r="N751" s="837"/>
      <c r="O751" s="837"/>
      <c r="P751" s="837"/>
      <c r="Q751" s="1264"/>
      <c r="R751" s="1264"/>
      <c r="S751" s="1264"/>
      <c r="T751" s="1264"/>
      <c r="U751" s="1264"/>
      <c r="V751" s="1264"/>
      <c r="W751" s="1264"/>
      <c r="X751" s="1264"/>
      <c r="Y751" s="1264"/>
      <c r="Z751" s="1264"/>
    </row>
    <row r="752" spans="1:26" ht="18.75" hidden="1">
      <c r="A752" s="1294"/>
      <c r="B752" s="1265"/>
      <c r="C752" s="1261"/>
      <c r="D752" s="1261"/>
      <c r="E752" s="1261"/>
      <c r="F752" s="1261"/>
      <c r="G752" s="1263"/>
      <c r="H752" s="165" t="s">
        <v>314</v>
      </c>
      <c r="I752" s="836"/>
      <c r="J752" s="836"/>
      <c r="K752" s="837"/>
      <c r="L752" s="837"/>
      <c r="M752" s="837"/>
      <c r="N752" s="837"/>
      <c r="O752" s="837"/>
      <c r="P752" s="837"/>
      <c r="Q752" s="1264"/>
      <c r="R752" s="1264"/>
      <c r="S752" s="1264"/>
      <c r="T752" s="1264"/>
      <c r="U752" s="1264"/>
      <c r="V752" s="1264"/>
      <c r="W752" s="1264"/>
      <c r="X752" s="1264"/>
      <c r="Y752" s="1264"/>
      <c r="Z752" s="1264"/>
    </row>
    <row r="753" spans="1:26" ht="19.5" hidden="1">
      <c r="A753" s="751">
        <v>10</v>
      </c>
      <c r="B753" s="1394" t="s">
        <v>315</v>
      </c>
      <c r="C753" s="1395"/>
      <c r="D753" s="1395"/>
      <c r="E753" s="1395"/>
      <c r="F753" s="1395"/>
      <c r="G753" s="1396"/>
      <c r="H753" s="755" t="s">
        <v>46</v>
      </c>
      <c r="I753" s="1397"/>
      <c r="J753" s="1397">
        <f>J768</f>
        <v>0</v>
      </c>
      <c r="K753" s="1398">
        <f>IF(I753&gt;0,J753*100/I753,0)</f>
        <v>0</v>
      </c>
      <c r="L753" s="1399"/>
      <c r="M753" s="1399"/>
      <c r="N753" s="1399"/>
      <c r="O753" s="1399"/>
      <c r="P753" s="1399"/>
      <c r="Q753" s="1264"/>
      <c r="R753" s="1264"/>
      <c r="S753" s="1264"/>
      <c r="T753" s="1264"/>
      <c r="U753" s="1264"/>
      <c r="V753" s="1264"/>
      <c r="W753" s="1264"/>
      <c r="X753" s="1264"/>
      <c r="Y753" s="1264"/>
      <c r="Z753" s="1264"/>
    </row>
    <row r="754" spans="1:26" ht="19.5" hidden="1">
      <c r="A754" s="1260"/>
      <c r="B754" s="1261"/>
      <c r="C754" s="1261" t="s">
        <v>16</v>
      </c>
      <c r="D754" s="1508" t="s">
        <v>17</v>
      </c>
      <c r="E754" s="1485"/>
      <c r="F754" s="1485"/>
      <c r="G754" s="1263"/>
      <c r="H754" s="612" t="s">
        <v>12</v>
      </c>
      <c r="I754" s="836"/>
      <c r="J754" s="836"/>
      <c r="K754" s="837"/>
      <c r="L754" s="1292">
        <f t="shared" ref="L754:N754" si="302">L755+L756</f>
        <v>0</v>
      </c>
      <c r="M754" s="1292">
        <f t="shared" si="302"/>
        <v>0</v>
      </c>
      <c r="N754" s="1292">
        <f t="shared" si="302"/>
        <v>0</v>
      </c>
      <c r="O754" s="1292">
        <f t="shared" ref="O754:O759" si="303">IF(L754&gt;0,N754*100/L754,0)</f>
        <v>0</v>
      </c>
      <c r="P754" s="1292">
        <f t="shared" ref="P754:P759" si="304">IF(M754&gt;0,N754*100/M754,0)</f>
        <v>0</v>
      </c>
      <c r="Q754" s="1264"/>
      <c r="R754" s="1264"/>
      <c r="S754" s="1264"/>
      <c r="T754" s="1264"/>
      <c r="U754" s="1264"/>
      <c r="V754" s="1264"/>
      <c r="W754" s="1264"/>
      <c r="X754" s="1264"/>
      <c r="Y754" s="1264"/>
      <c r="Z754" s="1264"/>
    </row>
    <row r="755" spans="1:26" ht="18.75" hidden="1">
      <c r="A755" s="1260"/>
      <c r="B755" s="1261"/>
      <c r="C755" s="1261"/>
      <c r="D755" s="1262"/>
      <c r="E755" s="1261" t="s">
        <v>184</v>
      </c>
      <c r="F755" s="1261"/>
      <c r="G755" s="1263"/>
      <c r="H755" s="165" t="s">
        <v>12</v>
      </c>
      <c r="I755" s="836"/>
      <c r="J755" s="836"/>
      <c r="K755" s="837"/>
      <c r="L755" s="837">
        <f t="shared" ref="L755:N756" si="305">L758+L765</f>
        <v>0</v>
      </c>
      <c r="M755" s="837">
        <f t="shared" si="305"/>
        <v>0</v>
      </c>
      <c r="N755" s="837">
        <f t="shared" si="305"/>
        <v>0</v>
      </c>
      <c r="O755" s="837">
        <f t="shared" si="303"/>
        <v>0</v>
      </c>
      <c r="P755" s="837">
        <f t="shared" si="304"/>
        <v>0</v>
      </c>
      <c r="Q755" s="1264"/>
      <c r="R755" s="1264"/>
      <c r="S755" s="1264"/>
      <c r="T755" s="1264"/>
      <c r="U755" s="1264"/>
      <c r="V755" s="1264"/>
      <c r="W755" s="1264"/>
      <c r="X755" s="1264"/>
      <c r="Y755" s="1264"/>
      <c r="Z755" s="1264"/>
    </row>
    <row r="756" spans="1:26" ht="18.75" hidden="1">
      <c r="A756" s="1260"/>
      <c r="B756" s="1265"/>
      <c r="C756" s="1261"/>
      <c r="D756" s="1262"/>
      <c r="E756" s="1261" t="s">
        <v>185</v>
      </c>
      <c r="F756" s="1261"/>
      <c r="G756" s="1263"/>
      <c r="H756" s="165" t="s">
        <v>12</v>
      </c>
      <c r="I756" s="836"/>
      <c r="J756" s="836"/>
      <c r="K756" s="837"/>
      <c r="L756" s="837">
        <f t="shared" si="305"/>
        <v>0</v>
      </c>
      <c r="M756" s="837">
        <f t="shared" si="305"/>
        <v>0</v>
      </c>
      <c r="N756" s="837">
        <f t="shared" si="305"/>
        <v>0</v>
      </c>
      <c r="O756" s="837">
        <f t="shared" si="303"/>
        <v>0</v>
      </c>
      <c r="P756" s="837">
        <f t="shared" si="304"/>
        <v>0</v>
      </c>
      <c r="Q756" s="1264"/>
      <c r="R756" s="1264"/>
      <c r="S756" s="1264"/>
      <c r="T756" s="1264"/>
      <c r="U756" s="1264"/>
      <c r="V756" s="1264"/>
      <c r="W756" s="1264"/>
      <c r="X756" s="1264"/>
      <c r="Y756" s="1264"/>
      <c r="Z756" s="1264"/>
    </row>
    <row r="757" spans="1:26" ht="19.5" hidden="1">
      <c r="A757" s="1260"/>
      <c r="B757" s="1265"/>
      <c r="C757" s="1261"/>
      <c r="D757" s="1392" t="s">
        <v>20</v>
      </c>
      <c r="E757" s="1261"/>
      <c r="F757" s="1261"/>
      <c r="G757" s="1263"/>
      <c r="H757" s="612" t="s">
        <v>12</v>
      </c>
      <c r="I757" s="947"/>
      <c r="J757" s="947"/>
      <c r="K757" s="948"/>
      <c r="L757" s="1292">
        <f t="shared" ref="L757:N757" si="306">L758+L759</f>
        <v>0</v>
      </c>
      <c r="M757" s="1292">
        <f t="shared" si="306"/>
        <v>0</v>
      </c>
      <c r="N757" s="1292">
        <f t="shared" si="306"/>
        <v>0</v>
      </c>
      <c r="O757" s="1292">
        <f t="shared" si="303"/>
        <v>0</v>
      </c>
      <c r="P757" s="1292">
        <f t="shared" si="304"/>
        <v>0</v>
      </c>
      <c r="Q757" s="1264"/>
      <c r="R757" s="1264"/>
      <c r="S757" s="1264"/>
      <c r="T757" s="1264"/>
      <c r="U757" s="1264"/>
      <c r="V757" s="1264"/>
      <c r="W757" s="1264"/>
      <c r="X757" s="1264"/>
      <c r="Y757" s="1264"/>
      <c r="Z757" s="1264"/>
    </row>
    <row r="758" spans="1:26" ht="18.75" hidden="1">
      <c r="A758" s="1260"/>
      <c r="B758" s="1265"/>
      <c r="C758" s="1261"/>
      <c r="D758" s="1262"/>
      <c r="E758" s="1261" t="s">
        <v>184</v>
      </c>
      <c r="F758" s="1261"/>
      <c r="G758" s="1263"/>
      <c r="H758" s="165" t="s">
        <v>12</v>
      </c>
      <c r="I758" s="836"/>
      <c r="J758" s="836"/>
      <c r="K758" s="837"/>
      <c r="L758" s="837">
        <v>0</v>
      </c>
      <c r="M758" s="837">
        <v>0</v>
      </c>
      <c r="N758" s="837">
        <v>0</v>
      </c>
      <c r="O758" s="837">
        <f t="shared" si="303"/>
        <v>0</v>
      </c>
      <c r="P758" s="837">
        <f t="shared" si="304"/>
        <v>0</v>
      </c>
      <c r="Q758" s="1264"/>
      <c r="R758" s="1264"/>
      <c r="S758" s="1264"/>
      <c r="T758" s="1264"/>
      <c r="U758" s="1264"/>
      <c r="V758" s="1264"/>
      <c r="W758" s="1264"/>
      <c r="X758" s="1264"/>
      <c r="Y758" s="1264"/>
      <c r="Z758" s="1264"/>
    </row>
    <row r="759" spans="1:26" ht="18.75" hidden="1">
      <c r="A759" s="1260"/>
      <c r="B759" s="1265"/>
      <c r="C759" s="1261"/>
      <c r="D759" s="1262"/>
      <c r="E759" s="1261" t="s">
        <v>185</v>
      </c>
      <c r="F759" s="1261"/>
      <c r="G759" s="1263"/>
      <c r="H759" s="165" t="s">
        <v>12</v>
      </c>
      <c r="I759" s="836"/>
      <c r="J759" s="836"/>
      <c r="K759" s="837"/>
      <c r="L759" s="837">
        <v>0</v>
      </c>
      <c r="M759" s="837">
        <v>0</v>
      </c>
      <c r="N759" s="837">
        <f>N760+N761+N762+N763</f>
        <v>0</v>
      </c>
      <c r="O759" s="837">
        <f t="shared" si="303"/>
        <v>0</v>
      </c>
      <c r="P759" s="837">
        <f t="shared" si="304"/>
        <v>0</v>
      </c>
      <c r="Q759" s="1264"/>
      <c r="R759" s="1264"/>
      <c r="S759" s="1264"/>
      <c r="T759" s="1264"/>
      <c r="U759" s="1264"/>
      <c r="V759" s="1264"/>
      <c r="W759" s="1264"/>
      <c r="X759" s="1264"/>
      <c r="Y759" s="1264"/>
      <c r="Z759" s="1264"/>
    </row>
    <row r="760" spans="1:26" ht="18.75" hidden="1">
      <c r="A760" s="1294"/>
      <c r="B760" s="1265"/>
      <c r="C760" s="1261"/>
      <c r="D760" s="1261"/>
      <c r="E760" s="1261"/>
      <c r="F760" s="1261" t="s">
        <v>186</v>
      </c>
      <c r="G760" s="1263"/>
      <c r="H760" s="165" t="s">
        <v>12</v>
      </c>
      <c r="I760" s="836"/>
      <c r="J760" s="836"/>
      <c r="K760" s="837"/>
      <c r="L760" s="837"/>
      <c r="M760" s="837"/>
      <c r="N760" s="837"/>
      <c r="O760" s="837"/>
      <c r="P760" s="837"/>
      <c r="Q760" s="1264"/>
      <c r="R760" s="1264"/>
      <c r="S760" s="1264"/>
      <c r="T760" s="1264"/>
      <c r="U760" s="1264"/>
      <c r="V760" s="1264"/>
      <c r="W760" s="1264"/>
      <c r="X760" s="1264"/>
      <c r="Y760" s="1264"/>
      <c r="Z760" s="1264"/>
    </row>
    <row r="761" spans="1:26" ht="18.75" hidden="1">
      <c r="A761" s="1294"/>
      <c r="B761" s="1265"/>
      <c r="C761" s="1261"/>
      <c r="D761" s="1261"/>
      <c r="E761" s="1261"/>
      <c r="F761" s="1261" t="s">
        <v>187</v>
      </c>
      <c r="G761" s="1263"/>
      <c r="H761" s="165" t="s">
        <v>12</v>
      </c>
      <c r="I761" s="836"/>
      <c r="J761" s="836"/>
      <c r="K761" s="837"/>
      <c r="L761" s="837"/>
      <c r="M761" s="837"/>
      <c r="N761" s="837"/>
      <c r="O761" s="837"/>
      <c r="P761" s="837"/>
      <c r="Q761" s="1264"/>
      <c r="R761" s="1264"/>
      <c r="S761" s="1264"/>
      <c r="T761" s="1264"/>
      <c r="U761" s="1264"/>
      <c r="V761" s="1264"/>
      <c r="W761" s="1264"/>
      <c r="X761" s="1264"/>
      <c r="Y761" s="1264"/>
      <c r="Z761" s="1264"/>
    </row>
    <row r="762" spans="1:26" ht="18.75" hidden="1">
      <c r="A762" s="1294"/>
      <c r="B762" s="1265"/>
      <c r="C762" s="1261"/>
      <c r="D762" s="1261"/>
      <c r="E762" s="1261"/>
      <c r="F762" s="1261" t="s">
        <v>188</v>
      </c>
      <c r="G762" s="1263"/>
      <c r="H762" s="165" t="s">
        <v>12</v>
      </c>
      <c r="I762" s="836"/>
      <c r="J762" s="836"/>
      <c r="K762" s="837"/>
      <c r="L762" s="837"/>
      <c r="M762" s="837"/>
      <c r="N762" s="837"/>
      <c r="O762" s="837"/>
      <c r="P762" s="837"/>
      <c r="Q762" s="1264"/>
      <c r="R762" s="1264"/>
      <c r="S762" s="1264"/>
      <c r="T762" s="1264"/>
      <c r="U762" s="1264"/>
      <c r="V762" s="1264"/>
      <c r="W762" s="1264"/>
      <c r="X762" s="1264"/>
      <c r="Y762" s="1264"/>
      <c r="Z762" s="1264"/>
    </row>
    <row r="763" spans="1:26" ht="18.75" hidden="1">
      <c r="A763" s="1294"/>
      <c r="B763" s="1265"/>
      <c r="C763" s="1261"/>
      <c r="D763" s="1261"/>
      <c r="E763" s="1261"/>
      <c r="F763" s="1261" t="s">
        <v>189</v>
      </c>
      <c r="G763" s="1263"/>
      <c r="H763" s="165" t="s">
        <v>12</v>
      </c>
      <c r="I763" s="836"/>
      <c r="J763" s="836"/>
      <c r="K763" s="837"/>
      <c r="L763" s="837"/>
      <c r="M763" s="837"/>
      <c r="N763" s="837"/>
      <c r="O763" s="837"/>
      <c r="P763" s="837"/>
      <c r="Q763" s="1264"/>
      <c r="R763" s="1264"/>
      <c r="S763" s="1264"/>
      <c r="T763" s="1264"/>
      <c r="U763" s="1264"/>
      <c r="V763" s="1264"/>
      <c r="W763" s="1264"/>
      <c r="X763" s="1264"/>
      <c r="Y763" s="1264"/>
      <c r="Z763" s="1264"/>
    </row>
    <row r="764" spans="1:26" ht="19.5" hidden="1">
      <c r="A764" s="1260"/>
      <c r="B764" s="1265"/>
      <c r="C764" s="1261"/>
      <c r="D764" s="1392" t="s">
        <v>21</v>
      </c>
      <c r="E764" s="1261"/>
      <c r="F764" s="1261"/>
      <c r="G764" s="1263"/>
      <c r="H764" s="749" t="s">
        <v>12</v>
      </c>
      <c r="I764" s="947"/>
      <c r="J764" s="947"/>
      <c r="K764" s="948"/>
      <c r="L764" s="1292">
        <f t="shared" ref="L764:N764" si="307">L765+L766</f>
        <v>0</v>
      </c>
      <c r="M764" s="1292">
        <f t="shared" si="307"/>
        <v>0</v>
      </c>
      <c r="N764" s="1292">
        <f t="shared" si="307"/>
        <v>0</v>
      </c>
      <c r="O764" s="1292">
        <f t="shared" ref="O764:O766" si="308">IF(L764&gt;0,N764*100/L764,0)</f>
        <v>0</v>
      </c>
      <c r="P764" s="1292">
        <f t="shared" ref="P764:P766" si="309">IF(M764&gt;0,N764*100/M764,0)</f>
        <v>0</v>
      </c>
      <c r="Q764" s="1264"/>
      <c r="R764" s="1264"/>
      <c r="S764" s="1264"/>
      <c r="T764" s="1264"/>
      <c r="U764" s="1264"/>
      <c r="V764" s="1264"/>
      <c r="W764" s="1264"/>
      <c r="X764" s="1264"/>
      <c r="Y764" s="1264"/>
      <c r="Z764" s="1264"/>
    </row>
    <row r="765" spans="1:26" ht="18.75" hidden="1">
      <c r="A765" s="1260"/>
      <c r="B765" s="1265"/>
      <c r="C765" s="1261"/>
      <c r="D765" s="1261"/>
      <c r="E765" s="1261" t="s">
        <v>18</v>
      </c>
      <c r="F765" s="1261"/>
      <c r="G765" s="1263"/>
      <c r="H765" s="165" t="s">
        <v>12</v>
      </c>
      <c r="I765" s="947"/>
      <c r="J765" s="947"/>
      <c r="K765" s="948"/>
      <c r="L765" s="837">
        <v>0</v>
      </c>
      <c r="M765" s="837">
        <v>0</v>
      </c>
      <c r="N765" s="837">
        <v>0</v>
      </c>
      <c r="O765" s="837">
        <f t="shared" si="308"/>
        <v>0</v>
      </c>
      <c r="P765" s="837">
        <f t="shared" si="309"/>
        <v>0</v>
      </c>
      <c r="Q765" s="1264"/>
      <c r="R765" s="1264"/>
      <c r="S765" s="1264"/>
      <c r="T765" s="1264"/>
      <c r="U765" s="1264"/>
      <c r="V765" s="1264"/>
      <c r="W765" s="1264"/>
      <c r="X765" s="1264"/>
      <c r="Y765" s="1264"/>
      <c r="Z765" s="1264"/>
    </row>
    <row r="766" spans="1:26" ht="18.75" hidden="1">
      <c r="A766" s="1260"/>
      <c r="B766" s="1265"/>
      <c r="C766" s="1261"/>
      <c r="D766" s="1261"/>
      <c r="E766" s="1261" t="s">
        <v>19</v>
      </c>
      <c r="F766" s="1261"/>
      <c r="G766" s="1263"/>
      <c r="H766" s="169" t="s">
        <v>12</v>
      </c>
      <c r="I766" s="947"/>
      <c r="J766" s="947"/>
      <c r="K766" s="948"/>
      <c r="L766" s="837">
        <v>0</v>
      </c>
      <c r="M766" s="837">
        <v>0</v>
      </c>
      <c r="N766" s="837">
        <v>0</v>
      </c>
      <c r="O766" s="837">
        <f t="shared" si="308"/>
        <v>0</v>
      </c>
      <c r="P766" s="837">
        <f t="shared" si="309"/>
        <v>0</v>
      </c>
      <c r="Q766" s="1264"/>
      <c r="R766" s="1264"/>
      <c r="S766" s="1264"/>
      <c r="T766" s="1264"/>
      <c r="U766" s="1264"/>
      <c r="V766" s="1264"/>
      <c r="W766" s="1264"/>
      <c r="X766" s="1264"/>
      <c r="Y766" s="1264"/>
      <c r="Z766" s="1264"/>
    </row>
    <row r="767" spans="1:26" ht="19.5" hidden="1">
      <c r="A767" s="1273"/>
      <c r="B767" s="1274"/>
      <c r="C767" s="1261" t="s">
        <v>16</v>
      </c>
      <c r="D767" s="1393" t="s">
        <v>38</v>
      </c>
      <c r="E767" s="1296"/>
      <c r="F767" s="1296"/>
      <c r="G767" s="1297"/>
      <c r="H767" s="1060"/>
      <c r="I767" s="947"/>
      <c r="J767" s="947"/>
      <c r="K767" s="948"/>
      <c r="L767" s="948"/>
      <c r="M767" s="948"/>
      <c r="N767" s="948"/>
      <c r="O767" s="948"/>
      <c r="P767" s="948"/>
      <c r="Q767" s="1264"/>
      <c r="R767" s="1264"/>
      <c r="S767" s="1264"/>
      <c r="T767" s="1264"/>
      <c r="U767" s="1264"/>
      <c r="V767" s="1264"/>
      <c r="W767" s="1264"/>
      <c r="X767" s="1264"/>
      <c r="Y767" s="1264"/>
      <c r="Z767" s="1264"/>
    </row>
    <row r="768" spans="1:26" ht="18.75" hidden="1">
      <c r="A768" s="1294"/>
      <c r="B768" s="1265"/>
      <c r="C768" s="1261"/>
      <c r="D768" s="1261"/>
      <c r="E768" s="1261" t="s">
        <v>316</v>
      </c>
      <c r="F768" s="1261"/>
      <c r="G768" s="1263"/>
      <c r="H768" s="165" t="s">
        <v>46</v>
      </c>
      <c r="I768" s="836"/>
      <c r="J768" s="836"/>
      <c r="K768" s="837"/>
      <c r="L768" s="837"/>
      <c r="M768" s="837"/>
      <c r="N768" s="837"/>
      <c r="O768" s="837"/>
      <c r="P768" s="837"/>
      <c r="Q768" s="1264"/>
      <c r="R768" s="1264"/>
      <c r="S768" s="1264"/>
      <c r="T768" s="1264"/>
      <c r="U768" s="1264"/>
      <c r="V768" s="1264"/>
      <c r="W768" s="1264"/>
      <c r="X768" s="1264"/>
      <c r="Y768" s="1264"/>
      <c r="Z768" s="1264"/>
    </row>
    <row r="769" spans="1:26" ht="19.5" hidden="1">
      <c r="A769" s="759">
        <v>11</v>
      </c>
      <c r="B769" s="1400" t="s">
        <v>317</v>
      </c>
      <c r="C769" s="1401"/>
      <c r="D769" s="1401"/>
      <c r="E769" s="1401"/>
      <c r="F769" s="1401"/>
      <c r="G769" s="1402"/>
      <c r="H769" s="763" t="s">
        <v>46</v>
      </c>
      <c r="I769" s="1403"/>
      <c r="J769" s="1403">
        <f>J784</f>
        <v>0</v>
      </c>
      <c r="K769" s="1404">
        <f>IF(I769&gt;0,J769*100/I769,0)</f>
        <v>0</v>
      </c>
      <c r="L769" s="1405"/>
      <c r="M769" s="1405"/>
      <c r="N769" s="1405"/>
      <c r="O769" s="1405"/>
      <c r="P769" s="1405"/>
      <c r="Q769" s="1264"/>
      <c r="R769" s="1264"/>
      <c r="S769" s="1264"/>
      <c r="T769" s="1264"/>
      <c r="U769" s="1264"/>
      <c r="V769" s="1264"/>
      <c r="W769" s="1264"/>
      <c r="X769" s="1264"/>
      <c r="Y769" s="1264"/>
      <c r="Z769" s="1264"/>
    </row>
    <row r="770" spans="1:26" ht="19.5" hidden="1">
      <c r="A770" s="1260"/>
      <c r="B770" s="1261"/>
      <c r="C770" s="1261" t="s">
        <v>16</v>
      </c>
      <c r="D770" s="1508" t="s">
        <v>17</v>
      </c>
      <c r="E770" s="1485"/>
      <c r="F770" s="1485"/>
      <c r="G770" s="1263"/>
      <c r="H770" s="612" t="s">
        <v>12</v>
      </c>
      <c r="I770" s="836"/>
      <c r="J770" s="836"/>
      <c r="K770" s="837"/>
      <c r="L770" s="1292">
        <f t="shared" ref="L770:N770" si="310">L771+L772</f>
        <v>0</v>
      </c>
      <c r="M770" s="1292">
        <f t="shared" si="310"/>
        <v>0</v>
      </c>
      <c r="N770" s="1292">
        <f t="shared" si="310"/>
        <v>0</v>
      </c>
      <c r="O770" s="1292">
        <f t="shared" ref="O770:O775" si="311">IF(L770&gt;0,N770*100/L770,0)</f>
        <v>0</v>
      </c>
      <c r="P770" s="1292">
        <f t="shared" ref="P770:P775" si="312">IF(M770&gt;0,N770*100/M770,0)</f>
        <v>0</v>
      </c>
      <c r="Q770" s="1264"/>
      <c r="R770" s="1264"/>
      <c r="S770" s="1264"/>
      <c r="T770" s="1264"/>
      <c r="U770" s="1264"/>
      <c r="V770" s="1264"/>
      <c r="W770" s="1264"/>
      <c r="X770" s="1264"/>
      <c r="Y770" s="1264"/>
      <c r="Z770" s="1264"/>
    </row>
    <row r="771" spans="1:26" ht="18.75" hidden="1">
      <c r="A771" s="1260"/>
      <c r="B771" s="1261"/>
      <c r="C771" s="1261"/>
      <c r="D771" s="1262"/>
      <c r="E771" s="1261" t="s">
        <v>184</v>
      </c>
      <c r="F771" s="1261"/>
      <c r="G771" s="1263"/>
      <c r="H771" s="165" t="s">
        <v>12</v>
      </c>
      <c r="I771" s="836"/>
      <c r="J771" s="836"/>
      <c r="K771" s="837"/>
      <c r="L771" s="837">
        <f t="shared" ref="L771:N772" si="313">L774+L781</f>
        <v>0</v>
      </c>
      <c r="M771" s="837">
        <f t="shared" si="313"/>
        <v>0</v>
      </c>
      <c r="N771" s="837">
        <f t="shared" si="313"/>
        <v>0</v>
      </c>
      <c r="O771" s="837">
        <f t="shared" si="311"/>
        <v>0</v>
      </c>
      <c r="P771" s="837">
        <f t="shared" si="312"/>
        <v>0</v>
      </c>
      <c r="Q771" s="1264"/>
      <c r="R771" s="1264"/>
      <c r="S771" s="1264"/>
      <c r="T771" s="1264"/>
      <c r="U771" s="1264"/>
      <c r="V771" s="1264"/>
      <c r="W771" s="1264"/>
      <c r="X771" s="1264"/>
      <c r="Y771" s="1264"/>
      <c r="Z771" s="1264"/>
    </row>
    <row r="772" spans="1:26" ht="18.75" hidden="1">
      <c r="A772" s="1260"/>
      <c r="B772" s="1265"/>
      <c r="C772" s="1261"/>
      <c r="D772" s="1262"/>
      <c r="E772" s="1261" t="s">
        <v>185</v>
      </c>
      <c r="F772" s="1261"/>
      <c r="G772" s="1263"/>
      <c r="H772" s="165" t="s">
        <v>12</v>
      </c>
      <c r="I772" s="836"/>
      <c r="J772" s="836"/>
      <c r="K772" s="837"/>
      <c r="L772" s="837">
        <f t="shared" si="313"/>
        <v>0</v>
      </c>
      <c r="M772" s="837">
        <f t="shared" si="313"/>
        <v>0</v>
      </c>
      <c r="N772" s="837">
        <f t="shared" si="313"/>
        <v>0</v>
      </c>
      <c r="O772" s="837">
        <f t="shared" si="311"/>
        <v>0</v>
      </c>
      <c r="P772" s="837">
        <f t="shared" si="312"/>
        <v>0</v>
      </c>
      <c r="Q772" s="1264"/>
      <c r="R772" s="1264"/>
      <c r="S772" s="1264"/>
      <c r="T772" s="1264"/>
      <c r="U772" s="1264"/>
      <c r="V772" s="1264"/>
      <c r="W772" s="1264"/>
      <c r="X772" s="1264"/>
      <c r="Y772" s="1264"/>
      <c r="Z772" s="1264"/>
    </row>
    <row r="773" spans="1:26" ht="19.5" hidden="1">
      <c r="A773" s="1260"/>
      <c r="B773" s="1265"/>
      <c r="C773" s="1261"/>
      <c r="D773" s="1392" t="s">
        <v>20</v>
      </c>
      <c r="E773" s="1261"/>
      <c r="F773" s="1261"/>
      <c r="G773" s="1263"/>
      <c r="H773" s="612" t="s">
        <v>12</v>
      </c>
      <c r="I773" s="947"/>
      <c r="J773" s="947"/>
      <c r="K773" s="948"/>
      <c r="L773" s="1292">
        <f t="shared" ref="L773:N773" si="314">L774+L775</f>
        <v>0</v>
      </c>
      <c r="M773" s="1292">
        <f t="shared" si="314"/>
        <v>0</v>
      </c>
      <c r="N773" s="1292">
        <f t="shared" si="314"/>
        <v>0</v>
      </c>
      <c r="O773" s="1292">
        <f t="shared" si="311"/>
        <v>0</v>
      </c>
      <c r="P773" s="1292">
        <f t="shared" si="312"/>
        <v>0</v>
      </c>
      <c r="Q773" s="1264"/>
      <c r="R773" s="1264"/>
      <c r="S773" s="1264"/>
      <c r="T773" s="1264"/>
      <c r="U773" s="1264"/>
      <c r="V773" s="1264"/>
      <c r="W773" s="1264"/>
      <c r="X773" s="1264"/>
      <c r="Y773" s="1264"/>
      <c r="Z773" s="1264"/>
    </row>
    <row r="774" spans="1:26" ht="18.75" hidden="1">
      <c r="A774" s="1260"/>
      <c r="B774" s="1265"/>
      <c r="C774" s="1261"/>
      <c r="D774" s="1262"/>
      <c r="E774" s="1261" t="s">
        <v>184</v>
      </c>
      <c r="F774" s="1261"/>
      <c r="G774" s="1263"/>
      <c r="H774" s="165" t="s">
        <v>12</v>
      </c>
      <c r="I774" s="836"/>
      <c r="J774" s="836"/>
      <c r="K774" s="837"/>
      <c r="L774" s="837">
        <v>0</v>
      </c>
      <c r="M774" s="837">
        <v>0</v>
      </c>
      <c r="N774" s="837">
        <v>0</v>
      </c>
      <c r="O774" s="837">
        <f t="shared" si="311"/>
        <v>0</v>
      </c>
      <c r="P774" s="837">
        <f t="shared" si="312"/>
        <v>0</v>
      </c>
      <c r="Q774" s="1264"/>
      <c r="R774" s="1264"/>
      <c r="S774" s="1264"/>
      <c r="T774" s="1264"/>
      <c r="U774" s="1264"/>
      <c r="V774" s="1264"/>
      <c r="W774" s="1264"/>
      <c r="X774" s="1264"/>
      <c r="Y774" s="1264"/>
      <c r="Z774" s="1264"/>
    </row>
    <row r="775" spans="1:26" ht="18.75" hidden="1">
      <c r="A775" s="1260"/>
      <c r="B775" s="1265"/>
      <c r="C775" s="1261"/>
      <c r="D775" s="1262"/>
      <c r="E775" s="1261" t="s">
        <v>185</v>
      </c>
      <c r="F775" s="1261"/>
      <c r="G775" s="1263"/>
      <c r="H775" s="165" t="s">
        <v>12</v>
      </c>
      <c r="I775" s="836"/>
      <c r="J775" s="836"/>
      <c r="K775" s="837"/>
      <c r="L775" s="837">
        <v>0</v>
      </c>
      <c r="M775" s="837">
        <v>0</v>
      </c>
      <c r="N775" s="837">
        <f>N776+N777+N778+N779</f>
        <v>0</v>
      </c>
      <c r="O775" s="837">
        <f t="shared" si="311"/>
        <v>0</v>
      </c>
      <c r="P775" s="837">
        <f t="shared" si="312"/>
        <v>0</v>
      </c>
      <c r="Q775" s="1264"/>
      <c r="R775" s="1264"/>
      <c r="S775" s="1264"/>
      <c r="T775" s="1264"/>
      <c r="U775" s="1264"/>
      <c r="V775" s="1264"/>
      <c r="W775" s="1264"/>
      <c r="X775" s="1264"/>
      <c r="Y775" s="1264"/>
      <c r="Z775" s="1264"/>
    </row>
    <row r="776" spans="1:26" ht="18.75" hidden="1">
      <c r="A776" s="1294"/>
      <c r="B776" s="1265"/>
      <c r="C776" s="1261"/>
      <c r="D776" s="1261"/>
      <c r="E776" s="1261"/>
      <c r="F776" s="1261" t="s">
        <v>186</v>
      </c>
      <c r="G776" s="1263"/>
      <c r="H776" s="165" t="s">
        <v>12</v>
      </c>
      <c r="I776" s="836"/>
      <c r="J776" s="836"/>
      <c r="K776" s="837"/>
      <c r="L776" s="837"/>
      <c r="M776" s="837"/>
      <c r="N776" s="837"/>
      <c r="O776" s="837"/>
      <c r="P776" s="837"/>
      <c r="Q776" s="1264"/>
      <c r="R776" s="1264"/>
      <c r="S776" s="1264"/>
      <c r="T776" s="1264"/>
      <c r="U776" s="1264"/>
      <c r="V776" s="1264"/>
      <c r="W776" s="1264"/>
      <c r="X776" s="1264"/>
      <c r="Y776" s="1264"/>
      <c r="Z776" s="1264"/>
    </row>
    <row r="777" spans="1:26" ht="18.75" hidden="1">
      <c r="A777" s="1294"/>
      <c r="B777" s="1265"/>
      <c r="C777" s="1261"/>
      <c r="D777" s="1261"/>
      <c r="E777" s="1261"/>
      <c r="F777" s="1261" t="s">
        <v>187</v>
      </c>
      <c r="G777" s="1263"/>
      <c r="H777" s="165" t="s">
        <v>12</v>
      </c>
      <c r="I777" s="836"/>
      <c r="J777" s="836"/>
      <c r="K777" s="837"/>
      <c r="L777" s="837"/>
      <c r="M777" s="837"/>
      <c r="N777" s="837"/>
      <c r="O777" s="837"/>
      <c r="P777" s="837"/>
      <c r="Q777" s="1264"/>
      <c r="R777" s="1264"/>
      <c r="S777" s="1264"/>
      <c r="T777" s="1264"/>
      <c r="U777" s="1264"/>
      <c r="V777" s="1264"/>
      <c r="W777" s="1264"/>
      <c r="X777" s="1264"/>
      <c r="Y777" s="1264"/>
      <c r="Z777" s="1264"/>
    </row>
    <row r="778" spans="1:26" ht="18.75" hidden="1">
      <c r="A778" s="1294"/>
      <c r="B778" s="1265"/>
      <c r="C778" s="1261"/>
      <c r="D778" s="1261"/>
      <c r="E778" s="1261"/>
      <c r="F778" s="1261" t="s">
        <v>188</v>
      </c>
      <c r="G778" s="1263"/>
      <c r="H778" s="165" t="s">
        <v>12</v>
      </c>
      <c r="I778" s="836"/>
      <c r="J778" s="836"/>
      <c r="K778" s="837"/>
      <c r="L778" s="837"/>
      <c r="M778" s="837"/>
      <c r="N778" s="837"/>
      <c r="O778" s="837"/>
      <c r="P778" s="837"/>
      <c r="Q778" s="1264"/>
      <c r="R778" s="1264"/>
      <c r="S778" s="1264"/>
      <c r="T778" s="1264"/>
      <c r="U778" s="1264"/>
      <c r="V778" s="1264"/>
      <c r="W778" s="1264"/>
      <c r="X778" s="1264"/>
      <c r="Y778" s="1264"/>
      <c r="Z778" s="1264"/>
    </row>
    <row r="779" spans="1:26" ht="18.75" hidden="1">
      <c r="A779" s="1294"/>
      <c r="B779" s="1265"/>
      <c r="C779" s="1261"/>
      <c r="D779" s="1261"/>
      <c r="E779" s="1261"/>
      <c r="F779" s="1261" t="s">
        <v>189</v>
      </c>
      <c r="G779" s="1263"/>
      <c r="H779" s="165" t="s">
        <v>12</v>
      </c>
      <c r="I779" s="836"/>
      <c r="J779" s="836"/>
      <c r="K779" s="837"/>
      <c r="L779" s="837"/>
      <c r="M779" s="837"/>
      <c r="N779" s="837"/>
      <c r="O779" s="837"/>
      <c r="P779" s="837"/>
      <c r="Q779" s="1264"/>
      <c r="R779" s="1264"/>
      <c r="S779" s="1264"/>
      <c r="T779" s="1264"/>
      <c r="U779" s="1264"/>
      <c r="V779" s="1264"/>
      <c r="W779" s="1264"/>
      <c r="X779" s="1264"/>
      <c r="Y779" s="1264"/>
      <c r="Z779" s="1264"/>
    </row>
    <row r="780" spans="1:26" ht="19.5" hidden="1">
      <c r="A780" s="1260"/>
      <c r="B780" s="1265"/>
      <c r="C780" s="1261"/>
      <c r="D780" s="1392" t="s">
        <v>21</v>
      </c>
      <c r="E780" s="1261"/>
      <c r="F780" s="1261"/>
      <c r="G780" s="1263"/>
      <c r="H780" s="749" t="s">
        <v>12</v>
      </c>
      <c r="I780" s="947"/>
      <c r="J780" s="947"/>
      <c r="K780" s="948"/>
      <c r="L780" s="1292">
        <f t="shared" ref="L780:N780" si="315">L781+L782</f>
        <v>0</v>
      </c>
      <c r="M780" s="1292">
        <f t="shared" si="315"/>
        <v>0</v>
      </c>
      <c r="N780" s="1292">
        <f t="shared" si="315"/>
        <v>0</v>
      </c>
      <c r="O780" s="1292">
        <f t="shared" ref="O780:O782" si="316">IF(L780&gt;0,N780*100/L780,0)</f>
        <v>0</v>
      </c>
      <c r="P780" s="1292">
        <f t="shared" ref="P780:P782" si="317">IF(M780&gt;0,N780*100/M780,0)</f>
        <v>0</v>
      </c>
      <c r="Q780" s="1264"/>
      <c r="R780" s="1264"/>
      <c r="S780" s="1264"/>
      <c r="T780" s="1264"/>
      <c r="U780" s="1264"/>
      <c r="V780" s="1264"/>
      <c r="W780" s="1264"/>
      <c r="X780" s="1264"/>
      <c r="Y780" s="1264"/>
      <c r="Z780" s="1264"/>
    </row>
    <row r="781" spans="1:26" ht="18.75" hidden="1">
      <c r="A781" s="1260"/>
      <c r="B781" s="1265"/>
      <c r="C781" s="1261"/>
      <c r="D781" s="1261"/>
      <c r="E781" s="1261" t="s">
        <v>18</v>
      </c>
      <c r="F781" s="1261"/>
      <c r="G781" s="1263"/>
      <c r="H781" s="165" t="s">
        <v>12</v>
      </c>
      <c r="I781" s="947"/>
      <c r="J781" s="947"/>
      <c r="K781" s="948"/>
      <c r="L781" s="837">
        <v>0</v>
      </c>
      <c r="M781" s="837">
        <v>0</v>
      </c>
      <c r="N781" s="837">
        <v>0</v>
      </c>
      <c r="O781" s="837">
        <f t="shared" si="316"/>
        <v>0</v>
      </c>
      <c r="P781" s="837">
        <f t="shared" si="317"/>
        <v>0</v>
      </c>
      <c r="Q781" s="1264"/>
      <c r="R781" s="1264"/>
      <c r="S781" s="1264"/>
      <c r="T781" s="1264"/>
      <c r="U781" s="1264"/>
      <c r="V781" s="1264"/>
      <c r="W781" s="1264"/>
      <c r="X781" s="1264"/>
      <c r="Y781" s="1264"/>
      <c r="Z781" s="1264"/>
    </row>
    <row r="782" spans="1:26" ht="18.75" hidden="1">
      <c r="A782" s="1260"/>
      <c r="B782" s="1265"/>
      <c r="C782" s="1261"/>
      <c r="D782" s="1261"/>
      <c r="E782" s="1261" t="s">
        <v>19</v>
      </c>
      <c r="F782" s="1261"/>
      <c r="G782" s="1263"/>
      <c r="H782" s="169" t="s">
        <v>12</v>
      </c>
      <c r="I782" s="947"/>
      <c r="J782" s="947"/>
      <c r="K782" s="948"/>
      <c r="L782" s="837">
        <v>0</v>
      </c>
      <c r="M782" s="837">
        <v>0</v>
      </c>
      <c r="N782" s="837">
        <v>0</v>
      </c>
      <c r="O782" s="837">
        <f t="shared" si="316"/>
        <v>0</v>
      </c>
      <c r="P782" s="837">
        <f t="shared" si="317"/>
        <v>0</v>
      </c>
      <c r="Q782" s="1264"/>
      <c r="R782" s="1264"/>
      <c r="S782" s="1264"/>
      <c r="T782" s="1264"/>
      <c r="U782" s="1264"/>
      <c r="V782" s="1264"/>
      <c r="W782" s="1264"/>
      <c r="X782" s="1264"/>
      <c r="Y782" s="1264"/>
      <c r="Z782" s="1264"/>
    </row>
    <row r="783" spans="1:26" ht="19.5" hidden="1">
      <c r="A783" s="1273"/>
      <c r="B783" s="1274"/>
      <c r="C783" s="1261" t="s">
        <v>16</v>
      </c>
      <c r="D783" s="1393" t="s">
        <v>38</v>
      </c>
      <c r="E783" s="1296"/>
      <c r="F783" s="1296"/>
      <c r="G783" s="1297"/>
      <c r="H783" s="1406"/>
      <c r="I783" s="947"/>
      <c r="J783" s="947"/>
      <c r="K783" s="948"/>
      <c r="L783" s="948"/>
      <c r="M783" s="948"/>
      <c r="N783" s="948"/>
      <c r="O783" s="948"/>
      <c r="P783" s="948"/>
      <c r="Q783" s="1264"/>
      <c r="R783" s="1264"/>
      <c r="S783" s="1264"/>
      <c r="T783" s="1264"/>
      <c r="U783" s="1264"/>
      <c r="V783" s="1264"/>
      <c r="W783" s="1264"/>
      <c r="X783" s="1264"/>
      <c r="Y783" s="1264"/>
      <c r="Z783" s="1264"/>
    </row>
    <row r="784" spans="1:26" ht="18.75" hidden="1">
      <c r="A784" s="1294"/>
      <c r="B784" s="1265"/>
      <c r="C784" s="1261"/>
      <c r="D784" s="1261"/>
      <c r="E784" s="1261" t="s">
        <v>318</v>
      </c>
      <c r="F784" s="1261"/>
      <c r="G784" s="1263"/>
      <c r="H784" s="165" t="s">
        <v>46</v>
      </c>
      <c r="I784" s="836"/>
      <c r="J784" s="836"/>
      <c r="K784" s="837"/>
      <c r="L784" s="837"/>
      <c r="M784" s="837"/>
      <c r="N784" s="837"/>
      <c r="O784" s="837"/>
      <c r="P784" s="837"/>
      <c r="Q784" s="1264"/>
      <c r="R784" s="1264"/>
      <c r="S784" s="1264"/>
      <c r="T784" s="1264"/>
      <c r="U784" s="1264"/>
      <c r="V784" s="1264"/>
      <c r="W784" s="1264"/>
      <c r="X784" s="1264"/>
      <c r="Y784" s="1264"/>
      <c r="Z784" s="1264"/>
    </row>
    <row r="785" spans="1:26" ht="19.5">
      <c r="A785" s="768">
        <v>12</v>
      </c>
      <c r="B785" s="1407" t="s">
        <v>319</v>
      </c>
      <c r="C785" s="1408"/>
      <c r="D785" s="1408"/>
      <c r="E785" s="1408"/>
      <c r="F785" s="1408"/>
      <c r="G785" s="1409"/>
      <c r="H785" s="1444" t="s">
        <v>46</v>
      </c>
      <c r="I785" s="1445">
        <f t="shared" ref="I785:J785" ca="1" si="318">I801+I803</f>
        <v>3000</v>
      </c>
      <c r="J785" s="1445">
        <f t="shared" ca="1" si="318"/>
        <v>568</v>
      </c>
      <c r="K785" s="1446">
        <f ca="1">IF(I785&gt;0,J785*100/I785,0)</f>
        <v>18.933333333333334</v>
      </c>
      <c r="L785" s="1412"/>
      <c r="M785" s="1412"/>
      <c r="N785" s="1412"/>
      <c r="O785" s="1412"/>
      <c r="P785" s="1412"/>
      <c r="Q785" s="1244"/>
      <c r="R785" s="1244"/>
      <c r="S785" s="1244"/>
      <c r="T785" s="1244"/>
      <c r="U785" s="1244"/>
      <c r="V785" s="1244"/>
      <c r="W785" s="1244"/>
      <c r="X785" s="1244"/>
      <c r="Y785" s="1244"/>
      <c r="Z785" s="1244"/>
    </row>
    <row r="786" spans="1:26" ht="19.5">
      <c r="A786" s="1259"/>
      <c r="B786" s="1242"/>
      <c r="C786" s="1243" t="s">
        <v>16</v>
      </c>
      <c r="D786" s="1507" t="s">
        <v>17</v>
      </c>
      <c r="E786" s="1485"/>
      <c r="F786" s="1485"/>
      <c r="G786" s="963"/>
      <c r="H786" s="1447" t="s">
        <v>12</v>
      </c>
      <c r="I786" s="1448"/>
      <c r="J786" s="1448"/>
      <c r="K786" s="1449"/>
      <c r="L786" s="967">
        <f t="shared" ref="L786:N786" ca="1" si="319">L787+L788</f>
        <v>197920</v>
      </c>
      <c r="M786" s="967">
        <f t="shared" si="319"/>
        <v>0</v>
      </c>
      <c r="N786" s="967">
        <f t="shared" si="319"/>
        <v>75406.959999999992</v>
      </c>
      <c r="O786" s="967">
        <f t="shared" ref="O786:O791" ca="1" si="320">IF(L786&gt;0,N786*100/L786,0)</f>
        <v>38.099717057396923</v>
      </c>
      <c r="P786" s="967">
        <f t="shared" ref="P786:P791" si="321">IF(M786&gt;0,N786*100/M786,0)</f>
        <v>0</v>
      </c>
      <c r="Q786" s="1244"/>
      <c r="R786" s="1244"/>
      <c r="S786" s="1244"/>
      <c r="T786" s="1244"/>
      <c r="U786" s="1244"/>
      <c r="V786" s="1244"/>
      <c r="W786" s="1244"/>
      <c r="X786" s="1244"/>
      <c r="Y786" s="1244"/>
      <c r="Z786" s="1244"/>
    </row>
    <row r="787" spans="1:26" ht="18.75" hidden="1">
      <c r="A787" s="1260"/>
      <c r="B787" s="1265"/>
      <c r="C787" s="1261"/>
      <c r="D787" s="1262"/>
      <c r="E787" s="1261" t="s">
        <v>184</v>
      </c>
      <c r="F787" s="1261"/>
      <c r="G787" s="1263"/>
      <c r="H787" s="1450" t="s">
        <v>12</v>
      </c>
      <c r="I787" s="1448"/>
      <c r="J787" s="1448"/>
      <c r="K787" s="1449"/>
      <c r="L787" s="837">
        <f t="shared" ref="L787:N788" si="322">L790+L797</f>
        <v>0</v>
      </c>
      <c r="M787" s="837">
        <f t="shared" si="322"/>
        <v>0</v>
      </c>
      <c r="N787" s="837">
        <f t="shared" si="322"/>
        <v>0</v>
      </c>
      <c r="O787" s="837">
        <f t="shared" si="320"/>
        <v>0</v>
      </c>
      <c r="P787" s="837">
        <f t="shared" si="321"/>
        <v>0</v>
      </c>
      <c r="Q787" s="1264"/>
      <c r="R787" s="1264"/>
      <c r="S787" s="1264"/>
      <c r="T787" s="1264"/>
      <c r="U787" s="1264"/>
      <c r="V787" s="1264"/>
      <c r="W787" s="1264"/>
      <c r="X787" s="1264"/>
      <c r="Y787" s="1264"/>
      <c r="Z787" s="1264"/>
    </row>
    <row r="788" spans="1:26" ht="18.75" hidden="1">
      <c r="A788" s="1260"/>
      <c r="B788" s="1265"/>
      <c r="C788" s="1265"/>
      <c r="D788" s="1274"/>
      <c r="E788" s="1261" t="s">
        <v>185</v>
      </c>
      <c r="F788" s="1261"/>
      <c r="G788" s="1263"/>
      <c r="H788" s="1450" t="s">
        <v>12</v>
      </c>
      <c r="I788" s="1448"/>
      <c r="J788" s="1448"/>
      <c r="K788" s="1449"/>
      <c r="L788" s="837">
        <f t="shared" ca="1" si="322"/>
        <v>197920</v>
      </c>
      <c r="M788" s="837">
        <f t="shared" si="322"/>
        <v>0</v>
      </c>
      <c r="N788" s="837">
        <f t="shared" si="322"/>
        <v>75406.959999999992</v>
      </c>
      <c r="O788" s="837">
        <f t="shared" ca="1" si="320"/>
        <v>38.099717057396923</v>
      </c>
      <c r="P788" s="837">
        <f t="shared" si="321"/>
        <v>0</v>
      </c>
      <c r="Q788" s="1264"/>
      <c r="R788" s="1264"/>
      <c r="S788" s="1264"/>
      <c r="T788" s="1264"/>
      <c r="U788" s="1264"/>
      <c r="V788" s="1264"/>
      <c r="W788" s="1264"/>
      <c r="X788" s="1264"/>
      <c r="Y788" s="1264"/>
      <c r="Z788" s="1264"/>
    </row>
    <row r="789" spans="1:26" ht="18.75">
      <c r="A789" s="1259"/>
      <c r="B789" s="1242"/>
      <c r="C789" s="1242"/>
      <c r="D789" s="1266" t="s">
        <v>20</v>
      </c>
      <c r="E789" s="1243"/>
      <c r="F789" s="1243"/>
      <c r="G789" s="963"/>
      <c r="H789" s="1451" t="s">
        <v>12</v>
      </c>
      <c r="I789" s="1452"/>
      <c r="J789" s="1452"/>
      <c r="K789" s="1453"/>
      <c r="L789" s="831">
        <f t="shared" ref="L789:N789" ca="1" si="323">L790+L791</f>
        <v>197920</v>
      </c>
      <c r="M789" s="831">
        <f t="shared" si="323"/>
        <v>0</v>
      </c>
      <c r="N789" s="831">
        <f t="shared" si="323"/>
        <v>75406.959999999992</v>
      </c>
      <c r="O789" s="831">
        <f t="shared" ca="1" si="320"/>
        <v>38.099717057396923</v>
      </c>
      <c r="P789" s="831">
        <f t="shared" si="321"/>
        <v>0</v>
      </c>
      <c r="Q789" s="1244"/>
      <c r="R789" s="1244"/>
      <c r="S789" s="1244"/>
      <c r="T789" s="1244"/>
      <c r="U789" s="1244"/>
      <c r="V789" s="1244"/>
      <c r="W789" s="1244"/>
      <c r="X789" s="1244"/>
      <c r="Y789" s="1244"/>
      <c r="Z789" s="1244"/>
    </row>
    <row r="790" spans="1:26" ht="18.75" hidden="1">
      <c r="A790" s="1260"/>
      <c r="B790" s="1265"/>
      <c r="C790" s="1265"/>
      <c r="D790" s="1274"/>
      <c r="E790" s="1261" t="s">
        <v>184</v>
      </c>
      <c r="F790" s="1261"/>
      <c r="G790" s="1263"/>
      <c r="H790" s="1450" t="s">
        <v>12</v>
      </c>
      <c r="I790" s="1448"/>
      <c r="J790" s="1448"/>
      <c r="K790" s="1449"/>
      <c r="L790" s="837">
        <v>0</v>
      </c>
      <c r="M790" s="837">
        <v>0</v>
      </c>
      <c r="N790" s="837">
        <v>0</v>
      </c>
      <c r="O790" s="837">
        <f t="shared" si="320"/>
        <v>0</v>
      </c>
      <c r="P790" s="837">
        <f t="shared" si="321"/>
        <v>0</v>
      </c>
      <c r="Q790" s="1264"/>
      <c r="R790" s="1264"/>
      <c r="S790" s="1264"/>
      <c r="T790" s="1264"/>
      <c r="U790" s="1264"/>
      <c r="V790" s="1264"/>
      <c r="W790" s="1264"/>
      <c r="X790" s="1264"/>
      <c r="Y790" s="1264"/>
      <c r="Z790" s="1264"/>
    </row>
    <row r="791" spans="1:26" ht="18.75" hidden="1">
      <c r="A791" s="1260"/>
      <c r="B791" s="1265"/>
      <c r="C791" s="1265"/>
      <c r="D791" s="1274"/>
      <c r="E791" s="1261" t="s">
        <v>185</v>
      </c>
      <c r="F791" s="1261"/>
      <c r="G791" s="1263"/>
      <c r="H791" s="1450" t="s">
        <v>12</v>
      </c>
      <c r="I791" s="1448"/>
      <c r="J791" s="1448"/>
      <c r="K791" s="1449"/>
      <c r="L791" s="837">
        <f ca="1">IFERROR(__xludf.DUMMYFUNCTION("IMPORTRANGE(""https://docs.google.com/spreadsheets/d/1QqKyyYR6Q21VydFLVH3TRQUabQu_ym0Zz7PgGX0-kHA/edit?usp=sharing"",""แผน!JJ26"")"),197920)</f>
        <v>197920</v>
      </c>
      <c r="M791" s="837">
        <v>0</v>
      </c>
      <c r="N791" s="837">
        <f>N792+N793+N794+N795</f>
        <v>75406.959999999992</v>
      </c>
      <c r="O791" s="837">
        <f t="shared" ca="1" si="320"/>
        <v>38.099717057396923</v>
      </c>
      <c r="P791" s="837">
        <f t="shared" si="321"/>
        <v>0</v>
      </c>
      <c r="Q791" s="1264"/>
      <c r="R791" s="1264"/>
      <c r="S791" s="1264"/>
      <c r="T791" s="1264"/>
      <c r="U791" s="1264"/>
      <c r="V791" s="1264"/>
      <c r="W791" s="1264"/>
      <c r="X791" s="1264"/>
      <c r="Y791" s="1264"/>
      <c r="Z791" s="1264"/>
    </row>
    <row r="792" spans="1:26" ht="18.75">
      <c r="A792" s="1241"/>
      <c r="B792" s="1242"/>
      <c r="C792" s="1243"/>
      <c r="D792" s="1243"/>
      <c r="E792" s="1243"/>
      <c r="F792" s="1243" t="s">
        <v>186</v>
      </c>
      <c r="G792" s="963"/>
      <c r="H792" s="1451" t="s">
        <v>12</v>
      </c>
      <c r="I792" s="1448"/>
      <c r="J792" s="1448"/>
      <c r="K792" s="1449"/>
      <c r="L792" s="831"/>
      <c r="M792" s="831"/>
      <c r="N792" s="1031">
        <v>0</v>
      </c>
      <c r="O792" s="831"/>
      <c r="P792" s="831"/>
      <c r="Q792" s="1244"/>
      <c r="R792" s="1244"/>
      <c r="S792" s="1244"/>
      <c r="T792" s="1244"/>
      <c r="U792" s="1244"/>
      <c r="V792" s="1244"/>
      <c r="W792" s="1244"/>
      <c r="X792" s="1244"/>
      <c r="Y792" s="1244"/>
      <c r="Z792" s="1244"/>
    </row>
    <row r="793" spans="1:26" ht="18.75">
      <c r="A793" s="1241"/>
      <c r="B793" s="1242"/>
      <c r="C793" s="1243"/>
      <c r="D793" s="1243"/>
      <c r="E793" s="1243"/>
      <c r="F793" s="1243" t="s">
        <v>187</v>
      </c>
      <c r="G793" s="963"/>
      <c r="H793" s="1451" t="s">
        <v>12</v>
      </c>
      <c r="I793" s="1448"/>
      <c r="J793" s="1448"/>
      <c r="K793" s="1449"/>
      <c r="L793" s="831"/>
      <c r="M793" s="831"/>
      <c r="N793" s="1031">
        <v>0</v>
      </c>
      <c r="O793" s="831"/>
      <c r="P793" s="831"/>
      <c r="Q793" s="1244"/>
      <c r="R793" s="1244"/>
      <c r="S793" s="1244"/>
      <c r="T793" s="1244"/>
      <c r="U793" s="1244"/>
      <c r="V793" s="1244"/>
      <c r="W793" s="1244"/>
      <c r="X793" s="1244"/>
      <c r="Y793" s="1244"/>
      <c r="Z793" s="1244"/>
    </row>
    <row r="794" spans="1:26" ht="18.75">
      <c r="A794" s="1241"/>
      <c r="B794" s="1242"/>
      <c r="C794" s="1243"/>
      <c r="D794" s="1243"/>
      <c r="E794" s="1243"/>
      <c r="F794" s="1243" t="s">
        <v>188</v>
      </c>
      <c r="G794" s="963"/>
      <c r="H794" s="1451" t="s">
        <v>12</v>
      </c>
      <c r="I794" s="1448"/>
      <c r="J794" s="1448"/>
      <c r="K794" s="1449"/>
      <c r="L794" s="831"/>
      <c r="M794" s="831"/>
      <c r="N794" s="1031">
        <v>37266.68</v>
      </c>
      <c r="O794" s="831"/>
      <c r="P794" s="831"/>
      <c r="Q794" s="1244"/>
      <c r="R794" s="1244"/>
      <c r="S794" s="1244"/>
      <c r="T794" s="1244"/>
      <c r="U794" s="1244"/>
      <c r="V794" s="1244"/>
      <c r="W794" s="1244"/>
      <c r="X794" s="1244"/>
      <c r="Y794" s="1244"/>
      <c r="Z794" s="1244"/>
    </row>
    <row r="795" spans="1:26" ht="18.75">
      <c r="A795" s="1241"/>
      <c r="B795" s="1242"/>
      <c r="C795" s="1243"/>
      <c r="D795" s="1243"/>
      <c r="E795" s="1243"/>
      <c r="F795" s="1243" t="s">
        <v>189</v>
      </c>
      <c r="G795" s="963"/>
      <c r="H795" s="1451" t="s">
        <v>12</v>
      </c>
      <c r="I795" s="1448"/>
      <c r="J795" s="1448"/>
      <c r="K795" s="1449"/>
      <c r="L795" s="831"/>
      <c r="M795" s="831"/>
      <c r="N795" s="1031">
        <v>38140.28</v>
      </c>
      <c r="O795" s="831"/>
      <c r="P795" s="831"/>
      <c r="Q795" s="1244"/>
      <c r="R795" s="1244"/>
      <c r="S795" s="1244"/>
      <c r="T795" s="1244"/>
      <c r="U795" s="1244"/>
      <c r="V795" s="1244"/>
      <c r="W795" s="1244"/>
      <c r="X795" s="1244"/>
      <c r="Y795" s="1244"/>
      <c r="Z795" s="1244"/>
    </row>
    <row r="796" spans="1:26" ht="18.75">
      <c r="A796" s="1259"/>
      <c r="B796" s="1242"/>
      <c r="C796" s="1243"/>
      <c r="D796" s="1266" t="s">
        <v>21</v>
      </c>
      <c r="E796" s="1243"/>
      <c r="F796" s="1243"/>
      <c r="G796" s="963"/>
      <c r="H796" s="1454" t="s">
        <v>12</v>
      </c>
      <c r="I796" s="1452"/>
      <c r="J796" s="1452"/>
      <c r="K796" s="1453"/>
      <c r="L796" s="831">
        <f t="shared" ref="L796:N796" si="324">L797+L798</f>
        <v>0</v>
      </c>
      <c r="M796" s="831">
        <f t="shared" si="324"/>
        <v>0</v>
      </c>
      <c r="N796" s="831">
        <f t="shared" si="324"/>
        <v>0</v>
      </c>
      <c r="O796" s="831">
        <f t="shared" ref="O796:O798" si="325">IF(L796&gt;0,N796*100/L796,0)</f>
        <v>0</v>
      </c>
      <c r="P796" s="831">
        <f t="shared" ref="P796:P798" si="326">IF(M796&gt;0,N796*100/M796,0)</f>
        <v>0</v>
      </c>
      <c r="Q796" s="1244"/>
      <c r="R796" s="1244"/>
      <c r="S796" s="1244"/>
      <c r="T796" s="1244"/>
      <c r="U796" s="1244"/>
      <c r="V796" s="1244"/>
      <c r="W796" s="1244"/>
      <c r="X796" s="1244"/>
      <c r="Y796" s="1244"/>
      <c r="Z796" s="1244"/>
    </row>
    <row r="797" spans="1:26" ht="18.75" hidden="1">
      <c r="A797" s="1260"/>
      <c r="B797" s="1265"/>
      <c r="C797" s="1261"/>
      <c r="D797" s="1261"/>
      <c r="E797" s="1261" t="s">
        <v>18</v>
      </c>
      <c r="F797" s="1261"/>
      <c r="G797" s="1263"/>
      <c r="H797" s="1450" t="s">
        <v>12</v>
      </c>
      <c r="I797" s="1452"/>
      <c r="J797" s="1452"/>
      <c r="K797" s="1453"/>
      <c r="L797" s="837">
        <v>0</v>
      </c>
      <c r="M797" s="837">
        <v>0</v>
      </c>
      <c r="N797" s="837">
        <v>0</v>
      </c>
      <c r="O797" s="837">
        <f t="shared" si="325"/>
        <v>0</v>
      </c>
      <c r="P797" s="837">
        <f t="shared" si="326"/>
        <v>0</v>
      </c>
      <c r="Q797" s="1264"/>
      <c r="R797" s="1264"/>
      <c r="S797" s="1264"/>
      <c r="T797" s="1264"/>
      <c r="U797" s="1264"/>
      <c r="V797" s="1264"/>
      <c r="W797" s="1264"/>
      <c r="X797" s="1264"/>
      <c r="Y797" s="1264"/>
      <c r="Z797" s="1264"/>
    </row>
    <row r="798" spans="1:26" ht="18.75" hidden="1">
      <c r="A798" s="1260"/>
      <c r="B798" s="1265"/>
      <c r="C798" s="1261"/>
      <c r="D798" s="1261"/>
      <c r="E798" s="1261" t="s">
        <v>19</v>
      </c>
      <c r="F798" s="1261"/>
      <c r="G798" s="1263"/>
      <c r="H798" s="1455" t="s">
        <v>12</v>
      </c>
      <c r="I798" s="1452"/>
      <c r="J798" s="1452"/>
      <c r="K798" s="1453"/>
      <c r="L798" s="837">
        <v>0</v>
      </c>
      <c r="M798" s="837">
        <v>0</v>
      </c>
      <c r="N798" s="837">
        <v>0</v>
      </c>
      <c r="O798" s="837">
        <f t="shared" si="325"/>
        <v>0</v>
      </c>
      <c r="P798" s="837">
        <f t="shared" si="326"/>
        <v>0</v>
      </c>
      <c r="Q798" s="1264"/>
      <c r="R798" s="1264"/>
      <c r="S798" s="1264"/>
      <c r="T798" s="1264"/>
      <c r="U798" s="1264"/>
      <c r="V798" s="1264"/>
      <c r="W798" s="1264"/>
      <c r="X798" s="1264"/>
      <c r="Y798" s="1264"/>
      <c r="Z798" s="1264"/>
    </row>
    <row r="799" spans="1:26" ht="19.5">
      <c r="A799" s="1267"/>
      <c r="B799" s="1268"/>
      <c r="C799" s="1243" t="s">
        <v>16</v>
      </c>
      <c r="D799" s="1378" t="s">
        <v>38</v>
      </c>
      <c r="E799" s="1271"/>
      <c r="F799" s="1271"/>
      <c r="G799" s="1272"/>
      <c r="H799" s="1456"/>
      <c r="I799" s="1452"/>
      <c r="J799" s="1452"/>
      <c r="K799" s="1453"/>
      <c r="L799" s="945"/>
      <c r="M799" s="945"/>
      <c r="N799" s="945"/>
      <c r="O799" s="945"/>
      <c r="P799" s="945"/>
      <c r="Q799" s="1244"/>
      <c r="R799" s="1244"/>
      <c r="S799" s="1244"/>
      <c r="T799" s="1244"/>
      <c r="U799" s="1244"/>
      <c r="V799" s="1244"/>
      <c r="W799" s="1244"/>
      <c r="X799" s="1244"/>
      <c r="Y799" s="1244"/>
      <c r="Z799" s="1244"/>
    </row>
    <row r="800" spans="1:26" ht="18.75">
      <c r="A800" s="1267"/>
      <c r="B800" s="1268"/>
      <c r="C800" s="1268"/>
      <c r="D800" s="1268"/>
      <c r="E800" s="961"/>
      <c r="F800" s="961" t="s">
        <v>320</v>
      </c>
      <c r="G800" s="954"/>
      <c r="H800" s="1457" t="s">
        <v>34</v>
      </c>
      <c r="I800" s="1452"/>
      <c r="J800" s="1458">
        <f ca="1">IFERROR(__xludf.DUMMYFUNCTION("IMPORTRANGE(""https://docs.google.com/spreadsheets/d/1MaWodYyGHDf7siQLGxnXhG4mBNTNIuy296niS2xXulU/edit?usp=sharing"",""RTK!H26"")"),69)</f>
        <v>69</v>
      </c>
      <c r="K800" s="1449"/>
      <c r="L800" s="831"/>
      <c r="M800" s="831"/>
      <c r="N800" s="831"/>
      <c r="O800" s="945"/>
      <c r="P800" s="945"/>
      <c r="Q800" s="1244"/>
      <c r="R800" s="1244"/>
      <c r="S800" s="1244"/>
      <c r="T800" s="1244"/>
      <c r="U800" s="1244"/>
      <c r="V800" s="1244"/>
      <c r="W800" s="1244"/>
      <c r="X800" s="1244"/>
      <c r="Y800" s="1244"/>
      <c r="Z800" s="1244"/>
    </row>
    <row r="801" spans="1:26" ht="18.75">
      <c r="A801" s="1267"/>
      <c r="B801" s="1268"/>
      <c r="C801" s="1268"/>
      <c r="D801" s="1268"/>
      <c r="E801" s="961"/>
      <c r="F801" s="961"/>
      <c r="G801" s="954"/>
      <c r="H801" s="1451" t="s">
        <v>46</v>
      </c>
      <c r="I801" s="1458">
        <f ca="1">IFERROR(__xludf.DUMMYFUNCTION("IMPORTRANGE(""https://docs.google.com/spreadsheets/d/1MaWodYyGHDf7siQLGxnXhG4mBNTNIuy296niS2xXulU/edit?usp=sharing"",""RTK!G26"")"),3000)</f>
        <v>3000</v>
      </c>
      <c r="J801" s="1459">
        <f ca="1">IFERROR(__xludf.DUMMYFUNCTION("IMPORTRANGE(""https://docs.google.com/spreadsheets/d/1MaWodYyGHDf7siQLGxnXhG4mBNTNIuy296niS2xXulU/edit?usp=sharing"",""RTK!I26"")"),568)</f>
        <v>568</v>
      </c>
      <c r="K801" s="1460">
        <f ca="1">IF(I801&gt;0,J801*100/I801,0)</f>
        <v>18.933333333333334</v>
      </c>
      <c r="L801" s="831"/>
      <c r="M801" s="831"/>
      <c r="N801" s="831"/>
      <c r="O801" s="945"/>
      <c r="P801" s="945"/>
      <c r="Q801" s="1244"/>
      <c r="R801" s="1244"/>
      <c r="S801" s="1244"/>
      <c r="T801" s="1244"/>
      <c r="U801" s="1244"/>
      <c r="V801" s="1244"/>
      <c r="W801" s="1244"/>
      <c r="X801" s="1244"/>
      <c r="Y801" s="1244"/>
      <c r="Z801" s="1244"/>
    </row>
    <row r="802" spans="1:26" ht="18.75">
      <c r="A802" s="1273"/>
      <c r="B802" s="1274"/>
      <c r="C802" s="1274"/>
      <c r="D802" s="1274"/>
      <c r="E802" s="1262"/>
      <c r="F802" s="1416" t="s">
        <v>321</v>
      </c>
      <c r="G802" s="1060"/>
      <c r="H802" s="1457" t="s">
        <v>34</v>
      </c>
      <c r="I802" s="1452"/>
      <c r="J802" s="1458">
        <f ca="1">IFERROR(__xludf.DUMMYFUNCTION("IMPORTRANGE(""https://docs.google.com/spreadsheets/d/1MaWodYyGHDf7siQLGxnXhG4mBNTNIuy296niS2xXulU/edit?usp=sharing"",""RTK!L26"")"),0)</f>
        <v>0</v>
      </c>
      <c r="K802" s="1449"/>
      <c r="L802" s="948"/>
      <c r="M802" s="948"/>
      <c r="N802" s="948"/>
      <c r="O802" s="948"/>
      <c r="P802" s="948"/>
      <c r="Q802" s="1264"/>
      <c r="R802" s="1264"/>
      <c r="S802" s="1264"/>
      <c r="T802" s="1264"/>
      <c r="U802" s="1264"/>
      <c r="V802" s="1264"/>
      <c r="W802" s="1264"/>
      <c r="X802" s="1264"/>
      <c r="Y802" s="1264"/>
      <c r="Z802" s="1264"/>
    </row>
    <row r="803" spans="1:26" ht="18.75">
      <c r="A803" s="1273"/>
      <c r="B803" s="1274"/>
      <c r="C803" s="1274"/>
      <c r="D803" s="1274"/>
      <c r="E803" s="1262"/>
      <c r="F803" s="1262"/>
      <c r="G803" s="1060"/>
      <c r="H803" s="1457" t="s">
        <v>46</v>
      </c>
      <c r="I803" s="1458">
        <f ca="1">IFERROR(__xludf.DUMMYFUNCTION("IMPORTRANGE(""https://docs.google.com/spreadsheets/d/1MaWodYyGHDf7siQLGxnXhG4mBNTNIuy296niS2xXulU/edit?usp=sharing"",""RTK!K26"")"),0)</f>
        <v>0</v>
      </c>
      <c r="J803" s="1459">
        <f ca="1">IFERROR(__xludf.DUMMYFUNCTION("IMPORTRANGE(""https://docs.google.com/spreadsheets/d/1MaWodYyGHDf7siQLGxnXhG4mBNTNIuy296niS2xXulU/edit?usp=sharing"",""RTK!M26"")"),0)</f>
        <v>0</v>
      </c>
      <c r="K803" s="1460">
        <f t="shared" ref="K803:K804" ca="1" si="327">IF(I803&gt;0,J803*100/I803,0)</f>
        <v>0</v>
      </c>
      <c r="L803" s="948"/>
      <c r="M803" s="948"/>
      <c r="N803" s="948"/>
      <c r="O803" s="948"/>
      <c r="P803" s="948"/>
      <c r="Q803" s="1264"/>
      <c r="R803" s="1264"/>
      <c r="S803" s="1264"/>
      <c r="T803" s="1264"/>
      <c r="U803" s="1264"/>
      <c r="V803" s="1264"/>
      <c r="W803" s="1264"/>
      <c r="X803" s="1264"/>
      <c r="Y803" s="1264"/>
      <c r="Z803" s="1264"/>
    </row>
    <row r="804" spans="1:26" ht="19.5" hidden="1">
      <c r="A804" s="759">
        <v>13</v>
      </c>
      <c r="B804" s="1400" t="s">
        <v>322</v>
      </c>
      <c r="C804" s="1401"/>
      <c r="D804" s="1419"/>
      <c r="E804" s="1401"/>
      <c r="F804" s="1401"/>
      <c r="G804" s="1402"/>
      <c r="H804" s="763" t="s">
        <v>46</v>
      </c>
      <c r="I804" s="1403"/>
      <c r="J804" s="1403">
        <f>J819</f>
        <v>0</v>
      </c>
      <c r="K804" s="1404">
        <f t="shared" si="327"/>
        <v>0</v>
      </c>
      <c r="L804" s="1405"/>
      <c r="M804" s="1405"/>
      <c r="N804" s="1405"/>
      <c r="O804" s="1405"/>
      <c r="P804" s="1405"/>
      <c r="Q804" s="1264"/>
      <c r="R804" s="1264"/>
      <c r="S804" s="1264"/>
      <c r="T804" s="1264"/>
      <c r="U804" s="1264"/>
      <c r="V804" s="1264"/>
      <c r="W804" s="1264"/>
      <c r="X804" s="1264"/>
      <c r="Y804" s="1264"/>
      <c r="Z804" s="1264"/>
    </row>
    <row r="805" spans="1:26" ht="19.5" hidden="1">
      <c r="A805" s="1260"/>
      <c r="B805" s="1261"/>
      <c r="C805" s="1261" t="s">
        <v>16</v>
      </c>
      <c r="D805" s="1508" t="s">
        <v>17</v>
      </c>
      <c r="E805" s="1485"/>
      <c r="F805" s="1485"/>
      <c r="G805" s="1263"/>
      <c r="H805" s="612" t="s">
        <v>12</v>
      </c>
      <c r="I805" s="836"/>
      <c r="J805" s="836"/>
      <c r="K805" s="837"/>
      <c r="L805" s="1292">
        <f t="shared" ref="L805:N805" si="328">L806+L807</f>
        <v>0</v>
      </c>
      <c r="M805" s="1292">
        <f t="shared" si="328"/>
        <v>0</v>
      </c>
      <c r="N805" s="1292">
        <f t="shared" si="328"/>
        <v>0</v>
      </c>
      <c r="O805" s="1292">
        <f t="shared" ref="O805:O810" si="329">IF(L805&gt;0,N805*100/L805,0)</f>
        <v>0</v>
      </c>
      <c r="P805" s="1292">
        <f t="shared" ref="P805:P810" si="330">IF(M805&gt;0,N805*100/M805,0)</f>
        <v>0</v>
      </c>
      <c r="Q805" s="1264"/>
      <c r="R805" s="1264"/>
      <c r="S805" s="1264"/>
      <c r="T805" s="1264"/>
      <c r="U805" s="1264"/>
      <c r="V805" s="1264"/>
      <c r="W805" s="1264"/>
      <c r="X805" s="1264"/>
      <c r="Y805" s="1264"/>
      <c r="Z805" s="1264"/>
    </row>
    <row r="806" spans="1:26" ht="18.75" hidden="1">
      <c r="A806" s="1260"/>
      <c r="B806" s="1261"/>
      <c r="C806" s="1261"/>
      <c r="D806" s="1274"/>
      <c r="E806" s="1261" t="s">
        <v>184</v>
      </c>
      <c r="F806" s="1261"/>
      <c r="G806" s="1263"/>
      <c r="H806" s="165" t="s">
        <v>12</v>
      </c>
      <c r="I806" s="836"/>
      <c r="J806" s="836"/>
      <c r="K806" s="837"/>
      <c r="L806" s="837">
        <f t="shared" ref="L806:N807" si="331">L809+L816</f>
        <v>0</v>
      </c>
      <c r="M806" s="837">
        <f t="shared" si="331"/>
        <v>0</v>
      </c>
      <c r="N806" s="837">
        <f t="shared" si="331"/>
        <v>0</v>
      </c>
      <c r="O806" s="837">
        <f t="shared" si="329"/>
        <v>0</v>
      </c>
      <c r="P806" s="837">
        <f t="shared" si="330"/>
        <v>0</v>
      </c>
      <c r="Q806" s="1264"/>
      <c r="R806" s="1264"/>
      <c r="S806" s="1264"/>
      <c r="T806" s="1264"/>
      <c r="U806" s="1264"/>
      <c r="V806" s="1264"/>
      <c r="W806" s="1264"/>
      <c r="X806" s="1264"/>
      <c r="Y806" s="1264"/>
      <c r="Z806" s="1264"/>
    </row>
    <row r="807" spans="1:26" ht="18.75" hidden="1">
      <c r="A807" s="1260"/>
      <c r="B807" s="1261"/>
      <c r="C807" s="1261"/>
      <c r="D807" s="1274"/>
      <c r="E807" s="1261" t="s">
        <v>185</v>
      </c>
      <c r="F807" s="1261"/>
      <c r="G807" s="1263"/>
      <c r="H807" s="165" t="s">
        <v>12</v>
      </c>
      <c r="I807" s="836"/>
      <c r="J807" s="836"/>
      <c r="K807" s="837"/>
      <c r="L807" s="837">
        <f t="shared" si="331"/>
        <v>0</v>
      </c>
      <c r="M807" s="837">
        <f t="shared" si="331"/>
        <v>0</v>
      </c>
      <c r="N807" s="837">
        <f t="shared" si="331"/>
        <v>0</v>
      </c>
      <c r="O807" s="837">
        <f t="shared" si="329"/>
        <v>0</v>
      </c>
      <c r="P807" s="837">
        <f t="shared" si="330"/>
        <v>0</v>
      </c>
      <c r="Q807" s="1264"/>
      <c r="R807" s="1264"/>
      <c r="S807" s="1264"/>
      <c r="T807" s="1264"/>
      <c r="U807" s="1264"/>
      <c r="V807" s="1264"/>
      <c r="W807" s="1264"/>
      <c r="X807" s="1264"/>
      <c r="Y807" s="1264"/>
      <c r="Z807" s="1264"/>
    </row>
    <row r="808" spans="1:26" ht="19.5" hidden="1">
      <c r="A808" s="1260"/>
      <c r="B808" s="1265"/>
      <c r="C808" s="1261"/>
      <c r="D808" s="1509" t="s">
        <v>20</v>
      </c>
      <c r="E808" s="1485"/>
      <c r="F808" s="1485"/>
      <c r="G808" s="1263"/>
      <c r="H808" s="612" t="s">
        <v>12</v>
      </c>
      <c r="I808" s="947"/>
      <c r="J808" s="947"/>
      <c r="K808" s="948"/>
      <c r="L808" s="1292">
        <f t="shared" ref="L808:N808" si="332">L809+L810</f>
        <v>0</v>
      </c>
      <c r="M808" s="1292">
        <f t="shared" si="332"/>
        <v>0</v>
      </c>
      <c r="N808" s="1292">
        <f t="shared" si="332"/>
        <v>0</v>
      </c>
      <c r="O808" s="1292">
        <f t="shared" si="329"/>
        <v>0</v>
      </c>
      <c r="P808" s="1292">
        <f t="shared" si="330"/>
        <v>0</v>
      </c>
      <c r="Q808" s="1264"/>
      <c r="R808" s="1264"/>
      <c r="S808" s="1264"/>
      <c r="T808" s="1264"/>
      <c r="U808" s="1264"/>
      <c r="V808" s="1264"/>
      <c r="W808" s="1264"/>
      <c r="X808" s="1264"/>
      <c r="Y808" s="1264"/>
      <c r="Z808" s="1264"/>
    </row>
    <row r="809" spans="1:26" ht="18.75" hidden="1">
      <c r="A809" s="1260"/>
      <c r="B809" s="1261"/>
      <c r="C809" s="1261"/>
      <c r="D809" s="1274"/>
      <c r="E809" s="1261" t="s">
        <v>184</v>
      </c>
      <c r="F809" s="1261"/>
      <c r="G809" s="1263"/>
      <c r="H809" s="165" t="s">
        <v>12</v>
      </c>
      <c r="I809" s="836"/>
      <c r="J809" s="836"/>
      <c r="K809" s="837"/>
      <c r="L809" s="837">
        <v>0</v>
      </c>
      <c r="M809" s="837">
        <v>0</v>
      </c>
      <c r="N809" s="837">
        <v>0</v>
      </c>
      <c r="O809" s="837">
        <f t="shared" si="329"/>
        <v>0</v>
      </c>
      <c r="P809" s="837">
        <f t="shared" si="330"/>
        <v>0</v>
      </c>
      <c r="Q809" s="1264"/>
      <c r="R809" s="1264"/>
      <c r="S809" s="1264"/>
      <c r="T809" s="1264"/>
      <c r="U809" s="1264"/>
      <c r="V809" s="1264"/>
      <c r="W809" s="1264"/>
      <c r="X809" s="1264"/>
      <c r="Y809" s="1264"/>
      <c r="Z809" s="1264"/>
    </row>
    <row r="810" spans="1:26" ht="18.75" hidden="1">
      <c r="A810" s="1260"/>
      <c r="B810" s="1261"/>
      <c r="C810" s="1261"/>
      <c r="D810" s="1274"/>
      <c r="E810" s="1261" t="s">
        <v>185</v>
      </c>
      <c r="F810" s="1261"/>
      <c r="G810" s="1263"/>
      <c r="H810" s="165" t="s">
        <v>12</v>
      </c>
      <c r="I810" s="836"/>
      <c r="J810" s="836"/>
      <c r="K810" s="837"/>
      <c r="L810" s="837">
        <v>0</v>
      </c>
      <c r="M810" s="837">
        <v>0</v>
      </c>
      <c r="N810" s="837">
        <f>N811+N812+N813+N814</f>
        <v>0</v>
      </c>
      <c r="O810" s="837">
        <f t="shared" si="329"/>
        <v>0</v>
      </c>
      <c r="P810" s="837">
        <f t="shared" si="330"/>
        <v>0</v>
      </c>
      <c r="Q810" s="1264"/>
      <c r="R810" s="1264"/>
      <c r="S810" s="1264"/>
      <c r="T810" s="1264"/>
      <c r="U810" s="1264"/>
      <c r="V810" s="1264"/>
      <c r="W810" s="1264"/>
      <c r="X810" s="1264"/>
      <c r="Y810" s="1264"/>
      <c r="Z810" s="1264"/>
    </row>
    <row r="811" spans="1:26" ht="18.75" hidden="1">
      <c r="A811" s="1294"/>
      <c r="B811" s="1265"/>
      <c r="C811" s="1261"/>
      <c r="D811" s="1265"/>
      <c r="E811" s="1261"/>
      <c r="F811" s="1261" t="s">
        <v>186</v>
      </c>
      <c r="G811" s="1263"/>
      <c r="H811" s="165" t="s">
        <v>12</v>
      </c>
      <c r="I811" s="836"/>
      <c r="J811" s="836"/>
      <c r="K811" s="837"/>
      <c r="L811" s="837"/>
      <c r="M811" s="837"/>
      <c r="N811" s="837"/>
      <c r="O811" s="837"/>
      <c r="P811" s="837"/>
      <c r="Q811" s="1264"/>
      <c r="R811" s="1264"/>
      <c r="S811" s="1264"/>
      <c r="T811" s="1264"/>
      <c r="U811" s="1264"/>
      <c r="V811" s="1264"/>
      <c r="W811" s="1264"/>
      <c r="X811" s="1264"/>
      <c r="Y811" s="1264"/>
      <c r="Z811" s="1264"/>
    </row>
    <row r="812" spans="1:26" ht="18.75" hidden="1">
      <c r="A812" s="1294"/>
      <c r="B812" s="1265"/>
      <c r="C812" s="1261"/>
      <c r="D812" s="1265"/>
      <c r="E812" s="1261"/>
      <c r="F812" s="1261" t="s">
        <v>187</v>
      </c>
      <c r="G812" s="1263"/>
      <c r="H812" s="165" t="s">
        <v>12</v>
      </c>
      <c r="I812" s="836"/>
      <c r="J812" s="836"/>
      <c r="K812" s="837"/>
      <c r="L812" s="837"/>
      <c r="M812" s="837"/>
      <c r="N812" s="837"/>
      <c r="O812" s="837"/>
      <c r="P812" s="837"/>
      <c r="Q812" s="1264"/>
      <c r="R812" s="1264"/>
      <c r="S812" s="1264"/>
      <c r="T812" s="1264"/>
      <c r="U812" s="1264"/>
      <c r="V812" s="1264"/>
      <c r="W812" s="1264"/>
      <c r="X812" s="1264"/>
      <c r="Y812" s="1264"/>
      <c r="Z812" s="1264"/>
    </row>
    <row r="813" spans="1:26" ht="18.75" hidden="1">
      <c r="A813" s="1294"/>
      <c r="B813" s="1265"/>
      <c r="C813" s="1261"/>
      <c r="D813" s="1265"/>
      <c r="E813" s="1261"/>
      <c r="F813" s="1261" t="s">
        <v>188</v>
      </c>
      <c r="G813" s="1263"/>
      <c r="H813" s="165" t="s">
        <v>12</v>
      </c>
      <c r="I813" s="836"/>
      <c r="J813" s="836"/>
      <c r="K813" s="837"/>
      <c r="L813" s="837"/>
      <c r="M813" s="837"/>
      <c r="N813" s="837"/>
      <c r="O813" s="837"/>
      <c r="P813" s="837"/>
      <c r="Q813" s="1264"/>
      <c r="R813" s="1264"/>
      <c r="S813" s="1264"/>
      <c r="T813" s="1264"/>
      <c r="U813" s="1264"/>
      <c r="V813" s="1264"/>
      <c r="W813" s="1264"/>
      <c r="X813" s="1264"/>
      <c r="Y813" s="1264"/>
      <c r="Z813" s="1264"/>
    </row>
    <row r="814" spans="1:26" ht="18.75" hidden="1">
      <c r="A814" s="1294"/>
      <c r="B814" s="1265"/>
      <c r="C814" s="1261"/>
      <c r="D814" s="1265"/>
      <c r="E814" s="1261"/>
      <c r="F814" s="1261" t="s">
        <v>189</v>
      </c>
      <c r="G814" s="1263"/>
      <c r="H814" s="165" t="s">
        <v>12</v>
      </c>
      <c r="I814" s="836"/>
      <c r="J814" s="836"/>
      <c r="K814" s="837"/>
      <c r="L814" s="837"/>
      <c r="M814" s="837"/>
      <c r="N814" s="837"/>
      <c r="O814" s="837"/>
      <c r="P814" s="837"/>
      <c r="Q814" s="1264"/>
      <c r="R814" s="1264"/>
      <c r="S814" s="1264"/>
      <c r="T814" s="1264"/>
      <c r="U814" s="1264"/>
      <c r="V814" s="1264"/>
      <c r="W814" s="1264"/>
      <c r="X814" s="1264"/>
      <c r="Y814" s="1264"/>
      <c r="Z814" s="1264"/>
    </row>
    <row r="815" spans="1:26" ht="19.5" hidden="1">
      <c r="A815" s="1260"/>
      <c r="B815" s="1265"/>
      <c r="C815" s="1261"/>
      <c r="D815" s="1509" t="s">
        <v>21</v>
      </c>
      <c r="E815" s="1485"/>
      <c r="F815" s="1485"/>
      <c r="G815" s="1263"/>
      <c r="H815" s="749" t="s">
        <v>12</v>
      </c>
      <c r="I815" s="947"/>
      <c r="J815" s="947"/>
      <c r="K815" s="948"/>
      <c r="L815" s="1292">
        <f t="shared" ref="L815:N815" si="333">L816+L817</f>
        <v>0</v>
      </c>
      <c r="M815" s="1292">
        <f t="shared" si="333"/>
        <v>0</v>
      </c>
      <c r="N815" s="1292">
        <f t="shared" si="333"/>
        <v>0</v>
      </c>
      <c r="O815" s="1292">
        <f t="shared" ref="O815:O817" si="334">IF(L815&gt;0,N815*100/L815,0)</f>
        <v>0</v>
      </c>
      <c r="P815" s="1292">
        <f t="shared" ref="P815:P817" si="335">IF(M815&gt;0,N815*100/M815,0)</f>
        <v>0</v>
      </c>
      <c r="Q815" s="1264"/>
      <c r="R815" s="1264"/>
      <c r="S815" s="1264"/>
      <c r="T815" s="1264"/>
      <c r="U815" s="1264"/>
      <c r="V815" s="1264"/>
      <c r="W815" s="1264"/>
      <c r="X815" s="1264"/>
      <c r="Y815" s="1264"/>
      <c r="Z815" s="1264"/>
    </row>
    <row r="816" spans="1:26" ht="18.75" hidden="1">
      <c r="A816" s="1260"/>
      <c r="B816" s="1265"/>
      <c r="C816" s="1261"/>
      <c r="D816" s="1265"/>
      <c r="E816" s="1261" t="s">
        <v>18</v>
      </c>
      <c r="F816" s="1261"/>
      <c r="G816" s="1263"/>
      <c r="H816" s="165" t="s">
        <v>12</v>
      </c>
      <c r="I816" s="947"/>
      <c r="J816" s="947"/>
      <c r="K816" s="948"/>
      <c r="L816" s="837">
        <v>0</v>
      </c>
      <c r="M816" s="837">
        <v>0</v>
      </c>
      <c r="N816" s="837">
        <v>0</v>
      </c>
      <c r="O816" s="837">
        <f t="shared" si="334"/>
        <v>0</v>
      </c>
      <c r="P816" s="837">
        <f t="shared" si="335"/>
        <v>0</v>
      </c>
      <c r="Q816" s="1264"/>
      <c r="R816" s="1264"/>
      <c r="S816" s="1264"/>
      <c r="T816" s="1264"/>
      <c r="U816" s="1264"/>
      <c r="V816" s="1264"/>
      <c r="W816" s="1264"/>
      <c r="X816" s="1264"/>
      <c r="Y816" s="1264"/>
      <c r="Z816" s="1264"/>
    </row>
    <row r="817" spans="1:26" ht="18.75" hidden="1">
      <c r="A817" s="1260"/>
      <c r="B817" s="1265"/>
      <c r="C817" s="1261"/>
      <c r="D817" s="1265"/>
      <c r="E817" s="1261" t="s">
        <v>19</v>
      </c>
      <c r="F817" s="1261"/>
      <c r="G817" s="1263"/>
      <c r="H817" s="169" t="s">
        <v>12</v>
      </c>
      <c r="I817" s="947"/>
      <c r="J817" s="947"/>
      <c r="K817" s="948"/>
      <c r="L817" s="837">
        <v>0</v>
      </c>
      <c r="M817" s="837">
        <v>0</v>
      </c>
      <c r="N817" s="837">
        <v>0</v>
      </c>
      <c r="O817" s="837">
        <f t="shared" si="334"/>
        <v>0</v>
      </c>
      <c r="P817" s="837">
        <f t="shared" si="335"/>
        <v>0</v>
      </c>
      <c r="Q817" s="1264"/>
      <c r="R817" s="1264"/>
      <c r="S817" s="1264"/>
      <c r="T817" s="1264"/>
      <c r="U817" s="1264"/>
      <c r="V817" s="1264"/>
      <c r="W817" s="1264"/>
      <c r="X817" s="1264"/>
      <c r="Y817" s="1264"/>
      <c r="Z817" s="1264"/>
    </row>
    <row r="818" spans="1:26" ht="19.5" hidden="1">
      <c r="A818" s="1273"/>
      <c r="B818" s="1274"/>
      <c r="C818" s="1261" t="s">
        <v>16</v>
      </c>
      <c r="D818" s="1420" t="s">
        <v>38</v>
      </c>
      <c r="E818" s="1296"/>
      <c r="F818" s="1296"/>
      <c r="G818" s="1297"/>
      <c r="H818" s="1060"/>
      <c r="I818" s="947"/>
      <c r="J818" s="947"/>
      <c r="K818" s="948"/>
      <c r="L818" s="948"/>
      <c r="M818" s="948"/>
      <c r="N818" s="948"/>
      <c r="O818" s="948"/>
      <c r="P818" s="948"/>
      <c r="Q818" s="1264"/>
      <c r="R818" s="1264"/>
      <c r="S818" s="1264"/>
      <c r="T818" s="1264"/>
      <c r="U818" s="1264"/>
      <c r="V818" s="1264"/>
      <c r="W818" s="1264"/>
      <c r="X818" s="1264"/>
      <c r="Y818" s="1264"/>
      <c r="Z818" s="1264"/>
    </row>
    <row r="819" spans="1:26" ht="19.5" hidden="1" thickBot="1">
      <c r="A819" s="1421"/>
      <c r="B819" s="1422"/>
      <c r="C819" s="1423"/>
      <c r="D819" s="1422"/>
      <c r="E819" s="1423" t="s">
        <v>323</v>
      </c>
      <c r="F819" s="1423"/>
      <c r="G819" s="1424"/>
      <c r="H819" s="792" t="s">
        <v>46</v>
      </c>
      <c r="I819" s="1425"/>
      <c r="J819" s="1425"/>
      <c r="K819" s="1426"/>
      <c r="L819" s="1426"/>
      <c r="M819" s="1426"/>
      <c r="N819" s="1426"/>
      <c r="O819" s="1426"/>
      <c r="P819" s="1426"/>
      <c r="Q819" s="1264"/>
      <c r="R819" s="1264"/>
      <c r="S819" s="1264"/>
      <c r="T819" s="1264"/>
      <c r="U819" s="1264"/>
      <c r="V819" s="1264"/>
      <c r="W819" s="1264"/>
      <c r="X819" s="1264"/>
      <c r="Y819" s="1264"/>
      <c r="Z819" s="1264"/>
    </row>
    <row r="820" spans="1:26" ht="19.5">
      <c r="A820" s="1427" t="s">
        <v>333</v>
      </c>
      <c r="B820" s="1428"/>
      <c r="C820" s="1428"/>
      <c r="D820" s="1429"/>
      <c r="E820" s="1428"/>
      <c r="F820" s="1428"/>
      <c r="G820" s="1430"/>
      <c r="H820" s="143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32"/>
      <c r="J820" s="1432"/>
      <c r="K820" s="1433"/>
      <c r="L820" s="1433"/>
      <c r="M820" s="1433"/>
      <c r="N820" s="1433"/>
      <c r="O820" s="1433"/>
      <c r="P820" s="1433"/>
      <c r="Q820" s="1244"/>
      <c r="R820" s="1244"/>
      <c r="S820" s="1244"/>
      <c r="T820" s="1244"/>
      <c r="U820" s="1244"/>
      <c r="V820" s="1244"/>
      <c r="W820" s="1244"/>
      <c r="X820" s="1244"/>
      <c r="Y820" s="1244"/>
      <c r="Z820" s="1244"/>
    </row>
    <row r="821" spans="1:26" ht="18.75">
      <c r="A821" s="1368"/>
      <c r="B821" s="1243" t="s">
        <v>325</v>
      </c>
      <c r="C821" s="1243"/>
      <c r="D821" s="1242"/>
      <c r="E821" s="1243"/>
      <c r="F821" s="1243"/>
      <c r="G821" s="963"/>
      <c r="H821" s="590" t="s">
        <v>12</v>
      </c>
      <c r="I821" s="830">
        <f ca="1">IFERROR(__xludf.DUMMYFUNCTION("IMPORTRANGE(""https://docs.google.com/spreadsheets/d/19vJNZY_5yjcGF2XGBMNZRCAIB0Kwfpjp8YEOfu-bneM/edit?usp=sharing"",""งานกองทุน!D26"")"),6943900.22)</f>
        <v>6943900.2199999997</v>
      </c>
      <c r="J821" s="830">
        <f ca="1">IFERROR(__xludf.DUMMYFUNCTION("IMPORTRANGE(""https://docs.google.com/spreadsheets/d/19vJNZY_5yjcGF2XGBMNZRCAIB0Kwfpjp8YEOfu-bneM/edit?usp=sharing"",""งานกองทุน!F26"")"),4978023.47)</f>
        <v>4978023.47</v>
      </c>
      <c r="K821" s="831">
        <f t="shared" ref="K821:K828" ca="1" si="336">IF(I821&gt;0,J821*100/I821,0)</f>
        <v>71.689156126727866</v>
      </c>
      <c r="L821" s="831"/>
      <c r="M821" s="831"/>
      <c r="N821" s="831"/>
      <c r="O821" s="831"/>
      <c r="P821" s="831"/>
      <c r="Q821" s="1244"/>
      <c r="R821" s="1244"/>
      <c r="S821" s="1244"/>
      <c r="T821" s="1244"/>
      <c r="U821" s="1244"/>
      <c r="V821" s="1244"/>
      <c r="W821" s="1244"/>
      <c r="X821" s="1244"/>
      <c r="Y821" s="1244"/>
      <c r="Z821" s="1244"/>
    </row>
    <row r="822" spans="1:26" ht="18.75">
      <c r="A822" s="1368"/>
      <c r="B822" s="1243"/>
      <c r="C822" s="1243"/>
      <c r="D822" s="1242"/>
      <c r="E822" s="1243"/>
      <c r="F822" s="1243"/>
      <c r="G822" s="963"/>
      <c r="H822" s="590" t="s">
        <v>35</v>
      </c>
      <c r="I822" s="830">
        <f ca="1">IFERROR(__xludf.DUMMYFUNCTION("IMPORTRANGE(""https://docs.google.com/spreadsheets/d/19vJNZY_5yjcGF2XGBMNZRCAIB0Kwfpjp8YEOfu-bneM/edit?usp=sharing"",""งานกองทุน!C26"")"),290)</f>
        <v>290</v>
      </c>
      <c r="J822" s="830">
        <f ca="1">IFERROR(__xludf.DUMMYFUNCTION("IMPORTRANGE(""https://docs.google.com/spreadsheets/d/19vJNZY_5yjcGF2XGBMNZRCAIB0Kwfpjp8YEOfu-bneM/edit?usp=sharing"",""งานกองทุน!E26"")"),175)</f>
        <v>175</v>
      </c>
      <c r="K822" s="831">
        <f t="shared" ca="1" si="336"/>
        <v>60.344827586206897</v>
      </c>
      <c r="L822" s="831"/>
      <c r="M822" s="831"/>
      <c r="N822" s="831"/>
      <c r="O822" s="831"/>
      <c r="P822" s="831"/>
      <c r="Q822" s="1244"/>
      <c r="R822" s="1244"/>
      <c r="S822" s="1244"/>
      <c r="T822" s="1244"/>
      <c r="U822" s="1244"/>
      <c r="V822" s="1244"/>
      <c r="W822" s="1244"/>
      <c r="X822" s="1244"/>
      <c r="Y822" s="1244"/>
      <c r="Z822" s="1244"/>
    </row>
    <row r="823" spans="1:26" ht="18.75">
      <c r="A823" s="1368"/>
      <c r="B823" s="1243" t="s">
        <v>326</v>
      </c>
      <c r="C823" s="1243"/>
      <c r="D823" s="1242"/>
      <c r="E823" s="1243"/>
      <c r="F823" s="1243"/>
      <c r="G823" s="963"/>
      <c r="H823" s="590" t="s">
        <v>12</v>
      </c>
      <c r="I823" s="830">
        <f ca="1">IFERROR(__xludf.DUMMYFUNCTION("IMPORTRANGE(""https://docs.google.com/spreadsheets/d/19vJNZY_5yjcGF2XGBMNZRCAIB0Kwfpjp8YEOfu-bneM/edit?usp=sharing"",""งานกองทุน!I26"")"),159680)</f>
        <v>159680</v>
      </c>
      <c r="J823" s="830">
        <f ca="1">IFERROR(__xludf.DUMMYFUNCTION("IMPORTRANGE(""https://docs.google.com/spreadsheets/d/19vJNZY_5yjcGF2XGBMNZRCAIB0Kwfpjp8YEOfu-bneM/edit?usp=sharing"",""งานกองทุน!K26"")"),159680)</f>
        <v>159680</v>
      </c>
      <c r="K823" s="831">
        <f t="shared" ca="1" si="336"/>
        <v>100</v>
      </c>
      <c r="L823" s="831"/>
      <c r="M823" s="831"/>
      <c r="N823" s="831"/>
      <c r="O823" s="831"/>
      <c r="P823" s="831"/>
      <c r="Q823" s="1244"/>
      <c r="R823" s="1244"/>
      <c r="S823" s="1244"/>
      <c r="T823" s="1244"/>
      <c r="U823" s="1244"/>
      <c r="V823" s="1244"/>
      <c r="W823" s="1244"/>
      <c r="X823" s="1244"/>
      <c r="Y823" s="1244"/>
      <c r="Z823" s="1244"/>
    </row>
    <row r="824" spans="1:26" ht="18.75">
      <c r="A824" s="1368"/>
      <c r="B824" s="1243"/>
      <c r="C824" s="1243"/>
      <c r="D824" s="1242"/>
      <c r="E824" s="1243"/>
      <c r="F824" s="1243"/>
      <c r="G824" s="963"/>
      <c r="H824" s="590" t="s">
        <v>35</v>
      </c>
      <c r="I824" s="830">
        <f ca="1">IFERROR(__xludf.DUMMYFUNCTION("IMPORTRANGE(""https://docs.google.com/spreadsheets/d/19vJNZY_5yjcGF2XGBMNZRCAIB0Kwfpjp8YEOfu-bneM/edit?usp=sharing"",""งานกองทุน!H26"")"),4)</f>
        <v>4</v>
      </c>
      <c r="J824" s="830">
        <f ca="1">IFERROR(__xludf.DUMMYFUNCTION("IMPORTRANGE(""https://docs.google.com/spreadsheets/d/19vJNZY_5yjcGF2XGBMNZRCAIB0Kwfpjp8YEOfu-bneM/edit?usp=sharing"",""งานกองทุน!J26"")"),4)</f>
        <v>4</v>
      </c>
      <c r="K824" s="831">
        <f t="shared" ca="1" si="336"/>
        <v>100</v>
      </c>
      <c r="L824" s="831"/>
      <c r="M824" s="831"/>
      <c r="N824" s="831"/>
      <c r="O824" s="831"/>
      <c r="P824" s="831"/>
      <c r="Q824" s="1244"/>
      <c r="R824" s="1244"/>
      <c r="S824" s="1244"/>
      <c r="T824" s="1244"/>
      <c r="U824" s="1244"/>
      <c r="V824" s="1244"/>
      <c r="W824" s="1244"/>
      <c r="X824" s="1244"/>
      <c r="Y824" s="1244"/>
      <c r="Z824" s="1244"/>
    </row>
    <row r="825" spans="1:26" ht="18.75">
      <c r="A825" s="1368"/>
      <c r="B825" s="1243" t="s">
        <v>327</v>
      </c>
      <c r="C825" s="1243"/>
      <c r="D825" s="1242"/>
      <c r="E825" s="1243"/>
      <c r="F825" s="1243"/>
      <c r="G825" s="963"/>
      <c r="H825" s="590" t="s">
        <v>12</v>
      </c>
      <c r="I825" s="830">
        <f ca="1">IFERROR(__xludf.DUMMYFUNCTION("IMPORTRANGE(""https://docs.google.com/spreadsheets/d/19vJNZY_5yjcGF2XGBMNZRCAIB0Kwfpjp8YEOfu-bneM/edit?usp=sharing"",""งานกองทุน!N26"")"),0)</f>
        <v>0</v>
      </c>
      <c r="J825" s="830">
        <f ca="1">IFERROR(__xludf.DUMMYFUNCTION("IMPORTRANGE(""https://docs.google.com/spreadsheets/d/19vJNZY_5yjcGF2XGBMNZRCAIB0Kwfpjp8YEOfu-bneM/edit?usp=sharing"",""งานกองทุน!P26"")"),0)</f>
        <v>0</v>
      </c>
      <c r="K825" s="831">
        <f t="shared" ca="1" si="336"/>
        <v>0</v>
      </c>
      <c r="L825" s="831"/>
      <c r="M825" s="831"/>
      <c r="N825" s="831"/>
      <c r="O825" s="831"/>
      <c r="P825" s="831"/>
      <c r="Q825" s="1244"/>
      <c r="R825" s="1244"/>
      <c r="S825" s="1244"/>
      <c r="T825" s="1244"/>
      <c r="U825" s="1244"/>
      <c r="V825" s="1244"/>
      <c r="W825" s="1244"/>
      <c r="X825" s="1244"/>
      <c r="Y825" s="1244"/>
      <c r="Z825" s="1244"/>
    </row>
    <row r="826" spans="1:26" ht="18.75">
      <c r="A826" s="1368"/>
      <c r="B826" s="1243"/>
      <c r="C826" s="1243"/>
      <c r="D826" s="1242"/>
      <c r="E826" s="1243"/>
      <c r="F826" s="1243"/>
      <c r="G826" s="963"/>
      <c r="H826" s="590" t="s">
        <v>35</v>
      </c>
      <c r="I826" s="830">
        <f ca="1">IFERROR(__xludf.DUMMYFUNCTION("IMPORTRANGE(""https://docs.google.com/spreadsheets/d/19vJNZY_5yjcGF2XGBMNZRCAIB0Kwfpjp8YEOfu-bneM/edit?usp=sharing"",""งานกองทุน!M26"")"),0)</f>
        <v>0</v>
      </c>
      <c r="J826" s="830">
        <f ca="1">IFERROR(__xludf.DUMMYFUNCTION("IMPORTRANGE(""https://docs.google.com/spreadsheets/d/19vJNZY_5yjcGF2XGBMNZRCAIB0Kwfpjp8YEOfu-bneM/edit?usp=sharing"",""งานกองทุน!O26"")"),0)</f>
        <v>0</v>
      </c>
      <c r="K826" s="831">
        <f t="shared" ca="1" si="336"/>
        <v>0</v>
      </c>
      <c r="L826" s="831"/>
      <c r="M826" s="831"/>
      <c r="N826" s="831"/>
      <c r="O826" s="831"/>
      <c r="P826" s="831"/>
      <c r="Q826" s="1244"/>
      <c r="R826" s="1244"/>
      <c r="S826" s="1244"/>
      <c r="T826" s="1244"/>
      <c r="U826" s="1244"/>
      <c r="V826" s="1244"/>
      <c r="W826" s="1244"/>
      <c r="X826" s="1244"/>
      <c r="Y826" s="1244"/>
      <c r="Z826" s="1244"/>
    </row>
    <row r="827" spans="1:26" ht="18.75">
      <c r="A827" s="1368"/>
      <c r="B827" s="1243" t="s">
        <v>328</v>
      </c>
      <c r="C827" s="1243"/>
      <c r="D827" s="1242"/>
      <c r="E827" s="1243"/>
      <c r="F827" s="1243"/>
      <c r="G827" s="963"/>
      <c r="H827" s="590" t="s">
        <v>12</v>
      </c>
      <c r="I827" s="830">
        <f ca="1">IFERROR(__xludf.DUMMYFUNCTION("IMPORTRANGE(""https://docs.google.com/spreadsheets/d/19vJNZY_5yjcGF2XGBMNZRCAIB0Kwfpjp8YEOfu-bneM/edit?usp=sharing"",""งานกองทุน!S26"")"),7945000)</f>
        <v>7945000</v>
      </c>
      <c r="J827" s="830">
        <f ca="1">IFERROR(__xludf.DUMMYFUNCTION("IMPORTRANGE(""https://docs.google.com/spreadsheets/d/19vJNZY_5yjcGF2XGBMNZRCAIB0Kwfpjp8YEOfu-bneM/edit?usp=sharing"",""งานกองทุน!U26"")"),2415000)</f>
        <v>2415000</v>
      </c>
      <c r="K827" s="831">
        <f t="shared" ca="1" si="336"/>
        <v>30.396475770925111</v>
      </c>
      <c r="L827" s="831"/>
      <c r="M827" s="831"/>
      <c r="N827" s="831"/>
      <c r="O827" s="831"/>
      <c r="P827" s="831"/>
      <c r="Q827" s="1244"/>
      <c r="R827" s="1244"/>
      <c r="S827" s="1244"/>
      <c r="T827" s="1244"/>
      <c r="U827" s="1244"/>
      <c r="V827" s="1244"/>
      <c r="W827" s="1244"/>
      <c r="X827" s="1244"/>
      <c r="Y827" s="1244"/>
      <c r="Z827" s="1244"/>
    </row>
    <row r="828" spans="1:26" ht="18.75">
      <c r="A828" s="1369"/>
      <c r="B828" s="1371"/>
      <c r="C828" s="1371"/>
      <c r="D828" s="1370"/>
      <c r="E828" s="1371"/>
      <c r="F828" s="1371"/>
      <c r="G828" s="1434"/>
      <c r="H828" s="802" t="s">
        <v>35</v>
      </c>
      <c r="I828" s="1085">
        <f ca="1">IFERROR(__xludf.DUMMYFUNCTION("IMPORTRANGE(""https://docs.google.com/spreadsheets/d/19vJNZY_5yjcGF2XGBMNZRCAIB0Kwfpjp8YEOfu-bneM/edit?usp=sharing"",""งานกองทุน!R26"")"),199)</f>
        <v>199</v>
      </c>
      <c r="J828" s="1085">
        <f ca="1">IFERROR(__xludf.DUMMYFUNCTION("IMPORTRANGE(""https://docs.google.com/spreadsheets/d/19vJNZY_5yjcGF2XGBMNZRCAIB0Kwfpjp8YEOfu-bneM/edit?usp=sharing"",""งานกองทุน!T26"")"),72)</f>
        <v>72</v>
      </c>
      <c r="K828" s="1182">
        <f t="shared" ca="1" si="336"/>
        <v>36.180904522613062</v>
      </c>
      <c r="L828" s="1182"/>
      <c r="M828" s="1182"/>
      <c r="N828" s="1182"/>
      <c r="O828" s="1182"/>
      <c r="P828" s="1182"/>
      <c r="Q828" s="1244"/>
      <c r="R828" s="1244"/>
      <c r="S828" s="1244"/>
      <c r="T828" s="1244"/>
      <c r="U828" s="1244"/>
      <c r="V828" s="1244"/>
      <c r="W828" s="1244"/>
      <c r="X828" s="1244"/>
      <c r="Y828" s="1244"/>
      <c r="Z828" s="124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511E3-536A-4B2B-A0E7-3ADCEAB39A28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Q24" sqref="Q24"/>
      <selection pane="bottomLeft" sqref="A1:P1"/>
    </sheetView>
  </sheetViews>
  <sheetFormatPr defaultColWidth="12.5703125" defaultRowHeight="15.75" customHeight="1"/>
  <cols>
    <col min="1" max="3" width="3.28515625" style="803" customWidth="1"/>
    <col min="4" max="6" width="5.85546875" style="803" customWidth="1"/>
    <col min="7" max="7" width="56.42578125" style="803" customWidth="1"/>
    <col min="8" max="8" width="9.42578125" style="803" customWidth="1"/>
    <col min="9" max="10" width="16.85546875" style="803" bestFit="1" customWidth="1"/>
    <col min="11" max="11" width="12.5703125" style="803" bestFit="1" customWidth="1"/>
    <col min="12" max="14" width="21.28515625" style="803" bestFit="1" customWidth="1"/>
    <col min="15" max="15" width="20.140625" style="803" bestFit="1" customWidth="1"/>
    <col min="16" max="16" width="22" style="803" bestFit="1" customWidth="1"/>
    <col min="17" max="16384" width="12.5703125" style="803"/>
  </cols>
  <sheetData>
    <row r="1" spans="1:26" ht="19.5">
      <c r="A1" s="1498" t="s">
        <v>0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</row>
    <row r="2" spans="1:26" ht="19.5">
      <c r="A2" s="1498" t="s">
        <v>351</v>
      </c>
      <c r="B2" s="1516"/>
      <c r="C2" s="1516"/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  <c r="O2" s="1516"/>
      <c r="P2" s="1516"/>
    </row>
    <row r="3" spans="1:26" ht="19.5">
      <c r="A3" s="1498" t="s">
        <v>329</v>
      </c>
      <c r="B3" s="1516"/>
      <c r="C3" s="1516"/>
      <c r="D3" s="1516"/>
      <c r="E3" s="1516"/>
      <c r="F3" s="1516"/>
      <c r="G3" s="1516"/>
      <c r="H3" s="1516"/>
      <c r="I3" s="1516"/>
      <c r="J3" s="1516"/>
      <c r="K3" s="1516"/>
      <c r="L3" s="1516"/>
      <c r="M3" s="1516"/>
      <c r="N3" s="1516"/>
      <c r="O3" s="1516"/>
      <c r="P3" s="1516"/>
    </row>
    <row r="4" spans="1:26" ht="12.75">
      <c r="A4" s="804"/>
      <c r="B4" s="804"/>
      <c r="C4" s="804"/>
      <c r="D4" s="804"/>
      <c r="E4" s="804"/>
      <c r="F4" s="804"/>
      <c r="G4" s="804"/>
      <c r="H4" s="804"/>
      <c r="I4" s="804"/>
      <c r="J4" s="805"/>
      <c r="K4" s="806"/>
      <c r="L4" s="805"/>
      <c r="M4" s="805"/>
      <c r="N4" s="805"/>
      <c r="O4" s="804"/>
      <c r="P4" s="804"/>
    </row>
    <row r="5" spans="1:26" ht="19.5">
      <c r="A5" s="1504" t="s">
        <v>2</v>
      </c>
      <c r="B5" s="1516"/>
      <c r="C5" s="1516"/>
      <c r="D5" s="1516"/>
      <c r="E5" s="1516"/>
      <c r="F5" s="1516"/>
      <c r="G5" s="1505"/>
      <c r="H5" s="1500" t="s">
        <v>3</v>
      </c>
      <c r="I5" s="1501" t="s">
        <v>4</v>
      </c>
      <c r="J5" s="1494"/>
      <c r="K5" s="1495"/>
      <c r="L5" s="1502" t="s">
        <v>5</v>
      </c>
      <c r="M5" s="1495"/>
      <c r="N5" s="1503" t="s">
        <v>6</v>
      </c>
      <c r="O5" s="1494"/>
      <c r="P5" s="1495"/>
    </row>
    <row r="6" spans="1:26" ht="19.5">
      <c r="A6" s="1506"/>
      <c r="B6" s="1494"/>
      <c r="C6" s="1494"/>
      <c r="D6" s="1494"/>
      <c r="E6" s="1494"/>
      <c r="F6" s="1494"/>
      <c r="G6" s="1495"/>
      <c r="H6" s="14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12" t="s">
        <v>15</v>
      </c>
      <c r="B7" s="1494"/>
      <c r="C7" s="1494"/>
      <c r="D7" s="1494"/>
      <c r="E7" s="1494"/>
      <c r="F7" s="1494"/>
      <c r="G7" s="1495"/>
      <c r="H7" s="807"/>
      <c r="I7" s="808"/>
      <c r="J7" s="808"/>
      <c r="K7" s="809"/>
      <c r="L7" s="809"/>
      <c r="M7" s="809"/>
      <c r="N7" s="809"/>
      <c r="O7" s="809"/>
      <c r="P7" s="809"/>
    </row>
    <row r="8" spans="1:26" ht="19.5">
      <c r="A8" s="810"/>
      <c r="B8" s="811"/>
      <c r="C8" s="812" t="s">
        <v>16</v>
      </c>
      <c r="D8" s="813" t="s">
        <v>17</v>
      </c>
      <c r="E8" s="811"/>
      <c r="F8" s="811"/>
      <c r="G8" s="814"/>
      <c r="H8" s="19" t="s">
        <v>12</v>
      </c>
      <c r="I8" s="815"/>
      <c r="J8" s="815"/>
      <c r="K8" s="816"/>
      <c r="L8" s="817">
        <f t="shared" ref="L8:N8" ca="1" si="0">L9+L10</f>
        <v>5285949</v>
      </c>
      <c r="M8" s="817">
        <f t="shared" ca="1" si="0"/>
        <v>3175401</v>
      </c>
      <c r="N8" s="817">
        <f t="shared" ca="1" si="0"/>
        <v>2391917.1500000004</v>
      </c>
      <c r="O8" s="817">
        <f t="shared" ref="O8:O16" ca="1" si="1">IF(L8&gt;0,N8*100/L8,0)</f>
        <v>45.250477255834291</v>
      </c>
      <c r="P8" s="817">
        <f t="shared" ref="P8:P16" ca="1" si="2">IF(M8&gt;0,N8*100/M8,0)</f>
        <v>75.32645955581674</v>
      </c>
      <c r="Q8" s="818"/>
      <c r="R8" s="818"/>
      <c r="S8" s="818"/>
      <c r="T8" s="818"/>
      <c r="U8" s="818"/>
      <c r="V8" s="818"/>
      <c r="W8" s="818"/>
      <c r="X8" s="818"/>
      <c r="Y8" s="818"/>
      <c r="Z8" s="818"/>
    </row>
    <row r="9" spans="1:26" ht="18.75" hidden="1">
      <c r="A9" s="819"/>
      <c r="B9" s="820"/>
      <c r="C9" s="820"/>
      <c r="D9" s="820"/>
      <c r="E9" s="821" t="s">
        <v>18</v>
      </c>
      <c r="F9" s="820"/>
      <c r="G9" s="822"/>
      <c r="H9" s="28" t="s">
        <v>12</v>
      </c>
      <c r="I9" s="823"/>
      <c r="J9" s="823"/>
      <c r="K9" s="824"/>
      <c r="L9" s="824">
        <f t="shared" ref="L9:N10" si="3">L12+L15</f>
        <v>0</v>
      </c>
      <c r="M9" s="824">
        <f t="shared" si="3"/>
        <v>0</v>
      </c>
      <c r="N9" s="824">
        <f t="shared" si="3"/>
        <v>0</v>
      </c>
      <c r="O9" s="824">
        <f t="shared" si="1"/>
        <v>0</v>
      </c>
      <c r="P9" s="824">
        <f t="shared" si="2"/>
        <v>0</v>
      </c>
      <c r="Q9" s="825"/>
      <c r="R9" s="825"/>
      <c r="S9" s="825"/>
      <c r="T9" s="825"/>
      <c r="U9" s="825"/>
      <c r="V9" s="825"/>
      <c r="W9" s="825"/>
      <c r="X9" s="825"/>
      <c r="Y9" s="825"/>
      <c r="Z9" s="825"/>
    </row>
    <row r="10" spans="1:26" ht="18.75" hidden="1">
      <c r="A10" s="819"/>
      <c r="B10" s="820"/>
      <c r="C10" s="820"/>
      <c r="D10" s="820"/>
      <c r="E10" s="821" t="s">
        <v>19</v>
      </c>
      <c r="F10" s="820"/>
      <c r="G10" s="822"/>
      <c r="H10" s="28" t="s">
        <v>12</v>
      </c>
      <c r="I10" s="823"/>
      <c r="J10" s="823"/>
      <c r="K10" s="824"/>
      <c r="L10" s="824">
        <f t="shared" ca="1" si="3"/>
        <v>5285949</v>
      </c>
      <c r="M10" s="824">
        <f t="shared" ca="1" si="3"/>
        <v>3175401</v>
      </c>
      <c r="N10" s="824">
        <f t="shared" ca="1" si="3"/>
        <v>2391917.1500000004</v>
      </c>
      <c r="O10" s="824">
        <f t="shared" ca="1" si="1"/>
        <v>45.250477255834291</v>
      </c>
      <c r="P10" s="824">
        <f t="shared" ca="1" si="2"/>
        <v>75.32645955581674</v>
      </c>
      <c r="Q10" s="825"/>
      <c r="R10" s="825"/>
      <c r="S10" s="825"/>
      <c r="T10" s="825"/>
      <c r="U10" s="825"/>
      <c r="V10" s="825"/>
      <c r="W10" s="825"/>
      <c r="X10" s="825"/>
      <c r="Y10" s="825"/>
      <c r="Z10" s="825"/>
    </row>
    <row r="11" spans="1:26" ht="18.75">
      <c r="A11" s="826"/>
      <c r="B11" s="827"/>
      <c r="C11" s="827"/>
      <c r="D11" s="828" t="s">
        <v>20</v>
      </c>
      <c r="E11" s="827"/>
      <c r="F11" s="827"/>
      <c r="G11" s="829"/>
      <c r="H11" s="590" t="s">
        <v>12</v>
      </c>
      <c r="I11" s="830"/>
      <c r="J11" s="830"/>
      <c r="K11" s="831"/>
      <c r="L11" s="831">
        <f t="shared" ref="L11:N11" ca="1" si="4">L12+L13</f>
        <v>5204149</v>
      </c>
      <c r="M11" s="831">
        <f t="shared" ca="1" si="4"/>
        <v>3095401</v>
      </c>
      <c r="N11" s="831">
        <f t="shared" ca="1" si="4"/>
        <v>2311917.1500000004</v>
      </c>
      <c r="O11" s="831">
        <f t="shared" ca="1" si="1"/>
        <v>44.424499567556587</v>
      </c>
      <c r="P11" s="831">
        <f t="shared" ca="1" si="2"/>
        <v>74.688776995290766</v>
      </c>
      <c r="Q11" s="818"/>
      <c r="R11" s="818"/>
      <c r="S11" s="818"/>
      <c r="T11" s="818"/>
      <c r="U11" s="818"/>
      <c r="V11" s="818"/>
      <c r="W11" s="818"/>
      <c r="X11" s="818"/>
      <c r="Y11" s="818"/>
      <c r="Z11" s="818"/>
    </row>
    <row r="12" spans="1:26" ht="18.75" hidden="1">
      <c r="A12" s="832"/>
      <c r="B12" s="833"/>
      <c r="C12" s="833"/>
      <c r="D12" s="833"/>
      <c r="E12" s="834" t="s">
        <v>18</v>
      </c>
      <c r="F12" s="833"/>
      <c r="G12" s="835"/>
      <c r="H12" s="43" t="s">
        <v>12</v>
      </c>
      <c r="I12" s="836"/>
      <c r="J12" s="836"/>
      <c r="K12" s="837"/>
      <c r="L12" s="837">
        <f t="shared" ref="L12:N13" si="5">L22+L32</f>
        <v>0</v>
      </c>
      <c r="M12" s="837">
        <f t="shared" si="5"/>
        <v>0</v>
      </c>
      <c r="N12" s="837">
        <f t="shared" si="5"/>
        <v>0</v>
      </c>
      <c r="O12" s="837">
        <f t="shared" si="1"/>
        <v>0</v>
      </c>
      <c r="P12" s="837">
        <f t="shared" si="2"/>
        <v>0</v>
      </c>
      <c r="Q12" s="825"/>
      <c r="R12" s="825"/>
      <c r="S12" s="825"/>
      <c r="T12" s="825"/>
      <c r="U12" s="825"/>
      <c r="V12" s="825"/>
      <c r="W12" s="825"/>
      <c r="X12" s="825"/>
      <c r="Y12" s="825"/>
      <c r="Z12" s="825"/>
    </row>
    <row r="13" spans="1:26" ht="18.75" hidden="1">
      <c r="A13" s="832"/>
      <c r="B13" s="833"/>
      <c r="C13" s="833"/>
      <c r="D13" s="833"/>
      <c r="E13" s="834" t="s">
        <v>19</v>
      </c>
      <c r="F13" s="833"/>
      <c r="G13" s="835"/>
      <c r="H13" s="43" t="s">
        <v>12</v>
      </c>
      <c r="I13" s="836"/>
      <c r="J13" s="836"/>
      <c r="K13" s="837"/>
      <c r="L13" s="837">
        <f t="shared" ca="1" si="5"/>
        <v>5204149</v>
      </c>
      <c r="M13" s="837">
        <f t="shared" ca="1" si="5"/>
        <v>3095401</v>
      </c>
      <c r="N13" s="837">
        <f t="shared" ca="1" si="5"/>
        <v>2311917.1500000004</v>
      </c>
      <c r="O13" s="837">
        <f t="shared" ca="1" si="1"/>
        <v>44.424499567556587</v>
      </c>
      <c r="P13" s="837">
        <f t="shared" ca="1" si="2"/>
        <v>74.688776995290766</v>
      </c>
      <c r="Q13" s="825"/>
      <c r="R13" s="825"/>
      <c r="S13" s="825"/>
      <c r="T13" s="825"/>
      <c r="U13" s="825"/>
      <c r="V13" s="825"/>
      <c r="W13" s="825"/>
      <c r="X13" s="825"/>
      <c r="Y13" s="825"/>
      <c r="Z13" s="825"/>
    </row>
    <row r="14" spans="1:26" ht="18.75">
      <c r="A14" s="826"/>
      <c r="B14" s="827"/>
      <c r="C14" s="827"/>
      <c r="D14" s="828" t="s">
        <v>21</v>
      </c>
      <c r="E14" s="827"/>
      <c r="F14" s="827"/>
      <c r="G14" s="829"/>
      <c r="H14" s="590" t="s">
        <v>12</v>
      </c>
      <c r="I14" s="830"/>
      <c r="J14" s="830"/>
      <c r="K14" s="831"/>
      <c r="L14" s="831">
        <f t="shared" ref="L14:N14" ca="1" si="6">L15+L16</f>
        <v>81800</v>
      </c>
      <c r="M14" s="831">
        <f t="shared" ca="1" si="6"/>
        <v>80000</v>
      </c>
      <c r="N14" s="831">
        <f t="shared" ca="1" si="6"/>
        <v>80000</v>
      </c>
      <c r="O14" s="831">
        <f t="shared" ca="1" si="1"/>
        <v>97.799511002444987</v>
      </c>
      <c r="P14" s="831">
        <f t="shared" ca="1" si="2"/>
        <v>100</v>
      </c>
      <c r="Q14" s="818"/>
      <c r="R14" s="818"/>
      <c r="S14" s="818"/>
      <c r="T14" s="818"/>
      <c r="U14" s="818"/>
      <c r="V14" s="818"/>
      <c r="W14" s="818"/>
      <c r="X14" s="818"/>
      <c r="Y14" s="818"/>
      <c r="Z14" s="818"/>
    </row>
    <row r="15" spans="1:26" ht="18.75" hidden="1">
      <c r="A15" s="832"/>
      <c r="B15" s="833"/>
      <c r="C15" s="833"/>
      <c r="D15" s="833"/>
      <c r="E15" s="834" t="s">
        <v>18</v>
      </c>
      <c r="F15" s="833"/>
      <c r="G15" s="835"/>
      <c r="H15" s="43" t="s">
        <v>12</v>
      </c>
      <c r="I15" s="836"/>
      <c r="J15" s="836"/>
      <c r="K15" s="837"/>
      <c r="L15" s="837">
        <f t="shared" ref="L15:N16" si="7">L25+L35</f>
        <v>0</v>
      </c>
      <c r="M15" s="837">
        <f t="shared" si="7"/>
        <v>0</v>
      </c>
      <c r="N15" s="837">
        <f t="shared" si="7"/>
        <v>0</v>
      </c>
      <c r="O15" s="837">
        <f t="shared" si="1"/>
        <v>0</v>
      </c>
      <c r="P15" s="837">
        <f t="shared" si="2"/>
        <v>0</v>
      </c>
      <c r="Q15" s="825"/>
      <c r="R15" s="825"/>
      <c r="S15" s="825"/>
      <c r="T15" s="825"/>
      <c r="U15" s="825"/>
      <c r="V15" s="825"/>
      <c r="W15" s="825"/>
      <c r="X15" s="825"/>
      <c r="Y15" s="825"/>
      <c r="Z15" s="825"/>
    </row>
    <row r="16" spans="1:26" ht="18.75" hidden="1">
      <c r="A16" s="838"/>
      <c r="B16" s="839"/>
      <c r="C16" s="839"/>
      <c r="D16" s="839"/>
      <c r="E16" s="840" t="s">
        <v>19</v>
      </c>
      <c r="F16" s="839"/>
      <c r="G16" s="841"/>
      <c r="H16" s="50" t="s">
        <v>12</v>
      </c>
      <c r="I16" s="842"/>
      <c r="J16" s="842"/>
      <c r="K16" s="843"/>
      <c r="L16" s="843">
        <f t="shared" ca="1" si="7"/>
        <v>81800</v>
      </c>
      <c r="M16" s="843">
        <f t="shared" ca="1" si="7"/>
        <v>80000</v>
      </c>
      <c r="N16" s="843">
        <f t="shared" ca="1" si="7"/>
        <v>80000</v>
      </c>
      <c r="O16" s="843">
        <f t="shared" ca="1" si="1"/>
        <v>97.799511002444987</v>
      </c>
      <c r="P16" s="843">
        <f t="shared" ca="1" si="2"/>
        <v>100</v>
      </c>
      <c r="Q16" s="825"/>
      <c r="R16" s="825"/>
      <c r="S16" s="825"/>
      <c r="T16" s="825"/>
      <c r="U16" s="825"/>
      <c r="V16" s="825"/>
      <c r="W16" s="825"/>
      <c r="X16" s="825"/>
      <c r="Y16" s="825"/>
      <c r="Z16" s="825"/>
    </row>
    <row r="17" spans="1:26" ht="19.5">
      <c r="A17" s="1512" t="s">
        <v>22</v>
      </c>
      <c r="B17" s="1494"/>
      <c r="C17" s="1494"/>
      <c r="D17" s="1494"/>
      <c r="E17" s="1494"/>
      <c r="F17" s="1494"/>
      <c r="G17" s="1495"/>
      <c r="H17" s="807"/>
      <c r="I17" s="808"/>
      <c r="J17" s="808"/>
      <c r="K17" s="809"/>
      <c r="L17" s="809"/>
      <c r="M17" s="809"/>
      <c r="N17" s="809"/>
      <c r="O17" s="809"/>
      <c r="P17" s="809"/>
    </row>
    <row r="18" spans="1:26" ht="19.5">
      <c r="A18" s="810"/>
      <c r="B18" s="811"/>
      <c r="C18" s="812" t="s">
        <v>16</v>
      </c>
      <c r="D18" s="813" t="s">
        <v>17</v>
      </c>
      <c r="E18" s="811"/>
      <c r="F18" s="811"/>
      <c r="G18" s="814"/>
      <c r="H18" s="19" t="s">
        <v>12</v>
      </c>
      <c r="I18" s="815"/>
      <c r="J18" s="815"/>
      <c r="K18" s="816"/>
      <c r="L18" s="817">
        <f t="shared" ref="L18:N18" ca="1" si="8">L19+L20</f>
        <v>3963020</v>
      </c>
      <c r="M18" s="817">
        <f t="shared" ca="1" si="8"/>
        <v>3175401</v>
      </c>
      <c r="N18" s="817">
        <f t="shared" ca="1" si="8"/>
        <v>1863136.1500000004</v>
      </c>
      <c r="O18" s="817">
        <f t="shared" ref="O18:O26" ca="1" si="9">IF(L18&gt;0,N18*100/L18,0)</f>
        <v>47.013039298312911</v>
      </c>
      <c r="P18" s="817">
        <f t="shared" ref="P18:P26" ca="1" si="10">IF(M18&gt;0,N18*100/M18,0)</f>
        <v>58.674043057868921</v>
      </c>
      <c r="Q18" s="818"/>
      <c r="R18" s="818"/>
      <c r="S18" s="818"/>
      <c r="T18" s="818"/>
      <c r="U18" s="818"/>
      <c r="V18" s="818"/>
      <c r="W18" s="818"/>
      <c r="X18" s="818"/>
      <c r="Y18" s="818"/>
      <c r="Z18" s="818"/>
    </row>
    <row r="19" spans="1:26" ht="18.75" hidden="1">
      <c r="A19" s="819"/>
      <c r="B19" s="820"/>
      <c r="C19" s="820"/>
      <c r="D19" s="820"/>
      <c r="E19" s="821" t="s">
        <v>18</v>
      </c>
      <c r="F19" s="820"/>
      <c r="G19" s="822"/>
      <c r="H19" s="28" t="s">
        <v>12</v>
      </c>
      <c r="I19" s="823"/>
      <c r="J19" s="823"/>
      <c r="K19" s="824"/>
      <c r="L19" s="824">
        <f t="shared" ref="L19:N20" si="11">L22+L25</f>
        <v>0</v>
      </c>
      <c r="M19" s="824">
        <f t="shared" si="11"/>
        <v>0</v>
      </c>
      <c r="N19" s="824">
        <f t="shared" si="11"/>
        <v>0</v>
      </c>
      <c r="O19" s="824">
        <f t="shared" si="9"/>
        <v>0</v>
      </c>
      <c r="P19" s="824">
        <f t="shared" si="10"/>
        <v>0</v>
      </c>
      <c r="Q19" s="825"/>
      <c r="R19" s="825"/>
      <c r="S19" s="825"/>
      <c r="T19" s="825"/>
      <c r="U19" s="825"/>
      <c r="V19" s="825"/>
      <c r="W19" s="825"/>
      <c r="X19" s="825"/>
      <c r="Y19" s="825"/>
      <c r="Z19" s="825"/>
    </row>
    <row r="20" spans="1:26" ht="18.75" hidden="1">
      <c r="A20" s="819"/>
      <c r="B20" s="820"/>
      <c r="C20" s="820"/>
      <c r="D20" s="820"/>
      <c r="E20" s="821" t="s">
        <v>19</v>
      </c>
      <c r="F20" s="820"/>
      <c r="G20" s="822"/>
      <c r="H20" s="28" t="s">
        <v>12</v>
      </c>
      <c r="I20" s="823"/>
      <c r="J20" s="823"/>
      <c r="K20" s="824"/>
      <c r="L20" s="824">
        <f t="shared" ca="1" si="11"/>
        <v>3963020</v>
      </c>
      <c r="M20" s="824">
        <f t="shared" ca="1" si="11"/>
        <v>3175401</v>
      </c>
      <c r="N20" s="824">
        <f t="shared" ca="1" si="11"/>
        <v>1863136.1500000004</v>
      </c>
      <c r="O20" s="824">
        <f t="shared" ca="1" si="9"/>
        <v>47.013039298312911</v>
      </c>
      <c r="P20" s="824">
        <f t="shared" ca="1" si="10"/>
        <v>58.674043057868921</v>
      </c>
      <c r="Q20" s="825"/>
      <c r="R20" s="825"/>
      <c r="S20" s="825"/>
      <c r="T20" s="825"/>
      <c r="U20" s="825"/>
      <c r="V20" s="825"/>
      <c r="W20" s="825"/>
      <c r="X20" s="825"/>
      <c r="Y20" s="825"/>
      <c r="Z20" s="825"/>
    </row>
    <row r="21" spans="1:26" ht="18.75">
      <c r="A21" s="826"/>
      <c r="B21" s="827"/>
      <c r="C21" s="827"/>
      <c r="D21" s="828" t="s">
        <v>20</v>
      </c>
      <c r="E21" s="827"/>
      <c r="F21" s="827"/>
      <c r="G21" s="829"/>
      <c r="H21" s="590" t="s">
        <v>12</v>
      </c>
      <c r="I21" s="830"/>
      <c r="J21" s="830"/>
      <c r="K21" s="831"/>
      <c r="L21" s="831">
        <f t="shared" ref="L21:N21" ca="1" si="12">L22+L23</f>
        <v>3881220</v>
      </c>
      <c r="M21" s="831">
        <f t="shared" ca="1" si="12"/>
        <v>3095401</v>
      </c>
      <c r="N21" s="831">
        <f t="shared" ca="1" si="12"/>
        <v>1783136.1500000004</v>
      </c>
      <c r="O21" s="831">
        <f t="shared" ca="1" si="9"/>
        <v>45.942671376525944</v>
      </c>
      <c r="P21" s="831">
        <f t="shared" ca="1" si="10"/>
        <v>57.605982229766042</v>
      </c>
      <c r="Q21" s="818"/>
      <c r="R21" s="818"/>
      <c r="S21" s="818"/>
      <c r="T21" s="818"/>
      <c r="U21" s="818"/>
      <c r="V21" s="818"/>
      <c r="W21" s="818"/>
      <c r="X21" s="818"/>
      <c r="Y21" s="818"/>
      <c r="Z21" s="818"/>
    </row>
    <row r="22" spans="1:26" ht="18.75" hidden="1">
      <c r="A22" s="832"/>
      <c r="B22" s="833"/>
      <c r="C22" s="833"/>
      <c r="D22" s="833"/>
      <c r="E22" s="834" t="s">
        <v>18</v>
      </c>
      <c r="F22" s="833"/>
      <c r="G22" s="835"/>
      <c r="H22" s="43" t="s">
        <v>12</v>
      </c>
      <c r="I22" s="836"/>
      <c r="J22" s="836"/>
      <c r="K22" s="837"/>
      <c r="L22" s="837">
        <f t="shared" ref="L22:N23" si="13">L45+L57+L70+L92+L123+L136+L153+L185+L169+L265+L281+L302+L319+L332+L349+L393+L406</f>
        <v>0</v>
      </c>
      <c r="M22" s="837">
        <f t="shared" si="13"/>
        <v>0</v>
      </c>
      <c r="N22" s="837">
        <f t="shared" si="13"/>
        <v>0</v>
      </c>
      <c r="O22" s="837">
        <f t="shared" si="9"/>
        <v>0</v>
      </c>
      <c r="P22" s="837">
        <f t="shared" si="10"/>
        <v>0</v>
      </c>
      <c r="Q22" s="825"/>
      <c r="R22" s="825"/>
      <c r="S22" s="825"/>
      <c r="T22" s="825"/>
      <c r="U22" s="825"/>
      <c r="V22" s="825"/>
      <c r="W22" s="825"/>
      <c r="X22" s="825"/>
      <c r="Y22" s="825"/>
      <c r="Z22" s="825"/>
    </row>
    <row r="23" spans="1:26" ht="18.75" hidden="1">
      <c r="A23" s="832"/>
      <c r="B23" s="833"/>
      <c r="C23" s="833"/>
      <c r="D23" s="833"/>
      <c r="E23" s="834" t="s">
        <v>19</v>
      </c>
      <c r="F23" s="833"/>
      <c r="G23" s="835"/>
      <c r="H23" s="43" t="s">
        <v>12</v>
      </c>
      <c r="I23" s="836"/>
      <c r="J23" s="836"/>
      <c r="K23" s="837"/>
      <c r="L23" s="837">
        <f t="shared" ca="1" si="13"/>
        <v>3881220</v>
      </c>
      <c r="M23" s="837">
        <f t="shared" ca="1" si="13"/>
        <v>3095401</v>
      </c>
      <c r="N23" s="837">
        <f t="shared" ca="1" si="13"/>
        <v>1783136.1500000004</v>
      </c>
      <c r="O23" s="837">
        <f t="shared" ca="1" si="9"/>
        <v>45.942671376525944</v>
      </c>
      <c r="P23" s="837">
        <f t="shared" ca="1" si="10"/>
        <v>57.605982229766042</v>
      </c>
      <c r="Q23" s="825"/>
      <c r="R23" s="825"/>
      <c r="S23" s="825"/>
      <c r="T23" s="825"/>
      <c r="U23" s="825"/>
      <c r="V23" s="825"/>
      <c r="W23" s="825"/>
      <c r="X23" s="825"/>
      <c r="Y23" s="825"/>
      <c r="Z23" s="825"/>
    </row>
    <row r="24" spans="1:26" ht="18.75">
      <c r="A24" s="826"/>
      <c r="B24" s="827"/>
      <c r="C24" s="827"/>
      <c r="D24" s="828" t="s">
        <v>21</v>
      </c>
      <c r="E24" s="827"/>
      <c r="F24" s="827"/>
      <c r="G24" s="829"/>
      <c r="H24" s="590" t="s">
        <v>12</v>
      </c>
      <c r="I24" s="830"/>
      <c r="J24" s="830"/>
      <c r="K24" s="831"/>
      <c r="L24" s="831">
        <f t="shared" ref="L24:N24" ca="1" si="14">L25+L26</f>
        <v>81800</v>
      </c>
      <c r="M24" s="831">
        <f t="shared" ca="1" si="14"/>
        <v>80000</v>
      </c>
      <c r="N24" s="831">
        <f t="shared" ca="1" si="14"/>
        <v>80000</v>
      </c>
      <c r="O24" s="831">
        <f t="shared" ca="1" si="9"/>
        <v>97.799511002444987</v>
      </c>
      <c r="P24" s="831">
        <f t="shared" ca="1" si="10"/>
        <v>100</v>
      </c>
      <c r="Q24" s="818"/>
      <c r="R24" s="818"/>
      <c r="S24" s="818"/>
      <c r="T24" s="818"/>
      <c r="U24" s="818"/>
      <c r="V24" s="818"/>
      <c r="W24" s="818"/>
      <c r="X24" s="818"/>
      <c r="Y24" s="818"/>
      <c r="Z24" s="818"/>
    </row>
    <row r="25" spans="1:26" ht="18.75" hidden="1">
      <c r="A25" s="832"/>
      <c r="B25" s="833"/>
      <c r="C25" s="833"/>
      <c r="D25" s="833"/>
      <c r="E25" s="834" t="s">
        <v>18</v>
      </c>
      <c r="F25" s="833"/>
      <c r="G25" s="835"/>
      <c r="H25" s="43" t="s">
        <v>12</v>
      </c>
      <c r="I25" s="836"/>
      <c r="J25" s="836"/>
      <c r="K25" s="837"/>
      <c r="L25" s="837">
        <f t="shared" ref="L25:N26" si="15">L48+L60+L73+L95+L126+L139+L156+L188+L172+L268+L284+L305+L322+L335+L352+L396+L409</f>
        <v>0</v>
      </c>
      <c r="M25" s="837">
        <f t="shared" si="15"/>
        <v>0</v>
      </c>
      <c r="N25" s="837">
        <f t="shared" si="15"/>
        <v>0</v>
      </c>
      <c r="O25" s="837">
        <f t="shared" si="9"/>
        <v>0</v>
      </c>
      <c r="P25" s="837">
        <f t="shared" si="10"/>
        <v>0</v>
      </c>
      <c r="Q25" s="825"/>
      <c r="R25" s="825"/>
      <c r="S25" s="825"/>
      <c r="T25" s="825"/>
      <c r="U25" s="825"/>
      <c r="V25" s="825"/>
      <c r="W25" s="825"/>
      <c r="X25" s="825"/>
      <c r="Y25" s="825"/>
      <c r="Z25" s="825"/>
    </row>
    <row r="26" spans="1:26" ht="18.75" hidden="1">
      <c r="A26" s="838"/>
      <c r="B26" s="839"/>
      <c r="C26" s="839"/>
      <c r="D26" s="839"/>
      <c r="E26" s="840" t="s">
        <v>19</v>
      </c>
      <c r="F26" s="839"/>
      <c r="G26" s="841"/>
      <c r="H26" s="50" t="s">
        <v>12</v>
      </c>
      <c r="I26" s="842"/>
      <c r="J26" s="842"/>
      <c r="K26" s="843"/>
      <c r="L26" s="843">
        <f t="shared" ca="1" si="15"/>
        <v>81800</v>
      </c>
      <c r="M26" s="843">
        <f t="shared" ca="1" si="15"/>
        <v>80000</v>
      </c>
      <c r="N26" s="843">
        <f t="shared" ca="1" si="15"/>
        <v>80000</v>
      </c>
      <c r="O26" s="843">
        <f t="shared" ca="1" si="9"/>
        <v>97.799511002444987</v>
      </c>
      <c r="P26" s="843">
        <f t="shared" ca="1" si="10"/>
        <v>100</v>
      </c>
      <c r="Q26" s="825"/>
      <c r="R26" s="825"/>
      <c r="S26" s="825"/>
      <c r="T26" s="825"/>
      <c r="U26" s="825"/>
      <c r="V26" s="825"/>
      <c r="W26" s="825"/>
      <c r="X26" s="825"/>
      <c r="Y26" s="825"/>
      <c r="Z26" s="825"/>
    </row>
    <row r="27" spans="1:26" ht="19.5">
      <c r="A27" s="1512" t="s">
        <v>23</v>
      </c>
      <c r="B27" s="1494"/>
      <c r="C27" s="1494"/>
      <c r="D27" s="1494"/>
      <c r="E27" s="1494"/>
      <c r="F27" s="1494"/>
      <c r="G27" s="1495"/>
      <c r="H27" s="807"/>
      <c r="I27" s="808"/>
      <c r="J27" s="808"/>
      <c r="K27" s="809"/>
      <c r="L27" s="809"/>
      <c r="M27" s="809"/>
      <c r="N27" s="809"/>
      <c r="O27" s="809"/>
      <c r="P27" s="809"/>
    </row>
    <row r="28" spans="1:26" ht="19.5">
      <c r="A28" s="810"/>
      <c r="B28" s="811"/>
      <c r="C28" s="812" t="s">
        <v>16</v>
      </c>
      <c r="D28" s="813" t="s">
        <v>17</v>
      </c>
      <c r="E28" s="811"/>
      <c r="F28" s="811"/>
      <c r="G28" s="814"/>
      <c r="H28" s="19" t="s">
        <v>12</v>
      </c>
      <c r="I28" s="815"/>
      <c r="J28" s="815"/>
      <c r="K28" s="816"/>
      <c r="L28" s="817">
        <f t="shared" ref="L28:N28" ca="1" si="16">L29+L30</f>
        <v>1322929</v>
      </c>
      <c r="M28" s="817">
        <f t="shared" si="16"/>
        <v>0</v>
      </c>
      <c r="N28" s="817">
        <f t="shared" si="16"/>
        <v>528781</v>
      </c>
      <c r="O28" s="817">
        <f t="shared" ref="O28:O37" ca="1" si="17">IF(L28&gt;0,N28*100/L28,0)</f>
        <v>39.970474605969031</v>
      </c>
      <c r="P28" s="817">
        <f t="shared" ref="P28:P37" si="18">IF(M28&gt;0,N28*100/M28,0)</f>
        <v>0</v>
      </c>
      <c r="Q28" s="818"/>
      <c r="R28" s="818"/>
      <c r="S28" s="818"/>
      <c r="T28" s="818"/>
      <c r="U28" s="818"/>
      <c r="V28" s="818"/>
      <c r="W28" s="818"/>
      <c r="X28" s="818"/>
      <c r="Y28" s="818"/>
      <c r="Z28" s="818"/>
    </row>
    <row r="29" spans="1:26" ht="18.75" hidden="1">
      <c r="A29" s="819"/>
      <c r="B29" s="820"/>
      <c r="C29" s="820"/>
      <c r="D29" s="820"/>
      <c r="E29" s="821" t="s">
        <v>18</v>
      </c>
      <c r="F29" s="820"/>
      <c r="G29" s="822"/>
      <c r="H29" s="28" t="s">
        <v>12</v>
      </c>
      <c r="I29" s="823"/>
      <c r="J29" s="823"/>
      <c r="K29" s="824"/>
      <c r="L29" s="824">
        <f t="shared" ref="L29:N30" si="19">L32+L35</f>
        <v>0</v>
      </c>
      <c r="M29" s="824">
        <f t="shared" si="19"/>
        <v>0</v>
      </c>
      <c r="N29" s="824">
        <f t="shared" si="19"/>
        <v>0</v>
      </c>
      <c r="O29" s="824">
        <f t="shared" si="17"/>
        <v>0</v>
      </c>
      <c r="P29" s="824">
        <f t="shared" si="18"/>
        <v>0</v>
      </c>
      <c r="Q29" s="825"/>
      <c r="R29" s="825"/>
      <c r="S29" s="825"/>
      <c r="T29" s="825"/>
      <c r="U29" s="825"/>
      <c r="V29" s="825"/>
      <c r="W29" s="825"/>
      <c r="X29" s="825"/>
      <c r="Y29" s="825"/>
      <c r="Z29" s="825"/>
    </row>
    <row r="30" spans="1:26" ht="18.75" hidden="1">
      <c r="A30" s="819"/>
      <c r="B30" s="820"/>
      <c r="C30" s="820"/>
      <c r="D30" s="820"/>
      <c r="E30" s="821" t="s">
        <v>19</v>
      </c>
      <c r="F30" s="820"/>
      <c r="G30" s="822"/>
      <c r="H30" s="28" t="s">
        <v>12</v>
      </c>
      <c r="I30" s="823"/>
      <c r="J30" s="823"/>
      <c r="K30" s="824"/>
      <c r="L30" s="824">
        <f t="shared" ca="1" si="19"/>
        <v>1322929</v>
      </c>
      <c r="M30" s="824">
        <f t="shared" si="19"/>
        <v>0</v>
      </c>
      <c r="N30" s="824">
        <f t="shared" si="19"/>
        <v>528781</v>
      </c>
      <c r="O30" s="824">
        <f t="shared" ca="1" si="17"/>
        <v>39.970474605969031</v>
      </c>
      <c r="P30" s="824">
        <f t="shared" si="18"/>
        <v>0</v>
      </c>
      <c r="Q30" s="825"/>
      <c r="R30" s="825"/>
      <c r="S30" s="825"/>
      <c r="T30" s="825"/>
      <c r="U30" s="825"/>
      <c r="V30" s="825"/>
      <c r="W30" s="825"/>
      <c r="X30" s="825"/>
      <c r="Y30" s="825"/>
      <c r="Z30" s="825"/>
    </row>
    <row r="31" spans="1:26" ht="18.75">
      <c r="A31" s="826"/>
      <c r="B31" s="827"/>
      <c r="C31" s="827"/>
      <c r="D31" s="828" t="s">
        <v>20</v>
      </c>
      <c r="E31" s="827"/>
      <c r="F31" s="827"/>
      <c r="G31" s="829"/>
      <c r="H31" s="590" t="s">
        <v>12</v>
      </c>
      <c r="I31" s="830"/>
      <c r="J31" s="830"/>
      <c r="K31" s="831"/>
      <c r="L31" s="831">
        <f t="shared" ref="L31:N31" ca="1" si="20">L32+L33</f>
        <v>1322929</v>
      </c>
      <c r="M31" s="831">
        <f t="shared" si="20"/>
        <v>0</v>
      </c>
      <c r="N31" s="831">
        <f t="shared" si="20"/>
        <v>528781</v>
      </c>
      <c r="O31" s="831">
        <f t="shared" ca="1" si="17"/>
        <v>39.970474605969031</v>
      </c>
      <c r="P31" s="831">
        <f t="shared" si="18"/>
        <v>0</v>
      </c>
      <c r="Q31" s="818"/>
      <c r="R31" s="818"/>
      <c r="S31" s="818"/>
      <c r="T31" s="818"/>
      <c r="U31" s="818"/>
      <c r="V31" s="818"/>
      <c r="W31" s="818"/>
      <c r="X31" s="818"/>
      <c r="Y31" s="818"/>
      <c r="Z31" s="818"/>
    </row>
    <row r="32" spans="1:26" ht="18.75" hidden="1">
      <c r="A32" s="832"/>
      <c r="B32" s="833"/>
      <c r="C32" s="833"/>
      <c r="D32" s="833"/>
      <c r="E32" s="834" t="s">
        <v>18</v>
      </c>
      <c r="F32" s="833"/>
      <c r="G32" s="835"/>
      <c r="H32" s="43" t="s">
        <v>12</v>
      </c>
      <c r="I32" s="836"/>
      <c r="J32" s="836"/>
      <c r="K32" s="837"/>
      <c r="L32" s="837">
        <f t="shared" ref="L32:N33" si="21">L423+L448+L471+L506+L527+L548+L633+L659+L689+L741+L758+L774+L790+L809</f>
        <v>0</v>
      </c>
      <c r="M32" s="837">
        <f t="shared" si="21"/>
        <v>0</v>
      </c>
      <c r="N32" s="837">
        <f t="shared" si="21"/>
        <v>0</v>
      </c>
      <c r="O32" s="837">
        <f t="shared" si="17"/>
        <v>0</v>
      </c>
      <c r="P32" s="837">
        <f t="shared" si="18"/>
        <v>0</v>
      </c>
      <c r="Q32" s="825"/>
      <c r="R32" s="825"/>
      <c r="S32" s="825"/>
      <c r="T32" s="825"/>
      <c r="U32" s="825"/>
      <c r="V32" s="825"/>
      <c r="W32" s="825"/>
      <c r="X32" s="825"/>
      <c r="Y32" s="825"/>
      <c r="Z32" s="825"/>
    </row>
    <row r="33" spans="1:26" ht="18.75" hidden="1">
      <c r="A33" s="832"/>
      <c r="B33" s="833"/>
      <c r="C33" s="833"/>
      <c r="D33" s="833"/>
      <c r="E33" s="834" t="s">
        <v>19</v>
      </c>
      <c r="F33" s="833"/>
      <c r="G33" s="835"/>
      <c r="H33" s="43" t="s">
        <v>12</v>
      </c>
      <c r="I33" s="836"/>
      <c r="J33" s="836"/>
      <c r="K33" s="837"/>
      <c r="L33" s="837">
        <f t="shared" ca="1" si="21"/>
        <v>1322929</v>
      </c>
      <c r="M33" s="837">
        <f t="shared" si="21"/>
        <v>0</v>
      </c>
      <c r="N33" s="837">
        <f t="shared" si="21"/>
        <v>528781</v>
      </c>
      <c r="O33" s="837">
        <f t="shared" ca="1" si="17"/>
        <v>39.970474605969031</v>
      </c>
      <c r="P33" s="837">
        <f t="shared" si="18"/>
        <v>0</v>
      </c>
      <c r="Q33" s="825"/>
      <c r="R33" s="825"/>
      <c r="S33" s="825"/>
      <c r="T33" s="825"/>
      <c r="U33" s="825"/>
      <c r="V33" s="825"/>
      <c r="W33" s="825"/>
      <c r="X33" s="825"/>
      <c r="Y33" s="825"/>
      <c r="Z33" s="825"/>
    </row>
    <row r="34" spans="1:26" ht="18.75">
      <c r="A34" s="826"/>
      <c r="B34" s="827"/>
      <c r="C34" s="827"/>
      <c r="D34" s="828" t="s">
        <v>21</v>
      </c>
      <c r="E34" s="827"/>
      <c r="F34" s="827"/>
      <c r="G34" s="829"/>
      <c r="H34" s="590" t="s">
        <v>12</v>
      </c>
      <c r="I34" s="830"/>
      <c r="J34" s="830"/>
      <c r="K34" s="831"/>
      <c r="L34" s="831">
        <f t="shared" ref="L34:N34" ca="1" si="22">L35+L36</f>
        <v>0</v>
      </c>
      <c r="M34" s="831">
        <f t="shared" si="22"/>
        <v>0</v>
      </c>
      <c r="N34" s="831">
        <f t="shared" si="22"/>
        <v>0</v>
      </c>
      <c r="O34" s="831">
        <f t="shared" ca="1" si="17"/>
        <v>0</v>
      </c>
      <c r="P34" s="831">
        <f t="shared" si="18"/>
        <v>0</v>
      </c>
      <c r="Q34" s="818"/>
      <c r="R34" s="818"/>
      <c r="S34" s="818"/>
      <c r="T34" s="818"/>
      <c r="U34" s="818"/>
      <c r="V34" s="818"/>
      <c r="W34" s="818"/>
      <c r="X34" s="818"/>
      <c r="Y34" s="818"/>
      <c r="Z34" s="818"/>
    </row>
    <row r="35" spans="1:26" ht="18.75" hidden="1">
      <c r="A35" s="832"/>
      <c r="B35" s="833"/>
      <c r="C35" s="833"/>
      <c r="D35" s="833"/>
      <c r="E35" s="834" t="s">
        <v>18</v>
      </c>
      <c r="F35" s="833"/>
      <c r="G35" s="835"/>
      <c r="H35" s="43" t="s">
        <v>12</v>
      </c>
      <c r="I35" s="836"/>
      <c r="J35" s="836"/>
      <c r="K35" s="837"/>
      <c r="L35" s="837">
        <f t="shared" ref="L35:N36" si="23">L430+L455+L478+L513+L534+L556+L640+L666+L696+L748+L765+L781+L797+L816</f>
        <v>0</v>
      </c>
      <c r="M35" s="837">
        <f t="shared" si="23"/>
        <v>0</v>
      </c>
      <c r="N35" s="837">
        <f t="shared" si="23"/>
        <v>0</v>
      </c>
      <c r="O35" s="837">
        <f t="shared" si="17"/>
        <v>0</v>
      </c>
      <c r="P35" s="837">
        <f t="shared" si="18"/>
        <v>0</v>
      </c>
      <c r="Q35" s="825"/>
      <c r="R35" s="825"/>
      <c r="S35" s="825"/>
      <c r="T35" s="825"/>
      <c r="U35" s="825"/>
      <c r="V35" s="825"/>
      <c r="W35" s="825"/>
      <c r="X35" s="825"/>
      <c r="Y35" s="825"/>
      <c r="Z35" s="825"/>
    </row>
    <row r="36" spans="1:26" ht="18.75" hidden="1">
      <c r="A36" s="838"/>
      <c r="B36" s="839"/>
      <c r="C36" s="839"/>
      <c r="D36" s="839"/>
      <c r="E36" s="840" t="s">
        <v>19</v>
      </c>
      <c r="F36" s="839"/>
      <c r="G36" s="841"/>
      <c r="H36" s="50" t="s">
        <v>12</v>
      </c>
      <c r="I36" s="842"/>
      <c r="J36" s="842"/>
      <c r="K36" s="843"/>
      <c r="L36" s="843">
        <f t="shared" ca="1" si="23"/>
        <v>0</v>
      </c>
      <c r="M36" s="843">
        <f t="shared" si="23"/>
        <v>0</v>
      </c>
      <c r="N36" s="843">
        <f t="shared" si="23"/>
        <v>0</v>
      </c>
      <c r="O36" s="843">
        <f t="shared" ca="1" si="17"/>
        <v>0</v>
      </c>
      <c r="P36" s="843">
        <f t="shared" si="18"/>
        <v>0</v>
      </c>
      <c r="Q36" s="825"/>
      <c r="R36" s="825"/>
      <c r="S36" s="825"/>
      <c r="T36" s="825"/>
      <c r="U36" s="825"/>
      <c r="V36" s="825"/>
      <c r="W36" s="825"/>
      <c r="X36" s="825"/>
      <c r="Y36" s="825"/>
      <c r="Z36" s="825"/>
    </row>
    <row r="37" spans="1:26" ht="19.5">
      <c r="A37" s="844" t="s">
        <v>24</v>
      </c>
      <c r="B37" s="845"/>
      <c r="C37" s="845"/>
      <c r="D37" s="845"/>
      <c r="E37" s="845"/>
      <c r="F37" s="845"/>
      <c r="G37" s="846"/>
      <c r="H37" s="847"/>
      <c r="I37" s="848"/>
      <c r="J37" s="848"/>
      <c r="K37" s="849"/>
      <c r="L37" s="850">
        <f t="shared" ref="L37:N37" ca="1" si="24">L41+L53+L66+L88+L119+L132+L149+L165+L181+L261+L277+L298+L315+L328+L345+L389+L402</f>
        <v>3963020</v>
      </c>
      <c r="M37" s="850">
        <f t="shared" ca="1" si="24"/>
        <v>3175401</v>
      </c>
      <c r="N37" s="850">
        <f t="shared" ca="1" si="24"/>
        <v>1863136.1500000004</v>
      </c>
      <c r="O37" s="850">
        <f t="shared" ca="1" si="17"/>
        <v>47.013039298312911</v>
      </c>
      <c r="P37" s="850">
        <f t="shared" ca="1" si="18"/>
        <v>58.674043057868921</v>
      </c>
    </row>
    <row r="38" spans="1:26" ht="19.5">
      <c r="A38" s="851" t="s">
        <v>25</v>
      </c>
      <c r="B38" s="852"/>
      <c r="C38" s="852"/>
      <c r="D38" s="852"/>
      <c r="E38" s="852"/>
      <c r="F38" s="852"/>
      <c r="G38" s="853"/>
      <c r="H38" s="854"/>
      <c r="I38" s="855"/>
      <c r="J38" s="855"/>
      <c r="K38" s="856"/>
      <c r="L38" s="856"/>
      <c r="M38" s="856"/>
      <c r="N38" s="856"/>
      <c r="O38" s="856"/>
      <c r="P38" s="856"/>
    </row>
    <row r="39" spans="1:26" ht="19.5">
      <c r="A39" s="857"/>
      <c r="B39" s="858" t="s">
        <v>26</v>
      </c>
      <c r="C39" s="859"/>
      <c r="D39" s="859"/>
      <c r="E39" s="859"/>
      <c r="F39" s="859"/>
      <c r="G39" s="860"/>
      <c r="H39" s="861"/>
      <c r="I39" s="862"/>
      <c r="J39" s="862"/>
      <c r="K39" s="863"/>
      <c r="L39" s="863"/>
      <c r="M39" s="863"/>
      <c r="N39" s="863"/>
      <c r="O39" s="863"/>
      <c r="P39" s="863"/>
    </row>
    <row r="40" spans="1:26" ht="19.5">
      <c r="A40" s="864"/>
      <c r="B40" s="1513" t="s">
        <v>27</v>
      </c>
      <c r="C40" s="1485"/>
      <c r="D40" s="1485"/>
      <c r="E40" s="1485"/>
      <c r="F40" s="1485"/>
      <c r="G40" s="1491"/>
      <c r="H40" s="865"/>
      <c r="I40" s="866"/>
      <c r="J40" s="866"/>
      <c r="K40" s="867"/>
      <c r="L40" s="867"/>
      <c r="M40" s="867"/>
      <c r="N40" s="867"/>
      <c r="O40" s="867"/>
      <c r="P40" s="867"/>
    </row>
    <row r="41" spans="1:26" ht="19.5">
      <c r="A41" s="868"/>
      <c r="B41" s="869"/>
      <c r="C41" s="870" t="s">
        <v>16</v>
      </c>
      <c r="D41" s="871" t="s">
        <v>17</v>
      </c>
      <c r="E41" s="869"/>
      <c r="F41" s="869"/>
      <c r="G41" s="872"/>
      <c r="H41" s="82" t="s">
        <v>12</v>
      </c>
      <c r="I41" s="873"/>
      <c r="J41" s="873"/>
      <c r="K41" s="874"/>
      <c r="L41" s="875">
        <f t="shared" ref="L41:N41" ca="1" si="25">L42+L43</f>
        <v>522850</v>
      </c>
      <c r="M41" s="875">
        <f t="shared" ca="1" si="25"/>
        <v>536451</v>
      </c>
      <c r="N41" s="875">
        <f t="shared" ca="1" si="25"/>
        <v>240927.81</v>
      </c>
      <c r="O41" s="875">
        <f t="shared" ref="O41:O49" ca="1" si="26">IF(L41&gt;0,N41*100/L41,0)</f>
        <v>46.07971884861815</v>
      </c>
      <c r="P41" s="875">
        <f t="shared" ref="P41:P49" ca="1" si="27">IF(M41&gt;0,N41*100/M41,0)</f>
        <v>44.911429002835298</v>
      </c>
      <c r="Q41" s="818"/>
      <c r="R41" s="818"/>
      <c r="S41" s="818"/>
      <c r="T41" s="818"/>
      <c r="U41" s="818"/>
      <c r="V41" s="818"/>
      <c r="W41" s="818"/>
      <c r="X41" s="818"/>
      <c r="Y41" s="818"/>
      <c r="Z41" s="818"/>
    </row>
    <row r="42" spans="1:26" ht="18.75" hidden="1">
      <c r="A42" s="876"/>
      <c r="B42" s="877"/>
      <c r="C42" s="877"/>
      <c r="D42" s="877"/>
      <c r="E42" s="878" t="s">
        <v>18</v>
      </c>
      <c r="F42" s="877"/>
      <c r="G42" s="879"/>
      <c r="H42" s="90" t="s">
        <v>12</v>
      </c>
      <c r="I42" s="880"/>
      <c r="J42" s="880"/>
      <c r="K42" s="881"/>
      <c r="L42" s="881">
        <f t="shared" ref="L42:N43" si="28">L45+L48</f>
        <v>0</v>
      </c>
      <c r="M42" s="881">
        <f t="shared" si="28"/>
        <v>0</v>
      </c>
      <c r="N42" s="881">
        <f t="shared" si="28"/>
        <v>0</v>
      </c>
      <c r="O42" s="881">
        <f t="shared" si="26"/>
        <v>0</v>
      </c>
      <c r="P42" s="881">
        <f t="shared" si="27"/>
        <v>0</v>
      </c>
      <c r="Q42" s="825"/>
      <c r="R42" s="825"/>
      <c r="S42" s="825"/>
      <c r="T42" s="825"/>
      <c r="U42" s="825"/>
      <c r="V42" s="825"/>
      <c r="W42" s="825"/>
      <c r="X42" s="825"/>
      <c r="Y42" s="825"/>
      <c r="Z42" s="825"/>
    </row>
    <row r="43" spans="1:26" ht="18.75" hidden="1">
      <c r="A43" s="876"/>
      <c r="B43" s="877"/>
      <c r="C43" s="877"/>
      <c r="D43" s="877"/>
      <c r="E43" s="878" t="s">
        <v>19</v>
      </c>
      <c r="F43" s="877"/>
      <c r="G43" s="879"/>
      <c r="H43" s="90" t="s">
        <v>12</v>
      </c>
      <c r="I43" s="880"/>
      <c r="J43" s="880"/>
      <c r="K43" s="881"/>
      <c r="L43" s="881">
        <f t="shared" ca="1" si="28"/>
        <v>522850</v>
      </c>
      <c r="M43" s="881">
        <f t="shared" ca="1" si="28"/>
        <v>536451</v>
      </c>
      <c r="N43" s="881">
        <f t="shared" ca="1" si="28"/>
        <v>240927.81</v>
      </c>
      <c r="O43" s="881">
        <f t="shared" ca="1" si="26"/>
        <v>46.07971884861815</v>
      </c>
      <c r="P43" s="881">
        <f t="shared" ca="1" si="27"/>
        <v>44.911429002835298</v>
      </c>
      <c r="Q43" s="825"/>
      <c r="R43" s="825"/>
      <c r="S43" s="825"/>
      <c r="T43" s="825"/>
      <c r="U43" s="825"/>
      <c r="V43" s="825"/>
      <c r="W43" s="825"/>
      <c r="X43" s="825"/>
      <c r="Y43" s="825"/>
      <c r="Z43" s="825"/>
    </row>
    <row r="44" spans="1:26" ht="18.75">
      <c r="A44" s="826"/>
      <c r="B44" s="827"/>
      <c r="C44" s="827"/>
      <c r="D44" s="828" t="s">
        <v>20</v>
      </c>
      <c r="E44" s="827"/>
      <c r="F44" s="827"/>
      <c r="G44" s="829"/>
      <c r="H44" s="590" t="s">
        <v>12</v>
      </c>
      <c r="I44" s="830"/>
      <c r="J44" s="830"/>
      <c r="K44" s="831"/>
      <c r="L44" s="831">
        <f t="shared" ref="L44:N44" ca="1" si="29">L45+L46</f>
        <v>522850</v>
      </c>
      <c r="M44" s="831">
        <f t="shared" ca="1" si="29"/>
        <v>536451</v>
      </c>
      <c r="N44" s="831">
        <f t="shared" ca="1" si="29"/>
        <v>240927.81</v>
      </c>
      <c r="O44" s="831">
        <f t="shared" ca="1" si="26"/>
        <v>46.07971884861815</v>
      </c>
      <c r="P44" s="831">
        <f t="shared" ca="1" si="27"/>
        <v>44.911429002835298</v>
      </c>
      <c r="Q44" s="818"/>
      <c r="R44" s="818"/>
      <c r="S44" s="818"/>
      <c r="T44" s="818"/>
      <c r="U44" s="818"/>
      <c r="V44" s="818"/>
      <c r="W44" s="818"/>
      <c r="X44" s="818"/>
      <c r="Y44" s="818"/>
      <c r="Z44" s="818"/>
    </row>
    <row r="45" spans="1:26" ht="18.75" hidden="1">
      <c r="A45" s="832"/>
      <c r="B45" s="833"/>
      <c r="C45" s="833"/>
      <c r="D45" s="833"/>
      <c r="E45" s="834" t="s">
        <v>18</v>
      </c>
      <c r="F45" s="833"/>
      <c r="G45" s="835"/>
      <c r="H45" s="43" t="s">
        <v>12</v>
      </c>
      <c r="I45" s="836"/>
      <c r="J45" s="836"/>
      <c r="K45" s="837"/>
      <c r="L45" s="837">
        <v>0</v>
      </c>
      <c r="M45" s="837">
        <v>0</v>
      </c>
      <c r="N45" s="837">
        <v>0</v>
      </c>
      <c r="O45" s="837">
        <f t="shared" si="26"/>
        <v>0</v>
      </c>
      <c r="P45" s="837">
        <f t="shared" si="27"/>
        <v>0</v>
      </c>
      <c r="Q45" s="825"/>
      <c r="R45" s="825"/>
      <c r="S45" s="825"/>
      <c r="T45" s="825"/>
      <c r="U45" s="825"/>
      <c r="V45" s="825"/>
      <c r="W45" s="825"/>
      <c r="X45" s="825"/>
      <c r="Y45" s="825"/>
      <c r="Z45" s="825"/>
    </row>
    <row r="46" spans="1:26" ht="18.75" hidden="1">
      <c r="A46" s="832"/>
      <c r="B46" s="833"/>
      <c r="C46" s="833"/>
      <c r="D46" s="833"/>
      <c r="E46" s="834" t="s">
        <v>19</v>
      </c>
      <c r="F46" s="833"/>
      <c r="G46" s="835"/>
      <c r="H46" s="43" t="s">
        <v>12</v>
      </c>
      <c r="I46" s="836"/>
      <c r="J46" s="836"/>
      <c r="K46" s="837"/>
      <c r="L46" s="837">
        <f ca="1">IFERROR(__xludf.DUMMYFUNCTION("IMPORTRANGE(""https://docs.google.com/spreadsheets/d/1MeEWN-I1oV_STSDYn1IFDPWt_1FKiwhDph83XaGc0o0/edit?usp=sharing"",""งบพรบ!M27"")"),522850)</f>
        <v>522850</v>
      </c>
      <c r="M46" s="837">
        <f ca="1">IFERROR(__xludf.DUMMYFUNCTION("IMPORTRANGE(""https://docs.google.com/spreadsheets/d/1MeEWN-I1oV_STSDYn1IFDPWt_1FKiwhDph83XaGc0o0/edit?usp=sharing"",""งบพรบ!R27"")"),536451)</f>
        <v>536451</v>
      </c>
      <c r="N46" s="837">
        <f ca="1">IFERROR(__xludf.DUMMYFUNCTION("IMPORTRANGE(""https://docs.google.com/spreadsheets/d/1MeEWN-I1oV_STSDYn1IFDPWt_1FKiwhDph83XaGc0o0/edit?usp=sharing"",""งบพรบ!T27"")"),240927.81)</f>
        <v>240927.81</v>
      </c>
      <c r="O46" s="837">
        <f t="shared" ca="1" si="26"/>
        <v>46.07971884861815</v>
      </c>
      <c r="P46" s="837">
        <f t="shared" ca="1" si="27"/>
        <v>44.911429002835298</v>
      </c>
      <c r="Q46" s="825"/>
      <c r="R46" s="825"/>
      <c r="S46" s="825"/>
      <c r="T46" s="825"/>
      <c r="U46" s="825"/>
      <c r="V46" s="825"/>
      <c r="W46" s="825"/>
      <c r="X46" s="825"/>
      <c r="Y46" s="825"/>
      <c r="Z46" s="825"/>
    </row>
    <row r="47" spans="1:26" ht="18.75">
      <c r="A47" s="826"/>
      <c r="B47" s="827"/>
      <c r="C47" s="827"/>
      <c r="D47" s="828" t="s">
        <v>21</v>
      </c>
      <c r="E47" s="827"/>
      <c r="F47" s="827"/>
      <c r="G47" s="829"/>
      <c r="H47" s="590" t="s">
        <v>12</v>
      </c>
      <c r="I47" s="830"/>
      <c r="J47" s="830"/>
      <c r="K47" s="831"/>
      <c r="L47" s="831">
        <f t="shared" ref="L47:N47" ca="1" si="30">L48+L49</f>
        <v>0</v>
      </c>
      <c r="M47" s="831">
        <f t="shared" ca="1" si="30"/>
        <v>0</v>
      </c>
      <c r="N47" s="831">
        <f t="shared" ca="1" si="30"/>
        <v>0</v>
      </c>
      <c r="O47" s="831">
        <f t="shared" ca="1" si="26"/>
        <v>0</v>
      </c>
      <c r="P47" s="831">
        <f t="shared" ca="1" si="27"/>
        <v>0</v>
      </c>
      <c r="Q47" s="818"/>
      <c r="R47" s="818"/>
      <c r="S47" s="818"/>
      <c r="T47" s="818"/>
      <c r="U47" s="818"/>
      <c r="V47" s="818"/>
      <c r="W47" s="818"/>
      <c r="X47" s="818"/>
      <c r="Y47" s="818"/>
      <c r="Z47" s="818"/>
    </row>
    <row r="48" spans="1:26" ht="18.75" hidden="1">
      <c r="A48" s="832"/>
      <c r="B48" s="833"/>
      <c r="C48" s="833"/>
      <c r="D48" s="833"/>
      <c r="E48" s="834" t="s">
        <v>18</v>
      </c>
      <c r="F48" s="833"/>
      <c r="G48" s="835"/>
      <c r="H48" s="43" t="s">
        <v>12</v>
      </c>
      <c r="I48" s="836"/>
      <c r="J48" s="836"/>
      <c r="K48" s="837"/>
      <c r="L48" s="837">
        <v>0</v>
      </c>
      <c r="M48" s="837">
        <v>0</v>
      </c>
      <c r="N48" s="837">
        <v>0</v>
      </c>
      <c r="O48" s="837">
        <f t="shared" si="26"/>
        <v>0</v>
      </c>
      <c r="P48" s="837">
        <f t="shared" si="27"/>
        <v>0</v>
      </c>
      <c r="Q48" s="825"/>
      <c r="R48" s="825"/>
      <c r="S48" s="825"/>
      <c r="T48" s="825"/>
      <c r="U48" s="825"/>
      <c r="V48" s="825"/>
      <c r="W48" s="825"/>
      <c r="X48" s="825"/>
      <c r="Y48" s="825"/>
      <c r="Z48" s="825"/>
    </row>
    <row r="49" spans="1:26" ht="18.75" hidden="1">
      <c r="A49" s="838"/>
      <c r="B49" s="839"/>
      <c r="C49" s="839"/>
      <c r="D49" s="839"/>
      <c r="E49" s="840" t="s">
        <v>19</v>
      </c>
      <c r="F49" s="839"/>
      <c r="G49" s="841"/>
      <c r="H49" s="50" t="s">
        <v>12</v>
      </c>
      <c r="I49" s="842"/>
      <c r="J49" s="842"/>
      <c r="K49" s="843"/>
      <c r="L49" s="843">
        <f ca="1">IFERROR(__xludf.DUMMYFUNCTION("IMPORTRANGE(""https://docs.google.com/spreadsheets/d/1MeEWN-I1oV_STSDYn1IFDPWt_1FKiwhDph83XaGc0o0/edit?usp=sharing"",""งบพรบ!P27"")"),0)</f>
        <v>0</v>
      </c>
      <c r="M49" s="843">
        <f ca="1">IFERROR(__xludf.DUMMYFUNCTION("IMPORTRANGE(""https://docs.google.com/spreadsheets/d/1MeEWN-I1oV_STSDYn1IFDPWt_1FKiwhDph83XaGc0o0/edit?usp=sharing"",""งบพรบ!S27"")"),0)</f>
        <v>0</v>
      </c>
      <c r="N49" s="843">
        <f ca="1">IFERROR(__xludf.DUMMYFUNCTION("IMPORTRANGE(""https://docs.google.com/spreadsheets/d/1MeEWN-I1oV_STSDYn1IFDPWt_1FKiwhDph83XaGc0o0/edit?usp=sharing"",""งบพรบ!U27"")"),0)</f>
        <v>0</v>
      </c>
      <c r="O49" s="843">
        <f t="shared" ca="1" si="26"/>
        <v>0</v>
      </c>
      <c r="P49" s="843">
        <f t="shared" ca="1" si="27"/>
        <v>0</v>
      </c>
      <c r="Q49" s="825"/>
      <c r="R49" s="825"/>
      <c r="S49" s="825"/>
      <c r="T49" s="825"/>
      <c r="U49" s="825"/>
      <c r="V49" s="825"/>
      <c r="W49" s="825"/>
      <c r="X49" s="825"/>
      <c r="Y49" s="825"/>
      <c r="Z49" s="825"/>
    </row>
    <row r="50" spans="1:26" ht="19.5">
      <c r="A50" s="1514" t="s">
        <v>28</v>
      </c>
      <c r="B50" s="1494"/>
      <c r="C50" s="1494"/>
      <c r="D50" s="1494"/>
      <c r="E50" s="1494"/>
      <c r="F50" s="1494"/>
      <c r="G50" s="1495"/>
      <c r="H50" s="882"/>
      <c r="I50" s="883"/>
      <c r="J50" s="883"/>
      <c r="K50" s="884"/>
      <c r="L50" s="884"/>
      <c r="M50" s="884"/>
      <c r="N50" s="884"/>
      <c r="O50" s="884"/>
      <c r="P50" s="884"/>
    </row>
    <row r="51" spans="1:26" ht="19.5">
      <c r="A51" s="885"/>
      <c r="B51" s="1515" t="s">
        <v>29</v>
      </c>
      <c r="C51" s="1485"/>
      <c r="D51" s="1485"/>
      <c r="E51" s="1485"/>
      <c r="F51" s="1485"/>
      <c r="G51" s="1491"/>
      <c r="H51" s="886"/>
      <c r="I51" s="887"/>
      <c r="J51" s="887"/>
      <c r="K51" s="888"/>
      <c r="L51" s="888"/>
      <c r="M51" s="888"/>
      <c r="N51" s="888"/>
      <c r="O51" s="888"/>
      <c r="P51" s="888"/>
    </row>
    <row r="52" spans="1:26" ht="19.5">
      <c r="A52" s="889"/>
      <c r="B52" s="890" t="s">
        <v>30</v>
      </c>
      <c r="C52" s="891"/>
      <c r="D52" s="891"/>
      <c r="E52" s="891"/>
      <c r="F52" s="891"/>
      <c r="G52" s="892"/>
      <c r="H52" s="893"/>
      <c r="I52" s="894"/>
      <c r="J52" s="894"/>
      <c r="K52" s="895"/>
      <c r="L52" s="895"/>
      <c r="M52" s="895"/>
      <c r="N52" s="895"/>
      <c r="O52" s="895"/>
      <c r="P52" s="895"/>
    </row>
    <row r="53" spans="1:26" ht="19.5">
      <c r="A53" s="896"/>
      <c r="B53" s="897"/>
      <c r="C53" s="898" t="s">
        <v>16</v>
      </c>
      <c r="D53" s="899" t="s">
        <v>17</v>
      </c>
      <c r="E53" s="897"/>
      <c r="F53" s="897"/>
      <c r="G53" s="900"/>
      <c r="H53" s="113" t="s">
        <v>12</v>
      </c>
      <c r="I53" s="901"/>
      <c r="J53" s="901"/>
      <c r="K53" s="902"/>
      <c r="L53" s="903">
        <f t="shared" ref="L53:N53" ca="1" si="31">L54+L55</f>
        <v>865100</v>
      </c>
      <c r="M53" s="903">
        <f t="shared" ca="1" si="31"/>
        <v>667475</v>
      </c>
      <c r="N53" s="903">
        <f t="shared" ca="1" si="31"/>
        <v>563394.02</v>
      </c>
      <c r="O53" s="903">
        <f t="shared" ref="O53:O61" ca="1" si="32">IF(L53&gt;0,N53*100/L53,0)</f>
        <v>65.12472777713559</v>
      </c>
      <c r="P53" s="903">
        <f t="shared" ref="P53:P61" ca="1" si="33">IF(M53&gt;0,N53*100/M53,0)</f>
        <v>84.40675980373797</v>
      </c>
      <c r="Q53" s="818"/>
      <c r="R53" s="818"/>
      <c r="S53" s="818"/>
      <c r="T53" s="818"/>
      <c r="U53" s="818"/>
      <c r="V53" s="818"/>
      <c r="W53" s="818"/>
      <c r="X53" s="818"/>
      <c r="Y53" s="818"/>
      <c r="Z53" s="818"/>
    </row>
    <row r="54" spans="1:26" ht="18.75" hidden="1">
      <c r="A54" s="904"/>
      <c r="B54" s="905"/>
      <c r="C54" s="905"/>
      <c r="D54" s="905"/>
      <c r="E54" s="906" t="s">
        <v>18</v>
      </c>
      <c r="F54" s="905"/>
      <c r="G54" s="907"/>
      <c r="H54" s="121" t="s">
        <v>12</v>
      </c>
      <c r="I54" s="908"/>
      <c r="J54" s="908"/>
      <c r="K54" s="909"/>
      <c r="L54" s="909">
        <f t="shared" ref="L54:N55" si="34">L57+L60</f>
        <v>0</v>
      </c>
      <c r="M54" s="909">
        <f t="shared" si="34"/>
        <v>0</v>
      </c>
      <c r="N54" s="909">
        <f t="shared" si="34"/>
        <v>0</v>
      </c>
      <c r="O54" s="909">
        <f t="shared" si="32"/>
        <v>0</v>
      </c>
      <c r="P54" s="909">
        <f t="shared" si="33"/>
        <v>0</v>
      </c>
      <c r="Q54" s="825"/>
      <c r="R54" s="825"/>
      <c r="S54" s="825"/>
      <c r="T54" s="825"/>
      <c r="U54" s="825"/>
      <c r="V54" s="825"/>
      <c r="W54" s="825"/>
      <c r="X54" s="825"/>
      <c r="Y54" s="825"/>
      <c r="Z54" s="825"/>
    </row>
    <row r="55" spans="1:26" ht="18.75" hidden="1">
      <c r="A55" s="904"/>
      <c r="B55" s="905"/>
      <c r="C55" s="905"/>
      <c r="D55" s="905"/>
      <c r="E55" s="906" t="s">
        <v>19</v>
      </c>
      <c r="F55" s="905"/>
      <c r="G55" s="907"/>
      <c r="H55" s="121" t="s">
        <v>12</v>
      </c>
      <c r="I55" s="908"/>
      <c r="J55" s="908"/>
      <c r="K55" s="909"/>
      <c r="L55" s="909">
        <f t="shared" ca="1" si="34"/>
        <v>865100</v>
      </c>
      <c r="M55" s="909">
        <f t="shared" ca="1" si="34"/>
        <v>667475</v>
      </c>
      <c r="N55" s="909">
        <f t="shared" ca="1" si="34"/>
        <v>563394.02</v>
      </c>
      <c r="O55" s="909">
        <f t="shared" ca="1" si="32"/>
        <v>65.12472777713559</v>
      </c>
      <c r="P55" s="909">
        <f t="shared" ca="1" si="33"/>
        <v>84.40675980373797</v>
      </c>
      <c r="Q55" s="825"/>
      <c r="R55" s="825"/>
      <c r="S55" s="825"/>
      <c r="T55" s="825"/>
      <c r="U55" s="825"/>
      <c r="V55" s="825"/>
      <c r="W55" s="825"/>
      <c r="X55" s="825"/>
      <c r="Y55" s="825"/>
      <c r="Z55" s="825"/>
    </row>
    <row r="56" spans="1:26" ht="18.75">
      <c r="A56" s="826"/>
      <c r="B56" s="827"/>
      <c r="C56" s="827"/>
      <c r="D56" s="828" t="s">
        <v>20</v>
      </c>
      <c r="E56" s="827"/>
      <c r="F56" s="827"/>
      <c r="G56" s="829"/>
      <c r="H56" s="590" t="s">
        <v>12</v>
      </c>
      <c r="I56" s="830"/>
      <c r="J56" s="830"/>
      <c r="K56" s="831"/>
      <c r="L56" s="831">
        <f t="shared" ref="L56:N56" ca="1" si="35">L57+L58</f>
        <v>783300</v>
      </c>
      <c r="M56" s="831">
        <f t="shared" ca="1" si="35"/>
        <v>587475</v>
      </c>
      <c r="N56" s="831">
        <f t="shared" ca="1" si="35"/>
        <v>483394.02</v>
      </c>
      <c r="O56" s="831">
        <f t="shared" ca="1" si="32"/>
        <v>61.712500957487549</v>
      </c>
      <c r="P56" s="831">
        <f t="shared" ca="1" si="33"/>
        <v>82.283334609983399</v>
      </c>
      <c r="Q56" s="818"/>
      <c r="R56" s="818"/>
      <c r="S56" s="818"/>
      <c r="T56" s="818"/>
      <c r="U56" s="818"/>
      <c r="V56" s="818"/>
      <c r="W56" s="818"/>
      <c r="X56" s="818"/>
      <c r="Y56" s="818"/>
      <c r="Z56" s="818"/>
    </row>
    <row r="57" spans="1:26" ht="18.75" hidden="1">
      <c r="A57" s="832"/>
      <c r="B57" s="833"/>
      <c r="C57" s="833"/>
      <c r="D57" s="833"/>
      <c r="E57" s="834" t="s">
        <v>18</v>
      </c>
      <c r="F57" s="833"/>
      <c r="G57" s="835"/>
      <c r="H57" s="43" t="s">
        <v>12</v>
      </c>
      <c r="I57" s="836"/>
      <c r="J57" s="836"/>
      <c r="K57" s="837"/>
      <c r="L57" s="837">
        <v>0</v>
      </c>
      <c r="M57" s="837">
        <v>0</v>
      </c>
      <c r="N57" s="837">
        <v>0</v>
      </c>
      <c r="O57" s="837">
        <f t="shared" si="32"/>
        <v>0</v>
      </c>
      <c r="P57" s="837">
        <f t="shared" si="33"/>
        <v>0</v>
      </c>
      <c r="Q57" s="825"/>
      <c r="R57" s="825"/>
      <c r="S57" s="825"/>
      <c r="T57" s="825"/>
      <c r="U57" s="825"/>
      <c r="V57" s="825"/>
      <c r="W57" s="825"/>
      <c r="X57" s="825"/>
      <c r="Y57" s="825"/>
      <c r="Z57" s="825"/>
    </row>
    <row r="58" spans="1:26" ht="18.75" hidden="1">
      <c r="A58" s="832"/>
      <c r="B58" s="833"/>
      <c r="C58" s="833"/>
      <c r="D58" s="833"/>
      <c r="E58" s="834" t="s">
        <v>19</v>
      </c>
      <c r="F58" s="833"/>
      <c r="G58" s="835"/>
      <c r="H58" s="43" t="s">
        <v>12</v>
      </c>
      <c r="I58" s="836"/>
      <c r="J58" s="836"/>
      <c r="K58" s="837"/>
      <c r="L58" s="837">
        <f ca="1">IFERROR(__xludf.DUMMYFUNCTION("IMPORTRANGE(""https://docs.google.com/spreadsheets/d/1MeEWN-I1oV_STSDYn1IFDPWt_1FKiwhDph83XaGc0o0/edit?usp=sharing"",""งบพรบ!W27"")"),783300)</f>
        <v>783300</v>
      </c>
      <c r="M58" s="837">
        <f ca="1">IFERROR(__xludf.DUMMYFUNCTION("IMPORTRANGE(""https://docs.google.com/spreadsheets/d/1MeEWN-I1oV_STSDYn1IFDPWt_1FKiwhDph83XaGc0o0/edit?usp=sharing"",""งบพรบ!AB27"")"),587475)</f>
        <v>587475</v>
      </c>
      <c r="N58" s="837">
        <f ca="1">IFERROR(__xludf.DUMMYFUNCTION("IMPORTRANGE(""https://docs.google.com/spreadsheets/d/1MeEWN-I1oV_STSDYn1IFDPWt_1FKiwhDph83XaGc0o0/edit?usp=sharing"",""งบพรบ!AD27"")"),483394.02)</f>
        <v>483394.02</v>
      </c>
      <c r="O58" s="837">
        <f t="shared" ca="1" si="32"/>
        <v>61.712500957487549</v>
      </c>
      <c r="P58" s="837">
        <f t="shared" ca="1" si="33"/>
        <v>82.283334609983399</v>
      </c>
      <c r="Q58" s="825"/>
      <c r="R58" s="825"/>
      <c r="S58" s="825"/>
      <c r="T58" s="825"/>
      <c r="U58" s="825"/>
      <c r="V58" s="825"/>
      <c r="W58" s="825"/>
      <c r="X58" s="825"/>
      <c r="Y58" s="825"/>
      <c r="Z58" s="825"/>
    </row>
    <row r="59" spans="1:26" ht="18.75">
      <c r="A59" s="826"/>
      <c r="B59" s="827"/>
      <c r="C59" s="827"/>
      <c r="D59" s="828" t="s">
        <v>21</v>
      </c>
      <c r="E59" s="827"/>
      <c r="F59" s="827"/>
      <c r="G59" s="829"/>
      <c r="H59" s="590" t="s">
        <v>12</v>
      </c>
      <c r="I59" s="830"/>
      <c r="J59" s="830"/>
      <c r="K59" s="831"/>
      <c r="L59" s="831">
        <f t="shared" ref="L59:N59" ca="1" si="36">L60+L61</f>
        <v>81800</v>
      </c>
      <c r="M59" s="831">
        <f t="shared" ca="1" si="36"/>
        <v>80000</v>
      </c>
      <c r="N59" s="831">
        <f t="shared" ca="1" si="36"/>
        <v>80000</v>
      </c>
      <c r="O59" s="831">
        <f t="shared" ca="1" si="32"/>
        <v>97.799511002444987</v>
      </c>
      <c r="P59" s="831">
        <f t="shared" ca="1" si="33"/>
        <v>100</v>
      </c>
      <c r="Q59" s="818"/>
      <c r="R59" s="818"/>
      <c r="S59" s="818"/>
      <c r="T59" s="818"/>
      <c r="U59" s="818"/>
      <c r="V59" s="818"/>
      <c r="W59" s="818"/>
      <c r="X59" s="818"/>
      <c r="Y59" s="818"/>
      <c r="Z59" s="818"/>
    </row>
    <row r="60" spans="1:26" ht="18.75" hidden="1">
      <c r="A60" s="832"/>
      <c r="B60" s="833"/>
      <c r="C60" s="833"/>
      <c r="D60" s="833"/>
      <c r="E60" s="834" t="s">
        <v>18</v>
      </c>
      <c r="F60" s="833"/>
      <c r="G60" s="835"/>
      <c r="H60" s="43" t="s">
        <v>12</v>
      </c>
      <c r="I60" s="836"/>
      <c r="J60" s="836"/>
      <c r="K60" s="837"/>
      <c r="L60" s="837">
        <v>0</v>
      </c>
      <c r="M60" s="837">
        <v>0</v>
      </c>
      <c r="N60" s="837">
        <v>0</v>
      </c>
      <c r="O60" s="837">
        <f t="shared" si="32"/>
        <v>0</v>
      </c>
      <c r="P60" s="837">
        <f t="shared" si="33"/>
        <v>0</v>
      </c>
      <c r="Q60" s="825"/>
      <c r="R60" s="825"/>
      <c r="S60" s="825"/>
      <c r="T60" s="825"/>
      <c r="U60" s="825"/>
      <c r="V60" s="825"/>
      <c r="W60" s="825"/>
      <c r="X60" s="825"/>
      <c r="Y60" s="825"/>
      <c r="Z60" s="825"/>
    </row>
    <row r="61" spans="1:26" ht="18.75" hidden="1">
      <c r="A61" s="838"/>
      <c r="B61" s="839"/>
      <c r="C61" s="839"/>
      <c r="D61" s="839"/>
      <c r="E61" s="840" t="s">
        <v>19</v>
      </c>
      <c r="F61" s="839"/>
      <c r="G61" s="841"/>
      <c r="H61" s="50" t="s">
        <v>12</v>
      </c>
      <c r="I61" s="842"/>
      <c r="J61" s="842"/>
      <c r="K61" s="843"/>
      <c r="L61" s="843">
        <f ca="1">IFERROR(__xludf.DUMMYFUNCTION("IMPORTRANGE(""https://docs.google.com/spreadsheets/d/1MeEWN-I1oV_STSDYn1IFDPWt_1FKiwhDph83XaGc0o0/edit?usp=sharing"",""งบพรบ!Z27"")"),81800)</f>
        <v>81800</v>
      </c>
      <c r="M61" s="843">
        <f ca="1">IFERROR(__xludf.DUMMYFUNCTION("IMPORTRANGE(""https://docs.google.com/spreadsheets/d/1MeEWN-I1oV_STSDYn1IFDPWt_1FKiwhDph83XaGc0o0/edit?usp=sharing"",""งบพรบ!AC27"")"),80000)</f>
        <v>80000</v>
      </c>
      <c r="N61" s="843">
        <f ca="1">IFERROR(__xludf.DUMMYFUNCTION("IMPORTRANGE(""https://docs.google.com/spreadsheets/d/1MeEWN-I1oV_STSDYn1IFDPWt_1FKiwhDph83XaGc0o0/edit?usp=sharing"",""งบพรบ!AE27"")"),80000)</f>
        <v>80000</v>
      </c>
      <c r="O61" s="843">
        <f t="shared" ca="1" si="32"/>
        <v>97.799511002444987</v>
      </c>
      <c r="P61" s="843">
        <f t="shared" ca="1" si="33"/>
        <v>100</v>
      </c>
      <c r="Q61" s="825"/>
      <c r="R61" s="825"/>
      <c r="S61" s="825"/>
      <c r="T61" s="825"/>
      <c r="U61" s="825"/>
      <c r="V61" s="825"/>
      <c r="W61" s="825"/>
      <c r="X61" s="825"/>
      <c r="Y61" s="825"/>
      <c r="Z61" s="825"/>
    </row>
    <row r="62" spans="1:26" ht="19.5">
      <c r="A62" s="910" t="s">
        <v>31</v>
      </c>
      <c r="B62" s="911"/>
      <c r="C62" s="911"/>
      <c r="D62" s="911"/>
      <c r="E62" s="912"/>
      <c r="F62" s="912"/>
      <c r="G62" s="913"/>
      <c r="H62" s="914"/>
      <c r="I62" s="915"/>
      <c r="J62" s="915"/>
      <c r="K62" s="916"/>
      <c r="L62" s="916"/>
      <c r="M62" s="916"/>
      <c r="N62" s="916"/>
      <c r="O62" s="916"/>
      <c r="P62" s="916"/>
    </row>
    <row r="63" spans="1:26" ht="19.5">
      <c r="A63" s="917" t="s">
        <v>32</v>
      </c>
      <c r="B63" s="918"/>
      <c r="C63" s="919"/>
      <c r="D63" s="918"/>
      <c r="E63" s="918"/>
      <c r="F63" s="918"/>
      <c r="G63" s="920"/>
      <c r="H63" s="921"/>
      <c r="I63" s="922"/>
      <c r="J63" s="922"/>
      <c r="K63" s="923"/>
      <c r="L63" s="923"/>
      <c r="M63" s="923"/>
      <c r="N63" s="923"/>
      <c r="O63" s="923"/>
      <c r="P63" s="923"/>
    </row>
    <row r="64" spans="1:26" ht="19.5">
      <c r="A64" s="924"/>
      <c r="B64" s="925" t="s">
        <v>33</v>
      </c>
      <c r="C64" s="926"/>
      <c r="D64" s="927"/>
      <c r="E64" s="926"/>
      <c r="F64" s="926"/>
      <c r="G64" s="928"/>
      <c r="H64" s="205" t="s">
        <v>34</v>
      </c>
      <c r="I64" s="929">
        <f t="shared" ref="I64:J65" ca="1" si="37">I76</f>
        <v>1</v>
      </c>
      <c r="J64" s="929">
        <f t="shared" si="37"/>
        <v>1</v>
      </c>
      <c r="K64" s="930">
        <f t="shared" ref="K64:K65" ca="1" si="38">IF(I64&gt;0,J64*100/I64,0)</f>
        <v>100</v>
      </c>
      <c r="L64" s="931"/>
      <c r="M64" s="931"/>
      <c r="N64" s="931"/>
      <c r="O64" s="931"/>
      <c r="P64" s="931"/>
    </row>
    <row r="65" spans="1:26" ht="19.5">
      <c r="A65" s="924"/>
      <c r="B65" s="926"/>
      <c r="C65" s="926"/>
      <c r="D65" s="927"/>
      <c r="E65" s="926"/>
      <c r="F65" s="926"/>
      <c r="G65" s="928"/>
      <c r="H65" s="205" t="s">
        <v>35</v>
      </c>
      <c r="I65" s="929">
        <f t="shared" ca="1" si="37"/>
        <v>35</v>
      </c>
      <c r="J65" s="929">
        <f t="shared" si="37"/>
        <v>35</v>
      </c>
      <c r="K65" s="930">
        <f t="shared" ca="1" si="38"/>
        <v>100</v>
      </c>
      <c r="L65" s="931"/>
      <c r="M65" s="931"/>
      <c r="N65" s="931"/>
      <c r="O65" s="931"/>
      <c r="P65" s="931"/>
    </row>
    <row r="66" spans="1:26" ht="19.5">
      <c r="A66" s="932"/>
      <c r="B66" s="933"/>
      <c r="C66" s="934" t="s">
        <v>16</v>
      </c>
      <c r="D66" s="935" t="s">
        <v>17</v>
      </c>
      <c r="E66" s="933"/>
      <c r="F66" s="933"/>
      <c r="G66" s="936"/>
      <c r="H66" s="152" t="s">
        <v>12</v>
      </c>
      <c r="I66" s="937"/>
      <c r="J66" s="937"/>
      <c r="K66" s="938"/>
      <c r="L66" s="939">
        <f t="shared" ref="L66:N66" ca="1" si="39">L67+L68</f>
        <v>919600</v>
      </c>
      <c r="M66" s="939">
        <f t="shared" ca="1" si="39"/>
        <v>680700</v>
      </c>
      <c r="N66" s="939">
        <f t="shared" ca="1" si="39"/>
        <v>401276.14</v>
      </c>
      <c r="O66" s="939">
        <f t="shared" ref="O66:O74" ca="1" si="40">IF(L66&gt;0,N66*100/L66,0)</f>
        <v>43.63594388864724</v>
      </c>
      <c r="P66" s="939">
        <f t="shared" ref="P66:P74" ca="1" si="41">IF(M66&gt;0,N66*100/M66,0)</f>
        <v>58.950512707506981</v>
      </c>
      <c r="Q66" s="818"/>
      <c r="R66" s="818"/>
      <c r="S66" s="818"/>
      <c r="T66" s="818"/>
      <c r="U66" s="818"/>
      <c r="V66" s="818"/>
      <c r="W66" s="818"/>
      <c r="X66" s="818"/>
      <c r="Y66" s="818"/>
      <c r="Z66" s="818"/>
    </row>
    <row r="67" spans="1:26" ht="18.75" hidden="1">
      <c r="A67" s="940"/>
      <c r="B67" s="833"/>
      <c r="C67" s="833"/>
      <c r="D67" s="833"/>
      <c r="E67" s="834" t="s">
        <v>18</v>
      </c>
      <c r="F67" s="833"/>
      <c r="G67" s="941"/>
      <c r="H67" s="158" t="s">
        <v>12</v>
      </c>
      <c r="I67" s="836"/>
      <c r="J67" s="836"/>
      <c r="K67" s="837"/>
      <c r="L67" s="837">
        <f t="shared" ref="L67:N68" si="42">L70+L73</f>
        <v>0</v>
      </c>
      <c r="M67" s="837">
        <f t="shared" si="42"/>
        <v>0</v>
      </c>
      <c r="N67" s="837">
        <f t="shared" si="42"/>
        <v>0</v>
      </c>
      <c r="O67" s="837">
        <f t="shared" si="40"/>
        <v>0</v>
      </c>
      <c r="P67" s="837">
        <f t="shared" si="41"/>
        <v>0</v>
      </c>
      <c r="Q67" s="825"/>
      <c r="R67" s="825"/>
      <c r="S67" s="825"/>
      <c r="T67" s="825"/>
      <c r="U67" s="825"/>
      <c r="V67" s="825"/>
      <c r="W67" s="825"/>
      <c r="X67" s="825"/>
      <c r="Y67" s="825"/>
      <c r="Z67" s="825"/>
    </row>
    <row r="68" spans="1:26" ht="18.75" hidden="1">
      <c r="A68" s="940"/>
      <c r="B68" s="833"/>
      <c r="C68" s="833"/>
      <c r="D68" s="833"/>
      <c r="E68" s="834" t="s">
        <v>19</v>
      </c>
      <c r="F68" s="833"/>
      <c r="G68" s="941"/>
      <c r="H68" s="158" t="s">
        <v>12</v>
      </c>
      <c r="I68" s="836"/>
      <c r="J68" s="836"/>
      <c r="K68" s="837"/>
      <c r="L68" s="837">
        <f t="shared" ca="1" si="42"/>
        <v>919600</v>
      </c>
      <c r="M68" s="837">
        <f t="shared" ca="1" si="42"/>
        <v>680700</v>
      </c>
      <c r="N68" s="837">
        <f t="shared" ca="1" si="42"/>
        <v>401276.14</v>
      </c>
      <c r="O68" s="837">
        <f t="shared" ca="1" si="40"/>
        <v>43.63594388864724</v>
      </c>
      <c r="P68" s="837">
        <f t="shared" ca="1" si="41"/>
        <v>58.950512707506981</v>
      </c>
      <c r="Q68" s="825"/>
      <c r="R68" s="825"/>
      <c r="S68" s="825"/>
      <c r="T68" s="825"/>
      <c r="U68" s="825"/>
      <c r="V68" s="825"/>
      <c r="W68" s="825"/>
      <c r="X68" s="825"/>
      <c r="Y68" s="825"/>
      <c r="Z68" s="825"/>
    </row>
    <row r="69" spans="1:26" ht="18.75">
      <c r="A69" s="942"/>
      <c r="B69" s="827"/>
      <c r="C69" s="943"/>
      <c r="D69" s="828" t="s">
        <v>20</v>
      </c>
      <c r="E69" s="827"/>
      <c r="F69" s="827"/>
      <c r="G69" s="829"/>
      <c r="H69" s="778" t="s">
        <v>12</v>
      </c>
      <c r="I69" s="944"/>
      <c r="J69" s="944"/>
      <c r="K69" s="945"/>
      <c r="L69" s="831">
        <f t="shared" ref="L69:N69" ca="1" si="43">L70+L71</f>
        <v>919600</v>
      </c>
      <c r="M69" s="831">
        <f t="shared" ca="1" si="43"/>
        <v>680700</v>
      </c>
      <c r="N69" s="831">
        <f t="shared" ca="1" si="43"/>
        <v>401276.14</v>
      </c>
      <c r="O69" s="831">
        <f t="shared" ca="1" si="40"/>
        <v>43.63594388864724</v>
      </c>
      <c r="P69" s="831">
        <f t="shared" ca="1" si="41"/>
        <v>58.950512707506981</v>
      </c>
      <c r="Q69" s="818"/>
      <c r="R69" s="818"/>
      <c r="S69" s="818"/>
      <c r="T69" s="818"/>
      <c r="U69" s="818"/>
      <c r="V69" s="818"/>
      <c r="W69" s="818"/>
      <c r="X69" s="818"/>
      <c r="Y69" s="818"/>
      <c r="Z69" s="818"/>
    </row>
    <row r="70" spans="1:26" ht="19.5" hidden="1">
      <c r="A70" s="940"/>
      <c r="B70" s="833"/>
      <c r="C70" s="946"/>
      <c r="D70" s="833"/>
      <c r="E70" s="834" t="s">
        <v>36</v>
      </c>
      <c r="F70" s="833"/>
      <c r="G70" s="941"/>
      <c r="H70" s="165" t="s">
        <v>12</v>
      </c>
      <c r="I70" s="947"/>
      <c r="J70" s="947"/>
      <c r="K70" s="948"/>
      <c r="L70" s="837">
        <v>0</v>
      </c>
      <c r="M70" s="837">
        <v>0</v>
      </c>
      <c r="N70" s="837">
        <v>0</v>
      </c>
      <c r="O70" s="837">
        <f t="shared" si="40"/>
        <v>0</v>
      </c>
      <c r="P70" s="837">
        <f t="shared" si="41"/>
        <v>0</v>
      </c>
      <c r="Q70" s="825"/>
      <c r="R70" s="825"/>
      <c r="S70" s="825"/>
      <c r="T70" s="825"/>
      <c r="U70" s="825"/>
      <c r="V70" s="825"/>
      <c r="W70" s="825"/>
      <c r="X70" s="825"/>
      <c r="Y70" s="825"/>
      <c r="Z70" s="825"/>
    </row>
    <row r="71" spans="1:26" ht="19.5" hidden="1">
      <c r="A71" s="940"/>
      <c r="B71" s="833"/>
      <c r="C71" s="946"/>
      <c r="D71" s="833"/>
      <c r="E71" s="834" t="s">
        <v>37</v>
      </c>
      <c r="F71" s="833"/>
      <c r="G71" s="941"/>
      <c r="H71" s="165" t="s">
        <v>12</v>
      </c>
      <c r="I71" s="947"/>
      <c r="J71" s="947"/>
      <c r="K71" s="948"/>
      <c r="L71" s="837">
        <f ca="1">IFERROR(__xludf.DUMMYFUNCTION("IMPORTRANGE(""https://docs.google.com/spreadsheets/d/1MeEWN-I1oV_STSDYn1IFDPWt_1FKiwhDph83XaGc0o0/edit?usp=sharing"",""งบพรบ!AG27"")"),919600)</f>
        <v>919600</v>
      </c>
      <c r="M71" s="837">
        <f ca="1">IFERROR(__xludf.DUMMYFUNCTION("IMPORTRANGE(""https://docs.google.com/spreadsheets/d/1MeEWN-I1oV_STSDYn1IFDPWt_1FKiwhDph83XaGc0o0/edit?usp=sharing"",""งบพรบ!AL27"")"),680700)</f>
        <v>680700</v>
      </c>
      <c r="N71" s="837">
        <f ca="1">IFERROR(__xludf.DUMMYFUNCTION("IMPORTRANGE(""https://docs.google.com/spreadsheets/d/1MeEWN-I1oV_STSDYn1IFDPWt_1FKiwhDph83XaGc0o0/edit?usp=sharing"",""งบพรบ!AN27"")"),401276.14)</f>
        <v>401276.14</v>
      </c>
      <c r="O71" s="837">
        <f t="shared" ca="1" si="40"/>
        <v>43.63594388864724</v>
      </c>
      <c r="P71" s="837">
        <f t="shared" ca="1" si="41"/>
        <v>58.950512707506981</v>
      </c>
      <c r="Q71" s="825"/>
      <c r="R71" s="825"/>
      <c r="S71" s="825"/>
      <c r="T71" s="825"/>
      <c r="U71" s="825"/>
      <c r="V71" s="825"/>
      <c r="W71" s="825"/>
      <c r="X71" s="825"/>
      <c r="Y71" s="825"/>
      <c r="Z71" s="825"/>
    </row>
    <row r="72" spans="1:26" ht="18.75">
      <c r="A72" s="942"/>
      <c r="B72" s="827"/>
      <c r="C72" s="943"/>
      <c r="D72" s="828" t="s">
        <v>21</v>
      </c>
      <c r="E72" s="827"/>
      <c r="F72" s="827"/>
      <c r="G72" s="829"/>
      <c r="H72" s="168" t="s">
        <v>12</v>
      </c>
      <c r="I72" s="944"/>
      <c r="J72" s="944"/>
      <c r="K72" s="945"/>
      <c r="L72" s="831">
        <f t="shared" ref="L72:N72" ca="1" si="44">L73+L74</f>
        <v>0</v>
      </c>
      <c r="M72" s="831">
        <f t="shared" ca="1" si="44"/>
        <v>0</v>
      </c>
      <c r="N72" s="831">
        <f t="shared" ca="1" si="44"/>
        <v>0</v>
      </c>
      <c r="O72" s="831">
        <f t="shared" ca="1" si="40"/>
        <v>0</v>
      </c>
      <c r="P72" s="831">
        <f t="shared" ca="1" si="41"/>
        <v>0</v>
      </c>
      <c r="Q72" s="818"/>
      <c r="R72" s="818"/>
      <c r="S72" s="818"/>
      <c r="T72" s="818"/>
      <c r="U72" s="818"/>
      <c r="V72" s="818"/>
      <c r="W72" s="818"/>
      <c r="X72" s="818"/>
      <c r="Y72" s="818"/>
      <c r="Z72" s="818"/>
    </row>
    <row r="73" spans="1:26" ht="19.5" hidden="1">
      <c r="A73" s="940"/>
      <c r="B73" s="833"/>
      <c r="C73" s="946"/>
      <c r="D73" s="833"/>
      <c r="E73" s="834" t="s">
        <v>18</v>
      </c>
      <c r="F73" s="833"/>
      <c r="G73" s="941"/>
      <c r="H73" s="165" t="s">
        <v>12</v>
      </c>
      <c r="I73" s="947"/>
      <c r="J73" s="947"/>
      <c r="K73" s="948"/>
      <c r="L73" s="837">
        <v>0</v>
      </c>
      <c r="M73" s="837"/>
      <c r="N73" s="837"/>
      <c r="O73" s="837">
        <f t="shared" si="40"/>
        <v>0</v>
      </c>
      <c r="P73" s="837">
        <f t="shared" si="41"/>
        <v>0</v>
      </c>
      <c r="Q73" s="825"/>
      <c r="R73" s="825"/>
      <c r="S73" s="825"/>
      <c r="T73" s="825"/>
      <c r="U73" s="825"/>
      <c r="V73" s="825"/>
      <c r="W73" s="825"/>
      <c r="X73" s="825"/>
      <c r="Y73" s="825"/>
      <c r="Z73" s="825"/>
    </row>
    <row r="74" spans="1:26" ht="19.5" hidden="1">
      <c r="A74" s="940"/>
      <c r="B74" s="833"/>
      <c r="C74" s="946"/>
      <c r="D74" s="833"/>
      <c r="E74" s="834" t="s">
        <v>19</v>
      </c>
      <c r="F74" s="833"/>
      <c r="G74" s="941"/>
      <c r="H74" s="169" t="s">
        <v>12</v>
      </c>
      <c r="I74" s="947"/>
      <c r="J74" s="947"/>
      <c r="K74" s="948"/>
      <c r="L74" s="837">
        <f ca="1">IFERROR(__xludf.DUMMYFUNCTION("IMPORTRANGE(""https://docs.google.com/spreadsheets/d/1MeEWN-I1oV_STSDYn1IFDPWt_1FKiwhDph83XaGc0o0/edit?usp=sharing"",""งบพรบ!AJ27"")"),0)</f>
        <v>0</v>
      </c>
      <c r="M74" s="837">
        <f ca="1">IFERROR(__xludf.DUMMYFUNCTION("IMPORTRANGE(""https://docs.google.com/spreadsheets/d/1MeEWN-I1oV_STSDYn1IFDPWt_1FKiwhDph83XaGc0o0/edit?usp=sharing"",""งบพรบ!AM27"")"),0)</f>
        <v>0</v>
      </c>
      <c r="N74" s="837">
        <f ca="1">IFERROR(__xludf.DUMMYFUNCTION("IMPORTRANGE(""https://docs.google.com/spreadsheets/d/1MeEWN-I1oV_STSDYn1IFDPWt_1FKiwhDph83XaGc0o0/edit?usp=sharing"",""งบพรบ!AO27"")"),0)</f>
        <v>0</v>
      </c>
      <c r="O74" s="837">
        <f t="shared" ca="1" si="40"/>
        <v>0</v>
      </c>
      <c r="P74" s="837">
        <f t="shared" ca="1" si="41"/>
        <v>0</v>
      </c>
      <c r="Q74" s="825"/>
      <c r="R74" s="825"/>
      <c r="S74" s="825"/>
      <c r="T74" s="825"/>
      <c r="U74" s="825"/>
      <c r="V74" s="825"/>
      <c r="W74" s="825"/>
      <c r="X74" s="825"/>
      <c r="Y74" s="825"/>
      <c r="Z74" s="825"/>
    </row>
    <row r="75" spans="1:26" ht="19.5">
      <c r="A75" s="949"/>
      <c r="B75" s="950"/>
      <c r="C75" s="946" t="s">
        <v>16</v>
      </c>
      <c r="D75" s="951" t="s">
        <v>38</v>
      </c>
      <c r="E75" s="952"/>
      <c r="F75" s="952"/>
      <c r="G75" s="953"/>
      <c r="H75" s="954"/>
      <c r="I75" s="944"/>
      <c r="J75" s="944"/>
      <c r="K75" s="945"/>
      <c r="L75" s="945"/>
      <c r="M75" s="945"/>
      <c r="N75" s="945"/>
      <c r="O75" s="945"/>
      <c r="P75" s="945"/>
    </row>
    <row r="76" spans="1:26" ht="19.5">
      <c r="A76" s="949"/>
      <c r="B76" s="950"/>
      <c r="C76" s="950"/>
      <c r="D76" s="955" t="s">
        <v>39</v>
      </c>
      <c r="E76" s="956"/>
      <c r="F76" s="957"/>
      <c r="G76" s="958"/>
      <c r="H76" s="180" t="s">
        <v>34</v>
      </c>
      <c r="I76" s="830">
        <f t="shared" ref="I76:J77" ca="1" si="45">I78+I80+I82</f>
        <v>1</v>
      </c>
      <c r="J76" s="830">
        <f t="shared" si="45"/>
        <v>1</v>
      </c>
      <c r="K76" s="945">
        <f t="shared" ref="K76:K84" ca="1" si="46">IF(I76&gt;0,J76*100/I76,0)</f>
        <v>100</v>
      </c>
      <c r="L76" s="945"/>
      <c r="M76" s="945"/>
      <c r="N76" s="945"/>
      <c r="O76" s="945"/>
      <c r="P76" s="945"/>
    </row>
    <row r="77" spans="1:26" ht="19.5">
      <c r="A77" s="949"/>
      <c r="B77" s="950"/>
      <c r="C77" s="950"/>
      <c r="D77" s="950"/>
      <c r="E77" s="957"/>
      <c r="F77" s="957"/>
      <c r="G77" s="958"/>
      <c r="H77" s="180" t="s">
        <v>35</v>
      </c>
      <c r="I77" s="830">
        <f t="shared" ca="1" si="45"/>
        <v>35</v>
      </c>
      <c r="J77" s="830">
        <f t="shared" si="45"/>
        <v>35</v>
      </c>
      <c r="K77" s="945">
        <f t="shared" ca="1" si="46"/>
        <v>100</v>
      </c>
      <c r="L77" s="945"/>
      <c r="M77" s="945"/>
      <c r="N77" s="945"/>
      <c r="O77" s="945"/>
      <c r="P77" s="945"/>
    </row>
    <row r="78" spans="1:26" ht="18.75">
      <c r="A78" s="949"/>
      <c r="B78" s="950"/>
      <c r="C78" s="950"/>
      <c r="D78" s="950"/>
      <c r="E78" s="956" t="s">
        <v>40</v>
      </c>
      <c r="F78" s="956"/>
      <c r="G78" s="958"/>
      <c r="H78" s="730" t="s">
        <v>34</v>
      </c>
      <c r="I78" s="944">
        <f ca="1">IFERROR(__xludf.DUMMYFUNCTION("IMPORTRANGE(""https://docs.google.com/spreadsheets/d/1QqKyyYR6Q21VydFLVH3TRQUabQu_ym0Zz7PgGX0-kHA/edit?usp=sharing"",""แผน!H27"")"),0)</f>
        <v>0</v>
      </c>
      <c r="J78" s="959">
        <v>0</v>
      </c>
      <c r="K78" s="945">
        <f t="shared" ca="1" si="46"/>
        <v>0</v>
      </c>
      <c r="L78" s="945"/>
      <c r="M78" s="945"/>
      <c r="N78" s="945"/>
      <c r="O78" s="945"/>
      <c r="P78" s="945"/>
    </row>
    <row r="79" spans="1:26" ht="18.75">
      <c r="A79" s="949"/>
      <c r="B79" s="950"/>
      <c r="C79" s="950"/>
      <c r="D79" s="950"/>
      <c r="E79" s="957"/>
      <c r="F79" s="957"/>
      <c r="G79" s="958"/>
      <c r="H79" s="730" t="s">
        <v>35</v>
      </c>
      <c r="I79" s="944">
        <f ca="1">IFERROR(__xludf.DUMMYFUNCTION("IMPORTRANGE(""https://docs.google.com/spreadsheets/d/1QqKyyYR6Q21VydFLVH3TRQUabQu_ym0Zz7PgGX0-kHA/edit?usp=sharing"",""แผน!I27"")"),0)</f>
        <v>0</v>
      </c>
      <c r="J79" s="959">
        <v>0</v>
      </c>
      <c r="K79" s="945">
        <f t="shared" ca="1" si="46"/>
        <v>0</v>
      </c>
      <c r="L79" s="945"/>
      <c r="M79" s="945"/>
      <c r="N79" s="945"/>
      <c r="O79" s="945"/>
      <c r="P79" s="945"/>
    </row>
    <row r="80" spans="1:26" ht="18.75">
      <c r="A80" s="949"/>
      <c r="B80" s="950"/>
      <c r="C80" s="950"/>
      <c r="D80" s="950"/>
      <c r="E80" s="956" t="s">
        <v>41</v>
      </c>
      <c r="F80" s="956"/>
      <c r="G80" s="958"/>
      <c r="H80" s="730" t="s">
        <v>34</v>
      </c>
      <c r="I80" s="944">
        <f ca="1">IFERROR(__xludf.DUMMYFUNCTION("IMPORTRANGE(""https://docs.google.com/spreadsheets/d/1QqKyyYR6Q21VydFLVH3TRQUabQu_ym0Zz7PgGX0-kHA/edit?usp=sharing"",""แผน!F27"")"),1)</f>
        <v>1</v>
      </c>
      <c r="J80" s="959">
        <v>1</v>
      </c>
      <c r="K80" s="945">
        <f t="shared" ca="1" si="46"/>
        <v>100</v>
      </c>
      <c r="L80" s="945"/>
      <c r="M80" s="945"/>
      <c r="N80" s="945"/>
      <c r="O80" s="945"/>
      <c r="P80" s="945"/>
    </row>
    <row r="81" spans="1:26" ht="18.75">
      <c r="A81" s="949"/>
      <c r="B81" s="950"/>
      <c r="C81" s="950"/>
      <c r="D81" s="950"/>
      <c r="E81" s="957"/>
      <c r="F81" s="957"/>
      <c r="G81" s="958"/>
      <c r="H81" s="730" t="s">
        <v>35</v>
      </c>
      <c r="I81" s="944">
        <f ca="1">IFERROR(__xludf.DUMMYFUNCTION("IMPORTRANGE(""https://docs.google.com/spreadsheets/d/1QqKyyYR6Q21VydFLVH3TRQUabQu_ym0Zz7PgGX0-kHA/edit?usp=sharing"",""แผน!G27"")"),35)</f>
        <v>35</v>
      </c>
      <c r="J81" s="959">
        <v>35</v>
      </c>
      <c r="K81" s="945">
        <f t="shared" ca="1" si="46"/>
        <v>100</v>
      </c>
      <c r="L81" s="945"/>
      <c r="M81" s="945"/>
      <c r="N81" s="945"/>
      <c r="O81" s="945"/>
      <c r="P81" s="945"/>
    </row>
    <row r="82" spans="1:26" ht="18.75">
      <c r="A82" s="949"/>
      <c r="B82" s="950"/>
      <c r="C82" s="950"/>
      <c r="D82" s="950"/>
      <c r="E82" s="956" t="s">
        <v>42</v>
      </c>
      <c r="F82" s="956"/>
      <c r="G82" s="958"/>
      <c r="H82" s="730" t="s">
        <v>34</v>
      </c>
      <c r="I82" s="944">
        <f ca="1">IFERROR(__xludf.DUMMYFUNCTION("IMPORTRANGE(""https://docs.google.com/spreadsheets/d/1QqKyyYR6Q21VydFLVH3TRQUabQu_ym0Zz7PgGX0-kHA/edit?usp=sharing"",""แผน!D27"")"),0)</f>
        <v>0</v>
      </c>
      <c r="J82" s="959">
        <v>0</v>
      </c>
      <c r="K82" s="945">
        <f t="shared" ca="1" si="46"/>
        <v>0</v>
      </c>
      <c r="L82" s="945"/>
      <c r="M82" s="945"/>
      <c r="N82" s="945"/>
      <c r="O82" s="945"/>
      <c r="P82" s="945"/>
    </row>
    <row r="83" spans="1:26" ht="18.75">
      <c r="A83" s="949"/>
      <c r="B83" s="950"/>
      <c r="C83" s="950"/>
      <c r="D83" s="950"/>
      <c r="E83" s="957"/>
      <c r="F83" s="957"/>
      <c r="G83" s="958"/>
      <c r="H83" s="730" t="s">
        <v>35</v>
      </c>
      <c r="I83" s="944">
        <f ca="1">IFERROR(__xludf.DUMMYFUNCTION("IMPORTRANGE(""https://docs.google.com/spreadsheets/d/1QqKyyYR6Q21VydFLVH3TRQUabQu_ym0Zz7PgGX0-kHA/edit?usp=sharing"",""แผน!E27"")"),0)</f>
        <v>0</v>
      </c>
      <c r="J83" s="959">
        <v>0</v>
      </c>
      <c r="K83" s="945">
        <f t="shared" ca="1" si="46"/>
        <v>0</v>
      </c>
      <c r="L83" s="945"/>
      <c r="M83" s="945"/>
      <c r="N83" s="945"/>
      <c r="O83" s="945"/>
      <c r="P83" s="945"/>
    </row>
    <row r="84" spans="1:26" ht="18.75">
      <c r="A84" s="949"/>
      <c r="B84" s="950"/>
      <c r="C84" s="950"/>
      <c r="D84" s="955" t="s">
        <v>43</v>
      </c>
      <c r="E84" s="956"/>
      <c r="F84" s="957"/>
      <c r="G84" s="958"/>
      <c r="H84" s="777" t="s">
        <v>34</v>
      </c>
      <c r="I84" s="944">
        <f ca="1">IFERROR(__xludf.DUMMYFUNCTION("IMPORTRANGE(""https://docs.google.com/spreadsheets/d/1QqKyyYR6Q21VydFLVH3TRQUabQu_ym0Zz7PgGX0-kHA/edit?usp=sharing"",""แผน!J27"")"),1)</f>
        <v>1</v>
      </c>
      <c r="J84" s="959">
        <v>0</v>
      </c>
      <c r="K84" s="945">
        <f t="shared" ca="1" si="46"/>
        <v>0</v>
      </c>
      <c r="L84" s="945"/>
      <c r="M84" s="945"/>
      <c r="N84" s="945"/>
      <c r="O84" s="945"/>
      <c r="P84" s="945"/>
    </row>
    <row r="85" spans="1:26" ht="19.5">
      <c r="A85" s="917" t="s">
        <v>44</v>
      </c>
      <c r="B85" s="918"/>
      <c r="C85" s="919"/>
      <c r="D85" s="918"/>
      <c r="E85" s="918"/>
      <c r="F85" s="918"/>
      <c r="G85" s="920"/>
      <c r="H85" s="921"/>
      <c r="I85" s="922"/>
      <c r="J85" s="922"/>
      <c r="K85" s="923"/>
      <c r="L85" s="923"/>
      <c r="M85" s="923"/>
      <c r="N85" s="923"/>
      <c r="O85" s="923"/>
      <c r="P85" s="923"/>
    </row>
    <row r="86" spans="1:26" ht="19.5">
      <c r="A86" s="924"/>
      <c r="B86" s="925" t="s">
        <v>45</v>
      </c>
      <c r="C86" s="926"/>
      <c r="D86" s="927"/>
      <c r="E86" s="926"/>
      <c r="F86" s="926"/>
      <c r="G86" s="928"/>
      <c r="H86" s="205" t="s">
        <v>46</v>
      </c>
      <c r="I86" s="929">
        <f t="shared" ref="I86:J87" ca="1" si="47">I98</f>
        <v>30</v>
      </c>
      <c r="J86" s="929">
        <f t="shared" si="47"/>
        <v>30</v>
      </c>
      <c r="K86" s="930">
        <f t="shared" ref="K86:K87" ca="1" si="48">IF(I86&gt;0,J86*100/I86,0)</f>
        <v>100</v>
      </c>
      <c r="L86" s="931"/>
      <c r="M86" s="931"/>
      <c r="N86" s="931"/>
      <c r="O86" s="931"/>
      <c r="P86" s="931"/>
    </row>
    <row r="87" spans="1:26" ht="19.5">
      <c r="A87" s="924"/>
      <c r="B87" s="926"/>
      <c r="C87" s="926"/>
      <c r="D87" s="927"/>
      <c r="E87" s="926"/>
      <c r="F87" s="926"/>
      <c r="G87" s="928"/>
      <c r="H87" s="205" t="s">
        <v>35</v>
      </c>
      <c r="I87" s="929">
        <f t="shared" ca="1" si="47"/>
        <v>10</v>
      </c>
      <c r="J87" s="929">
        <f t="shared" si="47"/>
        <v>10</v>
      </c>
      <c r="K87" s="930">
        <f t="shared" ca="1" si="48"/>
        <v>100</v>
      </c>
      <c r="L87" s="931"/>
      <c r="M87" s="931"/>
      <c r="N87" s="931"/>
      <c r="O87" s="931"/>
      <c r="P87" s="931"/>
    </row>
    <row r="88" spans="1:26" ht="19.5">
      <c r="A88" s="932"/>
      <c r="B88" s="933"/>
      <c r="C88" s="934" t="s">
        <v>16</v>
      </c>
      <c r="D88" s="935" t="s">
        <v>17</v>
      </c>
      <c r="E88" s="933"/>
      <c r="F88" s="933"/>
      <c r="G88" s="936"/>
      <c r="H88" s="152" t="s">
        <v>12</v>
      </c>
      <c r="I88" s="937"/>
      <c r="J88" s="937"/>
      <c r="K88" s="938"/>
      <c r="L88" s="939">
        <f t="shared" ref="L88:N88" ca="1" si="49">L89+L90</f>
        <v>116140</v>
      </c>
      <c r="M88" s="939">
        <f t="shared" ca="1" si="49"/>
        <v>107590</v>
      </c>
      <c r="N88" s="939">
        <f t="shared" ca="1" si="49"/>
        <v>27594.87</v>
      </c>
      <c r="O88" s="939">
        <f t="shared" ref="O88:O96" ca="1" si="50">IF(L88&gt;0,N88*100/L88,0)</f>
        <v>23.76000516617875</v>
      </c>
      <c r="P88" s="939">
        <f t="shared" ref="P88:P96" ca="1" si="51">IF(M88&gt;0,N88*100/M88,0)</f>
        <v>25.648173622083839</v>
      </c>
      <c r="Q88" s="818"/>
      <c r="R88" s="818"/>
      <c r="S88" s="818"/>
      <c r="T88" s="818"/>
      <c r="U88" s="818"/>
      <c r="V88" s="818"/>
      <c r="W88" s="818"/>
      <c r="X88" s="818"/>
      <c r="Y88" s="818"/>
      <c r="Z88" s="818"/>
    </row>
    <row r="89" spans="1:26" ht="18.75" hidden="1">
      <c r="A89" s="940"/>
      <c r="B89" s="833"/>
      <c r="C89" s="833"/>
      <c r="D89" s="833"/>
      <c r="E89" s="834" t="s">
        <v>18</v>
      </c>
      <c r="F89" s="833"/>
      <c r="G89" s="941"/>
      <c r="H89" s="158" t="s">
        <v>12</v>
      </c>
      <c r="I89" s="836"/>
      <c r="J89" s="836"/>
      <c r="K89" s="837"/>
      <c r="L89" s="837">
        <f t="shared" ref="L89:N90" si="52">L92+L95</f>
        <v>0</v>
      </c>
      <c r="M89" s="837">
        <f t="shared" si="52"/>
        <v>0</v>
      </c>
      <c r="N89" s="837">
        <f t="shared" si="52"/>
        <v>0</v>
      </c>
      <c r="O89" s="837">
        <f t="shared" si="50"/>
        <v>0</v>
      </c>
      <c r="P89" s="837">
        <f t="shared" si="51"/>
        <v>0</v>
      </c>
      <c r="Q89" s="825"/>
      <c r="R89" s="825"/>
      <c r="S89" s="825"/>
      <c r="T89" s="825"/>
      <c r="U89" s="825"/>
      <c r="V89" s="825"/>
      <c r="W89" s="825"/>
      <c r="X89" s="825"/>
      <c r="Y89" s="825"/>
      <c r="Z89" s="825"/>
    </row>
    <row r="90" spans="1:26" ht="18.75" hidden="1">
      <c r="A90" s="940"/>
      <c r="B90" s="833"/>
      <c r="C90" s="833"/>
      <c r="D90" s="833"/>
      <c r="E90" s="834" t="s">
        <v>19</v>
      </c>
      <c r="F90" s="833"/>
      <c r="G90" s="941"/>
      <c r="H90" s="158" t="s">
        <v>12</v>
      </c>
      <c r="I90" s="836"/>
      <c r="J90" s="836"/>
      <c r="K90" s="837"/>
      <c r="L90" s="837">
        <f t="shared" ca="1" si="52"/>
        <v>116140</v>
      </c>
      <c r="M90" s="837">
        <f t="shared" ca="1" si="52"/>
        <v>107590</v>
      </c>
      <c r="N90" s="837">
        <f t="shared" ca="1" si="52"/>
        <v>27594.87</v>
      </c>
      <c r="O90" s="837">
        <f t="shared" ca="1" si="50"/>
        <v>23.76000516617875</v>
      </c>
      <c r="P90" s="837">
        <f t="shared" ca="1" si="51"/>
        <v>25.648173622083839</v>
      </c>
      <c r="Q90" s="825"/>
      <c r="R90" s="825"/>
      <c r="S90" s="825"/>
      <c r="T90" s="825"/>
      <c r="U90" s="825"/>
      <c r="V90" s="825"/>
      <c r="W90" s="825"/>
      <c r="X90" s="825"/>
      <c r="Y90" s="825"/>
      <c r="Z90" s="825"/>
    </row>
    <row r="91" spans="1:26" ht="18.75">
      <c r="A91" s="942"/>
      <c r="B91" s="827"/>
      <c r="C91" s="943"/>
      <c r="D91" s="828" t="s">
        <v>20</v>
      </c>
      <c r="E91" s="827"/>
      <c r="F91" s="827"/>
      <c r="G91" s="829"/>
      <c r="H91" s="778" t="s">
        <v>12</v>
      </c>
      <c r="I91" s="944"/>
      <c r="J91" s="944"/>
      <c r="K91" s="945"/>
      <c r="L91" s="831">
        <f t="shared" ref="L91:N91" ca="1" si="53">L92+L93</f>
        <v>116140</v>
      </c>
      <c r="M91" s="831">
        <f t="shared" ca="1" si="53"/>
        <v>107590</v>
      </c>
      <c r="N91" s="831">
        <f t="shared" ca="1" si="53"/>
        <v>27594.87</v>
      </c>
      <c r="O91" s="831">
        <f t="shared" ca="1" si="50"/>
        <v>23.76000516617875</v>
      </c>
      <c r="P91" s="831">
        <f t="shared" ca="1" si="51"/>
        <v>25.648173622083839</v>
      </c>
      <c r="Q91" s="818"/>
      <c r="R91" s="818"/>
      <c r="S91" s="818"/>
      <c r="T91" s="818"/>
      <c r="U91" s="818"/>
      <c r="V91" s="818"/>
      <c r="W91" s="818"/>
      <c r="X91" s="818"/>
      <c r="Y91" s="818"/>
      <c r="Z91" s="818"/>
    </row>
    <row r="92" spans="1:26" ht="19.5" hidden="1">
      <c r="A92" s="940"/>
      <c r="B92" s="833"/>
      <c r="C92" s="946"/>
      <c r="D92" s="833"/>
      <c r="E92" s="834" t="s">
        <v>36</v>
      </c>
      <c r="F92" s="833"/>
      <c r="G92" s="941"/>
      <c r="H92" s="165" t="s">
        <v>12</v>
      </c>
      <c r="I92" s="947"/>
      <c r="J92" s="947"/>
      <c r="K92" s="948"/>
      <c r="L92" s="837">
        <v>0</v>
      </c>
      <c r="M92" s="837">
        <v>0</v>
      </c>
      <c r="N92" s="837">
        <v>0</v>
      </c>
      <c r="O92" s="837">
        <f t="shared" si="50"/>
        <v>0</v>
      </c>
      <c r="P92" s="837">
        <f t="shared" si="51"/>
        <v>0</v>
      </c>
      <c r="Q92" s="825"/>
      <c r="R92" s="825"/>
      <c r="S92" s="825"/>
      <c r="T92" s="825"/>
      <c r="U92" s="825"/>
      <c r="V92" s="825"/>
      <c r="W92" s="825"/>
      <c r="X92" s="825"/>
      <c r="Y92" s="825"/>
      <c r="Z92" s="825"/>
    </row>
    <row r="93" spans="1:26" ht="19.5" hidden="1">
      <c r="A93" s="940"/>
      <c r="B93" s="833"/>
      <c r="C93" s="946"/>
      <c r="D93" s="833"/>
      <c r="E93" s="834" t="s">
        <v>37</v>
      </c>
      <c r="F93" s="833"/>
      <c r="G93" s="941"/>
      <c r="H93" s="165" t="s">
        <v>12</v>
      </c>
      <c r="I93" s="947"/>
      <c r="J93" s="947"/>
      <c r="K93" s="948"/>
      <c r="L93" s="837">
        <f ca="1">IFERROR(__xludf.DUMMYFUNCTION("IMPORTRANGE(""https://docs.google.com/spreadsheets/d/1MeEWN-I1oV_STSDYn1IFDPWt_1FKiwhDph83XaGc0o0/edit?usp=sharing"",""งบพรบ!AQ27"")"),116140)</f>
        <v>116140</v>
      </c>
      <c r="M93" s="837">
        <f ca="1">IFERROR(__xludf.DUMMYFUNCTION("IMPORTRANGE(""https://docs.google.com/spreadsheets/d/1MeEWN-I1oV_STSDYn1IFDPWt_1FKiwhDph83XaGc0o0/edit?usp=sharing"",""งบพรบ!AV27"")"),107590)</f>
        <v>107590</v>
      </c>
      <c r="N93" s="837">
        <f ca="1">IFERROR(__xludf.DUMMYFUNCTION("IMPORTRANGE(""https://docs.google.com/spreadsheets/d/1MeEWN-I1oV_STSDYn1IFDPWt_1FKiwhDph83XaGc0o0/edit?usp=sharing"",""งบพรบ!AX27"")"),27594.87)</f>
        <v>27594.87</v>
      </c>
      <c r="O93" s="837">
        <f t="shared" ca="1" si="50"/>
        <v>23.76000516617875</v>
      </c>
      <c r="P93" s="837">
        <f t="shared" ca="1" si="51"/>
        <v>25.648173622083839</v>
      </c>
      <c r="Q93" s="825"/>
      <c r="R93" s="825"/>
      <c r="S93" s="825"/>
      <c r="T93" s="825"/>
      <c r="U93" s="825"/>
      <c r="V93" s="825"/>
      <c r="W93" s="825"/>
      <c r="X93" s="825"/>
      <c r="Y93" s="825"/>
      <c r="Z93" s="825"/>
    </row>
    <row r="94" spans="1:26" ht="18.75">
      <c r="A94" s="942"/>
      <c r="B94" s="827"/>
      <c r="C94" s="943"/>
      <c r="D94" s="828" t="s">
        <v>21</v>
      </c>
      <c r="E94" s="827"/>
      <c r="F94" s="827"/>
      <c r="G94" s="829"/>
      <c r="H94" s="168" t="s">
        <v>12</v>
      </c>
      <c r="I94" s="944"/>
      <c r="J94" s="944"/>
      <c r="K94" s="945"/>
      <c r="L94" s="831">
        <f t="shared" ref="L94:N94" ca="1" si="54">L95+L96</f>
        <v>0</v>
      </c>
      <c r="M94" s="831">
        <f t="shared" ca="1" si="54"/>
        <v>0</v>
      </c>
      <c r="N94" s="831">
        <f t="shared" ca="1" si="54"/>
        <v>0</v>
      </c>
      <c r="O94" s="831">
        <f t="shared" ca="1" si="50"/>
        <v>0</v>
      </c>
      <c r="P94" s="831">
        <f t="shared" ca="1" si="51"/>
        <v>0</v>
      </c>
      <c r="Q94" s="818"/>
      <c r="R94" s="818"/>
      <c r="S94" s="818"/>
      <c r="T94" s="818"/>
      <c r="U94" s="818"/>
      <c r="V94" s="818"/>
      <c r="W94" s="818"/>
      <c r="X94" s="818"/>
      <c r="Y94" s="818"/>
      <c r="Z94" s="818"/>
    </row>
    <row r="95" spans="1:26" ht="19.5" hidden="1">
      <c r="A95" s="940"/>
      <c r="B95" s="833"/>
      <c r="C95" s="946"/>
      <c r="D95" s="833"/>
      <c r="E95" s="834" t="s">
        <v>18</v>
      </c>
      <c r="F95" s="833"/>
      <c r="G95" s="941"/>
      <c r="H95" s="165" t="s">
        <v>12</v>
      </c>
      <c r="I95" s="947"/>
      <c r="J95" s="947"/>
      <c r="K95" s="948"/>
      <c r="L95" s="837">
        <v>0</v>
      </c>
      <c r="M95" s="837">
        <v>0</v>
      </c>
      <c r="N95" s="837">
        <v>0</v>
      </c>
      <c r="O95" s="837">
        <f t="shared" si="50"/>
        <v>0</v>
      </c>
      <c r="P95" s="837">
        <f t="shared" si="51"/>
        <v>0</v>
      </c>
      <c r="Q95" s="825"/>
      <c r="R95" s="825"/>
      <c r="S95" s="825"/>
      <c r="T95" s="825"/>
      <c r="U95" s="825"/>
      <c r="V95" s="825"/>
      <c r="W95" s="825"/>
      <c r="X95" s="825"/>
      <c r="Y95" s="825"/>
      <c r="Z95" s="825"/>
    </row>
    <row r="96" spans="1:26" ht="19.5" hidden="1">
      <c r="A96" s="940"/>
      <c r="B96" s="833"/>
      <c r="C96" s="946"/>
      <c r="D96" s="833"/>
      <c r="E96" s="834" t="s">
        <v>19</v>
      </c>
      <c r="F96" s="833"/>
      <c r="G96" s="941"/>
      <c r="H96" s="169" t="s">
        <v>12</v>
      </c>
      <c r="I96" s="947"/>
      <c r="J96" s="947"/>
      <c r="K96" s="948"/>
      <c r="L96" s="837">
        <f ca="1">IFERROR(__xludf.DUMMYFUNCTION("IMPORTRANGE(""https://docs.google.com/spreadsheets/d/1MeEWN-I1oV_STSDYn1IFDPWt_1FKiwhDph83XaGc0o0/edit?usp=sharing"",""งบพรบ!AT27"")"),0)</f>
        <v>0</v>
      </c>
      <c r="M96" s="837">
        <f ca="1">IFERROR(__xludf.DUMMYFUNCTION("IMPORTRANGE(""https://docs.google.com/spreadsheets/d/1MeEWN-I1oV_STSDYn1IFDPWt_1FKiwhDph83XaGc0o0/edit?usp=sharing"",""งบพรบ!AW27"")"),0)</f>
        <v>0</v>
      </c>
      <c r="N96" s="837">
        <f ca="1">IFERROR(__xludf.DUMMYFUNCTION("IMPORTRANGE(""https://docs.google.com/spreadsheets/d/1MeEWN-I1oV_STSDYn1IFDPWt_1FKiwhDph83XaGc0o0/edit?usp=sharing"",""งบพรบ!AY27"")"),0)</f>
        <v>0</v>
      </c>
      <c r="O96" s="837">
        <f t="shared" ca="1" si="50"/>
        <v>0</v>
      </c>
      <c r="P96" s="837">
        <f t="shared" ca="1" si="51"/>
        <v>0</v>
      </c>
      <c r="Q96" s="825"/>
      <c r="R96" s="825"/>
      <c r="S96" s="825"/>
      <c r="T96" s="825"/>
      <c r="U96" s="825"/>
      <c r="V96" s="825"/>
      <c r="W96" s="825"/>
      <c r="X96" s="825"/>
      <c r="Y96" s="825"/>
      <c r="Z96" s="825"/>
    </row>
    <row r="97" spans="1:16" ht="19.5">
      <c r="A97" s="949"/>
      <c r="B97" s="950"/>
      <c r="C97" s="946" t="s">
        <v>16</v>
      </c>
      <c r="D97" s="951" t="s">
        <v>38</v>
      </c>
      <c r="E97" s="952"/>
      <c r="F97" s="952"/>
      <c r="G97" s="953"/>
      <c r="H97" s="954"/>
      <c r="I97" s="944"/>
      <c r="J97" s="830"/>
      <c r="K97" s="831"/>
      <c r="L97" s="831"/>
      <c r="M97" s="831"/>
      <c r="N97" s="831"/>
      <c r="O97" s="945"/>
      <c r="P97" s="945"/>
    </row>
    <row r="98" spans="1:16" ht="18.75">
      <c r="A98" s="949"/>
      <c r="B98" s="950"/>
      <c r="C98" s="950"/>
      <c r="D98" s="956" t="s">
        <v>47</v>
      </c>
      <c r="E98" s="956"/>
      <c r="F98" s="957"/>
      <c r="G98" s="958"/>
      <c r="H98" s="590" t="s">
        <v>46</v>
      </c>
      <c r="I98" s="830">
        <f ca="1">IFERROR(__xludf.DUMMYFUNCTION("IMPORTRANGE(""https://docs.google.com/spreadsheets/d/1QqKyyYR6Q21VydFLVH3TRQUabQu_ym0Zz7PgGX0-kHA/edit?usp=sharing"",""แผน!K27"")"),30)</f>
        <v>30</v>
      </c>
      <c r="J98" s="830">
        <f>J102</f>
        <v>30</v>
      </c>
      <c r="K98" s="831">
        <f t="shared" ref="K98:K100" ca="1" si="55">IF(I98&gt;0,J98*100/I98,0)</f>
        <v>100</v>
      </c>
      <c r="L98" s="831"/>
      <c r="M98" s="831"/>
      <c r="N98" s="831"/>
      <c r="O98" s="945"/>
      <c r="P98" s="945"/>
    </row>
    <row r="99" spans="1:16" ht="18.75">
      <c r="A99" s="949"/>
      <c r="B99" s="950"/>
      <c r="C99" s="950"/>
      <c r="D99" s="956" t="s">
        <v>48</v>
      </c>
      <c r="E99" s="956"/>
      <c r="F99" s="957"/>
      <c r="G99" s="958"/>
      <c r="H99" s="590" t="s">
        <v>35</v>
      </c>
      <c r="I99" s="830">
        <f ca="1">IFERROR(__xludf.DUMMYFUNCTION("IMPORTRANGE(""https://docs.google.com/spreadsheets/d/1QqKyyYR6Q21VydFLVH3TRQUabQu_ym0Zz7PgGX0-kHA/edit?usp=sharing"",""แผน!L27"")"),10)</f>
        <v>10</v>
      </c>
      <c r="J99" s="830">
        <f>J104</f>
        <v>10</v>
      </c>
      <c r="K99" s="831">
        <f t="shared" ca="1" si="55"/>
        <v>100</v>
      </c>
      <c r="L99" s="831"/>
      <c r="M99" s="831"/>
      <c r="N99" s="831"/>
      <c r="O99" s="945"/>
      <c r="P99" s="945"/>
    </row>
    <row r="100" spans="1:16" ht="18.75">
      <c r="A100" s="949"/>
      <c r="B100" s="950"/>
      <c r="C100" s="950"/>
      <c r="D100" s="950"/>
      <c r="E100" s="957"/>
      <c r="F100" s="957"/>
      <c r="G100" s="958"/>
      <c r="H100" s="590" t="s">
        <v>49</v>
      </c>
      <c r="I100" s="830">
        <f ca="1">IFERROR(__xludf.DUMMYFUNCTION("IMPORTRANGE(""https://docs.google.com/spreadsheets/d/1QqKyyYR6Q21VydFLVH3TRQUabQu_ym0Zz7PgGX0-kHA/edit?usp=sharing"",""แผน!M27"")"),3)</f>
        <v>3</v>
      </c>
      <c r="J100" s="830">
        <f>J107+J110</f>
        <v>0</v>
      </c>
      <c r="K100" s="831">
        <f t="shared" ca="1" si="55"/>
        <v>0</v>
      </c>
      <c r="L100" s="831"/>
      <c r="M100" s="831"/>
      <c r="N100" s="831"/>
      <c r="O100" s="945"/>
      <c r="P100" s="945"/>
    </row>
    <row r="101" spans="1:16" ht="19.5">
      <c r="A101" s="949"/>
      <c r="B101" s="950"/>
      <c r="C101" s="950"/>
      <c r="D101" s="957"/>
      <c r="E101" s="960" t="s">
        <v>50</v>
      </c>
      <c r="F101" s="957"/>
      <c r="G101" s="958"/>
      <c r="H101" s="590"/>
      <c r="I101" s="830"/>
      <c r="J101" s="830"/>
      <c r="K101" s="831"/>
      <c r="L101" s="831"/>
      <c r="M101" s="831"/>
      <c r="N101" s="831"/>
      <c r="O101" s="945"/>
      <c r="P101" s="945"/>
    </row>
    <row r="102" spans="1:16" ht="18.75">
      <c r="A102" s="949"/>
      <c r="B102" s="950"/>
      <c r="C102" s="950"/>
      <c r="D102" s="957"/>
      <c r="E102" s="961" t="s">
        <v>47</v>
      </c>
      <c r="F102" s="957"/>
      <c r="G102" s="958"/>
      <c r="H102" s="590" t="s">
        <v>46</v>
      </c>
      <c r="I102" s="830">
        <f ca="1">IFERROR(__xludf.DUMMYFUNCTION("IMPORTRANGE(""https://docs.google.com/spreadsheets/d/1QqKyyYR6Q21VydFLVH3TRQUabQu_ym0Zz7PgGX0-kHA/edit?usp=sharing"",""แผน!N27"")"),30)</f>
        <v>30</v>
      </c>
      <c r="J102" s="959">
        <v>30</v>
      </c>
      <c r="K102" s="831">
        <f t="shared" ref="K102:K104" ca="1" si="56">IF(I102&gt;0,J102*100/I102,0)</f>
        <v>100</v>
      </c>
      <c r="L102" s="831"/>
      <c r="M102" s="831"/>
      <c r="N102" s="831"/>
      <c r="O102" s="945"/>
      <c r="P102" s="945"/>
    </row>
    <row r="103" spans="1:16" ht="19.5">
      <c r="A103" s="949"/>
      <c r="B103" s="950"/>
      <c r="C103" s="950"/>
      <c r="D103" s="957"/>
      <c r="E103" s="956" t="s">
        <v>51</v>
      </c>
      <c r="F103" s="957"/>
      <c r="G103" s="958"/>
      <c r="H103" s="590" t="s">
        <v>35</v>
      </c>
      <c r="I103" s="830">
        <f ca="1">IFERROR(__xludf.DUMMYFUNCTION("IMPORTRANGE(""https://docs.google.com/spreadsheets/d/1QqKyyYR6Q21VydFLVH3TRQUabQu_ym0Zz7PgGX0-kHA/edit?usp=sharing"",""แผน!O27"")"),10)</f>
        <v>10</v>
      </c>
      <c r="J103" s="959">
        <v>10</v>
      </c>
      <c r="K103" s="831">
        <f t="shared" ca="1" si="56"/>
        <v>100</v>
      </c>
      <c r="L103" s="831"/>
      <c r="M103" s="831"/>
      <c r="N103" s="831"/>
      <c r="O103" s="945"/>
      <c r="P103" s="945"/>
    </row>
    <row r="104" spans="1:16" ht="18.75">
      <c r="A104" s="949"/>
      <c r="B104" s="950"/>
      <c r="C104" s="950"/>
      <c r="D104" s="957"/>
      <c r="E104" s="962" t="s">
        <v>52</v>
      </c>
      <c r="F104" s="957"/>
      <c r="G104" s="958"/>
      <c r="H104" s="590" t="s">
        <v>35</v>
      </c>
      <c r="I104" s="830">
        <f ca="1">IFERROR(__xludf.DUMMYFUNCTION("IMPORTRANGE(""https://docs.google.com/spreadsheets/d/1QqKyyYR6Q21VydFLVH3TRQUabQu_ym0Zz7PgGX0-kHA/edit?usp=sharing"",""แผน!O27"")"),10)</f>
        <v>10</v>
      </c>
      <c r="J104" s="959">
        <v>10</v>
      </c>
      <c r="K104" s="831">
        <f t="shared" ca="1" si="56"/>
        <v>100</v>
      </c>
      <c r="L104" s="831"/>
      <c r="M104" s="831"/>
      <c r="N104" s="831"/>
      <c r="O104" s="945"/>
      <c r="P104" s="945"/>
    </row>
    <row r="105" spans="1:16" ht="19.5">
      <c r="A105" s="949"/>
      <c r="B105" s="950"/>
      <c r="C105" s="950"/>
      <c r="D105" s="957"/>
      <c r="E105" s="960" t="s">
        <v>53</v>
      </c>
      <c r="F105" s="957"/>
      <c r="G105" s="958"/>
      <c r="H105" s="963"/>
      <c r="I105" s="830"/>
      <c r="J105" s="830"/>
      <c r="K105" s="831"/>
      <c r="L105" s="831"/>
      <c r="M105" s="831"/>
      <c r="N105" s="831"/>
      <c r="O105" s="945"/>
      <c r="P105" s="945"/>
    </row>
    <row r="106" spans="1:16" ht="19.5">
      <c r="A106" s="949"/>
      <c r="B106" s="950"/>
      <c r="C106" s="950"/>
      <c r="D106" s="957"/>
      <c r="E106" s="956" t="s">
        <v>54</v>
      </c>
      <c r="F106" s="957"/>
      <c r="G106" s="958"/>
      <c r="H106" s="590" t="s">
        <v>49</v>
      </c>
      <c r="I106" s="830">
        <f ca="1">IFERROR(__xludf.DUMMYFUNCTION("IMPORTRANGE(""https://docs.google.com/spreadsheets/d/1QqKyyYR6Q21VydFLVH3TRQUabQu_ym0Zz7PgGX0-kHA/edit?usp=sharing"",""แผน!P27"")"),1)</f>
        <v>1</v>
      </c>
      <c r="J106" s="959">
        <v>1</v>
      </c>
      <c r="K106" s="831">
        <f t="shared" ref="K106:K107" ca="1" si="57">IF(I106&gt;0,J106*100/I106,0)</f>
        <v>100</v>
      </c>
      <c r="L106" s="831"/>
      <c r="M106" s="831"/>
      <c r="N106" s="831"/>
      <c r="O106" s="945"/>
      <c r="P106" s="945"/>
    </row>
    <row r="107" spans="1:16" ht="18.75">
      <c r="A107" s="949"/>
      <c r="B107" s="950"/>
      <c r="C107" s="950"/>
      <c r="D107" s="957"/>
      <c r="E107" s="962" t="s">
        <v>55</v>
      </c>
      <c r="F107" s="957"/>
      <c r="G107" s="958"/>
      <c r="H107" s="590" t="s">
        <v>49</v>
      </c>
      <c r="I107" s="830">
        <f ca="1">IFERROR(__xludf.DUMMYFUNCTION("IMPORTRANGE(""https://docs.google.com/spreadsheets/d/1QqKyyYR6Q21VydFLVH3TRQUabQu_ym0Zz7PgGX0-kHA/edit?usp=sharing"",""แผน!P27"")"),1)</f>
        <v>1</v>
      </c>
      <c r="J107" s="959">
        <v>0</v>
      </c>
      <c r="K107" s="831">
        <f t="shared" ca="1" si="57"/>
        <v>0</v>
      </c>
      <c r="L107" s="831"/>
      <c r="M107" s="831"/>
      <c r="N107" s="831"/>
      <c r="O107" s="945"/>
      <c r="P107" s="945"/>
    </row>
    <row r="108" spans="1:16" ht="19.5">
      <c r="A108" s="949"/>
      <c r="B108" s="950"/>
      <c r="C108" s="950"/>
      <c r="D108" s="957"/>
      <c r="E108" s="960" t="s">
        <v>56</v>
      </c>
      <c r="F108" s="957"/>
      <c r="G108" s="958"/>
      <c r="H108" s="963"/>
      <c r="I108" s="830"/>
      <c r="J108" s="830"/>
      <c r="K108" s="831"/>
      <c r="L108" s="831"/>
      <c r="M108" s="831"/>
      <c r="N108" s="831"/>
      <c r="O108" s="945"/>
      <c r="P108" s="945"/>
    </row>
    <row r="109" spans="1:16" ht="19.5">
      <c r="A109" s="949"/>
      <c r="B109" s="950"/>
      <c r="C109" s="950"/>
      <c r="D109" s="957"/>
      <c r="E109" s="956" t="s">
        <v>57</v>
      </c>
      <c r="F109" s="957"/>
      <c r="G109" s="958"/>
      <c r="H109" s="590" t="s">
        <v>49</v>
      </c>
      <c r="I109" s="830">
        <f ca="1">IFERROR(__xludf.DUMMYFUNCTION("IMPORTRANGE(""https://docs.google.com/spreadsheets/d/1QqKyyYR6Q21VydFLVH3TRQUabQu_ym0Zz7PgGX0-kHA/edit?usp=sharing"",""แผน!Q27"")"),2)</f>
        <v>2</v>
      </c>
      <c r="J109" s="959">
        <v>2</v>
      </c>
      <c r="K109" s="831">
        <f t="shared" ref="K109:K116" ca="1" si="58">IF(I109&gt;0,J109*100/I109,0)</f>
        <v>100</v>
      </c>
      <c r="L109" s="831"/>
      <c r="M109" s="831"/>
      <c r="N109" s="831"/>
      <c r="O109" s="945"/>
      <c r="P109" s="945"/>
    </row>
    <row r="110" spans="1:16" ht="18.75">
      <c r="A110" s="949"/>
      <c r="B110" s="950"/>
      <c r="C110" s="950"/>
      <c r="D110" s="957"/>
      <c r="E110" s="964" t="s">
        <v>58</v>
      </c>
      <c r="F110" s="957"/>
      <c r="G110" s="958"/>
      <c r="H110" s="590" t="s">
        <v>49</v>
      </c>
      <c r="I110" s="830">
        <f ca="1">IFERROR(__xludf.DUMMYFUNCTION("IMPORTRANGE(""https://docs.google.com/spreadsheets/d/1QqKyyYR6Q21VydFLVH3TRQUabQu_ym0Zz7PgGX0-kHA/edit?usp=sharing"",""แผน!Q27"")"),2)</f>
        <v>2</v>
      </c>
      <c r="J110" s="959">
        <v>0</v>
      </c>
      <c r="K110" s="831">
        <f t="shared" ca="1" si="58"/>
        <v>0</v>
      </c>
      <c r="L110" s="831"/>
      <c r="M110" s="831"/>
      <c r="N110" s="831"/>
      <c r="O110" s="945"/>
      <c r="P110" s="945"/>
    </row>
    <row r="111" spans="1:16" ht="19.5">
      <c r="A111" s="949"/>
      <c r="B111" s="950"/>
      <c r="C111" s="950"/>
      <c r="D111" s="960" t="s">
        <v>59</v>
      </c>
      <c r="E111" s="960"/>
      <c r="F111" s="957"/>
      <c r="G111" s="958"/>
      <c r="H111" s="733" t="s">
        <v>35</v>
      </c>
      <c r="I111" s="965">
        <f ca="1">IFERROR(__xludf.DUMMYFUNCTION("IMPORTRANGE(""https://docs.google.com/spreadsheets/d/1QqKyyYR6Q21VydFLVH3TRQUabQu_ym0Zz7PgGX0-kHA/edit?usp=sharing"",""แผน!R27"")"),10)</f>
        <v>10</v>
      </c>
      <c r="J111" s="966">
        <f>J114</f>
        <v>0</v>
      </c>
      <c r="K111" s="967">
        <f t="shared" ca="1" si="58"/>
        <v>0</v>
      </c>
      <c r="L111" s="831"/>
      <c r="M111" s="831"/>
      <c r="N111" s="831"/>
      <c r="O111" s="945"/>
      <c r="P111" s="945"/>
    </row>
    <row r="112" spans="1:16" ht="19.5">
      <c r="A112" s="949"/>
      <c r="B112" s="950"/>
      <c r="C112" s="950"/>
      <c r="D112" s="950"/>
      <c r="E112" s="957"/>
      <c r="F112" s="957"/>
      <c r="G112" s="958"/>
      <c r="H112" s="196" t="s">
        <v>49</v>
      </c>
      <c r="I112" s="965">
        <f t="shared" ref="I112:J112" ca="1" si="59">I115+I116</f>
        <v>3</v>
      </c>
      <c r="J112" s="966">
        <f t="shared" si="59"/>
        <v>0</v>
      </c>
      <c r="K112" s="967">
        <f t="shared" ca="1" si="58"/>
        <v>0</v>
      </c>
      <c r="L112" s="831"/>
      <c r="M112" s="831"/>
      <c r="N112" s="831"/>
      <c r="O112" s="945"/>
      <c r="P112" s="945"/>
    </row>
    <row r="113" spans="1:26" ht="19.5">
      <c r="A113" s="949"/>
      <c r="B113" s="950"/>
      <c r="C113" s="950"/>
      <c r="D113" s="950"/>
      <c r="E113" s="968" t="s">
        <v>60</v>
      </c>
      <c r="F113" s="957"/>
      <c r="G113" s="958"/>
      <c r="H113" s="198" t="s">
        <v>35</v>
      </c>
      <c r="I113" s="944">
        <f ca="1">IFERROR(__xludf.DUMMYFUNCTION("IMPORTRANGE(""https://docs.google.com/spreadsheets/d/1QqKyyYR6Q21VydFLVH3TRQUabQu_ym0Zz7PgGX0-kHA/edit?usp=sharing"",""แผน!R27"")"),10)</f>
        <v>10</v>
      </c>
      <c r="J113" s="959">
        <v>0</v>
      </c>
      <c r="K113" s="831">
        <f t="shared" ca="1" si="58"/>
        <v>0</v>
      </c>
      <c r="L113" s="831"/>
      <c r="M113" s="831"/>
      <c r="N113" s="831"/>
      <c r="O113" s="945"/>
      <c r="P113" s="945"/>
    </row>
    <row r="114" spans="1:26" ht="19.5">
      <c r="A114" s="949"/>
      <c r="B114" s="950"/>
      <c r="C114" s="950"/>
      <c r="D114" s="950"/>
      <c r="E114" s="956" t="s">
        <v>61</v>
      </c>
      <c r="F114" s="957"/>
      <c r="G114" s="958"/>
      <c r="H114" s="199" t="s">
        <v>35</v>
      </c>
      <c r="I114" s="944">
        <f ca="1">IFERROR(__xludf.DUMMYFUNCTION("IMPORTRANGE(""https://docs.google.com/spreadsheets/d/1QqKyyYR6Q21VydFLVH3TRQUabQu_ym0Zz7PgGX0-kHA/edit?usp=sharing"",""แผน!R27"")"),10)</f>
        <v>10</v>
      </c>
      <c r="J114" s="959">
        <v>0</v>
      </c>
      <c r="K114" s="831">
        <f t="shared" ca="1" si="58"/>
        <v>0</v>
      </c>
      <c r="L114" s="831"/>
      <c r="M114" s="831"/>
      <c r="N114" s="831"/>
      <c r="O114" s="945"/>
      <c r="P114" s="945"/>
    </row>
    <row r="115" spans="1:26" ht="18.75">
      <c r="A115" s="949"/>
      <c r="B115" s="950"/>
      <c r="C115" s="950"/>
      <c r="D115" s="950"/>
      <c r="E115" s="956" t="s">
        <v>62</v>
      </c>
      <c r="F115" s="957"/>
      <c r="G115" s="958"/>
      <c r="H115" s="199" t="s">
        <v>49</v>
      </c>
      <c r="I115" s="944">
        <f ca="1">IFERROR(__xludf.DUMMYFUNCTION("IMPORTRANGE(""https://docs.google.com/spreadsheets/d/1QqKyyYR6Q21VydFLVH3TRQUabQu_ym0Zz7PgGX0-kHA/edit?usp=sharing"",""แผน!S27"")"),1)</f>
        <v>1</v>
      </c>
      <c r="J115" s="959">
        <v>0</v>
      </c>
      <c r="K115" s="831">
        <f t="shared" ca="1" si="58"/>
        <v>0</v>
      </c>
      <c r="L115" s="831"/>
      <c r="M115" s="831"/>
      <c r="N115" s="831"/>
      <c r="O115" s="945"/>
      <c r="P115" s="945"/>
    </row>
    <row r="116" spans="1:26" ht="18.75">
      <c r="A116" s="949"/>
      <c r="B116" s="950"/>
      <c r="C116" s="950"/>
      <c r="D116" s="950"/>
      <c r="E116" s="956" t="s">
        <v>63</v>
      </c>
      <c r="F116" s="957"/>
      <c r="G116" s="958"/>
      <c r="H116" s="199" t="s">
        <v>49</v>
      </c>
      <c r="I116" s="944">
        <f ca="1">IFERROR(__xludf.DUMMYFUNCTION("IMPORTRANGE(""https://docs.google.com/spreadsheets/d/1QqKyyYR6Q21VydFLVH3TRQUabQu_ym0Zz7PgGX0-kHA/edit?usp=sharing"",""แผน!T27"")"),2)</f>
        <v>2</v>
      </c>
      <c r="J116" s="959">
        <v>0</v>
      </c>
      <c r="K116" s="831">
        <f t="shared" ca="1" si="58"/>
        <v>0</v>
      </c>
      <c r="L116" s="831"/>
      <c r="M116" s="831"/>
      <c r="N116" s="831"/>
      <c r="O116" s="945"/>
      <c r="P116" s="945"/>
    </row>
    <row r="117" spans="1:26" ht="19.5">
      <c r="A117" s="917" t="s">
        <v>64</v>
      </c>
      <c r="B117" s="918"/>
      <c r="C117" s="969"/>
      <c r="D117" s="918"/>
      <c r="E117" s="918"/>
      <c r="F117" s="918"/>
      <c r="G117" s="918"/>
      <c r="H117" s="970"/>
      <c r="I117" s="971"/>
      <c r="J117" s="971"/>
      <c r="K117" s="972"/>
      <c r="L117" s="923"/>
      <c r="M117" s="923"/>
      <c r="N117" s="923"/>
      <c r="O117" s="923"/>
      <c r="P117" s="923"/>
    </row>
    <row r="118" spans="1:26" ht="19.5">
      <c r="A118" s="924"/>
      <c r="B118" s="925" t="s">
        <v>65</v>
      </c>
      <c r="C118" s="973"/>
      <c r="D118" s="927"/>
      <c r="E118" s="926"/>
      <c r="F118" s="926"/>
      <c r="G118" s="928"/>
      <c r="H118" s="205" t="s">
        <v>66</v>
      </c>
      <c r="I118" s="974">
        <v>1</v>
      </c>
      <c r="J118" s="974">
        <f>J438</f>
        <v>0</v>
      </c>
      <c r="K118" s="931">
        <f>IF(I118&gt;0,J118*100/I118,0)</f>
        <v>0</v>
      </c>
      <c r="L118" s="931"/>
      <c r="M118" s="931"/>
      <c r="N118" s="931"/>
      <c r="O118" s="931"/>
      <c r="P118" s="931"/>
    </row>
    <row r="119" spans="1:26" ht="19.5">
      <c r="A119" s="932"/>
      <c r="B119" s="933"/>
      <c r="C119" s="934" t="s">
        <v>16</v>
      </c>
      <c r="D119" s="935" t="s">
        <v>17</v>
      </c>
      <c r="E119" s="933"/>
      <c r="F119" s="933"/>
      <c r="G119" s="936"/>
      <c r="H119" s="152" t="s">
        <v>12</v>
      </c>
      <c r="I119" s="937"/>
      <c r="J119" s="937"/>
      <c r="K119" s="938"/>
      <c r="L119" s="939">
        <f t="shared" ref="L119:N119" ca="1" si="60">L120+L121</f>
        <v>0</v>
      </c>
      <c r="M119" s="939">
        <f t="shared" ca="1" si="60"/>
        <v>0</v>
      </c>
      <c r="N119" s="939">
        <f t="shared" ca="1" si="60"/>
        <v>0</v>
      </c>
      <c r="O119" s="939">
        <f t="shared" ref="O119:O127" ca="1" si="61">IF(L119&gt;0,N119*100/L119,0)</f>
        <v>0</v>
      </c>
      <c r="P119" s="939">
        <f t="shared" ref="P119:P127" ca="1" si="62">IF(M119&gt;0,N119*100/M119,0)</f>
        <v>0</v>
      </c>
      <c r="Q119" s="818"/>
      <c r="R119" s="818"/>
      <c r="S119" s="818"/>
      <c r="T119" s="818"/>
      <c r="U119" s="818"/>
      <c r="V119" s="818"/>
      <c r="W119" s="818"/>
      <c r="X119" s="818"/>
      <c r="Y119" s="818"/>
      <c r="Z119" s="818"/>
    </row>
    <row r="120" spans="1:26" ht="18.75" hidden="1">
      <c r="A120" s="940"/>
      <c r="B120" s="833"/>
      <c r="C120" s="833"/>
      <c r="D120" s="833"/>
      <c r="E120" s="834" t="s">
        <v>18</v>
      </c>
      <c r="F120" s="833"/>
      <c r="G120" s="941"/>
      <c r="H120" s="158" t="s">
        <v>12</v>
      </c>
      <c r="I120" s="836"/>
      <c r="J120" s="836"/>
      <c r="K120" s="837"/>
      <c r="L120" s="837">
        <f t="shared" ref="L120:N121" si="63">L123+L126</f>
        <v>0</v>
      </c>
      <c r="M120" s="837">
        <f t="shared" si="63"/>
        <v>0</v>
      </c>
      <c r="N120" s="837">
        <f t="shared" si="63"/>
        <v>0</v>
      </c>
      <c r="O120" s="837">
        <f t="shared" si="61"/>
        <v>0</v>
      </c>
      <c r="P120" s="837">
        <f t="shared" si="62"/>
        <v>0</v>
      </c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</row>
    <row r="121" spans="1:26" ht="18.75" hidden="1">
      <c r="A121" s="940"/>
      <c r="B121" s="833"/>
      <c r="C121" s="833"/>
      <c r="D121" s="833"/>
      <c r="E121" s="834" t="s">
        <v>19</v>
      </c>
      <c r="F121" s="833"/>
      <c r="G121" s="941"/>
      <c r="H121" s="158" t="s">
        <v>12</v>
      </c>
      <c r="I121" s="836"/>
      <c r="J121" s="836"/>
      <c r="K121" s="837"/>
      <c r="L121" s="837">
        <f t="shared" ca="1" si="63"/>
        <v>0</v>
      </c>
      <c r="M121" s="837">
        <f t="shared" ca="1" si="63"/>
        <v>0</v>
      </c>
      <c r="N121" s="837">
        <f t="shared" ca="1" si="63"/>
        <v>0</v>
      </c>
      <c r="O121" s="837">
        <f t="shared" ca="1" si="61"/>
        <v>0</v>
      </c>
      <c r="P121" s="837">
        <f t="shared" ca="1" si="62"/>
        <v>0</v>
      </c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</row>
    <row r="122" spans="1:26" ht="18.75" hidden="1">
      <c r="A122" s="942"/>
      <c r="B122" s="827"/>
      <c r="C122" s="943"/>
      <c r="D122" s="828" t="s">
        <v>20</v>
      </c>
      <c r="E122" s="827"/>
      <c r="F122" s="827"/>
      <c r="G122" s="829"/>
      <c r="H122" s="778" t="s">
        <v>12</v>
      </c>
      <c r="I122" s="944"/>
      <c r="J122" s="944"/>
      <c r="K122" s="945"/>
      <c r="L122" s="831">
        <f t="shared" ref="L122:N122" ca="1" si="64">L123+L124</f>
        <v>0</v>
      </c>
      <c r="M122" s="831">
        <f t="shared" ca="1" si="64"/>
        <v>0</v>
      </c>
      <c r="N122" s="831">
        <f t="shared" ca="1" si="64"/>
        <v>0</v>
      </c>
      <c r="O122" s="831">
        <f t="shared" ca="1" si="61"/>
        <v>0</v>
      </c>
      <c r="P122" s="831">
        <f t="shared" ca="1" si="62"/>
        <v>0</v>
      </c>
      <c r="Q122" s="818"/>
      <c r="R122" s="818"/>
      <c r="S122" s="818"/>
      <c r="T122" s="818"/>
      <c r="U122" s="818"/>
      <c r="V122" s="818"/>
      <c r="W122" s="818"/>
      <c r="X122" s="818"/>
      <c r="Y122" s="818"/>
      <c r="Z122" s="818"/>
    </row>
    <row r="123" spans="1:26" ht="18.75" hidden="1">
      <c r="A123" s="940"/>
      <c r="B123" s="833"/>
      <c r="C123" s="834"/>
      <c r="D123" s="833"/>
      <c r="E123" s="834" t="s">
        <v>36</v>
      </c>
      <c r="F123" s="833"/>
      <c r="G123" s="941"/>
      <c r="H123" s="165" t="s">
        <v>12</v>
      </c>
      <c r="I123" s="947"/>
      <c r="J123" s="947"/>
      <c r="K123" s="948"/>
      <c r="L123" s="837">
        <v>0</v>
      </c>
      <c r="M123" s="837">
        <v>0</v>
      </c>
      <c r="N123" s="837">
        <v>0</v>
      </c>
      <c r="O123" s="837">
        <f t="shared" si="61"/>
        <v>0</v>
      </c>
      <c r="P123" s="837">
        <f t="shared" si="62"/>
        <v>0</v>
      </c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</row>
    <row r="124" spans="1:26" ht="18.75" hidden="1">
      <c r="A124" s="940"/>
      <c r="B124" s="833"/>
      <c r="C124" s="834"/>
      <c r="D124" s="833"/>
      <c r="E124" s="834" t="s">
        <v>37</v>
      </c>
      <c r="F124" s="833"/>
      <c r="G124" s="941"/>
      <c r="H124" s="165" t="s">
        <v>12</v>
      </c>
      <c r="I124" s="947"/>
      <c r="J124" s="947"/>
      <c r="K124" s="948"/>
      <c r="L124" s="837">
        <f ca="1">IFERROR(__xludf.DUMMYFUNCTION("IMPORTRANGE(""https://docs.google.com/spreadsheets/d/1MeEWN-I1oV_STSDYn1IFDPWt_1FKiwhDph83XaGc0o0/edit?usp=sharing"",""งบพรบ!BA27"")"),0)</f>
        <v>0</v>
      </c>
      <c r="M124" s="837">
        <f ca="1">IFERROR(__xludf.DUMMYFUNCTION("IMPORTRANGE(""https://docs.google.com/spreadsheets/d/1MeEWN-I1oV_STSDYn1IFDPWt_1FKiwhDph83XaGc0o0/edit?usp=sharing"",""งบพรบ!BF27"")"),0)</f>
        <v>0</v>
      </c>
      <c r="N124" s="837">
        <f ca="1">IFERROR(__xludf.DUMMYFUNCTION("IMPORTRANGE(""https://docs.google.com/spreadsheets/d/1MeEWN-I1oV_STSDYn1IFDPWt_1FKiwhDph83XaGc0o0/edit?usp=sharing"",""งบพรบ!BH27"")"),0)</f>
        <v>0</v>
      </c>
      <c r="O124" s="837">
        <f t="shared" ca="1" si="61"/>
        <v>0</v>
      </c>
      <c r="P124" s="837">
        <f t="shared" ca="1" si="62"/>
        <v>0</v>
      </c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</row>
    <row r="125" spans="1:26" ht="18.75" hidden="1">
      <c r="A125" s="942"/>
      <c r="B125" s="827"/>
      <c r="C125" s="943"/>
      <c r="D125" s="828" t="s">
        <v>21</v>
      </c>
      <c r="E125" s="827"/>
      <c r="F125" s="827"/>
      <c r="G125" s="829"/>
      <c r="H125" s="168" t="s">
        <v>12</v>
      </c>
      <c r="I125" s="944"/>
      <c r="J125" s="944"/>
      <c r="K125" s="945"/>
      <c r="L125" s="831">
        <f t="shared" ref="L125:N125" ca="1" si="65">L126+L127</f>
        <v>0</v>
      </c>
      <c r="M125" s="831">
        <f t="shared" ca="1" si="65"/>
        <v>0</v>
      </c>
      <c r="N125" s="831">
        <f t="shared" ca="1" si="65"/>
        <v>0</v>
      </c>
      <c r="O125" s="831">
        <f t="shared" ca="1" si="61"/>
        <v>0</v>
      </c>
      <c r="P125" s="831">
        <f t="shared" ca="1" si="62"/>
        <v>0</v>
      </c>
      <c r="Q125" s="818"/>
      <c r="R125" s="818"/>
      <c r="S125" s="818"/>
      <c r="T125" s="818"/>
      <c r="U125" s="818"/>
      <c r="V125" s="818"/>
      <c r="W125" s="818"/>
      <c r="X125" s="818"/>
      <c r="Y125" s="818"/>
      <c r="Z125" s="818"/>
    </row>
    <row r="126" spans="1:26" ht="19.5" hidden="1">
      <c r="A126" s="940"/>
      <c r="B126" s="833"/>
      <c r="C126" s="946"/>
      <c r="D126" s="833"/>
      <c r="E126" s="834" t="s">
        <v>18</v>
      </c>
      <c r="F126" s="833"/>
      <c r="G126" s="941"/>
      <c r="H126" s="165" t="s">
        <v>12</v>
      </c>
      <c r="I126" s="947"/>
      <c r="J126" s="947"/>
      <c r="K126" s="948"/>
      <c r="L126" s="837">
        <v>0</v>
      </c>
      <c r="M126" s="837">
        <v>0</v>
      </c>
      <c r="N126" s="837">
        <v>0</v>
      </c>
      <c r="O126" s="837">
        <f t="shared" si="61"/>
        <v>0</v>
      </c>
      <c r="P126" s="837">
        <f t="shared" si="62"/>
        <v>0</v>
      </c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</row>
    <row r="127" spans="1:26" ht="19.5" hidden="1">
      <c r="A127" s="940"/>
      <c r="B127" s="833"/>
      <c r="C127" s="946"/>
      <c r="D127" s="833"/>
      <c r="E127" s="834" t="s">
        <v>19</v>
      </c>
      <c r="F127" s="833"/>
      <c r="G127" s="941"/>
      <c r="H127" s="169" t="s">
        <v>12</v>
      </c>
      <c r="I127" s="947"/>
      <c r="J127" s="947"/>
      <c r="K127" s="948"/>
      <c r="L127" s="837">
        <f ca="1">IFERROR(__xludf.DUMMYFUNCTION("IMPORTRANGE(""https://docs.google.com/spreadsheets/d/1MeEWN-I1oV_STSDYn1IFDPWt_1FKiwhDph83XaGc0o0/edit?usp=sharing"",""งบพรบ!BD27"")"),0)</f>
        <v>0</v>
      </c>
      <c r="M127" s="837">
        <f ca="1">IFERROR(__xludf.DUMMYFUNCTION("IMPORTRANGE(""https://docs.google.com/spreadsheets/d/1MeEWN-I1oV_STSDYn1IFDPWt_1FKiwhDph83XaGc0o0/edit?usp=sharing"",""งบพรบ!BG27"")"),0)</f>
        <v>0</v>
      </c>
      <c r="N127" s="837">
        <f ca="1">IFERROR(__xludf.DUMMYFUNCTION("IMPORTRANGE(""https://docs.google.com/spreadsheets/d/1MeEWN-I1oV_STSDYn1IFDPWt_1FKiwhDph83XaGc0o0/edit?usp=sharing"",""งบพรบ!BI27"")"),0)</f>
        <v>0</v>
      </c>
      <c r="O127" s="837">
        <f t="shared" ca="1" si="61"/>
        <v>0</v>
      </c>
      <c r="P127" s="837">
        <f t="shared" ca="1" si="62"/>
        <v>0</v>
      </c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</row>
    <row r="128" spans="1:26" ht="19.5" hidden="1">
      <c r="A128" s="917" t="s">
        <v>67</v>
      </c>
      <c r="B128" s="918"/>
      <c r="C128" s="969"/>
      <c r="D128" s="918"/>
      <c r="E128" s="918"/>
      <c r="F128" s="918"/>
      <c r="G128" s="918"/>
      <c r="H128" s="970"/>
      <c r="I128" s="971"/>
      <c r="J128" s="971"/>
      <c r="K128" s="972"/>
      <c r="L128" s="923"/>
      <c r="M128" s="923"/>
      <c r="N128" s="923"/>
      <c r="O128" s="923"/>
      <c r="P128" s="923"/>
    </row>
    <row r="129" spans="1:26" ht="19.5" hidden="1">
      <c r="A129" s="924"/>
      <c r="B129" s="925" t="s">
        <v>68</v>
      </c>
      <c r="C129" s="973"/>
      <c r="D129" s="927"/>
      <c r="E129" s="926"/>
      <c r="F129" s="926"/>
      <c r="G129" s="926"/>
      <c r="H129" s="207"/>
      <c r="I129" s="974"/>
      <c r="J129" s="974"/>
      <c r="K129" s="931"/>
      <c r="L129" s="931"/>
      <c r="M129" s="931"/>
      <c r="N129" s="931"/>
      <c r="O129" s="931"/>
      <c r="P129" s="931"/>
    </row>
    <row r="130" spans="1:26" ht="19.5" hidden="1">
      <c r="A130" s="924"/>
      <c r="B130" s="925"/>
      <c r="C130" s="975" t="s">
        <v>69</v>
      </c>
      <c r="D130" s="927"/>
      <c r="E130" s="926"/>
      <c r="F130" s="926"/>
      <c r="G130" s="928"/>
      <c r="H130" s="205" t="s">
        <v>66</v>
      </c>
      <c r="I130" s="929">
        <f t="shared" ref="I130:J130" ca="1" si="66">I146</f>
        <v>0</v>
      </c>
      <c r="J130" s="929">
        <f t="shared" si="66"/>
        <v>0</v>
      </c>
      <c r="K130" s="930">
        <f t="shared" ref="K130:K131" ca="1" si="67">IF(I130&gt;0,J130*100/I130,0)</f>
        <v>0</v>
      </c>
      <c r="L130" s="931"/>
      <c r="M130" s="931"/>
      <c r="N130" s="931"/>
      <c r="O130" s="931"/>
      <c r="P130" s="931"/>
    </row>
    <row r="131" spans="1:26" ht="19.5" hidden="1">
      <c r="A131" s="924"/>
      <c r="B131" s="925"/>
      <c r="C131" s="975" t="s">
        <v>70</v>
      </c>
      <c r="D131" s="927"/>
      <c r="E131" s="926"/>
      <c r="F131" s="926"/>
      <c r="G131" s="928"/>
      <c r="H131" s="205" t="s">
        <v>35</v>
      </c>
      <c r="I131" s="929">
        <f t="shared" ref="I131:J131" ca="1" si="68">I143</f>
        <v>0</v>
      </c>
      <c r="J131" s="929">
        <f t="shared" ca="1" si="68"/>
        <v>0</v>
      </c>
      <c r="K131" s="930">
        <f t="shared" ca="1" si="67"/>
        <v>0</v>
      </c>
      <c r="L131" s="931"/>
      <c r="M131" s="931"/>
      <c r="N131" s="931"/>
      <c r="O131" s="931"/>
      <c r="P131" s="931"/>
    </row>
    <row r="132" spans="1:26" ht="19.5" hidden="1">
      <c r="A132" s="932"/>
      <c r="B132" s="933"/>
      <c r="C132" s="934" t="s">
        <v>16</v>
      </c>
      <c r="D132" s="935" t="s">
        <v>17</v>
      </c>
      <c r="E132" s="933"/>
      <c r="F132" s="933"/>
      <c r="G132" s="936"/>
      <c r="H132" s="152" t="s">
        <v>12</v>
      </c>
      <c r="I132" s="937"/>
      <c r="J132" s="937"/>
      <c r="K132" s="938"/>
      <c r="L132" s="939">
        <f t="shared" ref="L132:N132" ca="1" si="69">L133+L134</f>
        <v>0</v>
      </c>
      <c r="M132" s="939">
        <f t="shared" ca="1" si="69"/>
        <v>0</v>
      </c>
      <c r="N132" s="939">
        <f t="shared" ca="1" si="69"/>
        <v>0</v>
      </c>
      <c r="O132" s="939">
        <f t="shared" ref="O132:O140" ca="1" si="70">IF(L132&gt;0,N132*100/L132,0)</f>
        <v>0</v>
      </c>
      <c r="P132" s="939">
        <f t="shared" ref="P132:P140" ca="1" si="71">IF(M132&gt;0,N132*100/M132,0)</f>
        <v>0</v>
      </c>
      <c r="Q132" s="818"/>
      <c r="R132" s="818"/>
      <c r="S132" s="818"/>
      <c r="T132" s="818"/>
      <c r="U132" s="818"/>
      <c r="V132" s="818"/>
      <c r="W132" s="818"/>
      <c r="X132" s="818"/>
      <c r="Y132" s="818"/>
      <c r="Z132" s="818"/>
    </row>
    <row r="133" spans="1:26" ht="18.75" hidden="1">
      <c r="A133" s="940"/>
      <c r="B133" s="833"/>
      <c r="C133" s="833"/>
      <c r="D133" s="833"/>
      <c r="E133" s="834" t="s">
        <v>18</v>
      </c>
      <c r="F133" s="833"/>
      <c r="G133" s="941"/>
      <c r="H133" s="158" t="s">
        <v>12</v>
      </c>
      <c r="I133" s="836"/>
      <c r="J133" s="836"/>
      <c r="K133" s="837"/>
      <c r="L133" s="837">
        <f t="shared" ref="L133:N134" si="72">L136+L139</f>
        <v>0</v>
      </c>
      <c r="M133" s="837">
        <f t="shared" si="72"/>
        <v>0</v>
      </c>
      <c r="N133" s="837">
        <f t="shared" si="72"/>
        <v>0</v>
      </c>
      <c r="O133" s="837">
        <f t="shared" si="70"/>
        <v>0</v>
      </c>
      <c r="P133" s="837">
        <f t="shared" si="71"/>
        <v>0</v>
      </c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</row>
    <row r="134" spans="1:26" ht="18.75" hidden="1">
      <c r="A134" s="940"/>
      <c r="B134" s="833"/>
      <c r="C134" s="833"/>
      <c r="D134" s="833"/>
      <c r="E134" s="834" t="s">
        <v>19</v>
      </c>
      <c r="F134" s="833"/>
      <c r="G134" s="941"/>
      <c r="H134" s="158" t="s">
        <v>12</v>
      </c>
      <c r="I134" s="836"/>
      <c r="J134" s="836"/>
      <c r="K134" s="837"/>
      <c r="L134" s="837">
        <f t="shared" ca="1" si="72"/>
        <v>0</v>
      </c>
      <c r="M134" s="837">
        <f t="shared" ca="1" si="72"/>
        <v>0</v>
      </c>
      <c r="N134" s="837">
        <f t="shared" ca="1" si="72"/>
        <v>0</v>
      </c>
      <c r="O134" s="837">
        <f t="shared" ca="1" si="70"/>
        <v>0</v>
      </c>
      <c r="P134" s="837">
        <f t="shared" ca="1" si="71"/>
        <v>0</v>
      </c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</row>
    <row r="135" spans="1:26" ht="18.75" hidden="1">
      <c r="A135" s="942"/>
      <c r="B135" s="827"/>
      <c r="C135" s="943"/>
      <c r="D135" s="828" t="s">
        <v>20</v>
      </c>
      <c r="E135" s="827"/>
      <c r="F135" s="827"/>
      <c r="G135" s="829"/>
      <c r="H135" s="778" t="s">
        <v>12</v>
      </c>
      <c r="I135" s="944"/>
      <c r="J135" s="944"/>
      <c r="K135" s="945"/>
      <c r="L135" s="831">
        <f t="shared" ref="L135:N135" ca="1" si="73">L136+L137</f>
        <v>0</v>
      </c>
      <c r="M135" s="831">
        <f t="shared" ca="1" si="73"/>
        <v>0</v>
      </c>
      <c r="N135" s="831">
        <f t="shared" ca="1" si="73"/>
        <v>0</v>
      </c>
      <c r="O135" s="831">
        <f t="shared" ca="1" si="70"/>
        <v>0</v>
      </c>
      <c r="P135" s="831">
        <f t="shared" ca="1" si="71"/>
        <v>0</v>
      </c>
      <c r="Q135" s="818"/>
      <c r="R135" s="818"/>
      <c r="S135" s="818"/>
      <c r="T135" s="818"/>
      <c r="U135" s="818"/>
      <c r="V135" s="818"/>
      <c r="W135" s="818"/>
      <c r="X135" s="818"/>
      <c r="Y135" s="818"/>
      <c r="Z135" s="818"/>
    </row>
    <row r="136" spans="1:26" ht="19.5" hidden="1">
      <c r="A136" s="940"/>
      <c r="B136" s="833"/>
      <c r="C136" s="946"/>
      <c r="D136" s="833"/>
      <c r="E136" s="834" t="s">
        <v>36</v>
      </c>
      <c r="F136" s="833"/>
      <c r="G136" s="941"/>
      <c r="H136" s="165" t="s">
        <v>12</v>
      </c>
      <c r="I136" s="947"/>
      <c r="J136" s="947"/>
      <c r="K136" s="948"/>
      <c r="L136" s="837">
        <v>0</v>
      </c>
      <c r="M136" s="837">
        <v>0</v>
      </c>
      <c r="N136" s="837">
        <v>0</v>
      </c>
      <c r="O136" s="837">
        <f t="shared" si="70"/>
        <v>0</v>
      </c>
      <c r="P136" s="837">
        <f t="shared" si="71"/>
        <v>0</v>
      </c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</row>
    <row r="137" spans="1:26" ht="19.5" hidden="1">
      <c r="A137" s="940"/>
      <c r="B137" s="833"/>
      <c r="C137" s="946"/>
      <c r="D137" s="833"/>
      <c r="E137" s="834" t="s">
        <v>37</v>
      </c>
      <c r="F137" s="833"/>
      <c r="G137" s="941"/>
      <c r="H137" s="165" t="s">
        <v>12</v>
      </c>
      <c r="I137" s="947"/>
      <c r="J137" s="947"/>
      <c r="K137" s="948"/>
      <c r="L137" s="837">
        <f ca="1">IFERROR(__xludf.DUMMYFUNCTION("IMPORTRANGE(""https://docs.google.com/spreadsheets/d/1MeEWN-I1oV_STSDYn1IFDPWt_1FKiwhDph83XaGc0o0/edit?usp=sharing"",""งบพรบ!BK27"")"),0)</f>
        <v>0</v>
      </c>
      <c r="M137" s="837">
        <f ca="1">IFERROR(__xludf.DUMMYFUNCTION("IMPORTRANGE(""https://docs.google.com/spreadsheets/d/1MeEWN-I1oV_STSDYn1IFDPWt_1FKiwhDph83XaGc0o0/edit?usp=sharing"",""งบพรบ!BP27"")"),0)</f>
        <v>0</v>
      </c>
      <c r="N137" s="837">
        <f ca="1">IFERROR(__xludf.DUMMYFUNCTION("IMPORTRANGE(""https://docs.google.com/spreadsheets/d/1MeEWN-I1oV_STSDYn1IFDPWt_1FKiwhDph83XaGc0o0/edit?usp=sharing"",""งบพรบ!BR27"")"),0)</f>
        <v>0</v>
      </c>
      <c r="O137" s="837">
        <f t="shared" ca="1" si="70"/>
        <v>0</v>
      </c>
      <c r="P137" s="837">
        <f t="shared" ca="1" si="71"/>
        <v>0</v>
      </c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</row>
    <row r="138" spans="1:26" ht="18.75" hidden="1">
      <c r="A138" s="942"/>
      <c r="B138" s="827"/>
      <c r="C138" s="943"/>
      <c r="D138" s="828" t="s">
        <v>21</v>
      </c>
      <c r="E138" s="827"/>
      <c r="F138" s="827"/>
      <c r="G138" s="829"/>
      <c r="H138" s="168" t="s">
        <v>12</v>
      </c>
      <c r="I138" s="944"/>
      <c r="J138" s="944"/>
      <c r="K138" s="945"/>
      <c r="L138" s="831">
        <f t="shared" ref="L138:N138" ca="1" si="74">L139+L140</f>
        <v>0</v>
      </c>
      <c r="M138" s="831">
        <f t="shared" ca="1" si="74"/>
        <v>0</v>
      </c>
      <c r="N138" s="831">
        <f t="shared" ca="1" si="74"/>
        <v>0</v>
      </c>
      <c r="O138" s="831">
        <f t="shared" ca="1" si="70"/>
        <v>0</v>
      </c>
      <c r="P138" s="831">
        <f t="shared" ca="1" si="71"/>
        <v>0</v>
      </c>
      <c r="Q138" s="818"/>
      <c r="R138" s="818"/>
      <c r="S138" s="818"/>
      <c r="T138" s="818"/>
      <c r="U138" s="818"/>
      <c r="V138" s="818"/>
      <c r="W138" s="818"/>
      <c r="X138" s="818"/>
      <c r="Y138" s="818"/>
      <c r="Z138" s="818"/>
    </row>
    <row r="139" spans="1:26" ht="19.5" hidden="1">
      <c r="A139" s="940"/>
      <c r="B139" s="833"/>
      <c r="C139" s="946"/>
      <c r="D139" s="833"/>
      <c r="E139" s="834" t="s">
        <v>18</v>
      </c>
      <c r="F139" s="833"/>
      <c r="G139" s="941"/>
      <c r="H139" s="165" t="s">
        <v>12</v>
      </c>
      <c r="I139" s="947"/>
      <c r="J139" s="947"/>
      <c r="K139" s="948"/>
      <c r="L139" s="837">
        <v>0</v>
      </c>
      <c r="M139" s="837">
        <v>0</v>
      </c>
      <c r="N139" s="837">
        <v>0</v>
      </c>
      <c r="O139" s="837">
        <f t="shared" si="70"/>
        <v>0</v>
      </c>
      <c r="P139" s="837">
        <f t="shared" si="71"/>
        <v>0</v>
      </c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</row>
    <row r="140" spans="1:26" ht="19.5" hidden="1">
      <c r="A140" s="940"/>
      <c r="B140" s="833"/>
      <c r="C140" s="946"/>
      <c r="D140" s="833"/>
      <c r="E140" s="834" t="s">
        <v>19</v>
      </c>
      <c r="F140" s="833"/>
      <c r="G140" s="941"/>
      <c r="H140" s="169" t="s">
        <v>12</v>
      </c>
      <c r="I140" s="947"/>
      <c r="J140" s="947"/>
      <c r="K140" s="948"/>
      <c r="L140" s="837">
        <f ca="1">IFERROR(__xludf.DUMMYFUNCTION("IMPORTRANGE(""https://docs.google.com/spreadsheets/d/1MeEWN-I1oV_STSDYn1IFDPWt_1FKiwhDph83XaGc0o0/edit?usp=sharing"",""งบพรบ!BN27"")"),0)</f>
        <v>0</v>
      </c>
      <c r="M140" s="837">
        <f ca="1">IFERROR(__xludf.DUMMYFUNCTION("IMPORTRANGE(""https://docs.google.com/spreadsheets/d/1MeEWN-I1oV_STSDYn1IFDPWt_1FKiwhDph83XaGc0o0/edit?usp=sharing"",""งบพรบ!BQ27"")"),0)</f>
        <v>0</v>
      </c>
      <c r="N140" s="837">
        <f ca="1">IFERROR(__xludf.DUMMYFUNCTION("IMPORTRANGE(""https://docs.google.com/spreadsheets/d/1MeEWN-I1oV_STSDYn1IFDPWt_1FKiwhDph83XaGc0o0/edit?usp=sharing"",""งบพรบ!BS27"")"),0)</f>
        <v>0</v>
      </c>
      <c r="O140" s="837">
        <f t="shared" ca="1" si="70"/>
        <v>0</v>
      </c>
      <c r="P140" s="837">
        <f t="shared" ca="1" si="71"/>
        <v>0</v>
      </c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</row>
    <row r="141" spans="1:26" ht="19.5" hidden="1">
      <c r="A141" s="949"/>
      <c r="B141" s="950"/>
      <c r="C141" s="934" t="s">
        <v>16</v>
      </c>
      <c r="D141" s="951" t="s">
        <v>38</v>
      </c>
      <c r="E141" s="952"/>
      <c r="F141" s="952"/>
      <c r="G141" s="953"/>
      <c r="H141" s="168"/>
      <c r="I141" s="830"/>
      <c r="J141" s="830"/>
      <c r="K141" s="831"/>
      <c r="L141" s="831"/>
      <c r="M141" s="831"/>
      <c r="N141" s="831"/>
      <c r="O141" s="831"/>
      <c r="P141" s="831"/>
    </row>
    <row r="142" spans="1:26" ht="19.5" hidden="1">
      <c r="A142" s="942"/>
      <c r="B142" s="827"/>
      <c r="C142" s="976"/>
      <c r="D142" s="943" t="s">
        <v>71</v>
      </c>
      <c r="E142" s="828"/>
      <c r="F142" s="827"/>
      <c r="G142" s="977"/>
      <c r="H142" s="168"/>
      <c r="I142" s="830"/>
      <c r="J142" s="959">
        <v>0</v>
      </c>
      <c r="K142" s="831"/>
      <c r="L142" s="831"/>
      <c r="M142" s="831"/>
      <c r="N142" s="831"/>
      <c r="O142" s="831"/>
      <c r="P142" s="831"/>
    </row>
    <row r="143" spans="1:26" ht="19.5" hidden="1">
      <c r="A143" s="942"/>
      <c r="B143" s="827"/>
      <c r="C143" s="976"/>
      <c r="D143" s="943" t="s">
        <v>72</v>
      </c>
      <c r="E143" s="828"/>
      <c r="F143" s="827"/>
      <c r="G143" s="977"/>
      <c r="H143" s="168" t="s">
        <v>35</v>
      </c>
      <c r="I143" s="830">
        <f ca="1">I145</f>
        <v>0</v>
      </c>
      <c r="J143" s="830">
        <f ca="1">IF(AND(J144&gt;=I144,J145&gt;=I145),J145,0)</f>
        <v>0</v>
      </c>
      <c r="K143" s="831">
        <f t="shared" ref="K143:K146" ca="1" si="75">IF(I143&gt;0,J143*100/I143,0)</f>
        <v>0</v>
      </c>
      <c r="L143" s="831"/>
      <c r="M143" s="831"/>
      <c r="N143" s="831"/>
      <c r="O143" s="831"/>
      <c r="P143" s="831"/>
    </row>
    <row r="144" spans="1:26" ht="19.5" hidden="1">
      <c r="A144" s="942"/>
      <c r="B144" s="827"/>
      <c r="C144" s="976"/>
      <c r="D144" s="957"/>
      <c r="E144" s="943" t="s">
        <v>73</v>
      </c>
      <c r="F144" s="827"/>
      <c r="G144" s="977"/>
      <c r="H144" s="168" t="s">
        <v>35</v>
      </c>
      <c r="I144" s="830">
        <f ca="1">IFERROR(__xludf.DUMMYFUNCTION("IMPORTRANGE(""https://docs.google.com/spreadsheets/d/1QqKyyYR6Q21VydFLVH3TRQUabQu_ym0Zz7PgGX0-kHA/edit?usp=sharing"",""แผน!U27"")"),0)</f>
        <v>0</v>
      </c>
      <c r="J144" s="959">
        <v>0</v>
      </c>
      <c r="K144" s="831">
        <f t="shared" ca="1" si="75"/>
        <v>0</v>
      </c>
      <c r="L144" s="831"/>
      <c r="M144" s="831"/>
      <c r="N144" s="831"/>
      <c r="O144" s="831"/>
      <c r="P144" s="831"/>
    </row>
    <row r="145" spans="1:26" ht="19.5" hidden="1">
      <c r="A145" s="942"/>
      <c r="B145" s="827"/>
      <c r="C145" s="976"/>
      <c r="D145" s="957"/>
      <c r="E145" s="943" t="s">
        <v>74</v>
      </c>
      <c r="F145" s="827"/>
      <c r="G145" s="977"/>
      <c r="H145" s="168" t="s">
        <v>35</v>
      </c>
      <c r="I145" s="830">
        <f ca="1">IFERROR(__xludf.DUMMYFUNCTION("IMPORTRANGE(""https://docs.google.com/spreadsheets/d/1QqKyyYR6Q21VydFLVH3TRQUabQu_ym0Zz7PgGX0-kHA/edit?usp=sharing"",""แผน!V27"")"),0)</f>
        <v>0</v>
      </c>
      <c r="J145" s="959">
        <v>0</v>
      </c>
      <c r="K145" s="831">
        <f t="shared" ca="1" si="75"/>
        <v>0</v>
      </c>
      <c r="L145" s="831"/>
      <c r="M145" s="831"/>
      <c r="N145" s="831"/>
      <c r="O145" s="831"/>
      <c r="P145" s="831"/>
    </row>
    <row r="146" spans="1:26" ht="19.5" hidden="1">
      <c r="A146" s="942"/>
      <c r="B146" s="827"/>
      <c r="C146" s="976"/>
      <c r="D146" s="943" t="s">
        <v>75</v>
      </c>
      <c r="E146" s="828"/>
      <c r="F146" s="827"/>
      <c r="G146" s="977"/>
      <c r="H146" s="168" t="s">
        <v>66</v>
      </c>
      <c r="I146" s="830">
        <f ca="1">IFERROR(__xludf.DUMMYFUNCTION("IMPORTRANGE(""https://docs.google.com/spreadsheets/d/1QqKyyYR6Q21VydFLVH3TRQUabQu_ym0Zz7PgGX0-kHA/edit?usp=sharing"",""แผน!W27"")"),0)</f>
        <v>0</v>
      </c>
      <c r="J146" s="959">
        <v>0</v>
      </c>
      <c r="K146" s="831">
        <f t="shared" ca="1" si="75"/>
        <v>0</v>
      </c>
      <c r="L146" s="831"/>
      <c r="M146" s="831"/>
      <c r="N146" s="831"/>
      <c r="O146" s="831"/>
      <c r="P146" s="831"/>
    </row>
    <row r="147" spans="1:26" ht="19.5">
      <c r="A147" s="917" t="s">
        <v>76</v>
      </c>
      <c r="B147" s="918"/>
      <c r="C147" s="969"/>
      <c r="D147" s="918"/>
      <c r="E147" s="918"/>
      <c r="F147" s="918"/>
      <c r="G147" s="918"/>
      <c r="H147" s="970"/>
      <c r="I147" s="971"/>
      <c r="J147" s="971"/>
      <c r="K147" s="972"/>
      <c r="L147" s="923"/>
      <c r="M147" s="923"/>
      <c r="N147" s="923"/>
      <c r="O147" s="923"/>
      <c r="P147" s="923"/>
    </row>
    <row r="148" spans="1:26" ht="19.5">
      <c r="A148" s="978"/>
      <c r="B148" s="925" t="s">
        <v>77</v>
      </c>
      <c r="C148" s="925"/>
      <c r="D148" s="925"/>
      <c r="E148" s="979"/>
      <c r="F148" s="980"/>
      <c r="G148" s="981"/>
      <c r="H148" s="221" t="s">
        <v>35</v>
      </c>
      <c r="I148" s="929">
        <f t="shared" ref="I148:J148" ca="1" si="76">I159</f>
        <v>20</v>
      </c>
      <c r="J148" s="929">
        <f t="shared" si="76"/>
        <v>0</v>
      </c>
      <c r="K148" s="930">
        <f ca="1">IF(I148&gt;0,J148*100/I148,0)</f>
        <v>0</v>
      </c>
      <c r="L148" s="930"/>
      <c r="M148" s="930"/>
      <c r="N148" s="930"/>
      <c r="O148" s="930"/>
      <c r="P148" s="930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32"/>
      <c r="B149" s="933"/>
      <c r="C149" s="934" t="s">
        <v>16</v>
      </c>
      <c r="D149" s="935" t="s">
        <v>17</v>
      </c>
      <c r="E149" s="933"/>
      <c r="F149" s="933"/>
      <c r="G149" s="936"/>
      <c r="H149" s="152" t="s">
        <v>12</v>
      </c>
      <c r="I149" s="937"/>
      <c r="J149" s="937"/>
      <c r="K149" s="938"/>
      <c r="L149" s="939">
        <f t="shared" ref="L149:N149" ca="1" si="77">L150+L151</f>
        <v>10000</v>
      </c>
      <c r="M149" s="939">
        <f t="shared" ca="1" si="77"/>
        <v>11680</v>
      </c>
      <c r="N149" s="939">
        <f t="shared" ca="1" si="77"/>
        <v>6720</v>
      </c>
      <c r="O149" s="939">
        <f t="shared" ref="O149:O157" ca="1" si="78">IF(L149&gt;0,N149*100/L149,0)</f>
        <v>67.2</v>
      </c>
      <c r="P149" s="939">
        <f t="shared" ref="P149:P157" ca="1" si="79">IF(M149&gt;0,N149*100/M149,0)</f>
        <v>57.534246575342465</v>
      </c>
      <c r="Q149" s="818"/>
      <c r="R149" s="818"/>
      <c r="S149" s="818"/>
      <c r="T149" s="818"/>
      <c r="U149" s="818"/>
      <c r="V149" s="818"/>
      <c r="W149" s="818"/>
      <c r="X149" s="818"/>
      <c r="Y149" s="818"/>
      <c r="Z149" s="818"/>
    </row>
    <row r="150" spans="1:26" ht="18.75" hidden="1">
      <c r="A150" s="940"/>
      <c r="B150" s="833"/>
      <c r="C150" s="833"/>
      <c r="D150" s="833"/>
      <c r="E150" s="834" t="s">
        <v>18</v>
      </c>
      <c r="F150" s="833"/>
      <c r="G150" s="941"/>
      <c r="H150" s="158" t="s">
        <v>12</v>
      </c>
      <c r="I150" s="836"/>
      <c r="J150" s="836"/>
      <c r="K150" s="837"/>
      <c r="L150" s="837">
        <f t="shared" ref="L150:N151" si="80">L153+L156</f>
        <v>0</v>
      </c>
      <c r="M150" s="837">
        <f t="shared" si="80"/>
        <v>0</v>
      </c>
      <c r="N150" s="837">
        <f t="shared" si="80"/>
        <v>0</v>
      </c>
      <c r="O150" s="837">
        <f t="shared" si="78"/>
        <v>0</v>
      </c>
      <c r="P150" s="837">
        <f t="shared" si="79"/>
        <v>0</v>
      </c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</row>
    <row r="151" spans="1:26" ht="18.75" hidden="1">
      <c r="A151" s="940"/>
      <c r="B151" s="833"/>
      <c r="C151" s="833"/>
      <c r="D151" s="833"/>
      <c r="E151" s="834" t="s">
        <v>19</v>
      </c>
      <c r="F151" s="833"/>
      <c r="G151" s="941"/>
      <c r="H151" s="158" t="s">
        <v>12</v>
      </c>
      <c r="I151" s="836"/>
      <c r="J151" s="836"/>
      <c r="K151" s="837"/>
      <c r="L151" s="837">
        <f t="shared" ca="1" si="80"/>
        <v>10000</v>
      </c>
      <c r="M151" s="837">
        <f t="shared" ca="1" si="80"/>
        <v>11680</v>
      </c>
      <c r="N151" s="837">
        <f t="shared" ca="1" si="80"/>
        <v>6720</v>
      </c>
      <c r="O151" s="837">
        <f t="shared" ca="1" si="78"/>
        <v>67.2</v>
      </c>
      <c r="P151" s="837">
        <f t="shared" ca="1" si="79"/>
        <v>57.534246575342465</v>
      </c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</row>
    <row r="152" spans="1:26" ht="18.75">
      <c r="A152" s="942"/>
      <c r="B152" s="827"/>
      <c r="C152" s="943"/>
      <c r="D152" s="828" t="s">
        <v>20</v>
      </c>
      <c r="E152" s="827"/>
      <c r="F152" s="827"/>
      <c r="G152" s="829"/>
      <c r="H152" s="778" t="s">
        <v>12</v>
      </c>
      <c r="I152" s="944"/>
      <c r="J152" s="944"/>
      <c r="K152" s="945"/>
      <c r="L152" s="831">
        <f t="shared" ref="L152:N152" ca="1" si="81">L153+L154</f>
        <v>10000</v>
      </c>
      <c r="M152" s="831">
        <f t="shared" ca="1" si="81"/>
        <v>11680</v>
      </c>
      <c r="N152" s="831">
        <f t="shared" ca="1" si="81"/>
        <v>6720</v>
      </c>
      <c r="O152" s="831">
        <f t="shared" ca="1" si="78"/>
        <v>67.2</v>
      </c>
      <c r="P152" s="831">
        <f t="shared" ca="1" si="79"/>
        <v>57.534246575342465</v>
      </c>
      <c r="Q152" s="818"/>
      <c r="R152" s="818"/>
      <c r="S152" s="818"/>
      <c r="T152" s="818"/>
      <c r="U152" s="818"/>
      <c r="V152" s="818"/>
      <c r="W152" s="818"/>
      <c r="X152" s="818"/>
      <c r="Y152" s="818"/>
      <c r="Z152" s="818"/>
    </row>
    <row r="153" spans="1:26" ht="19.5" hidden="1">
      <c r="A153" s="940"/>
      <c r="B153" s="833"/>
      <c r="C153" s="946"/>
      <c r="D153" s="833"/>
      <c r="E153" s="834" t="s">
        <v>36</v>
      </c>
      <c r="F153" s="833"/>
      <c r="G153" s="941"/>
      <c r="H153" s="165" t="s">
        <v>12</v>
      </c>
      <c r="I153" s="947"/>
      <c r="J153" s="947"/>
      <c r="K153" s="948"/>
      <c r="L153" s="837">
        <v>0</v>
      </c>
      <c r="M153" s="837">
        <v>0</v>
      </c>
      <c r="N153" s="837">
        <v>0</v>
      </c>
      <c r="O153" s="837">
        <f t="shared" si="78"/>
        <v>0</v>
      </c>
      <c r="P153" s="837">
        <f t="shared" si="79"/>
        <v>0</v>
      </c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</row>
    <row r="154" spans="1:26" ht="19.5" hidden="1">
      <c r="A154" s="940"/>
      <c r="B154" s="833"/>
      <c r="C154" s="946"/>
      <c r="D154" s="833"/>
      <c r="E154" s="834" t="s">
        <v>37</v>
      </c>
      <c r="F154" s="833"/>
      <c r="G154" s="941"/>
      <c r="H154" s="165" t="s">
        <v>12</v>
      </c>
      <c r="I154" s="947"/>
      <c r="J154" s="947"/>
      <c r="K154" s="948"/>
      <c r="L154" s="837">
        <f ca="1">IFERROR(__xludf.DUMMYFUNCTION("IMPORTRANGE(""https://docs.google.com/spreadsheets/d/1MeEWN-I1oV_STSDYn1IFDPWt_1FKiwhDph83XaGc0o0/edit?usp=sharing"",""งบพรบ!BU27"")"),10000)</f>
        <v>10000</v>
      </c>
      <c r="M154" s="837">
        <f ca="1">IFERROR(__xludf.DUMMYFUNCTION("IMPORTRANGE(""https://docs.google.com/spreadsheets/d/1MeEWN-I1oV_STSDYn1IFDPWt_1FKiwhDph83XaGc0o0/edit?usp=sharing"",""งบพรบ!BZ27"")"),11680)</f>
        <v>11680</v>
      </c>
      <c r="N154" s="837">
        <f ca="1">IFERROR(__xludf.DUMMYFUNCTION("IMPORTRANGE(""https://docs.google.com/spreadsheets/d/1MeEWN-I1oV_STSDYn1IFDPWt_1FKiwhDph83XaGc0o0/edit?usp=sharing"",""งบพรบ!CB27"")"),6720)</f>
        <v>6720</v>
      </c>
      <c r="O154" s="837">
        <f t="shared" ca="1" si="78"/>
        <v>67.2</v>
      </c>
      <c r="P154" s="837">
        <f t="shared" ca="1" si="79"/>
        <v>57.534246575342465</v>
      </c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</row>
    <row r="155" spans="1:26" ht="18.75">
      <c r="A155" s="942"/>
      <c r="B155" s="827"/>
      <c r="C155" s="943"/>
      <c r="D155" s="828" t="s">
        <v>21</v>
      </c>
      <c r="E155" s="827"/>
      <c r="F155" s="827"/>
      <c r="G155" s="829"/>
      <c r="H155" s="168" t="s">
        <v>12</v>
      </c>
      <c r="I155" s="944"/>
      <c r="J155" s="944"/>
      <c r="K155" s="945"/>
      <c r="L155" s="831">
        <f t="shared" ref="L155:N155" ca="1" si="82">L156+L157</f>
        <v>0</v>
      </c>
      <c r="M155" s="831">
        <f t="shared" ca="1" si="82"/>
        <v>0</v>
      </c>
      <c r="N155" s="831">
        <f t="shared" ca="1" si="82"/>
        <v>0</v>
      </c>
      <c r="O155" s="831">
        <f t="shared" ca="1" si="78"/>
        <v>0</v>
      </c>
      <c r="P155" s="831">
        <f t="shared" ca="1" si="79"/>
        <v>0</v>
      </c>
      <c r="Q155" s="818"/>
      <c r="R155" s="818"/>
      <c r="S155" s="818"/>
      <c r="T155" s="818"/>
      <c r="U155" s="818"/>
      <c r="V155" s="818"/>
      <c r="W155" s="818"/>
      <c r="X155" s="818"/>
      <c r="Y155" s="818"/>
      <c r="Z155" s="818"/>
    </row>
    <row r="156" spans="1:26" ht="19.5" hidden="1">
      <c r="A156" s="940"/>
      <c r="B156" s="833"/>
      <c r="C156" s="946"/>
      <c r="D156" s="833"/>
      <c r="E156" s="834" t="s">
        <v>18</v>
      </c>
      <c r="F156" s="833"/>
      <c r="G156" s="941"/>
      <c r="H156" s="165" t="s">
        <v>12</v>
      </c>
      <c r="I156" s="947"/>
      <c r="J156" s="947"/>
      <c r="K156" s="948"/>
      <c r="L156" s="837">
        <v>0</v>
      </c>
      <c r="M156" s="837">
        <v>0</v>
      </c>
      <c r="N156" s="837">
        <v>0</v>
      </c>
      <c r="O156" s="837">
        <f t="shared" si="78"/>
        <v>0</v>
      </c>
      <c r="P156" s="837">
        <f t="shared" si="79"/>
        <v>0</v>
      </c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</row>
    <row r="157" spans="1:26" ht="19.5" hidden="1">
      <c r="A157" s="940"/>
      <c r="B157" s="833"/>
      <c r="C157" s="946"/>
      <c r="D157" s="833"/>
      <c r="E157" s="834" t="s">
        <v>19</v>
      </c>
      <c r="F157" s="833"/>
      <c r="G157" s="941"/>
      <c r="H157" s="169" t="s">
        <v>12</v>
      </c>
      <c r="I157" s="947"/>
      <c r="J157" s="947"/>
      <c r="K157" s="948"/>
      <c r="L157" s="837">
        <f ca="1">IFERROR(__xludf.DUMMYFUNCTION("IMPORTRANGE(""https://docs.google.com/spreadsheets/d/1MeEWN-I1oV_STSDYn1IFDPWt_1FKiwhDph83XaGc0o0/edit?usp=sharing"",""งบพรบ!BX27"")"),0)</f>
        <v>0</v>
      </c>
      <c r="M157" s="837">
        <f ca="1">IFERROR(__xludf.DUMMYFUNCTION("IMPORTRANGE(""https://docs.google.com/spreadsheets/d/1MeEWN-I1oV_STSDYn1IFDPWt_1FKiwhDph83XaGc0o0/edit?usp=sharing"",""งบพรบ!CA27"")"),0)</f>
        <v>0</v>
      </c>
      <c r="N157" s="837">
        <f ca="1">IFERROR(__xludf.DUMMYFUNCTION("IMPORTRANGE(""https://docs.google.com/spreadsheets/d/1MeEWN-I1oV_STSDYn1IFDPWt_1FKiwhDph83XaGc0o0/edit?usp=sharing"",""งบพรบ!CC27"")"),0)</f>
        <v>0</v>
      </c>
      <c r="O157" s="837">
        <f t="shared" ca="1" si="78"/>
        <v>0</v>
      </c>
      <c r="P157" s="837">
        <f t="shared" ca="1" si="79"/>
        <v>0</v>
      </c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</row>
    <row r="158" spans="1:26" ht="19.5">
      <c r="A158" s="949"/>
      <c r="B158" s="950"/>
      <c r="C158" s="946" t="s">
        <v>16</v>
      </c>
      <c r="D158" s="951" t="s">
        <v>38</v>
      </c>
      <c r="E158" s="952"/>
      <c r="F158" s="952"/>
      <c r="G158" s="953"/>
      <c r="H158" s="168"/>
      <c r="I158" s="830"/>
      <c r="J158" s="830"/>
      <c r="K158" s="831"/>
      <c r="L158" s="831"/>
      <c r="M158" s="831"/>
      <c r="N158" s="831"/>
      <c r="O158" s="831"/>
      <c r="P158" s="831"/>
    </row>
    <row r="159" spans="1:26" ht="19.5">
      <c r="A159" s="942"/>
      <c r="B159" s="827"/>
      <c r="C159" s="976"/>
      <c r="D159" s="943" t="s">
        <v>78</v>
      </c>
      <c r="E159" s="828"/>
      <c r="F159" s="827"/>
      <c r="G159" s="977"/>
      <c r="H159" s="168" t="s">
        <v>35</v>
      </c>
      <c r="I159" s="830">
        <f ca="1">IFERROR(__xludf.DUMMYFUNCTION("IMPORTRANGE(""https://docs.google.com/spreadsheets/d/1QqKyyYR6Q21VydFLVH3TRQUabQu_ym0Zz7PgGX0-kHA/edit?usp=sharing"",""แผน!X27"")"),20)</f>
        <v>20</v>
      </c>
      <c r="J159" s="959">
        <v>0</v>
      </c>
      <c r="K159" s="831">
        <f ca="1">IF(I159&gt;0,J159*100/I159,0)</f>
        <v>0</v>
      </c>
      <c r="L159" s="831"/>
      <c r="M159" s="831"/>
      <c r="N159" s="831"/>
      <c r="O159" s="831"/>
      <c r="P159" s="831"/>
    </row>
    <row r="160" spans="1:26" ht="19.5" hidden="1">
      <c r="A160" s="940"/>
      <c r="B160" s="833"/>
      <c r="C160" s="946"/>
      <c r="D160" s="834" t="s">
        <v>79</v>
      </c>
      <c r="E160" s="982"/>
      <c r="F160" s="833"/>
      <c r="G160" s="941"/>
      <c r="H160" s="169" t="s">
        <v>35</v>
      </c>
      <c r="I160" s="836"/>
      <c r="J160" s="836"/>
      <c r="K160" s="837"/>
      <c r="L160" s="837"/>
      <c r="M160" s="837"/>
      <c r="N160" s="837"/>
      <c r="O160" s="837"/>
      <c r="P160" s="83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983"/>
      <c r="B161" s="984"/>
      <c r="C161" s="985"/>
      <c r="D161" s="986" t="s">
        <v>80</v>
      </c>
      <c r="E161" s="987"/>
      <c r="F161" s="984"/>
      <c r="G161" s="988"/>
      <c r="H161" s="232" t="s">
        <v>35</v>
      </c>
      <c r="I161" s="989"/>
      <c r="J161" s="989"/>
      <c r="K161" s="990"/>
      <c r="L161" s="990"/>
      <c r="M161" s="990"/>
      <c r="N161" s="990"/>
      <c r="O161" s="990"/>
      <c r="P161" s="990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991" t="s">
        <v>81</v>
      </c>
      <c r="B162" s="992"/>
      <c r="C162" s="992"/>
      <c r="D162" s="992"/>
      <c r="E162" s="993"/>
      <c r="F162" s="993"/>
      <c r="G162" s="994"/>
      <c r="H162" s="995"/>
      <c r="I162" s="996"/>
      <c r="J162" s="996"/>
      <c r="K162" s="997"/>
      <c r="L162" s="997"/>
      <c r="M162" s="997"/>
      <c r="N162" s="997"/>
      <c r="O162" s="997"/>
      <c r="P162" s="997"/>
    </row>
    <row r="163" spans="1:26" ht="19.5">
      <c r="A163" s="998" t="s">
        <v>82</v>
      </c>
      <c r="B163" s="999"/>
      <c r="C163" s="999"/>
      <c r="D163" s="1000"/>
      <c r="E163" s="1000"/>
      <c r="F163" s="1000"/>
      <c r="G163" s="1001"/>
      <c r="H163" s="1002"/>
      <c r="I163" s="1003"/>
      <c r="J163" s="1003"/>
      <c r="K163" s="1004"/>
      <c r="L163" s="1004"/>
      <c r="M163" s="1004"/>
      <c r="N163" s="1004"/>
      <c r="O163" s="1004"/>
      <c r="P163" s="1004"/>
    </row>
    <row r="164" spans="1:26" ht="19.5">
      <c r="A164" s="1005"/>
      <c r="B164" s="1006" t="s">
        <v>83</v>
      </c>
      <c r="C164" s="1007"/>
      <c r="D164" s="952"/>
      <c r="E164" s="952"/>
      <c r="F164" s="952"/>
      <c r="G164" s="953"/>
      <c r="H164" s="252" t="s">
        <v>35</v>
      </c>
      <c r="I164" s="1008">
        <f t="shared" ref="I164:J164" ca="1" si="83">I174+I177</f>
        <v>10</v>
      </c>
      <c r="J164" s="1008">
        <f t="shared" si="83"/>
        <v>10</v>
      </c>
      <c r="K164" s="1009">
        <f ca="1">IF(I164&gt;0,J164*100/I164,0)</f>
        <v>100</v>
      </c>
      <c r="L164" s="1010"/>
      <c r="M164" s="1010"/>
      <c r="N164" s="1010"/>
      <c r="O164" s="1010"/>
      <c r="P164" s="1010"/>
    </row>
    <row r="165" spans="1:26" ht="19.5">
      <c r="A165" s="932"/>
      <c r="B165" s="933"/>
      <c r="C165" s="934" t="s">
        <v>16</v>
      </c>
      <c r="D165" s="935" t="s">
        <v>17</v>
      </c>
      <c r="E165" s="933"/>
      <c r="F165" s="933"/>
      <c r="G165" s="936"/>
      <c r="H165" s="152" t="s">
        <v>12</v>
      </c>
      <c r="I165" s="937"/>
      <c r="J165" s="937"/>
      <c r="K165" s="938"/>
      <c r="L165" s="939">
        <f t="shared" ref="L165:N165" ca="1" si="84">L166+L167</f>
        <v>21050</v>
      </c>
      <c r="M165" s="939">
        <f t="shared" ca="1" si="84"/>
        <v>41270</v>
      </c>
      <c r="N165" s="939">
        <f t="shared" ca="1" si="84"/>
        <v>41270</v>
      </c>
      <c r="O165" s="939">
        <f t="shared" ref="O165:O173" ca="1" si="85">IF(L165&gt;0,N165*100/L165,0)</f>
        <v>196.05700712589075</v>
      </c>
      <c r="P165" s="939">
        <f t="shared" ref="P165:P173" ca="1" si="86">IF(M165&gt;0,N165*100/M165,0)</f>
        <v>100</v>
      </c>
      <c r="Q165" s="818"/>
      <c r="R165" s="818"/>
      <c r="S165" s="818"/>
      <c r="T165" s="818"/>
      <c r="U165" s="818"/>
      <c r="V165" s="818"/>
      <c r="W165" s="818"/>
      <c r="X165" s="818"/>
      <c r="Y165" s="818"/>
      <c r="Z165" s="818"/>
    </row>
    <row r="166" spans="1:26" ht="18.75" hidden="1">
      <c r="A166" s="940"/>
      <c r="B166" s="833"/>
      <c r="C166" s="833"/>
      <c r="D166" s="833"/>
      <c r="E166" s="834" t="s">
        <v>18</v>
      </c>
      <c r="F166" s="833"/>
      <c r="G166" s="941"/>
      <c r="H166" s="158" t="s">
        <v>12</v>
      </c>
      <c r="I166" s="836"/>
      <c r="J166" s="836"/>
      <c r="K166" s="837"/>
      <c r="L166" s="837">
        <f t="shared" ref="L166:N167" si="87">L169+L172</f>
        <v>0</v>
      </c>
      <c r="M166" s="837">
        <f t="shared" si="87"/>
        <v>0</v>
      </c>
      <c r="N166" s="837">
        <f t="shared" si="87"/>
        <v>0</v>
      </c>
      <c r="O166" s="837">
        <f t="shared" si="85"/>
        <v>0</v>
      </c>
      <c r="P166" s="837">
        <f t="shared" si="86"/>
        <v>0</v>
      </c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</row>
    <row r="167" spans="1:26" ht="18.75" hidden="1">
      <c r="A167" s="940"/>
      <c r="B167" s="833"/>
      <c r="C167" s="833"/>
      <c r="D167" s="833"/>
      <c r="E167" s="834" t="s">
        <v>19</v>
      </c>
      <c r="F167" s="833"/>
      <c r="G167" s="941"/>
      <c r="H167" s="158" t="s">
        <v>12</v>
      </c>
      <c r="I167" s="836"/>
      <c r="J167" s="836"/>
      <c r="K167" s="837"/>
      <c r="L167" s="837">
        <f t="shared" ca="1" si="87"/>
        <v>21050</v>
      </c>
      <c r="M167" s="837">
        <f t="shared" ca="1" si="87"/>
        <v>41270</v>
      </c>
      <c r="N167" s="837">
        <f t="shared" ca="1" si="87"/>
        <v>41270</v>
      </c>
      <c r="O167" s="837">
        <f t="shared" ca="1" si="85"/>
        <v>196.05700712589075</v>
      </c>
      <c r="P167" s="837">
        <f t="shared" ca="1" si="86"/>
        <v>100</v>
      </c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</row>
    <row r="168" spans="1:26" ht="18.75">
      <c r="A168" s="942"/>
      <c r="B168" s="827"/>
      <c r="C168" s="943"/>
      <c r="D168" s="828" t="s">
        <v>20</v>
      </c>
      <c r="E168" s="827"/>
      <c r="F168" s="827"/>
      <c r="G168" s="829"/>
      <c r="H168" s="778" t="s">
        <v>12</v>
      </c>
      <c r="I168" s="944"/>
      <c r="J168" s="944"/>
      <c r="K168" s="945"/>
      <c r="L168" s="831">
        <f t="shared" ref="L168:N168" ca="1" si="88">L169+L170</f>
        <v>21050</v>
      </c>
      <c r="M168" s="831">
        <f t="shared" ca="1" si="88"/>
        <v>41270</v>
      </c>
      <c r="N168" s="831">
        <f t="shared" ca="1" si="88"/>
        <v>41270</v>
      </c>
      <c r="O168" s="831">
        <f t="shared" ca="1" si="85"/>
        <v>196.05700712589075</v>
      </c>
      <c r="P168" s="831">
        <f t="shared" ca="1" si="86"/>
        <v>100</v>
      </c>
      <c r="Q168" s="818"/>
      <c r="R168" s="818"/>
      <c r="S168" s="818"/>
      <c r="T168" s="818"/>
      <c r="U168" s="818"/>
      <c r="V168" s="818"/>
      <c r="W168" s="818"/>
      <c r="X168" s="818"/>
      <c r="Y168" s="818"/>
      <c r="Z168" s="818"/>
    </row>
    <row r="169" spans="1:26" ht="19.5" hidden="1">
      <c r="A169" s="940"/>
      <c r="B169" s="833"/>
      <c r="C169" s="946"/>
      <c r="D169" s="833"/>
      <c r="E169" s="834" t="s">
        <v>36</v>
      </c>
      <c r="F169" s="833"/>
      <c r="G169" s="941"/>
      <c r="H169" s="165" t="s">
        <v>12</v>
      </c>
      <c r="I169" s="947"/>
      <c r="J169" s="947"/>
      <c r="K169" s="948"/>
      <c r="L169" s="837">
        <v>0</v>
      </c>
      <c r="M169" s="837">
        <v>0</v>
      </c>
      <c r="N169" s="837">
        <v>0</v>
      </c>
      <c r="O169" s="837">
        <f t="shared" si="85"/>
        <v>0</v>
      </c>
      <c r="P169" s="837">
        <f t="shared" si="86"/>
        <v>0</v>
      </c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</row>
    <row r="170" spans="1:26" ht="19.5" hidden="1">
      <c r="A170" s="940"/>
      <c r="B170" s="833"/>
      <c r="C170" s="946"/>
      <c r="D170" s="833"/>
      <c r="E170" s="834" t="s">
        <v>37</v>
      </c>
      <c r="F170" s="833"/>
      <c r="G170" s="941"/>
      <c r="H170" s="165" t="s">
        <v>12</v>
      </c>
      <c r="I170" s="947"/>
      <c r="J170" s="947"/>
      <c r="K170" s="948"/>
      <c r="L170" s="837">
        <f ca="1">IFERROR(__xludf.DUMMYFUNCTION("IMPORTRANGE(""https://docs.google.com/spreadsheets/d/1MeEWN-I1oV_STSDYn1IFDPWt_1FKiwhDph83XaGc0o0/edit?usp=sharing"",""งบพรบ!CE27"")"),21050)</f>
        <v>21050</v>
      </c>
      <c r="M170" s="837">
        <f ca="1">IFERROR(__xludf.DUMMYFUNCTION("IMPORTRANGE(""https://docs.google.com/spreadsheets/d/1MeEWN-I1oV_STSDYn1IFDPWt_1FKiwhDph83XaGc0o0/edit?usp=sharing"",""งบพรบ!CJ27"")"),41270)</f>
        <v>41270</v>
      </c>
      <c r="N170" s="837">
        <f ca="1">IFERROR(__xludf.DUMMYFUNCTION("IMPORTRANGE(""https://docs.google.com/spreadsheets/d/1MeEWN-I1oV_STSDYn1IFDPWt_1FKiwhDph83XaGc0o0/edit?usp=sharing"",""งบพรบ!CL27"")"),41270)</f>
        <v>41270</v>
      </c>
      <c r="O170" s="837">
        <f t="shared" ca="1" si="85"/>
        <v>196.05700712589075</v>
      </c>
      <c r="P170" s="837">
        <f t="shared" ca="1" si="86"/>
        <v>100</v>
      </c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</row>
    <row r="171" spans="1:26" ht="18.75">
      <c r="A171" s="942"/>
      <c r="B171" s="827"/>
      <c r="C171" s="943"/>
      <c r="D171" s="828" t="s">
        <v>21</v>
      </c>
      <c r="E171" s="827"/>
      <c r="F171" s="827"/>
      <c r="G171" s="829"/>
      <c r="H171" s="168" t="s">
        <v>12</v>
      </c>
      <c r="I171" s="944"/>
      <c r="J171" s="944"/>
      <c r="K171" s="945"/>
      <c r="L171" s="831">
        <f t="shared" ref="L171:N171" ca="1" si="89">L172+L173</f>
        <v>0</v>
      </c>
      <c r="M171" s="831">
        <f t="shared" ca="1" si="89"/>
        <v>0</v>
      </c>
      <c r="N171" s="831">
        <f t="shared" ca="1" si="89"/>
        <v>0</v>
      </c>
      <c r="O171" s="831">
        <f t="shared" ca="1" si="85"/>
        <v>0</v>
      </c>
      <c r="P171" s="831">
        <f t="shared" ca="1" si="86"/>
        <v>0</v>
      </c>
      <c r="Q171" s="818"/>
      <c r="R171" s="818"/>
      <c r="S171" s="818"/>
      <c r="T171" s="818"/>
      <c r="U171" s="818"/>
      <c r="V171" s="818"/>
      <c r="W171" s="818"/>
      <c r="X171" s="818"/>
      <c r="Y171" s="818"/>
      <c r="Z171" s="818"/>
    </row>
    <row r="172" spans="1:26" ht="19.5" hidden="1">
      <c r="A172" s="940"/>
      <c r="B172" s="833"/>
      <c r="C172" s="946"/>
      <c r="D172" s="833"/>
      <c r="E172" s="834" t="s">
        <v>18</v>
      </c>
      <c r="F172" s="833"/>
      <c r="G172" s="941"/>
      <c r="H172" s="165" t="s">
        <v>12</v>
      </c>
      <c r="I172" s="947"/>
      <c r="J172" s="947"/>
      <c r="K172" s="948"/>
      <c r="L172" s="837">
        <v>0</v>
      </c>
      <c r="M172" s="837">
        <v>0</v>
      </c>
      <c r="N172" s="837">
        <v>0</v>
      </c>
      <c r="O172" s="837">
        <f t="shared" si="85"/>
        <v>0</v>
      </c>
      <c r="P172" s="837">
        <f t="shared" si="86"/>
        <v>0</v>
      </c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</row>
    <row r="173" spans="1:26" ht="19.5" hidden="1">
      <c r="A173" s="940"/>
      <c r="B173" s="833"/>
      <c r="C173" s="946"/>
      <c r="D173" s="833"/>
      <c r="E173" s="834" t="s">
        <v>19</v>
      </c>
      <c r="F173" s="833"/>
      <c r="G173" s="941"/>
      <c r="H173" s="169" t="s">
        <v>12</v>
      </c>
      <c r="I173" s="947"/>
      <c r="J173" s="947"/>
      <c r="K173" s="948"/>
      <c r="L173" s="837">
        <f ca="1">IFERROR(__xludf.DUMMYFUNCTION("IMPORTRANGE(""https://docs.google.com/spreadsheets/d/1MeEWN-I1oV_STSDYn1IFDPWt_1FKiwhDph83XaGc0o0/edit?usp=sharing"",""งบพรบ!CH27"")"),0)</f>
        <v>0</v>
      </c>
      <c r="M173" s="837">
        <f ca="1">IFERROR(__xludf.DUMMYFUNCTION("IMPORTRANGE(""https://docs.google.com/spreadsheets/d/1MeEWN-I1oV_STSDYn1IFDPWt_1FKiwhDph83XaGc0o0/edit?usp=sharing"",""งบพรบ!CK27"")"),0)</f>
        <v>0</v>
      </c>
      <c r="N173" s="837">
        <f ca="1">IFERROR(__xludf.DUMMYFUNCTION("IMPORTRANGE(""https://docs.google.com/spreadsheets/d/1MeEWN-I1oV_STSDYn1IFDPWt_1FKiwhDph83XaGc0o0/edit?usp=sharing"",""งบพรบ!CM27"")"),0)</f>
        <v>0</v>
      </c>
      <c r="O173" s="837">
        <f t="shared" ca="1" si="85"/>
        <v>0</v>
      </c>
      <c r="P173" s="837">
        <f t="shared" ca="1" si="86"/>
        <v>0</v>
      </c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</row>
    <row r="174" spans="1:26" ht="19.5">
      <c r="A174" s="1011"/>
      <c r="B174" s="1012"/>
      <c r="C174" s="1013" t="s">
        <v>84</v>
      </c>
      <c r="D174" s="1012"/>
      <c r="E174" s="1012"/>
      <c r="F174" s="1012"/>
      <c r="G174" s="1014"/>
      <c r="H174" s="260" t="s">
        <v>35</v>
      </c>
      <c r="I174" s="1015">
        <f t="shared" ref="I174:J174" ca="1" si="90">I176</f>
        <v>10</v>
      </c>
      <c r="J174" s="1015">
        <f t="shared" si="90"/>
        <v>10</v>
      </c>
      <c r="K174" s="1016">
        <f ca="1">IF(I174&gt;0,J174*100/I174,0)</f>
        <v>100</v>
      </c>
      <c r="L174" s="1016"/>
      <c r="M174" s="1016"/>
      <c r="N174" s="1016"/>
      <c r="O174" s="1016"/>
      <c r="P174" s="1016"/>
    </row>
    <row r="175" spans="1:26" ht="19.5">
      <c r="A175" s="949"/>
      <c r="B175" s="950"/>
      <c r="C175" s="946" t="s">
        <v>16</v>
      </c>
      <c r="D175" s="951" t="s">
        <v>38</v>
      </c>
      <c r="E175" s="952"/>
      <c r="F175" s="952"/>
      <c r="G175" s="953"/>
      <c r="H175" s="954"/>
      <c r="I175" s="944"/>
      <c r="J175" s="944"/>
      <c r="K175" s="945"/>
      <c r="L175" s="945"/>
      <c r="M175" s="945"/>
      <c r="N175" s="945"/>
      <c r="O175" s="945"/>
      <c r="P175" s="945"/>
    </row>
    <row r="176" spans="1:26" ht="18.75">
      <c r="A176" s="949"/>
      <c r="B176" s="950"/>
      <c r="C176" s="950"/>
      <c r="D176" s="1017" t="s">
        <v>85</v>
      </c>
      <c r="E176" s="957"/>
      <c r="F176" s="957"/>
      <c r="G176" s="958"/>
      <c r="H176" s="590" t="s">
        <v>35</v>
      </c>
      <c r="I176" s="830">
        <f ca="1">IFERROR(__xludf.DUMMYFUNCTION("IMPORTRANGE(""https://docs.google.com/spreadsheets/d/1QqKyyYR6Q21VydFLVH3TRQUabQu_ym0Zz7PgGX0-kHA/edit?usp=sharing"",""แผน!Y27"")"),10)</f>
        <v>10</v>
      </c>
      <c r="J176" s="959">
        <v>10</v>
      </c>
      <c r="K176" s="945">
        <f ca="1">IF(I176&gt;0,J176*100/I176,0)</f>
        <v>100</v>
      </c>
      <c r="L176" s="945"/>
      <c r="M176" s="945"/>
      <c r="N176" s="945"/>
      <c r="O176" s="945"/>
      <c r="P176" s="945"/>
    </row>
    <row r="177" spans="1:26" ht="19.5" hidden="1">
      <c r="A177" s="1011"/>
      <c r="B177" s="1018"/>
      <c r="C177" s="1019" t="s">
        <v>86</v>
      </c>
      <c r="D177" s="1018"/>
      <c r="E177" s="1012"/>
      <c r="F177" s="1012"/>
      <c r="G177" s="1014"/>
      <c r="H177" s="266" t="s">
        <v>35</v>
      </c>
      <c r="I177" s="1015"/>
      <c r="J177" s="1015">
        <f>J179</f>
        <v>0</v>
      </c>
      <c r="K177" s="1016"/>
      <c r="L177" s="1016"/>
      <c r="M177" s="1016"/>
      <c r="N177" s="1016"/>
      <c r="O177" s="1016"/>
      <c r="P177" s="1016"/>
    </row>
    <row r="178" spans="1:26" ht="19.5" hidden="1">
      <c r="A178" s="949"/>
      <c r="B178" s="950"/>
      <c r="C178" s="946" t="s">
        <v>16</v>
      </c>
      <c r="D178" s="1020" t="s">
        <v>38</v>
      </c>
      <c r="E178" s="952"/>
      <c r="F178" s="952"/>
      <c r="G178" s="953"/>
      <c r="H178" s="954"/>
      <c r="I178" s="944"/>
      <c r="J178" s="944"/>
      <c r="K178" s="945"/>
      <c r="L178" s="945"/>
      <c r="M178" s="945"/>
      <c r="N178" s="945"/>
      <c r="O178" s="945"/>
      <c r="P178" s="945"/>
    </row>
    <row r="179" spans="1:26" ht="18.75" hidden="1">
      <c r="A179" s="949"/>
      <c r="B179" s="950"/>
      <c r="C179" s="950"/>
      <c r="D179" s="1021" t="s">
        <v>87</v>
      </c>
      <c r="E179" s="957"/>
      <c r="F179" s="1022"/>
      <c r="G179" s="958"/>
      <c r="H179" s="43" t="s">
        <v>35</v>
      </c>
      <c r="I179" s="830"/>
      <c r="J179" s="830"/>
      <c r="K179" s="945"/>
      <c r="L179" s="945"/>
      <c r="M179" s="945"/>
      <c r="N179" s="945"/>
      <c r="O179" s="945"/>
      <c r="P179" s="945"/>
    </row>
    <row r="180" spans="1:26" ht="19.5">
      <c r="A180" s="1005"/>
      <c r="B180" s="1006" t="s">
        <v>88</v>
      </c>
      <c r="C180" s="1007"/>
      <c r="D180" s="952"/>
      <c r="E180" s="952"/>
      <c r="F180" s="952"/>
      <c r="G180" s="953"/>
      <c r="H180" s="252" t="s">
        <v>35</v>
      </c>
      <c r="I180" s="1008">
        <f t="shared" ref="I180:J180" ca="1" si="91">I225+I226</f>
        <v>100</v>
      </c>
      <c r="J180" s="1008">
        <f t="shared" si="91"/>
        <v>50</v>
      </c>
      <c r="K180" s="1009">
        <f ca="1">IF(I180&gt;0,J180*100/I180,0)</f>
        <v>50</v>
      </c>
      <c r="L180" s="1010"/>
      <c r="M180" s="1010"/>
      <c r="N180" s="1010"/>
      <c r="O180" s="1010"/>
      <c r="P180" s="1010"/>
    </row>
    <row r="181" spans="1:26" ht="19.5">
      <c r="A181" s="932"/>
      <c r="B181" s="933"/>
      <c r="C181" s="934" t="s">
        <v>16</v>
      </c>
      <c r="D181" s="935" t="s">
        <v>17</v>
      </c>
      <c r="E181" s="933"/>
      <c r="F181" s="933"/>
      <c r="G181" s="936"/>
      <c r="H181" s="152" t="s">
        <v>12</v>
      </c>
      <c r="I181" s="937"/>
      <c r="J181" s="937"/>
      <c r="K181" s="938"/>
      <c r="L181" s="939">
        <f t="shared" ref="L181:N181" ca="1" si="92">L182+L183</f>
        <v>665550</v>
      </c>
      <c r="M181" s="939">
        <f t="shared" ca="1" si="92"/>
        <v>500250</v>
      </c>
      <c r="N181" s="939">
        <f t="shared" ca="1" si="92"/>
        <v>253504.27</v>
      </c>
      <c r="O181" s="939">
        <f t="shared" ref="O181:O189" ca="1" si="93">IF(L181&gt;0,N181*100/L181,0)</f>
        <v>38.089440312523479</v>
      </c>
      <c r="P181" s="939">
        <f t="shared" ref="P181:P189" ca="1" si="94">IF(M181&gt;0,N181*100/M181,0)</f>
        <v>50.675516241879059</v>
      </c>
      <c r="Q181" s="818"/>
      <c r="R181" s="818"/>
      <c r="S181" s="818"/>
      <c r="T181" s="818"/>
      <c r="U181" s="818"/>
      <c r="V181" s="818"/>
      <c r="W181" s="818"/>
      <c r="X181" s="818"/>
      <c r="Y181" s="818"/>
      <c r="Z181" s="818"/>
    </row>
    <row r="182" spans="1:26" ht="18.75" hidden="1">
      <c r="A182" s="940"/>
      <c r="B182" s="833"/>
      <c r="C182" s="833"/>
      <c r="D182" s="833"/>
      <c r="E182" s="834" t="s">
        <v>18</v>
      </c>
      <c r="F182" s="833"/>
      <c r="G182" s="941"/>
      <c r="H182" s="158" t="s">
        <v>12</v>
      </c>
      <c r="I182" s="836"/>
      <c r="J182" s="836"/>
      <c r="K182" s="837"/>
      <c r="L182" s="837">
        <f t="shared" ref="L182:N183" si="95">L185+L188</f>
        <v>0</v>
      </c>
      <c r="M182" s="837">
        <f t="shared" si="95"/>
        <v>0</v>
      </c>
      <c r="N182" s="837">
        <f t="shared" si="95"/>
        <v>0</v>
      </c>
      <c r="O182" s="837">
        <f t="shared" si="93"/>
        <v>0</v>
      </c>
      <c r="P182" s="837">
        <f t="shared" si="94"/>
        <v>0</v>
      </c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</row>
    <row r="183" spans="1:26" ht="18.75" hidden="1">
      <c r="A183" s="940"/>
      <c r="B183" s="833"/>
      <c r="C183" s="833"/>
      <c r="D183" s="833"/>
      <c r="E183" s="834" t="s">
        <v>19</v>
      </c>
      <c r="F183" s="833"/>
      <c r="G183" s="941"/>
      <c r="H183" s="158" t="s">
        <v>12</v>
      </c>
      <c r="I183" s="836"/>
      <c r="J183" s="836"/>
      <c r="K183" s="837"/>
      <c r="L183" s="837">
        <f t="shared" ca="1" si="95"/>
        <v>665550</v>
      </c>
      <c r="M183" s="837">
        <f t="shared" ca="1" si="95"/>
        <v>500250</v>
      </c>
      <c r="N183" s="837">
        <f t="shared" ca="1" si="95"/>
        <v>253504.27</v>
      </c>
      <c r="O183" s="837">
        <f t="shared" ca="1" si="93"/>
        <v>38.089440312523479</v>
      </c>
      <c r="P183" s="837">
        <f t="shared" ca="1" si="94"/>
        <v>50.675516241879059</v>
      </c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</row>
    <row r="184" spans="1:26" ht="18.75">
      <c r="A184" s="942"/>
      <c r="B184" s="827"/>
      <c r="C184" s="943"/>
      <c r="D184" s="828" t="s">
        <v>20</v>
      </c>
      <c r="E184" s="827"/>
      <c r="F184" s="827"/>
      <c r="G184" s="829"/>
      <c r="H184" s="778" t="s">
        <v>12</v>
      </c>
      <c r="I184" s="944"/>
      <c r="J184" s="944"/>
      <c r="K184" s="945"/>
      <c r="L184" s="831">
        <f t="shared" ref="L184:N184" ca="1" si="96">L185+L186</f>
        <v>665550</v>
      </c>
      <c r="M184" s="831">
        <f t="shared" ca="1" si="96"/>
        <v>500250</v>
      </c>
      <c r="N184" s="831">
        <f t="shared" ca="1" si="96"/>
        <v>253504.27</v>
      </c>
      <c r="O184" s="831">
        <f t="shared" ca="1" si="93"/>
        <v>38.089440312523479</v>
      </c>
      <c r="P184" s="831">
        <f t="shared" ca="1" si="94"/>
        <v>50.675516241879059</v>
      </c>
      <c r="Q184" s="818"/>
      <c r="R184" s="818"/>
      <c r="S184" s="818"/>
      <c r="T184" s="818"/>
      <c r="U184" s="818"/>
      <c r="V184" s="818"/>
      <c r="W184" s="818"/>
      <c r="X184" s="818"/>
      <c r="Y184" s="818"/>
      <c r="Z184" s="818"/>
    </row>
    <row r="185" spans="1:26" ht="19.5" hidden="1">
      <c r="A185" s="940"/>
      <c r="B185" s="833"/>
      <c r="C185" s="946"/>
      <c r="D185" s="833"/>
      <c r="E185" s="834" t="s">
        <v>36</v>
      </c>
      <c r="F185" s="833"/>
      <c r="G185" s="941"/>
      <c r="H185" s="165" t="s">
        <v>12</v>
      </c>
      <c r="I185" s="947"/>
      <c r="J185" s="947"/>
      <c r="K185" s="948"/>
      <c r="L185" s="837">
        <v>0</v>
      </c>
      <c r="M185" s="837">
        <v>0</v>
      </c>
      <c r="N185" s="837">
        <v>0</v>
      </c>
      <c r="O185" s="837">
        <f t="shared" si="93"/>
        <v>0</v>
      </c>
      <c r="P185" s="837">
        <f t="shared" si="94"/>
        <v>0</v>
      </c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</row>
    <row r="186" spans="1:26" ht="19.5" hidden="1">
      <c r="A186" s="940"/>
      <c r="B186" s="833"/>
      <c r="C186" s="946"/>
      <c r="D186" s="833"/>
      <c r="E186" s="834" t="s">
        <v>37</v>
      </c>
      <c r="F186" s="833"/>
      <c r="G186" s="941"/>
      <c r="H186" s="165" t="s">
        <v>12</v>
      </c>
      <c r="I186" s="947"/>
      <c r="J186" s="947"/>
      <c r="K186" s="948"/>
      <c r="L186" s="837">
        <f ca="1">IFERROR(__xludf.DUMMYFUNCTION("IMPORTRANGE(""https://docs.google.com/spreadsheets/d/1MeEWN-I1oV_STSDYn1IFDPWt_1FKiwhDph83XaGc0o0/edit?usp=sharing"",""งบพรบ!CO27"")"),665550)</f>
        <v>665550</v>
      </c>
      <c r="M186" s="837">
        <f ca="1">IFERROR(__xludf.DUMMYFUNCTION("IMPORTRANGE(""https://docs.google.com/spreadsheets/d/1MeEWN-I1oV_STSDYn1IFDPWt_1FKiwhDph83XaGc0o0/edit?usp=sharing"",""งบพรบ!CT27"")"),500250)</f>
        <v>500250</v>
      </c>
      <c r="N186" s="837">
        <f ca="1">IFERROR(__xludf.DUMMYFUNCTION("IMPORTRANGE(""https://docs.google.com/spreadsheets/d/1MeEWN-I1oV_STSDYn1IFDPWt_1FKiwhDph83XaGc0o0/edit?usp=sharing"",""งบพรบ!CV27"")"),253504.27)</f>
        <v>253504.27</v>
      </c>
      <c r="O186" s="837">
        <f t="shared" ca="1" si="93"/>
        <v>38.089440312523479</v>
      </c>
      <c r="P186" s="837">
        <f t="shared" ca="1" si="94"/>
        <v>50.675516241879059</v>
      </c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</row>
    <row r="187" spans="1:26" ht="18.75">
      <c r="A187" s="942"/>
      <c r="B187" s="827"/>
      <c r="C187" s="943"/>
      <c r="D187" s="828" t="s">
        <v>21</v>
      </c>
      <c r="E187" s="827"/>
      <c r="F187" s="827"/>
      <c r="G187" s="829"/>
      <c r="H187" s="168" t="s">
        <v>12</v>
      </c>
      <c r="I187" s="944"/>
      <c r="J187" s="944"/>
      <c r="K187" s="945"/>
      <c r="L187" s="831">
        <f t="shared" ref="L187:N187" ca="1" si="97">L188+L189</f>
        <v>0</v>
      </c>
      <c r="M187" s="831">
        <f t="shared" ca="1" si="97"/>
        <v>0</v>
      </c>
      <c r="N187" s="831">
        <f t="shared" ca="1" si="97"/>
        <v>0</v>
      </c>
      <c r="O187" s="831">
        <f t="shared" ca="1" si="93"/>
        <v>0</v>
      </c>
      <c r="P187" s="831">
        <f t="shared" ca="1" si="94"/>
        <v>0</v>
      </c>
      <c r="Q187" s="818"/>
      <c r="R187" s="818"/>
      <c r="S187" s="818"/>
      <c r="T187" s="818"/>
      <c r="U187" s="818"/>
      <c r="V187" s="818"/>
      <c r="W187" s="818"/>
      <c r="X187" s="818"/>
      <c r="Y187" s="818"/>
      <c r="Z187" s="818"/>
    </row>
    <row r="188" spans="1:26" ht="19.5" hidden="1">
      <c r="A188" s="940"/>
      <c r="B188" s="833"/>
      <c r="C188" s="946"/>
      <c r="D188" s="833"/>
      <c r="E188" s="834" t="s">
        <v>18</v>
      </c>
      <c r="F188" s="833"/>
      <c r="G188" s="941"/>
      <c r="H188" s="165" t="s">
        <v>12</v>
      </c>
      <c r="I188" s="947"/>
      <c r="J188" s="947"/>
      <c r="K188" s="948"/>
      <c r="L188" s="837">
        <v>0</v>
      </c>
      <c r="M188" s="837">
        <v>0</v>
      </c>
      <c r="N188" s="837">
        <v>0</v>
      </c>
      <c r="O188" s="837">
        <f t="shared" si="93"/>
        <v>0</v>
      </c>
      <c r="P188" s="837">
        <f t="shared" si="94"/>
        <v>0</v>
      </c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</row>
    <row r="189" spans="1:26" ht="19.5" hidden="1">
      <c r="A189" s="940"/>
      <c r="B189" s="833"/>
      <c r="C189" s="946"/>
      <c r="D189" s="833"/>
      <c r="E189" s="834" t="s">
        <v>19</v>
      </c>
      <c r="F189" s="833"/>
      <c r="G189" s="941"/>
      <c r="H189" s="169" t="s">
        <v>12</v>
      </c>
      <c r="I189" s="947"/>
      <c r="J189" s="947"/>
      <c r="K189" s="948"/>
      <c r="L189" s="837">
        <f ca="1">IFERROR(__xludf.DUMMYFUNCTION("IMPORTRANGE(""https://docs.google.com/spreadsheets/d/1MeEWN-I1oV_STSDYn1IFDPWt_1FKiwhDph83XaGc0o0/edit?usp=sharing"",""งบพรบ!CR27"")"),0)</f>
        <v>0</v>
      </c>
      <c r="M189" s="837">
        <f ca="1">IFERROR(__xludf.DUMMYFUNCTION("IMPORTRANGE(""https://docs.google.com/spreadsheets/d/1MeEWN-I1oV_STSDYn1IFDPWt_1FKiwhDph83XaGc0o0/edit?usp=sharing"",""งบพรบ!CU27"")"),0)</f>
        <v>0</v>
      </c>
      <c r="N189" s="837">
        <f ca="1">IFERROR(__xludf.DUMMYFUNCTION("IMPORTRANGE(""https://docs.google.com/spreadsheets/d/1MeEWN-I1oV_STSDYn1IFDPWt_1FKiwhDph83XaGc0o0/edit?usp=sharing"",""งบพรบ!CW27"")"),0)</f>
        <v>0</v>
      </c>
      <c r="O189" s="837">
        <f t="shared" ca="1" si="93"/>
        <v>0</v>
      </c>
      <c r="P189" s="837">
        <f t="shared" ca="1" si="94"/>
        <v>0</v>
      </c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</row>
    <row r="190" spans="1:26" ht="19.5">
      <c r="A190" s="1011"/>
      <c r="B190" s="1018"/>
      <c r="C190" s="1023" t="s">
        <v>89</v>
      </c>
      <c r="D190" s="1012"/>
      <c r="E190" s="1012"/>
      <c r="F190" s="1012"/>
      <c r="G190" s="1014"/>
      <c r="H190" s="260" t="s">
        <v>90</v>
      </c>
      <c r="I190" s="1024">
        <f t="shared" ref="I190:J190" ca="1" si="98">I193</f>
        <v>4</v>
      </c>
      <c r="J190" s="1024">
        <f t="shared" si="98"/>
        <v>1</v>
      </c>
      <c r="K190" s="1025">
        <f ca="1">IF(I190&gt;0,J190*100/I190,0)</f>
        <v>25</v>
      </c>
      <c r="L190" s="1016"/>
      <c r="M190" s="1016"/>
      <c r="N190" s="1016"/>
      <c r="O190" s="1016"/>
      <c r="P190" s="1016"/>
    </row>
    <row r="191" spans="1:26" ht="19.5">
      <c r="A191" s="932"/>
      <c r="B191" s="933"/>
      <c r="C191" s="934" t="s">
        <v>16</v>
      </c>
      <c r="D191" s="1026" t="s">
        <v>17</v>
      </c>
      <c r="E191" s="933"/>
      <c r="F191" s="933"/>
      <c r="G191" s="936"/>
      <c r="H191" s="275" t="s">
        <v>12</v>
      </c>
      <c r="I191" s="937"/>
      <c r="J191" s="937"/>
      <c r="K191" s="938"/>
      <c r="L191" s="939">
        <f ca="1">IFERROR(__xludf.DUMMYFUNCTION("IMPORTRANGE(""https://docs.google.com/spreadsheets/d/1QqKyyYR6Q21VydFLVH3TRQUabQu_ym0Zz7PgGX0-kHA/edit?usp=sharing"",""แผน!Z27"")"),6000)</f>
        <v>6000</v>
      </c>
      <c r="M191" s="939"/>
      <c r="N191" s="1027">
        <v>0</v>
      </c>
      <c r="O191" s="939">
        <f ca="1">IF(L191&gt;0,N191*100/L191,0)</f>
        <v>0</v>
      </c>
      <c r="P191" s="939">
        <f>IF(M191&gt;0,N191*100/M191,0)</f>
        <v>0</v>
      </c>
      <c r="Q191" s="818"/>
      <c r="R191" s="818"/>
      <c r="S191" s="818"/>
      <c r="T191" s="818"/>
      <c r="U191" s="818"/>
      <c r="V191" s="818"/>
      <c r="W191" s="818"/>
      <c r="X191" s="818"/>
      <c r="Y191" s="818"/>
      <c r="Z191" s="818"/>
    </row>
    <row r="192" spans="1:26" ht="19.5">
      <c r="A192" s="949"/>
      <c r="B192" s="950"/>
      <c r="C192" s="976" t="s">
        <v>16</v>
      </c>
      <c r="D192" s="951" t="s">
        <v>38</v>
      </c>
      <c r="E192" s="952"/>
      <c r="F192" s="952"/>
      <c r="G192" s="953"/>
      <c r="H192" s="954"/>
      <c r="I192" s="830"/>
      <c r="J192" s="830"/>
      <c r="K192" s="831"/>
      <c r="L192" s="831"/>
      <c r="M192" s="831"/>
      <c r="N192" s="831"/>
      <c r="O192" s="831"/>
      <c r="P192" s="831"/>
      <c r="Q192" s="818"/>
      <c r="R192" s="818"/>
      <c r="S192" s="818"/>
      <c r="T192" s="818"/>
      <c r="U192" s="818"/>
      <c r="V192" s="818"/>
      <c r="W192" s="818"/>
      <c r="X192" s="818"/>
      <c r="Y192" s="818"/>
      <c r="Z192" s="818"/>
    </row>
    <row r="193" spans="1:26" ht="18.75">
      <c r="A193" s="949"/>
      <c r="B193" s="950"/>
      <c r="C193" s="950"/>
      <c r="D193" s="956" t="s">
        <v>91</v>
      </c>
      <c r="E193" s="957"/>
      <c r="F193" s="957"/>
      <c r="G193" s="958"/>
      <c r="H193" s="730" t="s">
        <v>90</v>
      </c>
      <c r="I193" s="830">
        <f ca="1">IFERROR(__xludf.DUMMYFUNCTION("IMPORTRANGE(""https://docs.google.com/spreadsheets/d/1QqKyyYR6Q21VydFLVH3TRQUabQu_ym0Zz7PgGX0-kHA/edit?usp=sharing"",""แผน!AC27"")"),4)</f>
        <v>4</v>
      </c>
      <c r="J193" s="959">
        <v>1</v>
      </c>
      <c r="K193" s="831">
        <f ca="1">IF(I193&gt;0,J193*100/I193,0)</f>
        <v>25</v>
      </c>
      <c r="L193" s="831"/>
      <c r="M193" s="831"/>
      <c r="N193" s="831"/>
      <c r="O193" s="831"/>
      <c r="P193" s="831"/>
      <c r="Q193" s="818"/>
      <c r="R193" s="818"/>
      <c r="S193" s="818"/>
      <c r="T193" s="818"/>
      <c r="U193" s="818"/>
      <c r="V193" s="818"/>
      <c r="W193" s="818"/>
      <c r="X193" s="818"/>
      <c r="Y193" s="818"/>
      <c r="Z193" s="818"/>
    </row>
    <row r="194" spans="1:26" ht="18.75">
      <c r="A194" s="949"/>
      <c r="B194" s="950"/>
      <c r="C194" s="950"/>
      <c r="D194" s="956" t="s">
        <v>92</v>
      </c>
      <c r="E194" s="957"/>
      <c r="F194" s="957"/>
      <c r="G194" s="958"/>
      <c r="H194" s="277" t="s">
        <v>35</v>
      </c>
      <c r="I194" s="830"/>
      <c r="J194" s="830">
        <f>J195+J196</f>
        <v>50</v>
      </c>
      <c r="K194" s="831"/>
      <c r="L194" s="831"/>
      <c r="M194" s="831"/>
      <c r="N194" s="831"/>
      <c r="O194" s="831"/>
      <c r="P194" s="831"/>
      <c r="Q194" s="818"/>
      <c r="R194" s="818"/>
      <c r="S194" s="818"/>
      <c r="T194" s="818"/>
      <c r="U194" s="818"/>
      <c r="V194" s="818"/>
      <c r="W194" s="818"/>
      <c r="X194" s="818"/>
      <c r="Y194" s="818"/>
      <c r="Z194" s="818"/>
    </row>
    <row r="195" spans="1:26" ht="18.75">
      <c r="A195" s="949"/>
      <c r="B195" s="950"/>
      <c r="C195" s="950"/>
      <c r="D195" s="950"/>
      <c r="E195" s="956" t="s">
        <v>93</v>
      </c>
      <c r="F195" s="957"/>
      <c r="G195" s="958"/>
      <c r="H195" s="277" t="s">
        <v>35</v>
      </c>
      <c r="I195" s="830"/>
      <c r="J195" s="959">
        <v>50</v>
      </c>
      <c r="K195" s="831"/>
      <c r="L195" s="831"/>
      <c r="M195" s="831"/>
      <c r="N195" s="831"/>
      <c r="O195" s="831"/>
      <c r="P195" s="831"/>
      <c r="Q195" s="818"/>
      <c r="R195" s="818"/>
      <c r="S195" s="818"/>
      <c r="T195" s="818"/>
      <c r="U195" s="818"/>
      <c r="V195" s="818"/>
      <c r="W195" s="818"/>
      <c r="X195" s="818"/>
      <c r="Y195" s="818"/>
      <c r="Z195" s="818"/>
    </row>
    <row r="196" spans="1:26" ht="18.75">
      <c r="A196" s="949"/>
      <c r="B196" s="950"/>
      <c r="C196" s="950"/>
      <c r="D196" s="950"/>
      <c r="E196" s="956" t="s">
        <v>94</v>
      </c>
      <c r="F196" s="957"/>
      <c r="G196" s="958"/>
      <c r="H196" s="277" t="s">
        <v>35</v>
      </c>
      <c r="I196" s="830"/>
      <c r="J196" s="959">
        <v>0</v>
      </c>
      <c r="K196" s="831"/>
      <c r="L196" s="831"/>
      <c r="M196" s="831"/>
      <c r="N196" s="831"/>
      <c r="O196" s="831"/>
      <c r="P196" s="831"/>
      <c r="Q196" s="818"/>
      <c r="R196" s="818"/>
      <c r="S196" s="818"/>
      <c r="T196" s="818"/>
      <c r="U196" s="818"/>
      <c r="V196" s="818"/>
      <c r="W196" s="818"/>
      <c r="X196" s="818"/>
      <c r="Y196" s="818"/>
      <c r="Z196" s="818"/>
    </row>
    <row r="197" spans="1:26" ht="19.5">
      <c r="A197" s="1011"/>
      <c r="B197" s="1018"/>
      <c r="C197" s="1023" t="s">
        <v>95</v>
      </c>
      <c r="D197" s="1012"/>
      <c r="E197" s="1012"/>
      <c r="F197" s="1012"/>
      <c r="G197" s="1014"/>
      <c r="H197" s="278" t="s">
        <v>96</v>
      </c>
      <c r="I197" s="1024">
        <f t="shared" ref="I197:J197" ca="1" si="99">I204</f>
        <v>2</v>
      </c>
      <c r="J197" s="1024">
        <f t="shared" si="99"/>
        <v>2</v>
      </c>
      <c r="K197" s="1025">
        <f ca="1">IF(I197&gt;0,J197*100/I197,0)</f>
        <v>100</v>
      </c>
      <c r="L197" s="1016"/>
      <c r="M197" s="1016"/>
      <c r="N197" s="1016"/>
      <c r="O197" s="1016"/>
      <c r="P197" s="1016"/>
    </row>
    <row r="198" spans="1:26" ht="19.5">
      <c r="A198" s="932"/>
      <c r="B198" s="933"/>
      <c r="C198" s="934" t="s">
        <v>16</v>
      </c>
      <c r="D198" s="1026" t="s">
        <v>17</v>
      </c>
      <c r="E198" s="933"/>
      <c r="F198" s="933"/>
      <c r="G198" s="936"/>
      <c r="H198" s="275" t="s">
        <v>12</v>
      </c>
      <c r="I198" s="1028"/>
      <c r="J198" s="1028"/>
      <c r="K198" s="1029"/>
      <c r="L198" s="939">
        <f ca="1">L199+L200+L201+L202</f>
        <v>26000</v>
      </c>
      <c r="M198" s="939"/>
      <c r="N198" s="939">
        <f>N199+N200+N201+N202</f>
        <v>11947</v>
      </c>
      <c r="O198" s="939">
        <f ca="1">IF(L198&gt;0,N198*100/L198,0)</f>
        <v>45.95</v>
      </c>
      <c r="P198" s="939">
        <f>IF(M198&gt;0,N198*100/M198,0)</f>
        <v>0</v>
      </c>
      <c r="Q198" s="818"/>
      <c r="R198" s="818"/>
      <c r="S198" s="818"/>
      <c r="T198" s="818"/>
      <c r="U198" s="818"/>
      <c r="V198" s="818"/>
      <c r="W198" s="818"/>
      <c r="X198" s="818"/>
      <c r="Y198" s="818"/>
      <c r="Z198" s="818"/>
    </row>
    <row r="199" spans="1:26" ht="18.75">
      <c r="A199" s="942"/>
      <c r="B199" s="1030"/>
      <c r="C199" s="827"/>
      <c r="D199" s="943" t="s">
        <v>97</v>
      </c>
      <c r="E199" s="827"/>
      <c r="F199" s="827"/>
      <c r="G199" s="829"/>
      <c r="H199" s="778" t="s">
        <v>12</v>
      </c>
      <c r="I199" s="944"/>
      <c r="J199" s="944"/>
      <c r="K199" s="945"/>
      <c r="L199" s="831">
        <f ca="1">IFERROR(__xludf.DUMMYFUNCTION("IMPORTRANGE(""https://docs.google.com/spreadsheets/d/1QqKyyYR6Q21VydFLVH3TRQUabQu_ym0Zz7PgGX0-kHA/edit?usp=sharing"",""แผน!AE27"")"),2000)</f>
        <v>2000</v>
      </c>
      <c r="M199" s="831"/>
      <c r="N199" s="1031">
        <v>1000</v>
      </c>
      <c r="O199" s="831"/>
      <c r="P199" s="831"/>
      <c r="Q199" s="818"/>
      <c r="R199" s="818"/>
      <c r="S199" s="818"/>
      <c r="T199" s="818"/>
      <c r="U199" s="818"/>
      <c r="V199" s="818"/>
      <c r="W199" s="818"/>
      <c r="X199" s="818"/>
      <c r="Y199" s="818"/>
      <c r="Z199" s="818"/>
    </row>
    <row r="200" spans="1:26" ht="19.5">
      <c r="A200" s="1032"/>
      <c r="B200" s="1030"/>
      <c r="C200" s="976"/>
      <c r="D200" s="943" t="s">
        <v>98</v>
      </c>
      <c r="E200" s="827"/>
      <c r="F200" s="827"/>
      <c r="G200" s="829"/>
      <c r="H200" s="590" t="s">
        <v>12</v>
      </c>
      <c r="I200" s="830"/>
      <c r="J200" s="830"/>
      <c r="K200" s="831"/>
      <c r="L200" s="831">
        <f ca="1">IFERROR(__xludf.DUMMYFUNCTION("IMPORTRANGE(""https://docs.google.com/spreadsheets/d/1QqKyyYR6Q21VydFLVH3TRQUabQu_ym0Zz7PgGX0-kHA/edit?usp=sharing"",""แผน!AF27"")"),16000)</f>
        <v>16000</v>
      </c>
      <c r="M200" s="831"/>
      <c r="N200" s="1031">
        <v>10947</v>
      </c>
      <c r="O200" s="831"/>
      <c r="P200" s="831"/>
      <c r="Q200" s="1033"/>
      <c r="R200" s="1033"/>
      <c r="S200" s="1033"/>
      <c r="T200" s="1033"/>
      <c r="U200" s="1033"/>
      <c r="V200" s="1033"/>
      <c r="W200" s="1033"/>
      <c r="X200" s="1033"/>
      <c r="Y200" s="1033"/>
      <c r="Z200" s="1033"/>
    </row>
    <row r="201" spans="1:26" ht="19.5">
      <c r="A201" s="1032"/>
      <c r="B201" s="1030"/>
      <c r="C201" s="976"/>
      <c r="D201" s="943" t="s">
        <v>99</v>
      </c>
      <c r="E201" s="827"/>
      <c r="F201" s="827"/>
      <c r="G201" s="829"/>
      <c r="H201" s="590" t="s">
        <v>12</v>
      </c>
      <c r="I201" s="830"/>
      <c r="J201" s="830"/>
      <c r="K201" s="831"/>
      <c r="L201" s="831">
        <f ca="1">IFERROR(__xludf.DUMMYFUNCTION("IMPORTRANGE(""https://docs.google.com/spreadsheets/d/1QqKyyYR6Q21VydFLVH3TRQUabQu_ym0Zz7PgGX0-kHA/edit?usp=sharing"",""แผน!AG27"")"),8000)</f>
        <v>8000</v>
      </c>
      <c r="M201" s="831"/>
      <c r="N201" s="1031">
        <v>0</v>
      </c>
      <c r="O201" s="831"/>
      <c r="P201" s="831"/>
      <c r="Q201" s="1033"/>
      <c r="R201" s="1033"/>
      <c r="S201" s="1033"/>
      <c r="T201" s="1033"/>
      <c r="U201" s="1033"/>
      <c r="V201" s="1033"/>
      <c r="W201" s="1033"/>
      <c r="X201" s="1033"/>
      <c r="Y201" s="1033"/>
      <c r="Z201" s="1033"/>
    </row>
    <row r="202" spans="1:26" ht="19.5">
      <c r="A202" s="1032"/>
      <c r="B202" s="1030"/>
      <c r="C202" s="976"/>
      <c r="D202" s="943" t="s">
        <v>100</v>
      </c>
      <c r="E202" s="827"/>
      <c r="F202" s="827"/>
      <c r="G202" s="829"/>
      <c r="H202" s="590" t="s">
        <v>12</v>
      </c>
      <c r="I202" s="830"/>
      <c r="J202" s="830"/>
      <c r="K202" s="831"/>
      <c r="L202" s="831">
        <f ca="1">IFERROR(__xludf.DUMMYFUNCTION("IMPORTRANGE(""https://docs.google.com/spreadsheets/d/1QqKyyYR6Q21VydFLVH3TRQUabQu_ym0Zz7PgGX0-kHA/edit?usp=sharing"",""แผน!AH27"")"),0)</f>
        <v>0</v>
      </c>
      <c r="M202" s="831"/>
      <c r="N202" s="1031">
        <v>0</v>
      </c>
      <c r="O202" s="831"/>
      <c r="P202" s="831"/>
      <c r="Q202" s="1033"/>
      <c r="R202" s="1033"/>
      <c r="S202" s="1033"/>
      <c r="T202" s="1033"/>
      <c r="U202" s="1033"/>
      <c r="V202" s="1033"/>
      <c r="W202" s="1033"/>
      <c r="X202" s="1033"/>
      <c r="Y202" s="1033"/>
      <c r="Z202" s="1033"/>
    </row>
    <row r="203" spans="1:26" ht="19.5">
      <c r="A203" s="949"/>
      <c r="B203" s="950"/>
      <c r="C203" s="976" t="s">
        <v>16</v>
      </c>
      <c r="D203" s="951" t="s">
        <v>38</v>
      </c>
      <c r="E203" s="952"/>
      <c r="F203" s="952"/>
      <c r="G203" s="953"/>
      <c r="H203" s="954"/>
      <c r="I203" s="944"/>
      <c r="J203" s="944"/>
      <c r="K203" s="945"/>
      <c r="L203" s="945"/>
      <c r="M203" s="945"/>
      <c r="N203" s="945"/>
      <c r="O203" s="945"/>
      <c r="P203" s="945"/>
      <c r="Q203" s="818"/>
      <c r="R203" s="818"/>
      <c r="S203" s="818"/>
      <c r="T203" s="818"/>
      <c r="U203" s="818"/>
      <c r="V203" s="818"/>
      <c r="W203" s="818"/>
      <c r="X203" s="818"/>
      <c r="Y203" s="818"/>
      <c r="Z203" s="818"/>
    </row>
    <row r="204" spans="1:26" ht="18.75">
      <c r="A204" s="949"/>
      <c r="B204" s="950"/>
      <c r="C204" s="950"/>
      <c r="D204" s="955" t="s">
        <v>101</v>
      </c>
      <c r="E204" s="957"/>
      <c r="F204" s="957"/>
      <c r="G204" s="958"/>
      <c r="H204" s="954" t="s">
        <v>96</v>
      </c>
      <c r="I204" s="830">
        <f ca="1">IFERROR(__xludf.DUMMYFUNCTION("IMPORTRANGE(""https://docs.google.com/spreadsheets/d/1QqKyyYR6Q21VydFLVH3TRQUabQu_ym0Zz7PgGX0-kHA/edit?usp=sharing"",""แผน!AI27"")"),2)</f>
        <v>2</v>
      </c>
      <c r="J204" s="959">
        <v>2</v>
      </c>
      <c r="K204" s="945">
        <f ca="1">IF(I204&gt;0,J204*100/I204,0)</f>
        <v>100</v>
      </c>
      <c r="L204" s="831"/>
      <c r="M204" s="831"/>
      <c r="N204" s="831"/>
      <c r="O204" s="831"/>
      <c r="P204" s="831"/>
      <c r="Q204" s="818"/>
      <c r="R204" s="818"/>
      <c r="S204" s="818"/>
      <c r="T204" s="818"/>
      <c r="U204" s="818"/>
      <c r="V204" s="818"/>
      <c r="W204" s="818"/>
      <c r="X204" s="818"/>
      <c r="Y204" s="818"/>
      <c r="Z204" s="818"/>
    </row>
    <row r="205" spans="1:26" ht="18.75">
      <c r="A205" s="949"/>
      <c r="B205" s="950"/>
      <c r="C205" s="950"/>
      <c r="D205" s="956" t="s">
        <v>59</v>
      </c>
      <c r="E205" s="957"/>
      <c r="F205" s="957"/>
      <c r="G205" s="958"/>
      <c r="H205" s="954"/>
      <c r="I205" s="830"/>
      <c r="J205" s="830"/>
      <c r="K205" s="945"/>
      <c r="L205" s="831"/>
      <c r="M205" s="831"/>
      <c r="N205" s="831"/>
      <c r="O205" s="831"/>
      <c r="P205" s="831"/>
      <c r="Q205" s="818"/>
      <c r="R205" s="818"/>
      <c r="S205" s="818"/>
      <c r="T205" s="818"/>
      <c r="U205" s="818"/>
      <c r="V205" s="818"/>
      <c r="W205" s="818"/>
      <c r="X205" s="818"/>
      <c r="Y205" s="818"/>
      <c r="Z205" s="818"/>
    </row>
    <row r="206" spans="1:26" ht="18.75">
      <c r="A206" s="949"/>
      <c r="B206" s="950"/>
      <c r="C206" s="950"/>
      <c r="D206" s="957"/>
      <c r="E206" s="968" t="s">
        <v>102</v>
      </c>
      <c r="F206" s="1034"/>
      <c r="G206" s="1035"/>
      <c r="H206" s="1036" t="s">
        <v>96</v>
      </c>
      <c r="I206" s="830">
        <v>2</v>
      </c>
      <c r="J206" s="959">
        <v>0</v>
      </c>
      <c r="K206" s="945">
        <f t="shared" ref="K206:K208" si="100">IF(I206&gt;0,J206*100/I206,0)</f>
        <v>0</v>
      </c>
      <c r="L206" s="831"/>
      <c r="M206" s="831"/>
      <c r="N206" s="831"/>
      <c r="O206" s="831"/>
      <c r="P206" s="831"/>
      <c r="Q206" s="818"/>
      <c r="R206" s="818"/>
      <c r="S206" s="818"/>
      <c r="T206" s="818"/>
      <c r="U206" s="818"/>
      <c r="V206" s="818"/>
      <c r="W206" s="818"/>
      <c r="X206" s="818"/>
      <c r="Y206" s="818"/>
      <c r="Z206" s="818"/>
    </row>
    <row r="207" spans="1:26" ht="18.75">
      <c r="A207" s="949"/>
      <c r="B207" s="950"/>
      <c r="C207" s="950"/>
      <c r="D207" s="956"/>
      <c r="E207" s="956" t="s">
        <v>103</v>
      </c>
      <c r="F207" s="957"/>
      <c r="G207" s="957"/>
      <c r="H207" s="290" t="s">
        <v>104</v>
      </c>
      <c r="I207" s="830">
        <v>0</v>
      </c>
      <c r="J207" s="959">
        <v>0</v>
      </c>
      <c r="K207" s="945">
        <f t="shared" si="100"/>
        <v>0</v>
      </c>
      <c r="L207" s="831"/>
      <c r="M207" s="831"/>
      <c r="N207" s="831"/>
      <c r="O207" s="831"/>
      <c r="P207" s="831"/>
      <c r="Q207" s="818"/>
      <c r="R207" s="818"/>
      <c r="S207" s="818"/>
      <c r="T207" s="818"/>
      <c r="U207" s="818"/>
      <c r="V207" s="818"/>
      <c r="W207" s="818"/>
      <c r="X207" s="818"/>
      <c r="Y207" s="818"/>
      <c r="Z207" s="818"/>
    </row>
    <row r="208" spans="1:26" ht="19.5" hidden="1">
      <c r="A208" s="1011"/>
      <c r="B208" s="1018"/>
      <c r="C208" s="1023" t="s">
        <v>105</v>
      </c>
      <c r="D208" s="1012"/>
      <c r="E208" s="1012"/>
      <c r="F208" s="1037"/>
      <c r="G208" s="1014"/>
      <c r="H208" s="278" t="s">
        <v>96</v>
      </c>
      <c r="I208" s="1024">
        <f t="shared" ref="I208:J208" ca="1" si="101">I215</f>
        <v>0</v>
      </c>
      <c r="J208" s="1024">
        <f t="shared" si="101"/>
        <v>0</v>
      </c>
      <c r="K208" s="1025">
        <f t="shared" ca="1" si="100"/>
        <v>0</v>
      </c>
      <c r="L208" s="1016"/>
      <c r="M208" s="1016"/>
      <c r="N208" s="1016"/>
      <c r="O208" s="1016"/>
      <c r="P208" s="1016"/>
    </row>
    <row r="209" spans="1:26" ht="19.5" hidden="1">
      <c r="A209" s="932"/>
      <c r="B209" s="933"/>
      <c r="C209" s="934" t="s">
        <v>16</v>
      </c>
      <c r="D209" s="1026" t="s">
        <v>17</v>
      </c>
      <c r="E209" s="933"/>
      <c r="F209" s="933"/>
      <c r="G209" s="936"/>
      <c r="H209" s="275" t="s">
        <v>12</v>
      </c>
      <c r="I209" s="1028"/>
      <c r="J209" s="1028"/>
      <c r="K209" s="1029"/>
      <c r="L209" s="939">
        <f ca="1">L210+L211+L212</f>
        <v>0</v>
      </c>
      <c r="M209" s="939"/>
      <c r="N209" s="939">
        <f>N210+N211+N212</f>
        <v>0</v>
      </c>
      <c r="O209" s="939">
        <f ca="1">IF(L209&gt;0,N209*100/L209,0)</f>
        <v>0</v>
      </c>
      <c r="P209" s="939">
        <f>IF(M209&gt;0,N209*100/M209,0)</f>
        <v>0</v>
      </c>
      <c r="Q209" s="818"/>
      <c r="R209" s="818"/>
      <c r="S209" s="818"/>
      <c r="T209" s="818"/>
      <c r="U209" s="818"/>
      <c r="V209" s="818"/>
      <c r="W209" s="818"/>
      <c r="X209" s="818"/>
      <c r="Y209" s="818"/>
      <c r="Z209" s="818"/>
    </row>
    <row r="210" spans="1:26" ht="18.75" hidden="1">
      <c r="A210" s="942"/>
      <c r="B210" s="1030"/>
      <c r="C210" s="827"/>
      <c r="D210" s="943" t="s">
        <v>97</v>
      </c>
      <c r="E210" s="827"/>
      <c r="F210" s="827"/>
      <c r="G210" s="829"/>
      <c r="H210" s="778" t="s">
        <v>12</v>
      </c>
      <c r="I210" s="944"/>
      <c r="J210" s="944"/>
      <c r="K210" s="945"/>
      <c r="L210" s="831">
        <f ca="1">IFERROR(__xludf.DUMMYFUNCTION("IMPORTRANGE(""https://docs.google.com/spreadsheets/d/1QqKyyYR6Q21VydFLVH3TRQUabQu_ym0Zz7PgGX0-kHA/edit?usp=sharing"",""แผน!AK27"")"),0)</f>
        <v>0</v>
      </c>
      <c r="M210" s="831"/>
      <c r="N210" s="1031">
        <v>0</v>
      </c>
      <c r="O210" s="831"/>
      <c r="P210" s="831"/>
      <c r="Q210" s="818"/>
      <c r="R210" s="818"/>
      <c r="S210" s="818"/>
      <c r="T210" s="818"/>
      <c r="U210" s="818"/>
      <c r="V210" s="818"/>
      <c r="W210" s="818"/>
      <c r="X210" s="818"/>
      <c r="Y210" s="818"/>
      <c r="Z210" s="818"/>
    </row>
    <row r="211" spans="1:26" ht="19.5" hidden="1">
      <c r="A211" s="1032"/>
      <c r="B211" s="1030"/>
      <c r="C211" s="1038"/>
      <c r="D211" s="943" t="s">
        <v>99</v>
      </c>
      <c r="E211" s="827"/>
      <c r="F211" s="827"/>
      <c r="G211" s="829"/>
      <c r="H211" s="778" t="s">
        <v>12</v>
      </c>
      <c r="I211" s="830"/>
      <c r="J211" s="830"/>
      <c r="K211" s="831"/>
      <c r="L211" s="831">
        <f ca="1">IFERROR(__xludf.DUMMYFUNCTION("IMPORTRANGE(""https://docs.google.com/spreadsheets/d/1QqKyyYR6Q21VydFLVH3TRQUabQu_ym0Zz7PgGX0-kHA/edit?usp=sharing"",""แผน!AL27"")"),0)</f>
        <v>0</v>
      </c>
      <c r="M211" s="831"/>
      <c r="N211" s="1031">
        <v>0</v>
      </c>
      <c r="O211" s="831"/>
      <c r="P211" s="831"/>
      <c r="Q211" s="1033"/>
      <c r="R211" s="1033"/>
      <c r="S211" s="1033"/>
      <c r="T211" s="1033"/>
      <c r="U211" s="1033"/>
      <c r="V211" s="1033"/>
      <c r="W211" s="1033"/>
      <c r="X211" s="1033"/>
      <c r="Y211" s="1033"/>
      <c r="Z211" s="1033"/>
    </row>
    <row r="212" spans="1:26" ht="19.5" hidden="1">
      <c r="A212" s="1032"/>
      <c r="B212" s="1030"/>
      <c r="C212" s="1038"/>
      <c r="D212" s="943" t="s">
        <v>98</v>
      </c>
      <c r="E212" s="827"/>
      <c r="F212" s="827"/>
      <c r="G212" s="829"/>
      <c r="H212" s="778" t="s">
        <v>12</v>
      </c>
      <c r="I212" s="830"/>
      <c r="J212" s="830"/>
      <c r="K212" s="831"/>
      <c r="L212" s="831">
        <f ca="1">IFERROR(__xludf.DUMMYFUNCTION("IMPORTRANGE(""https://docs.google.com/spreadsheets/d/1QqKyyYR6Q21VydFLVH3TRQUabQu_ym0Zz7PgGX0-kHA/edit?usp=sharing"",""แผน!AM27"")"),0)</f>
        <v>0</v>
      </c>
      <c r="M212" s="831"/>
      <c r="N212" s="1031">
        <v>0</v>
      </c>
      <c r="O212" s="831"/>
      <c r="P212" s="831"/>
      <c r="Q212" s="1033"/>
      <c r="R212" s="1033"/>
      <c r="S212" s="1033"/>
      <c r="T212" s="1033"/>
      <c r="U212" s="1033"/>
      <c r="V212" s="1033"/>
      <c r="W212" s="1033"/>
      <c r="X212" s="1033"/>
      <c r="Y212" s="1033"/>
      <c r="Z212" s="1033"/>
    </row>
    <row r="213" spans="1:26" ht="19.5" hidden="1">
      <c r="A213" s="949"/>
      <c r="B213" s="950"/>
      <c r="C213" s="1038" t="s">
        <v>16</v>
      </c>
      <c r="D213" s="951" t="s">
        <v>38</v>
      </c>
      <c r="E213" s="952"/>
      <c r="F213" s="952"/>
      <c r="G213" s="953"/>
      <c r="H213" s="954"/>
      <c r="I213" s="944"/>
      <c r="J213" s="830"/>
      <c r="K213" s="831"/>
      <c r="L213" s="831"/>
      <c r="M213" s="831"/>
      <c r="N213" s="831"/>
      <c r="O213" s="945"/>
      <c r="P213" s="945"/>
      <c r="Q213" s="818"/>
      <c r="R213" s="818"/>
      <c r="S213" s="818"/>
      <c r="T213" s="818"/>
      <c r="U213" s="818"/>
      <c r="V213" s="818"/>
      <c r="W213" s="818"/>
      <c r="X213" s="818"/>
      <c r="Y213" s="818"/>
      <c r="Z213" s="818"/>
    </row>
    <row r="214" spans="1:26" ht="18.75" hidden="1">
      <c r="A214" s="949"/>
      <c r="B214" s="950"/>
      <c r="C214" s="950"/>
      <c r="D214" s="955" t="s">
        <v>106</v>
      </c>
      <c r="E214" s="957"/>
      <c r="F214" s="957"/>
      <c r="G214" s="958"/>
      <c r="H214" s="954" t="s">
        <v>96</v>
      </c>
      <c r="I214" s="830">
        <f ca="1">IFERROR(__xludf.DUMMYFUNCTION("IMPORTRANGE(""https://docs.google.com/spreadsheets/d/1QqKyyYR6Q21VydFLVH3TRQUabQu_ym0Zz7PgGX0-kHA/edit?usp=sharing"",""แผน!AN27"")"),0)</f>
        <v>0</v>
      </c>
      <c r="J214" s="959">
        <v>0</v>
      </c>
      <c r="K214" s="831">
        <f t="shared" ref="K214:K216" ca="1" si="102">IF(I214&gt;0,J214*100/I214,0)</f>
        <v>0</v>
      </c>
      <c r="L214" s="831"/>
      <c r="M214" s="831"/>
      <c r="N214" s="831"/>
      <c r="O214" s="831"/>
      <c r="P214" s="831"/>
      <c r="Q214" s="818"/>
      <c r="R214" s="818"/>
      <c r="S214" s="818"/>
      <c r="T214" s="818"/>
      <c r="U214" s="818"/>
      <c r="V214" s="818"/>
      <c r="W214" s="818"/>
      <c r="X214" s="818"/>
      <c r="Y214" s="818"/>
      <c r="Z214" s="818"/>
    </row>
    <row r="215" spans="1:26" ht="18.75" hidden="1">
      <c r="A215" s="949"/>
      <c r="B215" s="950"/>
      <c r="C215" s="950"/>
      <c r="D215" s="955" t="s">
        <v>107</v>
      </c>
      <c r="E215" s="957"/>
      <c r="F215" s="957"/>
      <c r="G215" s="958"/>
      <c r="H215" s="954" t="s">
        <v>96</v>
      </c>
      <c r="I215" s="830">
        <f ca="1">IFERROR(__xludf.DUMMYFUNCTION("IMPORTRANGE(""https://docs.google.com/spreadsheets/d/1QqKyyYR6Q21VydFLVH3TRQUabQu_ym0Zz7PgGX0-kHA/edit?usp=sharing"",""แผน!AN27"")"),0)</f>
        <v>0</v>
      </c>
      <c r="J215" s="959">
        <v>0</v>
      </c>
      <c r="K215" s="831">
        <f t="shared" ca="1" si="102"/>
        <v>0</v>
      </c>
      <c r="L215" s="831"/>
      <c r="M215" s="831"/>
      <c r="N215" s="831"/>
      <c r="O215" s="831"/>
      <c r="P215" s="831"/>
      <c r="Q215" s="818"/>
      <c r="R215" s="818"/>
      <c r="S215" s="818"/>
      <c r="T215" s="818"/>
      <c r="U215" s="818"/>
      <c r="V215" s="818"/>
      <c r="W215" s="818"/>
      <c r="X215" s="818"/>
      <c r="Y215" s="818"/>
      <c r="Z215" s="818"/>
    </row>
    <row r="216" spans="1:26" ht="19.5">
      <c r="A216" s="1011"/>
      <c r="B216" s="1018"/>
      <c r="C216" s="1023" t="s">
        <v>108</v>
      </c>
      <c r="D216" s="1012"/>
      <c r="E216" s="1012"/>
      <c r="F216" s="1037"/>
      <c r="G216" s="1014"/>
      <c r="H216" s="260" t="s">
        <v>109</v>
      </c>
      <c r="I216" s="1024">
        <f t="shared" ref="I216:J216" ca="1" si="103">I224</f>
        <v>100000</v>
      </c>
      <c r="J216" s="1024">
        <f t="shared" si="103"/>
        <v>0</v>
      </c>
      <c r="K216" s="1025">
        <f t="shared" ca="1" si="102"/>
        <v>0</v>
      </c>
      <c r="L216" s="1016"/>
      <c r="M216" s="1016"/>
      <c r="N216" s="1016"/>
      <c r="O216" s="1016"/>
      <c r="P216" s="1016"/>
    </row>
    <row r="217" spans="1:26" ht="19.5">
      <c r="A217" s="932"/>
      <c r="B217" s="933"/>
      <c r="C217" s="934" t="s">
        <v>16</v>
      </c>
      <c r="D217" s="1026" t="s">
        <v>17</v>
      </c>
      <c r="E217" s="933"/>
      <c r="F217" s="933"/>
      <c r="G217" s="936"/>
      <c r="H217" s="275" t="s">
        <v>12</v>
      </c>
      <c r="I217" s="1028"/>
      <c r="J217" s="1028"/>
      <c r="K217" s="1029"/>
      <c r="L217" s="939">
        <f ca="1">L218+L219+L220</f>
        <v>31000</v>
      </c>
      <c r="M217" s="939"/>
      <c r="N217" s="939">
        <f>N218+N219+N220</f>
        <v>0</v>
      </c>
      <c r="O217" s="939">
        <f ca="1">IF(L217&gt;0,N217*100/L217,0)</f>
        <v>0</v>
      </c>
      <c r="P217" s="939">
        <f>IF(M217&gt;0,N217*100/M217,0)</f>
        <v>0</v>
      </c>
      <c r="Q217" s="818"/>
      <c r="R217" s="818"/>
      <c r="S217" s="818"/>
      <c r="T217" s="818"/>
      <c r="U217" s="818"/>
      <c r="V217" s="818"/>
      <c r="W217" s="818"/>
      <c r="X217" s="818"/>
      <c r="Y217" s="818"/>
      <c r="Z217" s="818"/>
    </row>
    <row r="218" spans="1:26" ht="18.75">
      <c r="A218" s="942"/>
      <c r="B218" s="1030"/>
      <c r="C218" s="827"/>
      <c r="D218" s="943" t="s">
        <v>97</v>
      </c>
      <c r="E218" s="827"/>
      <c r="F218" s="827"/>
      <c r="G218" s="829"/>
      <c r="H218" s="778" t="s">
        <v>12</v>
      </c>
      <c r="I218" s="944"/>
      <c r="J218" s="944"/>
      <c r="K218" s="945"/>
      <c r="L218" s="831">
        <f ca="1">IFERROR(__xludf.DUMMYFUNCTION("IMPORTRANGE(""https://docs.google.com/spreadsheets/d/1QqKyyYR6Q21VydFLVH3TRQUabQu_ym0Zz7PgGX0-kHA/edit?usp=sharing"",""แผน!AP27"")"),6000)</f>
        <v>6000</v>
      </c>
      <c r="M218" s="831"/>
      <c r="N218" s="1031">
        <v>0</v>
      </c>
      <c r="O218" s="831"/>
      <c r="P218" s="831"/>
      <c r="Q218" s="818"/>
      <c r="R218" s="818"/>
      <c r="S218" s="818"/>
      <c r="T218" s="818"/>
      <c r="U218" s="818"/>
      <c r="V218" s="818"/>
      <c r="W218" s="818"/>
      <c r="X218" s="818"/>
      <c r="Y218" s="818"/>
      <c r="Z218" s="818"/>
    </row>
    <row r="219" spans="1:26" ht="19.5">
      <c r="A219" s="1032"/>
      <c r="B219" s="1030"/>
      <c r="C219" s="1038"/>
      <c r="D219" s="943" t="s">
        <v>110</v>
      </c>
      <c r="E219" s="827"/>
      <c r="F219" s="827"/>
      <c r="G219" s="829"/>
      <c r="H219" s="778" t="s">
        <v>12</v>
      </c>
      <c r="I219" s="830"/>
      <c r="J219" s="830"/>
      <c r="K219" s="831"/>
      <c r="L219" s="831">
        <f ca="1">IFERROR(__xludf.DUMMYFUNCTION("IMPORTRANGE(""https://docs.google.com/spreadsheets/d/1QqKyyYR6Q21VydFLVH3TRQUabQu_ym0Zz7PgGX0-kHA/edit?usp=sharing"",""แผน!AQ27"")"),25000)</f>
        <v>25000</v>
      </c>
      <c r="M219" s="831"/>
      <c r="N219" s="1031">
        <v>0</v>
      </c>
      <c r="O219" s="831"/>
      <c r="P219" s="831"/>
      <c r="Q219" s="1033"/>
      <c r="R219" s="1033"/>
      <c r="S219" s="1033"/>
      <c r="T219" s="1033"/>
      <c r="U219" s="1033"/>
      <c r="V219" s="1033"/>
      <c r="W219" s="1033"/>
      <c r="X219" s="1033"/>
      <c r="Y219" s="1033"/>
      <c r="Z219" s="1033"/>
    </row>
    <row r="220" spans="1:26" ht="19.5">
      <c r="A220" s="1032"/>
      <c r="B220" s="1030"/>
      <c r="C220" s="1038"/>
      <c r="D220" s="943" t="s">
        <v>98</v>
      </c>
      <c r="E220" s="827"/>
      <c r="F220" s="827"/>
      <c r="G220" s="829"/>
      <c r="H220" s="778" t="s">
        <v>12</v>
      </c>
      <c r="I220" s="830"/>
      <c r="J220" s="830"/>
      <c r="K220" s="831"/>
      <c r="L220" s="831">
        <f ca="1">IFERROR(__xludf.DUMMYFUNCTION("IMPORTRANGE(""https://docs.google.com/spreadsheets/d/1QqKyyYR6Q21VydFLVH3TRQUabQu_ym0Zz7PgGX0-kHA/edit?usp=sharing"",""แผน!AR27"")"),0)</f>
        <v>0</v>
      </c>
      <c r="M220" s="831"/>
      <c r="N220" s="1031">
        <v>0</v>
      </c>
      <c r="O220" s="831"/>
      <c r="P220" s="831"/>
      <c r="Q220" s="1033"/>
      <c r="R220" s="1033"/>
      <c r="S220" s="1033"/>
      <c r="T220" s="1033"/>
      <c r="U220" s="1033"/>
      <c r="V220" s="1033"/>
      <c r="W220" s="1033"/>
      <c r="X220" s="1033"/>
      <c r="Y220" s="1033"/>
      <c r="Z220" s="1033"/>
    </row>
    <row r="221" spans="1:26" ht="19.5">
      <c r="A221" s="949"/>
      <c r="B221" s="950"/>
      <c r="C221" s="1038" t="s">
        <v>16</v>
      </c>
      <c r="D221" s="951" t="s">
        <v>38</v>
      </c>
      <c r="E221" s="952"/>
      <c r="F221" s="952"/>
      <c r="G221" s="953"/>
      <c r="H221" s="954"/>
      <c r="I221" s="944"/>
      <c r="J221" s="944"/>
      <c r="K221" s="945"/>
      <c r="L221" s="945"/>
      <c r="M221" s="945"/>
      <c r="N221" s="945"/>
      <c r="O221" s="945"/>
      <c r="P221" s="945"/>
      <c r="Q221" s="818"/>
      <c r="R221" s="818"/>
      <c r="S221" s="818"/>
      <c r="T221" s="818"/>
      <c r="U221" s="818"/>
      <c r="V221" s="818"/>
      <c r="W221" s="818"/>
      <c r="X221" s="818"/>
      <c r="Y221" s="818"/>
      <c r="Z221" s="818"/>
    </row>
    <row r="222" spans="1:26" ht="18.75">
      <c r="A222" s="949"/>
      <c r="B222" s="950"/>
      <c r="C222" s="950"/>
      <c r="D222" s="943" t="s">
        <v>111</v>
      </c>
      <c r="E222" s="957"/>
      <c r="F222" s="957"/>
      <c r="G222" s="958"/>
      <c r="H222" s="954"/>
      <c r="I222" s="830"/>
      <c r="J222" s="830"/>
      <c r="K222" s="945"/>
      <c r="L222" s="945"/>
      <c r="M222" s="945"/>
      <c r="N222" s="945"/>
      <c r="O222" s="945"/>
      <c r="P222" s="945"/>
      <c r="Q222" s="818"/>
      <c r="R222" s="818"/>
      <c r="S222" s="818"/>
      <c r="T222" s="818"/>
      <c r="U222" s="818"/>
      <c r="V222" s="818"/>
      <c r="W222" s="818"/>
      <c r="X222" s="818"/>
      <c r="Y222" s="818"/>
      <c r="Z222" s="818"/>
    </row>
    <row r="223" spans="1:26" ht="18.75">
      <c r="A223" s="949"/>
      <c r="B223" s="950"/>
      <c r="C223" s="950"/>
      <c r="D223" s="950"/>
      <c r="E223" s="955" t="s">
        <v>112</v>
      </c>
      <c r="F223" s="957"/>
      <c r="G223" s="958"/>
      <c r="H223" s="730" t="s">
        <v>109</v>
      </c>
      <c r="I223" s="830">
        <f ca="1">IFERROR(__xludf.DUMMYFUNCTION("IMPORTRANGE(""https://docs.google.com/spreadsheets/d/1QqKyyYR6Q21VydFLVH3TRQUabQu_ym0Zz7PgGX0-kHA/edit?usp=sharing"",""แผน!AT27"")"),100000)</f>
        <v>100000</v>
      </c>
      <c r="J223" s="959">
        <v>0</v>
      </c>
      <c r="K223" s="945">
        <f t="shared" ref="K223:K226" ca="1" si="104">IF(I223&gt;0,J223*100/I223,0)</f>
        <v>0</v>
      </c>
      <c r="L223" s="945"/>
      <c r="M223" s="945"/>
      <c r="N223" s="945"/>
      <c r="O223" s="945"/>
      <c r="P223" s="945"/>
      <c r="Q223" s="818"/>
      <c r="R223" s="818"/>
      <c r="S223" s="818"/>
      <c r="T223" s="818"/>
      <c r="U223" s="818"/>
      <c r="V223" s="818"/>
      <c r="W223" s="818"/>
      <c r="X223" s="818"/>
      <c r="Y223" s="818"/>
      <c r="Z223" s="818"/>
    </row>
    <row r="224" spans="1:26" ht="18.75">
      <c r="A224" s="949"/>
      <c r="B224" s="950"/>
      <c r="C224" s="950"/>
      <c r="D224" s="950"/>
      <c r="E224" s="955" t="s">
        <v>113</v>
      </c>
      <c r="F224" s="957"/>
      <c r="G224" s="958"/>
      <c r="H224" s="730" t="s">
        <v>109</v>
      </c>
      <c r="I224" s="830">
        <f ca="1">IFERROR(__xludf.DUMMYFUNCTION("IMPORTRANGE(""https://docs.google.com/spreadsheets/d/1QqKyyYR6Q21VydFLVH3TRQUabQu_ym0Zz7PgGX0-kHA/edit?usp=sharing"",""แผน!AT27"")"),100000)</f>
        <v>100000</v>
      </c>
      <c r="J224" s="959">
        <v>0</v>
      </c>
      <c r="K224" s="945">
        <f t="shared" ca="1" si="104"/>
        <v>0</v>
      </c>
      <c r="L224" s="831"/>
      <c r="M224" s="831"/>
      <c r="N224" s="831"/>
      <c r="O224" s="831"/>
      <c r="P224" s="831"/>
      <c r="Q224" s="818"/>
      <c r="R224" s="818"/>
      <c r="S224" s="818"/>
      <c r="T224" s="818"/>
      <c r="U224" s="818"/>
      <c r="V224" s="818"/>
      <c r="W224" s="818"/>
      <c r="X224" s="818"/>
      <c r="Y224" s="818"/>
      <c r="Z224" s="818"/>
    </row>
    <row r="225" spans="1:26" ht="18.75">
      <c r="A225" s="949"/>
      <c r="B225" s="950"/>
      <c r="C225" s="950"/>
      <c r="D225" s="943" t="s">
        <v>114</v>
      </c>
      <c r="E225" s="957"/>
      <c r="F225" s="957"/>
      <c r="G225" s="958"/>
      <c r="H225" s="730" t="s">
        <v>35</v>
      </c>
      <c r="I225" s="830">
        <f ca="1">IFERROR(__xludf.DUMMYFUNCTION("IMPORTRANGE(""https://docs.google.com/spreadsheets/d/1QqKyyYR6Q21VydFLVH3TRQUabQu_ym0Zz7PgGX0-kHA/edit?usp=sharing"",""แผน!AS27"")"),0)</f>
        <v>0</v>
      </c>
      <c r="J225" s="959">
        <v>0</v>
      </c>
      <c r="K225" s="945">
        <f t="shared" ca="1" si="104"/>
        <v>0</v>
      </c>
      <c r="L225" s="831"/>
      <c r="M225" s="831"/>
      <c r="N225" s="831"/>
      <c r="O225" s="831"/>
      <c r="P225" s="831"/>
      <c r="Q225" s="818"/>
      <c r="R225" s="818"/>
      <c r="S225" s="818"/>
      <c r="T225" s="818"/>
      <c r="U225" s="818"/>
      <c r="V225" s="818"/>
      <c r="W225" s="818"/>
      <c r="X225" s="818"/>
      <c r="Y225" s="818"/>
      <c r="Z225" s="818"/>
    </row>
    <row r="226" spans="1:26" ht="19.5" hidden="1">
      <c r="A226" s="1011"/>
      <c r="B226" s="1018"/>
      <c r="C226" s="1039" t="s">
        <v>115</v>
      </c>
      <c r="D226" s="1012"/>
      <c r="E226" s="1012"/>
      <c r="F226" s="1012"/>
      <c r="G226" s="1014"/>
      <c r="H226" s="266" t="s">
        <v>35</v>
      </c>
      <c r="I226" s="1040">
        <f t="shared" ref="I226:J226" ca="1" si="105">I237+I248</f>
        <v>100</v>
      </c>
      <c r="J226" s="1040">
        <f t="shared" si="105"/>
        <v>50</v>
      </c>
      <c r="K226" s="1041">
        <f t="shared" ca="1" si="104"/>
        <v>50</v>
      </c>
      <c r="L226" s="1016"/>
      <c r="M226" s="1016"/>
      <c r="N226" s="1016"/>
      <c r="O226" s="1016"/>
      <c r="P226" s="1016"/>
    </row>
    <row r="227" spans="1:26" ht="19.5" hidden="1">
      <c r="A227" s="1042"/>
      <c r="B227" s="1043"/>
      <c r="C227" s="1044" t="s">
        <v>16</v>
      </c>
      <c r="D227" s="1045" t="s">
        <v>17</v>
      </c>
      <c r="E227" s="1043"/>
      <c r="F227" s="1043"/>
      <c r="G227" s="1046"/>
      <c r="H227" s="1047" t="s">
        <v>12</v>
      </c>
      <c r="I227" s="1048"/>
      <c r="J227" s="1048"/>
      <c r="K227" s="1049"/>
      <c r="L227" s="1050">
        <f t="shared" ref="L227:L231" ca="1" si="106">L238+L249</f>
        <v>602550</v>
      </c>
      <c r="M227" s="1050"/>
      <c r="N227" s="1050">
        <f t="shared" ref="N227:N231" si="107">N238+N249</f>
        <v>236867.27000000002</v>
      </c>
      <c r="O227" s="1051"/>
      <c r="P227" s="1051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</row>
    <row r="228" spans="1:26" ht="18.75" hidden="1">
      <c r="A228" s="940"/>
      <c r="B228" s="1052"/>
      <c r="C228" s="833"/>
      <c r="D228" s="834" t="s">
        <v>97</v>
      </c>
      <c r="E228" s="833"/>
      <c r="F228" s="833"/>
      <c r="G228" s="835"/>
      <c r="H228" s="165" t="s">
        <v>12</v>
      </c>
      <c r="I228" s="947"/>
      <c r="J228" s="947"/>
      <c r="K228" s="948"/>
      <c r="L228" s="837">
        <f t="shared" ca="1" si="106"/>
        <v>416700</v>
      </c>
      <c r="M228" s="837"/>
      <c r="N228" s="837">
        <f t="shared" si="107"/>
        <v>143090</v>
      </c>
      <c r="O228" s="837"/>
      <c r="P228" s="837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</row>
    <row r="229" spans="1:26" ht="19.5" hidden="1">
      <c r="A229" s="1053"/>
      <c r="B229" s="1052"/>
      <c r="C229" s="1054"/>
      <c r="D229" s="834" t="s">
        <v>98</v>
      </c>
      <c r="E229" s="833"/>
      <c r="F229" s="833"/>
      <c r="G229" s="835"/>
      <c r="H229" s="165" t="s">
        <v>12</v>
      </c>
      <c r="I229" s="836"/>
      <c r="J229" s="836"/>
      <c r="K229" s="837"/>
      <c r="L229" s="837">
        <f t="shared" ca="1" si="106"/>
        <v>135850</v>
      </c>
      <c r="M229" s="837"/>
      <c r="N229" s="837">
        <f t="shared" si="107"/>
        <v>93777.27</v>
      </c>
      <c r="O229" s="837"/>
      <c r="P229" s="837"/>
      <c r="Q229" s="1055"/>
      <c r="R229" s="1055"/>
      <c r="S229" s="1055"/>
      <c r="T229" s="1055"/>
      <c r="U229" s="1055"/>
      <c r="V229" s="1055"/>
      <c r="W229" s="1055"/>
      <c r="X229" s="1055"/>
      <c r="Y229" s="1055"/>
      <c r="Z229" s="1055"/>
    </row>
    <row r="230" spans="1:26" ht="19.5" hidden="1">
      <c r="A230" s="1053"/>
      <c r="B230" s="1052"/>
      <c r="C230" s="1054"/>
      <c r="D230" s="834" t="s">
        <v>116</v>
      </c>
      <c r="E230" s="833"/>
      <c r="F230" s="833"/>
      <c r="G230" s="835"/>
      <c r="H230" s="165" t="s">
        <v>12</v>
      </c>
      <c r="I230" s="836"/>
      <c r="J230" s="836"/>
      <c r="K230" s="837"/>
      <c r="L230" s="837">
        <f t="shared" ca="1" si="106"/>
        <v>0</v>
      </c>
      <c r="M230" s="837"/>
      <c r="N230" s="837">
        <f t="shared" si="107"/>
        <v>0</v>
      </c>
      <c r="O230" s="837"/>
      <c r="P230" s="837"/>
      <c r="Q230" s="1055"/>
      <c r="R230" s="1055"/>
      <c r="S230" s="1055"/>
      <c r="T230" s="1055"/>
      <c r="U230" s="1055"/>
      <c r="V230" s="1055"/>
      <c r="W230" s="1055"/>
      <c r="X230" s="1055"/>
      <c r="Y230" s="1055"/>
      <c r="Z230" s="1055"/>
    </row>
    <row r="231" spans="1:26" ht="19.5" hidden="1">
      <c r="A231" s="1053"/>
      <c r="B231" s="1052"/>
      <c r="C231" s="1054"/>
      <c r="D231" s="834" t="s">
        <v>100</v>
      </c>
      <c r="E231" s="833"/>
      <c r="F231" s="833"/>
      <c r="G231" s="835"/>
      <c r="H231" s="165" t="s">
        <v>12</v>
      </c>
      <c r="I231" s="836"/>
      <c r="J231" s="836"/>
      <c r="K231" s="837"/>
      <c r="L231" s="837">
        <f t="shared" ca="1" si="106"/>
        <v>50000</v>
      </c>
      <c r="M231" s="837"/>
      <c r="N231" s="837">
        <f t="shared" si="107"/>
        <v>0</v>
      </c>
      <c r="O231" s="837"/>
      <c r="P231" s="837"/>
      <c r="Q231" s="1055"/>
      <c r="R231" s="1055"/>
      <c r="S231" s="1055"/>
      <c r="T231" s="1055"/>
      <c r="U231" s="1055"/>
      <c r="V231" s="1055"/>
      <c r="W231" s="1055"/>
      <c r="X231" s="1055"/>
      <c r="Y231" s="1055"/>
      <c r="Z231" s="1055"/>
    </row>
    <row r="232" spans="1:26" ht="19.5" hidden="1">
      <c r="A232" s="1056"/>
      <c r="B232" s="1057"/>
      <c r="C232" s="1054" t="s">
        <v>16</v>
      </c>
      <c r="D232" s="1020" t="s">
        <v>38</v>
      </c>
      <c r="E232" s="1058"/>
      <c r="F232" s="1058"/>
      <c r="G232" s="1059"/>
      <c r="H232" s="1060"/>
      <c r="I232" s="947"/>
      <c r="J232" s="836"/>
      <c r="K232" s="837"/>
      <c r="L232" s="837"/>
      <c r="M232" s="837"/>
      <c r="N232" s="837"/>
      <c r="O232" s="948"/>
      <c r="P232" s="948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</row>
    <row r="233" spans="1:26" ht="18.75" hidden="1">
      <c r="A233" s="1056"/>
      <c r="B233" s="1057"/>
      <c r="C233" s="1057"/>
      <c r="D233" s="1022" t="s">
        <v>117</v>
      </c>
      <c r="E233" s="1061"/>
      <c r="F233" s="1061"/>
      <c r="G233" s="1062"/>
      <c r="H233" s="583" t="s">
        <v>35</v>
      </c>
      <c r="I233" s="836">
        <f t="shared" ref="I233:J233" ca="1" si="108">I244+I255</f>
        <v>100</v>
      </c>
      <c r="J233" s="836">
        <f t="shared" si="108"/>
        <v>50</v>
      </c>
      <c r="K233" s="837">
        <f ca="1">IF(I233&gt;0,J233*100/I233,0)</f>
        <v>50</v>
      </c>
      <c r="L233" s="837"/>
      <c r="M233" s="837"/>
      <c r="N233" s="837"/>
      <c r="O233" s="837"/>
      <c r="P233" s="837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</row>
    <row r="234" spans="1:26" ht="18.75" hidden="1">
      <c r="A234" s="1056"/>
      <c r="B234" s="1057"/>
      <c r="C234" s="1057"/>
      <c r="D234" s="1063" t="s">
        <v>43</v>
      </c>
      <c r="E234" s="1061"/>
      <c r="F234" s="1061"/>
      <c r="G234" s="1062"/>
      <c r="H234" s="583"/>
      <c r="I234" s="836"/>
      <c r="J234" s="836"/>
      <c r="K234" s="837"/>
      <c r="L234" s="837"/>
      <c r="M234" s="837"/>
      <c r="N234" s="837"/>
      <c r="O234" s="948"/>
      <c r="P234" s="948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</row>
    <row r="235" spans="1:26" ht="18.75" hidden="1">
      <c r="A235" s="1056"/>
      <c r="B235" s="1057"/>
      <c r="C235" s="1057"/>
      <c r="D235" s="1057"/>
      <c r="E235" s="1021" t="s">
        <v>118</v>
      </c>
      <c r="F235" s="1061"/>
      <c r="G235" s="1062"/>
      <c r="H235" s="583" t="s">
        <v>35</v>
      </c>
      <c r="I235" s="836">
        <f t="shared" ref="I235:J236" si="109">I246+I257</f>
        <v>0</v>
      </c>
      <c r="J235" s="836">
        <f t="shared" si="109"/>
        <v>0</v>
      </c>
      <c r="K235" s="837">
        <f t="shared" ref="K235:K237" si="110">IF(I235&gt;0,J235*100/I235,0)</f>
        <v>0</v>
      </c>
      <c r="L235" s="837"/>
      <c r="M235" s="837"/>
      <c r="N235" s="837"/>
      <c r="O235" s="837"/>
      <c r="P235" s="837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</row>
    <row r="236" spans="1:26" ht="18.75" hidden="1">
      <c r="A236" s="1056"/>
      <c r="B236" s="1057"/>
      <c r="C236" s="1057"/>
      <c r="D236" s="1057"/>
      <c r="E236" s="1021" t="s">
        <v>119</v>
      </c>
      <c r="F236" s="1061"/>
      <c r="G236" s="1062"/>
      <c r="H236" s="583" t="s">
        <v>66</v>
      </c>
      <c r="I236" s="836">
        <f t="shared" si="109"/>
        <v>3</v>
      </c>
      <c r="J236" s="836">
        <f t="shared" si="109"/>
        <v>0</v>
      </c>
      <c r="K236" s="837">
        <f t="shared" si="110"/>
        <v>0</v>
      </c>
      <c r="L236" s="837"/>
      <c r="M236" s="837"/>
      <c r="N236" s="837"/>
      <c r="O236" s="837"/>
      <c r="P236" s="837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</row>
    <row r="237" spans="1:26" ht="19.5">
      <c r="A237" s="1011"/>
      <c r="B237" s="1018"/>
      <c r="C237" s="1023" t="s">
        <v>352</v>
      </c>
      <c r="D237" s="1012"/>
      <c r="E237" s="1012"/>
      <c r="F237" s="1012"/>
      <c r="G237" s="1014"/>
      <c r="H237" s="260" t="s">
        <v>35</v>
      </c>
      <c r="I237" s="1024">
        <f t="shared" ref="I237:J237" ca="1" si="111">I244</f>
        <v>100</v>
      </c>
      <c r="J237" s="1024">
        <f t="shared" si="111"/>
        <v>50</v>
      </c>
      <c r="K237" s="1025">
        <f t="shared" ca="1" si="110"/>
        <v>50</v>
      </c>
      <c r="L237" s="1016"/>
      <c r="M237" s="1016"/>
      <c r="N237" s="1016"/>
      <c r="O237" s="1016"/>
      <c r="P237" s="1016"/>
    </row>
    <row r="238" spans="1:26" ht="19.5">
      <c r="A238" s="932"/>
      <c r="B238" s="933"/>
      <c r="C238" s="934" t="s">
        <v>16</v>
      </c>
      <c r="D238" s="935" t="s">
        <v>17</v>
      </c>
      <c r="E238" s="933"/>
      <c r="F238" s="933"/>
      <c r="G238" s="936"/>
      <c r="H238" s="275" t="s">
        <v>12</v>
      </c>
      <c r="I238" s="1028"/>
      <c r="J238" s="1028"/>
      <c r="K238" s="1029"/>
      <c r="L238" s="939">
        <f ca="1">L239+L240+L241+L242</f>
        <v>602550</v>
      </c>
      <c r="M238" s="939"/>
      <c r="N238" s="939">
        <f>N239+N240+N241+N242</f>
        <v>236867.27000000002</v>
      </c>
      <c r="O238" s="939">
        <f ca="1">IF(L238&gt;0,N238*100/L238,0)</f>
        <v>39.310807401875365</v>
      </c>
      <c r="P238" s="939">
        <f>IF(M238&gt;0,N238*100/M238,0)</f>
        <v>0</v>
      </c>
      <c r="Q238" s="818"/>
      <c r="R238" s="818"/>
      <c r="S238" s="818"/>
      <c r="T238" s="818"/>
      <c r="U238" s="818"/>
      <c r="V238" s="818"/>
      <c r="W238" s="818"/>
      <c r="X238" s="818"/>
      <c r="Y238" s="818"/>
      <c r="Z238" s="818"/>
    </row>
    <row r="239" spans="1:26" ht="18.75">
      <c r="A239" s="1064"/>
      <c r="B239" s="1065"/>
      <c r="C239" s="1066"/>
      <c r="D239" s="1067" t="s">
        <v>97</v>
      </c>
      <c r="E239" s="1066"/>
      <c r="F239" s="1066"/>
      <c r="G239" s="1068"/>
      <c r="H239" s="319" t="s">
        <v>12</v>
      </c>
      <c r="I239" s="1069"/>
      <c r="J239" s="1069"/>
      <c r="K239" s="1070"/>
      <c r="L239" s="1071">
        <f ca="1">IFERROR(__xludf.DUMMYFUNCTION("IMPORTRANGE(""https://docs.google.com/spreadsheets/d/1QqKyyYR6Q21VydFLVH3TRQUabQu_ym0Zz7PgGX0-kHA/edit?usp=sharing"",""แผน!AV27"")"),416700)</f>
        <v>416700</v>
      </c>
      <c r="M239" s="1071"/>
      <c r="N239" s="1072">
        <v>143090</v>
      </c>
      <c r="O239" s="1071"/>
      <c r="P239" s="1071"/>
      <c r="Q239" s="1073"/>
      <c r="R239" s="1073"/>
      <c r="S239" s="1073"/>
      <c r="T239" s="1073"/>
      <c r="U239" s="1073"/>
      <c r="V239" s="1073"/>
      <c r="W239" s="1073"/>
      <c r="X239" s="1073"/>
      <c r="Y239" s="1073"/>
      <c r="Z239" s="1073"/>
    </row>
    <row r="240" spans="1:26" ht="19.5">
      <c r="A240" s="1074"/>
      <c r="B240" s="1065"/>
      <c r="C240" s="1075"/>
      <c r="D240" s="1067" t="s">
        <v>98</v>
      </c>
      <c r="E240" s="1066"/>
      <c r="F240" s="1066"/>
      <c r="G240" s="1068"/>
      <c r="H240" s="319" t="s">
        <v>12</v>
      </c>
      <c r="I240" s="1076"/>
      <c r="J240" s="1076"/>
      <c r="K240" s="1071"/>
      <c r="L240" s="1071">
        <f ca="1">IFERROR(__xludf.DUMMYFUNCTION("IMPORTRANGE(""https://docs.google.com/spreadsheets/d/1QqKyyYR6Q21VydFLVH3TRQUabQu_ym0Zz7PgGX0-kHA/edit?usp=sharing"",""แผน!AW27"")"),135850)</f>
        <v>135850</v>
      </c>
      <c r="M240" s="1071"/>
      <c r="N240" s="1072">
        <v>93777.27</v>
      </c>
      <c r="O240" s="1071"/>
      <c r="P240" s="1071"/>
      <c r="Q240" s="1077"/>
      <c r="R240" s="1077"/>
      <c r="S240" s="1077"/>
      <c r="T240" s="1077"/>
      <c r="U240" s="1077"/>
      <c r="V240" s="1077"/>
      <c r="W240" s="1077"/>
      <c r="X240" s="1077"/>
      <c r="Y240" s="1077"/>
      <c r="Z240" s="1077"/>
    </row>
    <row r="241" spans="1:26" ht="19.5">
      <c r="A241" s="1074"/>
      <c r="B241" s="1065"/>
      <c r="C241" s="1075"/>
      <c r="D241" s="1067" t="s">
        <v>116</v>
      </c>
      <c r="E241" s="1066"/>
      <c r="F241" s="1066"/>
      <c r="G241" s="1068"/>
      <c r="H241" s="319" t="s">
        <v>12</v>
      </c>
      <c r="I241" s="1076"/>
      <c r="J241" s="1076"/>
      <c r="K241" s="1071"/>
      <c r="L241" s="1071">
        <f ca="1">IFERROR(__xludf.DUMMYFUNCTION("IMPORTRANGE(""https://docs.google.com/spreadsheets/d/1QqKyyYR6Q21VydFLVH3TRQUabQu_ym0Zz7PgGX0-kHA/edit?usp=sharing"",""แผน!AX27"")"),0)</f>
        <v>0</v>
      </c>
      <c r="M241" s="1071"/>
      <c r="N241" s="1072">
        <v>0</v>
      </c>
      <c r="O241" s="1071"/>
      <c r="P241" s="1071"/>
      <c r="Q241" s="1077"/>
      <c r="R241" s="1077"/>
      <c r="S241" s="1077"/>
      <c r="T241" s="1077"/>
      <c r="U241" s="1077"/>
      <c r="V241" s="1077"/>
      <c r="W241" s="1077"/>
      <c r="X241" s="1077"/>
      <c r="Y241" s="1077"/>
      <c r="Z241" s="1077"/>
    </row>
    <row r="242" spans="1:26" ht="19.5">
      <c r="A242" s="1074"/>
      <c r="B242" s="1065"/>
      <c r="C242" s="1075"/>
      <c r="D242" s="1067" t="s">
        <v>100</v>
      </c>
      <c r="E242" s="1066"/>
      <c r="F242" s="1066"/>
      <c r="G242" s="1068"/>
      <c r="H242" s="319" t="s">
        <v>12</v>
      </c>
      <c r="I242" s="1076"/>
      <c r="J242" s="1076"/>
      <c r="K242" s="1071"/>
      <c r="L242" s="1071">
        <f ca="1">IFERROR(__xludf.DUMMYFUNCTION("IMPORTRANGE(""https://docs.google.com/spreadsheets/d/1QqKyyYR6Q21VydFLVH3TRQUabQu_ym0Zz7PgGX0-kHA/edit?usp=sharing"",""แผน!AY27"")"),50000)</f>
        <v>50000</v>
      </c>
      <c r="M242" s="1071"/>
      <c r="N242" s="1072">
        <v>0</v>
      </c>
      <c r="O242" s="1071"/>
      <c r="P242" s="1071"/>
      <c r="Q242" s="1077"/>
      <c r="R242" s="1077"/>
      <c r="S242" s="1077"/>
      <c r="T242" s="1077"/>
      <c r="U242" s="1077"/>
      <c r="V242" s="1077"/>
      <c r="W242" s="1077"/>
      <c r="X242" s="1077"/>
      <c r="Y242" s="1077"/>
      <c r="Z242" s="1077"/>
    </row>
    <row r="243" spans="1:26" ht="19.5">
      <c r="A243" s="949"/>
      <c r="B243" s="950"/>
      <c r="C243" s="1038" t="s">
        <v>16</v>
      </c>
      <c r="D243" s="951" t="s">
        <v>38</v>
      </c>
      <c r="E243" s="952"/>
      <c r="F243" s="952"/>
      <c r="G243" s="953"/>
      <c r="H243" s="954"/>
      <c r="I243" s="944"/>
      <c r="J243" s="830"/>
      <c r="K243" s="831"/>
      <c r="L243" s="831"/>
      <c r="M243" s="831"/>
      <c r="N243" s="831"/>
      <c r="O243" s="945"/>
      <c r="P243" s="945"/>
      <c r="Q243" s="818"/>
      <c r="R243" s="818"/>
      <c r="S243" s="818"/>
      <c r="T243" s="818"/>
      <c r="U243" s="818"/>
      <c r="V243" s="818"/>
      <c r="W243" s="818"/>
      <c r="X243" s="818"/>
      <c r="Y243" s="818"/>
      <c r="Z243" s="818"/>
    </row>
    <row r="244" spans="1:26" ht="18.75">
      <c r="A244" s="949"/>
      <c r="B244" s="950"/>
      <c r="C244" s="950"/>
      <c r="D244" s="956" t="s">
        <v>117</v>
      </c>
      <c r="E244" s="957"/>
      <c r="F244" s="957"/>
      <c r="G244" s="958"/>
      <c r="H244" s="730" t="s">
        <v>35</v>
      </c>
      <c r="I244" s="830">
        <f ca="1">IFERROR(__xludf.DUMMYFUNCTION("IMPORTRANGE(""https://docs.google.com/spreadsheets/d/1QqKyyYR6Q21VydFLVH3TRQUabQu_ym0Zz7PgGX0-kHA/edit?usp=sharing"",""แผน!BE27"")"),100)</f>
        <v>100</v>
      </c>
      <c r="J244" s="959">
        <v>50</v>
      </c>
      <c r="K244" s="831">
        <f ca="1">IF(I244&gt;0,J244*100/I244,0)</f>
        <v>50</v>
      </c>
      <c r="L244" s="831"/>
      <c r="M244" s="831"/>
      <c r="N244" s="831"/>
      <c r="O244" s="831"/>
      <c r="P244" s="831"/>
      <c r="Q244" s="818"/>
      <c r="R244" s="818"/>
      <c r="S244" s="818"/>
      <c r="T244" s="818"/>
      <c r="U244" s="818"/>
      <c r="V244" s="818"/>
      <c r="W244" s="818"/>
      <c r="X244" s="818"/>
      <c r="Y244" s="818"/>
      <c r="Z244" s="818"/>
    </row>
    <row r="245" spans="1:26" ht="18.75">
      <c r="A245" s="949"/>
      <c r="B245" s="950"/>
      <c r="C245" s="950"/>
      <c r="D245" s="1078" t="s">
        <v>43</v>
      </c>
      <c r="E245" s="957"/>
      <c r="F245" s="957"/>
      <c r="G245" s="958"/>
      <c r="H245" s="730"/>
      <c r="I245" s="830"/>
      <c r="J245" s="830"/>
      <c r="K245" s="831"/>
      <c r="L245" s="831"/>
      <c r="M245" s="831"/>
      <c r="N245" s="831"/>
      <c r="O245" s="945"/>
      <c r="P245" s="945"/>
      <c r="Q245" s="818"/>
      <c r="R245" s="818"/>
      <c r="S245" s="818"/>
      <c r="T245" s="818"/>
      <c r="U245" s="818"/>
      <c r="V245" s="818"/>
      <c r="W245" s="818"/>
      <c r="X245" s="818"/>
      <c r="Y245" s="818"/>
      <c r="Z245" s="818"/>
    </row>
    <row r="246" spans="1:26" ht="18.75">
      <c r="A246" s="949"/>
      <c r="B246" s="950"/>
      <c r="C246" s="950"/>
      <c r="D246" s="950"/>
      <c r="E246" s="955" t="s">
        <v>118</v>
      </c>
      <c r="F246" s="957"/>
      <c r="G246" s="958"/>
      <c r="H246" s="730" t="s">
        <v>35</v>
      </c>
      <c r="I246" s="830">
        <v>0</v>
      </c>
      <c r="J246" s="959">
        <v>0</v>
      </c>
      <c r="K246" s="831">
        <f t="shared" ref="K246:K248" si="112">IF(I246&gt;0,J246*100/I246,0)</f>
        <v>0</v>
      </c>
      <c r="L246" s="831"/>
      <c r="M246" s="831"/>
      <c r="N246" s="831"/>
      <c r="O246" s="831"/>
      <c r="P246" s="831"/>
      <c r="Q246" s="818"/>
      <c r="R246" s="818"/>
      <c r="S246" s="818"/>
      <c r="T246" s="818"/>
      <c r="U246" s="818"/>
      <c r="V246" s="818"/>
      <c r="W246" s="818"/>
      <c r="X246" s="818"/>
      <c r="Y246" s="818"/>
      <c r="Z246" s="818"/>
    </row>
    <row r="247" spans="1:26" ht="18.75">
      <c r="A247" s="949"/>
      <c r="B247" s="950"/>
      <c r="C247" s="950"/>
      <c r="D247" s="950"/>
      <c r="E247" s="955" t="s">
        <v>119</v>
      </c>
      <c r="F247" s="957"/>
      <c r="G247" s="958"/>
      <c r="H247" s="730" t="s">
        <v>66</v>
      </c>
      <c r="I247" s="830">
        <v>3</v>
      </c>
      <c r="J247" s="959">
        <v>0</v>
      </c>
      <c r="K247" s="831">
        <f t="shared" si="112"/>
        <v>0</v>
      </c>
      <c r="L247" s="831"/>
      <c r="M247" s="831"/>
      <c r="N247" s="831"/>
      <c r="O247" s="831"/>
      <c r="P247" s="831"/>
      <c r="Q247" s="818"/>
      <c r="R247" s="818"/>
      <c r="S247" s="818"/>
      <c r="T247" s="818"/>
      <c r="U247" s="818"/>
      <c r="V247" s="818"/>
      <c r="W247" s="818"/>
      <c r="X247" s="818"/>
      <c r="Y247" s="818"/>
      <c r="Z247" s="818"/>
    </row>
    <row r="248" spans="1:26" ht="19.5" hidden="1">
      <c r="A248" s="1011"/>
      <c r="B248" s="1018"/>
      <c r="C248" s="1023" t="s">
        <v>332</v>
      </c>
      <c r="D248" s="1012"/>
      <c r="E248" s="1012"/>
      <c r="F248" s="1012"/>
      <c r="G248" s="1014"/>
      <c r="H248" s="260" t="s">
        <v>35</v>
      </c>
      <c r="I248" s="1024">
        <f t="shared" ref="I248:J248" ca="1" si="113">I255</f>
        <v>0</v>
      </c>
      <c r="J248" s="1024">
        <f t="shared" si="113"/>
        <v>0</v>
      </c>
      <c r="K248" s="1025">
        <f t="shared" ca="1" si="112"/>
        <v>0</v>
      </c>
      <c r="L248" s="1016"/>
      <c r="M248" s="1016"/>
      <c r="N248" s="1016"/>
      <c r="O248" s="1016"/>
      <c r="P248" s="1016"/>
    </row>
    <row r="249" spans="1:26" ht="19.5" hidden="1">
      <c r="A249" s="932"/>
      <c r="B249" s="933"/>
      <c r="C249" s="934" t="s">
        <v>16</v>
      </c>
      <c r="D249" s="1026" t="s">
        <v>17</v>
      </c>
      <c r="E249" s="933"/>
      <c r="F249" s="933"/>
      <c r="G249" s="936"/>
      <c r="H249" s="275" t="s">
        <v>12</v>
      </c>
      <c r="I249" s="1028"/>
      <c r="J249" s="1028"/>
      <c r="K249" s="1029"/>
      <c r="L249" s="939">
        <f ca="1">L250+L251+L252+L253</f>
        <v>0</v>
      </c>
      <c r="M249" s="939"/>
      <c r="N249" s="939">
        <f>N250+N251+N252+N253</f>
        <v>0</v>
      </c>
      <c r="O249" s="939">
        <f ca="1">IF(L249&gt;0,N249*100/L249,0)</f>
        <v>0</v>
      </c>
      <c r="P249" s="939">
        <f>IF(M249&gt;0,N249*100/M249,0)</f>
        <v>0</v>
      </c>
      <c r="Q249" s="818"/>
      <c r="R249" s="818"/>
      <c r="S249" s="818"/>
      <c r="T249" s="818"/>
      <c r="U249" s="818"/>
      <c r="V249" s="818"/>
      <c r="W249" s="818"/>
      <c r="X249" s="818"/>
      <c r="Y249" s="818"/>
      <c r="Z249" s="818"/>
    </row>
    <row r="250" spans="1:26" ht="18.75" hidden="1">
      <c r="A250" s="1064"/>
      <c r="B250" s="1065"/>
      <c r="C250" s="1066"/>
      <c r="D250" s="1067" t="s">
        <v>97</v>
      </c>
      <c r="E250" s="1066"/>
      <c r="F250" s="1066"/>
      <c r="G250" s="1068"/>
      <c r="H250" s="319" t="s">
        <v>12</v>
      </c>
      <c r="I250" s="1069"/>
      <c r="J250" s="1069"/>
      <c r="K250" s="1070"/>
      <c r="L250" s="1071">
        <f ca="1">IFERROR(__xludf.DUMMYFUNCTION("IMPORTRANGE(""https://docs.google.com/spreadsheets/d/1QqKyyYR6Q21VydFLVH3TRQUabQu_ym0Zz7PgGX0-kHA/edit?usp=sharing"",""แผน!AZ27"")"),0)</f>
        <v>0</v>
      </c>
      <c r="M250" s="1071"/>
      <c r="N250" s="1072">
        <v>0</v>
      </c>
      <c r="O250" s="1071"/>
      <c r="P250" s="1071"/>
      <c r="Q250" s="1073"/>
      <c r="R250" s="1073"/>
      <c r="S250" s="1073"/>
      <c r="T250" s="1073"/>
      <c r="U250" s="1073"/>
      <c r="V250" s="1073"/>
      <c r="W250" s="1073"/>
      <c r="X250" s="1073"/>
      <c r="Y250" s="1073"/>
      <c r="Z250" s="1073"/>
    </row>
    <row r="251" spans="1:26" ht="19.5" hidden="1">
      <c r="A251" s="1074"/>
      <c r="B251" s="1065"/>
      <c r="C251" s="1075"/>
      <c r="D251" s="1067" t="s">
        <v>98</v>
      </c>
      <c r="E251" s="1066"/>
      <c r="F251" s="1066"/>
      <c r="G251" s="1068"/>
      <c r="H251" s="319" t="s">
        <v>12</v>
      </c>
      <c r="I251" s="1076"/>
      <c r="J251" s="1076"/>
      <c r="K251" s="1071"/>
      <c r="L251" s="1071">
        <f ca="1">IFERROR(__xludf.DUMMYFUNCTION("IMPORTRANGE(""https://docs.google.com/spreadsheets/d/1QqKyyYR6Q21VydFLVH3TRQUabQu_ym0Zz7PgGX0-kHA/edit?usp=sharing"",""แผน!BA27"")"),0)</f>
        <v>0</v>
      </c>
      <c r="M251" s="1071"/>
      <c r="N251" s="1072">
        <v>0</v>
      </c>
      <c r="O251" s="1071"/>
      <c r="P251" s="1071"/>
      <c r="Q251" s="1077"/>
      <c r="R251" s="1077"/>
      <c r="S251" s="1077"/>
      <c r="T251" s="1077"/>
      <c r="U251" s="1077"/>
      <c r="V251" s="1077"/>
      <c r="W251" s="1077"/>
      <c r="X251" s="1077"/>
      <c r="Y251" s="1077"/>
      <c r="Z251" s="1077"/>
    </row>
    <row r="252" spans="1:26" ht="19.5" hidden="1">
      <c r="A252" s="1074"/>
      <c r="B252" s="1065"/>
      <c r="C252" s="1075"/>
      <c r="D252" s="1067" t="s">
        <v>116</v>
      </c>
      <c r="E252" s="1066"/>
      <c r="F252" s="1066"/>
      <c r="G252" s="1068"/>
      <c r="H252" s="319" t="s">
        <v>12</v>
      </c>
      <c r="I252" s="1076"/>
      <c r="J252" s="1076"/>
      <c r="K252" s="1071"/>
      <c r="L252" s="1071">
        <f ca="1">IFERROR(__xludf.DUMMYFUNCTION("IMPORTRANGE(""https://docs.google.com/spreadsheets/d/1QqKyyYR6Q21VydFLVH3TRQUabQu_ym0Zz7PgGX0-kHA/edit?usp=sharing"",""แผน!BB27"")"),0)</f>
        <v>0</v>
      </c>
      <c r="M252" s="1071"/>
      <c r="N252" s="1072">
        <v>0</v>
      </c>
      <c r="O252" s="1071"/>
      <c r="P252" s="1071"/>
      <c r="Q252" s="1077"/>
      <c r="R252" s="1077"/>
      <c r="S252" s="1077"/>
      <c r="T252" s="1077"/>
      <c r="U252" s="1077"/>
      <c r="V252" s="1077"/>
      <c r="W252" s="1077"/>
      <c r="X252" s="1077"/>
      <c r="Y252" s="1077"/>
      <c r="Z252" s="1077"/>
    </row>
    <row r="253" spans="1:26" ht="19.5" hidden="1">
      <c r="A253" s="1074"/>
      <c r="B253" s="1065"/>
      <c r="C253" s="1075"/>
      <c r="D253" s="1067" t="s">
        <v>100</v>
      </c>
      <c r="E253" s="1066"/>
      <c r="F253" s="1066"/>
      <c r="G253" s="1068"/>
      <c r="H253" s="319" t="s">
        <v>12</v>
      </c>
      <c r="I253" s="1076"/>
      <c r="J253" s="1076"/>
      <c r="K253" s="1071"/>
      <c r="L253" s="1071">
        <f ca="1">IFERROR(__xludf.DUMMYFUNCTION("IMPORTRANGE(""https://docs.google.com/spreadsheets/d/1QqKyyYR6Q21VydFLVH3TRQUabQu_ym0Zz7PgGX0-kHA/edit?usp=sharing"",""แผน!BC27"")"),0)</f>
        <v>0</v>
      </c>
      <c r="M253" s="1071"/>
      <c r="N253" s="1072">
        <v>0</v>
      </c>
      <c r="O253" s="1071"/>
      <c r="P253" s="1071"/>
      <c r="Q253" s="1077"/>
      <c r="R253" s="1077"/>
      <c r="S253" s="1077"/>
      <c r="T253" s="1077"/>
      <c r="U253" s="1077"/>
      <c r="V253" s="1077"/>
      <c r="W253" s="1077"/>
      <c r="X253" s="1077"/>
      <c r="Y253" s="1077"/>
      <c r="Z253" s="1077"/>
    </row>
    <row r="254" spans="1:26" ht="19.5" hidden="1">
      <c r="A254" s="949"/>
      <c r="B254" s="950"/>
      <c r="C254" s="1038" t="s">
        <v>16</v>
      </c>
      <c r="D254" s="951" t="s">
        <v>38</v>
      </c>
      <c r="E254" s="952"/>
      <c r="F254" s="952"/>
      <c r="G254" s="953"/>
      <c r="H254" s="954"/>
      <c r="I254" s="944"/>
      <c r="J254" s="830"/>
      <c r="K254" s="831"/>
      <c r="L254" s="831"/>
      <c r="M254" s="831"/>
      <c r="N254" s="831"/>
      <c r="O254" s="945"/>
      <c r="P254" s="945"/>
      <c r="Q254" s="818"/>
      <c r="R254" s="818"/>
      <c r="S254" s="818"/>
      <c r="T254" s="818"/>
      <c r="U254" s="818"/>
      <c r="V254" s="818"/>
      <c r="W254" s="818"/>
      <c r="X254" s="818"/>
      <c r="Y254" s="818"/>
      <c r="Z254" s="818"/>
    </row>
    <row r="255" spans="1:26" ht="18.75" hidden="1">
      <c r="A255" s="949"/>
      <c r="B255" s="950"/>
      <c r="C255" s="950"/>
      <c r="D255" s="956" t="s">
        <v>117</v>
      </c>
      <c r="E255" s="957"/>
      <c r="F255" s="957"/>
      <c r="G255" s="958"/>
      <c r="H255" s="730" t="s">
        <v>35</v>
      </c>
      <c r="I255" s="830">
        <f ca="1">IFERROR(__xludf.DUMMYFUNCTION("IMPORTRANGE(""https://docs.google.com/spreadsheets/d/1QqKyyYR6Q21VydFLVH3TRQUabQu_ym0Zz7PgGX0-kHA/edit?usp=sharing"",""แผน!BF27"")"),0)</f>
        <v>0</v>
      </c>
      <c r="J255" s="959">
        <v>0</v>
      </c>
      <c r="K255" s="831">
        <f ca="1">IF(I255&gt;0,J255*100/I255,0)</f>
        <v>0</v>
      </c>
      <c r="L255" s="831"/>
      <c r="M255" s="831"/>
      <c r="N255" s="831"/>
      <c r="O255" s="831"/>
      <c r="P255" s="831"/>
      <c r="Q255" s="818"/>
      <c r="R255" s="818"/>
      <c r="S255" s="818"/>
      <c r="T255" s="818"/>
      <c r="U255" s="818"/>
      <c r="V255" s="818"/>
      <c r="W255" s="818"/>
      <c r="X255" s="818"/>
      <c r="Y255" s="818"/>
      <c r="Z255" s="818"/>
    </row>
    <row r="256" spans="1:26" ht="18.75" hidden="1">
      <c r="A256" s="949"/>
      <c r="B256" s="950"/>
      <c r="C256" s="950"/>
      <c r="D256" s="1078" t="s">
        <v>43</v>
      </c>
      <c r="E256" s="957"/>
      <c r="F256" s="957"/>
      <c r="G256" s="958"/>
      <c r="H256" s="730"/>
      <c r="I256" s="830"/>
      <c r="J256" s="830"/>
      <c r="K256" s="831"/>
      <c r="L256" s="831"/>
      <c r="M256" s="831"/>
      <c r="N256" s="831"/>
      <c r="O256" s="945"/>
      <c r="P256" s="945"/>
      <c r="Q256" s="818"/>
      <c r="R256" s="818"/>
      <c r="S256" s="818"/>
      <c r="T256" s="818"/>
      <c r="U256" s="818"/>
      <c r="V256" s="818"/>
      <c r="W256" s="818"/>
      <c r="X256" s="818"/>
      <c r="Y256" s="818"/>
      <c r="Z256" s="818"/>
    </row>
    <row r="257" spans="1:26" ht="18.75" hidden="1">
      <c r="A257" s="949"/>
      <c r="B257" s="950"/>
      <c r="C257" s="950"/>
      <c r="D257" s="950"/>
      <c r="E257" s="955" t="s">
        <v>118</v>
      </c>
      <c r="F257" s="957"/>
      <c r="G257" s="958"/>
      <c r="H257" s="730" t="s">
        <v>35</v>
      </c>
      <c r="I257" s="830"/>
      <c r="J257" s="959">
        <v>0</v>
      </c>
      <c r="K257" s="831">
        <f t="shared" ref="K257:K258" si="114">IF(I257&gt;0,J257*100/I257,0)</f>
        <v>0</v>
      </c>
      <c r="L257" s="831"/>
      <c r="M257" s="831"/>
      <c r="N257" s="831"/>
      <c r="O257" s="831"/>
      <c r="P257" s="831"/>
      <c r="Q257" s="818"/>
      <c r="R257" s="818"/>
      <c r="S257" s="818"/>
      <c r="T257" s="818"/>
      <c r="U257" s="818"/>
      <c r="V257" s="818"/>
      <c r="W257" s="818"/>
      <c r="X257" s="818"/>
      <c r="Y257" s="818"/>
      <c r="Z257" s="818"/>
    </row>
    <row r="258" spans="1:26" ht="18.75" hidden="1">
      <c r="A258" s="949"/>
      <c r="B258" s="950"/>
      <c r="C258" s="950"/>
      <c r="D258" s="950"/>
      <c r="E258" s="955" t="s">
        <v>119</v>
      </c>
      <c r="F258" s="957"/>
      <c r="G258" s="958"/>
      <c r="H258" s="730" t="s">
        <v>66</v>
      </c>
      <c r="I258" s="830"/>
      <c r="J258" s="959">
        <v>0</v>
      </c>
      <c r="K258" s="831">
        <f t="shared" si="114"/>
        <v>0</v>
      </c>
      <c r="L258" s="831"/>
      <c r="M258" s="831"/>
      <c r="N258" s="831"/>
      <c r="O258" s="831"/>
      <c r="P258" s="831"/>
      <c r="Q258" s="818"/>
      <c r="R258" s="818"/>
      <c r="S258" s="818"/>
      <c r="T258" s="818"/>
      <c r="U258" s="818"/>
      <c r="V258" s="818"/>
      <c r="W258" s="818"/>
      <c r="X258" s="818"/>
      <c r="Y258" s="818"/>
      <c r="Z258" s="818"/>
    </row>
    <row r="259" spans="1:26" ht="19.5">
      <c r="A259" s="998" t="s">
        <v>122</v>
      </c>
      <c r="B259" s="999"/>
      <c r="C259" s="999"/>
      <c r="D259" s="1000"/>
      <c r="E259" s="1000"/>
      <c r="F259" s="1000"/>
      <c r="G259" s="1001"/>
      <c r="H259" s="1002"/>
      <c r="I259" s="1003"/>
      <c r="J259" s="1003"/>
      <c r="K259" s="1004"/>
      <c r="L259" s="1004"/>
      <c r="M259" s="1004"/>
      <c r="N259" s="1004"/>
      <c r="O259" s="1004"/>
      <c r="P259" s="1004"/>
    </row>
    <row r="260" spans="1:26" ht="19.5">
      <c r="A260" s="1005"/>
      <c r="B260" s="1006" t="s">
        <v>123</v>
      </c>
      <c r="C260" s="1007"/>
      <c r="D260" s="952"/>
      <c r="E260" s="952"/>
      <c r="F260" s="952"/>
      <c r="G260" s="953"/>
      <c r="H260" s="252" t="s">
        <v>35</v>
      </c>
      <c r="I260" s="1008">
        <f t="shared" ref="I260:J260" ca="1" si="115">I271</f>
        <v>22</v>
      </c>
      <c r="J260" s="1008">
        <f t="shared" si="115"/>
        <v>22</v>
      </c>
      <c r="K260" s="1009">
        <f ca="1">IF(I260&gt;0,J260*100/I260,0)</f>
        <v>100</v>
      </c>
      <c r="L260" s="1010"/>
      <c r="M260" s="1010"/>
      <c r="N260" s="1010"/>
      <c r="O260" s="1010"/>
      <c r="P260" s="1010"/>
    </row>
    <row r="261" spans="1:26" ht="19.5">
      <c r="A261" s="932"/>
      <c r="B261" s="933"/>
      <c r="C261" s="934" t="s">
        <v>16</v>
      </c>
      <c r="D261" s="935" t="s">
        <v>17</v>
      </c>
      <c r="E261" s="933"/>
      <c r="F261" s="933"/>
      <c r="G261" s="936"/>
      <c r="H261" s="152" t="s">
        <v>12</v>
      </c>
      <c r="I261" s="937"/>
      <c r="J261" s="937"/>
      <c r="K261" s="938"/>
      <c r="L261" s="939">
        <f t="shared" ref="L261:N261" ca="1" si="116">L262+L263</f>
        <v>312900</v>
      </c>
      <c r="M261" s="939">
        <f t="shared" ca="1" si="116"/>
        <v>231900</v>
      </c>
      <c r="N261" s="939">
        <f t="shared" ca="1" si="116"/>
        <v>113962.66</v>
      </c>
      <c r="O261" s="939">
        <f t="shared" ref="O261:O269" ca="1" si="117">IF(L261&gt;0,N261*100/L261,0)</f>
        <v>36.421431767337808</v>
      </c>
      <c r="P261" s="939">
        <f t="shared" ref="P261:P269" ca="1" si="118">IF(M261&gt;0,N261*100/M261,0)</f>
        <v>49.143018542475204</v>
      </c>
      <c r="Q261" s="818"/>
      <c r="R261" s="818"/>
      <c r="S261" s="818"/>
      <c r="T261" s="818"/>
      <c r="U261" s="818"/>
      <c r="V261" s="818"/>
      <c r="W261" s="818"/>
      <c r="X261" s="818"/>
      <c r="Y261" s="818"/>
      <c r="Z261" s="818"/>
    </row>
    <row r="262" spans="1:26" ht="18.75" hidden="1">
      <c r="A262" s="940"/>
      <c r="B262" s="833"/>
      <c r="C262" s="833"/>
      <c r="D262" s="833"/>
      <c r="E262" s="834" t="s">
        <v>18</v>
      </c>
      <c r="F262" s="833"/>
      <c r="G262" s="941"/>
      <c r="H262" s="158" t="s">
        <v>12</v>
      </c>
      <c r="I262" s="836"/>
      <c r="J262" s="836"/>
      <c r="K262" s="837"/>
      <c r="L262" s="837">
        <f t="shared" ref="L262:N263" si="119">L265+L268</f>
        <v>0</v>
      </c>
      <c r="M262" s="837">
        <f t="shared" si="119"/>
        <v>0</v>
      </c>
      <c r="N262" s="837">
        <f t="shared" si="119"/>
        <v>0</v>
      </c>
      <c r="O262" s="837">
        <f t="shared" si="117"/>
        <v>0</v>
      </c>
      <c r="P262" s="837">
        <f t="shared" si="118"/>
        <v>0</v>
      </c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</row>
    <row r="263" spans="1:26" ht="18.75" hidden="1">
      <c r="A263" s="940"/>
      <c r="B263" s="833"/>
      <c r="C263" s="833"/>
      <c r="D263" s="833"/>
      <c r="E263" s="834" t="s">
        <v>19</v>
      </c>
      <c r="F263" s="833"/>
      <c r="G263" s="941"/>
      <c r="H263" s="158" t="s">
        <v>12</v>
      </c>
      <c r="I263" s="836"/>
      <c r="J263" s="836"/>
      <c r="K263" s="837"/>
      <c r="L263" s="837">
        <f t="shared" ca="1" si="119"/>
        <v>312900</v>
      </c>
      <c r="M263" s="837">
        <f t="shared" ca="1" si="119"/>
        <v>231900</v>
      </c>
      <c r="N263" s="837">
        <f t="shared" ca="1" si="119"/>
        <v>113962.66</v>
      </c>
      <c r="O263" s="837">
        <f t="shared" ca="1" si="117"/>
        <v>36.421431767337808</v>
      </c>
      <c r="P263" s="837">
        <f t="shared" ca="1" si="118"/>
        <v>49.143018542475204</v>
      </c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</row>
    <row r="264" spans="1:26" ht="18.75">
      <c r="A264" s="942"/>
      <c r="B264" s="827"/>
      <c r="C264" s="943"/>
      <c r="D264" s="828" t="s">
        <v>20</v>
      </c>
      <c r="E264" s="827"/>
      <c r="F264" s="827"/>
      <c r="G264" s="829"/>
      <c r="H264" s="778" t="s">
        <v>12</v>
      </c>
      <c r="I264" s="944"/>
      <c r="J264" s="944"/>
      <c r="K264" s="945"/>
      <c r="L264" s="831">
        <f t="shared" ref="L264:N264" ca="1" si="120">L265+L266</f>
        <v>312900</v>
      </c>
      <c r="M264" s="831">
        <f t="shared" ca="1" si="120"/>
        <v>231900</v>
      </c>
      <c r="N264" s="831">
        <f t="shared" ca="1" si="120"/>
        <v>113962.66</v>
      </c>
      <c r="O264" s="831">
        <f t="shared" ca="1" si="117"/>
        <v>36.421431767337808</v>
      </c>
      <c r="P264" s="831">
        <f t="shared" ca="1" si="118"/>
        <v>49.143018542475204</v>
      </c>
      <c r="Q264" s="818"/>
      <c r="R264" s="818"/>
      <c r="S264" s="818"/>
      <c r="T264" s="818"/>
      <c r="U264" s="818"/>
      <c r="V264" s="818"/>
      <c r="W264" s="818"/>
      <c r="X264" s="818"/>
      <c r="Y264" s="818"/>
      <c r="Z264" s="818"/>
    </row>
    <row r="265" spans="1:26" ht="19.5" hidden="1">
      <c r="A265" s="940"/>
      <c r="B265" s="833"/>
      <c r="C265" s="946"/>
      <c r="D265" s="833"/>
      <c r="E265" s="834" t="s">
        <v>36</v>
      </c>
      <c r="F265" s="833"/>
      <c r="G265" s="941"/>
      <c r="H265" s="165" t="s">
        <v>12</v>
      </c>
      <c r="I265" s="947"/>
      <c r="J265" s="947"/>
      <c r="K265" s="948"/>
      <c r="L265" s="837">
        <v>0</v>
      </c>
      <c r="M265" s="837">
        <v>0</v>
      </c>
      <c r="N265" s="837">
        <v>0</v>
      </c>
      <c r="O265" s="837">
        <f t="shared" si="117"/>
        <v>0</v>
      </c>
      <c r="P265" s="837">
        <f t="shared" si="118"/>
        <v>0</v>
      </c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</row>
    <row r="266" spans="1:26" ht="19.5" hidden="1">
      <c r="A266" s="940"/>
      <c r="B266" s="833"/>
      <c r="C266" s="946"/>
      <c r="D266" s="833"/>
      <c r="E266" s="834" t="s">
        <v>37</v>
      </c>
      <c r="F266" s="833"/>
      <c r="G266" s="941"/>
      <c r="H266" s="165" t="s">
        <v>12</v>
      </c>
      <c r="I266" s="947"/>
      <c r="J266" s="947"/>
      <c r="K266" s="948"/>
      <c r="L266" s="837">
        <f ca="1">IFERROR(__xludf.DUMMYFUNCTION("IMPORTRANGE(""https://docs.google.com/spreadsheets/d/1MeEWN-I1oV_STSDYn1IFDPWt_1FKiwhDph83XaGc0o0/edit?usp=sharing"",""งบพรบ!CY27"")"),312900)</f>
        <v>312900</v>
      </c>
      <c r="M266" s="837">
        <f ca="1">IFERROR(__xludf.DUMMYFUNCTION("IMPORTRANGE(""https://docs.google.com/spreadsheets/d/1MeEWN-I1oV_STSDYn1IFDPWt_1FKiwhDph83XaGc0o0/edit?usp=sharing"",""งบพรบ!DD27"")"),231900)</f>
        <v>231900</v>
      </c>
      <c r="N266" s="837">
        <f ca="1">IFERROR(__xludf.DUMMYFUNCTION("IMPORTRANGE(""https://docs.google.com/spreadsheets/d/1MeEWN-I1oV_STSDYn1IFDPWt_1FKiwhDph83XaGc0o0/edit?usp=sharing"",""งบพรบ!DF27"")"),113962.66)</f>
        <v>113962.66</v>
      </c>
      <c r="O266" s="837">
        <f t="shared" ca="1" si="117"/>
        <v>36.421431767337808</v>
      </c>
      <c r="P266" s="837">
        <f t="shared" ca="1" si="118"/>
        <v>49.143018542475204</v>
      </c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</row>
    <row r="267" spans="1:26" ht="18.75">
      <c r="A267" s="942"/>
      <c r="B267" s="827"/>
      <c r="C267" s="943"/>
      <c r="D267" s="828" t="s">
        <v>21</v>
      </c>
      <c r="E267" s="827"/>
      <c r="F267" s="827"/>
      <c r="G267" s="829"/>
      <c r="H267" s="168" t="s">
        <v>12</v>
      </c>
      <c r="I267" s="944"/>
      <c r="J267" s="944"/>
      <c r="K267" s="945"/>
      <c r="L267" s="831">
        <f t="shared" ref="L267:N267" ca="1" si="121">L268+L269</f>
        <v>0</v>
      </c>
      <c r="M267" s="831">
        <f t="shared" ca="1" si="121"/>
        <v>0</v>
      </c>
      <c r="N267" s="831">
        <f t="shared" ca="1" si="121"/>
        <v>0</v>
      </c>
      <c r="O267" s="831">
        <f t="shared" ca="1" si="117"/>
        <v>0</v>
      </c>
      <c r="P267" s="831">
        <f t="shared" ca="1" si="118"/>
        <v>0</v>
      </c>
      <c r="Q267" s="818"/>
      <c r="R267" s="818"/>
      <c r="S267" s="818"/>
      <c r="T267" s="818"/>
      <c r="U267" s="818"/>
      <c r="V267" s="818"/>
      <c r="W267" s="818"/>
      <c r="X267" s="818"/>
      <c r="Y267" s="818"/>
      <c r="Z267" s="818"/>
    </row>
    <row r="268" spans="1:26" ht="19.5" hidden="1">
      <c r="A268" s="940"/>
      <c r="B268" s="833"/>
      <c r="C268" s="946"/>
      <c r="D268" s="833"/>
      <c r="E268" s="834" t="s">
        <v>18</v>
      </c>
      <c r="F268" s="833"/>
      <c r="G268" s="941"/>
      <c r="H268" s="165" t="s">
        <v>12</v>
      </c>
      <c r="I268" s="947"/>
      <c r="J268" s="947"/>
      <c r="K268" s="948"/>
      <c r="L268" s="837">
        <v>0</v>
      </c>
      <c r="M268" s="837">
        <v>0</v>
      </c>
      <c r="N268" s="837">
        <v>0</v>
      </c>
      <c r="O268" s="837">
        <f t="shared" si="117"/>
        <v>0</v>
      </c>
      <c r="P268" s="837">
        <f t="shared" si="118"/>
        <v>0</v>
      </c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</row>
    <row r="269" spans="1:26" ht="19.5" hidden="1">
      <c r="A269" s="940"/>
      <c r="B269" s="833"/>
      <c r="C269" s="946"/>
      <c r="D269" s="833"/>
      <c r="E269" s="834" t="s">
        <v>19</v>
      </c>
      <c r="F269" s="833"/>
      <c r="G269" s="941"/>
      <c r="H269" s="169" t="s">
        <v>12</v>
      </c>
      <c r="I269" s="947"/>
      <c r="J269" s="947"/>
      <c r="K269" s="948"/>
      <c r="L269" s="837">
        <f ca="1">IFERROR(__xludf.DUMMYFUNCTION("IMPORTRANGE(""https://docs.google.com/spreadsheets/d/1MeEWN-I1oV_STSDYn1IFDPWt_1FKiwhDph83XaGc0o0/edit?usp=sharing"",""งบพรบ!DB27"")"),0)</f>
        <v>0</v>
      </c>
      <c r="M269" s="837">
        <f ca="1">IFERROR(__xludf.DUMMYFUNCTION("IMPORTRANGE(""https://docs.google.com/spreadsheets/d/1MeEWN-I1oV_STSDYn1IFDPWt_1FKiwhDph83XaGc0o0/edit?usp=sharing"",""งบพรบ!DE27"")"),0)</f>
        <v>0</v>
      </c>
      <c r="N269" s="837">
        <f ca="1">IFERROR(__xludf.DUMMYFUNCTION("IMPORTRANGE(""https://docs.google.com/spreadsheets/d/1MeEWN-I1oV_STSDYn1IFDPWt_1FKiwhDph83XaGc0o0/edit?usp=sharing"",""งบพรบ!DG27"")"),0)</f>
        <v>0</v>
      </c>
      <c r="O269" s="837">
        <f t="shared" ca="1" si="117"/>
        <v>0</v>
      </c>
      <c r="P269" s="837">
        <f t="shared" ca="1" si="118"/>
        <v>0</v>
      </c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</row>
    <row r="270" spans="1:26" ht="19.5">
      <c r="A270" s="949"/>
      <c r="B270" s="950"/>
      <c r="C270" s="943" t="s">
        <v>16</v>
      </c>
      <c r="D270" s="951" t="s">
        <v>38</v>
      </c>
      <c r="E270" s="952"/>
      <c r="F270" s="952"/>
      <c r="G270" s="953"/>
      <c r="H270" s="954"/>
      <c r="I270" s="944"/>
      <c r="J270" s="944"/>
      <c r="K270" s="945"/>
      <c r="L270" s="945"/>
      <c r="M270" s="945"/>
      <c r="N270" s="945"/>
      <c r="O270" s="945"/>
      <c r="P270" s="945"/>
    </row>
    <row r="271" spans="1:26" ht="19.5">
      <c r="A271" s="949"/>
      <c r="B271" s="950"/>
      <c r="C271" s="950"/>
      <c r="D271" s="1079" t="s">
        <v>124</v>
      </c>
      <c r="E271" s="957"/>
      <c r="F271" s="1022"/>
      <c r="G271" s="958"/>
      <c r="H271" s="346" t="s">
        <v>35</v>
      </c>
      <c r="I271" s="830">
        <f ca="1">IFERROR(__xludf.DUMMYFUNCTION("IMPORTRANGE(""https://docs.google.com/spreadsheets/d/1QqKyyYR6Q21VydFLVH3TRQUabQu_ym0Zz7PgGX0-kHA/edit?usp=sharing"",""แผน!EA27"")"),22)</f>
        <v>22</v>
      </c>
      <c r="J271" s="1483">
        <v>22</v>
      </c>
      <c r="K271" s="945">
        <f ca="1">IF(I271&gt;0,J271*100/I271,0)</f>
        <v>100</v>
      </c>
      <c r="L271" s="945"/>
      <c r="M271" s="945"/>
      <c r="N271" s="945"/>
      <c r="O271" s="945"/>
      <c r="P271" s="945"/>
    </row>
    <row r="272" spans="1:26" ht="18.75" hidden="1">
      <c r="A272" s="1080"/>
      <c r="B272" s="1081"/>
      <c r="C272" s="1081"/>
      <c r="D272" s="1082" t="s">
        <v>125</v>
      </c>
      <c r="E272" s="1083"/>
      <c r="F272" s="1083"/>
      <c r="G272" s="1084"/>
      <c r="H272" s="50" t="s">
        <v>35</v>
      </c>
      <c r="I272" s="1085">
        <v>0</v>
      </c>
      <c r="J272" s="1085">
        <v>0</v>
      </c>
      <c r="K272" s="1086">
        <v>0</v>
      </c>
      <c r="L272" s="1086"/>
      <c r="M272" s="1086"/>
      <c r="N272" s="1086"/>
      <c r="O272" s="1086"/>
      <c r="P272" s="1086"/>
    </row>
    <row r="273" spans="1:26" ht="19.5" hidden="1">
      <c r="A273" s="1087" t="s">
        <v>126</v>
      </c>
      <c r="B273" s="1088"/>
      <c r="C273" s="1088"/>
      <c r="D273" s="1088"/>
      <c r="E273" s="1089"/>
      <c r="F273" s="1089"/>
      <c r="G273" s="1090"/>
      <c r="H273" s="1091"/>
      <c r="I273" s="1092"/>
      <c r="J273" s="1092"/>
      <c r="K273" s="1093"/>
      <c r="L273" s="1093"/>
      <c r="M273" s="1093"/>
      <c r="N273" s="1093"/>
      <c r="O273" s="1093"/>
      <c r="P273" s="1093"/>
    </row>
    <row r="274" spans="1:26" ht="19.5" hidden="1">
      <c r="A274" s="1094" t="s">
        <v>127</v>
      </c>
      <c r="B274" s="1095"/>
      <c r="C274" s="1096"/>
      <c r="D274" s="1095"/>
      <c r="E274" s="1095"/>
      <c r="F274" s="1095"/>
      <c r="G274" s="1095"/>
      <c r="H274" s="1097"/>
      <c r="I274" s="1098"/>
      <c r="J274" s="1099"/>
      <c r="K274" s="1100"/>
      <c r="L274" s="1100"/>
      <c r="M274" s="1100"/>
      <c r="N274" s="1100"/>
      <c r="O274" s="1100"/>
      <c r="P274" s="1100"/>
    </row>
    <row r="275" spans="1:26" ht="19.5" hidden="1">
      <c r="A275" s="1101"/>
      <c r="B275" s="1102" t="s">
        <v>128</v>
      </c>
      <c r="C275" s="1103"/>
      <c r="D275" s="1104"/>
      <c r="E275" s="1103"/>
      <c r="F275" s="1103"/>
      <c r="G275" s="1105"/>
      <c r="H275" s="374" t="s">
        <v>35</v>
      </c>
      <c r="I275" s="1106">
        <f t="shared" ref="I275:J275" ca="1" si="122">I288</f>
        <v>0</v>
      </c>
      <c r="J275" s="1106">
        <f t="shared" ca="1" si="122"/>
        <v>0</v>
      </c>
      <c r="K275" s="1107">
        <f t="shared" ref="K275:K276" ca="1" si="123">IF(I275&gt;0,J275*100/I275,0)</f>
        <v>0</v>
      </c>
      <c r="L275" s="1108"/>
      <c r="M275" s="1108"/>
      <c r="N275" s="1108"/>
      <c r="O275" s="1108"/>
      <c r="P275" s="1108"/>
    </row>
    <row r="276" spans="1:26" ht="19.5" hidden="1">
      <c r="A276" s="1101"/>
      <c r="B276" s="1102"/>
      <c r="C276" s="1103"/>
      <c r="D276" s="1104"/>
      <c r="E276" s="1103"/>
      <c r="F276" s="1103"/>
      <c r="G276" s="1105"/>
      <c r="H276" s="374" t="s">
        <v>46</v>
      </c>
      <c r="I276" s="1435">
        <f t="shared" ref="I276:J276" ca="1" si="124">I287</f>
        <v>0</v>
      </c>
      <c r="J276" s="1435">
        <f t="shared" si="124"/>
        <v>0</v>
      </c>
      <c r="K276" s="1108">
        <f t="shared" ca="1" si="123"/>
        <v>0</v>
      </c>
      <c r="L276" s="1108"/>
      <c r="M276" s="1108"/>
      <c r="N276" s="1108"/>
      <c r="O276" s="1108"/>
      <c r="P276" s="1108"/>
    </row>
    <row r="277" spans="1:26" ht="19.5" hidden="1">
      <c r="A277" s="932"/>
      <c r="B277" s="933"/>
      <c r="C277" s="934" t="s">
        <v>16</v>
      </c>
      <c r="D277" s="935" t="s">
        <v>17</v>
      </c>
      <c r="E277" s="933"/>
      <c r="F277" s="933"/>
      <c r="G277" s="936"/>
      <c r="H277" s="152" t="s">
        <v>12</v>
      </c>
      <c r="I277" s="937"/>
      <c r="J277" s="937"/>
      <c r="K277" s="938"/>
      <c r="L277" s="939">
        <f t="shared" ref="L277:N277" ca="1" si="125">L278+L279</f>
        <v>0</v>
      </c>
      <c r="M277" s="939">
        <f t="shared" ca="1" si="125"/>
        <v>0</v>
      </c>
      <c r="N277" s="939">
        <f t="shared" ca="1" si="125"/>
        <v>0</v>
      </c>
      <c r="O277" s="939">
        <f t="shared" ref="O277:O285" ca="1" si="126">IF(L277&gt;0,N277*100/L277,0)</f>
        <v>0</v>
      </c>
      <c r="P277" s="939">
        <f t="shared" ref="P277:P285" ca="1" si="127">IF(M277&gt;0,N277*100/M277,0)</f>
        <v>0</v>
      </c>
      <c r="Q277" s="818"/>
      <c r="R277" s="818"/>
      <c r="S277" s="818"/>
      <c r="T277" s="818"/>
      <c r="U277" s="818"/>
      <c r="V277" s="818"/>
      <c r="W277" s="818"/>
      <c r="X277" s="818"/>
      <c r="Y277" s="818"/>
      <c r="Z277" s="818"/>
    </row>
    <row r="278" spans="1:26" ht="18.75" hidden="1">
      <c r="A278" s="940"/>
      <c r="B278" s="833"/>
      <c r="C278" s="833"/>
      <c r="D278" s="833"/>
      <c r="E278" s="834" t="s">
        <v>18</v>
      </c>
      <c r="F278" s="833"/>
      <c r="G278" s="941"/>
      <c r="H278" s="158" t="s">
        <v>12</v>
      </c>
      <c r="I278" s="836"/>
      <c r="J278" s="836"/>
      <c r="K278" s="837"/>
      <c r="L278" s="837">
        <f t="shared" ref="L278:N279" si="128">L281+L284</f>
        <v>0</v>
      </c>
      <c r="M278" s="837">
        <f t="shared" si="128"/>
        <v>0</v>
      </c>
      <c r="N278" s="837">
        <f t="shared" si="128"/>
        <v>0</v>
      </c>
      <c r="O278" s="837">
        <f t="shared" si="126"/>
        <v>0</v>
      </c>
      <c r="P278" s="837">
        <f t="shared" si="127"/>
        <v>0</v>
      </c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</row>
    <row r="279" spans="1:26" ht="18.75" hidden="1">
      <c r="A279" s="940"/>
      <c r="B279" s="833"/>
      <c r="C279" s="833"/>
      <c r="D279" s="833"/>
      <c r="E279" s="834" t="s">
        <v>19</v>
      </c>
      <c r="F279" s="833"/>
      <c r="G279" s="941"/>
      <c r="H279" s="158" t="s">
        <v>12</v>
      </c>
      <c r="I279" s="836"/>
      <c r="J279" s="836"/>
      <c r="K279" s="837"/>
      <c r="L279" s="837">
        <f t="shared" ca="1" si="128"/>
        <v>0</v>
      </c>
      <c r="M279" s="837">
        <f t="shared" ca="1" si="128"/>
        <v>0</v>
      </c>
      <c r="N279" s="837">
        <f t="shared" ca="1" si="128"/>
        <v>0</v>
      </c>
      <c r="O279" s="837">
        <f t="shared" ca="1" si="126"/>
        <v>0</v>
      </c>
      <c r="P279" s="837">
        <f t="shared" ca="1" si="127"/>
        <v>0</v>
      </c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</row>
    <row r="280" spans="1:26" ht="18.75" hidden="1">
      <c r="A280" s="942"/>
      <c r="B280" s="827"/>
      <c r="C280" s="943"/>
      <c r="D280" s="828" t="s">
        <v>20</v>
      </c>
      <c r="E280" s="827"/>
      <c r="F280" s="827"/>
      <c r="G280" s="829"/>
      <c r="H280" s="778" t="s">
        <v>12</v>
      </c>
      <c r="I280" s="944"/>
      <c r="J280" s="944"/>
      <c r="K280" s="945"/>
      <c r="L280" s="831">
        <f t="shared" ref="L280:N280" ca="1" si="129">L281+L282</f>
        <v>0</v>
      </c>
      <c r="M280" s="831">
        <f t="shared" ca="1" si="129"/>
        <v>0</v>
      </c>
      <c r="N280" s="831">
        <f t="shared" ca="1" si="129"/>
        <v>0</v>
      </c>
      <c r="O280" s="831">
        <f t="shared" ca="1" si="126"/>
        <v>0</v>
      </c>
      <c r="P280" s="831">
        <f t="shared" ca="1" si="127"/>
        <v>0</v>
      </c>
      <c r="Q280" s="818"/>
      <c r="R280" s="818"/>
      <c r="S280" s="818"/>
      <c r="T280" s="818"/>
      <c r="U280" s="818"/>
      <c r="V280" s="818"/>
      <c r="W280" s="818"/>
      <c r="X280" s="818"/>
      <c r="Y280" s="818"/>
      <c r="Z280" s="818"/>
    </row>
    <row r="281" spans="1:26" ht="19.5" hidden="1">
      <c r="A281" s="940"/>
      <c r="B281" s="833"/>
      <c r="C281" s="946"/>
      <c r="D281" s="833"/>
      <c r="E281" s="834" t="s">
        <v>36</v>
      </c>
      <c r="F281" s="833"/>
      <c r="G281" s="941"/>
      <c r="H281" s="165" t="s">
        <v>12</v>
      </c>
      <c r="I281" s="947"/>
      <c r="J281" s="947"/>
      <c r="K281" s="948"/>
      <c r="L281" s="837">
        <v>0</v>
      </c>
      <c r="M281" s="837">
        <v>0</v>
      </c>
      <c r="N281" s="837">
        <v>0</v>
      </c>
      <c r="O281" s="837">
        <f t="shared" si="126"/>
        <v>0</v>
      </c>
      <c r="P281" s="837">
        <f t="shared" si="127"/>
        <v>0</v>
      </c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</row>
    <row r="282" spans="1:26" ht="19.5" hidden="1">
      <c r="A282" s="940"/>
      <c r="B282" s="833"/>
      <c r="C282" s="946"/>
      <c r="D282" s="833"/>
      <c r="E282" s="834" t="s">
        <v>37</v>
      </c>
      <c r="F282" s="833"/>
      <c r="G282" s="941"/>
      <c r="H282" s="165" t="s">
        <v>12</v>
      </c>
      <c r="I282" s="947"/>
      <c r="J282" s="947"/>
      <c r="K282" s="948"/>
      <c r="L282" s="837">
        <f ca="1">IFERROR(__xludf.DUMMYFUNCTION("IMPORTRANGE(""https://docs.google.com/spreadsheets/d/1MeEWN-I1oV_STSDYn1IFDPWt_1FKiwhDph83XaGc0o0/edit?usp=sharing"",""งบพรบ!DI27"")"),0)</f>
        <v>0</v>
      </c>
      <c r="M282" s="837">
        <f ca="1">IFERROR(__xludf.DUMMYFUNCTION("IMPORTRANGE(""https://docs.google.com/spreadsheets/d/1MeEWN-I1oV_STSDYn1IFDPWt_1FKiwhDph83XaGc0o0/edit?usp=sharing"",""งบพรบ!DN27"")"),0)</f>
        <v>0</v>
      </c>
      <c r="N282" s="837">
        <f ca="1">IFERROR(__xludf.DUMMYFUNCTION("IMPORTRANGE(""https://docs.google.com/spreadsheets/d/1MeEWN-I1oV_STSDYn1IFDPWt_1FKiwhDph83XaGc0o0/edit?usp=sharing"",""งบพรบ!DP27"")"),0)</f>
        <v>0</v>
      </c>
      <c r="O282" s="837">
        <f t="shared" ca="1" si="126"/>
        <v>0</v>
      </c>
      <c r="P282" s="837">
        <f t="shared" ca="1" si="127"/>
        <v>0</v>
      </c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</row>
    <row r="283" spans="1:26" ht="18.75" hidden="1">
      <c r="A283" s="942"/>
      <c r="B283" s="827"/>
      <c r="C283" s="943"/>
      <c r="D283" s="828" t="s">
        <v>21</v>
      </c>
      <c r="E283" s="827"/>
      <c r="F283" s="827"/>
      <c r="G283" s="829"/>
      <c r="H283" s="168" t="s">
        <v>12</v>
      </c>
      <c r="I283" s="944"/>
      <c r="J283" s="944"/>
      <c r="K283" s="945"/>
      <c r="L283" s="831">
        <f t="shared" ref="L283:N283" ca="1" si="130">L284+L285</f>
        <v>0</v>
      </c>
      <c r="M283" s="831">
        <f t="shared" ca="1" si="130"/>
        <v>0</v>
      </c>
      <c r="N283" s="831">
        <f t="shared" ca="1" si="130"/>
        <v>0</v>
      </c>
      <c r="O283" s="831">
        <f t="shared" ca="1" si="126"/>
        <v>0</v>
      </c>
      <c r="P283" s="831">
        <f t="shared" ca="1" si="127"/>
        <v>0</v>
      </c>
      <c r="Q283" s="818"/>
      <c r="R283" s="818"/>
      <c r="S283" s="818"/>
      <c r="T283" s="818"/>
      <c r="U283" s="818"/>
      <c r="V283" s="818"/>
      <c r="W283" s="818"/>
      <c r="X283" s="818"/>
      <c r="Y283" s="818"/>
      <c r="Z283" s="818"/>
    </row>
    <row r="284" spans="1:26" ht="19.5" hidden="1">
      <c r="A284" s="940"/>
      <c r="B284" s="833"/>
      <c r="C284" s="946"/>
      <c r="D284" s="833"/>
      <c r="E284" s="834" t="s">
        <v>18</v>
      </c>
      <c r="F284" s="833"/>
      <c r="G284" s="941"/>
      <c r="H284" s="165" t="s">
        <v>12</v>
      </c>
      <c r="I284" s="947"/>
      <c r="J284" s="947"/>
      <c r="K284" s="948"/>
      <c r="L284" s="837">
        <v>0</v>
      </c>
      <c r="M284" s="837">
        <v>0</v>
      </c>
      <c r="N284" s="837">
        <v>0</v>
      </c>
      <c r="O284" s="837">
        <f t="shared" si="126"/>
        <v>0</v>
      </c>
      <c r="P284" s="837">
        <f t="shared" si="127"/>
        <v>0</v>
      </c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</row>
    <row r="285" spans="1:26" ht="19.5" hidden="1">
      <c r="A285" s="940"/>
      <c r="B285" s="833"/>
      <c r="C285" s="946"/>
      <c r="D285" s="833"/>
      <c r="E285" s="834" t="s">
        <v>19</v>
      </c>
      <c r="F285" s="833"/>
      <c r="G285" s="941"/>
      <c r="H285" s="169" t="s">
        <v>12</v>
      </c>
      <c r="I285" s="947"/>
      <c r="J285" s="947"/>
      <c r="K285" s="948"/>
      <c r="L285" s="837">
        <f ca="1">IFERROR(__xludf.DUMMYFUNCTION("IMPORTRANGE(""https://docs.google.com/spreadsheets/d/1MeEWN-I1oV_STSDYn1IFDPWt_1FKiwhDph83XaGc0o0/edit?usp=sharing"",""งบพรบ!DL27"")"),0)</f>
        <v>0</v>
      </c>
      <c r="M285" s="837">
        <f ca="1">IFERROR(__xludf.DUMMYFUNCTION("IMPORTRANGE(""https://docs.google.com/spreadsheets/d/1MeEWN-I1oV_STSDYn1IFDPWt_1FKiwhDph83XaGc0o0/edit?usp=sharing"",""งบพรบ!DO27"")"),0)</f>
        <v>0</v>
      </c>
      <c r="N285" s="837">
        <f ca="1">IFERROR(__xludf.DUMMYFUNCTION("IMPORTRANGE(""https://docs.google.com/spreadsheets/d/1MeEWN-I1oV_STSDYn1IFDPWt_1FKiwhDph83XaGc0o0/edit?usp=sharing"",""งบพรบ!DQ27"")"),0)</f>
        <v>0</v>
      </c>
      <c r="O285" s="837">
        <f t="shared" ca="1" si="126"/>
        <v>0</v>
      </c>
      <c r="P285" s="837">
        <f t="shared" ca="1" si="127"/>
        <v>0</v>
      </c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</row>
    <row r="286" spans="1:26" ht="19.5" hidden="1">
      <c r="A286" s="949"/>
      <c r="B286" s="950"/>
      <c r="C286" s="946" t="s">
        <v>16</v>
      </c>
      <c r="D286" s="951" t="s">
        <v>38</v>
      </c>
      <c r="E286" s="952"/>
      <c r="F286" s="952"/>
      <c r="G286" s="953"/>
      <c r="H286" s="954"/>
      <c r="I286" s="944"/>
      <c r="J286" s="944"/>
      <c r="K286" s="945"/>
      <c r="L286" s="945"/>
      <c r="M286" s="945"/>
      <c r="N286" s="945"/>
      <c r="O286" s="945"/>
      <c r="P286" s="945"/>
    </row>
    <row r="287" spans="1:26" ht="18.75" hidden="1">
      <c r="A287" s="949"/>
      <c r="B287" s="950"/>
      <c r="C287" s="950"/>
      <c r="D287" s="961" t="s">
        <v>129</v>
      </c>
      <c r="E287" s="950"/>
      <c r="F287" s="957"/>
      <c r="G287" s="958"/>
      <c r="H287" s="777" t="s">
        <v>46</v>
      </c>
      <c r="I287" s="830">
        <f ca="1">IFERROR(__xludf.DUMMYFUNCTION("IMPORTRANGE(""https://docs.google.com/spreadsheets/d/1QqKyyYR6Q21VydFLVH3TRQUabQu_ym0Zz7PgGX0-kHA/edit?usp=sharing"",""แผน!EC27"")"),0)</f>
        <v>0</v>
      </c>
      <c r="J287" s="959">
        <v>0</v>
      </c>
      <c r="K287" s="945">
        <f t="shared" ref="K287:K288" ca="1" si="131">IF(I287&gt;0,J287*100/I287,0)</f>
        <v>0</v>
      </c>
      <c r="L287" s="945"/>
      <c r="M287" s="945"/>
      <c r="N287" s="945"/>
      <c r="O287" s="945"/>
      <c r="P287" s="945"/>
    </row>
    <row r="288" spans="1:26" ht="19.5" hidden="1">
      <c r="A288" s="949"/>
      <c r="B288" s="950"/>
      <c r="C288" s="950"/>
      <c r="D288" s="961" t="s">
        <v>130</v>
      </c>
      <c r="E288" s="950"/>
      <c r="F288" s="957"/>
      <c r="G288" s="958"/>
      <c r="H288" s="180" t="s">
        <v>35</v>
      </c>
      <c r="I288" s="966">
        <f ca="1">IFERROR(__xludf.DUMMYFUNCTION("IMPORTRANGE(""https://docs.google.com/spreadsheets/d/1QqKyyYR6Q21VydFLVH3TRQUabQu_ym0Zz7PgGX0-kHA/edit?usp=sharing"",""แผน!EB27"")"),0)</f>
        <v>0</v>
      </c>
      <c r="J288" s="966">
        <f ca="1">IF(AND(J291&gt;=I288,J294&gt;=I288),J294,0)</f>
        <v>0</v>
      </c>
      <c r="K288" s="1109">
        <f t="shared" ca="1" si="131"/>
        <v>0</v>
      </c>
      <c r="L288" s="945"/>
      <c r="M288" s="945"/>
      <c r="N288" s="945"/>
      <c r="O288" s="945"/>
      <c r="P288" s="945"/>
    </row>
    <row r="289" spans="1:26" ht="19.5" hidden="1">
      <c r="A289" s="949"/>
      <c r="B289" s="950"/>
      <c r="C289" s="950"/>
      <c r="D289" s="1110"/>
      <c r="E289" s="1111" t="s">
        <v>131</v>
      </c>
      <c r="F289" s="957"/>
      <c r="G289" s="958"/>
      <c r="H289" s="730"/>
      <c r="I289" s="944"/>
      <c r="J289" s="830"/>
      <c r="K289" s="945"/>
      <c r="L289" s="945"/>
      <c r="M289" s="945"/>
      <c r="N289" s="945"/>
      <c r="O289" s="945"/>
      <c r="P289" s="945"/>
    </row>
    <row r="290" spans="1:26" ht="19.5" hidden="1">
      <c r="A290" s="949"/>
      <c r="B290" s="950"/>
      <c r="C290" s="950"/>
      <c r="D290" s="1110"/>
      <c r="E290" s="961" t="s">
        <v>132</v>
      </c>
      <c r="F290" s="957"/>
      <c r="G290" s="958"/>
      <c r="H290" s="730" t="s">
        <v>35</v>
      </c>
      <c r="I290" s="944">
        <f ca="1">IFERROR(__xludf.DUMMYFUNCTION("IMPORTRANGE(""https://docs.google.com/spreadsheets/d/1QqKyyYR6Q21VydFLVH3TRQUabQu_ym0Zz7PgGX0-kHA/edit?usp=sharing"",""แผน!EB27"")"),0)</f>
        <v>0</v>
      </c>
      <c r="J290" s="959">
        <v>0</v>
      </c>
      <c r="K290" s="945">
        <f t="shared" ref="K290:K291" ca="1" si="132">IF(I290&gt;0,J290*100/I290,0)</f>
        <v>0</v>
      </c>
      <c r="L290" s="945"/>
      <c r="M290" s="945"/>
      <c r="N290" s="945"/>
      <c r="O290" s="945"/>
      <c r="P290" s="945"/>
    </row>
    <row r="291" spans="1:26" ht="19.5" hidden="1">
      <c r="A291" s="949"/>
      <c r="B291" s="950"/>
      <c r="C291" s="950"/>
      <c r="D291" s="957"/>
      <c r="E291" s="961" t="s">
        <v>349</v>
      </c>
      <c r="F291" s="957"/>
      <c r="G291" s="958"/>
      <c r="H291" s="730" t="s">
        <v>35</v>
      </c>
      <c r="I291" s="944">
        <f ca="1">IFERROR(__xludf.DUMMYFUNCTION("IMPORTRANGE(""https://docs.google.com/spreadsheets/d/1QqKyyYR6Q21VydFLVH3TRQUabQu_ym0Zz7PgGX0-kHA/edit?usp=sharing"",""แผน!EB27"")"),0)</f>
        <v>0</v>
      </c>
      <c r="J291" s="959">
        <v>0</v>
      </c>
      <c r="K291" s="945">
        <f t="shared" ca="1" si="132"/>
        <v>0</v>
      </c>
      <c r="L291" s="945"/>
      <c r="M291" s="945"/>
      <c r="N291" s="945"/>
      <c r="O291" s="945"/>
      <c r="P291" s="945"/>
    </row>
    <row r="292" spans="1:26" ht="19.5" hidden="1">
      <c r="A292" s="1112"/>
      <c r="B292" s="1113"/>
      <c r="C292" s="1113"/>
      <c r="D292" s="1114"/>
      <c r="E292" s="1115" t="s">
        <v>134</v>
      </c>
      <c r="F292" s="1034"/>
      <c r="G292" s="1035"/>
      <c r="H292" s="387"/>
      <c r="I292" s="1028"/>
      <c r="J292" s="937"/>
      <c r="K292" s="1029"/>
      <c r="L292" s="1029"/>
      <c r="M292" s="1029"/>
      <c r="N292" s="1029"/>
      <c r="O292" s="1029"/>
      <c r="P292" s="1029"/>
    </row>
    <row r="293" spans="1:26" ht="19.5" hidden="1">
      <c r="A293" s="949"/>
      <c r="B293" s="950"/>
      <c r="C293" s="950"/>
      <c r="D293" s="1110"/>
      <c r="E293" s="961" t="s">
        <v>132</v>
      </c>
      <c r="F293" s="957"/>
      <c r="G293" s="958"/>
      <c r="H293" s="730" t="s">
        <v>35</v>
      </c>
      <c r="I293" s="944">
        <f ca="1">IFERROR(__xludf.DUMMYFUNCTION("IMPORTRANGE(""https://docs.google.com/spreadsheets/d/1QqKyyYR6Q21VydFLVH3TRQUabQu_ym0Zz7PgGX0-kHA/edit?usp=sharing"",""แผน!EB27"")"),0)</f>
        <v>0</v>
      </c>
      <c r="J293" s="959">
        <v>0</v>
      </c>
      <c r="K293" s="945">
        <f t="shared" ref="K293:K294" ca="1" si="133">IF(I293&gt;0,J293*100/I293,0)</f>
        <v>0</v>
      </c>
      <c r="L293" s="945"/>
      <c r="M293" s="945"/>
      <c r="N293" s="945"/>
      <c r="O293" s="945"/>
      <c r="P293" s="945"/>
    </row>
    <row r="294" spans="1:26" ht="19.5" hidden="1">
      <c r="A294" s="1080"/>
      <c r="B294" s="1081"/>
      <c r="C294" s="1081"/>
      <c r="D294" s="1083"/>
      <c r="E294" s="1116" t="s">
        <v>349</v>
      </c>
      <c r="F294" s="1083"/>
      <c r="G294" s="1084"/>
      <c r="H294" s="391" t="s">
        <v>35</v>
      </c>
      <c r="I294" s="1117">
        <f ca="1">IFERROR(__xludf.DUMMYFUNCTION("IMPORTRANGE(""https://docs.google.com/spreadsheets/d/1QqKyyYR6Q21VydFLVH3TRQUabQu_ym0Zz7PgGX0-kHA/edit?usp=sharing"",""แผน!EB27"")"),0)</f>
        <v>0</v>
      </c>
      <c r="J294" s="1118">
        <v>0</v>
      </c>
      <c r="K294" s="1086">
        <f t="shared" ca="1" si="133"/>
        <v>0</v>
      </c>
      <c r="L294" s="1086"/>
      <c r="M294" s="1086"/>
      <c r="N294" s="1086"/>
      <c r="O294" s="1086"/>
      <c r="P294" s="1086"/>
    </row>
    <row r="295" spans="1:26" ht="19.5">
      <c r="A295" s="1119" t="s">
        <v>137</v>
      </c>
      <c r="B295" s="1120"/>
      <c r="C295" s="1120"/>
      <c r="D295" s="1120"/>
      <c r="E295" s="1121"/>
      <c r="F295" s="1121"/>
      <c r="G295" s="1122"/>
      <c r="H295" s="1123"/>
      <c r="I295" s="1124"/>
      <c r="J295" s="1124"/>
      <c r="K295" s="1125"/>
      <c r="L295" s="1125"/>
      <c r="M295" s="1125"/>
      <c r="N295" s="1125"/>
      <c r="O295" s="1125"/>
      <c r="P295" s="1125"/>
    </row>
    <row r="296" spans="1:26" ht="19.5" hidden="1">
      <c r="A296" s="1126" t="s">
        <v>138</v>
      </c>
      <c r="B296" s="1127"/>
      <c r="C296" s="1127"/>
      <c r="D296" s="1128"/>
      <c r="E296" s="1128"/>
      <c r="F296" s="1128"/>
      <c r="G296" s="1129"/>
      <c r="H296" s="1130"/>
      <c r="I296" s="1131"/>
      <c r="J296" s="1131"/>
      <c r="K296" s="1132"/>
      <c r="L296" s="1132"/>
      <c r="M296" s="1132"/>
      <c r="N296" s="1132"/>
      <c r="O296" s="1132"/>
      <c r="P296" s="1132"/>
    </row>
    <row r="297" spans="1:26" ht="19.5" hidden="1">
      <c r="A297" s="1133"/>
      <c r="B297" s="1134" t="s">
        <v>139</v>
      </c>
      <c r="C297" s="1135"/>
      <c r="D297" s="1135"/>
      <c r="E297" s="1135"/>
      <c r="F297" s="1135"/>
      <c r="G297" s="1136"/>
      <c r="H297" s="412" t="s">
        <v>35</v>
      </c>
      <c r="I297" s="1137">
        <f t="shared" ref="I297:J297" ca="1" si="134">I309</f>
        <v>0</v>
      </c>
      <c r="J297" s="1137">
        <f t="shared" si="134"/>
        <v>0</v>
      </c>
      <c r="K297" s="1138">
        <f ca="1">IF(I297&gt;0,J297*100/I297,0)</f>
        <v>0</v>
      </c>
      <c r="L297" s="1139"/>
      <c r="M297" s="1139"/>
      <c r="N297" s="1139"/>
      <c r="O297" s="1139"/>
      <c r="P297" s="1139"/>
    </row>
    <row r="298" spans="1:26" ht="19.5" hidden="1">
      <c r="A298" s="932"/>
      <c r="B298" s="933"/>
      <c r="C298" s="934" t="s">
        <v>16</v>
      </c>
      <c r="D298" s="935" t="s">
        <v>17</v>
      </c>
      <c r="E298" s="933"/>
      <c r="F298" s="933"/>
      <c r="G298" s="936"/>
      <c r="H298" s="152" t="s">
        <v>12</v>
      </c>
      <c r="I298" s="937"/>
      <c r="J298" s="937"/>
      <c r="K298" s="938"/>
      <c r="L298" s="939">
        <f t="shared" ref="L298:N298" ca="1" si="135">L299+L300</f>
        <v>0</v>
      </c>
      <c r="M298" s="939">
        <f t="shared" ca="1" si="135"/>
        <v>0</v>
      </c>
      <c r="N298" s="939">
        <f t="shared" ca="1" si="135"/>
        <v>0</v>
      </c>
      <c r="O298" s="939">
        <f t="shared" ref="O298:O306" ca="1" si="136">IF(L298&gt;0,N298*100/L298,0)</f>
        <v>0</v>
      </c>
      <c r="P298" s="939">
        <f t="shared" ref="P298:P306" ca="1" si="137">IF(M298&gt;0,N298*100/M298,0)</f>
        <v>0</v>
      </c>
      <c r="Q298" s="818"/>
      <c r="R298" s="818"/>
      <c r="S298" s="818"/>
      <c r="T298" s="818"/>
      <c r="U298" s="818"/>
      <c r="V298" s="818"/>
      <c r="W298" s="818"/>
      <c r="X298" s="818"/>
      <c r="Y298" s="818"/>
      <c r="Z298" s="818"/>
    </row>
    <row r="299" spans="1:26" ht="18.75" hidden="1">
      <c r="A299" s="940"/>
      <c r="B299" s="833"/>
      <c r="C299" s="833"/>
      <c r="D299" s="833"/>
      <c r="E299" s="834" t="s">
        <v>18</v>
      </c>
      <c r="F299" s="833"/>
      <c r="G299" s="941"/>
      <c r="H299" s="158" t="s">
        <v>12</v>
      </c>
      <c r="I299" s="836"/>
      <c r="J299" s="836"/>
      <c r="K299" s="837"/>
      <c r="L299" s="837">
        <f t="shared" ref="L299:N300" si="138">L302+L305</f>
        <v>0</v>
      </c>
      <c r="M299" s="837">
        <f t="shared" si="138"/>
        <v>0</v>
      </c>
      <c r="N299" s="837">
        <f t="shared" si="138"/>
        <v>0</v>
      </c>
      <c r="O299" s="837">
        <f t="shared" si="136"/>
        <v>0</v>
      </c>
      <c r="P299" s="837">
        <f t="shared" si="137"/>
        <v>0</v>
      </c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</row>
    <row r="300" spans="1:26" ht="18.75" hidden="1">
      <c r="A300" s="940"/>
      <c r="B300" s="833"/>
      <c r="C300" s="833"/>
      <c r="D300" s="833"/>
      <c r="E300" s="834" t="s">
        <v>19</v>
      </c>
      <c r="F300" s="833"/>
      <c r="G300" s="941"/>
      <c r="H300" s="158" t="s">
        <v>12</v>
      </c>
      <c r="I300" s="836"/>
      <c r="J300" s="836"/>
      <c r="K300" s="837"/>
      <c r="L300" s="837">
        <f t="shared" ca="1" si="138"/>
        <v>0</v>
      </c>
      <c r="M300" s="837">
        <f t="shared" ca="1" si="138"/>
        <v>0</v>
      </c>
      <c r="N300" s="837">
        <f t="shared" ca="1" si="138"/>
        <v>0</v>
      </c>
      <c r="O300" s="837">
        <f t="shared" ca="1" si="136"/>
        <v>0</v>
      </c>
      <c r="P300" s="837">
        <f t="shared" ca="1" si="137"/>
        <v>0</v>
      </c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</row>
    <row r="301" spans="1:26" ht="18.75" hidden="1">
      <c r="A301" s="942"/>
      <c r="B301" s="827"/>
      <c r="C301" s="943"/>
      <c r="D301" s="828" t="s">
        <v>20</v>
      </c>
      <c r="E301" s="827"/>
      <c r="F301" s="827"/>
      <c r="G301" s="829"/>
      <c r="H301" s="778" t="s">
        <v>12</v>
      </c>
      <c r="I301" s="944"/>
      <c r="J301" s="944"/>
      <c r="K301" s="945"/>
      <c r="L301" s="831">
        <f t="shared" ref="L301:N301" ca="1" si="139">L302+L303</f>
        <v>0</v>
      </c>
      <c r="M301" s="831">
        <f t="shared" ca="1" si="139"/>
        <v>0</v>
      </c>
      <c r="N301" s="831">
        <f t="shared" ca="1" si="139"/>
        <v>0</v>
      </c>
      <c r="O301" s="831">
        <f t="shared" ca="1" si="136"/>
        <v>0</v>
      </c>
      <c r="P301" s="831">
        <f t="shared" ca="1" si="137"/>
        <v>0</v>
      </c>
      <c r="Q301" s="818"/>
      <c r="R301" s="818"/>
      <c r="S301" s="818"/>
      <c r="T301" s="818"/>
      <c r="U301" s="818"/>
      <c r="V301" s="818"/>
      <c r="W301" s="818"/>
      <c r="X301" s="818"/>
      <c r="Y301" s="818"/>
      <c r="Z301" s="818"/>
    </row>
    <row r="302" spans="1:26" ht="19.5" hidden="1">
      <c r="A302" s="940"/>
      <c r="B302" s="833"/>
      <c r="C302" s="946"/>
      <c r="D302" s="833"/>
      <c r="E302" s="834" t="s">
        <v>36</v>
      </c>
      <c r="F302" s="833"/>
      <c r="G302" s="941"/>
      <c r="H302" s="165" t="s">
        <v>12</v>
      </c>
      <c r="I302" s="947"/>
      <c r="J302" s="947"/>
      <c r="K302" s="948"/>
      <c r="L302" s="837">
        <v>0</v>
      </c>
      <c r="M302" s="837">
        <v>0</v>
      </c>
      <c r="N302" s="837">
        <v>0</v>
      </c>
      <c r="O302" s="837">
        <f t="shared" si="136"/>
        <v>0</v>
      </c>
      <c r="P302" s="837">
        <f t="shared" si="137"/>
        <v>0</v>
      </c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</row>
    <row r="303" spans="1:26" ht="19.5" hidden="1">
      <c r="A303" s="940"/>
      <c r="B303" s="833"/>
      <c r="C303" s="946"/>
      <c r="D303" s="833"/>
      <c r="E303" s="834" t="s">
        <v>37</v>
      </c>
      <c r="F303" s="833"/>
      <c r="G303" s="941"/>
      <c r="H303" s="165" t="s">
        <v>12</v>
      </c>
      <c r="I303" s="947"/>
      <c r="J303" s="947"/>
      <c r="K303" s="948"/>
      <c r="L303" s="837">
        <f ca="1">IFERROR(__xludf.DUMMYFUNCTION("IMPORTRANGE(""https://docs.google.com/spreadsheets/d/1MeEWN-I1oV_STSDYn1IFDPWt_1FKiwhDph83XaGc0o0/edit?usp=sharing"",""งบพรบ!DS27"")"),0)</f>
        <v>0</v>
      </c>
      <c r="M303" s="837">
        <f ca="1">IFERROR(__xludf.DUMMYFUNCTION("IMPORTRANGE(""https://docs.google.com/spreadsheets/d/1MeEWN-I1oV_STSDYn1IFDPWt_1FKiwhDph83XaGc0o0/edit?usp=sharing"",""งบพรบ!DX27"")"),0)</f>
        <v>0</v>
      </c>
      <c r="N303" s="837">
        <f ca="1">IFERROR(__xludf.DUMMYFUNCTION("IMPORTRANGE(""https://docs.google.com/spreadsheets/d/1MeEWN-I1oV_STSDYn1IFDPWt_1FKiwhDph83XaGc0o0/edit?usp=sharing"",""งบพรบ!DZ27"")"),0)</f>
        <v>0</v>
      </c>
      <c r="O303" s="837">
        <f t="shared" ca="1" si="136"/>
        <v>0</v>
      </c>
      <c r="P303" s="837">
        <f t="shared" ca="1" si="137"/>
        <v>0</v>
      </c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</row>
    <row r="304" spans="1:26" ht="18.75" hidden="1">
      <c r="A304" s="942"/>
      <c r="B304" s="827"/>
      <c r="C304" s="943"/>
      <c r="D304" s="828" t="s">
        <v>21</v>
      </c>
      <c r="E304" s="827"/>
      <c r="F304" s="827"/>
      <c r="G304" s="829"/>
      <c r="H304" s="168" t="s">
        <v>12</v>
      </c>
      <c r="I304" s="944"/>
      <c r="J304" s="944"/>
      <c r="K304" s="945"/>
      <c r="L304" s="831">
        <f t="shared" ref="L304:N304" ca="1" si="140">L305+L306</f>
        <v>0</v>
      </c>
      <c r="M304" s="831">
        <f t="shared" ca="1" si="140"/>
        <v>0</v>
      </c>
      <c r="N304" s="831">
        <f t="shared" ca="1" si="140"/>
        <v>0</v>
      </c>
      <c r="O304" s="831">
        <f t="shared" ca="1" si="136"/>
        <v>0</v>
      </c>
      <c r="P304" s="831">
        <f t="shared" ca="1" si="137"/>
        <v>0</v>
      </c>
      <c r="Q304" s="818"/>
      <c r="R304" s="818"/>
      <c r="S304" s="818"/>
      <c r="T304" s="818"/>
      <c r="U304" s="818"/>
      <c r="V304" s="818"/>
      <c r="W304" s="818"/>
      <c r="X304" s="818"/>
      <c r="Y304" s="818"/>
      <c r="Z304" s="818"/>
    </row>
    <row r="305" spans="1:26" ht="19.5" hidden="1">
      <c r="A305" s="940"/>
      <c r="B305" s="833"/>
      <c r="C305" s="946"/>
      <c r="D305" s="833"/>
      <c r="E305" s="834" t="s">
        <v>18</v>
      </c>
      <c r="F305" s="833"/>
      <c r="G305" s="941"/>
      <c r="H305" s="165" t="s">
        <v>12</v>
      </c>
      <c r="I305" s="947"/>
      <c r="J305" s="947"/>
      <c r="K305" s="948"/>
      <c r="L305" s="837">
        <v>0</v>
      </c>
      <c r="M305" s="837">
        <v>0</v>
      </c>
      <c r="N305" s="837">
        <v>0</v>
      </c>
      <c r="O305" s="837">
        <f t="shared" si="136"/>
        <v>0</v>
      </c>
      <c r="P305" s="837">
        <f t="shared" si="137"/>
        <v>0</v>
      </c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</row>
    <row r="306" spans="1:26" ht="19.5" hidden="1">
      <c r="A306" s="940"/>
      <c r="B306" s="833"/>
      <c r="C306" s="946"/>
      <c r="D306" s="833"/>
      <c r="E306" s="834" t="s">
        <v>19</v>
      </c>
      <c r="F306" s="833"/>
      <c r="G306" s="941"/>
      <c r="H306" s="169" t="s">
        <v>12</v>
      </c>
      <c r="I306" s="947"/>
      <c r="J306" s="947"/>
      <c r="K306" s="948"/>
      <c r="L306" s="837">
        <f ca="1">IFERROR(__xludf.DUMMYFUNCTION("IMPORTRANGE(""https://docs.google.com/spreadsheets/d/1MeEWN-I1oV_STSDYn1IFDPWt_1FKiwhDph83XaGc0o0/edit?usp=sharing"",""งบพรบ!DV27"")"),0)</f>
        <v>0</v>
      </c>
      <c r="M306" s="837">
        <f ca="1">IFERROR(__xludf.DUMMYFUNCTION("IMPORTRANGE(""https://docs.google.com/spreadsheets/d/1MeEWN-I1oV_STSDYn1IFDPWt_1FKiwhDph83XaGc0o0/edit?usp=sharing"",""งบพรบ!DY27"")"),0)</f>
        <v>0</v>
      </c>
      <c r="N306" s="837">
        <f ca="1">IFERROR(__xludf.DUMMYFUNCTION("IMPORTRANGE(""https://docs.google.com/spreadsheets/d/1MeEWN-I1oV_STSDYn1IFDPWt_1FKiwhDph83XaGc0o0/edit?usp=sharing"",""งบพรบ!EA27"")"),0)</f>
        <v>0</v>
      </c>
      <c r="O306" s="837">
        <f t="shared" ca="1" si="136"/>
        <v>0</v>
      </c>
      <c r="P306" s="837">
        <f t="shared" ca="1" si="137"/>
        <v>0</v>
      </c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</row>
    <row r="307" spans="1:26" ht="19.5" hidden="1">
      <c r="A307" s="949"/>
      <c r="B307" s="950"/>
      <c r="C307" s="946" t="s">
        <v>16</v>
      </c>
      <c r="D307" s="951" t="s">
        <v>38</v>
      </c>
      <c r="E307" s="952"/>
      <c r="F307" s="952"/>
      <c r="G307" s="953"/>
      <c r="H307" s="954"/>
      <c r="I307" s="830"/>
      <c r="J307" s="830"/>
      <c r="K307" s="831"/>
      <c r="L307" s="831"/>
      <c r="M307" s="831"/>
      <c r="N307" s="831"/>
      <c r="O307" s="831"/>
      <c r="P307" s="831"/>
    </row>
    <row r="308" spans="1:26" ht="18.75" hidden="1">
      <c r="A308" s="949"/>
      <c r="B308" s="950"/>
      <c r="C308" s="950"/>
      <c r="D308" s="956" t="s">
        <v>140</v>
      </c>
      <c r="E308" s="956"/>
      <c r="F308" s="956"/>
      <c r="G308" s="958"/>
      <c r="H308" s="730"/>
      <c r="I308" s="830"/>
      <c r="J308" s="959">
        <v>0</v>
      </c>
      <c r="K308" s="831"/>
      <c r="L308" s="831"/>
      <c r="M308" s="831"/>
      <c r="N308" s="831"/>
      <c r="O308" s="831"/>
      <c r="P308" s="831"/>
    </row>
    <row r="309" spans="1:26" ht="18.75" hidden="1">
      <c r="A309" s="949"/>
      <c r="B309" s="950"/>
      <c r="C309" s="950"/>
      <c r="D309" s="956" t="s">
        <v>141</v>
      </c>
      <c r="E309" s="956"/>
      <c r="F309" s="956"/>
      <c r="G309" s="958"/>
      <c r="H309" s="730" t="s">
        <v>35</v>
      </c>
      <c r="I309" s="830">
        <f ca="1">IFERROR(__xludf.DUMMYFUNCTION("IMPORTRANGE(""https://docs.google.com/spreadsheets/d/1QqKyyYR6Q21VydFLVH3TRQUabQu_ym0Zz7PgGX0-kHA/edit?usp=sharing"",""แผน!ED27"")"),0)</f>
        <v>0</v>
      </c>
      <c r="J309" s="959">
        <v>0</v>
      </c>
      <c r="K309" s="831">
        <f t="shared" ref="K309:K312" ca="1" si="141">IF(I309&gt;0,J309*100/I309,0)</f>
        <v>0</v>
      </c>
      <c r="L309" s="831"/>
      <c r="M309" s="831"/>
      <c r="N309" s="831"/>
      <c r="O309" s="831"/>
      <c r="P309" s="831"/>
    </row>
    <row r="310" spans="1:26" ht="18.75" hidden="1">
      <c r="A310" s="949"/>
      <c r="B310" s="950"/>
      <c r="C310" s="950"/>
      <c r="D310" s="956" t="s">
        <v>142</v>
      </c>
      <c r="E310" s="956"/>
      <c r="F310" s="956"/>
      <c r="G310" s="958"/>
      <c r="H310" s="730" t="s">
        <v>35</v>
      </c>
      <c r="I310" s="830">
        <f ca="1">IFERROR(__xludf.DUMMYFUNCTION("IMPORTRANGE(""https://docs.google.com/spreadsheets/d/1QqKyyYR6Q21VydFLVH3TRQUabQu_ym0Zz7PgGX0-kHA/edit?usp=sharing"",""แผน!ED27"")"),0)</f>
        <v>0</v>
      </c>
      <c r="J310" s="959">
        <v>0</v>
      </c>
      <c r="K310" s="831">
        <f t="shared" ca="1" si="141"/>
        <v>0</v>
      </c>
      <c r="L310" s="831"/>
      <c r="M310" s="831"/>
      <c r="N310" s="831"/>
      <c r="O310" s="831"/>
      <c r="P310" s="831"/>
    </row>
    <row r="311" spans="1:26" ht="18.75" hidden="1">
      <c r="A311" s="949"/>
      <c r="B311" s="950"/>
      <c r="C311" s="950"/>
      <c r="D311" s="956" t="s">
        <v>59</v>
      </c>
      <c r="E311" s="956"/>
      <c r="F311" s="956"/>
      <c r="G311" s="958"/>
      <c r="H311" s="730" t="s">
        <v>35</v>
      </c>
      <c r="I311" s="830">
        <f ca="1">IFERROR(__xludf.DUMMYFUNCTION("IMPORTRANGE(""https://docs.google.com/spreadsheets/d/1QqKyyYR6Q21VydFLVH3TRQUabQu_ym0Zz7PgGX0-kHA/edit?usp=sharing"",""แผน!ED27"")"),0)</f>
        <v>0</v>
      </c>
      <c r="J311" s="959">
        <v>0</v>
      </c>
      <c r="K311" s="831">
        <f t="shared" ca="1" si="141"/>
        <v>0</v>
      </c>
      <c r="L311" s="831"/>
      <c r="M311" s="831"/>
      <c r="N311" s="831"/>
      <c r="O311" s="831"/>
      <c r="P311" s="831"/>
    </row>
    <row r="312" spans="1:26" ht="18.75" hidden="1">
      <c r="A312" s="949"/>
      <c r="B312" s="950"/>
      <c r="C312" s="950"/>
      <c r="D312" s="956" t="s">
        <v>143</v>
      </c>
      <c r="E312" s="956"/>
      <c r="F312" s="956"/>
      <c r="G312" s="958"/>
      <c r="H312" s="730" t="s">
        <v>35</v>
      </c>
      <c r="I312" s="830">
        <f ca="1">IFERROR(__xludf.DUMMYFUNCTION("IMPORTRANGE(""https://docs.google.com/spreadsheets/d/1QqKyyYR6Q21VydFLVH3TRQUabQu_ym0Zz7PgGX0-kHA/edit?usp=sharing"",""แผน!EE27"")"),0)</f>
        <v>0</v>
      </c>
      <c r="J312" s="959">
        <v>0</v>
      </c>
      <c r="K312" s="831">
        <f t="shared" ca="1" si="141"/>
        <v>0</v>
      </c>
      <c r="L312" s="831"/>
      <c r="M312" s="831"/>
      <c r="N312" s="831"/>
      <c r="O312" s="831"/>
      <c r="P312" s="831"/>
    </row>
    <row r="313" spans="1:26" ht="19.5" hidden="1">
      <c r="A313" s="1126" t="s">
        <v>144</v>
      </c>
      <c r="B313" s="1127"/>
      <c r="C313" s="1127"/>
      <c r="D313" s="1128"/>
      <c r="E313" s="1127"/>
      <c r="F313" s="1127"/>
      <c r="G313" s="1127"/>
      <c r="H313" s="1140"/>
      <c r="I313" s="1131"/>
      <c r="J313" s="1131"/>
      <c r="K313" s="1132"/>
      <c r="L313" s="1132"/>
      <c r="M313" s="1132"/>
      <c r="N313" s="1132"/>
      <c r="O313" s="1132"/>
      <c r="P313" s="1132"/>
    </row>
    <row r="314" spans="1:26" ht="19.5" hidden="1">
      <c r="A314" s="1141"/>
      <c r="B314" s="1134" t="s">
        <v>145</v>
      </c>
      <c r="C314" s="1142"/>
      <c r="D314" s="1143"/>
      <c r="E314" s="1135"/>
      <c r="F314" s="1135"/>
      <c r="G314" s="1136"/>
      <c r="H314" s="412" t="s">
        <v>146</v>
      </c>
      <c r="I314" s="1137">
        <f t="shared" ref="I314:J314" ca="1" si="142">I325</f>
        <v>0</v>
      </c>
      <c r="J314" s="1137">
        <f t="shared" si="142"/>
        <v>0</v>
      </c>
      <c r="K314" s="1138">
        <f ca="1">IF(I314&gt;0,J314*100/I314,0)</f>
        <v>0</v>
      </c>
      <c r="L314" s="1139"/>
      <c r="M314" s="1139"/>
      <c r="N314" s="1139"/>
      <c r="O314" s="1139"/>
      <c r="P314" s="1139"/>
    </row>
    <row r="315" spans="1:26" ht="19.5" hidden="1">
      <c r="A315" s="932"/>
      <c r="B315" s="933"/>
      <c r="C315" s="934" t="s">
        <v>16</v>
      </c>
      <c r="D315" s="935" t="s">
        <v>17</v>
      </c>
      <c r="E315" s="933"/>
      <c r="F315" s="933"/>
      <c r="G315" s="936"/>
      <c r="H315" s="152" t="s">
        <v>12</v>
      </c>
      <c r="I315" s="937"/>
      <c r="J315" s="937"/>
      <c r="K315" s="938"/>
      <c r="L315" s="939">
        <f t="shared" ref="L315:N315" ca="1" si="143">L316+L317</f>
        <v>0</v>
      </c>
      <c r="M315" s="939">
        <f t="shared" ca="1" si="143"/>
        <v>0</v>
      </c>
      <c r="N315" s="939">
        <f t="shared" ca="1" si="143"/>
        <v>0</v>
      </c>
      <c r="O315" s="939">
        <f t="shared" ref="O315:O323" ca="1" si="144">IF(L315&gt;0,N315*100/L315,0)</f>
        <v>0</v>
      </c>
      <c r="P315" s="939">
        <f t="shared" ref="P315:P323" ca="1" si="145">IF(M315&gt;0,N315*100/M315,0)</f>
        <v>0</v>
      </c>
      <c r="Q315" s="818"/>
      <c r="R315" s="818"/>
      <c r="S315" s="818"/>
      <c r="T315" s="818"/>
      <c r="U315" s="818"/>
      <c r="V315" s="818"/>
      <c r="W315" s="818"/>
      <c r="X315" s="818"/>
      <c r="Y315" s="818"/>
      <c r="Z315" s="818"/>
    </row>
    <row r="316" spans="1:26" ht="18.75" hidden="1">
      <c r="A316" s="940"/>
      <c r="B316" s="833"/>
      <c r="C316" s="833"/>
      <c r="D316" s="833"/>
      <c r="E316" s="834" t="s">
        <v>18</v>
      </c>
      <c r="F316" s="833"/>
      <c r="G316" s="941"/>
      <c r="H316" s="158" t="s">
        <v>12</v>
      </c>
      <c r="I316" s="836"/>
      <c r="J316" s="836"/>
      <c r="K316" s="837"/>
      <c r="L316" s="837">
        <f t="shared" ref="L316:N317" si="146">L319+L322</f>
        <v>0</v>
      </c>
      <c r="M316" s="837">
        <f t="shared" si="146"/>
        <v>0</v>
      </c>
      <c r="N316" s="837">
        <f t="shared" si="146"/>
        <v>0</v>
      </c>
      <c r="O316" s="837">
        <f t="shared" si="144"/>
        <v>0</v>
      </c>
      <c r="P316" s="837">
        <f t="shared" si="145"/>
        <v>0</v>
      </c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</row>
    <row r="317" spans="1:26" ht="18.75" hidden="1">
      <c r="A317" s="940"/>
      <c r="B317" s="833"/>
      <c r="C317" s="833"/>
      <c r="D317" s="833"/>
      <c r="E317" s="834" t="s">
        <v>19</v>
      </c>
      <c r="F317" s="833"/>
      <c r="G317" s="941"/>
      <c r="H317" s="158" t="s">
        <v>12</v>
      </c>
      <c r="I317" s="836"/>
      <c r="J317" s="836"/>
      <c r="K317" s="837"/>
      <c r="L317" s="837">
        <f t="shared" ca="1" si="146"/>
        <v>0</v>
      </c>
      <c r="M317" s="837">
        <f t="shared" ca="1" si="146"/>
        <v>0</v>
      </c>
      <c r="N317" s="837">
        <f t="shared" ca="1" si="146"/>
        <v>0</v>
      </c>
      <c r="O317" s="837">
        <f t="shared" ca="1" si="144"/>
        <v>0</v>
      </c>
      <c r="P317" s="837">
        <f t="shared" ca="1" si="145"/>
        <v>0</v>
      </c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</row>
    <row r="318" spans="1:26" ht="18.75" hidden="1">
      <c r="A318" s="942"/>
      <c r="B318" s="827"/>
      <c r="C318" s="943"/>
      <c r="D318" s="828" t="s">
        <v>20</v>
      </c>
      <c r="E318" s="827"/>
      <c r="F318" s="827"/>
      <c r="G318" s="829"/>
      <c r="H318" s="778" t="s">
        <v>12</v>
      </c>
      <c r="I318" s="944"/>
      <c r="J318" s="944"/>
      <c r="K318" s="945"/>
      <c r="L318" s="831">
        <f t="shared" ref="L318:N318" ca="1" si="147">L319+L320</f>
        <v>0</v>
      </c>
      <c r="M318" s="831">
        <f t="shared" ca="1" si="147"/>
        <v>0</v>
      </c>
      <c r="N318" s="831">
        <f t="shared" ca="1" si="147"/>
        <v>0</v>
      </c>
      <c r="O318" s="831">
        <f t="shared" ca="1" si="144"/>
        <v>0</v>
      </c>
      <c r="P318" s="831">
        <f t="shared" ca="1" si="145"/>
        <v>0</v>
      </c>
      <c r="Q318" s="818"/>
      <c r="R318" s="818"/>
      <c r="S318" s="818"/>
      <c r="T318" s="818"/>
      <c r="U318" s="818"/>
      <c r="V318" s="818"/>
      <c r="W318" s="818"/>
      <c r="X318" s="818"/>
      <c r="Y318" s="818"/>
      <c r="Z318" s="818"/>
    </row>
    <row r="319" spans="1:26" ht="19.5" hidden="1">
      <c r="A319" s="940"/>
      <c r="B319" s="833"/>
      <c r="C319" s="946"/>
      <c r="D319" s="833"/>
      <c r="E319" s="834" t="s">
        <v>36</v>
      </c>
      <c r="F319" s="833"/>
      <c r="G319" s="941"/>
      <c r="H319" s="165" t="s">
        <v>12</v>
      </c>
      <c r="I319" s="947"/>
      <c r="J319" s="947"/>
      <c r="K319" s="948"/>
      <c r="L319" s="837">
        <v>0</v>
      </c>
      <c r="M319" s="837">
        <v>0</v>
      </c>
      <c r="N319" s="837">
        <v>0</v>
      </c>
      <c r="O319" s="837">
        <f t="shared" si="144"/>
        <v>0</v>
      </c>
      <c r="P319" s="837">
        <f t="shared" si="145"/>
        <v>0</v>
      </c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</row>
    <row r="320" spans="1:26" ht="19.5" hidden="1">
      <c r="A320" s="940"/>
      <c r="B320" s="833"/>
      <c r="C320" s="946"/>
      <c r="D320" s="833"/>
      <c r="E320" s="834" t="s">
        <v>37</v>
      </c>
      <c r="F320" s="833"/>
      <c r="G320" s="941"/>
      <c r="H320" s="165" t="s">
        <v>12</v>
      </c>
      <c r="I320" s="947"/>
      <c r="J320" s="947"/>
      <c r="K320" s="948"/>
      <c r="L320" s="837">
        <f ca="1">IFERROR(__xludf.DUMMYFUNCTION("IMPORTRANGE(""https://docs.google.com/spreadsheets/d/1MeEWN-I1oV_STSDYn1IFDPWt_1FKiwhDph83XaGc0o0/edit?usp=sharing"",""งบพรบ!EC27"")"),0)</f>
        <v>0</v>
      </c>
      <c r="M320" s="837">
        <f ca="1">IFERROR(__xludf.DUMMYFUNCTION("IMPORTRANGE(""https://docs.google.com/spreadsheets/d/1MeEWN-I1oV_STSDYn1IFDPWt_1FKiwhDph83XaGc0o0/edit?usp=sharing"",""งบพรบ!EH27"")"),0)</f>
        <v>0</v>
      </c>
      <c r="N320" s="837">
        <f ca="1">IFERROR(__xludf.DUMMYFUNCTION("IMPORTRANGE(""https://docs.google.com/spreadsheets/d/1MeEWN-I1oV_STSDYn1IFDPWt_1FKiwhDph83XaGc0o0/edit?usp=sharing"",""งบพรบ!EJ27"")"),0)</f>
        <v>0</v>
      </c>
      <c r="O320" s="837">
        <f t="shared" ca="1" si="144"/>
        <v>0</v>
      </c>
      <c r="P320" s="837">
        <f t="shared" ca="1" si="145"/>
        <v>0</v>
      </c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</row>
    <row r="321" spans="1:26" ht="18.75" hidden="1">
      <c r="A321" s="942"/>
      <c r="B321" s="827"/>
      <c r="C321" s="943"/>
      <c r="D321" s="828" t="s">
        <v>21</v>
      </c>
      <c r="E321" s="827"/>
      <c r="F321" s="827"/>
      <c r="G321" s="829"/>
      <c r="H321" s="168" t="s">
        <v>12</v>
      </c>
      <c r="I321" s="944"/>
      <c r="J321" s="944"/>
      <c r="K321" s="945"/>
      <c r="L321" s="831">
        <f t="shared" ref="L321:N321" ca="1" si="148">L322+L323</f>
        <v>0</v>
      </c>
      <c r="M321" s="831">
        <f t="shared" ca="1" si="148"/>
        <v>0</v>
      </c>
      <c r="N321" s="831">
        <f t="shared" ca="1" si="148"/>
        <v>0</v>
      </c>
      <c r="O321" s="831">
        <f t="shared" ca="1" si="144"/>
        <v>0</v>
      </c>
      <c r="P321" s="831">
        <f t="shared" ca="1" si="145"/>
        <v>0</v>
      </c>
      <c r="Q321" s="818"/>
      <c r="R321" s="818"/>
      <c r="S321" s="818"/>
      <c r="T321" s="818"/>
      <c r="U321" s="818"/>
      <c r="V321" s="818"/>
      <c r="W321" s="818"/>
      <c r="X321" s="818"/>
      <c r="Y321" s="818"/>
      <c r="Z321" s="818"/>
    </row>
    <row r="322" spans="1:26" ht="19.5" hidden="1">
      <c r="A322" s="940"/>
      <c r="B322" s="833"/>
      <c r="C322" s="946"/>
      <c r="D322" s="833"/>
      <c r="E322" s="834" t="s">
        <v>18</v>
      </c>
      <c r="F322" s="833"/>
      <c r="G322" s="941"/>
      <c r="H322" s="165" t="s">
        <v>12</v>
      </c>
      <c r="I322" s="947"/>
      <c r="J322" s="947"/>
      <c r="K322" s="948"/>
      <c r="L322" s="837">
        <v>0</v>
      </c>
      <c r="M322" s="837">
        <v>0</v>
      </c>
      <c r="N322" s="837">
        <v>0</v>
      </c>
      <c r="O322" s="837">
        <f t="shared" si="144"/>
        <v>0</v>
      </c>
      <c r="P322" s="837">
        <f t="shared" si="145"/>
        <v>0</v>
      </c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</row>
    <row r="323" spans="1:26" ht="19.5" hidden="1">
      <c r="A323" s="940"/>
      <c r="B323" s="833"/>
      <c r="C323" s="946"/>
      <c r="D323" s="833"/>
      <c r="E323" s="834" t="s">
        <v>19</v>
      </c>
      <c r="F323" s="833"/>
      <c r="G323" s="941"/>
      <c r="H323" s="169" t="s">
        <v>12</v>
      </c>
      <c r="I323" s="947"/>
      <c r="J323" s="947"/>
      <c r="K323" s="948"/>
      <c r="L323" s="837">
        <f ca="1">IFERROR(__xludf.DUMMYFUNCTION("IMPORTRANGE(""https://docs.google.com/spreadsheets/d/1MeEWN-I1oV_STSDYn1IFDPWt_1FKiwhDph83XaGc0o0/edit?usp=sharing"",""งบพรบ!EF27"")"),0)</f>
        <v>0</v>
      </c>
      <c r="M323" s="837">
        <f ca="1">IFERROR(__xludf.DUMMYFUNCTION("IMPORTRANGE(""https://docs.google.com/spreadsheets/d/1MeEWN-I1oV_STSDYn1IFDPWt_1FKiwhDph83XaGc0o0/edit?usp=sharing"",""งบพรบ!EI27"")"),0)</f>
        <v>0</v>
      </c>
      <c r="N323" s="837">
        <f ca="1">IFERROR(__xludf.DUMMYFUNCTION("IMPORTRANGE(""https://docs.google.com/spreadsheets/d/1MeEWN-I1oV_STSDYn1IFDPWt_1FKiwhDph83XaGc0o0/edit?usp=sharing"",""งบพรบ!EK27"")"),0)</f>
        <v>0</v>
      </c>
      <c r="O323" s="837">
        <f t="shared" ca="1" si="144"/>
        <v>0</v>
      </c>
      <c r="P323" s="837">
        <f t="shared" ca="1" si="145"/>
        <v>0</v>
      </c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</row>
    <row r="324" spans="1:26" ht="19.5" hidden="1">
      <c r="A324" s="949"/>
      <c r="B324" s="950"/>
      <c r="C324" s="946" t="s">
        <v>16</v>
      </c>
      <c r="D324" s="951" t="s">
        <v>38</v>
      </c>
      <c r="E324" s="952"/>
      <c r="F324" s="952"/>
      <c r="G324" s="953"/>
      <c r="H324" s="954"/>
      <c r="I324" s="944"/>
      <c r="J324" s="830"/>
      <c r="K324" s="831"/>
      <c r="L324" s="831"/>
      <c r="M324" s="831"/>
      <c r="N324" s="831"/>
      <c r="O324" s="945"/>
      <c r="P324" s="945"/>
    </row>
    <row r="325" spans="1:26" ht="18.75" hidden="1">
      <c r="A325" s="949"/>
      <c r="B325" s="950"/>
      <c r="C325" s="950"/>
      <c r="D325" s="955" t="s">
        <v>147</v>
      </c>
      <c r="E325" s="957"/>
      <c r="F325" s="956"/>
      <c r="G325" s="958"/>
      <c r="H325" s="590" t="s">
        <v>146</v>
      </c>
      <c r="I325" s="830">
        <f ca="1">IFERROR(__xludf.DUMMYFUNCTION("IMPORTRANGE(""https://docs.google.com/spreadsheets/d/1QqKyyYR6Q21VydFLVH3TRQUabQu_ym0Zz7PgGX0-kHA/edit?usp=sharing"",""แผน!EF27"")"),0)</f>
        <v>0</v>
      </c>
      <c r="J325" s="959">
        <v>0</v>
      </c>
      <c r="K325" s="831">
        <f ca="1">IF(I325&gt;0,J325*100/I325,0)</f>
        <v>0</v>
      </c>
      <c r="L325" s="831"/>
      <c r="M325" s="831"/>
      <c r="N325" s="831"/>
      <c r="O325" s="945"/>
      <c r="P325" s="945"/>
    </row>
    <row r="326" spans="1:26" ht="19.5">
      <c r="A326" s="1126" t="s">
        <v>148</v>
      </c>
      <c r="B326" s="1127"/>
      <c r="C326" s="1127"/>
      <c r="D326" s="1128"/>
      <c r="E326" s="1127"/>
      <c r="F326" s="1127"/>
      <c r="G326" s="1127"/>
      <c r="H326" s="1140"/>
      <c r="I326" s="1131"/>
      <c r="J326" s="1131"/>
      <c r="K326" s="1132"/>
      <c r="L326" s="1132"/>
      <c r="M326" s="1132"/>
      <c r="N326" s="1132"/>
      <c r="O326" s="1132"/>
      <c r="P326" s="1132"/>
    </row>
    <row r="327" spans="1:26" ht="19.5">
      <c r="A327" s="1133"/>
      <c r="B327" s="1134" t="s">
        <v>149</v>
      </c>
      <c r="C327" s="1143"/>
      <c r="D327" s="1135"/>
      <c r="E327" s="1135"/>
      <c r="F327" s="1135"/>
      <c r="G327" s="1136"/>
      <c r="H327" s="412" t="s">
        <v>35</v>
      </c>
      <c r="I327" s="1137">
        <f ca="1">IFERROR(__xludf.DUMMYFUNCTION("IMPORTRANGE(""https://docs.google.com/spreadsheets/d/1QqKyyYR6Q21VydFLVH3TRQUabQu_ym0Zz7PgGX0-kHA/edit?usp=sharing"",""แผน!EG27"")"),700)</f>
        <v>700</v>
      </c>
      <c r="J327" s="1137">
        <f ca="1">J338+J341+J342+J343</f>
        <v>771</v>
      </c>
      <c r="K327" s="1138">
        <f ca="1">IF(I327&gt;0,J327*100/I327,0)</f>
        <v>110.14285714285714</v>
      </c>
      <c r="L327" s="1139"/>
      <c r="M327" s="1139"/>
      <c r="N327" s="1139"/>
      <c r="O327" s="1139"/>
      <c r="P327" s="1139"/>
    </row>
    <row r="328" spans="1:26" ht="19.5">
      <c r="A328" s="932"/>
      <c r="B328" s="933"/>
      <c r="C328" s="934" t="s">
        <v>16</v>
      </c>
      <c r="D328" s="935" t="s">
        <v>17</v>
      </c>
      <c r="E328" s="933"/>
      <c r="F328" s="933"/>
      <c r="G328" s="936"/>
      <c r="H328" s="152" t="s">
        <v>12</v>
      </c>
      <c r="I328" s="937"/>
      <c r="J328" s="937"/>
      <c r="K328" s="938"/>
      <c r="L328" s="939">
        <f t="shared" ref="L328:N328" ca="1" si="149">L329+L330</f>
        <v>165000</v>
      </c>
      <c r="M328" s="939">
        <f t="shared" ca="1" si="149"/>
        <v>126250</v>
      </c>
      <c r="N328" s="939">
        <f t="shared" ca="1" si="149"/>
        <v>68328</v>
      </c>
      <c r="O328" s="939">
        <f t="shared" ref="O328:O336" ca="1" si="150">IF(L328&gt;0,N328*100/L328,0)</f>
        <v>41.410909090909094</v>
      </c>
      <c r="P328" s="939">
        <f t="shared" ref="P328:P336" ca="1" si="151">IF(M328&gt;0,N328*100/M328,0)</f>
        <v>54.12118811881188</v>
      </c>
      <c r="Q328" s="818"/>
      <c r="R328" s="818"/>
      <c r="S328" s="818"/>
      <c r="T328" s="818"/>
      <c r="U328" s="818"/>
      <c r="V328" s="818"/>
      <c r="W328" s="818"/>
      <c r="X328" s="818"/>
      <c r="Y328" s="818"/>
      <c r="Z328" s="818"/>
    </row>
    <row r="329" spans="1:26" ht="18.75" hidden="1">
      <c r="A329" s="940"/>
      <c r="B329" s="833"/>
      <c r="C329" s="833"/>
      <c r="D329" s="833"/>
      <c r="E329" s="834" t="s">
        <v>18</v>
      </c>
      <c r="F329" s="833"/>
      <c r="G329" s="941"/>
      <c r="H329" s="158" t="s">
        <v>12</v>
      </c>
      <c r="I329" s="836"/>
      <c r="J329" s="836"/>
      <c r="K329" s="837"/>
      <c r="L329" s="837">
        <f t="shared" ref="L329:N330" si="152">L332+L335</f>
        <v>0</v>
      </c>
      <c r="M329" s="837">
        <f t="shared" si="152"/>
        <v>0</v>
      </c>
      <c r="N329" s="837">
        <f t="shared" si="152"/>
        <v>0</v>
      </c>
      <c r="O329" s="837">
        <f t="shared" si="150"/>
        <v>0</v>
      </c>
      <c r="P329" s="837">
        <f t="shared" si="151"/>
        <v>0</v>
      </c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</row>
    <row r="330" spans="1:26" ht="18.75" hidden="1">
      <c r="A330" s="940"/>
      <c r="B330" s="833"/>
      <c r="C330" s="833"/>
      <c r="D330" s="833"/>
      <c r="E330" s="834" t="s">
        <v>19</v>
      </c>
      <c r="F330" s="833"/>
      <c r="G330" s="941"/>
      <c r="H330" s="158" t="s">
        <v>12</v>
      </c>
      <c r="I330" s="836"/>
      <c r="J330" s="836"/>
      <c r="K330" s="837"/>
      <c r="L330" s="837">
        <f t="shared" ca="1" si="152"/>
        <v>165000</v>
      </c>
      <c r="M330" s="837">
        <f t="shared" ca="1" si="152"/>
        <v>126250</v>
      </c>
      <c r="N330" s="837">
        <f t="shared" ca="1" si="152"/>
        <v>68328</v>
      </c>
      <c r="O330" s="837">
        <f t="shared" ca="1" si="150"/>
        <v>41.410909090909094</v>
      </c>
      <c r="P330" s="837">
        <f t="shared" ca="1" si="151"/>
        <v>54.12118811881188</v>
      </c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</row>
    <row r="331" spans="1:26" ht="18.75">
      <c r="A331" s="942"/>
      <c r="B331" s="827"/>
      <c r="C331" s="943"/>
      <c r="D331" s="828" t="s">
        <v>20</v>
      </c>
      <c r="E331" s="827"/>
      <c r="F331" s="827"/>
      <c r="G331" s="829"/>
      <c r="H331" s="778" t="s">
        <v>12</v>
      </c>
      <c r="I331" s="944"/>
      <c r="J331" s="944"/>
      <c r="K331" s="945"/>
      <c r="L331" s="831">
        <f t="shared" ref="L331:N331" ca="1" si="153">L332+L333</f>
        <v>165000</v>
      </c>
      <c r="M331" s="831">
        <f t="shared" ca="1" si="153"/>
        <v>126250</v>
      </c>
      <c r="N331" s="831">
        <f t="shared" ca="1" si="153"/>
        <v>68328</v>
      </c>
      <c r="O331" s="831">
        <f t="shared" ca="1" si="150"/>
        <v>41.410909090909094</v>
      </c>
      <c r="P331" s="831">
        <f t="shared" ca="1" si="151"/>
        <v>54.12118811881188</v>
      </c>
      <c r="Q331" s="818"/>
      <c r="R331" s="818"/>
      <c r="S331" s="818"/>
      <c r="T331" s="818"/>
      <c r="U331" s="818"/>
      <c r="V331" s="818"/>
      <c r="W331" s="818"/>
      <c r="X331" s="818"/>
      <c r="Y331" s="818"/>
      <c r="Z331" s="818"/>
    </row>
    <row r="332" spans="1:26" ht="19.5" hidden="1">
      <c r="A332" s="940"/>
      <c r="B332" s="833"/>
      <c r="C332" s="946"/>
      <c r="D332" s="833"/>
      <c r="E332" s="834" t="s">
        <v>36</v>
      </c>
      <c r="F332" s="833"/>
      <c r="G332" s="941"/>
      <c r="H332" s="165" t="s">
        <v>12</v>
      </c>
      <c r="I332" s="947"/>
      <c r="J332" s="947"/>
      <c r="K332" s="948"/>
      <c r="L332" s="837">
        <v>0</v>
      </c>
      <c r="M332" s="837">
        <v>0</v>
      </c>
      <c r="N332" s="837">
        <v>0</v>
      </c>
      <c r="O332" s="837">
        <f t="shared" si="150"/>
        <v>0</v>
      </c>
      <c r="P332" s="837">
        <f t="shared" si="151"/>
        <v>0</v>
      </c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</row>
    <row r="333" spans="1:26" ht="19.5" hidden="1">
      <c r="A333" s="940"/>
      <c r="B333" s="833"/>
      <c r="C333" s="946"/>
      <c r="D333" s="833"/>
      <c r="E333" s="834" t="s">
        <v>37</v>
      </c>
      <c r="F333" s="833"/>
      <c r="G333" s="941"/>
      <c r="H333" s="165" t="s">
        <v>12</v>
      </c>
      <c r="I333" s="947"/>
      <c r="J333" s="947"/>
      <c r="K333" s="948"/>
      <c r="L333" s="837">
        <f ca="1">IFERROR(__xludf.DUMMYFUNCTION("IMPORTRANGE(""https://docs.google.com/spreadsheets/d/1MeEWN-I1oV_STSDYn1IFDPWt_1FKiwhDph83XaGc0o0/edit?usp=sharing"",""งบพรบ!EM27"")"),165000)</f>
        <v>165000</v>
      </c>
      <c r="M333" s="837">
        <f ca="1">IFERROR(__xludf.DUMMYFUNCTION("IMPORTRANGE(""https://docs.google.com/spreadsheets/d/1MeEWN-I1oV_STSDYn1IFDPWt_1FKiwhDph83XaGc0o0/edit?usp=sharing"",""งบพรบ!ER27"")"),126250)</f>
        <v>126250</v>
      </c>
      <c r="N333" s="837">
        <f ca="1">IFERROR(__xludf.DUMMYFUNCTION("IMPORTRANGE(""https://docs.google.com/spreadsheets/d/1MeEWN-I1oV_STSDYn1IFDPWt_1FKiwhDph83XaGc0o0/edit?usp=sharing"",""งบพรบ!ET27"")"),68328)</f>
        <v>68328</v>
      </c>
      <c r="O333" s="837">
        <f t="shared" ca="1" si="150"/>
        <v>41.410909090909094</v>
      </c>
      <c r="P333" s="837">
        <f t="shared" ca="1" si="151"/>
        <v>54.12118811881188</v>
      </c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</row>
    <row r="334" spans="1:26" ht="18.75">
      <c r="A334" s="942"/>
      <c r="B334" s="827"/>
      <c r="C334" s="943"/>
      <c r="D334" s="828" t="s">
        <v>21</v>
      </c>
      <c r="E334" s="827"/>
      <c r="F334" s="827"/>
      <c r="G334" s="829"/>
      <c r="H334" s="168" t="s">
        <v>12</v>
      </c>
      <c r="I334" s="944"/>
      <c r="J334" s="944"/>
      <c r="K334" s="945"/>
      <c r="L334" s="831">
        <f t="shared" ref="L334:N334" ca="1" si="154">L335+L336</f>
        <v>0</v>
      </c>
      <c r="M334" s="831">
        <f t="shared" ca="1" si="154"/>
        <v>0</v>
      </c>
      <c r="N334" s="831">
        <f t="shared" ca="1" si="154"/>
        <v>0</v>
      </c>
      <c r="O334" s="831">
        <f t="shared" ca="1" si="150"/>
        <v>0</v>
      </c>
      <c r="P334" s="831">
        <f t="shared" ca="1" si="151"/>
        <v>0</v>
      </c>
      <c r="Q334" s="818"/>
      <c r="R334" s="818"/>
      <c r="S334" s="818"/>
      <c r="T334" s="818"/>
      <c r="U334" s="818"/>
      <c r="V334" s="818"/>
      <c r="W334" s="818"/>
      <c r="X334" s="818"/>
      <c r="Y334" s="818"/>
      <c r="Z334" s="818"/>
    </row>
    <row r="335" spans="1:26" ht="19.5" hidden="1">
      <c r="A335" s="940"/>
      <c r="B335" s="833"/>
      <c r="C335" s="946"/>
      <c r="D335" s="833"/>
      <c r="E335" s="834" t="s">
        <v>18</v>
      </c>
      <c r="F335" s="833"/>
      <c r="G335" s="941"/>
      <c r="H335" s="165" t="s">
        <v>12</v>
      </c>
      <c r="I335" s="947"/>
      <c r="J335" s="947"/>
      <c r="K335" s="948"/>
      <c r="L335" s="837">
        <v>0</v>
      </c>
      <c r="M335" s="837">
        <v>0</v>
      </c>
      <c r="N335" s="837">
        <v>0</v>
      </c>
      <c r="O335" s="837">
        <f t="shared" si="150"/>
        <v>0</v>
      </c>
      <c r="P335" s="837">
        <f t="shared" si="151"/>
        <v>0</v>
      </c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</row>
    <row r="336" spans="1:26" ht="19.5" hidden="1">
      <c r="A336" s="940"/>
      <c r="B336" s="833"/>
      <c r="C336" s="946"/>
      <c r="D336" s="833"/>
      <c r="E336" s="834" t="s">
        <v>19</v>
      </c>
      <c r="F336" s="833"/>
      <c r="G336" s="941"/>
      <c r="H336" s="169" t="s">
        <v>12</v>
      </c>
      <c r="I336" s="947"/>
      <c r="J336" s="947"/>
      <c r="K336" s="948"/>
      <c r="L336" s="837">
        <f ca="1">IFERROR(__xludf.DUMMYFUNCTION("IMPORTRANGE(""https://docs.google.com/spreadsheets/d/1MeEWN-I1oV_STSDYn1IFDPWt_1FKiwhDph83XaGc0o0/edit?usp=sharing"",""งบพรบ!EP27"")"),0)</f>
        <v>0</v>
      </c>
      <c r="M336" s="837">
        <f ca="1">IFERROR(__xludf.DUMMYFUNCTION("IMPORTRANGE(""https://docs.google.com/spreadsheets/d/1MeEWN-I1oV_STSDYn1IFDPWt_1FKiwhDph83XaGc0o0/edit?usp=sharing"",""งบพรบ!ES27"")"),0)</f>
        <v>0</v>
      </c>
      <c r="N336" s="837">
        <f ca="1">IFERROR(__xludf.DUMMYFUNCTION("IMPORTRANGE(""https://docs.google.com/spreadsheets/d/1MeEWN-I1oV_STSDYn1IFDPWt_1FKiwhDph83XaGc0o0/edit?usp=sharing"",""งบพรบ!EU27"")"),0)</f>
        <v>0</v>
      </c>
      <c r="O336" s="837">
        <f t="shared" ca="1" si="150"/>
        <v>0</v>
      </c>
      <c r="P336" s="837">
        <f t="shared" ca="1" si="151"/>
        <v>0</v>
      </c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</row>
    <row r="337" spans="1:26" ht="19.5">
      <c r="A337" s="949"/>
      <c r="B337" s="950"/>
      <c r="C337" s="946" t="s">
        <v>16</v>
      </c>
      <c r="D337" s="951" t="s">
        <v>38</v>
      </c>
      <c r="E337" s="952"/>
      <c r="F337" s="952"/>
      <c r="G337" s="953"/>
      <c r="H337" s="954"/>
      <c r="I337" s="944"/>
      <c r="J337" s="830"/>
      <c r="K337" s="831"/>
      <c r="L337" s="831"/>
      <c r="M337" s="831"/>
      <c r="N337" s="831"/>
      <c r="O337" s="945"/>
      <c r="P337" s="945"/>
    </row>
    <row r="338" spans="1:26" ht="18.75">
      <c r="A338" s="1032"/>
      <c r="B338" s="827"/>
      <c r="C338" s="1030"/>
      <c r="D338" s="956" t="s">
        <v>150</v>
      </c>
      <c r="E338" s="950"/>
      <c r="F338" s="827"/>
      <c r="G338" s="829"/>
      <c r="H338" s="277" t="s">
        <v>35</v>
      </c>
      <c r="I338" s="830">
        <f ca="1">IFERROR(__xludf.DUMMYFUNCTION("IMPORTRANGE(""https://docs.google.com/spreadsheets/d/1QqKyyYR6Q21VydFLVH3TRQUabQu_ym0Zz7PgGX0-kHA/edit?usp=sharing"",""แผน!EG27"")"),700)</f>
        <v>700</v>
      </c>
      <c r="J338" s="830">
        <f ca="1">IFERROR(__xludf.DUMMYFUNCTION("IMPORTRANGE(""https://docs.google.com/spreadsheets/d/1kVcqe37tkHyjCSG3S0O1AXqVkqjo8mSIZil3BcpIysc/edit?usp=sharing"",""ศูนย์!D27"")"),503)</f>
        <v>503</v>
      </c>
      <c r="K338" s="831">
        <f ca="1">IF(I338&gt;0,J338*100/I338,0)</f>
        <v>71.857142857142861</v>
      </c>
      <c r="L338" s="831"/>
      <c r="M338" s="831"/>
      <c r="N338" s="831"/>
      <c r="O338" s="831"/>
      <c r="P338" s="831"/>
    </row>
    <row r="339" spans="1:26" ht="18.75">
      <c r="A339" s="1032"/>
      <c r="B339" s="827"/>
      <c r="C339" s="1030"/>
      <c r="D339" s="956" t="s">
        <v>151</v>
      </c>
      <c r="E339" s="950"/>
      <c r="F339" s="827"/>
      <c r="G339" s="829"/>
      <c r="H339" s="277"/>
      <c r="I339" s="830"/>
      <c r="J339" s="830"/>
      <c r="K339" s="831"/>
      <c r="L339" s="831"/>
      <c r="M339" s="831"/>
      <c r="N339" s="831"/>
      <c r="O339" s="831"/>
      <c r="P339" s="831"/>
    </row>
    <row r="340" spans="1:26" ht="18.75">
      <c r="A340" s="1032"/>
      <c r="B340" s="827"/>
      <c r="C340" s="1030"/>
      <c r="D340" s="957"/>
      <c r="E340" s="956" t="s">
        <v>152</v>
      </c>
      <c r="F340" s="827"/>
      <c r="G340" s="829"/>
      <c r="H340" s="277" t="s">
        <v>153</v>
      </c>
      <c r="I340" s="830">
        <f ca="1">IFERROR(__xludf.DUMMYFUNCTION("IMPORTRANGE(""https://docs.google.com/spreadsheets/d/1QqKyyYR6Q21VydFLVH3TRQUabQu_ym0Zz7PgGX0-kHA/edit?usp=sharing"",""แผน!EH27"")"),6)</f>
        <v>6</v>
      </c>
      <c r="J340" s="830">
        <f ca="1">IFERROR(__xludf.DUMMYFUNCTION("IMPORTRANGE(""https://docs.google.com/spreadsheets/d/1kVcqe37tkHyjCSG3S0O1AXqVkqjo8mSIZil3BcpIysc/edit?usp=sharing"",""ศูนย์!E27"")"),6)</f>
        <v>6</v>
      </c>
      <c r="K340" s="831">
        <f ca="1">IF(I340&gt;0,J340*100/I340,0)</f>
        <v>100</v>
      </c>
      <c r="L340" s="831"/>
      <c r="M340" s="831"/>
      <c r="N340" s="831"/>
      <c r="O340" s="831"/>
      <c r="P340" s="831"/>
    </row>
    <row r="341" spans="1:26" ht="18.75">
      <c r="A341" s="1032"/>
      <c r="B341" s="827"/>
      <c r="C341" s="1030"/>
      <c r="D341" s="957"/>
      <c r="E341" s="956" t="s">
        <v>154</v>
      </c>
      <c r="F341" s="827"/>
      <c r="G341" s="829"/>
      <c r="H341" s="277" t="s">
        <v>35</v>
      </c>
      <c r="I341" s="830"/>
      <c r="J341" s="830">
        <f ca="1">IFERROR(__xludf.DUMMYFUNCTION("IMPORTRANGE(""https://docs.google.com/spreadsheets/d/1kVcqe37tkHyjCSG3S0O1AXqVkqjo8mSIZil3BcpIysc/edit?usp=sharing"",""ศูนย์!F27"")"),268)</f>
        <v>268</v>
      </c>
      <c r="K341" s="831"/>
      <c r="L341" s="831"/>
      <c r="M341" s="831"/>
      <c r="N341" s="831"/>
      <c r="O341" s="831"/>
      <c r="P341" s="831"/>
    </row>
    <row r="342" spans="1:26" ht="18.75">
      <c r="A342" s="1032"/>
      <c r="B342" s="827"/>
      <c r="C342" s="1030"/>
      <c r="D342" s="956" t="s">
        <v>155</v>
      </c>
      <c r="E342" s="957"/>
      <c r="F342" s="957"/>
      <c r="G342" s="829"/>
      <c r="H342" s="277" t="s">
        <v>35</v>
      </c>
      <c r="I342" s="830"/>
      <c r="J342" s="830">
        <f ca="1">IFERROR(__xludf.DUMMYFUNCTION("IMPORTRANGE(""https://docs.google.com/spreadsheets/d/1kVcqe37tkHyjCSG3S0O1AXqVkqjo8mSIZil3BcpIysc/edit?usp=sharing"",""ศูนย์!G27"")"),0)</f>
        <v>0</v>
      </c>
      <c r="K342" s="831"/>
      <c r="L342" s="831"/>
      <c r="M342" s="831"/>
      <c r="N342" s="831"/>
      <c r="O342" s="831"/>
      <c r="P342" s="831"/>
    </row>
    <row r="343" spans="1:26" ht="18.75">
      <c r="A343" s="1032"/>
      <c r="B343" s="827"/>
      <c r="C343" s="1030"/>
      <c r="D343" s="956" t="s">
        <v>156</v>
      </c>
      <c r="E343" s="957"/>
      <c r="F343" s="957"/>
      <c r="G343" s="829"/>
      <c r="H343" s="277" t="s">
        <v>35</v>
      </c>
      <c r="I343" s="830"/>
      <c r="J343" s="830">
        <f ca="1">IFERROR(__xludf.DUMMYFUNCTION("IMPORTRANGE(""https://docs.google.com/spreadsheets/d/1kVcqe37tkHyjCSG3S0O1AXqVkqjo8mSIZil3BcpIysc/edit?usp=sharing"",""ศูนย์!H27"")"),0)</f>
        <v>0</v>
      </c>
      <c r="K343" s="831"/>
      <c r="L343" s="831"/>
      <c r="M343" s="831"/>
      <c r="N343" s="831"/>
      <c r="O343" s="831"/>
      <c r="P343" s="831"/>
    </row>
    <row r="344" spans="1:26" ht="19.5">
      <c r="A344" s="1133"/>
      <c r="B344" s="1134" t="s">
        <v>157</v>
      </c>
      <c r="C344" s="1143"/>
      <c r="D344" s="1135"/>
      <c r="E344" s="1135"/>
      <c r="F344" s="1135"/>
      <c r="G344" s="1136"/>
      <c r="H344" s="412"/>
      <c r="I344" s="1144"/>
      <c r="J344" s="1144"/>
      <c r="K344" s="1139"/>
      <c r="L344" s="1139"/>
      <c r="M344" s="1139"/>
      <c r="N344" s="1139"/>
      <c r="O344" s="1139"/>
      <c r="P344" s="1139"/>
    </row>
    <row r="345" spans="1:26" ht="19.5">
      <c r="A345" s="932"/>
      <c r="B345" s="933"/>
      <c r="C345" s="934" t="s">
        <v>16</v>
      </c>
      <c r="D345" s="935" t="s">
        <v>17</v>
      </c>
      <c r="E345" s="933"/>
      <c r="F345" s="933"/>
      <c r="G345" s="936"/>
      <c r="H345" s="152" t="s">
        <v>12</v>
      </c>
      <c r="I345" s="937"/>
      <c r="J345" s="937"/>
      <c r="K345" s="938"/>
      <c r="L345" s="939">
        <f t="shared" ref="L345:N345" ca="1" si="155">L346+L347</f>
        <v>364830</v>
      </c>
      <c r="M345" s="939">
        <f t="shared" ca="1" si="155"/>
        <v>271835</v>
      </c>
      <c r="N345" s="939">
        <f t="shared" ca="1" si="155"/>
        <v>146158.38</v>
      </c>
      <c r="O345" s="939">
        <f t="shared" ref="O345:O353" ca="1" si="156">IF(L345&gt;0,N345*100/L345,0)</f>
        <v>40.062050818189292</v>
      </c>
      <c r="P345" s="939">
        <f t="shared" ref="P345:P353" ca="1" si="157">IF(M345&gt;0,N345*100/M345,0)</f>
        <v>53.767314731362774</v>
      </c>
      <c r="Q345" s="818"/>
      <c r="R345" s="818"/>
      <c r="S345" s="818"/>
      <c r="T345" s="818"/>
      <c r="U345" s="818"/>
      <c r="V345" s="818"/>
      <c r="W345" s="818"/>
      <c r="X345" s="818"/>
      <c r="Y345" s="818"/>
      <c r="Z345" s="818"/>
    </row>
    <row r="346" spans="1:26" ht="18.75" hidden="1">
      <c r="A346" s="940"/>
      <c r="B346" s="833"/>
      <c r="C346" s="833"/>
      <c r="D346" s="833"/>
      <c r="E346" s="834" t="s">
        <v>18</v>
      </c>
      <c r="F346" s="833"/>
      <c r="G346" s="941"/>
      <c r="H346" s="158" t="s">
        <v>12</v>
      </c>
      <c r="I346" s="836"/>
      <c r="J346" s="836"/>
      <c r="K346" s="837"/>
      <c r="L346" s="837">
        <f t="shared" ref="L346:N347" si="158">L349+L352</f>
        <v>0</v>
      </c>
      <c r="M346" s="837">
        <f t="shared" si="158"/>
        <v>0</v>
      </c>
      <c r="N346" s="837">
        <f t="shared" si="158"/>
        <v>0</v>
      </c>
      <c r="O346" s="837">
        <f t="shared" si="156"/>
        <v>0</v>
      </c>
      <c r="P346" s="837">
        <f t="shared" si="157"/>
        <v>0</v>
      </c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</row>
    <row r="347" spans="1:26" ht="18.75" hidden="1">
      <c r="A347" s="940"/>
      <c r="B347" s="833"/>
      <c r="C347" s="833"/>
      <c r="D347" s="833"/>
      <c r="E347" s="834" t="s">
        <v>19</v>
      </c>
      <c r="F347" s="833"/>
      <c r="G347" s="941"/>
      <c r="H347" s="158" t="s">
        <v>12</v>
      </c>
      <c r="I347" s="836"/>
      <c r="J347" s="836"/>
      <c r="K347" s="837"/>
      <c r="L347" s="837">
        <f t="shared" ca="1" si="158"/>
        <v>364830</v>
      </c>
      <c r="M347" s="837">
        <f t="shared" ca="1" si="158"/>
        <v>271835</v>
      </c>
      <c r="N347" s="837">
        <f t="shared" ca="1" si="158"/>
        <v>146158.38</v>
      </c>
      <c r="O347" s="837">
        <f t="shared" ca="1" si="156"/>
        <v>40.062050818189292</v>
      </c>
      <c r="P347" s="837">
        <f t="shared" ca="1" si="157"/>
        <v>53.767314731362774</v>
      </c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</row>
    <row r="348" spans="1:26" ht="18.75">
      <c r="A348" s="942"/>
      <c r="B348" s="827"/>
      <c r="C348" s="943"/>
      <c r="D348" s="828" t="s">
        <v>20</v>
      </c>
      <c r="E348" s="827"/>
      <c r="F348" s="827"/>
      <c r="G348" s="829"/>
      <c r="H348" s="778" t="s">
        <v>12</v>
      </c>
      <c r="I348" s="944"/>
      <c r="J348" s="944"/>
      <c r="K348" s="945"/>
      <c r="L348" s="831">
        <f t="shared" ref="L348:N348" ca="1" si="159">L349+L350</f>
        <v>364830</v>
      </c>
      <c r="M348" s="831">
        <f t="shared" ca="1" si="159"/>
        <v>271835</v>
      </c>
      <c r="N348" s="831">
        <f t="shared" ca="1" si="159"/>
        <v>146158.38</v>
      </c>
      <c r="O348" s="831">
        <f t="shared" ca="1" si="156"/>
        <v>40.062050818189292</v>
      </c>
      <c r="P348" s="831">
        <f t="shared" ca="1" si="157"/>
        <v>53.767314731362774</v>
      </c>
      <c r="Q348" s="818"/>
      <c r="R348" s="818"/>
      <c r="S348" s="818"/>
      <c r="T348" s="818"/>
      <c r="U348" s="818"/>
      <c r="V348" s="818"/>
      <c r="W348" s="818"/>
      <c r="X348" s="818"/>
      <c r="Y348" s="818"/>
      <c r="Z348" s="818"/>
    </row>
    <row r="349" spans="1:26" ht="19.5" hidden="1">
      <c r="A349" s="940"/>
      <c r="B349" s="833"/>
      <c r="C349" s="946"/>
      <c r="D349" s="833"/>
      <c r="E349" s="834" t="s">
        <v>36</v>
      </c>
      <c r="F349" s="833"/>
      <c r="G349" s="941"/>
      <c r="H349" s="165" t="s">
        <v>12</v>
      </c>
      <c r="I349" s="947"/>
      <c r="J349" s="947"/>
      <c r="K349" s="948"/>
      <c r="L349" s="837">
        <v>0</v>
      </c>
      <c r="M349" s="837">
        <v>0</v>
      </c>
      <c r="N349" s="837">
        <v>0</v>
      </c>
      <c r="O349" s="837">
        <f t="shared" si="156"/>
        <v>0</v>
      </c>
      <c r="P349" s="837">
        <f t="shared" si="157"/>
        <v>0</v>
      </c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</row>
    <row r="350" spans="1:26" ht="19.5" hidden="1">
      <c r="A350" s="940"/>
      <c r="B350" s="833"/>
      <c r="C350" s="946"/>
      <c r="D350" s="833"/>
      <c r="E350" s="834" t="s">
        <v>37</v>
      </c>
      <c r="F350" s="833"/>
      <c r="G350" s="941"/>
      <c r="H350" s="165" t="s">
        <v>12</v>
      </c>
      <c r="I350" s="947"/>
      <c r="J350" s="947"/>
      <c r="K350" s="948"/>
      <c r="L350" s="837">
        <f ca="1">IFERROR(__xludf.DUMMYFUNCTION("IMPORTRANGE(""https://docs.google.com/spreadsheets/d/1MeEWN-I1oV_STSDYn1IFDPWt_1FKiwhDph83XaGc0o0/edit?usp=sharing"",""งบพรบ!EW27"")"),364830)</f>
        <v>364830</v>
      </c>
      <c r="M350" s="837">
        <f ca="1">IFERROR(__xludf.DUMMYFUNCTION("IMPORTRANGE(""https://docs.google.com/spreadsheets/d/1MeEWN-I1oV_STSDYn1IFDPWt_1FKiwhDph83XaGc0o0/edit?usp=sharing"",""งบพรบ!FB27"")"),271835)</f>
        <v>271835</v>
      </c>
      <c r="N350" s="837">
        <f ca="1">IFERROR(__xludf.DUMMYFUNCTION("IMPORTRANGE(""https://docs.google.com/spreadsheets/d/1MeEWN-I1oV_STSDYn1IFDPWt_1FKiwhDph83XaGc0o0/edit?usp=sharing"",""งบพรบ!FD27"")"),146158.38)</f>
        <v>146158.38</v>
      </c>
      <c r="O350" s="837">
        <f t="shared" ca="1" si="156"/>
        <v>40.062050818189292</v>
      </c>
      <c r="P350" s="837">
        <f t="shared" ca="1" si="157"/>
        <v>53.767314731362774</v>
      </c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</row>
    <row r="351" spans="1:26" ht="18.75">
      <c r="A351" s="942"/>
      <c r="B351" s="827"/>
      <c r="C351" s="943"/>
      <c r="D351" s="828" t="s">
        <v>21</v>
      </c>
      <c r="E351" s="827"/>
      <c r="F351" s="827"/>
      <c r="G351" s="829"/>
      <c r="H351" s="168" t="s">
        <v>12</v>
      </c>
      <c r="I351" s="944"/>
      <c r="J351" s="944"/>
      <c r="K351" s="945"/>
      <c r="L351" s="831">
        <f t="shared" ref="L351:N351" ca="1" si="160">L352+L353</f>
        <v>0</v>
      </c>
      <c r="M351" s="831">
        <f t="shared" ca="1" si="160"/>
        <v>0</v>
      </c>
      <c r="N351" s="831">
        <f t="shared" ca="1" si="160"/>
        <v>0</v>
      </c>
      <c r="O351" s="831">
        <f t="shared" ca="1" si="156"/>
        <v>0</v>
      </c>
      <c r="P351" s="831">
        <f t="shared" ca="1" si="157"/>
        <v>0</v>
      </c>
      <c r="Q351" s="818"/>
      <c r="R351" s="818"/>
      <c r="S351" s="818"/>
      <c r="T351" s="818"/>
      <c r="U351" s="818"/>
      <c r="V351" s="818"/>
      <c r="W351" s="818"/>
      <c r="X351" s="818"/>
      <c r="Y351" s="818"/>
      <c r="Z351" s="818"/>
    </row>
    <row r="352" spans="1:26" ht="19.5" hidden="1">
      <c r="A352" s="940"/>
      <c r="B352" s="833"/>
      <c r="C352" s="946"/>
      <c r="D352" s="833"/>
      <c r="E352" s="834" t="s">
        <v>18</v>
      </c>
      <c r="F352" s="833"/>
      <c r="G352" s="941"/>
      <c r="H352" s="165" t="s">
        <v>12</v>
      </c>
      <c r="I352" s="947"/>
      <c r="J352" s="947"/>
      <c r="K352" s="948"/>
      <c r="L352" s="837">
        <v>0</v>
      </c>
      <c r="M352" s="837">
        <v>0</v>
      </c>
      <c r="N352" s="837">
        <v>0</v>
      </c>
      <c r="O352" s="837">
        <f t="shared" si="156"/>
        <v>0</v>
      </c>
      <c r="P352" s="837">
        <f t="shared" si="157"/>
        <v>0</v>
      </c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</row>
    <row r="353" spans="1:26" ht="19.5" hidden="1">
      <c r="A353" s="940"/>
      <c r="B353" s="833"/>
      <c r="C353" s="946"/>
      <c r="D353" s="833"/>
      <c r="E353" s="834" t="s">
        <v>19</v>
      </c>
      <c r="F353" s="833"/>
      <c r="G353" s="941"/>
      <c r="H353" s="169" t="s">
        <v>12</v>
      </c>
      <c r="I353" s="947"/>
      <c r="J353" s="947"/>
      <c r="K353" s="948"/>
      <c r="L353" s="837">
        <f ca="1">IFERROR(__xludf.DUMMYFUNCTION("IMPORTRANGE(""https://docs.google.com/spreadsheets/d/1MeEWN-I1oV_STSDYn1IFDPWt_1FKiwhDph83XaGc0o0/edit?usp=sharing"",""งบพรบ!EZ27"")"),0)</f>
        <v>0</v>
      </c>
      <c r="M353" s="837">
        <f ca="1">IFERROR(__xludf.DUMMYFUNCTION("IMPORTRANGE(""https://docs.google.com/spreadsheets/d/1MeEWN-I1oV_STSDYn1IFDPWt_1FKiwhDph83XaGc0o0/edit?usp=sharing"",""งบพรบ!FC27"")"),0)</f>
        <v>0</v>
      </c>
      <c r="N353" s="837">
        <f ca="1">IFERROR(__xludf.DUMMYFUNCTION("IMPORTRANGE(""https://docs.google.com/spreadsheets/d/1MeEWN-I1oV_STSDYn1IFDPWt_1FKiwhDph83XaGc0o0/edit?usp=sharing"",""งบพรบ!FE27"")"),0)</f>
        <v>0</v>
      </c>
      <c r="O353" s="837">
        <f t="shared" ca="1" si="156"/>
        <v>0</v>
      </c>
      <c r="P353" s="837">
        <f t="shared" ca="1" si="157"/>
        <v>0</v>
      </c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</row>
    <row r="354" spans="1:26" ht="19.5">
      <c r="A354" s="1011"/>
      <c r="B354" s="1018"/>
      <c r="C354" s="1012"/>
      <c r="D354" s="1145" t="s">
        <v>158</v>
      </c>
      <c r="E354" s="1012"/>
      <c r="F354" s="1012"/>
      <c r="G354" s="1014"/>
      <c r="H354" s="1146"/>
      <c r="I354" s="1015"/>
      <c r="J354" s="1015"/>
      <c r="K354" s="1016"/>
      <c r="L354" s="1016"/>
      <c r="M354" s="1016"/>
      <c r="N354" s="1016"/>
      <c r="O354" s="1016"/>
      <c r="P354" s="1016"/>
    </row>
    <row r="355" spans="1:26" ht="19.5">
      <c r="A355" s="1147"/>
      <c r="B355" s="1148"/>
      <c r="C355" s="1149"/>
      <c r="D355" s="1150" t="s">
        <v>159</v>
      </c>
      <c r="E355" s="1151"/>
      <c r="F355" s="1151"/>
      <c r="G355" s="1152"/>
      <c r="H355" s="431" t="s">
        <v>35</v>
      </c>
      <c r="I355" s="1153">
        <f ca="1">IFERROR(__xludf.DUMMYFUNCTION("IMPORTRANGE(""https://docs.google.com/spreadsheets/d/1QqKyyYR6Q21VydFLVH3TRQUabQu_ym0Zz7PgGX0-kHA/edit?usp=sharing"",""แผน!EP27"")"),59)</f>
        <v>59</v>
      </c>
      <c r="J355" s="1153">
        <f ca="1">J362</f>
        <v>57</v>
      </c>
      <c r="K355" s="1154">
        <f ca="1">IF(I355&gt;0,J355*100/I355,0)</f>
        <v>96.610169491525426</v>
      </c>
      <c r="L355" s="1155"/>
      <c r="M355" s="1155"/>
      <c r="N355" s="1155"/>
      <c r="O355" s="1155"/>
      <c r="P355" s="1155"/>
    </row>
    <row r="356" spans="1:26" ht="19.5">
      <c r="A356" s="1147"/>
      <c r="B356" s="1148"/>
      <c r="C356" s="1149"/>
      <c r="D356" s="1156" t="s">
        <v>160</v>
      </c>
      <c r="E356" s="1151"/>
      <c r="F356" s="1151"/>
      <c r="G356" s="1152"/>
      <c r="H356" s="1157"/>
      <c r="I356" s="1158"/>
      <c r="J356" s="1158"/>
      <c r="K356" s="1155"/>
      <c r="L356" s="1155"/>
      <c r="M356" s="1155"/>
      <c r="N356" s="1155"/>
      <c r="O356" s="1155"/>
      <c r="P356" s="1155"/>
    </row>
    <row r="357" spans="1:26" ht="19.5">
      <c r="A357" s="949"/>
      <c r="B357" s="950"/>
      <c r="C357" s="946" t="s">
        <v>16</v>
      </c>
      <c r="D357" s="951" t="s">
        <v>38</v>
      </c>
      <c r="E357" s="952"/>
      <c r="F357" s="952"/>
      <c r="G357" s="953"/>
      <c r="H357" s="954"/>
      <c r="I357" s="830"/>
      <c r="J357" s="830"/>
      <c r="K357" s="831"/>
      <c r="L357" s="945"/>
      <c r="M357" s="945"/>
      <c r="N357" s="945"/>
      <c r="O357" s="945"/>
      <c r="P357" s="945"/>
    </row>
    <row r="358" spans="1:26" ht="18.75">
      <c r="A358" s="949"/>
      <c r="B358" s="957"/>
      <c r="C358" s="950"/>
      <c r="D358" s="957"/>
      <c r="E358" s="955" t="s">
        <v>161</v>
      </c>
      <c r="F358" s="957"/>
      <c r="G358" s="958"/>
      <c r="H358" s="777" t="s">
        <v>35</v>
      </c>
      <c r="I358" s="830">
        <v>0</v>
      </c>
      <c r="J358" s="830">
        <f ca="1">IFERROR(__xludf.DUMMYFUNCTION("IMPORTRANGE(""https://docs.google.com/spreadsheets/d/1XWAQStnk-4SwqDmLtmXYiTMKHgktTP8We1SCoS47DrQ/edit?usp=sharing"",""จัดที่ดิน!W27"")"),90)</f>
        <v>90</v>
      </c>
      <c r="K358" s="831">
        <f t="shared" ref="K358:K365" si="161">IF(I358&gt;0,J358*100/I358,0)</f>
        <v>0</v>
      </c>
      <c r="L358" s="945"/>
      <c r="M358" s="945"/>
      <c r="N358" s="945"/>
      <c r="O358" s="945"/>
      <c r="P358" s="945"/>
    </row>
    <row r="359" spans="1:26" ht="18.75">
      <c r="A359" s="949"/>
      <c r="B359" s="957"/>
      <c r="C359" s="950"/>
      <c r="D359" s="957"/>
      <c r="E359" s="957"/>
      <c r="F359" s="957"/>
      <c r="G359" s="958"/>
      <c r="H359" s="777" t="s">
        <v>46</v>
      </c>
      <c r="I359" s="830">
        <f ca="1">IFERROR(__xludf.DUMMYFUNCTION("IMPORTRANGE(""https://docs.google.com/spreadsheets/d/1QqKyyYR6Q21VydFLVH3TRQUabQu_ym0Zz7PgGX0-kHA/edit?usp=sharing"",""แผน!EO27"")"),540)</f>
        <v>540</v>
      </c>
      <c r="J359" s="830">
        <f ca="1">IFERROR(__xludf.DUMMYFUNCTION("IMPORTRANGE(""https://docs.google.com/spreadsheets/d/1XWAQStnk-4SwqDmLtmXYiTMKHgktTP8We1SCoS47DrQ/edit?usp=sharing"",""จัดที่ดิน!X27"")"),383.67)</f>
        <v>383.67</v>
      </c>
      <c r="K359" s="831">
        <f t="shared" ca="1" si="161"/>
        <v>71.05</v>
      </c>
      <c r="L359" s="945"/>
      <c r="M359" s="945"/>
      <c r="N359" s="945"/>
      <c r="O359" s="945"/>
      <c r="P359" s="945"/>
    </row>
    <row r="360" spans="1:26" ht="18.75">
      <c r="A360" s="949"/>
      <c r="B360" s="957"/>
      <c r="C360" s="950"/>
      <c r="D360" s="957"/>
      <c r="E360" s="955" t="s">
        <v>162</v>
      </c>
      <c r="F360" s="957"/>
      <c r="G360" s="958"/>
      <c r="H360" s="730" t="s">
        <v>35</v>
      </c>
      <c r="I360" s="830">
        <f ca="1">IFERROR(__xludf.DUMMYFUNCTION("IMPORTRANGE(""https://docs.google.com/spreadsheets/d/1QqKyyYR6Q21VydFLVH3TRQUabQu_ym0Zz7PgGX0-kHA/edit?usp=sharing"",""แผน!EP27"")"),59)</f>
        <v>59</v>
      </c>
      <c r="J360" s="830">
        <f ca="1">IFERROR(__xludf.DUMMYFUNCTION("IMPORTRANGE(""https://docs.google.com/spreadsheets/d/1XWAQStnk-4SwqDmLtmXYiTMKHgktTP8We1SCoS47DrQ/edit?usp=sharing"",""จัดที่ดิน!Y27"")"),72)</f>
        <v>72</v>
      </c>
      <c r="K360" s="831">
        <f t="shared" ca="1" si="161"/>
        <v>122.03389830508475</v>
      </c>
      <c r="L360" s="945"/>
      <c r="M360" s="945"/>
      <c r="N360" s="945"/>
      <c r="O360" s="945"/>
      <c r="P360" s="945"/>
    </row>
    <row r="361" spans="1:26" ht="18.75">
      <c r="A361" s="949"/>
      <c r="B361" s="957"/>
      <c r="C361" s="950"/>
      <c r="D361" s="957"/>
      <c r="E361" s="957"/>
      <c r="F361" s="957"/>
      <c r="G361" s="958"/>
      <c r="H361" s="730" t="s">
        <v>46</v>
      </c>
      <c r="I361" s="830">
        <v>0</v>
      </c>
      <c r="J361" s="830">
        <f ca="1">IFERROR(__xludf.DUMMYFUNCTION("IMPORTRANGE(""https://docs.google.com/spreadsheets/d/1XWAQStnk-4SwqDmLtmXYiTMKHgktTP8We1SCoS47DrQ/edit?usp=sharing"",""จัดที่ดิน!Z27"")"),290.35)</f>
        <v>290.35000000000002</v>
      </c>
      <c r="K361" s="831">
        <f t="shared" si="161"/>
        <v>0</v>
      </c>
      <c r="L361" s="945"/>
      <c r="M361" s="945"/>
      <c r="N361" s="945"/>
      <c r="O361" s="945"/>
      <c r="P361" s="945"/>
    </row>
    <row r="362" spans="1:26" ht="18.75">
      <c r="A362" s="949"/>
      <c r="B362" s="957"/>
      <c r="C362" s="950"/>
      <c r="D362" s="957"/>
      <c r="E362" s="955" t="s">
        <v>163</v>
      </c>
      <c r="F362" s="957"/>
      <c r="G362" s="958"/>
      <c r="H362" s="730" t="s">
        <v>35</v>
      </c>
      <c r="I362" s="830">
        <f ca="1">IFERROR(__xludf.DUMMYFUNCTION("IMPORTRANGE(""https://docs.google.com/spreadsheets/d/1QqKyyYR6Q21VydFLVH3TRQUabQu_ym0Zz7PgGX0-kHA/edit?usp=sharing"",""แผน!EP27"")"),59)</f>
        <v>59</v>
      </c>
      <c r="J362" s="830">
        <f ca="1">IFERROR(__xludf.DUMMYFUNCTION("IMPORTRANGE(""https://docs.google.com/spreadsheets/d/1XWAQStnk-4SwqDmLtmXYiTMKHgktTP8We1SCoS47DrQ/edit?usp=sharing"",""จัดที่ดิน!AA27"")"),57)</f>
        <v>57</v>
      </c>
      <c r="K362" s="831">
        <f t="shared" ca="1" si="161"/>
        <v>96.610169491525426</v>
      </c>
      <c r="L362" s="945"/>
      <c r="M362" s="945"/>
      <c r="N362" s="945"/>
      <c r="O362" s="945"/>
      <c r="P362" s="945"/>
    </row>
    <row r="363" spans="1:26" ht="18.75">
      <c r="A363" s="1159" t="s">
        <v>164</v>
      </c>
      <c r="B363" s="957"/>
      <c r="C363" s="950"/>
      <c r="D363" s="957"/>
      <c r="E363" s="956"/>
      <c r="F363" s="957"/>
      <c r="G363" s="958"/>
      <c r="H363" s="730" t="s">
        <v>46</v>
      </c>
      <c r="I363" s="830">
        <v>0</v>
      </c>
      <c r="J363" s="830">
        <f ca="1">IFERROR(__xludf.DUMMYFUNCTION("IMPORTRANGE(""https://docs.google.com/spreadsheets/d/1XWAQStnk-4SwqDmLtmXYiTMKHgktTP8We1SCoS47DrQ/edit?usp=sharing"",""จัดที่ดิน!AB27"")"),209.54)</f>
        <v>209.54</v>
      </c>
      <c r="K363" s="831">
        <f t="shared" si="161"/>
        <v>0</v>
      </c>
      <c r="L363" s="945"/>
      <c r="M363" s="945"/>
      <c r="N363" s="945"/>
      <c r="O363" s="945"/>
      <c r="P363" s="945"/>
    </row>
    <row r="364" spans="1:26" ht="19.5">
      <c r="A364" s="1160"/>
      <c r="B364" s="1161"/>
      <c r="C364" s="1162"/>
      <c r="D364" s="1163" t="s">
        <v>165</v>
      </c>
      <c r="E364" s="1164"/>
      <c r="F364" s="1164"/>
      <c r="G364" s="1165"/>
      <c r="H364" s="446" t="s">
        <v>35</v>
      </c>
      <c r="I364" s="1166">
        <f t="shared" ref="I364:J364" ca="1" si="162">I365+I374</f>
        <v>159</v>
      </c>
      <c r="J364" s="1166">
        <f t="shared" ca="1" si="162"/>
        <v>79</v>
      </c>
      <c r="K364" s="1167">
        <f t="shared" ca="1" si="161"/>
        <v>49.685534591194966</v>
      </c>
      <c r="L364" s="1168"/>
      <c r="M364" s="1168"/>
      <c r="N364" s="1168"/>
      <c r="O364" s="1168"/>
      <c r="P364" s="1168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69"/>
      <c r="B365" s="1170"/>
      <c r="C365" s="1171"/>
      <c r="D365" s="1171" t="s">
        <v>166</v>
      </c>
      <c r="E365" s="1172"/>
      <c r="F365" s="1172"/>
      <c r="G365" s="1173"/>
      <c r="H365" s="457" t="s">
        <v>35</v>
      </c>
      <c r="I365" s="1174">
        <f ca="1">IFERROR(__xludf.DUMMYFUNCTION("IMPORTRANGE(""https://docs.google.com/spreadsheets/d/1QqKyyYR6Q21VydFLVH3TRQUabQu_ym0Zz7PgGX0-kHA/edit?usp=sharing"",""แผน!EJ27"")"),40)</f>
        <v>40</v>
      </c>
      <c r="J365" s="1174">
        <f ca="1">J372</f>
        <v>43</v>
      </c>
      <c r="K365" s="1175">
        <f t="shared" ca="1" si="161"/>
        <v>107.5</v>
      </c>
      <c r="L365" s="1176"/>
      <c r="M365" s="1176"/>
      <c r="N365" s="1176"/>
      <c r="O365" s="1176"/>
      <c r="P365" s="1176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69"/>
      <c r="B366" s="1170"/>
      <c r="C366" s="1171"/>
      <c r="D366" s="1177" t="s">
        <v>167</v>
      </c>
      <c r="E366" s="1172"/>
      <c r="F366" s="1172"/>
      <c r="G366" s="1173"/>
      <c r="H366" s="1178"/>
      <c r="I366" s="1179"/>
      <c r="J366" s="1179"/>
      <c r="K366" s="1176"/>
      <c r="L366" s="1176"/>
      <c r="M366" s="1176"/>
      <c r="N366" s="1176"/>
      <c r="O366" s="1176"/>
      <c r="P366" s="1176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49"/>
      <c r="B367" s="950"/>
      <c r="C367" s="946" t="s">
        <v>16</v>
      </c>
      <c r="D367" s="951" t="s">
        <v>38</v>
      </c>
      <c r="E367" s="952"/>
      <c r="F367" s="952"/>
      <c r="G367" s="953"/>
      <c r="H367" s="954"/>
      <c r="I367" s="830"/>
      <c r="J367" s="830"/>
      <c r="K367" s="831"/>
      <c r="L367" s="945"/>
      <c r="M367" s="945"/>
      <c r="N367" s="945"/>
      <c r="O367" s="945"/>
      <c r="P367" s="945"/>
    </row>
    <row r="368" spans="1:26" ht="18.75">
      <c r="A368" s="949"/>
      <c r="B368" s="957"/>
      <c r="C368" s="950"/>
      <c r="D368" s="957"/>
      <c r="E368" s="955" t="s">
        <v>161</v>
      </c>
      <c r="F368" s="957"/>
      <c r="G368" s="958"/>
      <c r="H368" s="777" t="s">
        <v>35</v>
      </c>
      <c r="I368" s="830">
        <v>0</v>
      </c>
      <c r="J368" s="830">
        <f ca="1">IFERROR(__xludf.DUMMYFUNCTION("IMPORTRANGE(""https://docs.google.com/spreadsheets/d/1XWAQStnk-4SwqDmLtmXYiTMKHgktTP8We1SCoS47DrQ/edit?usp=sharing"",""จัดที่ดิน!E27"")"),73)</f>
        <v>73</v>
      </c>
      <c r="K368" s="831">
        <f t="shared" ref="K368:K374" si="163">IF(I368&gt;0,J368*100/I368,0)</f>
        <v>0</v>
      </c>
      <c r="L368" s="945"/>
      <c r="M368" s="945"/>
      <c r="N368" s="945"/>
      <c r="O368" s="945"/>
      <c r="P368" s="945"/>
    </row>
    <row r="369" spans="1:26" ht="18.75">
      <c r="A369" s="949"/>
      <c r="B369" s="957"/>
      <c r="C369" s="950"/>
      <c r="D369" s="957"/>
      <c r="E369" s="957"/>
      <c r="F369" s="957"/>
      <c r="G369" s="958"/>
      <c r="H369" s="777" t="s">
        <v>46</v>
      </c>
      <c r="I369" s="830">
        <f ca="1">IFERROR(__xludf.DUMMYFUNCTION("IMPORTRANGE(""https://docs.google.com/spreadsheets/d/1QqKyyYR6Q21VydFLVH3TRQUabQu_ym0Zz7PgGX0-kHA/edit?usp=sharing"",""แผน!EI27"")"),400)</f>
        <v>400</v>
      </c>
      <c r="J369" s="830">
        <f ca="1">IFERROR(__xludf.DUMMYFUNCTION("IMPORTRANGE(""https://docs.google.com/spreadsheets/d/1XWAQStnk-4SwqDmLtmXYiTMKHgktTP8We1SCoS47DrQ/edit?usp=sharing"",""จัดที่ดิน!F27"")"),288.36)</f>
        <v>288.36</v>
      </c>
      <c r="K369" s="831">
        <f t="shared" ca="1" si="163"/>
        <v>72.09</v>
      </c>
      <c r="L369" s="945"/>
      <c r="M369" s="945"/>
      <c r="N369" s="945"/>
      <c r="O369" s="945"/>
      <c r="P369" s="945"/>
    </row>
    <row r="370" spans="1:26" ht="18.75">
      <c r="A370" s="949"/>
      <c r="B370" s="957"/>
      <c r="C370" s="950"/>
      <c r="D370" s="957"/>
      <c r="E370" s="955" t="s">
        <v>162</v>
      </c>
      <c r="F370" s="957"/>
      <c r="G370" s="958"/>
      <c r="H370" s="730" t="s">
        <v>35</v>
      </c>
      <c r="I370" s="830">
        <f ca="1">IFERROR(__xludf.DUMMYFUNCTION("IMPORTRANGE(""https://docs.google.com/spreadsheets/d/1QqKyyYR6Q21VydFLVH3TRQUabQu_ym0Zz7PgGX0-kHA/edit?usp=sharing"",""แผน!EJ27"")"),40)</f>
        <v>40</v>
      </c>
      <c r="J370" s="830">
        <f ca="1">IFERROR(__xludf.DUMMYFUNCTION("IMPORTRANGE(""https://docs.google.com/spreadsheets/d/1XWAQStnk-4SwqDmLtmXYiTMKHgktTP8We1SCoS47DrQ/edit?usp=sharing"",""จัดที่ดิน!G27"")"),58)</f>
        <v>58</v>
      </c>
      <c r="K370" s="831">
        <f t="shared" ca="1" si="163"/>
        <v>145</v>
      </c>
      <c r="L370" s="945"/>
      <c r="M370" s="945"/>
      <c r="N370" s="945"/>
      <c r="O370" s="945"/>
      <c r="P370" s="945"/>
    </row>
    <row r="371" spans="1:26" ht="18.75">
      <c r="A371" s="949"/>
      <c r="B371" s="957"/>
      <c r="C371" s="950"/>
      <c r="D371" s="957"/>
      <c r="E371" s="957"/>
      <c r="F371" s="957"/>
      <c r="G371" s="958"/>
      <c r="H371" s="730" t="s">
        <v>46</v>
      </c>
      <c r="I371" s="830">
        <v>0</v>
      </c>
      <c r="J371" s="830">
        <f ca="1">IFERROR(__xludf.DUMMYFUNCTION("IMPORTRANGE(""https://docs.google.com/spreadsheets/d/1XWAQStnk-4SwqDmLtmXYiTMKHgktTP8We1SCoS47DrQ/edit?usp=sharing"",""จัดที่ดิน!H27"")"),241.76)</f>
        <v>241.76</v>
      </c>
      <c r="K371" s="831">
        <f t="shared" si="163"/>
        <v>0</v>
      </c>
      <c r="L371" s="945"/>
      <c r="M371" s="945"/>
      <c r="N371" s="945"/>
      <c r="O371" s="945"/>
      <c r="P371" s="945"/>
    </row>
    <row r="372" spans="1:26" ht="18.75">
      <c r="A372" s="949"/>
      <c r="B372" s="957"/>
      <c r="C372" s="950"/>
      <c r="D372" s="957"/>
      <c r="E372" s="955" t="s">
        <v>163</v>
      </c>
      <c r="F372" s="957"/>
      <c r="G372" s="958"/>
      <c r="H372" s="730" t="s">
        <v>35</v>
      </c>
      <c r="I372" s="830">
        <f ca="1">IFERROR(__xludf.DUMMYFUNCTION("IMPORTRANGE(""https://docs.google.com/spreadsheets/d/1QqKyyYR6Q21VydFLVH3TRQUabQu_ym0Zz7PgGX0-kHA/edit?usp=sharing"",""แผน!EJ27"")"),40)</f>
        <v>40</v>
      </c>
      <c r="J372" s="830">
        <f ca="1">IFERROR(__xludf.DUMMYFUNCTION("IMPORTRANGE(""https://docs.google.com/spreadsheets/d/1XWAQStnk-4SwqDmLtmXYiTMKHgktTP8We1SCoS47DrQ/edit?usp=sharing"",""จัดที่ดิน!I27"")"),43)</f>
        <v>43</v>
      </c>
      <c r="K372" s="831">
        <f t="shared" ca="1" si="163"/>
        <v>107.5</v>
      </c>
      <c r="L372" s="945"/>
      <c r="M372" s="945"/>
      <c r="N372" s="945"/>
      <c r="O372" s="945"/>
      <c r="P372" s="945"/>
    </row>
    <row r="373" spans="1:26" ht="18.75">
      <c r="A373" s="1159" t="s">
        <v>164</v>
      </c>
      <c r="B373" s="957"/>
      <c r="C373" s="950"/>
      <c r="D373" s="957"/>
      <c r="E373" s="956"/>
      <c r="F373" s="957"/>
      <c r="G373" s="958"/>
      <c r="H373" s="730" t="s">
        <v>46</v>
      </c>
      <c r="I373" s="830">
        <v>0</v>
      </c>
      <c r="J373" s="830">
        <f ca="1">IFERROR(__xludf.DUMMYFUNCTION("IMPORTRANGE(""https://docs.google.com/spreadsheets/d/1XWAQStnk-4SwqDmLtmXYiTMKHgktTP8We1SCoS47DrQ/edit?usp=sharing"",""จัดที่ดิน!J27"")"),160.95)</f>
        <v>160.94999999999999</v>
      </c>
      <c r="K373" s="831">
        <f t="shared" si="163"/>
        <v>0</v>
      </c>
      <c r="L373" s="945"/>
      <c r="M373" s="945"/>
      <c r="N373" s="945"/>
      <c r="O373" s="945"/>
      <c r="P373" s="945"/>
    </row>
    <row r="374" spans="1:26" ht="19.5">
      <c r="A374" s="1169"/>
      <c r="B374" s="1170"/>
      <c r="C374" s="1171"/>
      <c r="D374" s="1171" t="s">
        <v>168</v>
      </c>
      <c r="E374" s="1172"/>
      <c r="F374" s="1172"/>
      <c r="G374" s="1173"/>
      <c r="H374" s="457" t="s">
        <v>35</v>
      </c>
      <c r="I374" s="1180">
        <f ca="1">IFERROR(__xludf.DUMMYFUNCTION("IMPORTRANGE(""https://docs.google.com/spreadsheets/d/1QqKyyYR6Q21VydFLVH3TRQUabQu_ym0Zz7PgGX0-kHA/edit?usp=sharing"",""แผน!EU27"")"),119)</f>
        <v>119</v>
      </c>
      <c r="J374" s="1174">
        <f ca="1">J381</f>
        <v>36</v>
      </c>
      <c r="K374" s="1175">
        <f t="shared" ca="1" si="163"/>
        <v>30.252100840336134</v>
      </c>
      <c r="L374" s="1176"/>
      <c r="M374" s="1176"/>
      <c r="N374" s="1176"/>
      <c r="O374" s="1176"/>
      <c r="P374" s="1176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69"/>
      <c r="B375" s="1170"/>
      <c r="C375" s="1171"/>
      <c r="D375" s="1177" t="s">
        <v>169</v>
      </c>
      <c r="E375" s="1172"/>
      <c r="F375" s="1172"/>
      <c r="G375" s="1173"/>
      <c r="H375" s="1178"/>
      <c r="I375" s="1179"/>
      <c r="J375" s="1179"/>
      <c r="K375" s="1176"/>
      <c r="L375" s="1176"/>
      <c r="M375" s="1176"/>
      <c r="N375" s="1176"/>
      <c r="O375" s="1176"/>
      <c r="P375" s="1176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49"/>
      <c r="B376" s="950"/>
      <c r="C376" s="946" t="s">
        <v>16</v>
      </c>
      <c r="D376" s="951" t="s">
        <v>38</v>
      </c>
      <c r="E376" s="952"/>
      <c r="F376" s="952"/>
      <c r="G376" s="953"/>
      <c r="H376" s="954"/>
      <c r="I376" s="830"/>
      <c r="J376" s="830"/>
      <c r="K376" s="831"/>
      <c r="L376" s="945"/>
      <c r="M376" s="945"/>
      <c r="N376" s="945"/>
      <c r="O376" s="945"/>
      <c r="P376" s="945"/>
    </row>
    <row r="377" spans="1:26" ht="18.75">
      <c r="A377" s="949"/>
      <c r="B377" s="957"/>
      <c r="C377" s="950"/>
      <c r="D377" s="957"/>
      <c r="E377" s="955" t="s">
        <v>161</v>
      </c>
      <c r="F377" s="957"/>
      <c r="G377" s="958"/>
      <c r="H377" s="777" t="s">
        <v>35</v>
      </c>
      <c r="I377" s="830">
        <v>0</v>
      </c>
      <c r="J377" s="830">
        <f ca="1">IFERROR(__xludf.DUMMYFUNCTION("IMPORTRANGE(""https://docs.google.com/spreadsheets/d/1XWAQStnk-4SwqDmLtmXYiTMKHgktTP8We1SCoS47DrQ/edit?usp=sharing"",""จัดที่ดิน!AH27"")"),17)</f>
        <v>17</v>
      </c>
      <c r="K377" s="831">
        <f t="shared" ref="K377:K382" si="164">IF(I377&gt;0,J377*100/I377,0)</f>
        <v>0</v>
      </c>
      <c r="L377" s="945"/>
      <c r="M377" s="945"/>
      <c r="N377" s="945"/>
      <c r="O377" s="945"/>
      <c r="P377" s="945"/>
    </row>
    <row r="378" spans="1:26" ht="18.75">
      <c r="A378" s="949"/>
      <c r="B378" s="957"/>
      <c r="C378" s="950"/>
      <c r="D378" s="957"/>
      <c r="E378" s="957"/>
      <c r="F378" s="957"/>
      <c r="G378" s="958"/>
      <c r="H378" s="777" t="s">
        <v>46</v>
      </c>
      <c r="I378" s="830">
        <f ca="1">IFERROR(__xludf.DUMMYFUNCTION("IMPORTRANGE(""https://docs.google.com/spreadsheets/d/1QqKyyYR6Q21VydFLVH3TRQUabQu_ym0Zz7PgGX0-kHA/edit?usp=sharing"",""แผน!ET27"")"),140)</f>
        <v>140</v>
      </c>
      <c r="J378" s="830">
        <f ca="1">IFERROR(__xludf.DUMMYFUNCTION("IMPORTRANGE(""https://docs.google.com/spreadsheets/d/1XWAQStnk-4SwqDmLtmXYiTMKHgktTP8We1SCoS47DrQ/edit?usp=sharing"",""จัดที่ดิน!AI27"")"),95.31)</f>
        <v>95.31</v>
      </c>
      <c r="K378" s="831">
        <f t="shared" ca="1" si="164"/>
        <v>68.078571428571422</v>
      </c>
      <c r="L378" s="945"/>
      <c r="M378" s="945"/>
      <c r="N378" s="945"/>
      <c r="O378" s="945"/>
      <c r="P378" s="945"/>
    </row>
    <row r="379" spans="1:26" ht="18.75">
      <c r="A379" s="949"/>
      <c r="B379" s="957"/>
      <c r="C379" s="950"/>
      <c r="D379" s="957"/>
      <c r="E379" s="955" t="s">
        <v>162</v>
      </c>
      <c r="F379" s="957"/>
      <c r="G379" s="958"/>
      <c r="H379" s="730" t="s">
        <v>35</v>
      </c>
      <c r="I379" s="830">
        <f ca="1">IFERROR(__xludf.DUMMYFUNCTION("IMPORTRANGE(""https://docs.google.com/spreadsheets/d/1QqKyyYR6Q21VydFLVH3TRQUabQu_ym0Zz7PgGX0-kHA/edit?usp=sharing"",""แผน!EU27"")"),119)</f>
        <v>119</v>
      </c>
      <c r="J379" s="830">
        <f ca="1">IFERROR(__xludf.DUMMYFUNCTION("IMPORTRANGE(""https://docs.google.com/spreadsheets/d/1XWAQStnk-4SwqDmLtmXYiTMKHgktTP8We1SCoS47DrQ/edit?usp=sharing"",""จัดที่ดิน!AJ27"")"),37)</f>
        <v>37</v>
      </c>
      <c r="K379" s="831">
        <f t="shared" ca="1" si="164"/>
        <v>31.092436974789916</v>
      </c>
      <c r="L379" s="945"/>
      <c r="M379" s="945"/>
      <c r="N379" s="945"/>
      <c r="O379" s="945"/>
      <c r="P379" s="945"/>
    </row>
    <row r="380" spans="1:26" ht="18.75">
      <c r="A380" s="949"/>
      <c r="B380" s="957"/>
      <c r="C380" s="950"/>
      <c r="D380" s="957"/>
      <c r="E380" s="957"/>
      <c r="F380" s="957"/>
      <c r="G380" s="958"/>
      <c r="H380" s="730" t="s">
        <v>46</v>
      </c>
      <c r="I380" s="830">
        <v>0</v>
      </c>
      <c r="J380" s="830">
        <f ca="1">IFERROR(__xludf.DUMMYFUNCTION("IMPORTRANGE(""https://docs.google.com/spreadsheets/d/1XWAQStnk-4SwqDmLtmXYiTMKHgktTP8We1SCoS47DrQ/edit?usp=sharing"",""จัดที่ดิน!AK27"")"),187.46)</f>
        <v>187.46</v>
      </c>
      <c r="K380" s="831">
        <f t="shared" si="164"/>
        <v>0</v>
      </c>
      <c r="L380" s="945"/>
      <c r="M380" s="945"/>
      <c r="N380" s="945"/>
      <c r="O380" s="945"/>
      <c r="P380" s="945"/>
    </row>
    <row r="381" spans="1:26" ht="18.75">
      <c r="A381" s="949"/>
      <c r="B381" s="957"/>
      <c r="C381" s="950"/>
      <c r="D381" s="957"/>
      <c r="E381" s="955" t="s">
        <v>163</v>
      </c>
      <c r="F381" s="957"/>
      <c r="G381" s="958"/>
      <c r="H381" s="730" t="s">
        <v>35</v>
      </c>
      <c r="I381" s="830">
        <f ca="1">IFERROR(__xludf.DUMMYFUNCTION("IMPORTRANGE(""https://docs.google.com/spreadsheets/d/1QqKyyYR6Q21VydFLVH3TRQUabQu_ym0Zz7PgGX0-kHA/edit?usp=sharing"",""แผน!EU27"")"),119)</f>
        <v>119</v>
      </c>
      <c r="J381" s="830">
        <f ca="1">IFERROR(__xludf.DUMMYFUNCTION("IMPORTRANGE(""https://docs.google.com/spreadsheets/d/1XWAQStnk-4SwqDmLtmXYiTMKHgktTP8We1SCoS47DrQ/edit?usp=sharing"",""จัดที่ดิน!AL27"")"),36)</f>
        <v>36</v>
      </c>
      <c r="K381" s="831">
        <f t="shared" ca="1" si="164"/>
        <v>30.252100840336134</v>
      </c>
      <c r="L381" s="945"/>
      <c r="M381" s="945"/>
      <c r="N381" s="945"/>
      <c r="O381" s="945"/>
      <c r="P381" s="945"/>
    </row>
    <row r="382" spans="1:26" ht="18.75">
      <c r="A382" s="1159" t="s">
        <v>164</v>
      </c>
      <c r="B382" s="957"/>
      <c r="C382" s="950"/>
      <c r="D382" s="957"/>
      <c r="E382" s="956"/>
      <c r="F382" s="957"/>
      <c r="G382" s="958"/>
      <c r="H382" s="730" t="s">
        <v>46</v>
      </c>
      <c r="I382" s="830">
        <v>0</v>
      </c>
      <c r="J382" s="830">
        <f ca="1">IFERROR(__xludf.DUMMYFUNCTION("IMPORTRANGE(""https://docs.google.com/spreadsheets/d/1XWAQStnk-4SwqDmLtmXYiTMKHgktTP8We1SCoS47DrQ/edit?usp=sharing"",""จัดที่ดิน!AM27"")"),184.11)</f>
        <v>184.11</v>
      </c>
      <c r="K382" s="831">
        <f t="shared" si="164"/>
        <v>0</v>
      </c>
      <c r="L382" s="945"/>
      <c r="M382" s="945"/>
      <c r="N382" s="945"/>
      <c r="O382" s="945"/>
      <c r="P382" s="945"/>
    </row>
    <row r="383" spans="1:26" ht="19.5">
      <c r="A383" s="1011"/>
      <c r="B383" s="1018"/>
      <c r="C383" s="1012"/>
      <c r="D383" s="1145" t="s">
        <v>170</v>
      </c>
      <c r="E383" s="1012"/>
      <c r="F383" s="1012"/>
      <c r="G383" s="1014"/>
      <c r="H383" s="1146"/>
      <c r="I383" s="1015"/>
      <c r="J383" s="1015"/>
      <c r="K383" s="1016"/>
      <c r="L383" s="1016"/>
      <c r="M383" s="1016"/>
      <c r="N383" s="1016"/>
      <c r="O383" s="1016"/>
      <c r="P383" s="1016"/>
    </row>
    <row r="384" spans="1:26" ht="19.5">
      <c r="A384" s="949"/>
      <c r="B384" s="950"/>
      <c r="C384" s="827" t="s">
        <v>16</v>
      </c>
      <c r="D384" s="951" t="s">
        <v>38</v>
      </c>
      <c r="E384" s="952"/>
      <c r="F384" s="952"/>
      <c r="G384" s="953"/>
      <c r="H384" s="954"/>
      <c r="I384" s="830"/>
      <c r="J384" s="830"/>
      <c r="K384" s="831"/>
      <c r="L384" s="945"/>
      <c r="M384" s="945"/>
      <c r="N384" s="945"/>
      <c r="O384" s="945"/>
      <c r="P384" s="945"/>
    </row>
    <row r="385" spans="1:26" ht="18.75">
      <c r="A385" s="1080"/>
      <c r="B385" s="1083"/>
      <c r="C385" s="1081"/>
      <c r="D385" s="1083"/>
      <c r="E385" s="1181" t="s">
        <v>163</v>
      </c>
      <c r="F385" s="1083"/>
      <c r="G385" s="1084"/>
      <c r="H385" s="468" t="s">
        <v>35</v>
      </c>
      <c r="I385" s="1085">
        <f ca="1">IFERROR(__xludf.DUMMYFUNCTION("IMPORTRANGE(""https://docs.google.com/spreadsheets/d/1QqKyyYR6Q21VydFLVH3TRQUabQu_ym0Zz7PgGX0-kHA/edit?usp=sharing"",""แผน!EW27"")"),20)</f>
        <v>20</v>
      </c>
      <c r="J385" s="1085">
        <f ca="1">IFERROR(__xludf.DUMMYFUNCTION("IMPORTRANGE(""https://docs.google.com/spreadsheets/d/1XWAQStnk-4SwqDmLtmXYiTMKHgktTP8We1SCoS47DrQ/edit?usp=sharing"",""จัดที่ดิน!AP27"")"),0)</f>
        <v>0</v>
      </c>
      <c r="K385" s="1182">
        <f ca="1">IF(I385&gt;0,J385*100/I385,0)</f>
        <v>0</v>
      </c>
      <c r="L385" s="1086"/>
      <c r="M385" s="1086"/>
      <c r="N385" s="1086"/>
      <c r="O385" s="1086"/>
      <c r="P385" s="1086"/>
    </row>
    <row r="386" spans="1:26" ht="19.5" hidden="1">
      <c r="A386" s="1183" t="s">
        <v>171</v>
      </c>
      <c r="B386" s="1184"/>
      <c r="C386" s="1184"/>
      <c r="D386" s="1184"/>
      <c r="E386" s="1185"/>
      <c r="F386" s="1185"/>
      <c r="G386" s="1186"/>
      <c r="H386" s="1187"/>
      <c r="I386" s="1188"/>
      <c r="J386" s="1188"/>
      <c r="K386" s="1189"/>
      <c r="L386" s="1189"/>
      <c r="M386" s="1189"/>
      <c r="N386" s="1189"/>
      <c r="O386" s="1189"/>
      <c r="P386" s="1189"/>
    </row>
    <row r="387" spans="1:26" ht="19.5" hidden="1">
      <c r="A387" s="1190" t="s">
        <v>172</v>
      </c>
      <c r="B387" s="1191"/>
      <c r="C387" s="1191"/>
      <c r="D387" s="1192"/>
      <c r="E387" s="1191"/>
      <c r="F387" s="1191"/>
      <c r="G387" s="1191"/>
      <c r="H387" s="1193"/>
      <c r="I387" s="1194"/>
      <c r="J387" s="1194"/>
      <c r="K387" s="1195"/>
      <c r="L387" s="1195"/>
      <c r="M387" s="1195"/>
      <c r="N387" s="1195"/>
      <c r="O387" s="1195"/>
      <c r="P387" s="1195"/>
    </row>
    <row r="388" spans="1:26" ht="19.5" hidden="1">
      <c r="A388" s="1196"/>
      <c r="B388" s="1197" t="s">
        <v>173</v>
      </c>
      <c r="C388" s="1198"/>
      <c r="D388" s="1199"/>
      <c r="E388" s="1199"/>
      <c r="F388" s="1199"/>
      <c r="G388" s="1200"/>
      <c r="H388" s="489" t="s">
        <v>66</v>
      </c>
      <c r="I388" s="1201">
        <f t="shared" ref="I388:J388" si="165">I400</f>
        <v>0</v>
      </c>
      <c r="J388" s="1201">
        <f t="shared" si="165"/>
        <v>0</v>
      </c>
      <c r="K388" s="1202">
        <f>IF(I388&gt;0,J388*100/I388,0)</f>
        <v>0</v>
      </c>
      <c r="L388" s="1203"/>
      <c r="M388" s="1203"/>
      <c r="N388" s="1203"/>
      <c r="O388" s="1203"/>
      <c r="P388" s="1203"/>
    </row>
    <row r="389" spans="1:26" ht="19.5" hidden="1">
      <c r="A389" s="932"/>
      <c r="B389" s="933"/>
      <c r="C389" s="934" t="s">
        <v>16</v>
      </c>
      <c r="D389" s="935" t="s">
        <v>17</v>
      </c>
      <c r="E389" s="933"/>
      <c r="F389" s="933"/>
      <c r="G389" s="936"/>
      <c r="H389" s="152" t="s">
        <v>12</v>
      </c>
      <c r="I389" s="937"/>
      <c r="J389" s="937"/>
      <c r="K389" s="938"/>
      <c r="L389" s="939">
        <f t="shared" ref="L389:N389" ca="1" si="166">L390+L391</f>
        <v>0</v>
      </c>
      <c r="M389" s="939">
        <f t="shared" ca="1" si="166"/>
        <v>0</v>
      </c>
      <c r="N389" s="939">
        <f t="shared" ca="1" si="166"/>
        <v>0</v>
      </c>
      <c r="O389" s="939">
        <f t="shared" ref="O389:O397" ca="1" si="167">IF(L389&gt;0,N389*100/L389,0)</f>
        <v>0</v>
      </c>
      <c r="P389" s="939">
        <f t="shared" ref="P389:P397" ca="1" si="168">IF(M389&gt;0,N389*100/M389,0)</f>
        <v>0</v>
      </c>
      <c r="Q389" s="818"/>
      <c r="R389" s="818"/>
      <c r="S389" s="818"/>
      <c r="T389" s="818"/>
      <c r="U389" s="818"/>
      <c r="V389" s="818"/>
      <c r="W389" s="818"/>
      <c r="X389" s="818"/>
      <c r="Y389" s="818"/>
      <c r="Z389" s="818"/>
    </row>
    <row r="390" spans="1:26" ht="18.75" hidden="1">
      <c r="A390" s="940"/>
      <c r="B390" s="833"/>
      <c r="C390" s="833"/>
      <c r="D390" s="833"/>
      <c r="E390" s="834" t="s">
        <v>18</v>
      </c>
      <c r="F390" s="833"/>
      <c r="G390" s="941"/>
      <c r="H390" s="158" t="s">
        <v>12</v>
      </c>
      <c r="I390" s="836"/>
      <c r="J390" s="836"/>
      <c r="K390" s="837"/>
      <c r="L390" s="837">
        <f t="shared" ref="L390:N391" si="169">L393+L396</f>
        <v>0</v>
      </c>
      <c r="M390" s="837">
        <f t="shared" si="169"/>
        <v>0</v>
      </c>
      <c r="N390" s="837">
        <f t="shared" si="169"/>
        <v>0</v>
      </c>
      <c r="O390" s="837">
        <f t="shared" si="167"/>
        <v>0</v>
      </c>
      <c r="P390" s="837">
        <f t="shared" si="168"/>
        <v>0</v>
      </c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</row>
    <row r="391" spans="1:26" ht="18.75" hidden="1">
      <c r="A391" s="940"/>
      <c r="B391" s="833"/>
      <c r="C391" s="833"/>
      <c r="D391" s="833"/>
      <c r="E391" s="834" t="s">
        <v>19</v>
      </c>
      <c r="F391" s="833"/>
      <c r="G391" s="941"/>
      <c r="H391" s="158" t="s">
        <v>12</v>
      </c>
      <c r="I391" s="836"/>
      <c r="J391" s="836"/>
      <c r="K391" s="837"/>
      <c r="L391" s="837">
        <f t="shared" ca="1" si="169"/>
        <v>0</v>
      </c>
      <c r="M391" s="837">
        <f t="shared" ca="1" si="169"/>
        <v>0</v>
      </c>
      <c r="N391" s="837">
        <f t="shared" ca="1" si="169"/>
        <v>0</v>
      </c>
      <c r="O391" s="837">
        <f t="shared" ca="1" si="167"/>
        <v>0</v>
      </c>
      <c r="P391" s="837">
        <f t="shared" ca="1" si="168"/>
        <v>0</v>
      </c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</row>
    <row r="392" spans="1:26" ht="18.75" hidden="1">
      <c r="A392" s="942"/>
      <c r="B392" s="827"/>
      <c r="C392" s="943"/>
      <c r="D392" s="828" t="s">
        <v>20</v>
      </c>
      <c r="E392" s="827"/>
      <c r="F392" s="827"/>
      <c r="G392" s="829"/>
      <c r="H392" s="778" t="s">
        <v>12</v>
      </c>
      <c r="I392" s="944"/>
      <c r="J392" s="944"/>
      <c r="K392" s="945"/>
      <c r="L392" s="831">
        <f t="shared" ref="L392:N392" ca="1" si="170">L393+L394</f>
        <v>0</v>
      </c>
      <c r="M392" s="831">
        <f t="shared" ca="1" si="170"/>
        <v>0</v>
      </c>
      <c r="N392" s="831">
        <f t="shared" ca="1" si="170"/>
        <v>0</v>
      </c>
      <c r="O392" s="831">
        <f t="shared" ca="1" si="167"/>
        <v>0</v>
      </c>
      <c r="P392" s="831">
        <f t="shared" ca="1" si="168"/>
        <v>0</v>
      </c>
      <c r="Q392" s="818"/>
      <c r="R392" s="818"/>
      <c r="S392" s="818"/>
      <c r="T392" s="818"/>
      <c r="U392" s="818"/>
      <c r="V392" s="818"/>
      <c r="W392" s="818"/>
      <c r="X392" s="818"/>
      <c r="Y392" s="818"/>
      <c r="Z392" s="818"/>
    </row>
    <row r="393" spans="1:26" ht="19.5" hidden="1">
      <c r="A393" s="940"/>
      <c r="B393" s="833"/>
      <c r="C393" s="946"/>
      <c r="D393" s="833"/>
      <c r="E393" s="834" t="s">
        <v>36</v>
      </c>
      <c r="F393" s="833"/>
      <c r="G393" s="941"/>
      <c r="H393" s="165" t="s">
        <v>12</v>
      </c>
      <c r="I393" s="947"/>
      <c r="J393" s="947"/>
      <c r="K393" s="948"/>
      <c r="L393" s="837">
        <v>0</v>
      </c>
      <c r="M393" s="837">
        <v>0</v>
      </c>
      <c r="N393" s="837">
        <v>0</v>
      </c>
      <c r="O393" s="837">
        <f t="shared" si="167"/>
        <v>0</v>
      </c>
      <c r="P393" s="837">
        <f t="shared" si="168"/>
        <v>0</v>
      </c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</row>
    <row r="394" spans="1:26" ht="19.5" hidden="1">
      <c r="A394" s="940"/>
      <c r="B394" s="833"/>
      <c r="C394" s="946"/>
      <c r="D394" s="833"/>
      <c r="E394" s="834" t="s">
        <v>37</v>
      </c>
      <c r="F394" s="833"/>
      <c r="G394" s="941"/>
      <c r="H394" s="165" t="s">
        <v>12</v>
      </c>
      <c r="I394" s="947"/>
      <c r="J394" s="947"/>
      <c r="K394" s="948"/>
      <c r="L394" s="837">
        <f ca="1">IFERROR(__xludf.DUMMYFUNCTION("IMPORTRANGE(""https://docs.google.com/spreadsheets/d/1MeEWN-I1oV_STSDYn1IFDPWt_1FKiwhDph83XaGc0o0/edit?usp=sharing"",""งบพรบ!FG27"")"),0)</f>
        <v>0</v>
      </c>
      <c r="M394" s="837">
        <f ca="1">IFERROR(__xludf.DUMMYFUNCTION("IMPORTRANGE(""https://docs.google.com/spreadsheets/d/1MeEWN-I1oV_STSDYn1IFDPWt_1FKiwhDph83XaGc0o0/edit?usp=sharing"",""งบพรบ!FL27"")"),0)</f>
        <v>0</v>
      </c>
      <c r="N394" s="837">
        <f ca="1">IFERROR(__xludf.DUMMYFUNCTION("IMPORTRANGE(""https://docs.google.com/spreadsheets/d/1MeEWN-I1oV_STSDYn1IFDPWt_1FKiwhDph83XaGc0o0/edit?usp=sharing"",""งบพรบ!FN27"")"),0)</f>
        <v>0</v>
      </c>
      <c r="O394" s="837">
        <f t="shared" ca="1" si="167"/>
        <v>0</v>
      </c>
      <c r="P394" s="837">
        <f t="shared" ca="1" si="168"/>
        <v>0</v>
      </c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</row>
    <row r="395" spans="1:26" ht="18.75" hidden="1">
      <c r="A395" s="942"/>
      <c r="B395" s="827"/>
      <c r="C395" s="943"/>
      <c r="D395" s="828" t="s">
        <v>21</v>
      </c>
      <c r="E395" s="827"/>
      <c r="F395" s="827"/>
      <c r="G395" s="829"/>
      <c r="H395" s="168" t="s">
        <v>12</v>
      </c>
      <c r="I395" s="944"/>
      <c r="J395" s="944"/>
      <c r="K395" s="945"/>
      <c r="L395" s="831">
        <f t="shared" ref="L395:N395" ca="1" si="171">L396+L397</f>
        <v>0</v>
      </c>
      <c r="M395" s="831">
        <f t="shared" ca="1" si="171"/>
        <v>0</v>
      </c>
      <c r="N395" s="831">
        <f t="shared" ca="1" si="171"/>
        <v>0</v>
      </c>
      <c r="O395" s="831">
        <f t="shared" ca="1" si="167"/>
        <v>0</v>
      </c>
      <c r="P395" s="831">
        <f t="shared" ca="1" si="168"/>
        <v>0</v>
      </c>
      <c r="Q395" s="818"/>
      <c r="R395" s="818"/>
      <c r="S395" s="818"/>
      <c r="T395" s="818"/>
      <c r="U395" s="818"/>
      <c r="V395" s="818"/>
      <c r="W395" s="818"/>
      <c r="X395" s="818"/>
      <c r="Y395" s="818"/>
      <c r="Z395" s="818"/>
    </row>
    <row r="396" spans="1:26" ht="19.5" hidden="1">
      <c r="A396" s="940"/>
      <c r="B396" s="833"/>
      <c r="C396" s="946"/>
      <c r="D396" s="833"/>
      <c r="E396" s="834" t="s">
        <v>18</v>
      </c>
      <c r="F396" s="833"/>
      <c r="G396" s="941"/>
      <c r="H396" s="165" t="s">
        <v>12</v>
      </c>
      <c r="I396" s="947"/>
      <c r="J396" s="947"/>
      <c r="K396" s="948"/>
      <c r="L396" s="837">
        <v>0</v>
      </c>
      <c r="M396" s="837">
        <v>0</v>
      </c>
      <c r="N396" s="837">
        <v>0</v>
      </c>
      <c r="O396" s="837">
        <f t="shared" si="167"/>
        <v>0</v>
      </c>
      <c r="P396" s="837">
        <f t="shared" si="168"/>
        <v>0</v>
      </c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</row>
    <row r="397" spans="1:26" ht="19.5" hidden="1">
      <c r="A397" s="940"/>
      <c r="B397" s="833"/>
      <c r="C397" s="946"/>
      <c r="D397" s="833"/>
      <c r="E397" s="834" t="s">
        <v>19</v>
      </c>
      <c r="F397" s="833"/>
      <c r="G397" s="941"/>
      <c r="H397" s="169" t="s">
        <v>12</v>
      </c>
      <c r="I397" s="947"/>
      <c r="J397" s="947"/>
      <c r="K397" s="948"/>
      <c r="L397" s="837">
        <f ca="1">IFERROR(__xludf.DUMMYFUNCTION("IMPORTRANGE(""https://docs.google.com/spreadsheets/d/1MeEWN-I1oV_STSDYn1IFDPWt_1FKiwhDph83XaGc0o0/edit?usp=sharing"",""งบพรบ!FJ27"")"),0)</f>
        <v>0</v>
      </c>
      <c r="M397" s="837">
        <f ca="1">IFERROR(__xludf.DUMMYFUNCTION("IMPORTRANGE(""https://docs.google.com/spreadsheets/d/1MeEWN-I1oV_STSDYn1IFDPWt_1FKiwhDph83XaGc0o0/edit?usp=sharing"",""งบพรบ!FM27"")"),0)</f>
        <v>0</v>
      </c>
      <c r="N397" s="837">
        <f ca="1">IFERROR(__xludf.DUMMYFUNCTION("IMPORTRANGE(""https://docs.google.com/spreadsheets/d/1MeEWN-I1oV_STSDYn1IFDPWt_1FKiwhDph83XaGc0o0/edit?usp=sharing"",""งบพรบ!FO27"")"),0)</f>
        <v>0</v>
      </c>
      <c r="O397" s="837">
        <f t="shared" ca="1" si="167"/>
        <v>0</v>
      </c>
      <c r="P397" s="837">
        <f t="shared" ca="1" si="168"/>
        <v>0</v>
      </c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</row>
    <row r="398" spans="1:26" ht="19.5" hidden="1">
      <c r="A398" s="949"/>
      <c r="B398" s="950"/>
      <c r="C398" s="946" t="s">
        <v>16</v>
      </c>
      <c r="D398" s="951" t="s">
        <v>38</v>
      </c>
      <c r="E398" s="952"/>
      <c r="F398" s="952"/>
      <c r="G398" s="953"/>
      <c r="H398" s="954"/>
      <c r="I398" s="944"/>
      <c r="J398" s="830"/>
      <c r="K398" s="831"/>
      <c r="L398" s="831"/>
      <c r="M398" s="831"/>
      <c r="N398" s="831"/>
      <c r="O398" s="945"/>
      <c r="P398" s="945"/>
    </row>
    <row r="399" spans="1:26" ht="18.75" hidden="1">
      <c r="A399" s="1204"/>
      <c r="B399" s="933"/>
      <c r="C399" s="1205"/>
      <c r="D399" s="968" t="s">
        <v>174</v>
      </c>
      <c r="E399" s="1113"/>
      <c r="F399" s="933"/>
      <c r="G399" s="936"/>
      <c r="H399" s="496" t="s">
        <v>9</v>
      </c>
      <c r="I399" s="830">
        <v>0</v>
      </c>
      <c r="J399" s="959">
        <v>0</v>
      </c>
      <c r="K399" s="831">
        <f t="shared" ref="K399:K401" si="172">IF(I399&gt;0,J399*100/I399,0)</f>
        <v>0</v>
      </c>
      <c r="L399" s="1206"/>
      <c r="M399" s="1206"/>
      <c r="N399" s="1206"/>
      <c r="O399" s="1206"/>
      <c r="P399" s="1206"/>
      <c r="Q399" s="818"/>
      <c r="R399" s="818"/>
      <c r="S399" s="818"/>
      <c r="T399" s="818"/>
      <c r="U399" s="818"/>
      <c r="V399" s="818"/>
      <c r="W399" s="818"/>
      <c r="X399" s="818"/>
      <c r="Y399" s="818"/>
      <c r="Z399" s="818"/>
    </row>
    <row r="400" spans="1:26" ht="18.75" hidden="1">
      <c r="A400" s="1032"/>
      <c r="B400" s="827"/>
      <c r="C400" s="1030"/>
      <c r="D400" s="956" t="s">
        <v>175</v>
      </c>
      <c r="E400" s="950"/>
      <c r="F400" s="827"/>
      <c r="G400" s="829"/>
      <c r="H400" s="277" t="s">
        <v>66</v>
      </c>
      <c r="I400" s="830">
        <v>0</v>
      </c>
      <c r="J400" s="959">
        <v>0</v>
      </c>
      <c r="K400" s="831">
        <f t="shared" si="172"/>
        <v>0</v>
      </c>
      <c r="L400" s="831"/>
      <c r="M400" s="831"/>
      <c r="N400" s="831"/>
      <c r="O400" s="831"/>
      <c r="P400" s="831"/>
    </row>
    <row r="401" spans="1:26" ht="19.5" hidden="1">
      <c r="A401" s="1196"/>
      <c r="B401" s="1197" t="s">
        <v>176</v>
      </c>
      <c r="C401" s="1198"/>
      <c r="D401" s="1199"/>
      <c r="E401" s="1199"/>
      <c r="F401" s="1199"/>
      <c r="G401" s="1200"/>
      <c r="H401" s="489" t="s">
        <v>66</v>
      </c>
      <c r="I401" s="1201">
        <f t="shared" ref="I401:J401" si="173">I412</f>
        <v>0</v>
      </c>
      <c r="J401" s="1201">
        <f t="shared" si="173"/>
        <v>0</v>
      </c>
      <c r="K401" s="1202">
        <f t="shared" si="172"/>
        <v>0</v>
      </c>
      <c r="L401" s="1203"/>
      <c r="M401" s="1203"/>
      <c r="N401" s="1203"/>
      <c r="O401" s="1203"/>
      <c r="P401" s="1203"/>
    </row>
    <row r="402" spans="1:26" ht="19.5" hidden="1">
      <c r="A402" s="932"/>
      <c r="B402" s="933"/>
      <c r="C402" s="934" t="s">
        <v>16</v>
      </c>
      <c r="D402" s="935" t="s">
        <v>17</v>
      </c>
      <c r="E402" s="933"/>
      <c r="F402" s="933"/>
      <c r="G402" s="936"/>
      <c r="H402" s="152" t="s">
        <v>12</v>
      </c>
      <c r="I402" s="937"/>
      <c r="J402" s="937"/>
      <c r="K402" s="938"/>
      <c r="L402" s="939">
        <f t="shared" ref="L402:N402" ca="1" si="174">L403+L404</f>
        <v>0</v>
      </c>
      <c r="M402" s="939">
        <f t="shared" ca="1" si="174"/>
        <v>0</v>
      </c>
      <c r="N402" s="939">
        <f t="shared" ca="1" si="174"/>
        <v>0</v>
      </c>
      <c r="O402" s="939">
        <f t="shared" ref="O402:O410" ca="1" si="175">IF(L402&gt;0,N402*100/L402,0)</f>
        <v>0</v>
      </c>
      <c r="P402" s="939">
        <f t="shared" ref="P402:P410" ca="1" si="176">IF(M402&gt;0,N402*100/M402,0)</f>
        <v>0</v>
      </c>
      <c r="Q402" s="818"/>
      <c r="R402" s="818"/>
      <c r="S402" s="818"/>
      <c r="T402" s="818"/>
      <c r="U402" s="818"/>
      <c r="V402" s="818"/>
      <c r="W402" s="818"/>
      <c r="X402" s="818"/>
      <c r="Y402" s="818"/>
      <c r="Z402" s="818"/>
    </row>
    <row r="403" spans="1:26" ht="18.75" hidden="1">
      <c r="A403" s="940"/>
      <c r="B403" s="833"/>
      <c r="C403" s="833"/>
      <c r="D403" s="833"/>
      <c r="E403" s="834" t="s">
        <v>18</v>
      </c>
      <c r="F403" s="833"/>
      <c r="G403" s="941"/>
      <c r="H403" s="158" t="s">
        <v>12</v>
      </c>
      <c r="I403" s="836"/>
      <c r="J403" s="836"/>
      <c r="K403" s="837"/>
      <c r="L403" s="837">
        <f t="shared" ref="L403:N404" si="177">L406+L409</f>
        <v>0</v>
      </c>
      <c r="M403" s="837">
        <f t="shared" si="177"/>
        <v>0</v>
      </c>
      <c r="N403" s="837">
        <f t="shared" si="177"/>
        <v>0</v>
      </c>
      <c r="O403" s="837">
        <f t="shared" si="175"/>
        <v>0</v>
      </c>
      <c r="P403" s="837">
        <f t="shared" si="176"/>
        <v>0</v>
      </c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</row>
    <row r="404" spans="1:26" ht="18.75" hidden="1">
      <c r="A404" s="940"/>
      <c r="B404" s="833"/>
      <c r="C404" s="833"/>
      <c r="D404" s="833"/>
      <c r="E404" s="834" t="s">
        <v>19</v>
      </c>
      <c r="F404" s="833"/>
      <c r="G404" s="941"/>
      <c r="H404" s="158" t="s">
        <v>12</v>
      </c>
      <c r="I404" s="836"/>
      <c r="J404" s="836"/>
      <c r="K404" s="837"/>
      <c r="L404" s="837">
        <f t="shared" ca="1" si="177"/>
        <v>0</v>
      </c>
      <c r="M404" s="837">
        <f t="shared" ca="1" si="177"/>
        <v>0</v>
      </c>
      <c r="N404" s="837">
        <f t="shared" ca="1" si="177"/>
        <v>0</v>
      </c>
      <c r="O404" s="837">
        <f t="shared" ca="1" si="175"/>
        <v>0</v>
      </c>
      <c r="P404" s="837">
        <f t="shared" ca="1" si="176"/>
        <v>0</v>
      </c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</row>
    <row r="405" spans="1:26" ht="18.75" hidden="1">
      <c r="A405" s="942"/>
      <c r="B405" s="827"/>
      <c r="C405" s="943"/>
      <c r="D405" s="828" t="s">
        <v>20</v>
      </c>
      <c r="E405" s="827"/>
      <c r="F405" s="827"/>
      <c r="G405" s="829"/>
      <c r="H405" s="778" t="s">
        <v>12</v>
      </c>
      <c r="I405" s="944"/>
      <c r="J405" s="944"/>
      <c r="K405" s="945"/>
      <c r="L405" s="831">
        <f t="shared" ref="L405:N405" ca="1" si="178">L406+L407</f>
        <v>0</v>
      </c>
      <c r="M405" s="831">
        <f t="shared" ca="1" si="178"/>
        <v>0</v>
      </c>
      <c r="N405" s="831">
        <f t="shared" ca="1" si="178"/>
        <v>0</v>
      </c>
      <c r="O405" s="831">
        <f t="shared" ca="1" si="175"/>
        <v>0</v>
      </c>
      <c r="P405" s="831">
        <f t="shared" ca="1" si="176"/>
        <v>0</v>
      </c>
      <c r="Q405" s="818"/>
      <c r="R405" s="818"/>
      <c r="S405" s="818"/>
      <c r="T405" s="818"/>
      <c r="U405" s="818"/>
      <c r="V405" s="818"/>
      <c r="W405" s="818"/>
      <c r="X405" s="818"/>
      <c r="Y405" s="818"/>
      <c r="Z405" s="818"/>
    </row>
    <row r="406" spans="1:26" ht="19.5" hidden="1">
      <c r="A406" s="940"/>
      <c r="B406" s="833"/>
      <c r="C406" s="946"/>
      <c r="D406" s="833"/>
      <c r="E406" s="834" t="s">
        <v>36</v>
      </c>
      <c r="F406" s="833"/>
      <c r="G406" s="941"/>
      <c r="H406" s="165" t="s">
        <v>12</v>
      </c>
      <c r="I406" s="947"/>
      <c r="J406" s="947"/>
      <c r="K406" s="948"/>
      <c r="L406" s="837">
        <v>0</v>
      </c>
      <c r="M406" s="837">
        <v>0</v>
      </c>
      <c r="N406" s="837">
        <v>0</v>
      </c>
      <c r="O406" s="837">
        <f t="shared" si="175"/>
        <v>0</v>
      </c>
      <c r="P406" s="837">
        <f t="shared" si="176"/>
        <v>0</v>
      </c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</row>
    <row r="407" spans="1:26" ht="19.5" hidden="1">
      <c r="A407" s="940"/>
      <c r="B407" s="833"/>
      <c r="C407" s="946"/>
      <c r="D407" s="833"/>
      <c r="E407" s="834" t="s">
        <v>37</v>
      </c>
      <c r="F407" s="833"/>
      <c r="G407" s="941"/>
      <c r="H407" s="165" t="s">
        <v>12</v>
      </c>
      <c r="I407" s="947"/>
      <c r="J407" s="947"/>
      <c r="K407" s="948"/>
      <c r="L407" s="837">
        <f ca="1">IFERROR(__xludf.DUMMYFUNCTION("IMPORTRANGE(""https://docs.google.com/spreadsheets/d/1MeEWN-I1oV_STSDYn1IFDPWt_1FKiwhDph83XaGc0o0/edit?usp=sharing"",""งบพรบ!FQ27"")"),0)</f>
        <v>0</v>
      </c>
      <c r="M407" s="837">
        <f ca="1">IFERROR(__xludf.DUMMYFUNCTION("IMPORTRANGE(""https://docs.google.com/spreadsheets/d/1MeEWN-I1oV_STSDYn1IFDPWt_1FKiwhDph83XaGc0o0/edit?usp=sharing"",""งบพรบ!FV27"")"),0)</f>
        <v>0</v>
      </c>
      <c r="N407" s="837">
        <f ca="1">IFERROR(__xludf.DUMMYFUNCTION("IMPORTRANGE(""https://docs.google.com/spreadsheets/d/1MeEWN-I1oV_STSDYn1IFDPWt_1FKiwhDph83XaGc0o0/edit?usp=sharing"",""งบพรบ!FX27"")"),0)</f>
        <v>0</v>
      </c>
      <c r="O407" s="837">
        <f t="shared" ca="1" si="175"/>
        <v>0</v>
      </c>
      <c r="P407" s="837">
        <f t="shared" ca="1" si="176"/>
        <v>0</v>
      </c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</row>
    <row r="408" spans="1:26" ht="18.75" hidden="1">
      <c r="A408" s="942"/>
      <c r="B408" s="827"/>
      <c r="C408" s="943"/>
      <c r="D408" s="828" t="s">
        <v>21</v>
      </c>
      <c r="E408" s="827"/>
      <c r="F408" s="827"/>
      <c r="G408" s="829"/>
      <c r="H408" s="168" t="s">
        <v>12</v>
      </c>
      <c r="I408" s="944"/>
      <c r="J408" s="944"/>
      <c r="K408" s="945"/>
      <c r="L408" s="831">
        <f t="shared" ref="L408:N408" ca="1" si="179">L409+L410</f>
        <v>0</v>
      </c>
      <c r="M408" s="831">
        <f t="shared" ca="1" si="179"/>
        <v>0</v>
      </c>
      <c r="N408" s="831">
        <f t="shared" ca="1" si="179"/>
        <v>0</v>
      </c>
      <c r="O408" s="831">
        <f t="shared" ca="1" si="175"/>
        <v>0</v>
      </c>
      <c r="P408" s="831">
        <f t="shared" ca="1" si="176"/>
        <v>0</v>
      </c>
      <c r="Q408" s="818"/>
      <c r="R408" s="818"/>
      <c r="S408" s="818"/>
      <c r="T408" s="818"/>
      <c r="U408" s="818"/>
      <c r="V408" s="818"/>
      <c r="W408" s="818"/>
      <c r="X408" s="818"/>
      <c r="Y408" s="818"/>
      <c r="Z408" s="818"/>
    </row>
    <row r="409" spans="1:26" ht="19.5" hidden="1">
      <c r="A409" s="940"/>
      <c r="B409" s="833"/>
      <c r="C409" s="946"/>
      <c r="D409" s="833"/>
      <c r="E409" s="834" t="s">
        <v>18</v>
      </c>
      <c r="F409" s="833"/>
      <c r="G409" s="941"/>
      <c r="H409" s="165" t="s">
        <v>12</v>
      </c>
      <c r="I409" s="947"/>
      <c r="J409" s="947"/>
      <c r="K409" s="948"/>
      <c r="L409" s="837">
        <v>0</v>
      </c>
      <c r="M409" s="837">
        <v>0</v>
      </c>
      <c r="N409" s="837">
        <v>0</v>
      </c>
      <c r="O409" s="837">
        <f t="shared" si="175"/>
        <v>0</v>
      </c>
      <c r="P409" s="837">
        <f t="shared" si="176"/>
        <v>0</v>
      </c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</row>
    <row r="410" spans="1:26" ht="19.5" hidden="1">
      <c r="A410" s="940"/>
      <c r="B410" s="833"/>
      <c r="C410" s="946"/>
      <c r="D410" s="833"/>
      <c r="E410" s="834" t="s">
        <v>19</v>
      </c>
      <c r="F410" s="833"/>
      <c r="G410" s="941"/>
      <c r="H410" s="169" t="s">
        <v>12</v>
      </c>
      <c r="I410" s="947"/>
      <c r="J410" s="947"/>
      <c r="K410" s="948"/>
      <c r="L410" s="837">
        <f ca="1">IFERROR(__xludf.DUMMYFUNCTION("IMPORTRANGE(""https://docs.google.com/spreadsheets/d/1MeEWN-I1oV_STSDYn1IFDPWt_1FKiwhDph83XaGc0o0/edit?usp=sharing"",""งบพรบ!FT27"")"),0)</f>
        <v>0</v>
      </c>
      <c r="M410" s="837">
        <f ca="1">IFERROR(__xludf.DUMMYFUNCTION("IMPORTRANGE(""https://docs.google.com/spreadsheets/d/1MeEWN-I1oV_STSDYn1IFDPWt_1FKiwhDph83XaGc0o0/edit?usp=sharing"",""งบพรบ!FW27"")"),0)</f>
        <v>0</v>
      </c>
      <c r="N410" s="837">
        <f ca="1">IFERROR(__xludf.DUMMYFUNCTION("IMPORTRANGE(""https://docs.google.com/spreadsheets/d/1MeEWN-I1oV_STSDYn1IFDPWt_1FKiwhDph83XaGc0o0/edit?usp=sharing"",""งบพรบ!FY27"")"),0)</f>
        <v>0</v>
      </c>
      <c r="O410" s="837">
        <f t="shared" ca="1" si="175"/>
        <v>0</v>
      </c>
      <c r="P410" s="837">
        <f t="shared" ca="1" si="176"/>
        <v>0</v>
      </c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</row>
    <row r="411" spans="1:26" ht="19.5" hidden="1">
      <c r="A411" s="949"/>
      <c r="B411" s="950"/>
      <c r="C411" s="946" t="s">
        <v>16</v>
      </c>
      <c r="D411" s="1207" t="s">
        <v>38</v>
      </c>
      <c r="E411" s="1208"/>
      <c r="F411" s="1208"/>
      <c r="G411" s="1209"/>
      <c r="H411" s="954"/>
      <c r="I411" s="830"/>
      <c r="J411" s="830"/>
      <c r="K411" s="831"/>
      <c r="L411" s="945"/>
      <c r="M411" s="945"/>
      <c r="N411" s="945"/>
      <c r="O411" s="945"/>
      <c r="P411" s="945"/>
    </row>
    <row r="412" spans="1:26" ht="18.75" hidden="1">
      <c r="A412" s="949"/>
      <c r="B412" s="957"/>
      <c r="C412" s="957"/>
      <c r="D412" s="956" t="s">
        <v>177</v>
      </c>
      <c r="E412" s="957"/>
      <c r="F412" s="957"/>
      <c r="G412" s="958"/>
      <c r="H412" s="501" t="s">
        <v>66</v>
      </c>
      <c r="I412" s="830">
        <v>0</v>
      </c>
      <c r="J412" s="959">
        <v>0</v>
      </c>
      <c r="K412" s="831">
        <f t="shared" ref="K412:K413" si="180">IF(I412&gt;0,J412*100/I412,0)</f>
        <v>0</v>
      </c>
      <c r="L412" s="945"/>
      <c r="M412" s="945"/>
      <c r="N412" s="945"/>
      <c r="O412" s="945"/>
      <c r="P412" s="945"/>
    </row>
    <row r="413" spans="1:26" ht="19.5" hidden="1" thickBot="1">
      <c r="A413" s="1210"/>
      <c r="B413" s="1211"/>
      <c r="C413" s="1211"/>
      <c r="D413" s="1212" t="s">
        <v>178</v>
      </c>
      <c r="E413" s="1211"/>
      <c r="F413" s="1211"/>
      <c r="G413" s="1213"/>
      <c r="H413" s="506" t="s">
        <v>179</v>
      </c>
      <c r="I413" s="1214">
        <v>0</v>
      </c>
      <c r="J413" s="1215">
        <v>0</v>
      </c>
      <c r="K413" s="1216">
        <f t="shared" si="180"/>
        <v>0</v>
      </c>
      <c r="L413" s="1217"/>
      <c r="M413" s="1217"/>
      <c r="N413" s="1217"/>
      <c r="O413" s="1217"/>
      <c r="P413" s="1217"/>
    </row>
    <row r="414" spans="1:26" ht="19.5">
      <c r="A414" s="1218" t="s">
        <v>180</v>
      </c>
      <c r="B414" s="1219"/>
      <c r="C414" s="1219"/>
      <c r="D414" s="1219"/>
      <c r="E414" s="1219"/>
      <c r="F414" s="1219"/>
      <c r="G414" s="1220"/>
      <c r="H414" s="1221"/>
      <c r="I414" s="1222"/>
      <c r="J414" s="1222"/>
      <c r="K414" s="1223"/>
      <c r="L414" s="1224">
        <f t="shared" ref="L414:N414" ca="1" si="181">L419+L444+L467+L502+L523+L544+L629+L655+L685+L737+L754+L770+L786+L805</f>
        <v>1322929</v>
      </c>
      <c r="M414" s="1224">
        <f t="shared" si="181"/>
        <v>0</v>
      </c>
      <c r="N414" s="1224">
        <f t="shared" si="181"/>
        <v>528781</v>
      </c>
      <c r="O414" s="1224">
        <f ca="1">IF(L414&gt;0,N414*100/L414,0)</f>
        <v>39.970474605969031</v>
      </c>
      <c r="P414" s="1224">
        <f>IF(M414&gt;0,N414*100/M414,0)</f>
        <v>0</v>
      </c>
    </row>
    <row r="415" spans="1:26" ht="19.5">
      <c r="A415" s="1225" t="s">
        <v>181</v>
      </c>
      <c r="B415" s="1226"/>
      <c r="C415" s="1226"/>
      <c r="D415" s="1226"/>
      <c r="E415" s="1226"/>
      <c r="F415" s="1226"/>
      <c r="G415" s="1226"/>
      <c r="H415" s="1227"/>
      <c r="I415" s="1228"/>
      <c r="J415" s="1228"/>
      <c r="K415" s="1229"/>
      <c r="L415" s="1230"/>
      <c r="M415" s="1230"/>
      <c r="N415" s="1230"/>
      <c r="O415" s="1230"/>
      <c r="P415" s="1230"/>
    </row>
    <row r="416" spans="1:26" ht="19.5">
      <c r="A416" s="1225" t="s">
        <v>182</v>
      </c>
      <c r="B416" s="1226"/>
      <c r="C416" s="1226"/>
      <c r="D416" s="1226"/>
      <c r="E416" s="1226"/>
      <c r="F416" s="1226"/>
      <c r="G416" s="1231"/>
      <c r="H416" s="1232"/>
      <c r="I416" s="1233"/>
      <c r="J416" s="1233"/>
      <c r="K416" s="1230"/>
      <c r="L416" s="1230"/>
      <c r="M416" s="1230"/>
      <c r="N416" s="1230"/>
      <c r="O416" s="1230"/>
      <c r="P416" s="1230"/>
    </row>
    <row r="417" spans="1:26" ht="39">
      <c r="A417" s="527">
        <v>1</v>
      </c>
      <c r="B417" s="1234" t="s">
        <v>183</v>
      </c>
      <c r="C417" s="1234"/>
      <c r="D417" s="1235"/>
      <c r="E417" s="1235"/>
      <c r="F417" s="1235"/>
      <c r="G417" s="1236"/>
      <c r="H417" s="532" t="s">
        <v>35</v>
      </c>
      <c r="I417" s="1237">
        <f t="shared" ref="I417:J418" ca="1" si="182">I433</f>
        <v>50</v>
      </c>
      <c r="J417" s="1237">
        <f t="shared" ca="1" si="182"/>
        <v>0</v>
      </c>
      <c r="K417" s="1238">
        <f t="shared" ref="K417:K418" ca="1" si="183">IF(I417&gt;0,J417*100/I417,0)</f>
        <v>0</v>
      </c>
      <c r="L417" s="1239"/>
      <c r="M417" s="1239"/>
      <c r="N417" s="1239"/>
      <c r="O417" s="1239"/>
      <c r="P417" s="1239"/>
    </row>
    <row r="418" spans="1:26" ht="19.5">
      <c r="A418" s="1240"/>
      <c r="B418" s="527"/>
      <c r="C418" s="1234"/>
      <c r="D418" s="1235"/>
      <c r="E418" s="1235"/>
      <c r="F418" s="1235"/>
      <c r="G418" s="1236"/>
      <c r="H418" s="532" t="s">
        <v>49</v>
      </c>
      <c r="I418" s="1237">
        <f t="shared" ca="1" si="182"/>
        <v>2</v>
      </c>
      <c r="J418" s="1237">
        <f t="shared" si="182"/>
        <v>0</v>
      </c>
      <c r="K418" s="1238">
        <f t="shared" ca="1" si="183"/>
        <v>0</v>
      </c>
      <c r="L418" s="1239"/>
      <c r="M418" s="1239"/>
      <c r="N418" s="1239"/>
      <c r="O418" s="1239"/>
      <c r="P418" s="1239"/>
    </row>
    <row r="419" spans="1:26" ht="19.5">
      <c r="A419" s="932"/>
      <c r="B419" s="933"/>
      <c r="C419" s="933" t="s">
        <v>16</v>
      </c>
      <c r="D419" s="1510" t="s">
        <v>17</v>
      </c>
      <c r="E419" s="1487"/>
      <c r="F419" s="1487"/>
      <c r="G419" s="936"/>
      <c r="H419" s="275" t="s">
        <v>12</v>
      </c>
      <c r="I419" s="937"/>
      <c r="J419" s="937"/>
      <c r="K419" s="938"/>
      <c r="L419" s="939">
        <f t="shared" ref="L419:N419" ca="1" si="184">L420+L421</f>
        <v>182640</v>
      </c>
      <c r="M419" s="939">
        <f t="shared" si="184"/>
        <v>0</v>
      </c>
      <c r="N419" s="939">
        <f t="shared" si="184"/>
        <v>118216</v>
      </c>
      <c r="O419" s="939">
        <f t="shared" ref="O419:O424" ca="1" si="185">IF(L419&gt;0,N419*100/L419,0)</f>
        <v>64.726237406920717</v>
      </c>
      <c r="P419" s="939">
        <f t="shared" ref="P419:P424" si="186">IF(M419&gt;0,N419*100/M419,0)</f>
        <v>0</v>
      </c>
      <c r="Q419" s="818"/>
      <c r="R419" s="818"/>
      <c r="S419" s="818"/>
      <c r="T419" s="818"/>
      <c r="U419" s="818"/>
      <c r="V419" s="818"/>
      <c r="W419" s="818"/>
      <c r="X419" s="818"/>
      <c r="Y419" s="818"/>
      <c r="Z419" s="818"/>
    </row>
    <row r="420" spans="1:26" ht="18.75" hidden="1">
      <c r="A420" s="940"/>
      <c r="B420" s="833"/>
      <c r="C420" s="833"/>
      <c r="D420" s="1061"/>
      <c r="E420" s="834" t="s">
        <v>184</v>
      </c>
      <c r="F420" s="833"/>
      <c r="G420" s="941"/>
      <c r="H420" s="165" t="s">
        <v>12</v>
      </c>
      <c r="I420" s="836"/>
      <c r="J420" s="836"/>
      <c r="K420" s="837"/>
      <c r="L420" s="837">
        <f t="shared" ref="L420:N421" si="187">L423+L430</f>
        <v>0</v>
      </c>
      <c r="M420" s="837">
        <f t="shared" si="187"/>
        <v>0</v>
      </c>
      <c r="N420" s="837">
        <f t="shared" si="187"/>
        <v>0</v>
      </c>
      <c r="O420" s="837">
        <f t="shared" si="185"/>
        <v>0</v>
      </c>
      <c r="P420" s="837">
        <f t="shared" si="186"/>
        <v>0</v>
      </c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</row>
    <row r="421" spans="1:26" ht="18.75" hidden="1">
      <c r="A421" s="940"/>
      <c r="B421" s="833"/>
      <c r="C421" s="833"/>
      <c r="D421" s="1061"/>
      <c r="E421" s="834" t="s">
        <v>185</v>
      </c>
      <c r="F421" s="833"/>
      <c r="G421" s="941"/>
      <c r="H421" s="165" t="s">
        <v>12</v>
      </c>
      <c r="I421" s="836"/>
      <c r="J421" s="836"/>
      <c r="K421" s="837"/>
      <c r="L421" s="837">
        <f t="shared" ca="1" si="187"/>
        <v>182640</v>
      </c>
      <c r="M421" s="837">
        <f t="shared" si="187"/>
        <v>0</v>
      </c>
      <c r="N421" s="837">
        <f t="shared" si="187"/>
        <v>118216</v>
      </c>
      <c r="O421" s="837">
        <f t="shared" ca="1" si="185"/>
        <v>64.726237406920717</v>
      </c>
      <c r="P421" s="837">
        <f t="shared" si="186"/>
        <v>0</v>
      </c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</row>
    <row r="422" spans="1:26" ht="18.75">
      <c r="A422" s="942"/>
      <c r="B422" s="1030"/>
      <c r="C422" s="827"/>
      <c r="D422" s="828" t="s">
        <v>20</v>
      </c>
      <c r="E422" s="827"/>
      <c r="F422" s="827"/>
      <c r="G422" s="829"/>
      <c r="H422" s="778" t="s">
        <v>12</v>
      </c>
      <c r="I422" s="944"/>
      <c r="J422" s="944"/>
      <c r="K422" s="945"/>
      <c r="L422" s="831">
        <f t="shared" ref="L422:N422" ca="1" si="188">L423+L424</f>
        <v>182640</v>
      </c>
      <c r="M422" s="831">
        <f t="shared" si="188"/>
        <v>0</v>
      </c>
      <c r="N422" s="831">
        <f t="shared" si="188"/>
        <v>118216</v>
      </c>
      <c r="O422" s="831">
        <f t="shared" ca="1" si="185"/>
        <v>64.726237406920717</v>
      </c>
      <c r="P422" s="831">
        <f t="shared" si="186"/>
        <v>0</v>
      </c>
      <c r="Q422" s="818"/>
      <c r="R422" s="818"/>
      <c r="S422" s="818"/>
      <c r="T422" s="818"/>
      <c r="U422" s="818"/>
      <c r="V422" s="818"/>
      <c r="W422" s="818"/>
      <c r="X422" s="818"/>
      <c r="Y422" s="818"/>
      <c r="Z422" s="818"/>
    </row>
    <row r="423" spans="1:26" ht="18.75" hidden="1">
      <c r="A423" s="940"/>
      <c r="B423" s="833"/>
      <c r="C423" s="833"/>
      <c r="D423" s="1061"/>
      <c r="E423" s="834" t="s">
        <v>184</v>
      </c>
      <c r="F423" s="833"/>
      <c r="G423" s="941"/>
      <c r="H423" s="165" t="s">
        <v>12</v>
      </c>
      <c r="I423" s="836"/>
      <c r="J423" s="836"/>
      <c r="K423" s="837"/>
      <c r="L423" s="837">
        <v>0</v>
      </c>
      <c r="M423" s="837">
        <v>0</v>
      </c>
      <c r="N423" s="837">
        <v>0</v>
      </c>
      <c r="O423" s="837">
        <f t="shared" si="185"/>
        <v>0</v>
      </c>
      <c r="P423" s="837">
        <f t="shared" si="186"/>
        <v>0</v>
      </c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</row>
    <row r="424" spans="1:26" ht="18.75" hidden="1">
      <c r="A424" s="940"/>
      <c r="B424" s="833"/>
      <c r="C424" s="833"/>
      <c r="D424" s="1061"/>
      <c r="E424" s="834" t="s">
        <v>185</v>
      </c>
      <c r="F424" s="833"/>
      <c r="G424" s="941"/>
      <c r="H424" s="165" t="s">
        <v>12</v>
      </c>
      <c r="I424" s="836"/>
      <c r="J424" s="836"/>
      <c r="K424" s="837"/>
      <c r="L424" s="837">
        <f ca="1">IFERROR(__xludf.DUMMYFUNCTION("IMPORTRANGE(""https://docs.google.com/spreadsheets/d/1QqKyyYR6Q21VydFLVH3TRQUabQu_ym0Zz7PgGX0-kHA/edit?usp=sharing"",""แผน!EY27"")"),182640)</f>
        <v>182640</v>
      </c>
      <c r="M424" s="837">
        <v>0</v>
      </c>
      <c r="N424" s="837">
        <f>N425+N426+N427+N428</f>
        <v>118216</v>
      </c>
      <c r="O424" s="837">
        <f t="shared" ca="1" si="185"/>
        <v>64.726237406920717</v>
      </c>
      <c r="P424" s="837">
        <f t="shared" si="186"/>
        <v>0</v>
      </c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</row>
    <row r="425" spans="1:26" ht="18.75">
      <c r="A425" s="1241"/>
      <c r="B425" s="1242"/>
      <c r="C425" s="1243"/>
      <c r="D425" s="1243"/>
      <c r="E425" s="1243"/>
      <c r="F425" s="1243" t="s">
        <v>186</v>
      </c>
      <c r="G425" s="963"/>
      <c r="H425" s="778" t="s">
        <v>12</v>
      </c>
      <c r="I425" s="830"/>
      <c r="J425" s="830"/>
      <c r="K425" s="831"/>
      <c r="L425" s="831"/>
      <c r="M425" s="831"/>
      <c r="N425" s="1031">
        <v>95516</v>
      </c>
      <c r="O425" s="831"/>
      <c r="P425" s="831"/>
      <c r="Q425" s="1244"/>
      <c r="R425" s="1244"/>
      <c r="S425" s="1244"/>
      <c r="T425" s="1244"/>
      <c r="U425" s="1244"/>
      <c r="V425" s="1244"/>
      <c r="W425" s="1244"/>
      <c r="X425" s="1244"/>
      <c r="Y425" s="1244"/>
      <c r="Z425" s="1244"/>
    </row>
    <row r="426" spans="1:26" ht="18.75">
      <c r="A426" s="1241"/>
      <c r="B426" s="1242"/>
      <c r="C426" s="1243"/>
      <c r="D426" s="1243"/>
      <c r="E426" s="1243"/>
      <c r="F426" s="1243" t="s">
        <v>187</v>
      </c>
      <c r="G426" s="963"/>
      <c r="H426" s="778" t="s">
        <v>12</v>
      </c>
      <c r="I426" s="830"/>
      <c r="J426" s="830"/>
      <c r="K426" s="831"/>
      <c r="L426" s="831"/>
      <c r="M426" s="831"/>
      <c r="N426" s="1031">
        <v>0</v>
      </c>
      <c r="O426" s="831"/>
      <c r="P426" s="831"/>
      <c r="Q426" s="1244"/>
      <c r="R426" s="1244"/>
      <c r="S426" s="1244"/>
      <c r="T426" s="1244"/>
      <c r="U426" s="1244"/>
      <c r="V426" s="1244"/>
      <c r="W426" s="1244"/>
      <c r="X426" s="1244"/>
      <c r="Y426" s="1244"/>
      <c r="Z426" s="1244"/>
    </row>
    <row r="427" spans="1:26" ht="18.75">
      <c r="A427" s="1241"/>
      <c r="B427" s="1242"/>
      <c r="C427" s="1243"/>
      <c r="D427" s="1243"/>
      <c r="E427" s="1243"/>
      <c r="F427" s="1243" t="s">
        <v>188</v>
      </c>
      <c r="G427" s="963"/>
      <c r="H427" s="778" t="s">
        <v>12</v>
      </c>
      <c r="I427" s="830"/>
      <c r="J427" s="830"/>
      <c r="K427" s="831"/>
      <c r="L427" s="831"/>
      <c r="M427" s="831"/>
      <c r="N427" s="1031">
        <v>0</v>
      </c>
      <c r="O427" s="831"/>
      <c r="P427" s="831"/>
      <c r="Q427" s="1244"/>
      <c r="R427" s="1244"/>
      <c r="S427" s="1244"/>
      <c r="T427" s="1244"/>
      <c r="U427" s="1244"/>
      <c r="V427" s="1244"/>
      <c r="W427" s="1244"/>
      <c r="X427" s="1244"/>
      <c r="Y427" s="1244"/>
      <c r="Z427" s="1244"/>
    </row>
    <row r="428" spans="1:26" ht="18.75">
      <c r="A428" s="1032"/>
      <c r="B428" s="1030"/>
      <c r="C428" s="827"/>
      <c r="D428" s="827"/>
      <c r="E428" s="827"/>
      <c r="F428" s="943" t="s">
        <v>189</v>
      </c>
      <c r="G428" s="977"/>
      <c r="H428" s="778" t="s">
        <v>12</v>
      </c>
      <c r="I428" s="830"/>
      <c r="J428" s="830"/>
      <c r="K428" s="831"/>
      <c r="L428" s="831"/>
      <c r="M428" s="831"/>
      <c r="N428" s="1031">
        <v>22700</v>
      </c>
      <c r="O428" s="831"/>
      <c r="P428" s="831"/>
      <c r="Q428" s="818"/>
      <c r="R428" s="818"/>
      <c r="S428" s="818"/>
      <c r="T428" s="818"/>
      <c r="U428" s="818"/>
      <c r="V428" s="818"/>
      <c r="W428" s="818"/>
      <c r="X428" s="818"/>
      <c r="Y428" s="818"/>
      <c r="Z428" s="818"/>
    </row>
    <row r="429" spans="1:26" ht="18.75">
      <c r="A429" s="942"/>
      <c r="B429" s="1030"/>
      <c r="C429" s="827"/>
      <c r="D429" s="828" t="s">
        <v>21</v>
      </c>
      <c r="E429" s="827"/>
      <c r="F429" s="827"/>
      <c r="G429" s="829"/>
      <c r="H429" s="168" t="s">
        <v>12</v>
      </c>
      <c r="I429" s="944"/>
      <c r="J429" s="944"/>
      <c r="K429" s="945"/>
      <c r="L429" s="831">
        <f t="shared" ref="L429:N429" ca="1" si="189">L430+L431</f>
        <v>0</v>
      </c>
      <c r="M429" s="831">
        <f t="shared" si="189"/>
        <v>0</v>
      </c>
      <c r="N429" s="831">
        <f t="shared" si="189"/>
        <v>0</v>
      </c>
      <c r="O429" s="831">
        <f t="shared" ref="O429:O431" ca="1" si="190">IF(L429&gt;0,N429*100/L429,0)</f>
        <v>0</v>
      </c>
      <c r="P429" s="831">
        <f t="shared" ref="P429:P431" si="191">IF(M429&gt;0,N429*100/M429,0)</f>
        <v>0</v>
      </c>
      <c r="Q429" s="818"/>
      <c r="R429" s="818"/>
      <c r="S429" s="818"/>
      <c r="T429" s="818"/>
      <c r="U429" s="818"/>
      <c r="V429" s="818"/>
      <c r="W429" s="818"/>
      <c r="X429" s="818"/>
      <c r="Y429" s="818"/>
      <c r="Z429" s="818"/>
    </row>
    <row r="430" spans="1:26" ht="18.75" hidden="1">
      <c r="A430" s="940"/>
      <c r="B430" s="1052"/>
      <c r="C430" s="833"/>
      <c r="D430" s="833"/>
      <c r="E430" s="834" t="s">
        <v>18</v>
      </c>
      <c r="F430" s="833"/>
      <c r="G430" s="835"/>
      <c r="H430" s="165" t="s">
        <v>12</v>
      </c>
      <c r="I430" s="947"/>
      <c r="J430" s="947"/>
      <c r="K430" s="948"/>
      <c r="L430" s="837">
        <v>0</v>
      </c>
      <c r="M430" s="837">
        <v>0</v>
      </c>
      <c r="N430" s="837">
        <v>0</v>
      </c>
      <c r="O430" s="837">
        <f t="shared" si="190"/>
        <v>0</v>
      </c>
      <c r="P430" s="837">
        <f t="shared" si="191"/>
        <v>0</v>
      </c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</row>
    <row r="431" spans="1:26" ht="18.75" hidden="1">
      <c r="A431" s="940"/>
      <c r="B431" s="1052"/>
      <c r="C431" s="833"/>
      <c r="D431" s="833"/>
      <c r="E431" s="834" t="s">
        <v>19</v>
      </c>
      <c r="F431" s="833"/>
      <c r="G431" s="835"/>
      <c r="H431" s="169" t="s">
        <v>12</v>
      </c>
      <c r="I431" s="947"/>
      <c r="J431" s="947"/>
      <c r="K431" s="948"/>
      <c r="L431" s="837">
        <f ca="1">IFERROR(__xludf.DUMMYFUNCTION("IMPORTRANGE(""https://docs.google.com/spreadsheets/d/1QqKyyYR6Q21VydFLVH3TRQUabQu_ym0Zz7PgGX0-kHA/edit?usp=sharing"",""แผน!FB27"")"),0)</f>
        <v>0</v>
      </c>
      <c r="M431" s="837">
        <v>0</v>
      </c>
      <c r="N431" s="837">
        <v>0</v>
      </c>
      <c r="O431" s="837">
        <f t="shared" ca="1" si="190"/>
        <v>0</v>
      </c>
      <c r="P431" s="837">
        <f t="shared" si="191"/>
        <v>0</v>
      </c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</row>
    <row r="432" spans="1:26" ht="19.5">
      <c r="A432" s="1112"/>
      <c r="B432" s="1113"/>
      <c r="C432" s="933" t="s">
        <v>16</v>
      </c>
      <c r="D432" s="1245" t="s">
        <v>38</v>
      </c>
      <c r="E432" s="1246"/>
      <c r="F432" s="1246"/>
      <c r="G432" s="1247"/>
      <c r="H432" s="1248"/>
      <c r="I432" s="937"/>
      <c r="J432" s="937"/>
      <c r="K432" s="938"/>
      <c r="L432" s="938"/>
      <c r="M432" s="938"/>
      <c r="N432" s="938"/>
      <c r="O432" s="938"/>
      <c r="P432" s="938"/>
      <c r="Q432" s="818"/>
      <c r="R432" s="818"/>
      <c r="S432" s="818"/>
      <c r="T432" s="818"/>
      <c r="U432" s="818"/>
      <c r="V432" s="818"/>
      <c r="W432" s="818"/>
      <c r="X432" s="818"/>
      <c r="Y432" s="818"/>
      <c r="Z432" s="818"/>
    </row>
    <row r="433" spans="1:26" ht="19.5">
      <c r="A433" s="949"/>
      <c r="B433" s="950"/>
      <c r="C433" s="950"/>
      <c r="D433" s="960" t="s">
        <v>190</v>
      </c>
      <c r="E433" s="957"/>
      <c r="F433" s="957"/>
      <c r="G433" s="958"/>
      <c r="H433" s="196" t="s">
        <v>35</v>
      </c>
      <c r="I433" s="966">
        <f ca="1">I435</f>
        <v>50</v>
      </c>
      <c r="J433" s="966">
        <f ca="1">IF(AND(J435=I435,J437=I437,J439=I439),I437+I439,IF(AND(J435=I437,J437=I437),I437,IF(AND(J435=I439,J439=I439),I439,0)))</f>
        <v>0</v>
      </c>
      <c r="K433" s="967">
        <f t="shared" ref="K433:K435" ca="1" si="192">IF(I433&gt;0,J433*100/I433,0)</f>
        <v>0</v>
      </c>
      <c r="L433" s="831"/>
      <c r="M433" s="831"/>
      <c r="N433" s="831"/>
      <c r="O433" s="831"/>
      <c r="P433" s="831"/>
      <c r="Q433" s="818"/>
      <c r="R433" s="818"/>
      <c r="S433" s="818"/>
      <c r="T433" s="818"/>
      <c r="U433" s="818"/>
      <c r="V433" s="818"/>
      <c r="W433" s="818"/>
      <c r="X433" s="818"/>
      <c r="Y433" s="818"/>
      <c r="Z433" s="818"/>
    </row>
    <row r="434" spans="1:26" ht="19.5">
      <c r="A434" s="949"/>
      <c r="B434" s="950"/>
      <c r="C434" s="950"/>
      <c r="D434" s="960" t="s">
        <v>191</v>
      </c>
      <c r="E434" s="957"/>
      <c r="F434" s="957"/>
      <c r="G434" s="958"/>
      <c r="H434" s="196" t="s">
        <v>49</v>
      </c>
      <c r="I434" s="966">
        <f t="shared" ref="I434:J434" ca="1" si="193">I438+I440</f>
        <v>2</v>
      </c>
      <c r="J434" s="966">
        <f t="shared" si="193"/>
        <v>0</v>
      </c>
      <c r="K434" s="967">
        <f t="shared" ca="1" si="192"/>
        <v>0</v>
      </c>
      <c r="L434" s="831"/>
      <c r="M434" s="831"/>
      <c r="N434" s="831"/>
      <c r="O434" s="831"/>
      <c r="P434" s="831"/>
      <c r="Q434" s="818"/>
      <c r="R434" s="818"/>
      <c r="S434" s="818"/>
      <c r="T434" s="818"/>
      <c r="U434" s="818"/>
      <c r="V434" s="818"/>
      <c r="W434" s="818"/>
      <c r="X434" s="818"/>
      <c r="Y434" s="818"/>
      <c r="Z434" s="818"/>
    </row>
    <row r="435" spans="1:26" ht="18.75">
      <c r="A435" s="949"/>
      <c r="B435" s="950"/>
      <c r="C435" s="950"/>
      <c r="D435" s="956" t="s">
        <v>192</v>
      </c>
      <c r="E435" s="957"/>
      <c r="F435" s="957"/>
      <c r="G435" s="958"/>
      <c r="H435" s="590" t="s">
        <v>35</v>
      </c>
      <c r="I435" s="548">
        <f ca="1">IFERROR(__xludf.DUMMYFUNCTION("IMPORTRANGE(""https://docs.google.com/spreadsheets/d/1QqKyyYR6Q21VydFLVH3TRQUabQu_ym0Zz7PgGX0-kHA/edit?usp=sharing"",""แผน!FC27"")"),50)</f>
        <v>50</v>
      </c>
      <c r="J435" s="549">
        <v>50</v>
      </c>
      <c r="K435" s="831">
        <f t="shared" ca="1" si="192"/>
        <v>100</v>
      </c>
      <c r="L435" s="831"/>
      <c r="M435" s="831"/>
      <c r="N435" s="831"/>
      <c r="O435" s="831"/>
      <c r="P435" s="831"/>
      <c r="Q435" s="818"/>
      <c r="R435" s="818"/>
      <c r="S435" s="818"/>
      <c r="T435" s="818"/>
      <c r="U435" s="818"/>
      <c r="V435" s="818"/>
      <c r="W435" s="818"/>
      <c r="X435" s="818"/>
      <c r="Y435" s="818"/>
      <c r="Z435" s="818"/>
    </row>
    <row r="436" spans="1:26" ht="18.75">
      <c r="A436" s="949"/>
      <c r="B436" s="950"/>
      <c r="C436" s="950"/>
      <c r="D436" s="956" t="s">
        <v>193</v>
      </c>
      <c r="E436" s="957"/>
      <c r="F436" s="957"/>
      <c r="G436" s="958"/>
      <c r="H436" s="590"/>
      <c r="I436" s="830"/>
      <c r="J436" s="830"/>
      <c r="K436" s="831"/>
      <c r="L436" s="831"/>
      <c r="M436" s="831"/>
      <c r="N436" s="831"/>
      <c r="O436" s="831"/>
      <c r="P436" s="831"/>
      <c r="Q436" s="818"/>
      <c r="R436" s="818"/>
      <c r="S436" s="818"/>
      <c r="T436" s="818"/>
      <c r="U436" s="818"/>
      <c r="V436" s="818"/>
      <c r="W436" s="818"/>
      <c r="X436" s="818"/>
      <c r="Y436" s="818"/>
      <c r="Z436" s="818"/>
    </row>
    <row r="437" spans="1:26" ht="18.75">
      <c r="A437" s="949"/>
      <c r="B437" s="950"/>
      <c r="C437" s="950"/>
      <c r="D437" s="956" t="s">
        <v>194</v>
      </c>
      <c r="E437" s="957"/>
      <c r="F437" s="957"/>
      <c r="G437" s="958"/>
      <c r="H437" s="590" t="s">
        <v>35</v>
      </c>
      <c r="I437" s="548">
        <f ca="1">IFERROR(__xludf.DUMMYFUNCTION("IMPORTRANGE(""https://docs.google.com/spreadsheets/d/1QqKyyYR6Q21VydFLVH3TRQUabQu_ym0Zz7PgGX0-kHA/edit?usp=sharing"",""แผน!FD27"")"),30)</f>
        <v>30</v>
      </c>
      <c r="J437" s="549">
        <v>0</v>
      </c>
      <c r="K437" s="831">
        <f t="shared" ref="K437:K443" ca="1" si="194">IF(I437&gt;0,J437*100/I437,0)</f>
        <v>0</v>
      </c>
      <c r="L437" s="831"/>
      <c r="M437" s="831"/>
      <c r="N437" s="831"/>
      <c r="O437" s="831"/>
      <c r="P437" s="831"/>
      <c r="Q437" s="818"/>
      <c r="R437" s="818"/>
      <c r="S437" s="818"/>
      <c r="T437" s="818"/>
      <c r="U437" s="818"/>
      <c r="V437" s="818"/>
      <c r="W437" s="818"/>
      <c r="X437" s="818"/>
      <c r="Y437" s="818"/>
      <c r="Z437" s="818"/>
    </row>
    <row r="438" spans="1:26" ht="18.75">
      <c r="A438" s="949"/>
      <c r="B438" s="950"/>
      <c r="C438" s="950"/>
      <c r="D438" s="956" t="s">
        <v>195</v>
      </c>
      <c r="E438" s="957"/>
      <c r="F438" s="957"/>
      <c r="G438" s="958"/>
      <c r="H438" s="590" t="s">
        <v>49</v>
      </c>
      <c r="I438" s="830">
        <f ca="1">IFERROR(__xludf.DUMMYFUNCTION("IMPORTRANGE(""https://docs.google.com/spreadsheets/d/1QqKyyYR6Q21VydFLVH3TRQUabQu_ym0Zz7PgGX0-kHA/edit?usp=sharing"",""แผน!FE27"")"),1)</f>
        <v>1</v>
      </c>
      <c r="J438" s="959">
        <v>0</v>
      </c>
      <c r="K438" s="831">
        <f t="shared" ca="1" si="194"/>
        <v>0</v>
      </c>
      <c r="L438" s="831"/>
      <c r="M438" s="831"/>
      <c r="N438" s="831"/>
      <c r="O438" s="831"/>
      <c r="P438" s="831"/>
      <c r="Q438" s="818"/>
      <c r="R438" s="818"/>
      <c r="S438" s="818"/>
      <c r="T438" s="818"/>
      <c r="U438" s="818"/>
      <c r="V438" s="818"/>
      <c r="W438" s="818"/>
      <c r="X438" s="818"/>
      <c r="Y438" s="818"/>
      <c r="Z438" s="818"/>
    </row>
    <row r="439" spans="1:26" ht="18.75">
      <c r="A439" s="949"/>
      <c r="B439" s="950"/>
      <c r="C439" s="950"/>
      <c r="D439" s="956" t="s">
        <v>196</v>
      </c>
      <c r="E439" s="957"/>
      <c r="F439" s="957"/>
      <c r="G439" s="958"/>
      <c r="H439" s="590" t="s">
        <v>35</v>
      </c>
      <c r="I439" s="548">
        <f ca="1">IFERROR(__xludf.DUMMYFUNCTION("IMPORTRANGE(""https://docs.google.com/spreadsheets/d/1QqKyyYR6Q21VydFLVH3TRQUabQu_ym0Zz7PgGX0-kHA/edit?usp=sharing"",""แผน!FF27"")"),20)</f>
        <v>20</v>
      </c>
      <c r="J439" s="549">
        <v>0</v>
      </c>
      <c r="K439" s="831">
        <f t="shared" ca="1" si="194"/>
        <v>0</v>
      </c>
      <c r="L439" s="831"/>
      <c r="M439" s="831"/>
      <c r="N439" s="831"/>
      <c r="O439" s="831"/>
      <c r="P439" s="831"/>
      <c r="Q439" s="818"/>
      <c r="R439" s="818"/>
      <c r="S439" s="818"/>
      <c r="T439" s="818"/>
      <c r="U439" s="818"/>
      <c r="V439" s="818"/>
      <c r="W439" s="818"/>
      <c r="X439" s="818"/>
      <c r="Y439" s="818"/>
      <c r="Z439" s="818"/>
    </row>
    <row r="440" spans="1:26" ht="18.75">
      <c r="A440" s="949"/>
      <c r="B440" s="950"/>
      <c r="C440" s="950"/>
      <c r="D440" s="956" t="s">
        <v>197</v>
      </c>
      <c r="E440" s="957"/>
      <c r="F440" s="957"/>
      <c r="G440" s="958"/>
      <c r="H440" s="590" t="s">
        <v>49</v>
      </c>
      <c r="I440" s="830">
        <f ca="1">IFERROR(__xludf.DUMMYFUNCTION("IMPORTRANGE(""https://docs.google.com/spreadsheets/d/1QqKyyYR6Q21VydFLVH3TRQUabQu_ym0Zz7PgGX0-kHA/edit?usp=sharing"",""แผน!FG27"")"),1)</f>
        <v>1</v>
      </c>
      <c r="J440" s="959">
        <v>0</v>
      </c>
      <c r="K440" s="831">
        <f t="shared" ca="1" si="194"/>
        <v>0</v>
      </c>
      <c r="L440" s="831"/>
      <c r="M440" s="831"/>
      <c r="N440" s="831"/>
      <c r="O440" s="831"/>
      <c r="P440" s="831"/>
      <c r="Q440" s="818"/>
      <c r="R440" s="818"/>
      <c r="S440" s="818"/>
      <c r="T440" s="818"/>
      <c r="U440" s="818"/>
      <c r="V440" s="818"/>
      <c r="W440" s="818"/>
      <c r="X440" s="818"/>
      <c r="Y440" s="818"/>
      <c r="Z440" s="818"/>
    </row>
    <row r="441" spans="1:26" ht="18.75" hidden="1">
      <c r="A441" s="949"/>
      <c r="B441" s="950"/>
      <c r="C441" s="950"/>
      <c r="D441" s="956" t="s">
        <v>198</v>
      </c>
      <c r="E441" s="957"/>
      <c r="F441" s="957"/>
      <c r="G441" s="958"/>
      <c r="H441" s="590" t="s">
        <v>35</v>
      </c>
      <c r="I441" s="830">
        <f ca="1">IFERROR(__xludf.DUMMYFUNCTION("IMPORTRANGE(""https://docs.google.com/spreadsheets/d/1QqKyyYR6Q21VydFLVH3TRQUabQu_ym0Zz7PgGX0-kHA/edit?usp=sharing"",""แผน!FH27"")"),0)</f>
        <v>0</v>
      </c>
      <c r="J441" s="830">
        <v>0</v>
      </c>
      <c r="K441" s="831">
        <f t="shared" ca="1" si="194"/>
        <v>0</v>
      </c>
      <c r="L441" s="831"/>
      <c r="M441" s="831"/>
      <c r="N441" s="831"/>
      <c r="O441" s="831"/>
      <c r="P441" s="831"/>
      <c r="Q441" s="818"/>
      <c r="R441" s="818"/>
      <c r="S441" s="818"/>
      <c r="T441" s="818"/>
      <c r="U441" s="818"/>
      <c r="V441" s="818"/>
      <c r="W441" s="818"/>
      <c r="X441" s="818"/>
      <c r="Y441" s="818"/>
      <c r="Z441" s="818"/>
    </row>
    <row r="442" spans="1:26" ht="19.5">
      <c r="A442" s="550">
        <v>2</v>
      </c>
      <c r="B442" s="1249" t="s">
        <v>199</v>
      </c>
      <c r="C442" s="1250"/>
      <c r="D442" s="1250"/>
      <c r="E442" s="1250"/>
      <c r="F442" s="1250"/>
      <c r="G442" s="1251"/>
      <c r="H442" s="554" t="s">
        <v>35</v>
      </c>
      <c r="I442" s="1252">
        <f t="shared" ref="I442:J442" ca="1" si="195">I460</f>
        <v>40</v>
      </c>
      <c r="J442" s="1252">
        <f t="shared" si="195"/>
        <v>40</v>
      </c>
      <c r="K442" s="1253">
        <f t="shared" ca="1" si="194"/>
        <v>100</v>
      </c>
      <c r="L442" s="1254"/>
      <c r="M442" s="1254"/>
      <c r="N442" s="1254"/>
      <c r="O442" s="1254"/>
      <c r="P442" s="1254"/>
      <c r="Q442" s="1244"/>
      <c r="R442" s="1244"/>
      <c r="S442" s="1244"/>
      <c r="T442" s="1244"/>
      <c r="U442" s="1244"/>
      <c r="V442" s="1244"/>
      <c r="W442" s="1244"/>
      <c r="X442" s="1244"/>
      <c r="Y442" s="1244"/>
      <c r="Z442" s="1244"/>
    </row>
    <row r="443" spans="1:26" ht="19.5">
      <c r="A443" s="1255"/>
      <c r="B443" s="1256"/>
      <c r="C443" s="1257"/>
      <c r="D443" s="1257"/>
      <c r="E443" s="1257"/>
      <c r="F443" s="1257"/>
      <c r="G443" s="1258"/>
      <c r="H443" s="532" t="s">
        <v>46</v>
      </c>
      <c r="I443" s="1237">
        <f t="shared" ref="I443:J443" ca="1" si="196">I462</f>
        <v>150</v>
      </c>
      <c r="J443" s="1237">
        <f t="shared" si="196"/>
        <v>150</v>
      </c>
      <c r="K443" s="1238">
        <f t="shared" ca="1" si="194"/>
        <v>100</v>
      </c>
      <c r="L443" s="1239"/>
      <c r="M443" s="1239"/>
      <c r="N443" s="1239"/>
      <c r="O443" s="1239"/>
      <c r="P443" s="1239"/>
      <c r="Q443" s="1244"/>
      <c r="R443" s="1244"/>
      <c r="S443" s="1244"/>
      <c r="T443" s="1244"/>
      <c r="U443" s="1244"/>
      <c r="V443" s="1244"/>
      <c r="W443" s="1244"/>
      <c r="X443" s="1244"/>
      <c r="Y443" s="1244"/>
      <c r="Z443" s="1244"/>
    </row>
    <row r="444" spans="1:26" ht="19.5">
      <c r="A444" s="1259"/>
      <c r="B444" s="1243"/>
      <c r="C444" s="1243" t="s">
        <v>16</v>
      </c>
      <c r="D444" s="1507" t="s">
        <v>17</v>
      </c>
      <c r="E444" s="1485"/>
      <c r="F444" s="1485"/>
      <c r="G444" s="963"/>
      <c r="H444" s="563" t="s">
        <v>12</v>
      </c>
      <c r="I444" s="830"/>
      <c r="J444" s="830"/>
      <c r="K444" s="831"/>
      <c r="L444" s="967">
        <f t="shared" ref="L444:N444" ca="1" si="197">L445+L446</f>
        <v>398000</v>
      </c>
      <c r="M444" s="967">
        <f t="shared" si="197"/>
        <v>0</v>
      </c>
      <c r="N444" s="967">
        <f t="shared" si="197"/>
        <v>282850</v>
      </c>
      <c r="O444" s="967">
        <f t="shared" ref="O444:O449" ca="1" si="198">IF(L444&gt;0,N444*100/L444,0)</f>
        <v>71.0678391959799</v>
      </c>
      <c r="P444" s="967">
        <f t="shared" ref="P444:P449" si="199">IF(M444&gt;0,N444*100/M444,0)</f>
        <v>0</v>
      </c>
      <c r="Q444" s="1244"/>
      <c r="R444" s="1244"/>
      <c r="S444" s="1244"/>
      <c r="T444" s="1244"/>
      <c r="U444" s="1244"/>
      <c r="V444" s="1244"/>
      <c r="W444" s="1244"/>
      <c r="X444" s="1244"/>
      <c r="Y444" s="1244"/>
      <c r="Z444" s="1244"/>
    </row>
    <row r="445" spans="1:26" ht="18.75" hidden="1">
      <c r="A445" s="1260"/>
      <c r="B445" s="1261"/>
      <c r="C445" s="1261"/>
      <c r="D445" s="1262"/>
      <c r="E445" s="1261" t="s">
        <v>184</v>
      </c>
      <c r="F445" s="1261"/>
      <c r="G445" s="1263"/>
      <c r="H445" s="165" t="s">
        <v>12</v>
      </c>
      <c r="I445" s="836"/>
      <c r="J445" s="836"/>
      <c r="K445" s="837"/>
      <c r="L445" s="837">
        <f t="shared" ref="L445:N446" si="200">L448+L455</f>
        <v>0</v>
      </c>
      <c r="M445" s="837">
        <f t="shared" si="200"/>
        <v>0</v>
      </c>
      <c r="N445" s="837">
        <f t="shared" si="200"/>
        <v>0</v>
      </c>
      <c r="O445" s="837">
        <f t="shared" si="198"/>
        <v>0</v>
      </c>
      <c r="P445" s="837">
        <f t="shared" si="199"/>
        <v>0</v>
      </c>
      <c r="Q445" s="1264"/>
      <c r="R445" s="1264"/>
      <c r="S445" s="1264"/>
      <c r="T445" s="1264"/>
      <c r="U445" s="1264"/>
      <c r="V445" s="1264"/>
      <c r="W445" s="1264"/>
      <c r="X445" s="1264"/>
      <c r="Y445" s="1264"/>
      <c r="Z445" s="1264"/>
    </row>
    <row r="446" spans="1:26" ht="18.75" hidden="1">
      <c r="A446" s="1260"/>
      <c r="B446" s="1265"/>
      <c r="C446" s="1261"/>
      <c r="D446" s="1262"/>
      <c r="E446" s="1261" t="s">
        <v>185</v>
      </c>
      <c r="F446" s="1261"/>
      <c r="G446" s="1263"/>
      <c r="H446" s="165" t="s">
        <v>12</v>
      </c>
      <c r="I446" s="836"/>
      <c r="J446" s="836"/>
      <c r="K446" s="837"/>
      <c r="L446" s="837">
        <f t="shared" ca="1" si="200"/>
        <v>398000</v>
      </c>
      <c r="M446" s="837">
        <f t="shared" si="200"/>
        <v>0</v>
      </c>
      <c r="N446" s="837">
        <f t="shared" si="200"/>
        <v>282850</v>
      </c>
      <c r="O446" s="837">
        <f t="shared" ca="1" si="198"/>
        <v>71.0678391959799</v>
      </c>
      <c r="P446" s="837">
        <f t="shared" si="199"/>
        <v>0</v>
      </c>
      <c r="Q446" s="1264"/>
      <c r="R446" s="1264"/>
      <c r="S446" s="1264"/>
      <c r="T446" s="1264"/>
      <c r="U446" s="1264"/>
      <c r="V446" s="1264"/>
      <c r="W446" s="1264"/>
      <c r="X446" s="1264"/>
      <c r="Y446" s="1264"/>
      <c r="Z446" s="1264"/>
    </row>
    <row r="447" spans="1:26" ht="18.75">
      <c r="A447" s="1259"/>
      <c r="B447" s="1242"/>
      <c r="C447" s="1243"/>
      <c r="D447" s="1266" t="s">
        <v>20</v>
      </c>
      <c r="E447" s="1243"/>
      <c r="F447" s="1243"/>
      <c r="G447" s="963"/>
      <c r="H447" s="778" t="s">
        <v>12</v>
      </c>
      <c r="I447" s="944"/>
      <c r="J447" s="944"/>
      <c r="K447" s="945"/>
      <c r="L447" s="831">
        <f t="shared" ref="L447:N447" ca="1" si="201">L448+L449</f>
        <v>398000</v>
      </c>
      <c r="M447" s="831">
        <f t="shared" si="201"/>
        <v>0</v>
      </c>
      <c r="N447" s="831">
        <f t="shared" si="201"/>
        <v>282850</v>
      </c>
      <c r="O447" s="831">
        <f t="shared" ca="1" si="198"/>
        <v>71.0678391959799</v>
      </c>
      <c r="P447" s="831">
        <f t="shared" si="199"/>
        <v>0</v>
      </c>
      <c r="Q447" s="1244"/>
      <c r="R447" s="1244"/>
      <c r="S447" s="1244"/>
      <c r="T447" s="1244"/>
      <c r="U447" s="1244"/>
      <c r="V447" s="1244"/>
      <c r="W447" s="1244"/>
      <c r="X447" s="1244"/>
      <c r="Y447" s="1244"/>
      <c r="Z447" s="1244"/>
    </row>
    <row r="448" spans="1:26" ht="18.75" hidden="1">
      <c r="A448" s="1260"/>
      <c r="B448" s="1265"/>
      <c r="C448" s="1261"/>
      <c r="D448" s="1262"/>
      <c r="E448" s="1261" t="s">
        <v>184</v>
      </c>
      <c r="F448" s="1261"/>
      <c r="G448" s="1263"/>
      <c r="H448" s="165" t="s">
        <v>12</v>
      </c>
      <c r="I448" s="836"/>
      <c r="J448" s="836"/>
      <c r="K448" s="837"/>
      <c r="L448" s="837">
        <v>0</v>
      </c>
      <c r="M448" s="837">
        <v>0</v>
      </c>
      <c r="N448" s="837">
        <v>0</v>
      </c>
      <c r="O448" s="837">
        <f t="shared" si="198"/>
        <v>0</v>
      </c>
      <c r="P448" s="837">
        <f t="shared" si="199"/>
        <v>0</v>
      </c>
      <c r="Q448" s="1264"/>
      <c r="R448" s="1264"/>
      <c r="S448" s="1264"/>
      <c r="T448" s="1264"/>
      <c r="U448" s="1264"/>
      <c r="V448" s="1264"/>
      <c r="W448" s="1264"/>
      <c r="X448" s="1264"/>
      <c r="Y448" s="1264"/>
      <c r="Z448" s="1264"/>
    </row>
    <row r="449" spans="1:26" ht="18.75" hidden="1">
      <c r="A449" s="1260"/>
      <c r="B449" s="1265"/>
      <c r="C449" s="1261"/>
      <c r="D449" s="1262"/>
      <c r="E449" s="1261" t="s">
        <v>185</v>
      </c>
      <c r="F449" s="1261"/>
      <c r="G449" s="1263"/>
      <c r="H449" s="165" t="s">
        <v>12</v>
      </c>
      <c r="I449" s="836"/>
      <c r="J449" s="836"/>
      <c r="K449" s="837"/>
      <c r="L449" s="837">
        <f ca="1">IFERROR(__xludf.DUMMYFUNCTION("IMPORTRANGE(""https://docs.google.com/spreadsheets/d/1QqKyyYR6Q21VydFLVH3TRQUabQu_ym0Zz7PgGX0-kHA/edit?usp=sharing"",""แผน!FJ27"")"),398000)</f>
        <v>398000</v>
      </c>
      <c r="M449" s="837">
        <v>0</v>
      </c>
      <c r="N449" s="837">
        <f>N450+N451+N452+N453</f>
        <v>282850</v>
      </c>
      <c r="O449" s="837">
        <f t="shared" ca="1" si="198"/>
        <v>71.0678391959799</v>
      </c>
      <c r="P449" s="837">
        <f t="shared" si="199"/>
        <v>0</v>
      </c>
      <c r="Q449" s="1264"/>
      <c r="R449" s="1264"/>
      <c r="S449" s="1264"/>
      <c r="T449" s="1264"/>
      <c r="U449" s="1264"/>
      <c r="V449" s="1264"/>
      <c r="W449" s="1264"/>
      <c r="X449" s="1264"/>
      <c r="Y449" s="1264"/>
      <c r="Z449" s="1264"/>
    </row>
    <row r="450" spans="1:26" ht="18.75">
      <c r="A450" s="1241"/>
      <c r="B450" s="1242"/>
      <c r="C450" s="1243"/>
      <c r="D450" s="1243"/>
      <c r="E450" s="1243"/>
      <c r="F450" s="1243" t="s">
        <v>186</v>
      </c>
      <c r="G450" s="963"/>
      <c r="H450" s="778" t="s">
        <v>12</v>
      </c>
      <c r="I450" s="830"/>
      <c r="J450" s="830"/>
      <c r="K450" s="831"/>
      <c r="L450" s="831"/>
      <c r="M450" s="831"/>
      <c r="N450" s="1031">
        <v>54400</v>
      </c>
      <c r="O450" s="831"/>
      <c r="P450" s="831"/>
      <c r="Q450" s="1244"/>
      <c r="R450" s="1244"/>
      <c r="S450" s="1244"/>
      <c r="T450" s="1244"/>
      <c r="U450" s="1244"/>
      <c r="V450" s="1244"/>
      <c r="W450" s="1244"/>
      <c r="X450" s="1244"/>
      <c r="Y450" s="1244"/>
      <c r="Z450" s="1244"/>
    </row>
    <row r="451" spans="1:26" ht="18.75">
      <c r="A451" s="1241"/>
      <c r="B451" s="1242"/>
      <c r="C451" s="1243"/>
      <c r="D451" s="1243"/>
      <c r="E451" s="1243"/>
      <c r="F451" s="1243" t="s">
        <v>187</v>
      </c>
      <c r="G451" s="963"/>
      <c r="H451" s="778" t="s">
        <v>12</v>
      </c>
      <c r="I451" s="830"/>
      <c r="J451" s="830"/>
      <c r="K451" s="831"/>
      <c r="L451" s="831"/>
      <c r="M451" s="831"/>
      <c r="N451" s="1031">
        <v>150000</v>
      </c>
      <c r="O451" s="831"/>
      <c r="P451" s="831"/>
      <c r="Q451" s="1244"/>
      <c r="R451" s="1244"/>
      <c r="S451" s="1244"/>
      <c r="T451" s="1244"/>
      <c r="U451" s="1244"/>
      <c r="V451" s="1244"/>
      <c r="W451" s="1244"/>
      <c r="X451" s="1244"/>
      <c r="Y451" s="1244"/>
      <c r="Z451" s="1244"/>
    </row>
    <row r="452" spans="1:26" ht="18.75">
      <c r="A452" s="1241"/>
      <c r="B452" s="1242"/>
      <c r="C452" s="1242"/>
      <c r="D452" s="1242"/>
      <c r="E452" s="1242"/>
      <c r="F452" s="1243" t="s">
        <v>188</v>
      </c>
      <c r="G452" s="963"/>
      <c r="H452" s="778" t="s">
        <v>12</v>
      </c>
      <c r="I452" s="830"/>
      <c r="J452" s="830"/>
      <c r="K452" s="831"/>
      <c r="L452" s="831"/>
      <c r="M452" s="831"/>
      <c r="N452" s="1031">
        <v>52000</v>
      </c>
      <c r="O452" s="831"/>
      <c r="P452" s="831"/>
      <c r="Q452" s="1244"/>
      <c r="R452" s="1244"/>
      <c r="S452" s="1244"/>
      <c r="T452" s="1244"/>
      <c r="U452" s="1244"/>
      <c r="V452" s="1244"/>
      <c r="W452" s="1244"/>
      <c r="X452" s="1244"/>
      <c r="Y452" s="1244"/>
      <c r="Z452" s="1244"/>
    </row>
    <row r="453" spans="1:26" ht="18.75">
      <c r="A453" s="1241"/>
      <c r="B453" s="1242"/>
      <c r="C453" s="1242"/>
      <c r="D453" s="1242"/>
      <c r="E453" s="1242"/>
      <c r="F453" s="1243" t="s">
        <v>189</v>
      </c>
      <c r="G453" s="963"/>
      <c r="H453" s="778" t="s">
        <v>12</v>
      </c>
      <c r="I453" s="830"/>
      <c r="J453" s="830"/>
      <c r="K453" s="831"/>
      <c r="L453" s="831"/>
      <c r="M453" s="831"/>
      <c r="N453" s="1031">
        <v>26450</v>
      </c>
      <c r="O453" s="831"/>
      <c r="P453" s="831"/>
      <c r="Q453" s="1244"/>
      <c r="R453" s="1244"/>
      <c r="S453" s="1244"/>
      <c r="T453" s="1244"/>
      <c r="U453" s="1244"/>
      <c r="V453" s="1244"/>
      <c r="W453" s="1244"/>
      <c r="X453" s="1244"/>
      <c r="Y453" s="1244"/>
      <c r="Z453" s="1244"/>
    </row>
    <row r="454" spans="1:26" ht="18.75">
      <c r="A454" s="1259"/>
      <c r="B454" s="1242"/>
      <c r="C454" s="1242"/>
      <c r="D454" s="1266" t="s">
        <v>21</v>
      </c>
      <c r="E454" s="1242"/>
      <c r="F454" s="1243"/>
      <c r="G454" s="963"/>
      <c r="H454" s="168" t="s">
        <v>12</v>
      </c>
      <c r="I454" s="944"/>
      <c r="J454" s="944"/>
      <c r="K454" s="945"/>
      <c r="L454" s="831">
        <f t="shared" ref="L454:N454" ca="1" si="202">L455+L456</f>
        <v>0</v>
      </c>
      <c r="M454" s="831">
        <f t="shared" si="202"/>
        <v>0</v>
      </c>
      <c r="N454" s="831">
        <f t="shared" si="202"/>
        <v>0</v>
      </c>
      <c r="O454" s="831">
        <f t="shared" ref="O454:O456" ca="1" si="203">IF(L454&gt;0,N454*100/L454,0)</f>
        <v>0</v>
      </c>
      <c r="P454" s="831">
        <f t="shared" ref="P454:P456" si="204">IF(M454&gt;0,N454*100/M454,0)</f>
        <v>0</v>
      </c>
      <c r="Q454" s="1244"/>
      <c r="R454" s="1244"/>
      <c r="S454" s="1244"/>
      <c r="T454" s="1244"/>
      <c r="U454" s="1244"/>
      <c r="V454" s="1244"/>
      <c r="W454" s="1244"/>
      <c r="X454" s="1244"/>
      <c r="Y454" s="1244"/>
      <c r="Z454" s="1244"/>
    </row>
    <row r="455" spans="1:26" ht="18.75" hidden="1">
      <c r="A455" s="1260"/>
      <c r="B455" s="1265"/>
      <c r="C455" s="1265"/>
      <c r="D455" s="1265"/>
      <c r="E455" s="1265" t="s">
        <v>18</v>
      </c>
      <c r="F455" s="1261"/>
      <c r="G455" s="1263"/>
      <c r="H455" s="165" t="s">
        <v>12</v>
      </c>
      <c r="I455" s="947"/>
      <c r="J455" s="947"/>
      <c r="K455" s="948"/>
      <c r="L455" s="837">
        <v>0</v>
      </c>
      <c r="M455" s="837">
        <v>0</v>
      </c>
      <c r="N455" s="837">
        <v>0</v>
      </c>
      <c r="O455" s="837">
        <f t="shared" si="203"/>
        <v>0</v>
      </c>
      <c r="P455" s="837">
        <f t="shared" si="204"/>
        <v>0</v>
      </c>
      <c r="Q455" s="1264"/>
      <c r="R455" s="1264"/>
      <c r="S455" s="1264"/>
      <c r="T455" s="1264"/>
      <c r="U455" s="1264"/>
      <c r="V455" s="1264"/>
      <c r="W455" s="1264"/>
      <c r="X455" s="1264"/>
      <c r="Y455" s="1264"/>
      <c r="Z455" s="1264"/>
    </row>
    <row r="456" spans="1:26" ht="18.75" hidden="1">
      <c r="A456" s="1260"/>
      <c r="B456" s="1265"/>
      <c r="C456" s="1265"/>
      <c r="D456" s="1265"/>
      <c r="E456" s="1265" t="s">
        <v>19</v>
      </c>
      <c r="F456" s="1261"/>
      <c r="G456" s="1263"/>
      <c r="H456" s="169" t="s">
        <v>12</v>
      </c>
      <c r="I456" s="947"/>
      <c r="J456" s="947"/>
      <c r="K456" s="948"/>
      <c r="L456" s="837">
        <f ca="1">IFERROR(__xludf.DUMMYFUNCTION("IMPORTRANGE(""https://docs.google.com/spreadsheets/d/1QqKyyYR6Q21VydFLVH3TRQUabQu_ym0Zz7PgGX0-kHA/edit?usp=sharing"",""แผน!FM27"")"),0)</f>
        <v>0</v>
      </c>
      <c r="M456" s="837">
        <v>0</v>
      </c>
      <c r="N456" s="837">
        <v>0</v>
      </c>
      <c r="O456" s="837">
        <f t="shared" ca="1" si="203"/>
        <v>0</v>
      </c>
      <c r="P456" s="837">
        <f t="shared" si="204"/>
        <v>0</v>
      </c>
      <c r="Q456" s="1264"/>
      <c r="R456" s="1264"/>
      <c r="S456" s="1264"/>
      <c r="T456" s="1264"/>
      <c r="U456" s="1264"/>
      <c r="V456" s="1264"/>
      <c r="W456" s="1264"/>
      <c r="X456" s="1264"/>
      <c r="Y456" s="1264"/>
      <c r="Z456" s="1264"/>
    </row>
    <row r="457" spans="1:26" ht="19.5">
      <c r="A457" s="1267"/>
      <c r="B457" s="1268"/>
      <c r="C457" s="1242" t="s">
        <v>16</v>
      </c>
      <c r="D457" s="1269" t="s">
        <v>38</v>
      </c>
      <c r="E457" s="1270"/>
      <c r="F457" s="1271"/>
      <c r="G457" s="1272"/>
      <c r="H457" s="954"/>
      <c r="I457" s="830"/>
      <c r="J457" s="830"/>
      <c r="K457" s="831"/>
      <c r="L457" s="831"/>
      <c r="M457" s="831"/>
      <c r="N457" s="831"/>
      <c r="O457" s="831"/>
      <c r="P457" s="831"/>
      <c r="Q457" s="1244"/>
      <c r="R457" s="1244"/>
      <c r="S457" s="1244"/>
      <c r="T457" s="1244"/>
      <c r="U457" s="1244"/>
      <c r="V457" s="1244"/>
      <c r="W457" s="1244"/>
      <c r="X457" s="1244"/>
      <c r="Y457" s="1244"/>
      <c r="Z457" s="1244"/>
    </row>
    <row r="458" spans="1:26" ht="18.75" hidden="1">
      <c r="A458" s="1273"/>
      <c r="B458" s="1274"/>
      <c r="C458" s="1274"/>
      <c r="D458" s="1274" t="s">
        <v>200</v>
      </c>
      <c r="E458" s="1274"/>
      <c r="F458" s="1262"/>
      <c r="G458" s="1060"/>
      <c r="H458" s="583" t="s">
        <v>35</v>
      </c>
      <c r="I458" s="836">
        <v>0</v>
      </c>
      <c r="J458" s="836">
        <v>0</v>
      </c>
      <c r="K458" s="837">
        <f>IF(I458&gt;0,J458*100/I458,0)</f>
        <v>0</v>
      </c>
      <c r="L458" s="837"/>
      <c r="M458" s="837"/>
      <c r="N458" s="837"/>
      <c r="O458" s="837"/>
      <c r="P458" s="837"/>
      <c r="Q458" s="1264"/>
      <c r="R458" s="1264"/>
      <c r="S458" s="1264"/>
      <c r="T458" s="1264"/>
      <c r="U458" s="1264"/>
      <c r="V458" s="1264"/>
      <c r="W458" s="1264"/>
      <c r="X458" s="1264"/>
      <c r="Y458" s="1264"/>
      <c r="Z458" s="1264"/>
    </row>
    <row r="459" spans="1:26" ht="18.75" hidden="1">
      <c r="A459" s="1273"/>
      <c r="B459" s="1274"/>
      <c r="C459" s="1274"/>
      <c r="D459" s="1274" t="s">
        <v>201</v>
      </c>
      <c r="E459" s="1274"/>
      <c r="F459" s="1262"/>
      <c r="G459" s="1060"/>
      <c r="H459" s="583"/>
      <c r="I459" s="836"/>
      <c r="J459" s="836"/>
      <c r="K459" s="837"/>
      <c r="L459" s="837"/>
      <c r="M459" s="837"/>
      <c r="N459" s="837"/>
      <c r="O459" s="837"/>
      <c r="P459" s="837"/>
      <c r="Q459" s="1264"/>
      <c r="R459" s="1264"/>
      <c r="S459" s="1264"/>
      <c r="T459" s="1264"/>
      <c r="U459" s="1264"/>
      <c r="V459" s="1264"/>
      <c r="W459" s="1264"/>
      <c r="X459" s="1264"/>
      <c r="Y459" s="1264"/>
      <c r="Z459" s="1264"/>
    </row>
    <row r="460" spans="1:26" ht="18.75">
      <c r="A460" s="1267"/>
      <c r="B460" s="1268"/>
      <c r="C460" s="1268"/>
      <c r="D460" s="1268" t="s">
        <v>202</v>
      </c>
      <c r="E460" s="1268"/>
      <c r="F460" s="961"/>
      <c r="G460" s="954"/>
      <c r="H460" s="730" t="s">
        <v>35</v>
      </c>
      <c r="I460" s="830">
        <f ca="1">IFERROR(__xludf.DUMMYFUNCTION("IMPORTRANGE(""https://docs.google.com/spreadsheets/d/1QqKyyYR6Q21VydFLVH3TRQUabQu_ym0Zz7PgGX0-kHA/edit?usp=sharing"",""แผน!FN27"")"),40)</f>
        <v>40</v>
      </c>
      <c r="J460" s="959">
        <v>40</v>
      </c>
      <c r="K460" s="831">
        <f ca="1">IF(I460&gt;0,J460*100/I460,0)</f>
        <v>100</v>
      </c>
      <c r="L460" s="831"/>
      <c r="M460" s="831"/>
      <c r="N460" s="831"/>
      <c r="O460" s="831"/>
      <c r="P460" s="831"/>
      <c r="Q460" s="1244"/>
      <c r="R460" s="1244"/>
      <c r="S460" s="1244"/>
      <c r="T460" s="1244"/>
      <c r="U460" s="1244"/>
      <c r="V460" s="1244"/>
      <c r="W460" s="1244"/>
      <c r="X460" s="1244"/>
      <c r="Y460" s="1244"/>
      <c r="Z460" s="1244"/>
    </row>
    <row r="461" spans="1:26" ht="18.75">
      <c r="A461" s="1267"/>
      <c r="B461" s="1268"/>
      <c r="C461" s="1268"/>
      <c r="D461" s="1268" t="s">
        <v>203</v>
      </c>
      <c r="E461" s="961"/>
      <c r="F461" s="961"/>
      <c r="G461" s="954"/>
      <c r="H461" s="730"/>
      <c r="I461" s="830"/>
      <c r="J461" s="830"/>
      <c r="K461" s="831"/>
      <c r="L461" s="831"/>
      <c r="M461" s="831"/>
      <c r="N461" s="831"/>
      <c r="O461" s="831"/>
      <c r="P461" s="831"/>
      <c r="Q461" s="1244"/>
      <c r="R461" s="1244"/>
      <c r="S461" s="1244"/>
      <c r="T461" s="1244"/>
      <c r="U461" s="1244"/>
      <c r="V461" s="1244"/>
      <c r="W461" s="1244"/>
      <c r="X461" s="1244"/>
      <c r="Y461" s="1244"/>
      <c r="Z461" s="1244"/>
    </row>
    <row r="462" spans="1:26" ht="18.75">
      <c r="A462" s="1267"/>
      <c r="B462" s="1268"/>
      <c r="C462" s="1268"/>
      <c r="D462" s="1268" t="s">
        <v>204</v>
      </c>
      <c r="E462" s="961"/>
      <c r="F462" s="961"/>
      <c r="G462" s="954"/>
      <c r="H462" s="730" t="s">
        <v>46</v>
      </c>
      <c r="I462" s="830">
        <f ca="1">IFERROR(__xludf.DUMMYFUNCTION("IMPORTRANGE(""https://docs.google.com/spreadsheets/d/1QqKyyYR6Q21VydFLVH3TRQUabQu_ym0Zz7PgGX0-kHA/edit?usp=sharing"",""แผน!FO27"")"),150)</f>
        <v>150</v>
      </c>
      <c r="J462" s="959">
        <v>150</v>
      </c>
      <c r="K462" s="831">
        <f ca="1">IF(I462&gt;0,J462*100/I462,0)</f>
        <v>100</v>
      </c>
      <c r="L462" s="831"/>
      <c r="M462" s="831"/>
      <c r="N462" s="831"/>
      <c r="O462" s="831"/>
      <c r="P462" s="831"/>
      <c r="Q462" s="1244"/>
      <c r="R462" s="1244"/>
      <c r="S462" s="1244"/>
      <c r="T462" s="1244"/>
      <c r="U462" s="1244"/>
      <c r="V462" s="1244"/>
      <c r="W462" s="1244"/>
      <c r="X462" s="1244"/>
      <c r="Y462" s="1244"/>
      <c r="Z462" s="1244"/>
    </row>
    <row r="463" spans="1:26" ht="18.75">
      <c r="A463" s="1267"/>
      <c r="B463" s="1268"/>
      <c r="C463" s="1268"/>
      <c r="D463" s="1268" t="s">
        <v>59</v>
      </c>
      <c r="E463" s="961"/>
      <c r="F463" s="1243"/>
      <c r="G463" s="963"/>
      <c r="H463" s="730" t="s">
        <v>46</v>
      </c>
      <c r="I463" s="830">
        <f ca="1">IFERROR(__xludf.DUMMYFUNCTION("IMPORTRANGE(""https://docs.google.com/spreadsheets/d/1QqKyyYR6Q21VydFLVH3TRQUabQu_ym0Zz7PgGX0-kHA/edit?usp=sharing"",""แผน!FO27"")"),150)</f>
        <v>150</v>
      </c>
      <c r="J463" s="959">
        <v>150</v>
      </c>
      <c r="K463" s="831"/>
      <c r="L463" s="831"/>
      <c r="M463" s="831"/>
      <c r="N463" s="831"/>
      <c r="O463" s="831"/>
      <c r="P463" s="831"/>
      <c r="Q463" s="1244"/>
      <c r="R463" s="1244"/>
      <c r="S463" s="1244"/>
      <c r="T463" s="1244"/>
      <c r="U463" s="1244"/>
      <c r="V463" s="1244"/>
      <c r="W463" s="1244"/>
      <c r="X463" s="1244"/>
      <c r="Y463" s="1244"/>
      <c r="Z463" s="1244"/>
    </row>
    <row r="464" spans="1:26" ht="19.5">
      <c r="A464" s="1267"/>
      <c r="B464" s="1268"/>
      <c r="C464" s="1268"/>
      <c r="D464" s="1268"/>
      <c r="E464" s="961"/>
      <c r="F464" s="961"/>
      <c r="G464" s="1275"/>
      <c r="H464" s="730" t="s">
        <v>35</v>
      </c>
      <c r="I464" s="830">
        <f ca="1">IFERROR(__xludf.DUMMYFUNCTION("IMPORTRANGE(""https://docs.google.com/spreadsheets/d/1QqKyyYR6Q21VydFLVH3TRQUabQu_ym0Zz7PgGX0-kHA/edit?usp=sharing"",""แผน!FN27"")"),40)</f>
        <v>40</v>
      </c>
      <c r="J464" s="959">
        <v>40</v>
      </c>
      <c r="K464" s="831"/>
      <c r="L464" s="831"/>
      <c r="M464" s="831"/>
      <c r="N464" s="831"/>
      <c r="O464" s="831"/>
      <c r="P464" s="831"/>
      <c r="Q464" s="1244"/>
      <c r="R464" s="1244"/>
      <c r="S464" s="1244"/>
      <c r="T464" s="1244"/>
      <c r="U464" s="1244"/>
      <c r="V464" s="1244"/>
      <c r="W464" s="1244"/>
      <c r="X464" s="1244"/>
      <c r="Y464" s="1244"/>
      <c r="Z464" s="1244"/>
    </row>
    <row r="465" spans="1:26" ht="19.5">
      <c r="A465" s="550">
        <v>3</v>
      </c>
      <c r="B465" s="1249" t="s">
        <v>205</v>
      </c>
      <c r="C465" s="1250"/>
      <c r="D465" s="1250"/>
      <c r="E465" s="1250"/>
      <c r="F465" s="1250"/>
      <c r="G465" s="1251"/>
      <c r="H465" s="554" t="s">
        <v>35</v>
      </c>
      <c r="I465" s="1252">
        <f ca="1">IFERROR(__xludf.DUMMYFUNCTION("IMPORTRANGE(""https://docs.google.com/spreadsheets/d/1QqKyyYR6Q21VydFLVH3TRQUabQu_ym0Zz7PgGX0-kHA/edit?usp=sharing"",""แผน!FX27"")"),31)</f>
        <v>31</v>
      </c>
      <c r="J465" s="1252">
        <f>J485+J489+J492</f>
        <v>38</v>
      </c>
      <c r="K465" s="1253">
        <f t="shared" ref="K465:K466" ca="1" si="205">IF(I465&gt;0,J465*100/I465,0)</f>
        <v>122.58064516129032</v>
      </c>
      <c r="L465" s="1254"/>
      <c r="M465" s="1254"/>
      <c r="N465" s="1254"/>
      <c r="O465" s="1254"/>
      <c r="P465" s="1254"/>
      <c r="Q465" s="1244"/>
      <c r="R465" s="1244"/>
      <c r="S465" s="1244"/>
      <c r="T465" s="1244"/>
      <c r="U465" s="1244"/>
      <c r="V465" s="1244"/>
      <c r="W465" s="1244"/>
      <c r="X465" s="1244"/>
      <c r="Y465" s="1244"/>
      <c r="Z465" s="1244"/>
    </row>
    <row r="466" spans="1:26" ht="19.5">
      <c r="A466" s="1255"/>
      <c r="B466" s="1256"/>
      <c r="C466" s="1257"/>
      <c r="D466" s="1257"/>
      <c r="E466" s="1257"/>
      <c r="F466" s="1257"/>
      <c r="G466" s="1258"/>
      <c r="H466" s="532" t="s">
        <v>46</v>
      </c>
      <c r="I466" s="1237">
        <f ca="1">IFERROR(__xludf.DUMMYFUNCTION("IMPORTRANGE(""https://docs.google.com/spreadsheets/d/1QqKyyYR6Q21VydFLVH3TRQUabQu_ym0Zz7PgGX0-kHA/edit?usp=sharing"",""แผน!FW27"")"),300)</f>
        <v>300</v>
      </c>
      <c r="J466" s="1237">
        <f>J495+J498</f>
        <v>0</v>
      </c>
      <c r="K466" s="1238">
        <f t="shared" ca="1" si="205"/>
        <v>0</v>
      </c>
      <c r="L466" s="1239"/>
      <c r="M466" s="1239"/>
      <c r="N466" s="1239"/>
      <c r="O466" s="1239"/>
      <c r="P466" s="1239"/>
      <c r="Q466" s="1244"/>
      <c r="R466" s="1244"/>
      <c r="S466" s="1244"/>
      <c r="T466" s="1244"/>
      <c r="U466" s="1244"/>
      <c r="V466" s="1244"/>
      <c r="W466" s="1244"/>
      <c r="X466" s="1244"/>
      <c r="Y466" s="1244"/>
      <c r="Z466" s="1244"/>
    </row>
    <row r="467" spans="1:26" ht="19.5">
      <c r="A467" s="1259"/>
      <c r="B467" s="1243"/>
      <c r="C467" s="1243" t="s">
        <v>16</v>
      </c>
      <c r="D467" s="1507" t="s">
        <v>17</v>
      </c>
      <c r="E467" s="1485"/>
      <c r="F467" s="1485"/>
      <c r="G467" s="963"/>
      <c r="H467" s="563" t="s">
        <v>12</v>
      </c>
      <c r="I467" s="830"/>
      <c r="J467" s="830"/>
      <c r="K467" s="831"/>
      <c r="L467" s="967">
        <f t="shared" ref="L467:N467" ca="1" si="206">L468+L469</f>
        <v>260423</v>
      </c>
      <c r="M467" s="967">
        <f t="shared" si="206"/>
        <v>0</v>
      </c>
      <c r="N467" s="967">
        <f t="shared" si="206"/>
        <v>42685</v>
      </c>
      <c r="O467" s="967">
        <f t="shared" ref="O467:O472" ca="1" si="207">IF(L467&gt;0,N467*100/L467,0)</f>
        <v>16.390641379601647</v>
      </c>
      <c r="P467" s="967">
        <f t="shared" ref="P467:P472" si="208">IF(M467&gt;0,N467*100/M467,0)</f>
        <v>0</v>
      </c>
      <c r="Q467" s="1244"/>
      <c r="R467" s="1244"/>
      <c r="S467" s="1244"/>
      <c r="T467" s="1244"/>
      <c r="U467" s="1244"/>
      <c r="V467" s="1244"/>
      <c r="W467" s="1244"/>
      <c r="X467" s="1244"/>
      <c r="Y467" s="1244"/>
      <c r="Z467" s="1244"/>
    </row>
    <row r="468" spans="1:26" ht="18.75" hidden="1">
      <c r="A468" s="1260"/>
      <c r="B468" s="1261"/>
      <c r="C468" s="1261"/>
      <c r="D468" s="1262"/>
      <c r="E468" s="1261" t="s">
        <v>184</v>
      </c>
      <c r="F468" s="1261"/>
      <c r="G468" s="1263"/>
      <c r="H468" s="165" t="s">
        <v>12</v>
      </c>
      <c r="I468" s="836"/>
      <c r="J468" s="836"/>
      <c r="K468" s="837"/>
      <c r="L468" s="837">
        <f t="shared" ref="L468:N469" si="209">L471+L478</f>
        <v>0</v>
      </c>
      <c r="M468" s="837">
        <f t="shared" si="209"/>
        <v>0</v>
      </c>
      <c r="N468" s="837">
        <f t="shared" si="209"/>
        <v>0</v>
      </c>
      <c r="O468" s="837">
        <f t="shared" si="207"/>
        <v>0</v>
      </c>
      <c r="P468" s="837">
        <f t="shared" si="208"/>
        <v>0</v>
      </c>
      <c r="Q468" s="1264"/>
      <c r="R468" s="1264"/>
      <c r="S468" s="1264"/>
      <c r="T468" s="1264"/>
      <c r="U468" s="1264"/>
      <c r="V468" s="1264"/>
      <c r="W468" s="1264"/>
      <c r="X468" s="1264"/>
      <c r="Y468" s="1264"/>
      <c r="Z468" s="1264"/>
    </row>
    <row r="469" spans="1:26" ht="18.75" hidden="1">
      <c r="A469" s="1260"/>
      <c r="B469" s="1265"/>
      <c r="C469" s="1261"/>
      <c r="D469" s="1262"/>
      <c r="E469" s="1261" t="s">
        <v>185</v>
      </c>
      <c r="F469" s="1261"/>
      <c r="G469" s="1263"/>
      <c r="H469" s="165" t="s">
        <v>12</v>
      </c>
      <c r="I469" s="836"/>
      <c r="J469" s="836"/>
      <c r="K469" s="837"/>
      <c r="L469" s="837">
        <f t="shared" ca="1" si="209"/>
        <v>260423</v>
      </c>
      <c r="M469" s="837">
        <f t="shared" si="209"/>
        <v>0</v>
      </c>
      <c r="N469" s="837">
        <f t="shared" si="209"/>
        <v>42685</v>
      </c>
      <c r="O469" s="837">
        <f t="shared" ca="1" si="207"/>
        <v>16.390641379601647</v>
      </c>
      <c r="P469" s="837">
        <f t="shared" si="208"/>
        <v>0</v>
      </c>
      <c r="Q469" s="1264"/>
      <c r="R469" s="1264"/>
      <c r="S469" s="1264"/>
      <c r="T469" s="1264"/>
      <c r="U469" s="1264"/>
      <c r="V469" s="1264"/>
      <c r="W469" s="1264"/>
      <c r="X469" s="1264"/>
      <c r="Y469" s="1264"/>
      <c r="Z469" s="1264"/>
    </row>
    <row r="470" spans="1:26" ht="18.75">
      <c r="A470" s="1259"/>
      <c r="B470" s="1242"/>
      <c r="C470" s="1243"/>
      <c r="D470" s="1266" t="s">
        <v>20</v>
      </c>
      <c r="E470" s="1243"/>
      <c r="F470" s="1243"/>
      <c r="G470" s="963"/>
      <c r="H470" s="778" t="s">
        <v>12</v>
      </c>
      <c r="I470" s="944"/>
      <c r="J470" s="944"/>
      <c r="K470" s="945"/>
      <c r="L470" s="831">
        <f t="shared" ref="L470:N470" ca="1" si="210">L471+L472</f>
        <v>260423</v>
      </c>
      <c r="M470" s="831">
        <f t="shared" si="210"/>
        <v>0</v>
      </c>
      <c r="N470" s="831">
        <f t="shared" si="210"/>
        <v>42685</v>
      </c>
      <c r="O470" s="831">
        <f t="shared" ca="1" si="207"/>
        <v>16.390641379601647</v>
      </c>
      <c r="P470" s="831">
        <f t="shared" si="208"/>
        <v>0</v>
      </c>
      <c r="Q470" s="1244"/>
      <c r="R470" s="1244"/>
      <c r="S470" s="1244"/>
      <c r="T470" s="1244"/>
      <c r="U470" s="1244"/>
      <c r="V470" s="1244"/>
      <c r="W470" s="1244"/>
      <c r="X470" s="1244"/>
      <c r="Y470" s="1244"/>
      <c r="Z470" s="1244"/>
    </row>
    <row r="471" spans="1:26" ht="18.75" hidden="1">
      <c r="A471" s="1260"/>
      <c r="B471" s="1265"/>
      <c r="C471" s="1261"/>
      <c r="D471" s="1262"/>
      <c r="E471" s="1261" t="s">
        <v>184</v>
      </c>
      <c r="F471" s="1261"/>
      <c r="G471" s="1263"/>
      <c r="H471" s="165" t="s">
        <v>12</v>
      </c>
      <c r="I471" s="836"/>
      <c r="J471" s="836"/>
      <c r="K471" s="837"/>
      <c r="L471" s="837">
        <v>0</v>
      </c>
      <c r="M471" s="837">
        <v>0</v>
      </c>
      <c r="N471" s="837">
        <v>0</v>
      </c>
      <c r="O471" s="837">
        <f t="shared" si="207"/>
        <v>0</v>
      </c>
      <c r="P471" s="837">
        <f t="shared" si="208"/>
        <v>0</v>
      </c>
      <c r="Q471" s="1264"/>
      <c r="R471" s="1264"/>
      <c r="S471" s="1264"/>
      <c r="T471" s="1264"/>
      <c r="U471" s="1264"/>
      <c r="V471" s="1264"/>
      <c r="W471" s="1264"/>
      <c r="X471" s="1264"/>
      <c r="Y471" s="1264"/>
      <c r="Z471" s="1264"/>
    </row>
    <row r="472" spans="1:26" ht="18.75" hidden="1">
      <c r="A472" s="1260"/>
      <c r="B472" s="1265"/>
      <c r="C472" s="1261"/>
      <c r="D472" s="1262"/>
      <c r="E472" s="1261" t="s">
        <v>185</v>
      </c>
      <c r="F472" s="1261"/>
      <c r="G472" s="1263"/>
      <c r="H472" s="165" t="s">
        <v>12</v>
      </c>
      <c r="I472" s="836"/>
      <c r="J472" s="836"/>
      <c r="K472" s="837"/>
      <c r="L472" s="837">
        <f ca="1">IFERROR(__xludf.DUMMYFUNCTION("IMPORTRANGE(""https://docs.google.com/spreadsheets/d/1QqKyyYR6Q21VydFLVH3TRQUabQu_ym0Zz7PgGX0-kHA/edit?usp=sharing"",""แผน!FS27"")"),260423)</f>
        <v>260423</v>
      </c>
      <c r="M472" s="837">
        <v>0</v>
      </c>
      <c r="N472" s="837">
        <f>N473+N474+N475+N476</f>
        <v>42685</v>
      </c>
      <c r="O472" s="837">
        <f t="shared" ca="1" si="207"/>
        <v>16.390641379601647</v>
      </c>
      <c r="P472" s="837">
        <f t="shared" si="208"/>
        <v>0</v>
      </c>
      <c r="Q472" s="1264"/>
      <c r="R472" s="1264"/>
      <c r="S472" s="1264"/>
      <c r="T472" s="1264"/>
      <c r="U472" s="1264"/>
      <c r="V472" s="1264"/>
      <c r="W472" s="1264"/>
      <c r="X472" s="1264"/>
      <c r="Y472" s="1264"/>
      <c r="Z472" s="1264"/>
    </row>
    <row r="473" spans="1:26" ht="18.75">
      <c r="A473" s="1241"/>
      <c r="B473" s="1242"/>
      <c r="C473" s="1243"/>
      <c r="D473" s="1243"/>
      <c r="E473" s="1243"/>
      <c r="F473" s="1243" t="s">
        <v>186</v>
      </c>
      <c r="G473" s="963"/>
      <c r="H473" s="778" t="s">
        <v>12</v>
      </c>
      <c r="I473" s="830"/>
      <c r="J473" s="830"/>
      <c r="K473" s="831"/>
      <c r="L473" s="831"/>
      <c r="M473" s="831"/>
      <c r="N473" s="1031">
        <v>28385</v>
      </c>
      <c r="O473" s="831"/>
      <c r="P473" s="831"/>
      <c r="Q473" s="1244"/>
      <c r="R473" s="1244"/>
      <c r="S473" s="1244"/>
      <c r="T473" s="1244"/>
      <c r="U473" s="1244"/>
      <c r="V473" s="1244"/>
      <c r="W473" s="1244"/>
      <c r="X473" s="1244"/>
      <c r="Y473" s="1244"/>
      <c r="Z473" s="1244"/>
    </row>
    <row r="474" spans="1:26" ht="18.75">
      <c r="A474" s="1241"/>
      <c r="B474" s="1242"/>
      <c r="C474" s="1243"/>
      <c r="D474" s="1243"/>
      <c r="E474" s="1243"/>
      <c r="F474" s="1243" t="s">
        <v>187</v>
      </c>
      <c r="G474" s="963"/>
      <c r="H474" s="778" t="s">
        <v>12</v>
      </c>
      <c r="I474" s="830"/>
      <c r="J474" s="830"/>
      <c r="K474" s="831"/>
      <c r="L474" s="831"/>
      <c r="M474" s="831"/>
      <c r="N474" s="1031">
        <v>0</v>
      </c>
      <c r="O474" s="831"/>
      <c r="P474" s="831"/>
      <c r="Q474" s="1244"/>
      <c r="R474" s="1244"/>
      <c r="S474" s="1244"/>
      <c r="T474" s="1244"/>
      <c r="U474" s="1244"/>
      <c r="V474" s="1244"/>
      <c r="W474" s="1244"/>
      <c r="X474" s="1244"/>
      <c r="Y474" s="1244"/>
      <c r="Z474" s="1244"/>
    </row>
    <row r="475" spans="1:26" ht="18.75">
      <c r="A475" s="1241"/>
      <c r="B475" s="1242"/>
      <c r="C475" s="1242"/>
      <c r="D475" s="1242"/>
      <c r="E475" s="1242"/>
      <c r="F475" s="1243" t="s">
        <v>188</v>
      </c>
      <c r="G475" s="963"/>
      <c r="H475" s="778" t="s">
        <v>12</v>
      </c>
      <c r="I475" s="830"/>
      <c r="J475" s="830"/>
      <c r="K475" s="831"/>
      <c r="L475" s="831"/>
      <c r="M475" s="831"/>
      <c r="N475" s="1031">
        <v>0</v>
      </c>
      <c r="O475" s="831"/>
      <c r="P475" s="831"/>
      <c r="Q475" s="1244"/>
      <c r="R475" s="1244"/>
      <c r="S475" s="1244"/>
      <c r="T475" s="1244"/>
      <c r="U475" s="1244"/>
      <c r="V475" s="1244"/>
      <c r="W475" s="1244"/>
      <c r="X475" s="1244"/>
      <c r="Y475" s="1244"/>
      <c r="Z475" s="1244"/>
    </row>
    <row r="476" spans="1:26" ht="18.75">
      <c r="A476" s="1241"/>
      <c r="B476" s="1242"/>
      <c r="C476" s="1242"/>
      <c r="D476" s="1242"/>
      <c r="E476" s="1242"/>
      <c r="F476" s="1243" t="s">
        <v>189</v>
      </c>
      <c r="G476" s="963"/>
      <c r="H476" s="778" t="s">
        <v>12</v>
      </c>
      <c r="I476" s="830"/>
      <c r="J476" s="830"/>
      <c r="K476" s="831"/>
      <c r="L476" s="831"/>
      <c r="M476" s="831"/>
      <c r="N476" s="1031">
        <v>14300</v>
      </c>
      <c r="O476" s="831"/>
      <c r="P476" s="831"/>
      <c r="Q476" s="1244"/>
      <c r="R476" s="1244"/>
      <c r="S476" s="1244"/>
      <c r="T476" s="1244"/>
      <c r="U476" s="1244"/>
      <c r="V476" s="1244"/>
      <c r="W476" s="1244"/>
      <c r="X476" s="1244"/>
      <c r="Y476" s="1244"/>
      <c r="Z476" s="1244"/>
    </row>
    <row r="477" spans="1:26" ht="18.75">
      <c r="A477" s="1259"/>
      <c r="B477" s="1242"/>
      <c r="C477" s="1242"/>
      <c r="D477" s="1266" t="s">
        <v>21</v>
      </c>
      <c r="E477" s="1242"/>
      <c r="F477" s="1242"/>
      <c r="G477" s="963"/>
      <c r="H477" s="168" t="s">
        <v>12</v>
      </c>
      <c r="I477" s="944"/>
      <c r="J477" s="944"/>
      <c r="K477" s="945"/>
      <c r="L477" s="831">
        <f t="shared" ref="L477:N477" ca="1" si="211">L478+L479</f>
        <v>0</v>
      </c>
      <c r="M477" s="831">
        <f t="shared" si="211"/>
        <v>0</v>
      </c>
      <c r="N477" s="831">
        <f t="shared" si="211"/>
        <v>0</v>
      </c>
      <c r="O477" s="831">
        <f t="shared" ref="O477:O479" ca="1" si="212">IF(L477&gt;0,N477*100/L477,0)</f>
        <v>0</v>
      </c>
      <c r="P477" s="831">
        <f t="shared" ref="P477:P479" si="213">IF(M477&gt;0,N477*100/M477,0)</f>
        <v>0</v>
      </c>
      <c r="Q477" s="1244"/>
      <c r="R477" s="1244"/>
      <c r="S477" s="1244"/>
      <c r="T477" s="1244"/>
      <c r="U477" s="1244"/>
      <c r="V477" s="1244"/>
      <c r="W477" s="1244"/>
      <c r="X477" s="1244"/>
      <c r="Y477" s="1244"/>
      <c r="Z477" s="1244"/>
    </row>
    <row r="478" spans="1:26" ht="18.75" hidden="1">
      <c r="A478" s="1260"/>
      <c r="B478" s="1265"/>
      <c r="C478" s="1265"/>
      <c r="D478" s="1265"/>
      <c r="E478" s="1265" t="s">
        <v>18</v>
      </c>
      <c r="F478" s="1265"/>
      <c r="G478" s="1263"/>
      <c r="H478" s="165" t="s">
        <v>12</v>
      </c>
      <c r="I478" s="947"/>
      <c r="J478" s="947"/>
      <c r="K478" s="948"/>
      <c r="L478" s="837">
        <v>0</v>
      </c>
      <c r="M478" s="837">
        <v>0</v>
      </c>
      <c r="N478" s="837">
        <v>0</v>
      </c>
      <c r="O478" s="837">
        <f t="shared" si="212"/>
        <v>0</v>
      </c>
      <c r="P478" s="837">
        <f t="shared" si="213"/>
        <v>0</v>
      </c>
      <c r="Q478" s="1264"/>
      <c r="R478" s="1264"/>
      <c r="S478" s="1264"/>
      <c r="T478" s="1264"/>
      <c r="U478" s="1264"/>
      <c r="V478" s="1264"/>
      <c r="W478" s="1264"/>
      <c r="X478" s="1264"/>
      <c r="Y478" s="1264"/>
      <c r="Z478" s="1264"/>
    </row>
    <row r="479" spans="1:26" ht="18.75" hidden="1">
      <c r="A479" s="1260"/>
      <c r="B479" s="1265"/>
      <c r="C479" s="1265"/>
      <c r="D479" s="1265"/>
      <c r="E479" s="1265" t="s">
        <v>19</v>
      </c>
      <c r="F479" s="1265"/>
      <c r="G479" s="1263"/>
      <c r="H479" s="169" t="s">
        <v>12</v>
      </c>
      <c r="I479" s="947"/>
      <c r="J479" s="947"/>
      <c r="K479" s="948"/>
      <c r="L479" s="837">
        <f ca="1">IFERROR(__xludf.DUMMYFUNCTION("IMPORTRANGE(""https://docs.google.com/spreadsheets/d/1QqKyyYR6Q21VydFLVH3TRQUabQu_ym0Zz7PgGX0-kHA/edit?usp=sharing"",""แผน!FV27"")"),0)</f>
        <v>0</v>
      </c>
      <c r="M479" s="837">
        <v>0</v>
      </c>
      <c r="N479" s="837">
        <v>0</v>
      </c>
      <c r="O479" s="837">
        <f t="shared" ca="1" si="212"/>
        <v>0</v>
      </c>
      <c r="P479" s="837">
        <f t="shared" si="213"/>
        <v>0</v>
      </c>
      <c r="Q479" s="1264"/>
      <c r="R479" s="1264"/>
      <c r="S479" s="1264"/>
      <c r="T479" s="1264"/>
      <c r="U479" s="1264"/>
      <c r="V479" s="1264"/>
      <c r="W479" s="1264"/>
      <c r="X479" s="1264"/>
      <c r="Y479" s="1264"/>
      <c r="Z479" s="1264"/>
    </row>
    <row r="480" spans="1:26" ht="19.5">
      <c r="A480" s="1267"/>
      <c r="B480" s="1268"/>
      <c r="C480" s="1242" t="s">
        <v>16</v>
      </c>
      <c r="D480" s="1276" t="s">
        <v>38</v>
      </c>
      <c r="E480" s="1270"/>
      <c r="F480" s="1271"/>
      <c r="G480" s="1272"/>
      <c r="H480" s="954"/>
      <c r="I480" s="830"/>
      <c r="J480" s="830"/>
      <c r="K480" s="831"/>
      <c r="L480" s="831"/>
      <c r="M480" s="831"/>
      <c r="N480" s="831"/>
      <c r="O480" s="831"/>
      <c r="P480" s="831"/>
      <c r="Q480" s="1244"/>
      <c r="R480" s="1244"/>
      <c r="S480" s="1244"/>
      <c r="T480" s="1244"/>
      <c r="U480" s="1244"/>
      <c r="V480" s="1244"/>
      <c r="W480" s="1244"/>
      <c r="X480" s="1244"/>
      <c r="Y480" s="1244"/>
      <c r="Z480" s="1244"/>
    </row>
    <row r="481" spans="1:26" ht="19.5">
      <c r="A481" s="1267"/>
      <c r="B481" s="1268"/>
      <c r="C481" s="1268"/>
      <c r="D481" s="1277" t="s">
        <v>206</v>
      </c>
      <c r="E481" s="1268"/>
      <c r="F481" s="1268"/>
      <c r="G481" s="954"/>
      <c r="H481" s="963"/>
      <c r="I481" s="830"/>
      <c r="J481" s="830"/>
      <c r="K481" s="831"/>
      <c r="L481" s="831"/>
      <c r="M481" s="831"/>
      <c r="N481" s="831"/>
      <c r="O481" s="831"/>
      <c r="P481" s="831"/>
      <c r="Q481" s="1244"/>
      <c r="R481" s="1244"/>
      <c r="S481" s="1244"/>
      <c r="T481" s="1244"/>
      <c r="U481" s="1244"/>
      <c r="V481" s="1244"/>
      <c r="W481" s="1244"/>
      <c r="X481" s="1244"/>
      <c r="Y481" s="1244"/>
      <c r="Z481" s="1244"/>
    </row>
    <row r="482" spans="1:26" ht="18.75">
      <c r="A482" s="1267"/>
      <c r="B482" s="1268"/>
      <c r="C482" s="1268"/>
      <c r="D482" s="1268"/>
      <c r="E482" s="1268" t="s">
        <v>207</v>
      </c>
      <c r="F482" s="1268"/>
      <c r="G482" s="954"/>
      <c r="H482" s="963"/>
      <c r="I482" s="830"/>
      <c r="J482" s="830"/>
      <c r="K482" s="831"/>
      <c r="L482" s="831"/>
      <c r="M482" s="831"/>
      <c r="N482" s="831"/>
      <c r="O482" s="831"/>
      <c r="P482" s="831"/>
      <c r="Q482" s="1244"/>
      <c r="R482" s="1244"/>
      <c r="S482" s="1244"/>
      <c r="T482" s="1244"/>
      <c r="U482" s="1244"/>
      <c r="V482" s="1244"/>
      <c r="W482" s="1244"/>
      <c r="X482" s="1244"/>
      <c r="Y482" s="1244"/>
      <c r="Z482" s="1244"/>
    </row>
    <row r="483" spans="1:26" ht="18.75">
      <c r="A483" s="1267"/>
      <c r="B483" s="1268"/>
      <c r="C483" s="1268"/>
      <c r="D483" s="1268"/>
      <c r="E483" s="1268"/>
      <c r="F483" s="1268" t="s">
        <v>208</v>
      </c>
      <c r="G483" s="954"/>
      <c r="H483" s="590" t="s">
        <v>46</v>
      </c>
      <c r="I483" s="830">
        <f ca="1">IFERROR(__xludf.DUMMYFUNCTION("IMPORTRANGE(""https://docs.google.com/spreadsheets/d/1QqKyyYR6Q21VydFLVH3TRQUabQu_ym0Zz7PgGX0-kHA/edit?usp=sharing"",""แผน!FY27"")"),270)</f>
        <v>270</v>
      </c>
      <c r="J483" s="959">
        <v>270</v>
      </c>
      <c r="K483" s="831">
        <f ca="1">IF(I483&gt;0,J483*100/I483,0)</f>
        <v>100</v>
      </c>
      <c r="L483" s="831"/>
      <c r="M483" s="831"/>
      <c r="N483" s="831"/>
      <c r="O483" s="831"/>
      <c r="P483" s="831"/>
      <c r="Q483" s="1244"/>
      <c r="R483" s="1244"/>
      <c r="S483" s="1244"/>
      <c r="T483" s="1244"/>
      <c r="U483" s="1244"/>
      <c r="V483" s="1244"/>
      <c r="W483" s="1244"/>
      <c r="X483" s="1244"/>
      <c r="Y483" s="1244"/>
      <c r="Z483" s="1244"/>
    </row>
    <row r="484" spans="1:26" ht="18.75">
      <c r="A484" s="1267"/>
      <c r="B484" s="1268"/>
      <c r="C484" s="1268"/>
      <c r="D484" s="1268"/>
      <c r="E484" s="1268"/>
      <c r="F484" s="1268" t="s">
        <v>209</v>
      </c>
      <c r="G484" s="954"/>
      <c r="H484" s="590" t="s">
        <v>35</v>
      </c>
      <c r="I484" s="830"/>
      <c r="J484" s="959">
        <v>0</v>
      </c>
      <c r="K484" s="831"/>
      <c r="L484" s="831"/>
      <c r="M484" s="831"/>
      <c r="N484" s="831"/>
      <c r="O484" s="831"/>
      <c r="P484" s="831"/>
      <c r="Q484" s="1244"/>
      <c r="R484" s="1244"/>
      <c r="S484" s="1244"/>
      <c r="T484" s="1244"/>
      <c r="U484" s="1244"/>
      <c r="V484" s="1244"/>
      <c r="W484" s="1244"/>
      <c r="X484" s="1244"/>
      <c r="Y484" s="1244"/>
      <c r="Z484" s="1244"/>
    </row>
    <row r="485" spans="1:26" ht="18.75">
      <c r="A485" s="1267"/>
      <c r="B485" s="1268"/>
      <c r="C485" s="1268"/>
      <c r="D485" s="1268"/>
      <c r="E485" s="1268"/>
      <c r="F485" s="1268" t="s">
        <v>210</v>
      </c>
      <c r="G485" s="954"/>
      <c r="H485" s="590" t="s">
        <v>35</v>
      </c>
      <c r="I485" s="830">
        <f ca="1">IFERROR(__xludf.DUMMYFUNCTION("IMPORTRANGE(""https://docs.google.com/spreadsheets/d/1QqKyyYR6Q21VydFLVH3TRQUabQu_ym0Zz7PgGX0-kHA/edit?usp=sharing"",""แผน!FZ27"")"),27)</f>
        <v>27</v>
      </c>
      <c r="J485" s="959">
        <v>27</v>
      </c>
      <c r="K485" s="831">
        <f ca="1">IF(I485&gt;0,J485*100/I485,0)</f>
        <v>100</v>
      </c>
      <c r="L485" s="831"/>
      <c r="M485" s="831"/>
      <c r="N485" s="831"/>
      <c r="O485" s="831"/>
      <c r="P485" s="831"/>
      <c r="Q485" s="1244"/>
      <c r="R485" s="1244"/>
      <c r="S485" s="1244"/>
      <c r="T485" s="1244"/>
      <c r="U485" s="1244"/>
      <c r="V485" s="1244"/>
      <c r="W485" s="1244"/>
      <c r="X485" s="1244"/>
      <c r="Y485" s="1244"/>
      <c r="Z485" s="1244"/>
    </row>
    <row r="486" spans="1:26" ht="18.75">
      <c r="A486" s="1267"/>
      <c r="B486" s="1268"/>
      <c r="C486" s="1268"/>
      <c r="D486" s="1268"/>
      <c r="E486" s="1268" t="s">
        <v>62</v>
      </c>
      <c r="F486" s="1268"/>
      <c r="G486" s="954"/>
      <c r="H486" s="590"/>
      <c r="I486" s="830"/>
      <c r="J486" s="830"/>
      <c r="K486" s="831"/>
      <c r="L486" s="831"/>
      <c r="M486" s="831"/>
      <c r="N486" s="831"/>
      <c r="O486" s="831"/>
      <c r="P486" s="831"/>
      <c r="Q486" s="1244"/>
      <c r="R486" s="1244"/>
      <c r="S486" s="1244"/>
      <c r="T486" s="1244"/>
      <c r="U486" s="1244"/>
      <c r="V486" s="1244"/>
      <c r="W486" s="1244"/>
      <c r="X486" s="1244"/>
      <c r="Y486" s="1244"/>
      <c r="Z486" s="1244"/>
    </row>
    <row r="487" spans="1:26" ht="18.75">
      <c r="A487" s="1267"/>
      <c r="B487" s="1268"/>
      <c r="C487" s="1268"/>
      <c r="D487" s="1268"/>
      <c r="E487" s="1268"/>
      <c r="F487" s="1268" t="s">
        <v>208</v>
      </c>
      <c r="G487" s="954"/>
      <c r="H487" s="590" t="s">
        <v>46</v>
      </c>
      <c r="I487" s="830">
        <f ca="1">IFERROR(__xludf.DUMMYFUNCTION("IMPORTRANGE(""https://docs.google.com/spreadsheets/d/1QqKyyYR6Q21VydFLVH3TRQUabQu_ym0Zz7PgGX0-kHA/edit?usp=sharing"",""แผน!GA27"")"),30)</f>
        <v>30</v>
      </c>
      <c r="J487" s="959">
        <v>30</v>
      </c>
      <c r="K487" s="831">
        <f ca="1">IF(I487&gt;0,J487*100/I487,0)</f>
        <v>100</v>
      </c>
      <c r="L487" s="831"/>
      <c r="M487" s="831"/>
      <c r="N487" s="831"/>
      <c r="O487" s="831"/>
      <c r="P487" s="831"/>
      <c r="Q487" s="1244"/>
      <c r="R487" s="1244"/>
      <c r="S487" s="1244"/>
      <c r="T487" s="1244"/>
      <c r="U487" s="1244"/>
      <c r="V487" s="1244"/>
      <c r="W487" s="1244"/>
      <c r="X487" s="1244"/>
      <c r="Y487" s="1244"/>
      <c r="Z487" s="1244"/>
    </row>
    <row r="488" spans="1:26" ht="18.75">
      <c r="A488" s="1267"/>
      <c r="B488" s="1268"/>
      <c r="C488" s="1268"/>
      <c r="D488" s="1268"/>
      <c r="E488" s="1268"/>
      <c r="F488" s="1268" t="s">
        <v>211</v>
      </c>
      <c r="G488" s="954"/>
      <c r="H488" s="590" t="s">
        <v>35</v>
      </c>
      <c r="I488" s="830"/>
      <c r="J488" s="959">
        <v>0</v>
      </c>
      <c r="K488" s="831"/>
      <c r="L488" s="831"/>
      <c r="M488" s="831"/>
      <c r="N488" s="831"/>
      <c r="O488" s="831"/>
      <c r="P488" s="831"/>
      <c r="Q488" s="1244"/>
      <c r="R488" s="1244"/>
      <c r="S488" s="1244"/>
      <c r="T488" s="1244"/>
      <c r="U488" s="1244"/>
      <c r="V488" s="1244"/>
      <c r="W488" s="1244"/>
      <c r="X488" s="1244"/>
      <c r="Y488" s="1244"/>
      <c r="Z488" s="1244"/>
    </row>
    <row r="489" spans="1:26" ht="18.75">
      <c r="A489" s="1267"/>
      <c r="B489" s="1268"/>
      <c r="C489" s="1268"/>
      <c r="D489" s="1268"/>
      <c r="E489" s="1268"/>
      <c r="F489" s="1268" t="s">
        <v>212</v>
      </c>
      <c r="G489" s="954"/>
      <c r="H489" s="590" t="s">
        <v>35</v>
      </c>
      <c r="I489" s="830">
        <f ca="1">IFERROR(__xludf.DUMMYFUNCTION("IMPORTRANGE(""https://docs.google.com/spreadsheets/d/1QqKyyYR6Q21VydFLVH3TRQUabQu_ym0Zz7PgGX0-kHA/edit?usp=sharing"",""แผน!GB27"")"),3)</f>
        <v>3</v>
      </c>
      <c r="J489" s="959">
        <v>8</v>
      </c>
      <c r="K489" s="831">
        <f ca="1">IF(I489&gt;0,J489*100/I489,0)</f>
        <v>266.66666666666669</v>
      </c>
      <c r="L489" s="831"/>
      <c r="M489" s="831"/>
      <c r="N489" s="831"/>
      <c r="O489" s="831"/>
      <c r="P489" s="831"/>
      <c r="Q489" s="1244"/>
      <c r="R489" s="1244"/>
      <c r="S489" s="1244"/>
      <c r="T489" s="1244"/>
      <c r="U489" s="1244"/>
      <c r="V489" s="1244"/>
      <c r="W489" s="1244"/>
      <c r="X489" s="1244"/>
      <c r="Y489" s="1244"/>
      <c r="Z489" s="1244"/>
    </row>
    <row r="490" spans="1:26" ht="18.75">
      <c r="A490" s="1267"/>
      <c r="B490" s="1268"/>
      <c r="C490" s="1268"/>
      <c r="D490" s="1268"/>
      <c r="E490" s="1268" t="s">
        <v>63</v>
      </c>
      <c r="F490" s="961"/>
      <c r="G490" s="954"/>
      <c r="H490" s="590"/>
      <c r="I490" s="830"/>
      <c r="J490" s="830"/>
      <c r="K490" s="831"/>
      <c r="L490" s="831"/>
      <c r="M490" s="831"/>
      <c r="N490" s="831"/>
      <c r="O490" s="831"/>
      <c r="P490" s="831"/>
      <c r="Q490" s="1244"/>
      <c r="R490" s="1244"/>
      <c r="S490" s="1244"/>
      <c r="T490" s="1244"/>
      <c r="U490" s="1244"/>
      <c r="V490" s="1244"/>
      <c r="W490" s="1244"/>
      <c r="X490" s="1244"/>
      <c r="Y490" s="1244"/>
      <c r="Z490" s="1244"/>
    </row>
    <row r="491" spans="1:26" ht="18.75">
      <c r="A491" s="1267"/>
      <c r="B491" s="1268"/>
      <c r="C491" s="1268"/>
      <c r="D491" s="1268"/>
      <c r="E491" s="1268"/>
      <c r="F491" s="1268" t="s">
        <v>213</v>
      </c>
      <c r="G491" s="954"/>
      <c r="H491" s="590" t="s">
        <v>35</v>
      </c>
      <c r="I491" s="830"/>
      <c r="J491" s="959">
        <v>0</v>
      </c>
      <c r="K491" s="831"/>
      <c r="L491" s="831"/>
      <c r="M491" s="831"/>
      <c r="N491" s="831"/>
      <c r="O491" s="831"/>
      <c r="P491" s="831"/>
      <c r="Q491" s="1244"/>
      <c r="R491" s="1244"/>
      <c r="S491" s="1244"/>
      <c r="T491" s="1244"/>
      <c r="U491" s="1244"/>
      <c r="V491" s="1244"/>
      <c r="W491" s="1244"/>
      <c r="X491" s="1244"/>
      <c r="Y491" s="1244"/>
      <c r="Z491" s="1244"/>
    </row>
    <row r="492" spans="1:26" ht="18.75">
      <c r="A492" s="1267"/>
      <c r="B492" s="1268"/>
      <c r="C492" s="1268"/>
      <c r="D492" s="1268"/>
      <c r="E492" s="1268"/>
      <c r="F492" s="1268" t="s">
        <v>214</v>
      </c>
      <c r="G492" s="954"/>
      <c r="H492" s="590" t="s">
        <v>35</v>
      </c>
      <c r="I492" s="830">
        <f ca="1">IFERROR(__xludf.DUMMYFUNCTION("IMPORTRANGE(""https://docs.google.com/spreadsheets/d/1QqKyyYR6Q21VydFLVH3TRQUabQu_ym0Zz7PgGX0-kHA/edit?usp=sharing"",""แผน!GC27"")"),1)</f>
        <v>1</v>
      </c>
      <c r="J492" s="959">
        <v>3</v>
      </c>
      <c r="K492" s="831">
        <f ca="1">IF(I492&gt;0,J492*100/I492,0)</f>
        <v>300</v>
      </c>
      <c r="L492" s="831"/>
      <c r="M492" s="831"/>
      <c r="N492" s="831"/>
      <c r="O492" s="831"/>
      <c r="P492" s="831"/>
      <c r="Q492" s="1244"/>
      <c r="R492" s="1244"/>
      <c r="S492" s="1244"/>
      <c r="T492" s="1244"/>
      <c r="U492" s="1244"/>
      <c r="V492" s="1244"/>
      <c r="W492" s="1244"/>
      <c r="X492" s="1244"/>
      <c r="Y492" s="1244"/>
      <c r="Z492" s="1244"/>
    </row>
    <row r="493" spans="1:26" ht="19.5">
      <c r="A493" s="1267"/>
      <c r="B493" s="1268"/>
      <c r="C493" s="1268"/>
      <c r="D493" s="1277" t="s">
        <v>59</v>
      </c>
      <c r="E493" s="1268"/>
      <c r="F493" s="961"/>
      <c r="G493" s="954"/>
      <c r="H493" s="963"/>
      <c r="I493" s="830"/>
      <c r="J493" s="830"/>
      <c r="K493" s="831"/>
      <c r="L493" s="831"/>
      <c r="M493" s="831"/>
      <c r="N493" s="831"/>
      <c r="O493" s="831"/>
      <c r="P493" s="831"/>
      <c r="Q493" s="1244"/>
      <c r="R493" s="1244"/>
      <c r="S493" s="1244"/>
      <c r="T493" s="1244"/>
      <c r="U493" s="1244"/>
      <c r="V493" s="1244"/>
      <c r="W493" s="1244"/>
      <c r="X493" s="1244"/>
      <c r="Y493" s="1244"/>
      <c r="Z493" s="1244"/>
    </row>
    <row r="494" spans="1:26" ht="18.75">
      <c r="A494" s="1267"/>
      <c r="B494" s="1268"/>
      <c r="C494" s="1268"/>
      <c r="D494" s="1268"/>
      <c r="E494" s="1268" t="s">
        <v>207</v>
      </c>
      <c r="F494" s="961"/>
      <c r="G494" s="954"/>
      <c r="H494" s="963"/>
      <c r="I494" s="830"/>
      <c r="J494" s="830"/>
      <c r="K494" s="831"/>
      <c r="L494" s="831"/>
      <c r="M494" s="831"/>
      <c r="N494" s="831"/>
      <c r="O494" s="831"/>
      <c r="P494" s="831"/>
      <c r="Q494" s="1244"/>
      <c r="R494" s="1244"/>
      <c r="S494" s="1244"/>
      <c r="T494" s="1244"/>
      <c r="U494" s="1244"/>
      <c r="V494" s="1244"/>
      <c r="W494" s="1244"/>
      <c r="X494" s="1244"/>
      <c r="Y494" s="1244"/>
      <c r="Z494" s="1244"/>
    </row>
    <row r="495" spans="1:26" ht="18.75">
      <c r="A495" s="1267"/>
      <c r="B495" s="1268"/>
      <c r="C495" s="1268"/>
      <c r="D495" s="1268"/>
      <c r="E495" s="1268"/>
      <c r="F495" s="961" t="s">
        <v>215</v>
      </c>
      <c r="G495" s="954"/>
      <c r="H495" s="590" t="s">
        <v>46</v>
      </c>
      <c r="I495" s="830">
        <f ca="1">IFERROR(__xludf.DUMMYFUNCTION("IMPORTRANGE(""https://docs.google.com/spreadsheets/d/1QqKyyYR6Q21VydFLVH3TRQUabQu_ym0Zz7PgGX0-kHA/edit?usp=sharing"",""แผน!FY27"")"),270)</f>
        <v>270</v>
      </c>
      <c r="J495" s="959">
        <v>0</v>
      </c>
      <c r="K495" s="831">
        <f ca="1">IF(I495&gt;0,J495*100/I495,0)</f>
        <v>0</v>
      </c>
      <c r="L495" s="831"/>
      <c r="M495" s="831"/>
      <c r="N495" s="831"/>
      <c r="O495" s="831"/>
      <c r="P495" s="831"/>
      <c r="Q495" s="1244"/>
      <c r="R495" s="1244"/>
      <c r="S495" s="1244"/>
      <c r="T495" s="1244"/>
      <c r="U495" s="1244"/>
      <c r="V495" s="1244"/>
      <c r="W495" s="1244"/>
      <c r="X495" s="1244"/>
      <c r="Y495" s="1244"/>
      <c r="Z495" s="1244"/>
    </row>
    <row r="496" spans="1:26" ht="18.75">
      <c r="A496" s="1267"/>
      <c r="B496" s="1268"/>
      <c r="C496" s="1268"/>
      <c r="D496" s="1268"/>
      <c r="E496" s="1268"/>
      <c r="F496" s="961" t="s">
        <v>216</v>
      </c>
      <c r="G496" s="954"/>
      <c r="H496" s="590" t="s">
        <v>46</v>
      </c>
      <c r="I496" s="830"/>
      <c r="J496" s="959">
        <v>0</v>
      </c>
      <c r="K496" s="831"/>
      <c r="L496" s="831"/>
      <c r="M496" s="831"/>
      <c r="N496" s="831"/>
      <c r="O496" s="831"/>
      <c r="P496" s="831"/>
      <c r="Q496" s="1244"/>
      <c r="R496" s="1244"/>
      <c r="S496" s="1244"/>
      <c r="T496" s="1244"/>
      <c r="U496" s="1244"/>
      <c r="V496" s="1244"/>
      <c r="W496" s="1244"/>
      <c r="X496" s="1244"/>
      <c r="Y496" s="1244"/>
      <c r="Z496" s="1244"/>
    </row>
    <row r="497" spans="1:26" ht="18.75">
      <c r="A497" s="1267"/>
      <c r="B497" s="1268"/>
      <c r="C497" s="1268"/>
      <c r="D497" s="1268"/>
      <c r="E497" s="1268" t="s">
        <v>62</v>
      </c>
      <c r="F497" s="961"/>
      <c r="G497" s="954"/>
      <c r="H497" s="963"/>
      <c r="I497" s="830"/>
      <c r="J497" s="830"/>
      <c r="K497" s="831"/>
      <c r="L497" s="831"/>
      <c r="M497" s="831"/>
      <c r="N497" s="831"/>
      <c r="O497" s="831"/>
      <c r="P497" s="831"/>
      <c r="Q497" s="1244"/>
      <c r="R497" s="1244"/>
      <c r="S497" s="1244"/>
      <c r="T497" s="1244"/>
      <c r="U497" s="1244"/>
      <c r="V497" s="1244"/>
      <c r="W497" s="1244"/>
      <c r="X497" s="1244"/>
      <c r="Y497" s="1244"/>
      <c r="Z497" s="1244"/>
    </row>
    <row r="498" spans="1:26" ht="18.75">
      <c r="A498" s="1267"/>
      <c r="B498" s="1268"/>
      <c r="C498" s="1268"/>
      <c r="D498" s="1268"/>
      <c r="E498" s="961"/>
      <c r="F498" s="961" t="s">
        <v>217</v>
      </c>
      <c r="G498" s="954"/>
      <c r="H498" s="590" t="s">
        <v>46</v>
      </c>
      <c r="I498" s="830">
        <f ca="1">IFERROR(__xludf.DUMMYFUNCTION("IMPORTRANGE(""https://docs.google.com/spreadsheets/d/1QqKyyYR6Q21VydFLVH3TRQUabQu_ym0Zz7PgGX0-kHA/edit?usp=sharing"",""แผน!GA27"")"),30)</f>
        <v>30</v>
      </c>
      <c r="J498" s="959">
        <v>0</v>
      </c>
      <c r="K498" s="831">
        <f ca="1">IF(I498&gt;0,J498*100/I498,0)</f>
        <v>0</v>
      </c>
      <c r="L498" s="831"/>
      <c r="M498" s="831"/>
      <c r="N498" s="831"/>
      <c r="O498" s="831"/>
      <c r="P498" s="831"/>
      <c r="Q498" s="1244"/>
      <c r="R498" s="1244"/>
      <c r="S498" s="1244"/>
      <c r="T498" s="1244"/>
      <c r="U498" s="1244"/>
      <c r="V498" s="1244"/>
      <c r="W498" s="1244"/>
      <c r="X498" s="1244"/>
      <c r="Y498" s="1244"/>
      <c r="Z498" s="1244"/>
    </row>
    <row r="499" spans="1:26" ht="18.75">
      <c r="A499" s="1267"/>
      <c r="B499" s="1268"/>
      <c r="C499" s="1268"/>
      <c r="D499" s="1268"/>
      <c r="E499" s="961"/>
      <c r="F499" s="961" t="s">
        <v>218</v>
      </c>
      <c r="G499" s="954"/>
      <c r="H499" s="590" t="s">
        <v>46</v>
      </c>
      <c r="I499" s="830"/>
      <c r="J499" s="959">
        <v>0</v>
      </c>
      <c r="K499" s="831"/>
      <c r="L499" s="831"/>
      <c r="M499" s="831"/>
      <c r="N499" s="831"/>
      <c r="O499" s="831"/>
      <c r="P499" s="831"/>
      <c r="Q499" s="1244"/>
      <c r="R499" s="1244"/>
      <c r="S499" s="1244"/>
      <c r="T499" s="1244"/>
      <c r="U499" s="1244"/>
      <c r="V499" s="1244"/>
      <c r="W499" s="1244"/>
      <c r="X499" s="1244"/>
      <c r="Y499" s="1244"/>
      <c r="Z499" s="1244"/>
    </row>
    <row r="500" spans="1:26" ht="19.5" hidden="1">
      <c r="A500" s="594">
        <v>4</v>
      </c>
      <c r="B500" s="1278" t="s">
        <v>219</v>
      </c>
      <c r="C500" s="1279"/>
      <c r="D500" s="1280"/>
      <c r="E500" s="1280"/>
      <c r="F500" s="1280"/>
      <c r="G500" s="1281"/>
      <c r="H500" s="599" t="s">
        <v>109</v>
      </c>
      <c r="I500" s="1282"/>
      <c r="J500" s="1282">
        <f t="shared" ref="J500:J501" si="214">J516</f>
        <v>0</v>
      </c>
      <c r="K500" s="1283">
        <f t="shared" ref="K500:K501" si="215">IF(I500&gt;0,J500*100/I500,0)</f>
        <v>0</v>
      </c>
      <c r="L500" s="1284"/>
      <c r="M500" s="1284"/>
      <c r="N500" s="1284"/>
      <c r="O500" s="1284"/>
      <c r="P500" s="1284"/>
      <c r="Q500" s="1264"/>
      <c r="R500" s="1264"/>
      <c r="S500" s="1264"/>
      <c r="T500" s="1264"/>
      <c r="U500" s="1264"/>
      <c r="V500" s="1264"/>
      <c r="W500" s="1264"/>
      <c r="X500" s="1264"/>
      <c r="Y500" s="1264"/>
      <c r="Z500" s="1264"/>
    </row>
    <row r="501" spans="1:26" ht="19.5" hidden="1">
      <c r="A501" s="1285"/>
      <c r="B501" s="1286" t="s">
        <v>220</v>
      </c>
      <c r="C501" s="1286"/>
      <c r="D501" s="1287"/>
      <c r="E501" s="1287"/>
      <c r="F501" s="1287"/>
      <c r="G501" s="1288"/>
      <c r="H501" s="608" t="s">
        <v>35</v>
      </c>
      <c r="I501" s="1289"/>
      <c r="J501" s="1289">
        <f t="shared" si="214"/>
        <v>0</v>
      </c>
      <c r="K501" s="1290">
        <f t="shared" si="215"/>
        <v>0</v>
      </c>
      <c r="L501" s="1291"/>
      <c r="M501" s="1291"/>
      <c r="N501" s="1291"/>
      <c r="O501" s="1291"/>
      <c r="P501" s="1291"/>
      <c r="Q501" s="1264"/>
      <c r="R501" s="1264"/>
      <c r="S501" s="1264"/>
      <c r="T501" s="1264"/>
      <c r="U501" s="1264"/>
      <c r="V501" s="1264"/>
      <c r="W501" s="1264"/>
      <c r="X501" s="1264"/>
      <c r="Y501" s="1264"/>
      <c r="Z501" s="1264"/>
    </row>
    <row r="502" spans="1:26" ht="19.5" hidden="1">
      <c r="A502" s="1260"/>
      <c r="B502" s="1261"/>
      <c r="C502" s="1261" t="s">
        <v>16</v>
      </c>
      <c r="D502" s="1508" t="s">
        <v>17</v>
      </c>
      <c r="E502" s="1485"/>
      <c r="F502" s="1485"/>
      <c r="G502" s="1263"/>
      <c r="H502" s="612" t="s">
        <v>12</v>
      </c>
      <c r="I502" s="836"/>
      <c r="J502" s="836"/>
      <c r="K502" s="837"/>
      <c r="L502" s="1292">
        <f t="shared" ref="L502:N502" si="216">L503+L504</f>
        <v>0</v>
      </c>
      <c r="M502" s="1292">
        <f t="shared" si="216"/>
        <v>0</v>
      </c>
      <c r="N502" s="1292">
        <f t="shared" si="216"/>
        <v>0</v>
      </c>
      <c r="O502" s="1292">
        <f t="shared" ref="O502:O507" si="217">IF(L502&gt;0,N502*100/L502,0)</f>
        <v>0</v>
      </c>
      <c r="P502" s="1292">
        <f t="shared" ref="P502:P507" si="218">IF(M502&gt;0,N502*100/M502,0)</f>
        <v>0</v>
      </c>
      <c r="Q502" s="1264"/>
      <c r="R502" s="1264"/>
      <c r="S502" s="1264"/>
      <c r="T502" s="1264"/>
      <c r="U502" s="1264"/>
      <c r="V502" s="1264"/>
      <c r="W502" s="1264"/>
      <c r="X502" s="1264"/>
      <c r="Y502" s="1264"/>
      <c r="Z502" s="1264"/>
    </row>
    <row r="503" spans="1:26" ht="18.75" hidden="1">
      <c r="A503" s="1260"/>
      <c r="B503" s="1261"/>
      <c r="C503" s="1261"/>
      <c r="D503" s="1262"/>
      <c r="E503" s="1261" t="s">
        <v>184</v>
      </c>
      <c r="F503" s="1261"/>
      <c r="G503" s="1263"/>
      <c r="H503" s="165" t="s">
        <v>12</v>
      </c>
      <c r="I503" s="836"/>
      <c r="J503" s="836"/>
      <c r="K503" s="837"/>
      <c r="L503" s="837">
        <f t="shared" ref="L503:N504" si="219">L506+L513</f>
        <v>0</v>
      </c>
      <c r="M503" s="837">
        <f t="shared" si="219"/>
        <v>0</v>
      </c>
      <c r="N503" s="837">
        <f t="shared" si="219"/>
        <v>0</v>
      </c>
      <c r="O503" s="837">
        <f t="shared" si="217"/>
        <v>0</v>
      </c>
      <c r="P503" s="837">
        <f t="shared" si="218"/>
        <v>0</v>
      </c>
      <c r="Q503" s="1264"/>
      <c r="R503" s="1264"/>
      <c r="S503" s="1264"/>
      <c r="T503" s="1264"/>
      <c r="U503" s="1264"/>
      <c r="V503" s="1264"/>
      <c r="W503" s="1264"/>
      <c r="X503" s="1264"/>
      <c r="Y503" s="1264"/>
      <c r="Z503" s="1264"/>
    </row>
    <row r="504" spans="1:26" ht="18.75" hidden="1">
      <c r="A504" s="1260"/>
      <c r="B504" s="1265"/>
      <c r="C504" s="1261"/>
      <c r="D504" s="1262"/>
      <c r="E504" s="1261" t="s">
        <v>185</v>
      </c>
      <c r="F504" s="1261"/>
      <c r="G504" s="1263"/>
      <c r="H504" s="165" t="s">
        <v>12</v>
      </c>
      <c r="I504" s="836"/>
      <c r="J504" s="836"/>
      <c r="K504" s="837"/>
      <c r="L504" s="837">
        <f t="shared" si="219"/>
        <v>0</v>
      </c>
      <c r="M504" s="837">
        <f t="shared" si="219"/>
        <v>0</v>
      </c>
      <c r="N504" s="837">
        <f t="shared" si="219"/>
        <v>0</v>
      </c>
      <c r="O504" s="837">
        <f t="shared" si="217"/>
        <v>0</v>
      </c>
      <c r="P504" s="837">
        <f t="shared" si="218"/>
        <v>0</v>
      </c>
      <c r="Q504" s="1264"/>
      <c r="R504" s="1264"/>
      <c r="S504" s="1264"/>
      <c r="T504" s="1264"/>
      <c r="U504" s="1264"/>
      <c r="V504" s="1264"/>
      <c r="W504" s="1264"/>
      <c r="X504" s="1264"/>
      <c r="Y504" s="1264"/>
      <c r="Z504" s="1264"/>
    </row>
    <row r="505" spans="1:26" ht="18.75" hidden="1">
      <c r="A505" s="1260"/>
      <c r="B505" s="1265"/>
      <c r="C505" s="1261"/>
      <c r="D505" s="1293" t="s">
        <v>20</v>
      </c>
      <c r="E505" s="1261"/>
      <c r="F505" s="1261"/>
      <c r="G505" s="1263"/>
      <c r="H505" s="165" t="s">
        <v>12</v>
      </c>
      <c r="I505" s="947"/>
      <c r="J505" s="947"/>
      <c r="K505" s="948"/>
      <c r="L505" s="837">
        <f t="shared" ref="L505:N505" si="220">L506+L507</f>
        <v>0</v>
      </c>
      <c r="M505" s="837">
        <f t="shared" si="220"/>
        <v>0</v>
      </c>
      <c r="N505" s="837">
        <f t="shared" si="220"/>
        <v>0</v>
      </c>
      <c r="O505" s="837">
        <f t="shared" si="217"/>
        <v>0</v>
      </c>
      <c r="P505" s="837">
        <f t="shared" si="218"/>
        <v>0</v>
      </c>
      <c r="Q505" s="1264"/>
      <c r="R505" s="1264"/>
      <c r="S505" s="1264"/>
      <c r="T505" s="1264"/>
      <c r="U505" s="1264"/>
      <c r="V505" s="1264"/>
      <c r="W505" s="1264"/>
      <c r="X505" s="1264"/>
      <c r="Y505" s="1264"/>
      <c r="Z505" s="1264"/>
    </row>
    <row r="506" spans="1:26" ht="18.75" hidden="1">
      <c r="A506" s="1260"/>
      <c r="B506" s="1265"/>
      <c r="C506" s="1261"/>
      <c r="D506" s="1262"/>
      <c r="E506" s="1261" t="s">
        <v>184</v>
      </c>
      <c r="F506" s="1261"/>
      <c r="G506" s="1263"/>
      <c r="H506" s="165" t="s">
        <v>12</v>
      </c>
      <c r="I506" s="836"/>
      <c r="J506" s="836"/>
      <c r="K506" s="837"/>
      <c r="L506" s="837">
        <v>0</v>
      </c>
      <c r="M506" s="837">
        <v>0</v>
      </c>
      <c r="N506" s="837">
        <v>0</v>
      </c>
      <c r="O506" s="837">
        <f t="shared" si="217"/>
        <v>0</v>
      </c>
      <c r="P506" s="837">
        <f t="shared" si="218"/>
        <v>0</v>
      </c>
      <c r="Q506" s="1264"/>
      <c r="R506" s="1264"/>
      <c r="S506" s="1264"/>
      <c r="T506" s="1264"/>
      <c r="U506" s="1264"/>
      <c r="V506" s="1264"/>
      <c r="W506" s="1264"/>
      <c r="X506" s="1264"/>
      <c r="Y506" s="1264"/>
      <c r="Z506" s="1264"/>
    </row>
    <row r="507" spans="1:26" ht="18.75" hidden="1">
      <c r="A507" s="1260"/>
      <c r="B507" s="1265"/>
      <c r="C507" s="1261"/>
      <c r="D507" s="1262"/>
      <c r="E507" s="1261" t="s">
        <v>185</v>
      </c>
      <c r="F507" s="1261"/>
      <c r="G507" s="1263"/>
      <c r="H507" s="165" t="s">
        <v>12</v>
      </c>
      <c r="I507" s="836"/>
      <c r="J507" s="836"/>
      <c r="K507" s="837"/>
      <c r="L507" s="837">
        <v>0</v>
      </c>
      <c r="M507" s="837">
        <v>0</v>
      </c>
      <c r="N507" s="837">
        <f>N508+N509+N510+N511</f>
        <v>0</v>
      </c>
      <c r="O507" s="837">
        <f t="shared" si="217"/>
        <v>0</v>
      </c>
      <c r="P507" s="837">
        <f t="shared" si="218"/>
        <v>0</v>
      </c>
      <c r="Q507" s="1264"/>
      <c r="R507" s="1264"/>
      <c r="S507" s="1264"/>
      <c r="T507" s="1264"/>
      <c r="U507" s="1264"/>
      <c r="V507" s="1264"/>
      <c r="W507" s="1264"/>
      <c r="X507" s="1264"/>
      <c r="Y507" s="1264"/>
      <c r="Z507" s="1264"/>
    </row>
    <row r="508" spans="1:26" ht="18.75" hidden="1">
      <c r="A508" s="1294"/>
      <c r="B508" s="1265"/>
      <c r="C508" s="1261"/>
      <c r="D508" s="1261"/>
      <c r="E508" s="1261"/>
      <c r="F508" s="1261" t="s">
        <v>186</v>
      </c>
      <c r="G508" s="1263"/>
      <c r="H508" s="165" t="s">
        <v>12</v>
      </c>
      <c r="I508" s="836"/>
      <c r="J508" s="836"/>
      <c r="K508" s="837"/>
      <c r="L508" s="837"/>
      <c r="M508" s="837"/>
      <c r="N508" s="837">
        <v>0</v>
      </c>
      <c r="O508" s="837"/>
      <c r="P508" s="837"/>
      <c r="Q508" s="1264"/>
      <c r="R508" s="1264"/>
      <c r="S508" s="1264"/>
      <c r="T508" s="1264"/>
      <c r="U508" s="1264"/>
      <c r="V508" s="1264"/>
      <c r="W508" s="1264"/>
      <c r="X508" s="1264"/>
      <c r="Y508" s="1264"/>
      <c r="Z508" s="1264"/>
    </row>
    <row r="509" spans="1:26" ht="18.75" hidden="1">
      <c r="A509" s="1294"/>
      <c r="B509" s="1265"/>
      <c r="C509" s="1261"/>
      <c r="D509" s="1261"/>
      <c r="E509" s="1261"/>
      <c r="F509" s="1261" t="s">
        <v>187</v>
      </c>
      <c r="G509" s="1263"/>
      <c r="H509" s="165" t="s">
        <v>12</v>
      </c>
      <c r="I509" s="836"/>
      <c r="J509" s="836"/>
      <c r="K509" s="837"/>
      <c r="L509" s="837"/>
      <c r="M509" s="837"/>
      <c r="N509" s="837">
        <v>0</v>
      </c>
      <c r="O509" s="837"/>
      <c r="P509" s="837"/>
      <c r="Q509" s="1264"/>
      <c r="R509" s="1264"/>
      <c r="S509" s="1264"/>
      <c r="T509" s="1264"/>
      <c r="U509" s="1264"/>
      <c r="V509" s="1264"/>
      <c r="W509" s="1264"/>
      <c r="X509" s="1264"/>
      <c r="Y509" s="1264"/>
      <c r="Z509" s="1264"/>
    </row>
    <row r="510" spans="1:26" ht="18.75" hidden="1">
      <c r="A510" s="1294"/>
      <c r="B510" s="1265"/>
      <c r="C510" s="1265"/>
      <c r="D510" s="1265"/>
      <c r="E510" s="1261"/>
      <c r="F510" s="1261" t="s">
        <v>188</v>
      </c>
      <c r="G510" s="1263"/>
      <c r="H510" s="165" t="s">
        <v>12</v>
      </c>
      <c r="I510" s="836"/>
      <c r="J510" s="836"/>
      <c r="K510" s="837"/>
      <c r="L510" s="837"/>
      <c r="M510" s="837"/>
      <c r="N510" s="837">
        <v>0</v>
      </c>
      <c r="O510" s="837"/>
      <c r="P510" s="837"/>
      <c r="Q510" s="1264"/>
      <c r="R510" s="1264"/>
      <c r="S510" s="1264"/>
      <c r="T510" s="1264"/>
      <c r="U510" s="1264"/>
      <c r="V510" s="1264"/>
      <c r="W510" s="1264"/>
      <c r="X510" s="1264"/>
      <c r="Y510" s="1264"/>
      <c r="Z510" s="1264"/>
    </row>
    <row r="511" spans="1:26" ht="18.75" hidden="1">
      <c r="A511" s="1294"/>
      <c r="B511" s="1265"/>
      <c r="C511" s="1265"/>
      <c r="D511" s="1265"/>
      <c r="E511" s="1261"/>
      <c r="F511" s="1261" t="s">
        <v>189</v>
      </c>
      <c r="G511" s="1263"/>
      <c r="H511" s="165" t="s">
        <v>12</v>
      </c>
      <c r="I511" s="836"/>
      <c r="J511" s="836"/>
      <c r="K511" s="837"/>
      <c r="L511" s="837"/>
      <c r="M511" s="837"/>
      <c r="N511" s="837">
        <v>0</v>
      </c>
      <c r="O511" s="837"/>
      <c r="P511" s="837"/>
      <c r="Q511" s="1264"/>
      <c r="R511" s="1264"/>
      <c r="S511" s="1264"/>
      <c r="T511" s="1264"/>
      <c r="U511" s="1264"/>
      <c r="V511" s="1264"/>
      <c r="W511" s="1264"/>
      <c r="X511" s="1264"/>
      <c r="Y511" s="1264"/>
      <c r="Z511" s="1264"/>
    </row>
    <row r="512" spans="1:26" ht="18.75" hidden="1">
      <c r="A512" s="1260"/>
      <c r="B512" s="1265"/>
      <c r="C512" s="1265"/>
      <c r="D512" s="1293" t="s">
        <v>21</v>
      </c>
      <c r="E512" s="1265"/>
      <c r="F512" s="1261"/>
      <c r="G512" s="1263"/>
      <c r="H512" s="169" t="s">
        <v>12</v>
      </c>
      <c r="I512" s="947"/>
      <c r="J512" s="947"/>
      <c r="K512" s="948"/>
      <c r="L512" s="837">
        <f t="shared" ref="L512:N512" si="221">L513+L514</f>
        <v>0</v>
      </c>
      <c r="M512" s="837">
        <f t="shared" si="221"/>
        <v>0</v>
      </c>
      <c r="N512" s="837">
        <f t="shared" si="221"/>
        <v>0</v>
      </c>
      <c r="O512" s="837">
        <f t="shared" ref="O512:O514" si="222">IF(L512&gt;0,N512*100/L512,0)</f>
        <v>0</v>
      </c>
      <c r="P512" s="837">
        <f t="shared" ref="P512:P514" si="223">IF(M512&gt;0,N512*100/M512,0)</f>
        <v>0</v>
      </c>
      <c r="Q512" s="1264"/>
      <c r="R512" s="1264"/>
      <c r="S512" s="1264"/>
      <c r="T512" s="1264"/>
      <c r="U512" s="1264"/>
      <c r="V512" s="1264"/>
      <c r="W512" s="1264"/>
      <c r="X512" s="1264"/>
      <c r="Y512" s="1264"/>
      <c r="Z512" s="1264"/>
    </row>
    <row r="513" spans="1:26" ht="18.75" hidden="1">
      <c r="A513" s="1260"/>
      <c r="B513" s="1265"/>
      <c r="C513" s="1265"/>
      <c r="D513" s="1265"/>
      <c r="E513" s="1265" t="s">
        <v>18</v>
      </c>
      <c r="F513" s="1261"/>
      <c r="G513" s="1263"/>
      <c r="H513" s="165" t="s">
        <v>12</v>
      </c>
      <c r="I513" s="947"/>
      <c r="J513" s="947"/>
      <c r="K513" s="948"/>
      <c r="L513" s="837">
        <v>0</v>
      </c>
      <c r="M513" s="837">
        <v>0</v>
      </c>
      <c r="N513" s="837">
        <v>0</v>
      </c>
      <c r="O513" s="837">
        <f t="shared" si="222"/>
        <v>0</v>
      </c>
      <c r="P513" s="837">
        <f t="shared" si="223"/>
        <v>0</v>
      </c>
      <c r="Q513" s="1264"/>
      <c r="R513" s="1264"/>
      <c r="S513" s="1264"/>
      <c r="T513" s="1264"/>
      <c r="U513" s="1264"/>
      <c r="V513" s="1264"/>
      <c r="W513" s="1264"/>
      <c r="X513" s="1264"/>
      <c r="Y513" s="1264"/>
      <c r="Z513" s="1264"/>
    </row>
    <row r="514" spans="1:26" ht="18.75" hidden="1">
      <c r="A514" s="1260"/>
      <c r="B514" s="1265"/>
      <c r="C514" s="1265"/>
      <c r="D514" s="1261"/>
      <c r="E514" s="1265" t="s">
        <v>19</v>
      </c>
      <c r="F514" s="1261"/>
      <c r="G514" s="1263"/>
      <c r="H514" s="169" t="s">
        <v>12</v>
      </c>
      <c r="I514" s="947"/>
      <c r="J514" s="947"/>
      <c r="K514" s="948"/>
      <c r="L514" s="837">
        <v>0</v>
      </c>
      <c r="M514" s="837">
        <v>0</v>
      </c>
      <c r="N514" s="837">
        <v>0</v>
      </c>
      <c r="O514" s="837">
        <f t="shared" si="222"/>
        <v>0</v>
      </c>
      <c r="P514" s="837">
        <f t="shared" si="223"/>
        <v>0</v>
      </c>
      <c r="Q514" s="1264"/>
      <c r="R514" s="1264"/>
      <c r="S514" s="1264"/>
      <c r="T514" s="1264"/>
      <c r="U514" s="1264"/>
      <c r="V514" s="1264"/>
      <c r="W514" s="1264"/>
      <c r="X514" s="1264"/>
      <c r="Y514" s="1264"/>
      <c r="Z514" s="1264"/>
    </row>
    <row r="515" spans="1:26" ht="19.5" hidden="1">
      <c r="A515" s="1273"/>
      <c r="B515" s="1274"/>
      <c r="C515" s="1265" t="s">
        <v>16</v>
      </c>
      <c r="D515" s="1295" t="s">
        <v>38</v>
      </c>
      <c r="E515" s="1296"/>
      <c r="F515" s="1296"/>
      <c r="G515" s="1297"/>
      <c r="H515" s="1060"/>
      <c r="I515" s="947"/>
      <c r="J515" s="947"/>
      <c r="K515" s="948"/>
      <c r="L515" s="948"/>
      <c r="M515" s="948"/>
      <c r="N515" s="948"/>
      <c r="O515" s="948"/>
      <c r="P515" s="948"/>
      <c r="Q515" s="1264"/>
      <c r="R515" s="1264"/>
      <c r="S515" s="1264"/>
      <c r="T515" s="1264"/>
      <c r="U515" s="1264"/>
      <c r="V515" s="1264"/>
      <c r="W515" s="1264"/>
      <c r="X515" s="1264"/>
      <c r="Y515" s="1264"/>
      <c r="Z515" s="1264"/>
    </row>
    <row r="516" spans="1:26" ht="18.75" hidden="1">
      <c r="A516" s="1273"/>
      <c r="B516" s="1274"/>
      <c r="C516" s="1274"/>
      <c r="D516" s="1274" t="s">
        <v>221</v>
      </c>
      <c r="E516" s="1262"/>
      <c r="F516" s="1262"/>
      <c r="G516" s="1060"/>
      <c r="H516" s="619" t="s">
        <v>109</v>
      </c>
      <c r="I516" s="836"/>
      <c r="J516" s="836">
        <v>0</v>
      </c>
      <c r="K516" s="948">
        <f t="shared" ref="K516:K517" si="224">IF(I516&gt;0,J516*100/I516,0)</f>
        <v>0</v>
      </c>
      <c r="L516" s="948"/>
      <c r="M516" s="948"/>
      <c r="N516" s="948"/>
      <c r="O516" s="948"/>
      <c r="P516" s="948"/>
      <c r="Q516" s="1264"/>
      <c r="R516" s="1264"/>
      <c r="S516" s="1264"/>
      <c r="T516" s="1264"/>
      <c r="U516" s="1264"/>
      <c r="V516" s="1264"/>
      <c r="W516" s="1264"/>
      <c r="X516" s="1264"/>
      <c r="Y516" s="1264"/>
      <c r="Z516" s="1264"/>
    </row>
    <row r="517" spans="1:26" ht="19.5" hidden="1">
      <c r="A517" s="1273"/>
      <c r="B517" s="1274"/>
      <c r="C517" s="1274"/>
      <c r="D517" s="1274" t="s">
        <v>222</v>
      </c>
      <c r="E517" s="1262"/>
      <c r="F517" s="1262"/>
      <c r="G517" s="1060"/>
      <c r="H517" s="620" t="s">
        <v>35</v>
      </c>
      <c r="I517" s="1298"/>
      <c r="J517" s="1298">
        <f>J518+J519</f>
        <v>0</v>
      </c>
      <c r="K517" s="1299">
        <f t="shared" si="224"/>
        <v>0</v>
      </c>
      <c r="L517" s="948"/>
      <c r="M517" s="948"/>
      <c r="N517" s="948"/>
      <c r="O517" s="948"/>
      <c r="P517" s="948"/>
      <c r="Q517" s="1264"/>
      <c r="R517" s="1264"/>
      <c r="S517" s="1264"/>
      <c r="T517" s="1264"/>
      <c r="U517" s="1264"/>
      <c r="V517" s="1264"/>
      <c r="W517" s="1264"/>
      <c r="X517" s="1264"/>
      <c r="Y517" s="1264"/>
      <c r="Z517" s="1264"/>
    </row>
    <row r="518" spans="1:26" ht="18.75" hidden="1">
      <c r="A518" s="1273"/>
      <c r="B518" s="1274"/>
      <c r="C518" s="1274"/>
      <c r="D518" s="1274"/>
      <c r="E518" s="1274" t="s">
        <v>223</v>
      </c>
      <c r="F518" s="1262"/>
      <c r="G518" s="1060"/>
      <c r="H518" s="583" t="s">
        <v>35</v>
      </c>
      <c r="I518" s="836"/>
      <c r="J518" s="836"/>
      <c r="K518" s="948"/>
      <c r="L518" s="948"/>
      <c r="M518" s="948"/>
      <c r="N518" s="948"/>
      <c r="O518" s="948"/>
      <c r="P518" s="948"/>
      <c r="Q518" s="1264"/>
      <c r="R518" s="1264"/>
      <c r="S518" s="1264"/>
      <c r="T518" s="1264"/>
      <c r="U518" s="1264"/>
      <c r="V518" s="1264"/>
      <c r="W518" s="1264"/>
      <c r="X518" s="1264"/>
      <c r="Y518" s="1264"/>
      <c r="Z518" s="1264"/>
    </row>
    <row r="519" spans="1:26" ht="18.75" hidden="1">
      <c r="A519" s="1273"/>
      <c r="B519" s="1274"/>
      <c r="C519" s="1274"/>
      <c r="D519" s="1274"/>
      <c r="E519" s="1274" t="s">
        <v>224</v>
      </c>
      <c r="F519" s="1262"/>
      <c r="G519" s="1060"/>
      <c r="H519" s="619" t="s">
        <v>35</v>
      </c>
      <c r="I519" s="836"/>
      <c r="J519" s="836"/>
      <c r="K519" s="948"/>
      <c r="L519" s="948"/>
      <c r="M519" s="948"/>
      <c r="N519" s="948"/>
      <c r="O519" s="948"/>
      <c r="P519" s="948"/>
      <c r="Q519" s="1264"/>
      <c r="R519" s="1264"/>
      <c r="S519" s="1264"/>
      <c r="T519" s="1264"/>
      <c r="U519" s="1264"/>
      <c r="V519" s="1264"/>
      <c r="W519" s="1264"/>
      <c r="X519" s="1264"/>
      <c r="Y519" s="1264"/>
      <c r="Z519" s="1264"/>
    </row>
    <row r="520" spans="1:26" ht="19.5">
      <c r="A520" s="1300" t="s">
        <v>137</v>
      </c>
      <c r="B520" s="1301"/>
      <c r="C520" s="1301"/>
      <c r="D520" s="1302"/>
      <c r="E520" s="1302"/>
      <c r="F520" s="1302"/>
      <c r="G520" s="1303"/>
      <c r="H520" s="1304"/>
      <c r="I520" s="1305"/>
      <c r="J520" s="1305"/>
      <c r="K520" s="1306"/>
      <c r="L520" s="1306"/>
      <c r="M520" s="1306"/>
      <c r="N520" s="1306"/>
      <c r="O520" s="1306"/>
      <c r="P520" s="1306"/>
    </row>
    <row r="521" spans="1:26" ht="19.5" hidden="1">
      <c r="A521" s="630">
        <v>5</v>
      </c>
      <c r="B521" s="1307" t="s">
        <v>225</v>
      </c>
      <c r="C521" s="1308"/>
      <c r="D521" s="1309"/>
      <c r="E521" s="1309"/>
      <c r="F521" s="1309"/>
      <c r="G521" s="1309"/>
      <c r="H521" s="1310"/>
      <c r="I521" s="1311"/>
      <c r="J521" s="1311"/>
      <c r="K521" s="1312"/>
      <c r="L521" s="1312"/>
      <c r="M521" s="1312"/>
      <c r="N521" s="1312"/>
      <c r="O521" s="1312"/>
      <c r="P521" s="1312"/>
      <c r="Q521" s="1244"/>
      <c r="R521" s="1244"/>
      <c r="S521" s="1244"/>
      <c r="T521" s="1244"/>
      <c r="U521" s="1244"/>
      <c r="V521" s="1244"/>
      <c r="W521" s="1244"/>
      <c r="X521" s="1244"/>
      <c r="Y521" s="1244"/>
      <c r="Z521" s="1244"/>
    </row>
    <row r="522" spans="1:26" ht="19.5" hidden="1">
      <c r="A522" s="1313"/>
      <c r="B522" s="1314" t="s">
        <v>226</v>
      </c>
      <c r="C522" s="1315"/>
      <c r="D522" s="1315"/>
      <c r="E522" s="1315"/>
      <c r="F522" s="1315"/>
      <c r="G522" s="1316"/>
      <c r="H522" s="641" t="s">
        <v>35</v>
      </c>
      <c r="I522" s="1317">
        <f t="shared" ref="I522:J522" ca="1" si="225">I537</f>
        <v>0</v>
      </c>
      <c r="J522" s="1317">
        <f t="shared" ca="1" si="225"/>
        <v>0</v>
      </c>
      <c r="K522" s="1318">
        <f ca="1">IF(I522&gt;0,J522*100/I522,0)</f>
        <v>0</v>
      </c>
      <c r="L522" s="1319"/>
      <c r="M522" s="1319"/>
      <c r="N522" s="1319"/>
      <c r="O522" s="1319"/>
      <c r="P522" s="1319"/>
      <c r="Q522" s="1244"/>
      <c r="R522" s="1244"/>
      <c r="S522" s="1244"/>
      <c r="T522" s="1244"/>
      <c r="U522" s="1244"/>
      <c r="V522" s="1244"/>
      <c r="W522" s="1244"/>
      <c r="X522" s="1244"/>
      <c r="Y522" s="1244"/>
      <c r="Z522" s="1244"/>
    </row>
    <row r="523" spans="1:26" ht="19.5" hidden="1">
      <c r="A523" s="1259"/>
      <c r="B523" s="1243"/>
      <c r="C523" s="1243" t="s">
        <v>16</v>
      </c>
      <c r="D523" s="1507" t="s">
        <v>17</v>
      </c>
      <c r="E523" s="1485"/>
      <c r="F523" s="1485"/>
      <c r="G523" s="963"/>
      <c r="H523" s="563" t="s">
        <v>12</v>
      </c>
      <c r="I523" s="830"/>
      <c r="J523" s="830"/>
      <c r="K523" s="831"/>
      <c r="L523" s="967">
        <f t="shared" ref="L523:N523" ca="1" si="226">L524+L525</f>
        <v>0</v>
      </c>
      <c r="M523" s="967">
        <f t="shared" si="226"/>
        <v>0</v>
      </c>
      <c r="N523" s="967">
        <f t="shared" si="226"/>
        <v>0</v>
      </c>
      <c r="O523" s="967">
        <f t="shared" ref="O523:O528" ca="1" si="227">IF(L523&gt;0,N523*100/L523,0)</f>
        <v>0</v>
      </c>
      <c r="P523" s="967">
        <f t="shared" ref="P523:P528" si="228">IF(M523&gt;0,N523*100/M523,0)</f>
        <v>0</v>
      </c>
      <c r="Q523" s="1244"/>
      <c r="R523" s="1244"/>
      <c r="S523" s="1244"/>
      <c r="T523" s="1244"/>
      <c r="U523" s="1244"/>
      <c r="V523" s="1244"/>
      <c r="W523" s="1244"/>
      <c r="X523" s="1244"/>
      <c r="Y523" s="1244"/>
      <c r="Z523" s="1244"/>
    </row>
    <row r="524" spans="1:26" ht="18.75" hidden="1">
      <c r="A524" s="1260"/>
      <c r="B524" s="1261"/>
      <c r="C524" s="1261"/>
      <c r="D524" s="1262"/>
      <c r="E524" s="1261" t="s">
        <v>184</v>
      </c>
      <c r="F524" s="1261"/>
      <c r="G524" s="1263"/>
      <c r="H524" s="165" t="s">
        <v>12</v>
      </c>
      <c r="I524" s="836"/>
      <c r="J524" s="836"/>
      <c r="K524" s="837"/>
      <c r="L524" s="837">
        <f t="shared" ref="L524:N525" si="229">L527+L534</f>
        <v>0</v>
      </c>
      <c r="M524" s="837">
        <f t="shared" si="229"/>
        <v>0</v>
      </c>
      <c r="N524" s="837">
        <f t="shared" si="229"/>
        <v>0</v>
      </c>
      <c r="O524" s="837">
        <f t="shared" si="227"/>
        <v>0</v>
      </c>
      <c r="P524" s="837">
        <f t="shared" si="228"/>
        <v>0</v>
      </c>
      <c r="Q524" s="1264"/>
      <c r="R524" s="1264"/>
      <c r="S524" s="1264"/>
      <c r="T524" s="1264"/>
      <c r="U524" s="1264"/>
      <c r="V524" s="1264"/>
      <c r="W524" s="1264"/>
      <c r="X524" s="1264"/>
      <c r="Y524" s="1264"/>
      <c r="Z524" s="1264"/>
    </row>
    <row r="525" spans="1:26" ht="18.75" hidden="1">
      <c r="A525" s="1260"/>
      <c r="B525" s="1265"/>
      <c r="C525" s="1261"/>
      <c r="D525" s="1262"/>
      <c r="E525" s="1261" t="s">
        <v>185</v>
      </c>
      <c r="F525" s="1261"/>
      <c r="G525" s="1263"/>
      <c r="H525" s="165" t="s">
        <v>12</v>
      </c>
      <c r="I525" s="836"/>
      <c r="J525" s="836"/>
      <c r="K525" s="837"/>
      <c r="L525" s="837">
        <f t="shared" ca="1" si="229"/>
        <v>0</v>
      </c>
      <c r="M525" s="837">
        <f t="shared" si="229"/>
        <v>0</v>
      </c>
      <c r="N525" s="837">
        <f t="shared" si="229"/>
        <v>0</v>
      </c>
      <c r="O525" s="837">
        <f t="shared" ca="1" si="227"/>
        <v>0</v>
      </c>
      <c r="P525" s="837">
        <f t="shared" si="228"/>
        <v>0</v>
      </c>
      <c r="Q525" s="1264"/>
      <c r="R525" s="1264"/>
      <c r="S525" s="1264"/>
      <c r="T525" s="1264"/>
      <c r="U525" s="1264"/>
      <c r="V525" s="1264"/>
      <c r="W525" s="1264"/>
      <c r="X525" s="1264"/>
      <c r="Y525" s="1264"/>
      <c r="Z525" s="1264"/>
    </row>
    <row r="526" spans="1:26" ht="18.75" hidden="1">
      <c r="A526" s="1259"/>
      <c r="B526" s="1242"/>
      <c r="C526" s="1243"/>
      <c r="D526" s="1266" t="s">
        <v>20</v>
      </c>
      <c r="E526" s="1243"/>
      <c r="F526" s="1243"/>
      <c r="G526" s="963"/>
      <c r="H526" s="778" t="s">
        <v>12</v>
      </c>
      <c r="I526" s="944"/>
      <c r="J526" s="944"/>
      <c r="K526" s="945"/>
      <c r="L526" s="831">
        <f t="shared" ref="L526:N526" ca="1" si="230">L527+L528</f>
        <v>0</v>
      </c>
      <c r="M526" s="831">
        <f t="shared" si="230"/>
        <v>0</v>
      </c>
      <c r="N526" s="831">
        <f t="shared" si="230"/>
        <v>0</v>
      </c>
      <c r="O526" s="831">
        <f t="shared" ca="1" si="227"/>
        <v>0</v>
      </c>
      <c r="P526" s="831">
        <f t="shared" si="228"/>
        <v>0</v>
      </c>
      <c r="Q526" s="1244"/>
      <c r="R526" s="1244"/>
      <c r="S526" s="1244"/>
      <c r="T526" s="1244"/>
      <c r="U526" s="1244"/>
      <c r="V526" s="1244"/>
      <c r="W526" s="1244"/>
      <c r="X526" s="1244"/>
      <c r="Y526" s="1244"/>
      <c r="Z526" s="1244"/>
    </row>
    <row r="527" spans="1:26" ht="18.75" hidden="1">
      <c r="A527" s="1260"/>
      <c r="B527" s="1265"/>
      <c r="C527" s="1261"/>
      <c r="D527" s="1262"/>
      <c r="E527" s="1261" t="s">
        <v>184</v>
      </c>
      <c r="F527" s="1261"/>
      <c r="G527" s="1263"/>
      <c r="H527" s="165" t="s">
        <v>12</v>
      </c>
      <c r="I527" s="836"/>
      <c r="J527" s="836"/>
      <c r="K527" s="837"/>
      <c r="L527" s="837">
        <v>0</v>
      </c>
      <c r="M527" s="837">
        <v>0</v>
      </c>
      <c r="N527" s="837">
        <v>0</v>
      </c>
      <c r="O527" s="837">
        <f t="shared" si="227"/>
        <v>0</v>
      </c>
      <c r="P527" s="837">
        <f t="shared" si="228"/>
        <v>0</v>
      </c>
      <c r="Q527" s="1264"/>
      <c r="R527" s="1264"/>
      <c r="S527" s="1264"/>
      <c r="T527" s="1264"/>
      <c r="U527" s="1264"/>
      <c r="V527" s="1264"/>
      <c r="W527" s="1264"/>
      <c r="X527" s="1264"/>
      <c r="Y527" s="1264"/>
      <c r="Z527" s="1264"/>
    </row>
    <row r="528" spans="1:26" ht="18.75" hidden="1">
      <c r="A528" s="1260"/>
      <c r="B528" s="1265"/>
      <c r="C528" s="1261"/>
      <c r="D528" s="1262"/>
      <c r="E528" s="1261" t="s">
        <v>185</v>
      </c>
      <c r="F528" s="1261"/>
      <c r="G528" s="1263"/>
      <c r="H528" s="165" t="s">
        <v>12</v>
      </c>
      <c r="I528" s="836"/>
      <c r="J528" s="836"/>
      <c r="K528" s="837"/>
      <c r="L528" s="837">
        <f ca="1">IFERROR(__xludf.DUMMYFUNCTION("IMPORTRANGE(""https://docs.google.com/spreadsheets/d/1QqKyyYR6Q21VydFLVH3TRQUabQu_ym0Zz7PgGX0-kHA/edit?usp=sharing"",""แผน!GQ27"")"),0)</f>
        <v>0</v>
      </c>
      <c r="M528" s="837">
        <v>0</v>
      </c>
      <c r="N528" s="837">
        <f>N529+N530+N531+N532</f>
        <v>0</v>
      </c>
      <c r="O528" s="837">
        <f t="shared" ca="1" si="227"/>
        <v>0</v>
      </c>
      <c r="P528" s="837">
        <f t="shared" si="228"/>
        <v>0</v>
      </c>
      <c r="Q528" s="1264"/>
      <c r="R528" s="1264"/>
      <c r="S528" s="1264"/>
      <c r="T528" s="1264"/>
      <c r="U528" s="1264"/>
      <c r="V528" s="1264"/>
      <c r="W528" s="1264"/>
      <c r="X528" s="1264"/>
      <c r="Y528" s="1264"/>
      <c r="Z528" s="1264"/>
    </row>
    <row r="529" spans="1:26" ht="18.75" hidden="1">
      <c r="A529" s="1241"/>
      <c r="B529" s="1242"/>
      <c r="C529" s="1243"/>
      <c r="D529" s="1243"/>
      <c r="E529" s="1243"/>
      <c r="F529" s="1243" t="s">
        <v>186</v>
      </c>
      <c r="G529" s="963"/>
      <c r="H529" s="778" t="s">
        <v>12</v>
      </c>
      <c r="I529" s="830"/>
      <c r="J529" s="830"/>
      <c r="K529" s="831"/>
      <c r="L529" s="831"/>
      <c r="M529" s="831"/>
      <c r="N529" s="1031">
        <v>0</v>
      </c>
      <c r="O529" s="831"/>
      <c r="P529" s="831"/>
      <c r="Q529" s="1244"/>
      <c r="R529" s="1244"/>
      <c r="S529" s="1244"/>
      <c r="T529" s="1244"/>
      <c r="U529" s="1244"/>
      <c r="V529" s="1244"/>
      <c r="W529" s="1244"/>
      <c r="X529" s="1244"/>
      <c r="Y529" s="1244"/>
      <c r="Z529" s="1244"/>
    </row>
    <row r="530" spans="1:26" ht="18.75" hidden="1">
      <c r="A530" s="1241"/>
      <c r="B530" s="1242"/>
      <c r="C530" s="1243"/>
      <c r="D530" s="1243"/>
      <c r="E530" s="1243"/>
      <c r="F530" s="1243" t="s">
        <v>187</v>
      </c>
      <c r="G530" s="963"/>
      <c r="H530" s="778" t="s">
        <v>12</v>
      </c>
      <c r="I530" s="830"/>
      <c r="J530" s="830"/>
      <c r="K530" s="831"/>
      <c r="L530" s="831"/>
      <c r="M530" s="831"/>
      <c r="N530" s="1031">
        <v>0</v>
      </c>
      <c r="O530" s="831"/>
      <c r="P530" s="831"/>
      <c r="Q530" s="1244"/>
      <c r="R530" s="1244"/>
      <c r="S530" s="1244"/>
      <c r="T530" s="1244"/>
      <c r="U530" s="1244"/>
      <c r="V530" s="1244"/>
      <c r="W530" s="1244"/>
      <c r="X530" s="1244"/>
      <c r="Y530" s="1244"/>
      <c r="Z530" s="1244"/>
    </row>
    <row r="531" spans="1:26" ht="18.75" hidden="1">
      <c r="A531" s="1241"/>
      <c r="B531" s="1242"/>
      <c r="C531" s="1243"/>
      <c r="D531" s="1243"/>
      <c r="E531" s="1243"/>
      <c r="F531" s="1243" t="s">
        <v>188</v>
      </c>
      <c r="G531" s="963"/>
      <c r="H531" s="778" t="s">
        <v>12</v>
      </c>
      <c r="I531" s="830"/>
      <c r="J531" s="830"/>
      <c r="K531" s="831"/>
      <c r="L531" s="831"/>
      <c r="M531" s="831"/>
      <c r="N531" s="1031">
        <v>0</v>
      </c>
      <c r="O531" s="831"/>
      <c r="P531" s="831"/>
      <c r="Q531" s="1244"/>
      <c r="R531" s="1244"/>
      <c r="S531" s="1244"/>
      <c r="T531" s="1244"/>
      <c r="U531" s="1244"/>
      <c r="V531" s="1244"/>
      <c r="W531" s="1244"/>
      <c r="X531" s="1244"/>
      <c r="Y531" s="1244"/>
      <c r="Z531" s="1244"/>
    </row>
    <row r="532" spans="1:26" ht="18.75" hidden="1">
      <c r="A532" s="1241"/>
      <c r="B532" s="1242"/>
      <c r="C532" s="1243"/>
      <c r="D532" s="1243"/>
      <c r="E532" s="1243"/>
      <c r="F532" s="1243" t="s">
        <v>189</v>
      </c>
      <c r="G532" s="963"/>
      <c r="H532" s="778" t="s">
        <v>12</v>
      </c>
      <c r="I532" s="830"/>
      <c r="J532" s="830"/>
      <c r="K532" s="831"/>
      <c r="L532" s="831"/>
      <c r="M532" s="831"/>
      <c r="N532" s="1031">
        <v>0</v>
      </c>
      <c r="O532" s="831"/>
      <c r="P532" s="831"/>
      <c r="Q532" s="1244"/>
      <c r="R532" s="1244"/>
      <c r="S532" s="1244"/>
      <c r="T532" s="1244"/>
      <c r="U532" s="1244"/>
      <c r="V532" s="1244"/>
      <c r="W532" s="1244"/>
      <c r="X532" s="1244"/>
      <c r="Y532" s="1244"/>
      <c r="Z532" s="1244"/>
    </row>
    <row r="533" spans="1:26" ht="18.75" hidden="1">
      <c r="A533" s="1259"/>
      <c r="B533" s="1242"/>
      <c r="C533" s="1243"/>
      <c r="D533" s="1266" t="s">
        <v>21</v>
      </c>
      <c r="E533" s="1243"/>
      <c r="F533" s="1243"/>
      <c r="G533" s="963"/>
      <c r="H533" s="168" t="s">
        <v>12</v>
      </c>
      <c r="I533" s="944"/>
      <c r="J533" s="944"/>
      <c r="K533" s="945"/>
      <c r="L533" s="831">
        <f t="shared" ref="L533:N533" ca="1" si="231">L534+L535</f>
        <v>0</v>
      </c>
      <c r="M533" s="831">
        <f t="shared" si="231"/>
        <v>0</v>
      </c>
      <c r="N533" s="831">
        <f t="shared" si="231"/>
        <v>0</v>
      </c>
      <c r="O533" s="831">
        <f t="shared" ref="O533:O535" ca="1" si="232">IF(L533&gt;0,N533*100/L533,0)</f>
        <v>0</v>
      </c>
      <c r="P533" s="831">
        <f t="shared" ref="P533:P535" si="233">IF(M533&gt;0,N533*100/M533,0)</f>
        <v>0</v>
      </c>
      <c r="Q533" s="1244"/>
      <c r="R533" s="1244"/>
      <c r="S533" s="1244"/>
      <c r="T533" s="1244"/>
      <c r="U533" s="1244"/>
      <c r="V533" s="1244"/>
      <c r="W533" s="1244"/>
      <c r="X533" s="1244"/>
      <c r="Y533" s="1244"/>
      <c r="Z533" s="1244"/>
    </row>
    <row r="534" spans="1:26" ht="18.75" hidden="1">
      <c r="A534" s="1260"/>
      <c r="B534" s="1265"/>
      <c r="C534" s="1261"/>
      <c r="D534" s="1261"/>
      <c r="E534" s="1261" t="s">
        <v>18</v>
      </c>
      <c r="F534" s="1261"/>
      <c r="G534" s="1263"/>
      <c r="H534" s="165" t="s">
        <v>12</v>
      </c>
      <c r="I534" s="947"/>
      <c r="J534" s="947"/>
      <c r="K534" s="948"/>
      <c r="L534" s="837">
        <v>0</v>
      </c>
      <c r="M534" s="837">
        <v>0</v>
      </c>
      <c r="N534" s="837">
        <v>0</v>
      </c>
      <c r="O534" s="837">
        <f t="shared" si="232"/>
        <v>0</v>
      </c>
      <c r="P534" s="837">
        <f t="shared" si="233"/>
        <v>0</v>
      </c>
      <c r="Q534" s="1264"/>
      <c r="R534" s="1264"/>
      <c r="S534" s="1264"/>
      <c r="T534" s="1264"/>
      <c r="U534" s="1264"/>
      <c r="V534" s="1264"/>
      <c r="W534" s="1264"/>
      <c r="X534" s="1264"/>
      <c r="Y534" s="1264"/>
      <c r="Z534" s="1264"/>
    </row>
    <row r="535" spans="1:26" ht="18.75" hidden="1">
      <c r="A535" s="1260"/>
      <c r="B535" s="1265"/>
      <c r="C535" s="1261"/>
      <c r="D535" s="1261"/>
      <c r="E535" s="1261" t="s">
        <v>19</v>
      </c>
      <c r="F535" s="1261"/>
      <c r="G535" s="1263"/>
      <c r="H535" s="169" t="s">
        <v>12</v>
      </c>
      <c r="I535" s="947"/>
      <c r="J535" s="947"/>
      <c r="K535" s="948"/>
      <c r="L535" s="837">
        <f ca="1">IFERROR(__xludf.DUMMYFUNCTION("IMPORTRANGE(""https://docs.google.com/spreadsheets/d/1QqKyyYR6Q21VydFLVH3TRQUabQu_ym0Zz7PgGX0-kHA/edit?usp=sharing"",""แผน!GT27"")"),0)</f>
        <v>0</v>
      </c>
      <c r="M535" s="837">
        <v>0</v>
      </c>
      <c r="N535" s="837">
        <v>0</v>
      </c>
      <c r="O535" s="837">
        <f t="shared" ca="1" si="232"/>
        <v>0</v>
      </c>
      <c r="P535" s="837">
        <f t="shared" si="233"/>
        <v>0</v>
      </c>
      <c r="Q535" s="1264"/>
      <c r="R535" s="1264"/>
      <c r="S535" s="1264"/>
      <c r="T535" s="1264"/>
      <c r="U535" s="1264"/>
      <c r="V535" s="1264"/>
      <c r="W535" s="1264"/>
      <c r="X535" s="1264"/>
      <c r="Y535" s="1264"/>
      <c r="Z535" s="1264"/>
    </row>
    <row r="536" spans="1:26" ht="19.5" hidden="1">
      <c r="A536" s="1267"/>
      <c r="B536" s="1268"/>
      <c r="C536" s="1243" t="s">
        <v>16</v>
      </c>
      <c r="D536" s="1320" t="s">
        <v>38</v>
      </c>
      <c r="E536" s="1271"/>
      <c r="F536" s="1271"/>
      <c r="G536" s="1272"/>
      <c r="H536" s="954"/>
      <c r="I536" s="944"/>
      <c r="J536" s="944"/>
      <c r="K536" s="945"/>
      <c r="L536" s="945"/>
      <c r="M536" s="945"/>
      <c r="N536" s="945"/>
      <c r="O536" s="945"/>
      <c r="P536" s="945"/>
      <c r="Q536" s="1244"/>
      <c r="R536" s="1244"/>
      <c r="S536" s="1244"/>
      <c r="T536" s="1244"/>
      <c r="U536" s="1244"/>
      <c r="V536" s="1244"/>
      <c r="W536" s="1244"/>
      <c r="X536" s="1244"/>
      <c r="Y536" s="1244"/>
      <c r="Z536" s="1244"/>
    </row>
    <row r="537" spans="1:26" ht="19.5" hidden="1">
      <c r="A537" s="1241"/>
      <c r="B537" s="1242"/>
      <c r="C537" s="1243"/>
      <c r="D537" s="1243" t="s">
        <v>227</v>
      </c>
      <c r="E537" s="1243"/>
      <c r="F537" s="1243"/>
      <c r="G537" s="963"/>
      <c r="H537" s="590" t="s">
        <v>35</v>
      </c>
      <c r="I537" s="966">
        <f ca="1">IFERROR(__xludf.DUMMYFUNCTION("IMPORTRANGE(""https://docs.google.com/spreadsheets/d/1QqKyyYR6Q21VydFLVH3TRQUabQu_ym0Zz7PgGX0-kHA/edit?usp=sharing"",""แผน!GU27"")"),0)</f>
        <v>0</v>
      </c>
      <c r="J537" s="966">
        <f ca="1">IF(AND(J538=I538,J539=I539,J540=I540,J541=I541),I537,0)</f>
        <v>0</v>
      </c>
      <c r="K537" s="831">
        <f t="shared" ref="K537:K543" ca="1" si="234">IF(I537&gt;0,J537*100/I537,0)</f>
        <v>0</v>
      </c>
      <c r="L537" s="831"/>
      <c r="M537" s="831"/>
      <c r="N537" s="831"/>
      <c r="O537" s="831"/>
      <c r="P537" s="831"/>
      <c r="Q537" s="1321"/>
      <c r="R537" s="1321"/>
      <c r="S537" s="1321"/>
      <c r="T537" s="1321"/>
      <c r="U537" s="1321"/>
      <c r="V537" s="1321"/>
      <c r="W537" s="1321"/>
      <c r="X537" s="1321"/>
      <c r="Y537" s="1321"/>
      <c r="Z537" s="1321"/>
    </row>
    <row r="538" spans="1:26" ht="18.75" hidden="1">
      <c r="A538" s="1241"/>
      <c r="B538" s="1242"/>
      <c r="C538" s="1243"/>
      <c r="D538" s="1243"/>
      <c r="E538" s="1243" t="s">
        <v>228</v>
      </c>
      <c r="F538" s="1243"/>
      <c r="G538" s="963"/>
      <c r="H538" s="590" t="s">
        <v>35</v>
      </c>
      <c r="I538" s="830">
        <f ca="1">IFERROR(__xludf.DUMMYFUNCTION("IMPORTRANGE(""https://docs.google.com/spreadsheets/d/1QqKyyYR6Q21VydFLVH3TRQUabQu_ym0Zz7PgGX0-kHA/edit?usp=sharing"",""แผน!GV27"")"),0)</f>
        <v>0</v>
      </c>
      <c r="J538" s="959">
        <v>0</v>
      </c>
      <c r="K538" s="831">
        <f t="shared" ca="1" si="234"/>
        <v>0</v>
      </c>
      <c r="L538" s="831"/>
      <c r="M538" s="831"/>
      <c r="N538" s="831"/>
      <c r="O538" s="831"/>
      <c r="P538" s="831"/>
      <c r="Q538" s="1321"/>
      <c r="R538" s="1321"/>
      <c r="S538" s="1321"/>
      <c r="T538" s="1321"/>
      <c r="U538" s="1321"/>
      <c r="V538" s="1321"/>
      <c r="W538" s="1321"/>
      <c r="X538" s="1321"/>
      <c r="Y538" s="1321"/>
      <c r="Z538" s="1321"/>
    </row>
    <row r="539" spans="1:26" ht="18.75" hidden="1">
      <c r="A539" s="1241"/>
      <c r="B539" s="1242"/>
      <c r="C539" s="1243"/>
      <c r="D539" s="1243"/>
      <c r="E539" s="1243" t="s">
        <v>229</v>
      </c>
      <c r="F539" s="1243"/>
      <c r="G539" s="963"/>
      <c r="H539" s="590" t="s">
        <v>35</v>
      </c>
      <c r="I539" s="830">
        <f ca="1">IFERROR(__xludf.DUMMYFUNCTION("IMPORTRANGE(""https://docs.google.com/spreadsheets/d/1QqKyyYR6Q21VydFLVH3TRQUabQu_ym0Zz7PgGX0-kHA/edit?usp=sharing"",""แผน!GW27"")"),0)</f>
        <v>0</v>
      </c>
      <c r="J539" s="959">
        <v>0</v>
      </c>
      <c r="K539" s="831">
        <f t="shared" ca="1" si="234"/>
        <v>0</v>
      </c>
      <c r="L539" s="831"/>
      <c r="M539" s="831"/>
      <c r="N539" s="831"/>
      <c r="O539" s="831"/>
      <c r="P539" s="831"/>
      <c r="Q539" s="1321"/>
      <c r="R539" s="1321"/>
      <c r="S539" s="1321"/>
      <c r="T539" s="1321"/>
      <c r="U539" s="1321"/>
      <c r="V539" s="1321"/>
      <c r="W539" s="1321"/>
      <c r="X539" s="1321"/>
      <c r="Y539" s="1321"/>
      <c r="Z539" s="1321"/>
    </row>
    <row r="540" spans="1:26" ht="18.75" hidden="1">
      <c r="A540" s="1241"/>
      <c r="B540" s="1242"/>
      <c r="C540" s="1243"/>
      <c r="D540" s="1243"/>
      <c r="E540" s="1243" t="s">
        <v>230</v>
      </c>
      <c r="F540" s="1243"/>
      <c r="G540" s="963"/>
      <c r="H540" s="590" t="s">
        <v>35</v>
      </c>
      <c r="I540" s="830">
        <f ca="1">IFERROR(__xludf.DUMMYFUNCTION("IMPORTRANGE(""https://docs.google.com/spreadsheets/d/1QqKyyYR6Q21VydFLVH3TRQUabQu_ym0Zz7PgGX0-kHA/edit?usp=sharing"",""แผน!GX27"")"),0)</f>
        <v>0</v>
      </c>
      <c r="J540" s="959">
        <v>0</v>
      </c>
      <c r="K540" s="831">
        <f t="shared" ca="1" si="234"/>
        <v>0</v>
      </c>
      <c r="L540" s="831"/>
      <c r="M540" s="831"/>
      <c r="N540" s="831"/>
      <c r="O540" s="831"/>
      <c r="P540" s="831"/>
      <c r="Q540" s="1321"/>
      <c r="R540" s="1321"/>
      <c r="S540" s="1321"/>
      <c r="T540" s="1321"/>
      <c r="U540" s="1321"/>
      <c r="V540" s="1321"/>
      <c r="W540" s="1321"/>
      <c r="X540" s="1321"/>
      <c r="Y540" s="1321"/>
      <c r="Z540" s="1321"/>
    </row>
    <row r="541" spans="1:26" ht="18.75" hidden="1">
      <c r="A541" s="1241"/>
      <c r="B541" s="1242"/>
      <c r="C541" s="1243"/>
      <c r="D541" s="1243"/>
      <c r="E541" s="1322" t="s">
        <v>231</v>
      </c>
      <c r="F541" s="1243"/>
      <c r="G541" s="963"/>
      <c r="H541" s="590" t="s">
        <v>35</v>
      </c>
      <c r="I541" s="830">
        <f ca="1">IFERROR(__xludf.DUMMYFUNCTION("IMPORTRANGE(""https://docs.google.com/spreadsheets/d/1QqKyyYR6Q21VydFLVH3TRQUabQu_ym0Zz7PgGX0-kHA/edit?usp=sharing"",""แผน!GY27"")"),0)</f>
        <v>0</v>
      </c>
      <c r="J541" s="959">
        <v>0</v>
      </c>
      <c r="K541" s="831">
        <f t="shared" ca="1" si="234"/>
        <v>0</v>
      </c>
      <c r="L541" s="831"/>
      <c r="M541" s="831"/>
      <c r="N541" s="831"/>
      <c r="O541" s="831"/>
      <c r="P541" s="831"/>
      <c r="Q541" s="1321"/>
      <c r="R541" s="1321"/>
      <c r="S541" s="1321"/>
      <c r="T541" s="1321"/>
      <c r="U541" s="1321"/>
      <c r="V541" s="1321"/>
      <c r="W541" s="1321"/>
      <c r="X541" s="1321"/>
      <c r="Y541" s="1321"/>
      <c r="Z541" s="1321"/>
    </row>
    <row r="542" spans="1:26" ht="18.75" hidden="1">
      <c r="A542" s="1241"/>
      <c r="B542" s="1242"/>
      <c r="C542" s="1243"/>
      <c r="D542" s="1243" t="s">
        <v>59</v>
      </c>
      <c r="E542" s="1243"/>
      <c r="F542" s="1243"/>
      <c r="G542" s="963"/>
      <c r="H542" s="590" t="s">
        <v>35</v>
      </c>
      <c r="I542" s="830">
        <f ca="1">IFERROR(__xludf.DUMMYFUNCTION("IMPORTRANGE(""https://docs.google.com/spreadsheets/d/1QqKyyYR6Q21VydFLVH3TRQUabQu_ym0Zz7PgGX0-kHA/edit?usp=sharing"",""แผน!GZ27"")"),0)</f>
        <v>0</v>
      </c>
      <c r="J542" s="959">
        <v>0</v>
      </c>
      <c r="K542" s="831">
        <f t="shared" ca="1" si="234"/>
        <v>0</v>
      </c>
      <c r="L542" s="831"/>
      <c r="M542" s="831"/>
      <c r="N542" s="831"/>
      <c r="O542" s="831"/>
      <c r="P542" s="831"/>
      <c r="Q542" s="1321"/>
      <c r="R542" s="1321"/>
      <c r="S542" s="1321"/>
      <c r="T542" s="1321"/>
      <c r="U542" s="1321"/>
      <c r="V542" s="1321"/>
      <c r="W542" s="1321"/>
      <c r="X542" s="1321"/>
      <c r="Y542" s="1321"/>
      <c r="Z542" s="1321"/>
    </row>
    <row r="543" spans="1:26" ht="19.5">
      <c r="A543" s="630">
        <v>6</v>
      </c>
      <c r="B543" s="1323" t="s">
        <v>232</v>
      </c>
      <c r="C543" s="1309"/>
      <c r="D543" s="1309"/>
      <c r="E543" s="1309"/>
      <c r="F543" s="1309"/>
      <c r="G543" s="1310"/>
      <c r="H543" s="652" t="s">
        <v>46</v>
      </c>
      <c r="I543" s="1324">
        <f t="shared" ref="I543:J543" ca="1" si="235">I559</f>
        <v>25487</v>
      </c>
      <c r="J543" s="1324">
        <f t="shared" si="235"/>
        <v>0</v>
      </c>
      <c r="K543" s="1325">
        <f t="shared" ca="1" si="234"/>
        <v>0</v>
      </c>
      <c r="L543" s="1312"/>
      <c r="M543" s="1312"/>
      <c r="N543" s="1312"/>
      <c r="O543" s="1312"/>
      <c r="P543" s="1312"/>
      <c r="Q543" s="1244"/>
      <c r="R543" s="1244"/>
      <c r="S543" s="1244"/>
      <c r="T543" s="1244"/>
      <c r="U543" s="1244"/>
      <c r="V543" s="1244"/>
      <c r="W543" s="1244"/>
      <c r="X543" s="1244"/>
      <c r="Y543" s="1244"/>
      <c r="Z543" s="1244"/>
    </row>
    <row r="544" spans="1:26" ht="19.5">
      <c r="A544" s="1326"/>
      <c r="B544" s="1327"/>
      <c r="C544" s="1327" t="s">
        <v>16</v>
      </c>
      <c r="D544" s="1511" t="s">
        <v>17</v>
      </c>
      <c r="E544" s="1487"/>
      <c r="F544" s="1487"/>
      <c r="G544" s="1328"/>
      <c r="H544" s="275" t="s">
        <v>12</v>
      </c>
      <c r="I544" s="937"/>
      <c r="J544" s="937"/>
      <c r="K544" s="938"/>
      <c r="L544" s="939">
        <f t="shared" ref="L544:N544" ca="1" si="236">L545+L546</f>
        <v>423266</v>
      </c>
      <c r="M544" s="939">
        <f t="shared" si="236"/>
        <v>0</v>
      </c>
      <c r="N544" s="939">
        <f t="shared" si="236"/>
        <v>82030</v>
      </c>
      <c r="O544" s="939">
        <f t="shared" ref="O544:O549" ca="1" si="237">IF(L544&gt;0,N544*100/L544,0)</f>
        <v>19.380247881946577</v>
      </c>
      <c r="P544" s="939">
        <f t="shared" ref="P544:P549" si="238">IF(M544&gt;0,N544*100/M544,0)</f>
        <v>0</v>
      </c>
      <c r="Q544" s="1244"/>
      <c r="R544" s="1244"/>
      <c r="S544" s="1244"/>
      <c r="T544" s="1244"/>
      <c r="U544" s="1244"/>
      <c r="V544" s="1244"/>
      <c r="W544" s="1244"/>
      <c r="X544" s="1244"/>
      <c r="Y544" s="1244"/>
      <c r="Z544" s="1244"/>
    </row>
    <row r="545" spans="1:26" ht="18.75" hidden="1">
      <c r="A545" s="1260"/>
      <c r="B545" s="1261"/>
      <c r="C545" s="1261"/>
      <c r="D545" s="1261"/>
      <c r="E545" s="1261" t="s">
        <v>184</v>
      </c>
      <c r="F545" s="1261"/>
      <c r="G545" s="1263"/>
      <c r="H545" s="165" t="s">
        <v>12</v>
      </c>
      <c r="I545" s="836"/>
      <c r="J545" s="836"/>
      <c r="K545" s="837"/>
      <c r="L545" s="837">
        <f t="shared" ref="L545:L546" si="239">L548+L556</f>
        <v>0</v>
      </c>
      <c r="M545" s="837">
        <f t="shared" ref="M545:N546" si="240">M548+M555</f>
        <v>0</v>
      </c>
      <c r="N545" s="837">
        <f t="shared" si="240"/>
        <v>0</v>
      </c>
      <c r="O545" s="837">
        <f t="shared" si="237"/>
        <v>0</v>
      </c>
      <c r="P545" s="837">
        <f t="shared" si="238"/>
        <v>0</v>
      </c>
      <c r="Q545" s="1264"/>
      <c r="R545" s="1264"/>
      <c r="S545" s="1264"/>
      <c r="T545" s="1264"/>
      <c r="U545" s="1264"/>
      <c r="V545" s="1264"/>
      <c r="W545" s="1264"/>
      <c r="X545" s="1264"/>
      <c r="Y545" s="1264"/>
      <c r="Z545" s="1264"/>
    </row>
    <row r="546" spans="1:26" ht="18.75" hidden="1">
      <c r="A546" s="1260"/>
      <c r="B546" s="1265"/>
      <c r="C546" s="1261"/>
      <c r="D546" s="1261"/>
      <c r="E546" s="1261" t="s">
        <v>185</v>
      </c>
      <c r="F546" s="1261"/>
      <c r="G546" s="1263"/>
      <c r="H546" s="165" t="s">
        <v>12</v>
      </c>
      <c r="I546" s="836"/>
      <c r="J546" s="836"/>
      <c r="K546" s="837"/>
      <c r="L546" s="837">
        <f t="shared" ca="1" si="239"/>
        <v>423266</v>
      </c>
      <c r="M546" s="837">
        <f t="shared" si="240"/>
        <v>0</v>
      </c>
      <c r="N546" s="837">
        <f t="shared" si="240"/>
        <v>82030</v>
      </c>
      <c r="O546" s="837">
        <f t="shared" ca="1" si="237"/>
        <v>19.380247881946577</v>
      </c>
      <c r="P546" s="837">
        <f t="shared" si="238"/>
        <v>0</v>
      </c>
      <c r="Q546" s="1264"/>
      <c r="R546" s="1264"/>
      <c r="S546" s="1264"/>
      <c r="T546" s="1264"/>
      <c r="U546" s="1264"/>
      <c r="V546" s="1264"/>
      <c r="W546" s="1264"/>
      <c r="X546" s="1264"/>
      <c r="Y546" s="1264"/>
      <c r="Z546" s="1264"/>
    </row>
    <row r="547" spans="1:26" ht="18.75">
      <c r="A547" s="1259"/>
      <c r="B547" s="1242"/>
      <c r="C547" s="1243"/>
      <c r="D547" s="1266" t="s">
        <v>20</v>
      </c>
      <c r="E547" s="1243"/>
      <c r="F547" s="1243"/>
      <c r="G547" s="963"/>
      <c r="H547" s="778" t="s">
        <v>12</v>
      </c>
      <c r="I547" s="944"/>
      <c r="J547" s="944"/>
      <c r="K547" s="945"/>
      <c r="L547" s="831">
        <f t="shared" ref="L547:N547" ca="1" si="241">L548+L549</f>
        <v>423266</v>
      </c>
      <c r="M547" s="831">
        <f t="shared" si="241"/>
        <v>0</v>
      </c>
      <c r="N547" s="831">
        <f t="shared" si="241"/>
        <v>82030</v>
      </c>
      <c r="O547" s="831">
        <f t="shared" ca="1" si="237"/>
        <v>19.380247881946577</v>
      </c>
      <c r="P547" s="831">
        <f t="shared" si="238"/>
        <v>0</v>
      </c>
      <c r="Q547" s="1244"/>
      <c r="R547" s="1244"/>
      <c r="S547" s="1244"/>
      <c r="T547" s="1244"/>
      <c r="U547" s="1244"/>
      <c r="V547" s="1244"/>
      <c r="W547" s="1244"/>
      <c r="X547" s="1244"/>
      <c r="Y547" s="1244"/>
      <c r="Z547" s="1244"/>
    </row>
    <row r="548" spans="1:26" ht="18.75" hidden="1">
      <c r="A548" s="1260"/>
      <c r="B548" s="1265"/>
      <c r="C548" s="1261"/>
      <c r="D548" s="1262"/>
      <c r="E548" s="1261" t="s">
        <v>184</v>
      </c>
      <c r="F548" s="1261"/>
      <c r="G548" s="1263"/>
      <c r="H548" s="165" t="s">
        <v>12</v>
      </c>
      <c r="I548" s="836"/>
      <c r="J548" s="836"/>
      <c r="K548" s="837"/>
      <c r="L548" s="837">
        <v>0</v>
      </c>
      <c r="M548" s="837">
        <v>0</v>
      </c>
      <c r="N548" s="837">
        <v>0</v>
      </c>
      <c r="O548" s="837">
        <f t="shared" si="237"/>
        <v>0</v>
      </c>
      <c r="P548" s="837">
        <f t="shared" si="238"/>
        <v>0</v>
      </c>
      <c r="Q548" s="1264"/>
      <c r="R548" s="1264"/>
      <c r="S548" s="1264"/>
      <c r="T548" s="1264"/>
      <c r="U548" s="1264"/>
      <c r="V548" s="1264"/>
      <c r="W548" s="1264"/>
      <c r="X548" s="1264"/>
      <c r="Y548" s="1264"/>
      <c r="Z548" s="1264"/>
    </row>
    <row r="549" spans="1:26" ht="18.75" hidden="1">
      <c r="A549" s="1260"/>
      <c r="B549" s="1265"/>
      <c r="C549" s="1261"/>
      <c r="D549" s="1262"/>
      <c r="E549" s="1261" t="s">
        <v>185</v>
      </c>
      <c r="F549" s="1261"/>
      <c r="G549" s="1263"/>
      <c r="H549" s="165" t="s">
        <v>12</v>
      </c>
      <c r="I549" s="836"/>
      <c r="J549" s="836"/>
      <c r="K549" s="837"/>
      <c r="L549" s="837">
        <f ca="1">IFERROR(__xludf.DUMMYFUNCTION("IMPORTRANGE(""https://docs.google.com/spreadsheets/d/1QqKyyYR6Q21VydFLVH3TRQUabQu_ym0Zz7PgGX0-kHA/edit?usp=sharing"",""แผน!HB27"")"),423266)</f>
        <v>423266</v>
      </c>
      <c r="M549" s="837">
        <v>0</v>
      </c>
      <c r="N549" s="837">
        <f>N550+N551+N552+N553+N554</f>
        <v>82030</v>
      </c>
      <c r="O549" s="837">
        <f t="shared" ca="1" si="237"/>
        <v>19.380247881946577</v>
      </c>
      <c r="P549" s="837">
        <f t="shared" si="238"/>
        <v>0</v>
      </c>
      <c r="Q549" s="1264"/>
      <c r="R549" s="1264"/>
      <c r="S549" s="1264"/>
      <c r="T549" s="1264"/>
      <c r="U549" s="1264"/>
      <c r="V549" s="1264"/>
      <c r="W549" s="1264"/>
      <c r="X549" s="1264"/>
      <c r="Y549" s="1264"/>
      <c r="Z549" s="1264"/>
    </row>
    <row r="550" spans="1:26" ht="18.75">
      <c r="A550" s="1241"/>
      <c r="B550" s="1242"/>
      <c r="C550" s="1243"/>
      <c r="D550" s="1243"/>
      <c r="E550" s="1243"/>
      <c r="F550" s="1243" t="s">
        <v>186</v>
      </c>
      <c r="G550" s="963"/>
      <c r="H550" s="778" t="s">
        <v>12</v>
      </c>
      <c r="I550" s="830"/>
      <c r="J550" s="830"/>
      <c r="K550" s="831"/>
      <c r="L550" s="831"/>
      <c r="M550" s="831"/>
      <c r="N550" s="1031">
        <v>0</v>
      </c>
      <c r="O550" s="831"/>
      <c r="P550" s="831"/>
      <c r="Q550" s="1244"/>
      <c r="R550" s="1244"/>
      <c r="S550" s="1244"/>
      <c r="T550" s="1244"/>
      <c r="U550" s="1244"/>
      <c r="V550" s="1244"/>
      <c r="W550" s="1244"/>
      <c r="X550" s="1244"/>
      <c r="Y550" s="1244"/>
      <c r="Z550" s="1244"/>
    </row>
    <row r="551" spans="1:26" ht="18.75">
      <c r="A551" s="1241"/>
      <c r="B551" s="1242"/>
      <c r="C551" s="1242"/>
      <c r="D551" s="1242"/>
      <c r="E551" s="1243"/>
      <c r="F551" s="1243" t="s">
        <v>187</v>
      </c>
      <c r="G551" s="963"/>
      <c r="H551" s="778" t="s">
        <v>12</v>
      </c>
      <c r="I551" s="830"/>
      <c r="J551" s="830"/>
      <c r="K551" s="831"/>
      <c r="L551" s="831"/>
      <c r="M551" s="831"/>
      <c r="N551" s="1031">
        <v>0</v>
      </c>
      <c r="O551" s="831"/>
      <c r="P551" s="831"/>
      <c r="Q551" s="1244"/>
      <c r="R551" s="1244"/>
      <c r="S551" s="1244"/>
      <c r="T551" s="1244"/>
      <c r="U551" s="1244"/>
      <c r="V551" s="1244"/>
      <c r="W551" s="1244"/>
      <c r="X551" s="1244"/>
      <c r="Y551" s="1244"/>
      <c r="Z551" s="1244"/>
    </row>
    <row r="552" spans="1:26" ht="18.75">
      <c r="A552" s="1241"/>
      <c r="B552" s="1242"/>
      <c r="C552" s="1243"/>
      <c r="D552" s="1243"/>
      <c r="E552" s="1243"/>
      <c r="F552" s="1243" t="s">
        <v>188</v>
      </c>
      <c r="G552" s="963"/>
      <c r="H552" s="778" t="s">
        <v>12</v>
      </c>
      <c r="I552" s="830"/>
      <c r="J552" s="830"/>
      <c r="K552" s="831"/>
      <c r="L552" s="831"/>
      <c r="M552" s="831"/>
      <c r="N552" s="1031">
        <v>52000</v>
      </c>
      <c r="O552" s="831"/>
      <c r="P552" s="831"/>
      <c r="Q552" s="1244"/>
      <c r="R552" s="1244"/>
      <c r="S552" s="1244"/>
      <c r="T552" s="1244"/>
      <c r="U552" s="1244"/>
      <c r="V552" s="1244"/>
      <c r="W552" s="1244"/>
      <c r="X552" s="1244"/>
      <c r="Y552" s="1244"/>
      <c r="Z552" s="1244"/>
    </row>
    <row r="553" spans="1:26" ht="18.75">
      <c r="A553" s="1241"/>
      <c r="B553" s="1242"/>
      <c r="C553" s="1242"/>
      <c r="D553" s="1242"/>
      <c r="E553" s="1243"/>
      <c r="F553" s="1243" t="s">
        <v>189</v>
      </c>
      <c r="G553" s="963"/>
      <c r="H553" s="778" t="s">
        <v>12</v>
      </c>
      <c r="I553" s="830"/>
      <c r="J553" s="830"/>
      <c r="K553" s="831"/>
      <c r="L553" s="831"/>
      <c r="M553" s="831"/>
      <c r="N553" s="1031">
        <v>30030</v>
      </c>
      <c r="O553" s="831"/>
      <c r="P553" s="831"/>
      <c r="Q553" s="1244"/>
      <c r="R553" s="1244"/>
      <c r="S553" s="1244"/>
      <c r="T553" s="1244"/>
      <c r="U553" s="1244"/>
      <c r="V553" s="1244"/>
      <c r="W553" s="1244"/>
      <c r="X553" s="1244"/>
      <c r="Y553" s="1244"/>
      <c r="Z553" s="1244"/>
    </row>
    <row r="554" spans="1:26" ht="18.75">
      <c r="A554" s="1241"/>
      <c r="B554" s="1242"/>
      <c r="C554" s="1242"/>
      <c r="D554" s="1242"/>
      <c r="E554" s="1243"/>
      <c r="F554" s="1243" t="s">
        <v>233</v>
      </c>
      <c r="G554" s="963"/>
      <c r="H554" s="778" t="s">
        <v>12</v>
      </c>
      <c r="I554" s="830"/>
      <c r="J554" s="830"/>
      <c r="K554" s="831"/>
      <c r="L554" s="831"/>
      <c r="M554" s="831"/>
      <c r="N554" s="1031">
        <v>0</v>
      </c>
      <c r="O554" s="831"/>
      <c r="P554" s="831"/>
      <c r="Q554" s="1244"/>
      <c r="R554" s="1244"/>
      <c r="S554" s="1244"/>
      <c r="T554" s="1244"/>
      <c r="U554" s="1244"/>
      <c r="V554" s="1244"/>
      <c r="W554" s="1244"/>
      <c r="X554" s="1244"/>
      <c r="Y554" s="1244"/>
      <c r="Z554" s="1244"/>
    </row>
    <row r="555" spans="1:26" ht="18.75">
      <c r="A555" s="1259"/>
      <c r="B555" s="1242"/>
      <c r="C555" s="1242"/>
      <c r="D555" s="1266" t="s">
        <v>21</v>
      </c>
      <c r="E555" s="1243"/>
      <c r="F555" s="1243"/>
      <c r="G555" s="963"/>
      <c r="H555" s="168" t="s">
        <v>12</v>
      </c>
      <c r="I555" s="944"/>
      <c r="J555" s="944"/>
      <c r="K555" s="945"/>
      <c r="L555" s="831">
        <f t="shared" ref="L555:N555" ca="1" si="242">L556+L557</f>
        <v>0</v>
      </c>
      <c r="M555" s="831">
        <f t="shared" si="242"/>
        <v>0</v>
      </c>
      <c r="N555" s="831">
        <f t="shared" si="242"/>
        <v>0</v>
      </c>
      <c r="O555" s="831">
        <f t="shared" ref="O555:O557" ca="1" si="243">IF(L555&gt;0,N555*100/L555,0)</f>
        <v>0</v>
      </c>
      <c r="P555" s="831">
        <f t="shared" ref="P555:P557" si="244">IF(M555&gt;0,N555*100/M555,0)</f>
        <v>0</v>
      </c>
      <c r="Q555" s="1244"/>
      <c r="R555" s="1244"/>
      <c r="S555" s="1244"/>
      <c r="T555" s="1244"/>
      <c r="U555" s="1244"/>
      <c r="V555" s="1244"/>
      <c r="W555" s="1244"/>
      <c r="X555" s="1244"/>
      <c r="Y555" s="1244"/>
      <c r="Z555" s="1244"/>
    </row>
    <row r="556" spans="1:26" ht="18.75" hidden="1">
      <c r="A556" s="1260"/>
      <c r="B556" s="1265"/>
      <c r="C556" s="1265"/>
      <c r="D556" s="1261"/>
      <c r="E556" s="1261" t="s">
        <v>18</v>
      </c>
      <c r="F556" s="1261"/>
      <c r="G556" s="1263"/>
      <c r="H556" s="165" t="s">
        <v>12</v>
      </c>
      <c r="I556" s="947"/>
      <c r="J556" s="947"/>
      <c r="K556" s="948"/>
      <c r="L556" s="837">
        <v>0</v>
      </c>
      <c r="M556" s="837">
        <v>0</v>
      </c>
      <c r="N556" s="837">
        <v>0</v>
      </c>
      <c r="O556" s="837">
        <f t="shared" si="243"/>
        <v>0</v>
      </c>
      <c r="P556" s="837">
        <f t="shared" si="244"/>
        <v>0</v>
      </c>
      <c r="Q556" s="1264"/>
      <c r="R556" s="1264"/>
      <c r="S556" s="1264"/>
      <c r="T556" s="1264"/>
      <c r="U556" s="1264"/>
      <c r="V556" s="1264"/>
      <c r="W556" s="1264"/>
      <c r="X556" s="1264"/>
      <c r="Y556" s="1264"/>
      <c r="Z556" s="1264"/>
    </row>
    <row r="557" spans="1:26" ht="18.75" hidden="1">
      <c r="A557" s="1260"/>
      <c r="B557" s="1265"/>
      <c r="C557" s="1265"/>
      <c r="D557" s="1261"/>
      <c r="E557" s="1261" t="s">
        <v>19</v>
      </c>
      <c r="F557" s="1261"/>
      <c r="G557" s="1263"/>
      <c r="H557" s="169" t="s">
        <v>12</v>
      </c>
      <c r="I557" s="947"/>
      <c r="J557" s="947"/>
      <c r="K557" s="948"/>
      <c r="L557" s="837">
        <f ca="1">IFERROR(__xludf.DUMMYFUNCTION("IMPORTRANGE(""https://docs.google.com/spreadsheets/d/1QqKyyYR6Q21VydFLVH3TRQUabQu_ym0Zz7PgGX0-kHA/edit?usp=sharing"",""แผน!HF27"")"),0)</f>
        <v>0</v>
      </c>
      <c r="M557" s="837">
        <v>0</v>
      </c>
      <c r="N557" s="837">
        <v>0</v>
      </c>
      <c r="O557" s="837">
        <f t="shared" ca="1" si="243"/>
        <v>0</v>
      </c>
      <c r="P557" s="837">
        <f t="shared" si="244"/>
        <v>0</v>
      </c>
      <c r="Q557" s="1264"/>
      <c r="R557" s="1264"/>
      <c r="S557" s="1264"/>
      <c r="T557" s="1264"/>
      <c r="U557" s="1264"/>
      <c r="V557" s="1264"/>
      <c r="W557" s="1264"/>
      <c r="X557" s="1264"/>
      <c r="Y557" s="1264"/>
      <c r="Z557" s="1264"/>
    </row>
    <row r="558" spans="1:26" ht="19.5">
      <c r="A558" s="1267"/>
      <c r="B558" s="1268"/>
      <c r="C558" s="1242" t="s">
        <v>16</v>
      </c>
      <c r="D558" s="1320" t="s">
        <v>38</v>
      </c>
      <c r="E558" s="1271"/>
      <c r="F558" s="1271"/>
      <c r="G558" s="1272"/>
      <c r="H558" s="954"/>
      <c r="I558" s="944"/>
      <c r="J558" s="944"/>
      <c r="K558" s="945"/>
      <c r="L558" s="945"/>
      <c r="M558" s="945"/>
      <c r="N558" s="945"/>
      <c r="O558" s="945"/>
      <c r="P558" s="945"/>
      <c r="Q558" s="1244"/>
      <c r="R558" s="1244"/>
      <c r="S558" s="1244"/>
      <c r="T558" s="1244"/>
      <c r="U558" s="1244"/>
      <c r="V558" s="1244"/>
      <c r="W558" s="1244"/>
      <c r="X558" s="1244"/>
      <c r="Y558" s="1244"/>
      <c r="Z558" s="1244"/>
    </row>
    <row r="559" spans="1:26" ht="19.5">
      <c r="A559" s="1329"/>
      <c r="B559" s="1330" t="s">
        <v>234</v>
      </c>
      <c r="C559" s="1331"/>
      <c r="D559" s="1331"/>
      <c r="E559" s="1315"/>
      <c r="F559" s="1315"/>
      <c r="G559" s="1316"/>
      <c r="H559" s="661" t="s">
        <v>46</v>
      </c>
      <c r="I559" s="1317">
        <f t="shared" ref="I559:J559" ca="1" si="245">I576</f>
        <v>25487</v>
      </c>
      <c r="J559" s="1317">
        <f t="shared" si="245"/>
        <v>0</v>
      </c>
      <c r="K559" s="1318">
        <f t="shared" ref="K559:K561" ca="1" si="246">IF(I559&gt;0,J559*100/I559,0)</f>
        <v>0</v>
      </c>
      <c r="L559" s="1319"/>
      <c r="M559" s="1319"/>
      <c r="N559" s="1319"/>
      <c r="O559" s="1319"/>
      <c r="P559" s="1319"/>
      <c r="Q559" s="1244"/>
      <c r="R559" s="1244"/>
      <c r="S559" s="1244"/>
      <c r="T559" s="1244"/>
      <c r="U559" s="1244"/>
      <c r="V559" s="1244"/>
      <c r="W559" s="1244"/>
      <c r="X559" s="1244"/>
      <c r="Y559" s="1244"/>
      <c r="Z559" s="1244"/>
    </row>
    <row r="560" spans="1:26" ht="19.5">
      <c r="A560" s="1267"/>
      <c r="B560" s="1268"/>
      <c r="C560" s="1277" t="s">
        <v>235</v>
      </c>
      <c r="D560" s="1268"/>
      <c r="E560" s="961"/>
      <c r="F560" s="961"/>
      <c r="G560" s="954"/>
      <c r="H560" s="733" t="s">
        <v>46</v>
      </c>
      <c r="I560" s="965">
        <f ca="1">IFERROR(__xludf.DUMMYFUNCTION("IMPORTRANGE(""https://docs.google.com/spreadsheets/d/1QqKyyYR6Q21VydFLVH3TRQUabQu_ym0Zz7PgGX0-kHA/edit?usp=sharing"",""แผน!HH27"")"),25487)</f>
        <v>25487</v>
      </c>
      <c r="J560" s="965">
        <f t="shared" ref="J560:J561" si="247">J562+J564+J566</f>
        <v>13809</v>
      </c>
      <c r="K560" s="1109">
        <f t="shared" ca="1" si="246"/>
        <v>54.180562639777143</v>
      </c>
      <c r="L560" s="945"/>
      <c r="M560" s="945"/>
      <c r="N560" s="945"/>
      <c r="O560" s="945"/>
      <c r="P560" s="945"/>
      <c r="Q560" s="1244"/>
      <c r="R560" s="1244"/>
      <c r="S560" s="1244"/>
      <c r="T560" s="1244"/>
      <c r="U560" s="1244"/>
      <c r="V560" s="1244"/>
      <c r="W560" s="1244"/>
      <c r="X560" s="1244"/>
      <c r="Y560" s="1244"/>
      <c r="Z560" s="1244"/>
    </row>
    <row r="561" spans="1:26" ht="19.5">
      <c r="A561" s="1267"/>
      <c r="B561" s="1268"/>
      <c r="C561" s="1268"/>
      <c r="D561" s="961"/>
      <c r="E561" s="961"/>
      <c r="F561" s="961"/>
      <c r="G561" s="954"/>
      <c r="H561" s="733" t="s">
        <v>34</v>
      </c>
      <c r="I561" s="965">
        <f ca="1">IFERROR(__xludf.DUMMYFUNCTION("IMPORTRANGE(""https://docs.google.com/spreadsheets/d/1QqKyyYR6Q21VydFLVH3TRQUabQu_ym0Zz7PgGX0-kHA/edit?usp=sharing"",""แผน!HG27"")"),3299)</f>
        <v>3299</v>
      </c>
      <c r="J561" s="965">
        <f t="shared" si="247"/>
        <v>1788</v>
      </c>
      <c r="K561" s="1109">
        <f t="shared" ca="1" si="246"/>
        <v>54.198241891482269</v>
      </c>
      <c r="L561" s="945"/>
      <c r="M561" s="945"/>
      <c r="N561" s="945"/>
      <c r="O561" s="945"/>
      <c r="P561" s="945"/>
      <c r="Q561" s="1244"/>
      <c r="R561" s="1244"/>
      <c r="S561" s="1244"/>
      <c r="T561" s="1244"/>
      <c r="U561" s="1244"/>
      <c r="V561" s="1244"/>
      <c r="W561" s="1244"/>
      <c r="X561" s="1244"/>
      <c r="Y561" s="1244"/>
      <c r="Z561" s="1244"/>
    </row>
    <row r="562" spans="1:26" ht="18.75">
      <c r="A562" s="1267"/>
      <c r="B562" s="1268"/>
      <c r="C562" s="1268"/>
      <c r="D562" s="961" t="s">
        <v>236</v>
      </c>
      <c r="E562" s="961"/>
      <c r="F562" s="961"/>
      <c r="G562" s="954"/>
      <c r="H562" s="730" t="s">
        <v>46</v>
      </c>
      <c r="I562" s="944"/>
      <c r="J562" s="959">
        <v>13500</v>
      </c>
      <c r="K562" s="945"/>
      <c r="L562" s="945"/>
      <c r="M562" s="945"/>
      <c r="N562" s="945"/>
      <c r="O562" s="945"/>
      <c r="P562" s="945"/>
      <c r="Q562" s="1244"/>
      <c r="R562" s="1244"/>
      <c r="S562" s="1244"/>
      <c r="T562" s="1244"/>
      <c r="U562" s="1244"/>
      <c r="V562" s="1244"/>
      <c r="W562" s="1244"/>
      <c r="X562" s="1244"/>
      <c r="Y562" s="1244"/>
      <c r="Z562" s="1244"/>
    </row>
    <row r="563" spans="1:26" ht="18.75">
      <c r="A563" s="1267"/>
      <c r="B563" s="1268"/>
      <c r="C563" s="1268"/>
      <c r="D563" s="1268"/>
      <c r="E563" s="961"/>
      <c r="F563" s="961"/>
      <c r="G563" s="954"/>
      <c r="H563" s="730" t="s">
        <v>34</v>
      </c>
      <c r="I563" s="944"/>
      <c r="J563" s="959">
        <v>1755</v>
      </c>
      <c r="K563" s="945"/>
      <c r="L563" s="945"/>
      <c r="M563" s="945"/>
      <c r="N563" s="945"/>
      <c r="O563" s="945"/>
      <c r="P563" s="945"/>
      <c r="Q563" s="1244"/>
      <c r="R563" s="1244"/>
      <c r="S563" s="1244"/>
      <c r="T563" s="1244"/>
      <c r="U563" s="1244"/>
      <c r="V563" s="1244"/>
      <c r="W563" s="1244"/>
      <c r="X563" s="1244"/>
      <c r="Y563" s="1244"/>
      <c r="Z563" s="1244"/>
    </row>
    <row r="564" spans="1:26" ht="18.75">
      <c r="A564" s="1267"/>
      <c r="B564" s="1268"/>
      <c r="C564" s="1268"/>
      <c r="D564" s="961" t="s">
        <v>237</v>
      </c>
      <c r="E564" s="961"/>
      <c r="F564" s="961"/>
      <c r="G564" s="954"/>
      <c r="H564" s="730" t="s">
        <v>46</v>
      </c>
      <c r="I564" s="944"/>
      <c r="J564" s="959">
        <v>200</v>
      </c>
      <c r="K564" s="945"/>
      <c r="L564" s="945"/>
      <c r="M564" s="945"/>
      <c r="N564" s="945"/>
      <c r="O564" s="945"/>
      <c r="P564" s="945"/>
      <c r="Q564" s="1244"/>
      <c r="R564" s="1244"/>
      <c r="S564" s="1244"/>
      <c r="T564" s="1244"/>
      <c r="U564" s="1244"/>
      <c r="V564" s="1244"/>
      <c r="W564" s="1244"/>
      <c r="X564" s="1244"/>
      <c r="Y564" s="1244"/>
      <c r="Z564" s="1244"/>
    </row>
    <row r="565" spans="1:26" ht="18.75">
      <c r="A565" s="1267"/>
      <c r="B565" s="1268"/>
      <c r="C565" s="1268"/>
      <c r="D565" s="961"/>
      <c r="E565" s="961"/>
      <c r="F565" s="961"/>
      <c r="G565" s="954"/>
      <c r="H565" s="730" t="s">
        <v>34</v>
      </c>
      <c r="I565" s="944"/>
      <c r="J565" s="959">
        <v>21</v>
      </c>
      <c r="K565" s="945"/>
      <c r="L565" s="945"/>
      <c r="M565" s="945"/>
      <c r="N565" s="945"/>
      <c r="O565" s="945"/>
      <c r="P565" s="945"/>
      <c r="Q565" s="1244"/>
      <c r="R565" s="1244"/>
      <c r="S565" s="1244"/>
      <c r="T565" s="1244"/>
      <c r="U565" s="1244"/>
      <c r="V565" s="1244"/>
      <c r="W565" s="1244"/>
      <c r="X565" s="1244"/>
      <c r="Y565" s="1244"/>
      <c r="Z565" s="1244"/>
    </row>
    <row r="566" spans="1:26" ht="18.75">
      <c r="A566" s="1267"/>
      <c r="B566" s="1268"/>
      <c r="C566" s="1268"/>
      <c r="D566" s="961" t="s">
        <v>238</v>
      </c>
      <c r="E566" s="961"/>
      <c r="F566" s="961"/>
      <c r="G566" s="954"/>
      <c r="H566" s="730" t="s">
        <v>46</v>
      </c>
      <c r="I566" s="944"/>
      <c r="J566" s="959">
        <v>109</v>
      </c>
      <c r="K566" s="945"/>
      <c r="L566" s="945"/>
      <c r="M566" s="945"/>
      <c r="N566" s="945"/>
      <c r="O566" s="945"/>
      <c r="P566" s="945"/>
      <c r="Q566" s="1244"/>
      <c r="R566" s="1244"/>
      <c r="S566" s="1244"/>
      <c r="T566" s="1244"/>
      <c r="U566" s="1244"/>
      <c r="V566" s="1244"/>
      <c r="W566" s="1244"/>
      <c r="X566" s="1244"/>
      <c r="Y566" s="1244"/>
      <c r="Z566" s="1244"/>
    </row>
    <row r="567" spans="1:26" ht="18.75">
      <c r="A567" s="1267"/>
      <c r="B567" s="1268"/>
      <c r="C567" s="1268"/>
      <c r="D567" s="961"/>
      <c r="E567" s="961"/>
      <c r="F567" s="961"/>
      <c r="G567" s="954"/>
      <c r="H567" s="730" t="s">
        <v>34</v>
      </c>
      <c r="I567" s="944"/>
      <c r="J567" s="959">
        <v>12</v>
      </c>
      <c r="K567" s="945"/>
      <c r="L567" s="945"/>
      <c r="M567" s="945"/>
      <c r="N567" s="945"/>
      <c r="O567" s="945"/>
      <c r="P567" s="945"/>
      <c r="Q567" s="1244"/>
      <c r="R567" s="1244"/>
      <c r="S567" s="1244"/>
      <c r="T567" s="1244"/>
      <c r="U567" s="1244"/>
      <c r="V567" s="1244"/>
      <c r="W567" s="1244"/>
      <c r="X567" s="1244"/>
      <c r="Y567" s="1244"/>
      <c r="Z567" s="1244"/>
    </row>
    <row r="568" spans="1:26" ht="19.5">
      <c r="A568" s="1267"/>
      <c r="B568" s="1268"/>
      <c r="C568" s="1277" t="s">
        <v>239</v>
      </c>
      <c r="D568" s="961"/>
      <c r="E568" s="961"/>
      <c r="F568" s="961"/>
      <c r="G568" s="954"/>
      <c r="H568" s="733" t="s">
        <v>46</v>
      </c>
      <c r="I568" s="965">
        <f ca="1">IFERROR(__xludf.DUMMYFUNCTION("IMPORTRANGE(""https://docs.google.com/spreadsheets/d/1QqKyyYR6Q21VydFLVH3TRQUabQu_ym0Zz7PgGX0-kHA/edit?usp=sharing"",""แผน!HH27"")"),25487)</f>
        <v>25487</v>
      </c>
      <c r="J568" s="966">
        <f t="shared" ref="J568:J569" si="248">J570+J572+J574</f>
        <v>0</v>
      </c>
      <c r="K568" s="1109">
        <f t="shared" ref="K568:K569" ca="1" si="249">IF(I568&gt;0,J568*100/I568,0)</f>
        <v>0</v>
      </c>
      <c r="L568" s="945"/>
      <c r="M568" s="945"/>
      <c r="N568" s="945"/>
      <c r="O568" s="945"/>
      <c r="P568" s="945"/>
      <c r="Q568" s="1244"/>
      <c r="R568" s="1244"/>
      <c r="S568" s="1244"/>
      <c r="T568" s="1244"/>
      <c r="U568" s="1244"/>
      <c r="V568" s="1244"/>
      <c r="W568" s="1244"/>
      <c r="X568" s="1244"/>
      <c r="Y568" s="1244"/>
      <c r="Z568" s="1244"/>
    </row>
    <row r="569" spans="1:26" ht="19.5">
      <c r="A569" s="1267"/>
      <c r="B569" s="1268"/>
      <c r="C569" s="1268"/>
      <c r="D569" s="1268"/>
      <c r="E569" s="961"/>
      <c r="F569" s="961"/>
      <c r="G569" s="954"/>
      <c r="H569" s="733" t="s">
        <v>34</v>
      </c>
      <c r="I569" s="965">
        <f ca="1">IFERROR(__xludf.DUMMYFUNCTION("IMPORTRANGE(""https://docs.google.com/spreadsheets/d/1QqKyyYR6Q21VydFLVH3TRQUabQu_ym0Zz7PgGX0-kHA/edit?usp=sharing"",""แผน!HG27"")"),3299)</f>
        <v>3299</v>
      </c>
      <c r="J569" s="966">
        <f t="shared" si="248"/>
        <v>0</v>
      </c>
      <c r="K569" s="1109">
        <f t="shared" ca="1" si="249"/>
        <v>0</v>
      </c>
      <c r="L569" s="945"/>
      <c r="M569" s="945"/>
      <c r="N569" s="945"/>
      <c r="O569" s="945"/>
      <c r="P569" s="945"/>
      <c r="Q569" s="1244"/>
      <c r="R569" s="1244"/>
      <c r="S569" s="1244"/>
      <c r="T569" s="1244"/>
      <c r="U569" s="1244"/>
      <c r="V569" s="1244"/>
      <c r="W569" s="1244"/>
      <c r="X569" s="1244"/>
      <c r="Y569" s="1244"/>
      <c r="Z569" s="1244"/>
    </row>
    <row r="570" spans="1:26" ht="18.75">
      <c r="A570" s="1267"/>
      <c r="B570" s="1268"/>
      <c r="C570" s="1268"/>
      <c r="D570" s="961" t="s">
        <v>240</v>
      </c>
      <c r="E570" s="1268"/>
      <c r="F570" s="961"/>
      <c r="G570" s="954"/>
      <c r="H570" s="730" t="s">
        <v>46</v>
      </c>
      <c r="I570" s="944"/>
      <c r="J570" s="959">
        <v>0</v>
      </c>
      <c r="K570" s="945"/>
      <c r="L570" s="945"/>
      <c r="M570" s="945"/>
      <c r="N570" s="945"/>
      <c r="O570" s="945"/>
      <c r="P570" s="945"/>
      <c r="Q570" s="1244"/>
      <c r="R570" s="1244"/>
      <c r="S570" s="1244"/>
      <c r="T570" s="1244"/>
      <c r="U570" s="1244"/>
      <c r="V570" s="1244"/>
      <c r="W570" s="1244"/>
      <c r="X570" s="1244"/>
      <c r="Y570" s="1244"/>
      <c r="Z570" s="1244"/>
    </row>
    <row r="571" spans="1:26" ht="18.75">
      <c r="A571" s="1267"/>
      <c r="B571" s="1268"/>
      <c r="C571" s="1268"/>
      <c r="D571" s="1268"/>
      <c r="E571" s="961"/>
      <c r="F571" s="961"/>
      <c r="G571" s="954"/>
      <c r="H571" s="730" t="s">
        <v>34</v>
      </c>
      <c r="I571" s="944"/>
      <c r="J571" s="959">
        <v>0</v>
      </c>
      <c r="K571" s="945"/>
      <c r="L571" s="945"/>
      <c r="M571" s="945"/>
      <c r="N571" s="945"/>
      <c r="O571" s="945"/>
      <c r="P571" s="945"/>
      <c r="Q571" s="1244"/>
      <c r="R571" s="1244"/>
      <c r="S571" s="1244"/>
      <c r="T571" s="1244"/>
      <c r="U571" s="1244"/>
      <c r="V571" s="1244"/>
      <c r="W571" s="1244"/>
      <c r="X571" s="1244"/>
      <c r="Y571" s="1244"/>
      <c r="Z571" s="1244"/>
    </row>
    <row r="572" spans="1:26" ht="18.75">
      <c r="A572" s="1267"/>
      <c r="B572" s="1268"/>
      <c r="C572" s="1268"/>
      <c r="D572" s="961" t="s">
        <v>241</v>
      </c>
      <c r="E572" s="961"/>
      <c r="F572" s="961"/>
      <c r="G572" s="954"/>
      <c r="H572" s="730" t="s">
        <v>46</v>
      </c>
      <c r="I572" s="944"/>
      <c r="J572" s="959">
        <v>0</v>
      </c>
      <c r="K572" s="945"/>
      <c r="L572" s="945"/>
      <c r="M572" s="945"/>
      <c r="N572" s="945"/>
      <c r="O572" s="945"/>
      <c r="P572" s="945"/>
      <c r="Q572" s="1244"/>
      <c r="R572" s="1244"/>
      <c r="S572" s="1244"/>
      <c r="T572" s="1244"/>
      <c r="U572" s="1244"/>
      <c r="V572" s="1244"/>
      <c r="W572" s="1244"/>
      <c r="X572" s="1244"/>
      <c r="Y572" s="1244"/>
      <c r="Z572" s="1244"/>
    </row>
    <row r="573" spans="1:26" ht="18.75">
      <c r="A573" s="1267"/>
      <c r="B573" s="1268"/>
      <c r="C573" s="1268"/>
      <c r="D573" s="961"/>
      <c r="E573" s="961"/>
      <c r="F573" s="961"/>
      <c r="G573" s="954"/>
      <c r="H573" s="730" t="s">
        <v>34</v>
      </c>
      <c r="I573" s="944"/>
      <c r="J573" s="959">
        <v>0</v>
      </c>
      <c r="K573" s="945"/>
      <c r="L573" s="945"/>
      <c r="M573" s="945"/>
      <c r="N573" s="945"/>
      <c r="O573" s="945"/>
      <c r="P573" s="945"/>
      <c r="Q573" s="1244"/>
      <c r="R573" s="1244"/>
      <c r="S573" s="1244"/>
      <c r="T573" s="1244"/>
      <c r="U573" s="1244"/>
      <c r="V573" s="1244"/>
      <c r="W573" s="1244"/>
      <c r="X573" s="1244"/>
      <c r="Y573" s="1244"/>
      <c r="Z573" s="1244"/>
    </row>
    <row r="574" spans="1:26" ht="18.75">
      <c r="A574" s="1267"/>
      <c r="B574" s="1268"/>
      <c r="C574" s="1268"/>
      <c r="D574" s="961" t="s">
        <v>242</v>
      </c>
      <c r="E574" s="961"/>
      <c r="F574" s="961"/>
      <c r="G574" s="954"/>
      <c r="H574" s="730" t="s">
        <v>46</v>
      </c>
      <c r="I574" s="944"/>
      <c r="J574" s="959">
        <v>0</v>
      </c>
      <c r="K574" s="945"/>
      <c r="L574" s="945"/>
      <c r="M574" s="945"/>
      <c r="N574" s="945"/>
      <c r="O574" s="945"/>
      <c r="P574" s="945"/>
      <c r="Q574" s="1244"/>
      <c r="R574" s="1244"/>
      <c r="S574" s="1244"/>
      <c r="T574" s="1244"/>
      <c r="U574" s="1244"/>
      <c r="V574" s="1244"/>
      <c r="W574" s="1244"/>
      <c r="X574" s="1244"/>
      <c r="Y574" s="1244"/>
      <c r="Z574" s="1244"/>
    </row>
    <row r="575" spans="1:26" ht="18.75">
      <c r="A575" s="1267"/>
      <c r="B575" s="1268"/>
      <c r="C575" s="1268"/>
      <c r="D575" s="1268"/>
      <c r="E575" s="961"/>
      <c r="F575" s="961"/>
      <c r="G575" s="954"/>
      <c r="H575" s="730" t="s">
        <v>34</v>
      </c>
      <c r="I575" s="944"/>
      <c r="J575" s="959">
        <v>0</v>
      </c>
      <c r="K575" s="945"/>
      <c r="L575" s="945"/>
      <c r="M575" s="945"/>
      <c r="N575" s="945"/>
      <c r="O575" s="945"/>
      <c r="P575" s="945"/>
      <c r="Q575" s="1244"/>
      <c r="R575" s="1244"/>
      <c r="S575" s="1244"/>
      <c r="T575" s="1244"/>
      <c r="U575" s="1244"/>
      <c r="V575" s="1244"/>
      <c r="W575" s="1244"/>
      <c r="X575" s="1244"/>
      <c r="Y575" s="1244"/>
      <c r="Z575" s="1244"/>
    </row>
    <row r="576" spans="1:26" ht="19.5">
      <c r="A576" s="1267"/>
      <c r="B576" s="1268"/>
      <c r="C576" s="1277" t="s">
        <v>243</v>
      </c>
      <c r="D576" s="1268"/>
      <c r="E576" s="1268"/>
      <c r="F576" s="961"/>
      <c r="G576" s="954"/>
      <c r="H576" s="733" t="s">
        <v>46</v>
      </c>
      <c r="I576" s="965">
        <f ca="1">IFERROR(__xludf.DUMMYFUNCTION("IMPORTRANGE(""https://docs.google.com/spreadsheets/d/1QqKyyYR6Q21VydFLVH3TRQUabQu_ym0Zz7PgGX0-kHA/edit?usp=sharing"",""แผน!HH27"")"),25487)</f>
        <v>25487</v>
      </c>
      <c r="J576" s="966">
        <f t="shared" ref="J576:J577" si="250">J578+J580+J582+J588+J590</f>
        <v>0</v>
      </c>
      <c r="K576" s="1109">
        <f t="shared" ref="K576:K577" ca="1" si="251">IF(I576&gt;0,J576*100/I576,0)</f>
        <v>0</v>
      </c>
      <c r="L576" s="945"/>
      <c r="M576" s="945"/>
      <c r="N576" s="945"/>
      <c r="O576" s="945"/>
      <c r="P576" s="945"/>
      <c r="Q576" s="1244"/>
      <c r="R576" s="1244"/>
      <c r="S576" s="1244"/>
      <c r="T576" s="1244"/>
      <c r="U576" s="1244"/>
      <c r="V576" s="1244"/>
      <c r="W576" s="1244"/>
      <c r="X576" s="1244"/>
      <c r="Y576" s="1244"/>
      <c r="Z576" s="1244"/>
    </row>
    <row r="577" spans="1:26" ht="19.5">
      <c r="A577" s="1267"/>
      <c r="B577" s="1268"/>
      <c r="C577" s="1268"/>
      <c r="D577" s="1268"/>
      <c r="E577" s="961"/>
      <c r="F577" s="961"/>
      <c r="G577" s="954"/>
      <c r="H577" s="733" t="s">
        <v>34</v>
      </c>
      <c r="I577" s="965">
        <f ca="1">IFERROR(__xludf.DUMMYFUNCTION("IMPORTRANGE(""https://docs.google.com/spreadsheets/d/1QqKyyYR6Q21VydFLVH3TRQUabQu_ym0Zz7PgGX0-kHA/edit?usp=sharing"",""แผน!HG27"")"),3299)</f>
        <v>3299</v>
      </c>
      <c r="J577" s="966">
        <f t="shared" si="250"/>
        <v>0</v>
      </c>
      <c r="K577" s="1109">
        <f t="shared" ca="1" si="251"/>
        <v>0</v>
      </c>
      <c r="L577" s="945"/>
      <c r="M577" s="945"/>
      <c r="N577" s="945"/>
      <c r="O577" s="945"/>
      <c r="P577" s="945"/>
      <c r="Q577" s="1244"/>
      <c r="R577" s="1244"/>
      <c r="S577" s="1244"/>
      <c r="T577" s="1244"/>
      <c r="U577" s="1244"/>
      <c r="V577" s="1244"/>
      <c r="W577" s="1244"/>
      <c r="X577" s="1244"/>
      <c r="Y577" s="1244"/>
      <c r="Z577" s="1244"/>
    </row>
    <row r="578" spans="1:26" ht="18.75">
      <c r="A578" s="1267"/>
      <c r="B578" s="1268"/>
      <c r="C578" s="1268"/>
      <c r="D578" s="961" t="s">
        <v>244</v>
      </c>
      <c r="E578" s="961"/>
      <c r="F578" s="961"/>
      <c r="G578" s="954"/>
      <c r="H578" s="730" t="s">
        <v>46</v>
      </c>
      <c r="I578" s="944"/>
      <c r="J578" s="959">
        <v>0</v>
      </c>
      <c r="K578" s="945"/>
      <c r="L578" s="945"/>
      <c r="M578" s="945"/>
      <c r="N578" s="945"/>
      <c r="O578" s="945"/>
      <c r="P578" s="945"/>
      <c r="Q578" s="1244"/>
      <c r="R578" s="1244"/>
      <c r="S578" s="1244"/>
      <c r="T578" s="1244"/>
      <c r="U578" s="1244"/>
      <c r="V578" s="1244"/>
      <c r="W578" s="1244"/>
      <c r="X578" s="1244"/>
      <c r="Y578" s="1244"/>
      <c r="Z578" s="1244"/>
    </row>
    <row r="579" spans="1:26" ht="18.75">
      <c r="A579" s="1267"/>
      <c r="B579" s="1268"/>
      <c r="C579" s="1268"/>
      <c r="D579" s="1268"/>
      <c r="E579" s="961"/>
      <c r="F579" s="961"/>
      <c r="G579" s="954"/>
      <c r="H579" s="730" t="s">
        <v>34</v>
      </c>
      <c r="I579" s="944"/>
      <c r="J579" s="959">
        <v>0</v>
      </c>
      <c r="K579" s="945"/>
      <c r="L579" s="945"/>
      <c r="M579" s="945"/>
      <c r="N579" s="945"/>
      <c r="O579" s="945"/>
      <c r="P579" s="945"/>
      <c r="Q579" s="1244"/>
      <c r="R579" s="1244"/>
      <c r="S579" s="1244"/>
      <c r="T579" s="1244"/>
      <c r="U579" s="1244"/>
      <c r="V579" s="1244"/>
      <c r="W579" s="1244"/>
      <c r="X579" s="1244"/>
      <c r="Y579" s="1244"/>
      <c r="Z579" s="1244"/>
    </row>
    <row r="580" spans="1:26" ht="18.75">
      <c r="A580" s="1267"/>
      <c r="B580" s="1268"/>
      <c r="C580" s="1268"/>
      <c r="D580" s="961" t="s">
        <v>245</v>
      </c>
      <c r="E580" s="961"/>
      <c r="F580" s="961"/>
      <c r="G580" s="954"/>
      <c r="H580" s="730" t="s">
        <v>46</v>
      </c>
      <c r="I580" s="944"/>
      <c r="J580" s="959">
        <v>0</v>
      </c>
      <c r="K580" s="945"/>
      <c r="L580" s="945"/>
      <c r="M580" s="945"/>
      <c r="N580" s="945"/>
      <c r="O580" s="945"/>
      <c r="P580" s="945"/>
      <c r="Q580" s="1244"/>
      <c r="R580" s="1244"/>
      <c r="S580" s="1244"/>
      <c r="T580" s="1244"/>
      <c r="U580" s="1244"/>
      <c r="V580" s="1244"/>
      <c r="W580" s="1244"/>
      <c r="X580" s="1244"/>
      <c r="Y580" s="1244"/>
      <c r="Z580" s="1244"/>
    </row>
    <row r="581" spans="1:26" ht="18.75">
      <c r="A581" s="1267"/>
      <c r="B581" s="1268"/>
      <c r="C581" s="1268"/>
      <c r="D581" s="1268"/>
      <c r="E581" s="961"/>
      <c r="F581" s="961"/>
      <c r="G581" s="954"/>
      <c r="H581" s="730" t="s">
        <v>34</v>
      </c>
      <c r="I581" s="944"/>
      <c r="J581" s="959">
        <v>0</v>
      </c>
      <c r="K581" s="945"/>
      <c r="L581" s="945"/>
      <c r="M581" s="945"/>
      <c r="N581" s="945"/>
      <c r="O581" s="945"/>
      <c r="P581" s="945"/>
      <c r="Q581" s="1244"/>
      <c r="R581" s="1244"/>
      <c r="S581" s="1244"/>
      <c r="T581" s="1244"/>
      <c r="U581" s="1244"/>
      <c r="V581" s="1244"/>
      <c r="W581" s="1244"/>
      <c r="X581" s="1244"/>
      <c r="Y581" s="1244"/>
      <c r="Z581" s="1244"/>
    </row>
    <row r="582" spans="1:26" ht="19.5">
      <c r="A582" s="1267"/>
      <c r="B582" s="1268"/>
      <c r="C582" s="1268"/>
      <c r="D582" s="961" t="s">
        <v>246</v>
      </c>
      <c r="E582" s="961"/>
      <c r="F582" s="961"/>
      <c r="G582" s="954"/>
      <c r="H582" s="730" t="s">
        <v>46</v>
      </c>
      <c r="I582" s="944"/>
      <c r="J582" s="966">
        <f t="shared" ref="J582:J583" si="252">J584+J586</f>
        <v>0</v>
      </c>
      <c r="K582" s="1109"/>
      <c r="L582" s="945"/>
      <c r="M582" s="945"/>
      <c r="N582" s="945"/>
      <c r="O582" s="945"/>
      <c r="P582" s="945"/>
      <c r="Q582" s="1244"/>
      <c r="R582" s="1244"/>
      <c r="S582" s="1244"/>
      <c r="T582" s="1244"/>
      <c r="U582" s="1244"/>
      <c r="V582" s="1244"/>
      <c r="W582" s="1244"/>
      <c r="X582" s="1244"/>
      <c r="Y582" s="1244"/>
      <c r="Z582" s="1244"/>
    </row>
    <row r="583" spans="1:26" ht="19.5">
      <c r="A583" s="1267"/>
      <c r="B583" s="1268"/>
      <c r="C583" s="1268"/>
      <c r="D583" s="1268"/>
      <c r="E583" s="961"/>
      <c r="F583" s="961"/>
      <c r="G583" s="954"/>
      <c r="H583" s="730" t="s">
        <v>34</v>
      </c>
      <c r="I583" s="944"/>
      <c r="J583" s="966">
        <f t="shared" si="252"/>
        <v>0</v>
      </c>
      <c r="K583" s="1109"/>
      <c r="L583" s="945"/>
      <c r="M583" s="945"/>
      <c r="N583" s="945"/>
      <c r="O583" s="945"/>
      <c r="P583" s="945"/>
      <c r="Q583" s="1244"/>
      <c r="R583" s="1244"/>
      <c r="S583" s="1244"/>
      <c r="T583" s="1244"/>
      <c r="U583" s="1244"/>
      <c r="V583" s="1244"/>
      <c r="W583" s="1244"/>
      <c r="X583" s="1244"/>
      <c r="Y583" s="1244"/>
      <c r="Z583" s="1244"/>
    </row>
    <row r="584" spans="1:26" ht="18.75">
      <c r="A584" s="1267"/>
      <c r="B584" s="1268"/>
      <c r="C584" s="1268"/>
      <c r="D584" s="1268"/>
      <c r="E584" s="961" t="s">
        <v>247</v>
      </c>
      <c r="F584" s="961"/>
      <c r="G584" s="954"/>
      <c r="H584" s="730" t="s">
        <v>46</v>
      </c>
      <c r="I584" s="944"/>
      <c r="J584" s="959">
        <v>0</v>
      </c>
      <c r="K584" s="945"/>
      <c r="L584" s="945"/>
      <c r="M584" s="945"/>
      <c r="N584" s="945"/>
      <c r="O584" s="945"/>
      <c r="P584" s="945"/>
      <c r="Q584" s="1244"/>
      <c r="R584" s="1244"/>
      <c r="S584" s="1244"/>
      <c r="T584" s="1244"/>
      <c r="U584" s="1244"/>
      <c r="V584" s="1244"/>
      <c r="W584" s="1244"/>
      <c r="X584" s="1244"/>
      <c r="Y584" s="1244"/>
      <c r="Z584" s="1244"/>
    </row>
    <row r="585" spans="1:26" ht="18.75">
      <c r="A585" s="1267"/>
      <c r="B585" s="1268"/>
      <c r="C585" s="1268"/>
      <c r="D585" s="1268"/>
      <c r="E585" s="961"/>
      <c r="F585" s="961"/>
      <c r="G585" s="954"/>
      <c r="H585" s="730" t="s">
        <v>34</v>
      </c>
      <c r="I585" s="944"/>
      <c r="J585" s="959">
        <v>0</v>
      </c>
      <c r="K585" s="945"/>
      <c r="L585" s="945"/>
      <c r="M585" s="945"/>
      <c r="N585" s="945"/>
      <c r="O585" s="945"/>
      <c r="P585" s="945"/>
      <c r="Q585" s="1244"/>
      <c r="R585" s="1244"/>
      <c r="S585" s="1244"/>
      <c r="T585" s="1244"/>
      <c r="U585" s="1244"/>
      <c r="V585" s="1244"/>
      <c r="W585" s="1244"/>
      <c r="X585" s="1244"/>
      <c r="Y585" s="1244"/>
      <c r="Z585" s="1244"/>
    </row>
    <row r="586" spans="1:26" ht="18.75">
      <c r="A586" s="1267"/>
      <c r="B586" s="1268"/>
      <c r="C586" s="1268"/>
      <c r="D586" s="1268"/>
      <c r="E586" s="961" t="s">
        <v>248</v>
      </c>
      <c r="F586" s="961"/>
      <c r="G586" s="954"/>
      <c r="H586" s="730" t="s">
        <v>46</v>
      </c>
      <c r="I586" s="944"/>
      <c r="J586" s="959">
        <v>0</v>
      </c>
      <c r="K586" s="945"/>
      <c r="L586" s="945"/>
      <c r="M586" s="945"/>
      <c r="N586" s="945"/>
      <c r="O586" s="945"/>
      <c r="P586" s="945"/>
      <c r="Q586" s="1244"/>
      <c r="R586" s="1244"/>
      <c r="S586" s="1244"/>
      <c r="T586" s="1244"/>
      <c r="U586" s="1244"/>
      <c r="V586" s="1244"/>
      <c r="W586" s="1244"/>
      <c r="X586" s="1244"/>
      <c r="Y586" s="1244"/>
      <c r="Z586" s="1244"/>
    </row>
    <row r="587" spans="1:26" ht="18.75">
      <c r="A587" s="1267"/>
      <c r="B587" s="1268"/>
      <c r="C587" s="1268"/>
      <c r="D587" s="1268"/>
      <c r="E587" s="1268"/>
      <c r="F587" s="961"/>
      <c r="G587" s="954"/>
      <c r="H587" s="730" t="s">
        <v>34</v>
      </c>
      <c r="I587" s="944"/>
      <c r="J587" s="959">
        <v>0</v>
      </c>
      <c r="K587" s="945"/>
      <c r="L587" s="945"/>
      <c r="M587" s="945"/>
      <c r="N587" s="945"/>
      <c r="O587" s="945"/>
      <c r="P587" s="945"/>
      <c r="Q587" s="1244"/>
      <c r="R587" s="1244"/>
      <c r="S587" s="1244"/>
      <c r="T587" s="1244"/>
      <c r="U587" s="1244"/>
      <c r="V587" s="1244"/>
      <c r="W587" s="1244"/>
      <c r="X587" s="1244"/>
      <c r="Y587" s="1244"/>
      <c r="Z587" s="1244"/>
    </row>
    <row r="588" spans="1:26" ht="18.75">
      <c r="A588" s="1267"/>
      <c r="B588" s="1268"/>
      <c r="C588" s="1268"/>
      <c r="D588" s="961" t="s">
        <v>249</v>
      </c>
      <c r="E588" s="961"/>
      <c r="F588" s="961"/>
      <c r="G588" s="954"/>
      <c r="H588" s="730" t="s">
        <v>46</v>
      </c>
      <c r="I588" s="944"/>
      <c r="J588" s="959">
        <v>0</v>
      </c>
      <c r="K588" s="945"/>
      <c r="L588" s="945"/>
      <c r="M588" s="945"/>
      <c r="N588" s="945"/>
      <c r="O588" s="945"/>
      <c r="P588" s="945"/>
      <c r="Q588" s="1244"/>
      <c r="R588" s="1244"/>
      <c r="S588" s="1244"/>
      <c r="T588" s="1244"/>
      <c r="U588" s="1244"/>
      <c r="V588" s="1244"/>
      <c r="W588" s="1244"/>
      <c r="X588" s="1244"/>
      <c r="Y588" s="1244"/>
      <c r="Z588" s="1244"/>
    </row>
    <row r="589" spans="1:26" ht="18.75">
      <c r="A589" s="1267"/>
      <c r="B589" s="1268"/>
      <c r="C589" s="1268"/>
      <c r="D589" s="1268"/>
      <c r="E589" s="1268"/>
      <c r="F589" s="961"/>
      <c r="G589" s="954"/>
      <c r="H589" s="730" t="s">
        <v>34</v>
      </c>
      <c r="I589" s="944"/>
      <c r="J589" s="959">
        <v>0</v>
      </c>
      <c r="K589" s="945"/>
      <c r="L589" s="945"/>
      <c r="M589" s="945"/>
      <c r="N589" s="945"/>
      <c r="O589" s="945"/>
      <c r="P589" s="945"/>
      <c r="Q589" s="1244"/>
      <c r="R589" s="1244"/>
      <c r="S589" s="1244"/>
      <c r="T589" s="1244"/>
      <c r="U589" s="1244"/>
      <c r="V589" s="1244"/>
      <c r="W589" s="1244"/>
      <c r="X589" s="1244"/>
      <c r="Y589" s="1244"/>
      <c r="Z589" s="1244"/>
    </row>
    <row r="590" spans="1:26" ht="18.75">
      <c r="A590" s="1267"/>
      <c r="B590" s="1268"/>
      <c r="C590" s="1268"/>
      <c r="D590" s="961" t="s">
        <v>250</v>
      </c>
      <c r="E590" s="961"/>
      <c r="F590" s="961"/>
      <c r="G590" s="954"/>
      <c r="H590" s="730" t="s">
        <v>46</v>
      </c>
      <c r="I590" s="944"/>
      <c r="J590" s="959">
        <v>0</v>
      </c>
      <c r="K590" s="945"/>
      <c r="L590" s="945"/>
      <c r="M590" s="945"/>
      <c r="N590" s="945"/>
      <c r="O590" s="945"/>
      <c r="P590" s="945"/>
      <c r="Q590" s="1244"/>
      <c r="R590" s="1244"/>
      <c r="S590" s="1244"/>
      <c r="T590" s="1244"/>
      <c r="U590" s="1244"/>
      <c r="V590" s="1244"/>
      <c r="W590" s="1244"/>
      <c r="X590" s="1244"/>
      <c r="Y590" s="1244"/>
      <c r="Z590" s="1244"/>
    </row>
    <row r="591" spans="1:26" ht="18.75">
      <c r="A591" s="1332"/>
      <c r="B591" s="1333"/>
      <c r="C591" s="1333"/>
      <c r="D591" s="1333"/>
      <c r="E591" s="1244"/>
      <c r="F591" s="1244"/>
      <c r="G591" s="1334"/>
      <c r="H591" s="665" t="s">
        <v>34</v>
      </c>
      <c r="I591" s="1335"/>
      <c r="J591" s="1336">
        <v>0</v>
      </c>
      <c r="K591" s="1337"/>
      <c r="L591" s="1337"/>
      <c r="M591" s="1337"/>
      <c r="N591" s="1337"/>
      <c r="O591" s="1337"/>
      <c r="P591" s="1337"/>
      <c r="Q591" s="1244"/>
      <c r="R591" s="1244"/>
      <c r="S591" s="1244"/>
      <c r="T591" s="1244"/>
      <c r="U591" s="1244"/>
      <c r="V591" s="1244"/>
      <c r="W591" s="1244"/>
      <c r="X591" s="1244"/>
      <c r="Y591" s="1244"/>
      <c r="Z591" s="1244"/>
    </row>
    <row r="592" spans="1:26" ht="19.5">
      <c r="A592" s="1329"/>
      <c r="B592" s="1330" t="s">
        <v>251</v>
      </c>
      <c r="C592" s="1331"/>
      <c r="D592" s="1331"/>
      <c r="E592" s="1315"/>
      <c r="F592" s="1315"/>
      <c r="G592" s="1316"/>
      <c r="H592" s="661" t="s">
        <v>46</v>
      </c>
      <c r="I592" s="1338">
        <f t="shared" ref="I592:J592" ca="1" si="253">I593</f>
        <v>3071.82</v>
      </c>
      <c r="J592" s="1317">
        <f t="shared" si="253"/>
        <v>0</v>
      </c>
      <c r="K592" s="1318">
        <f t="shared" ref="K592:K594" ca="1" si="254">IF(I592&gt;0,J592*100/I592,0)</f>
        <v>0</v>
      </c>
      <c r="L592" s="1319"/>
      <c r="M592" s="1319"/>
      <c r="N592" s="1319"/>
      <c r="O592" s="1319"/>
      <c r="P592" s="1319"/>
      <c r="Q592" s="1244"/>
      <c r="R592" s="1244"/>
      <c r="S592" s="1244"/>
      <c r="T592" s="1244"/>
      <c r="U592" s="1244"/>
      <c r="V592" s="1244"/>
      <c r="W592" s="1244"/>
      <c r="X592" s="1244"/>
      <c r="Y592" s="1244"/>
      <c r="Z592" s="1244"/>
    </row>
    <row r="593" spans="1:26" ht="19.5">
      <c r="A593" s="1267"/>
      <c r="B593" s="1268"/>
      <c r="C593" s="1277" t="s">
        <v>252</v>
      </c>
      <c r="D593" s="1268"/>
      <c r="E593" s="1268"/>
      <c r="F593" s="961"/>
      <c r="G593" s="954"/>
      <c r="H593" s="733" t="s">
        <v>46</v>
      </c>
      <c r="I593" s="1339">
        <f ca="1">IFERROR(__xludf.DUMMYFUNCTION("IMPORTRANGE(""https://docs.google.com/spreadsheets/d/1QqKyyYR6Q21VydFLVH3TRQUabQu_ym0Zz7PgGX0-kHA/edit?usp=sharing"",""แผน!HJ27"")"),3071.82)</f>
        <v>3071.82</v>
      </c>
      <c r="J593" s="965">
        <f t="shared" ref="J593:J594" si="255">J595+J603+J609</f>
        <v>0</v>
      </c>
      <c r="K593" s="1109">
        <f t="shared" ca="1" si="254"/>
        <v>0</v>
      </c>
      <c r="L593" s="945"/>
      <c r="M593" s="945"/>
      <c r="N593" s="945"/>
      <c r="O593" s="945"/>
      <c r="P593" s="945"/>
      <c r="Q593" s="1244"/>
      <c r="R593" s="1244"/>
      <c r="S593" s="1244"/>
      <c r="T593" s="1244"/>
      <c r="U593" s="1244"/>
      <c r="V593" s="1244"/>
      <c r="W593" s="1244"/>
      <c r="X593" s="1244"/>
      <c r="Y593" s="1244"/>
      <c r="Z593" s="1244"/>
    </row>
    <row r="594" spans="1:26" ht="19.5">
      <c r="A594" s="1267"/>
      <c r="B594" s="1268"/>
      <c r="C594" s="1268"/>
      <c r="D594" s="1268"/>
      <c r="E594" s="961"/>
      <c r="F594" s="961"/>
      <c r="G594" s="954"/>
      <c r="H594" s="733" t="s">
        <v>34</v>
      </c>
      <c r="I594" s="965">
        <f ca="1">IFERROR(__xludf.DUMMYFUNCTION("IMPORTRANGE(""https://docs.google.com/spreadsheets/d/1QqKyyYR6Q21VydFLVH3TRQUabQu_ym0Zz7PgGX0-kHA/edit?usp=sharing"",""แผน!HI27"")"),413)</f>
        <v>413</v>
      </c>
      <c r="J594" s="965">
        <f t="shared" si="255"/>
        <v>0</v>
      </c>
      <c r="K594" s="1109">
        <f t="shared" ca="1" si="254"/>
        <v>0</v>
      </c>
      <c r="L594" s="945"/>
      <c r="M594" s="945"/>
      <c r="N594" s="945"/>
      <c r="O594" s="945"/>
      <c r="P594" s="945"/>
      <c r="Q594" s="1244"/>
      <c r="R594" s="1244"/>
      <c r="S594" s="1244"/>
      <c r="T594" s="1244"/>
      <c r="U594" s="1244"/>
      <c r="V594" s="1244"/>
      <c r="W594" s="1244"/>
      <c r="X594" s="1244"/>
      <c r="Y594" s="1244"/>
      <c r="Z594" s="1244"/>
    </row>
    <row r="595" spans="1:26" ht="18.75">
      <c r="A595" s="1267"/>
      <c r="B595" s="1268"/>
      <c r="C595" s="1268" t="s">
        <v>253</v>
      </c>
      <c r="D595" s="1268"/>
      <c r="E595" s="1268"/>
      <c r="F595" s="961"/>
      <c r="G595" s="954"/>
      <c r="H595" s="730" t="s">
        <v>46</v>
      </c>
      <c r="I595" s="944"/>
      <c r="J595" s="944">
        <f t="shared" ref="J595:J596" si="256">J597+J599</f>
        <v>0</v>
      </c>
      <c r="K595" s="945"/>
      <c r="L595" s="945"/>
      <c r="M595" s="945"/>
      <c r="N595" s="945"/>
      <c r="O595" s="945"/>
      <c r="P595" s="945"/>
      <c r="Q595" s="1244"/>
      <c r="R595" s="1244"/>
      <c r="S595" s="1244"/>
      <c r="T595" s="1244"/>
      <c r="U595" s="1244"/>
      <c r="V595" s="1244"/>
      <c r="W595" s="1244"/>
      <c r="X595" s="1244"/>
      <c r="Y595" s="1244"/>
      <c r="Z595" s="1244"/>
    </row>
    <row r="596" spans="1:26" ht="18.75">
      <c r="A596" s="1267"/>
      <c r="B596" s="1268"/>
      <c r="C596" s="1268"/>
      <c r="D596" s="1268"/>
      <c r="E596" s="961"/>
      <c r="F596" s="961"/>
      <c r="G596" s="954"/>
      <c r="H596" s="730" t="s">
        <v>34</v>
      </c>
      <c r="I596" s="944"/>
      <c r="J596" s="944">
        <f t="shared" si="256"/>
        <v>0</v>
      </c>
      <c r="K596" s="945"/>
      <c r="L596" s="945"/>
      <c r="M596" s="945"/>
      <c r="N596" s="945"/>
      <c r="O596" s="945"/>
      <c r="P596" s="945"/>
      <c r="Q596" s="1244"/>
      <c r="R596" s="1244"/>
      <c r="S596" s="1244"/>
      <c r="T596" s="1244"/>
      <c r="U596" s="1244"/>
      <c r="V596" s="1244"/>
      <c r="W596" s="1244"/>
      <c r="X596" s="1244"/>
      <c r="Y596" s="1244"/>
      <c r="Z596" s="1244"/>
    </row>
    <row r="597" spans="1:26" ht="18.75">
      <c r="A597" s="1267"/>
      <c r="B597" s="1268"/>
      <c r="C597" s="1268"/>
      <c r="D597" s="1017" t="s">
        <v>254</v>
      </c>
      <c r="E597" s="961"/>
      <c r="F597" s="961"/>
      <c r="G597" s="954"/>
      <c r="H597" s="730" t="s">
        <v>46</v>
      </c>
      <c r="I597" s="944"/>
      <c r="J597" s="959">
        <v>0</v>
      </c>
      <c r="K597" s="945"/>
      <c r="L597" s="945"/>
      <c r="M597" s="945"/>
      <c r="N597" s="945"/>
      <c r="O597" s="945"/>
      <c r="P597" s="945"/>
      <c r="Q597" s="1244"/>
      <c r="R597" s="1244"/>
      <c r="S597" s="1244"/>
      <c r="T597" s="1244"/>
      <c r="U597" s="1244"/>
      <c r="V597" s="1244"/>
      <c r="W597" s="1244"/>
      <c r="X597" s="1244"/>
      <c r="Y597" s="1244"/>
      <c r="Z597" s="1244"/>
    </row>
    <row r="598" spans="1:26" ht="18.75">
      <c r="A598" s="1267"/>
      <c r="B598" s="1268"/>
      <c r="C598" s="1268"/>
      <c r="D598" s="1268"/>
      <c r="E598" s="961"/>
      <c r="F598" s="961"/>
      <c r="G598" s="954"/>
      <c r="H598" s="730" t="s">
        <v>34</v>
      </c>
      <c r="I598" s="830"/>
      <c r="J598" s="959">
        <v>0</v>
      </c>
      <c r="K598" s="945"/>
      <c r="L598" s="945"/>
      <c r="M598" s="945"/>
      <c r="N598" s="945"/>
      <c r="O598" s="945"/>
      <c r="P598" s="945"/>
      <c r="Q598" s="1244"/>
      <c r="R598" s="1244"/>
      <c r="S598" s="1244"/>
      <c r="T598" s="1244"/>
      <c r="U598" s="1244"/>
      <c r="V598" s="1244"/>
      <c r="W598" s="1244"/>
      <c r="X598" s="1244"/>
      <c r="Y598" s="1244"/>
      <c r="Z598" s="1244"/>
    </row>
    <row r="599" spans="1:26" ht="18.75">
      <c r="A599" s="1267"/>
      <c r="B599" s="1268"/>
      <c r="C599" s="1268"/>
      <c r="D599" s="1017" t="s">
        <v>255</v>
      </c>
      <c r="E599" s="961"/>
      <c r="F599" s="961"/>
      <c r="G599" s="954"/>
      <c r="H599" s="730" t="s">
        <v>46</v>
      </c>
      <c r="I599" s="830"/>
      <c r="J599" s="959">
        <v>0</v>
      </c>
      <c r="K599" s="945"/>
      <c r="L599" s="945"/>
      <c r="M599" s="945"/>
      <c r="N599" s="945"/>
      <c r="O599" s="945"/>
      <c r="P599" s="945"/>
      <c r="Q599" s="1244"/>
      <c r="R599" s="1244"/>
      <c r="S599" s="1244"/>
      <c r="T599" s="1244"/>
      <c r="U599" s="1244"/>
      <c r="V599" s="1244"/>
      <c r="W599" s="1244"/>
      <c r="X599" s="1244"/>
      <c r="Y599" s="1244"/>
      <c r="Z599" s="1244"/>
    </row>
    <row r="600" spans="1:26" ht="18.75">
      <c r="A600" s="1267"/>
      <c r="B600" s="1268"/>
      <c r="C600" s="1268"/>
      <c r="D600" s="1268"/>
      <c r="E600" s="961"/>
      <c r="F600" s="961"/>
      <c r="G600" s="954"/>
      <c r="H600" s="730" t="s">
        <v>34</v>
      </c>
      <c r="I600" s="830"/>
      <c r="J600" s="959">
        <v>0</v>
      </c>
      <c r="K600" s="945"/>
      <c r="L600" s="945"/>
      <c r="M600" s="945"/>
      <c r="N600" s="945"/>
      <c r="O600" s="945"/>
      <c r="P600" s="945"/>
      <c r="Q600" s="1244"/>
      <c r="R600" s="1244"/>
      <c r="S600" s="1244"/>
      <c r="T600" s="1244"/>
      <c r="U600" s="1244"/>
      <c r="V600" s="1244"/>
      <c r="W600" s="1244"/>
      <c r="X600" s="1244"/>
      <c r="Y600" s="1244"/>
      <c r="Z600" s="1244"/>
    </row>
    <row r="601" spans="1:26" ht="18.75">
      <c r="A601" s="1267"/>
      <c r="B601" s="1268"/>
      <c r="C601" s="1268"/>
      <c r="D601" s="1017" t="s">
        <v>256</v>
      </c>
      <c r="E601" s="961"/>
      <c r="F601" s="961"/>
      <c r="G601" s="954"/>
      <c r="H601" s="730" t="s">
        <v>46</v>
      </c>
      <c r="I601" s="830"/>
      <c r="J601" s="959">
        <v>0</v>
      </c>
      <c r="K601" s="945"/>
      <c r="L601" s="945"/>
      <c r="M601" s="945"/>
      <c r="N601" s="945"/>
      <c r="O601" s="945"/>
      <c r="P601" s="945"/>
      <c r="Q601" s="1244"/>
      <c r="R601" s="1244"/>
      <c r="S601" s="1244"/>
      <c r="T601" s="1244"/>
      <c r="U601" s="1244"/>
      <c r="V601" s="1244"/>
      <c r="W601" s="1244"/>
      <c r="X601" s="1244"/>
      <c r="Y601" s="1244"/>
      <c r="Z601" s="1244"/>
    </row>
    <row r="602" spans="1:26" ht="18.75">
      <c r="A602" s="1267"/>
      <c r="B602" s="1268"/>
      <c r="C602" s="1268"/>
      <c r="D602" s="1268"/>
      <c r="E602" s="961"/>
      <c r="F602" s="961"/>
      <c r="G602" s="954"/>
      <c r="H602" s="730" t="s">
        <v>34</v>
      </c>
      <c r="I602" s="830"/>
      <c r="J602" s="959">
        <v>0</v>
      </c>
      <c r="K602" s="945"/>
      <c r="L602" s="945"/>
      <c r="M602" s="945"/>
      <c r="N602" s="945"/>
      <c r="O602" s="945"/>
      <c r="P602" s="945"/>
      <c r="Q602" s="1244"/>
      <c r="R602" s="1244"/>
      <c r="S602" s="1244"/>
      <c r="T602" s="1244"/>
      <c r="U602" s="1244"/>
      <c r="V602" s="1244"/>
      <c r="W602" s="1244"/>
      <c r="X602" s="1244"/>
      <c r="Y602" s="1244"/>
      <c r="Z602" s="1244"/>
    </row>
    <row r="603" spans="1:26" ht="18.75">
      <c r="A603" s="1267"/>
      <c r="B603" s="1268"/>
      <c r="C603" s="1340" t="s">
        <v>257</v>
      </c>
      <c r="D603" s="1268"/>
      <c r="E603" s="1268"/>
      <c r="F603" s="961"/>
      <c r="G603" s="954"/>
      <c r="H603" s="730" t="s">
        <v>46</v>
      </c>
      <c r="I603" s="830"/>
      <c r="J603" s="830">
        <f t="shared" ref="J603:J604" si="257">J605+J607</f>
        <v>0</v>
      </c>
      <c r="K603" s="945"/>
      <c r="L603" s="945"/>
      <c r="M603" s="945"/>
      <c r="N603" s="945"/>
      <c r="O603" s="945"/>
      <c r="P603" s="945"/>
      <c r="Q603" s="1244"/>
      <c r="R603" s="1244"/>
      <c r="S603" s="1244"/>
      <c r="T603" s="1244"/>
      <c r="U603" s="1244"/>
      <c r="V603" s="1244"/>
      <c r="W603" s="1244"/>
      <c r="X603" s="1244"/>
      <c r="Y603" s="1244"/>
      <c r="Z603" s="1244"/>
    </row>
    <row r="604" spans="1:26" ht="18.75">
      <c r="A604" s="1267"/>
      <c r="B604" s="1268"/>
      <c r="C604" s="1268"/>
      <c r="D604" s="1268"/>
      <c r="E604" s="961"/>
      <c r="F604" s="961"/>
      <c r="G604" s="954"/>
      <c r="H604" s="730" t="s">
        <v>34</v>
      </c>
      <c r="I604" s="830"/>
      <c r="J604" s="830">
        <f t="shared" si="257"/>
        <v>0</v>
      </c>
      <c r="K604" s="945"/>
      <c r="L604" s="945"/>
      <c r="M604" s="945"/>
      <c r="N604" s="945"/>
      <c r="O604" s="945"/>
      <c r="P604" s="945"/>
      <c r="Q604" s="1244"/>
      <c r="R604" s="1244"/>
      <c r="S604" s="1244"/>
      <c r="T604" s="1244"/>
      <c r="U604" s="1244"/>
      <c r="V604" s="1244"/>
      <c r="W604" s="1244"/>
      <c r="X604" s="1244"/>
      <c r="Y604" s="1244"/>
      <c r="Z604" s="1244"/>
    </row>
    <row r="605" spans="1:26" ht="18.75">
      <c r="A605" s="1267"/>
      <c r="B605" s="1268"/>
      <c r="C605" s="1268"/>
      <c r="D605" s="1340" t="s">
        <v>258</v>
      </c>
      <c r="E605" s="961"/>
      <c r="F605" s="961"/>
      <c r="G605" s="954"/>
      <c r="H605" s="730" t="s">
        <v>46</v>
      </c>
      <c r="I605" s="830"/>
      <c r="J605" s="959">
        <v>0</v>
      </c>
      <c r="K605" s="945"/>
      <c r="L605" s="945"/>
      <c r="M605" s="945"/>
      <c r="N605" s="945"/>
      <c r="O605" s="945"/>
      <c r="P605" s="945"/>
      <c r="Q605" s="1244"/>
      <c r="R605" s="1244"/>
      <c r="S605" s="1244"/>
      <c r="T605" s="1244"/>
      <c r="U605" s="1244"/>
      <c r="V605" s="1244"/>
      <c r="W605" s="1244"/>
      <c r="X605" s="1244"/>
      <c r="Y605" s="1244"/>
      <c r="Z605" s="1244"/>
    </row>
    <row r="606" spans="1:26" ht="18.75">
      <c r="A606" s="1267"/>
      <c r="B606" s="1268"/>
      <c r="C606" s="1268"/>
      <c r="D606" s="1268"/>
      <c r="E606" s="1268"/>
      <c r="F606" s="961"/>
      <c r="G606" s="954"/>
      <c r="H606" s="730" t="s">
        <v>34</v>
      </c>
      <c r="I606" s="830"/>
      <c r="J606" s="959">
        <v>0</v>
      </c>
      <c r="K606" s="945"/>
      <c r="L606" s="945"/>
      <c r="M606" s="945"/>
      <c r="N606" s="945"/>
      <c r="O606" s="945"/>
      <c r="P606" s="945"/>
      <c r="Q606" s="1244"/>
      <c r="R606" s="1244"/>
      <c r="S606" s="1244"/>
      <c r="T606" s="1244"/>
      <c r="U606" s="1244"/>
      <c r="V606" s="1244"/>
      <c r="W606" s="1244"/>
      <c r="X606" s="1244"/>
      <c r="Y606" s="1244"/>
      <c r="Z606" s="1244"/>
    </row>
    <row r="607" spans="1:26" ht="18.75">
      <c r="A607" s="1267"/>
      <c r="B607" s="1268"/>
      <c r="C607" s="1268"/>
      <c r="D607" s="1340" t="s">
        <v>259</v>
      </c>
      <c r="E607" s="1268"/>
      <c r="F607" s="961"/>
      <c r="G607" s="954"/>
      <c r="H607" s="730" t="s">
        <v>46</v>
      </c>
      <c r="I607" s="830"/>
      <c r="J607" s="959">
        <v>0</v>
      </c>
      <c r="K607" s="945"/>
      <c r="L607" s="945"/>
      <c r="M607" s="945"/>
      <c r="N607" s="945"/>
      <c r="O607" s="945"/>
      <c r="P607" s="945"/>
      <c r="Q607" s="1244"/>
      <c r="R607" s="1244"/>
      <c r="S607" s="1244"/>
      <c r="T607" s="1244"/>
      <c r="U607" s="1244"/>
      <c r="V607" s="1244"/>
      <c r="W607" s="1244"/>
      <c r="X607" s="1244"/>
      <c r="Y607" s="1244"/>
      <c r="Z607" s="1244"/>
    </row>
    <row r="608" spans="1:26" ht="18.75">
      <c r="A608" s="1267"/>
      <c r="B608" s="1268"/>
      <c r="C608" s="1268"/>
      <c r="D608" s="1268"/>
      <c r="E608" s="961"/>
      <c r="F608" s="961"/>
      <c r="G608" s="954"/>
      <c r="H608" s="730" t="s">
        <v>34</v>
      </c>
      <c r="I608" s="830"/>
      <c r="J608" s="959">
        <v>0</v>
      </c>
      <c r="K608" s="945"/>
      <c r="L608" s="945"/>
      <c r="M608" s="945"/>
      <c r="N608" s="945"/>
      <c r="O608" s="945"/>
      <c r="P608" s="945"/>
      <c r="Q608" s="1244"/>
      <c r="R608" s="1244"/>
      <c r="S608" s="1244"/>
      <c r="T608" s="1244"/>
      <c r="U608" s="1244"/>
      <c r="V608" s="1244"/>
      <c r="W608" s="1244"/>
      <c r="X608" s="1244"/>
      <c r="Y608" s="1244"/>
      <c r="Z608" s="1244"/>
    </row>
    <row r="609" spans="1:26" ht="18.75">
      <c r="A609" s="1267"/>
      <c r="B609" s="1268"/>
      <c r="C609" s="1268" t="s">
        <v>260</v>
      </c>
      <c r="D609" s="1268"/>
      <c r="E609" s="1268"/>
      <c r="F609" s="961"/>
      <c r="G609" s="954"/>
      <c r="H609" s="730" t="s">
        <v>46</v>
      </c>
      <c r="I609" s="830"/>
      <c r="J609" s="959">
        <v>0</v>
      </c>
      <c r="K609" s="945"/>
      <c r="L609" s="945"/>
      <c r="M609" s="945"/>
      <c r="N609" s="945"/>
      <c r="O609" s="945"/>
      <c r="P609" s="945"/>
      <c r="Q609" s="1244"/>
      <c r="R609" s="1244"/>
      <c r="S609" s="1244"/>
      <c r="T609" s="1244"/>
      <c r="U609" s="1244"/>
      <c r="V609" s="1244"/>
      <c r="W609" s="1244"/>
      <c r="X609" s="1244"/>
      <c r="Y609" s="1244"/>
      <c r="Z609" s="1244"/>
    </row>
    <row r="610" spans="1:26" ht="18.75">
      <c r="A610" s="1267"/>
      <c r="B610" s="1268"/>
      <c r="C610" s="1268"/>
      <c r="D610" s="1268"/>
      <c r="E610" s="961"/>
      <c r="F610" s="961"/>
      <c r="G610" s="954"/>
      <c r="H610" s="730" t="s">
        <v>34</v>
      </c>
      <c r="I610" s="830"/>
      <c r="J610" s="959">
        <v>0</v>
      </c>
      <c r="K610" s="945"/>
      <c r="L610" s="945"/>
      <c r="M610" s="945"/>
      <c r="N610" s="945"/>
      <c r="O610" s="945"/>
      <c r="P610" s="945"/>
      <c r="Q610" s="1244"/>
      <c r="R610" s="1244"/>
      <c r="S610" s="1244"/>
      <c r="T610" s="1244"/>
      <c r="U610" s="1244"/>
      <c r="V610" s="1244"/>
      <c r="W610" s="1244"/>
      <c r="X610" s="1244"/>
      <c r="Y610" s="1244"/>
      <c r="Z610" s="1244"/>
    </row>
    <row r="611" spans="1:26" ht="19.5">
      <c r="A611" s="1329"/>
      <c r="B611" s="1341" t="s">
        <v>261</v>
      </c>
      <c r="C611" s="1331"/>
      <c r="D611" s="1331"/>
      <c r="E611" s="1315"/>
      <c r="F611" s="1315"/>
      <c r="G611" s="1316"/>
      <c r="H611" s="673" t="s">
        <v>46</v>
      </c>
      <c r="I611" s="1317">
        <v>0</v>
      </c>
      <c r="J611" s="1317">
        <f>J614+J616</f>
        <v>0</v>
      </c>
      <c r="K611" s="1318">
        <f t="shared" ref="K611:K613" si="258">IF(I611&gt;0,J611*100/I611,0)</f>
        <v>0</v>
      </c>
      <c r="L611" s="1319"/>
      <c r="M611" s="1319"/>
      <c r="N611" s="1319"/>
      <c r="O611" s="1319"/>
      <c r="P611" s="1319"/>
      <c r="Q611" s="1244"/>
      <c r="R611" s="1244"/>
      <c r="S611" s="1244"/>
      <c r="T611" s="1244"/>
      <c r="U611" s="1244"/>
      <c r="V611" s="1244"/>
      <c r="W611" s="1244"/>
      <c r="X611" s="1244"/>
      <c r="Y611" s="1244"/>
      <c r="Z611" s="1244"/>
    </row>
    <row r="612" spans="1:26" ht="19.5" hidden="1">
      <c r="A612" s="1342"/>
      <c r="B612" s="1343"/>
      <c r="C612" s="1344" t="s">
        <v>262</v>
      </c>
      <c r="D612" s="1343"/>
      <c r="E612" s="1343"/>
      <c r="F612" s="1345"/>
      <c r="G612" s="1346"/>
      <c r="H612" s="680" t="s">
        <v>46</v>
      </c>
      <c r="I612" s="1347">
        <v>0</v>
      </c>
      <c r="J612" s="1347">
        <f t="shared" ref="J612:J613" si="259">J614+J616</f>
        <v>0</v>
      </c>
      <c r="K612" s="1348">
        <f t="shared" si="258"/>
        <v>0</v>
      </c>
      <c r="L612" s="1349"/>
      <c r="M612" s="1349"/>
      <c r="N612" s="1349"/>
      <c r="O612" s="1349"/>
      <c r="P612" s="1349"/>
      <c r="Q612" s="1264"/>
      <c r="R612" s="1264"/>
      <c r="S612" s="1264"/>
      <c r="T612" s="1264"/>
      <c r="U612" s="1264"/>
      <c r="V612" s="1264"/>
      <c r="W612" s="1264"/>
      <c r="X612" s="1264"/>
      <c r="Y612" s="1264"/>
      <c r="Z612" s="1264"/>
    </row>
    <row r="613" spans="1:26" ht="19.5" hidden="1">
      <c r="A613" s="1342"/>
      <c r="B613" s="1343"/>
      <c r="C613" s="1343" t="s">
        <v>263</v>
      </c>
      <c r="D613" s="1343"/>
      <c r="E613" s="1343"/>
      <c r="F613" s="1345"/>
      <c r="G613" s="1346"/>
      <c r="H613" s="680" t="s">
        <v>34</v>
      </c>
      <c r="I613" s="1347">
        <v>0</v>
      </c>
      <c r="J613" s="1347">
        <f t="shared" si="259"/>
        <v>0</v>
      </c>
      <c r="K613" s="1348">
        <f t="shared" si="258"/>
        <v>0</v>
      </c>
      <c r="L613" s="1349"/>
      <c r="M613" s="1349"/>
      <c r="N613" s="1349"/>
      <c r="O613" s="1349"/>
      <c r="P613" s="1349"/>
      <c r="Q613" s="1264"/>
      <c r="R613" s="1264"/>
      <c r="S613" s="1264"/>
      <c r="T613" s="1264"/>
      <c r="U613" s="1264"/>
      <c r="V613" s="1264"/>
      <c r="W613" s="1264"/>
      <c r="X613" s="1264"/>
      <c r="Y613" s="1264"/>
      <c r="Z613" s="1264"/>
    </row>
    <row r="614" spans="1:26" ht="18.75" hidden="1">
      <c r="A614" s="1273"/>
      <c r="B614" s="1274"/>
      <c r="C614" s="1274"/>
      <c r="D614" s="1262" t="s">
        <v>264</v>
      </c>
      <c r="E614" s="1274"/>
      <c r="F614" s="1262"/>
      <c r="G614" s="1060"/>
      <c r="H614" s="583" t="s">
        <v>46</v>
      </c>
      <c r="I614" s="836"/>
      <c r="J614" s="836">
        <v>0</v>
      </c>
      <c r="K614" s="948"/>
      <c r="L614" s="948"/>
      <c r="M614" s="948"/>
      <c r="N614" s="948"/>
      <c r="O614" s="948"/>
      <c r="P614" s="948"/>
      <c r="Q614" s="1264"/>
      <c r="R614" s="1264"/>
      <c r="S614" s="1264"/>
      <c r="T614" s="1264"/>
      <c r="U614" s="1264"/>
      <c r="V614" s="1264"/>
      <c r="W614" s="1264"/>
      <c r="X614" s="1264"/>
      <c r="Y614" s="1264"/>
      <c r="Z614" s="1264"/>
    </row>
    <row r="615" spans="1:26" ht="18.75" hidden="1">
      <c r="A615" s="1273"/>
      <c r="B615" s="1274"/>
      <c r="C615" s="1274"/>
      <c r="D615" s="1274"/>
      <c r="E615" s="1274"/>
      <c r="F615" s="1262"/>
      <c r="G615" s="1060"/>
      <c r="H615" s="583" t="s">
        <v>34</v>
      </c>
      <c r="I615" s="836"/>
      <c r="J615" s="836">
        <v>0</v>
      </c>
      <c r="K615" s="948"/>
      <c r="L615" s="948"/>
      <c r="M615" s="948"/>
      <c r="N615" s="948"/>
      <c r="O615" s="948"/>
      <c r="P615" s="948"/>
      <c r="Q615" s="1264"/>
      <c r="R615" s="1264"/>
      <c r="S615" s="1264"/>
      <c r="T615" s="1264"/>
      <c r="U615" s="1264"/>
      <c r="V615" s="1264"/>
      <c r="W615" s="1264"/>
      <c r="X615" s="1264"/>
      <c r="Y615" s="1264"/>
      <c r="Z615" s="1264"/>
    </row>
    <row r="616" spans="1:26" ht="18.75" hidden="1">
      <c r="A616" s="1273"/>
      <c r="B616" s="1274"/>
      <c r="C616" s="1274"/>
      <c r="D616" s="1350" t="s">
        <v>264</v>
      </c>
      <c r="E616" s="1262"/>
      <c r="F616" s="1262"/>
      <c r="G616" s="1060"/>
      <c r="H616" s="583" t="s">
        <v>46</v>
      </c>
      <c r="I616" s="836"/>
      <c r="J616" s="836">
        <v>0</v>
      </c>
      <c r="K616" s="948"/>
      <c r="L616" s="948"/>
      <c r="M616" s="948"/>
      <c r="N616" s="948"/>
      <c r="O616" s="948"/>
      <c r="P616" s="948"/>
      <c r="Q616" s="1264"/>
      <c r="R616" s="1264"/>
      <c r="S616" s="1264"/>
      <c r="T616" s="1264"/>
      <c r="U616" s="1264"/>
      <c r="V616" s="1264"/>
      <c r="W616" s="1264"/>
      <c r="X616" s="1264"/>
      <c r="Y616" s="1264"/>
      <c r="Z616" s="1264"/>
    </row>
    <row r="617" spans="1:26" ht="18.75" hidden="1">
      <c r="A617" s="1273"/>
      <c r="B617" s="1274"/>
      <c r="C617" s="1274"/>
      <c r="D617" s="1274"/>
      <c r="E617" s="1262"/>
      <c r="F617" s="1262"/>
      <c r="G617" s="1060"/>
      <c r="H617" s="583" t="s">
        <v>34</v>
      </c>
      <c r="I617" s="836"/>
      <c r="J617" s="836">
        <v>0</v>
      </c>
      <c r="K617" s="948"/>
      <c r="L617" s="948"/>
      <c r="M617" s="948"/>
      <c r="N617" s="948"/>
      <c r="O617" s="948"/>
      <c r="P617" s="948"/>
      <c r="Q617" s="1264"/>
      <c r="R617" s="1264"/>
      <c r="S617" s="1264"/>
      <c r="T617" s="1264"/>
      <c r="U617" s="1264"/>
      <c r="V617" s="1264"/>
      <c r="W617" s="1264"/>
      <c r="X617" s="1264"/>
      <c r="Y617" s="1264"/>
      <c r="Z617" s="1264"/>
    </row>
    <row r="618" spans="1:26" ht="18.75" hidden="1">
      <c r="A618" s="1273"/>
      <c r="B618" s="1274"/>
      <c r="C618" s="1274"/>
      <c r="D618" s="1350" t="s">
        <v>265</v>
      </c>
      <c r="E618" s="1262"/>
      <c r="F618" s="1262"/>
      <c r="G618" s="1060"/>
      <c r="H618" s="583" t="s">
        <v>46</v>
      </c>
      <c r="I618" s="836"/>
      <c r="J618" s="836">
        <v>0</v>
      </c>
      <c r="K618" s="948"/>
      <c r="L618" s="948"/>
      <c r="M618" s="948"/>
      <c r="N618" s="948"/>
      <c r="O618" s="948"/>
      <c r="P618" s="948"/>
      <c r="Q618" s="1264"/>
      <c r="R618" s="1264"/>
      <c r="S618" s="1264"/>
      <c r="T618" s="1264"/>
      <c r="U618" s="1264"/>
      <c r="V618" s="1264"/>
      <c r="W618" s="1264"/>
      <c r="X618" s="1264"/>
      <c r="Y618" s="1264"/>
      <c r="Z618" s="1264"/>
    </row>
    <row r="619" spans="1:26" ht="18.75" hidden="1">
      <c r="A619" s="1273"/>
      <c r="B619" s="1274"/>
      <c r="C619" s="1274"/>
      <c r="D619" s="1274"/>
      <c r="E619" s="1262"/>
      <c r="F619" s="1262"/>
      <c r="G619" s="1060"/>
      <c r="H619" s="583" t="s">
        <v>34</v>
      </c>
      <c r="I619" s="836"/>
      <c r="J619" s="836">
        <v>0</v>
      </c>
      <c r="K619" s="948"/>
      <c r="L619" s="948"/>
      <c r="M619" s="948"/>
      <c r="N619" s="948"/>
      <c r="O619" s="948"/>
      <c r="P619" s="948"/>
      <c r="Q619" s="1264"/>
      <c r="R619" s="1264"/>
      <c r="S619" s="1264"/>
      <c r="T619" s="1264"/>
      <c r="U619" s="1264"/>
      <c r="V619" s="1264"/>
      <c r="W619" s="1264"/>
      <c r="X619" s="1264"/>
      <c r="Y619" s="1264"/>
      <c r="Z619" s="1264"/>
    </row>
    <row r="620" spans="1:26" ht="19.5">
      <c r="A620" s="1351"/>
      <c r="B620" s="1352"/>
      <c r="C620" s="1353" t="s">
        <v>266</v>
      </c>
      <c r="D620" s="1352"/>
      <c r="E620" s="1352"/>
      <c r="F620" s="1354"/>
      <c r="G620" s="1355"/>
      <c r="H620" s="693" t="s">
        <v>46</v>
      </c>
      <c r="I620" s="1356">
        <f ca="1">IFERROR(__xludf.DUMMYFUNCTION("IMPORTRANGE(""https://docs.google.com/spreadsheets/d/1QqKyyYR6Q21VydFLVH3TRQUabQu_ym0Zz7PgGX0-kHA/edit?usp=sharing"",""แผน!HL27"")"),98)</f>
        <v>98</v>
      </c>
      <c r="J620" s="1356">
        <f t="shared" ref="J620:J621" si="260">J622+J624+J626</f>
        <v>98</v>
      </c>
      <c r="K620" s="1357">
        <f t="shared" ref="K620:K621" ca="1" si="261">IF(I620&gt;0,J620*100/I620,0)</f>
        <v>100</v>
      </c>
      <c r="L620" s="1358"/>
      <c r="M620" s="1358"/>
      <c r="N620" s="1358"/>
      <c r="O620" s="1358"/>
      <c r="P620" s="1358"/>
      <c r="Q620" s="1244"/>
      <c r="R620" s="1244"/>
      <c r="S620" s="1244"/>
      <c r="T620" s="1244"/>
      <c r="U620" s="1244"/>
      <c r="V620" s="1244"/>
      <c r="W620" s="1244"/>
      <c r="X620" s="1244"/>
      <c r="Y620" s="1244"/>
      <c r="Z620" s="1244"/>
    </row>
    <row r="621" spans="1:26" ht="19.5">
      <c r="A621" s="1351"/>
      <c r="B621" s="1352"/>
      <c r="C621" s="1352" t="s">
        <v>267</v>
      </c>
      <c r="D621" s="1352"/>
      <c r="E621" s="1352"/>
      <c r="F621" s="1354"/>
      <c r="G621" s="1355"/>
      <c r="H621" s="693" t="s">
        <v>34</v>
      </c>
      <c r="I621" s="1356">
        <f ca="1">IFERROR(__xludf.DUMMYFUNCTION("IMPORTRANGE(""https://docs.google.com/spreadsheets/d/1QqKyyYR6Q21VydFLVH3TRQUabQu_ym0Zz7PgGX0-kHA/edit?usp=sharing"",""แผน!HK27"")"),6)</f>
        <v>6</v>
      </c>
      <c r="J621" s="1356">
        <f t="shared" si="260"/>
        <v>6</v>
      </c>
      <c r="K621" s="1357">
        <f t="shared" ca="1" si="261"/>
        <v>100</v>
      </c>
      <c r="L621" s="1358"/>
      <c r="M621" s="1358"/>
      <c r="N621" s="1358"/>
      <c r="O621" s="1358"/>
      <c r="P621" s="1358"/>
      <c r="Q621" s="1244"/>
      <c r="R621" s="1244"/>
      <c r="S621" s="1244"/>
      <c r="T621" s="1244"/>
      <c r="U621" s="1244"/>
      <c r="V621" s="1244"/>
      <c r="W621" s="1244"/>
      <c r="X621" s="1244"/>
      <c r="Y621" s="1244"/>
      <c r="Z621" s="1244"/>
    </row>
    <row r="622" spans="1:26" ht="18.75">
      <c r="A622" s="1267"/>
      <c r="B622" s="1268"/>
      <c r="C622" s="1268"/>
      <c r="D622" s="1017" t="s">
        <v>268</v>
      </c>
      <c r="E622" s="961"/>
      <c r="F622" s="961"/>
      <c r="G622" s="954"/>
      <c r="H622" s="730" t="s">
        <v>46</v>
      </c>
      <c r="I622" s="830"/>
      <c r="J622" s="959">
        <v>97</v>
      </c>
      <c r="K622" s="945"/>
      <c r="L622" s="945"/>
      <c r="M622" s="945"/>
      <c r="N622" s="945"/>
      <c r="O622" s="945"/>
      <c r="P622" s="945"/>
      <c r="Q622" s="1244"/>
      <c r="R622" s="1244"/>
      <c r="S622" s="1244"/>
      <c r="T622" s="1244"/>
      <c r="U622" s="1244"/>
      <c r="V622" s="1244"/>
      <c r="W622" s="1244"/>
      <c r="X622" s="1244"/>
      <c r="Y622" s="1244"/>
      <c r="Z622" s="1244"/>
    </row>
    <row r="623" spans="1:26" ht="18.75">
      <c r="A623" s="1267"/>
      <c r="B623" s="1268"/>
      <c r="C623" s="1268"/>
      <c r="D623" s="1268"/>
      <c r="E623" s="961"/>
      <c r="F623" s="961"/>
      <c r="G623" s="954"/>
      <c r="H623" s="730" t="s">
        <v>34</v>
      </c>
      <c r="I623" s="830"/>
      <c r="J623" s="959">
        <v>5</v>
      </c>
      <c r="K623" s="945"/>
      <c r="L623" s="945"/>
      <c r="M623" s="945"/>
      <c r="N623" s="945"/>
      <c r="O623" s="945"/>
      <c r="P623" s="945"/>
      <c r="Q623" s="1244"/>
      <c r="R623" s="1244"/>
      <c r="S623" s="1244"/>
      <c r="T623" s="1244"/>
      <c r="U623" s="1244"/>
      <c r="V623" s="1244"/>
      <c r="W623" s="1244"/>
      <c r="X623" s="1244"/>
      <c r="Y623" s="1244"/>
      <c r="Z623" s="1244"/>
    </row>
    <row r="624" spans="1:26" ht="18.75">
      <c r="A624" s="1267"/>
      <c r="B624" s="1268"/>
      <c r="C624" s="1268"/>
      <c r="D624" s="1017" t="s">
        <v>264</v>
      </c>
      <c r="E624" s="961"/>
      <c r="F624" s="961"/>
      <c r="G624" s="954"/>
      <c r="H624" s="730" t="s">
        <v>46</v>
      </c>
      <c r="I624" s="830"/>
      <c r="J624" s="959">
        <v>1</v>
      </c>
      <c r="K624" s="945"/>
      <c r="L624" s="945"/>
      <c r="M624" s="945"/>
      <c r="N624" s="945"/>
      <c r="O624" s="945"/>
      <c r="P624" s="945"/>
      <c r="Q624" s="1244"/>
      <c r="R624" s="1244"/>
      <c r="S624" s="1244"/>
      <c r="T624" s="1244"/>
      <c r="U624" s="1244"/>
      <c r="V624" s="1244"/>
      <c r="W624" s="1244"/>
      <c r="X624" s="1244"/>
      <c r="Y624" s="1244"/>
      <c r="Z624" s="1244"/>
    </row>
    <row r="625" spans="1:26" ht="18.75">
      <c r="A625" s="1267"/>
      <c r="B625" s="1268"/>
      <c r="C625" s="1268"/>
      <c r="D625" s="1268"/>
      <c r="E625" s="961"/>
      <c r="F625" s="961"/>
      <c r="G625" s="954"/>
      <c r="H625" s="730" t="s">
        <v>34</v>
      </c>
      <c r="I625" s="830"/>
      <c r="J625" s="959">
        <v>1</v>
      </c>
      <c r="K625" s="945"/>
      <c r="L625" s="945"/>
      <c r="M625" s="945"/>
      <c r="N625" s="945"/>
      <c r="O625" s="945"/>
      <c r="P625" s="945"/>
      <c r="Q625" s="1244"/>
      <c r="R625" s="1244"/>
      <c r="S625" s="1244"/>
      <c r="T625" s="1244"/>
      <c r="U625" s="1244"/>
      <c r="V625" s="1244"/>
      <c r="W625" s="1244"/>
      <c r="X625" s="1244"/>
      <c r="Y625" s="1244"/>
      <c r="Z625" s="1244"/>
    </row>
    <row r="626" spans="1:26" ht="18.75">
      <c r="A626" s="1267"/>
      <c r="B626" s="1268"/>
      <c r="C626" s="1268"/>
      <c r="D626" s="1017" t="s">
        <v>269</v>
      </c>
      <c r="E626" s="961"/>
      <c r="F626" s="961"/>
      <c r="G626" s="954"/>
      <c r="H626" s="730" t="s">
        <v>46</v>
      </c>
      <c r="I626" s="830"/>
      <c r="J626" s="959">
        <v>0</v>
      </c>
      <c r="K626" s="945"/>
      <c r="L626" s="945"/>
      <c r="M626" s="945"/>
      <c r="N626" s="945"/>
      <c r="O626" s="945"/>
      <c r="P626" s="945"/>
      <c r="Q626" s="1244"/>
      <c r="R626" s="1244"/>
      <c r="S626" s="1244"/>
      <c r="T626" s="1244"/>
      <c r="U626" s="1244"/>
      <c r="V626" s="1244"/>
      <c r="W626" s="1244"/>
      <c r="X626" s="1244"/>
      <c r="Y626" s="1244"/>
      <c r="Z626" s="1244"/>
    </row>
    <row r="627" spans="1:26" ht="18.75">
      <c r="A627" s="1359"/>
      <c r="B627" s="1360"/>
      <c r="C627" s="1360"/>
      <c r="D627" s="1360"/>
      <c r="E627" s="1116"/>
      <c r="F627" s="1116"/>
      <c r="G627" s="1361"/>
      <c r="H627" s="391" t="s">
        <v>34</v>
      </c>
      <c r="I627" s="1085"/>
      <c r="J627" s="1118">
        <v>0</v>
      </c>
      <c r="K627" s="1086"/>
      <c r="L627" s="1086"/>
      <c r="M627" s="1086"/>
      <c r="N627" s="1086"/>
      <c r="O627" s="1086"/>
      <c r="P627" s="1086"/>
      <c r="Q627" s="1244"/>
      <c r="R627" s="1244"/>
      <c r="S627" s="1244"/>
      <c r="T627" s="1244"/>
      <c r="U627" s="1244"/>
      <c r="V627" s="1244"/>
      <c r="W627" s="1244"/>
      <c r="X627" s="1244"/>
      <c r="Y627" s="1244"/>
      <c r="Z627" s="1244"/>
    </row>
    <row r="628" spans="1:26" ht="19.5" hidden="1">
      <c r="A628" s="702">
        <v>7</v>
      </c>
      <c r="B628" s="1362" t="s">
        <v>270</v>
      </c>
      <c r="C628" s="1363"/>
      <c r="D628" s="1363"/>
      <c r="E628" s="1363"/>
      <c r="F628" s="1363"/>
      <c r="G628" s="1364"/>
      <c r="H628" s="706" t="s">
        <v>35</v>
      </c>
      <c r="I628" s="1365">
        <f t="shared" ref="I628:J628" ca="1" si="262">I651</f>
        <v>0</v>
      </c>
      <c r="J628" s="1365">
        <f t="shared" ca="1" si="262"/>
        <v>0</v>
      </c>
      <c r="K628" s="1366">
        <f ca="1">IF(I628&gt;0,J628*100/I628,0)</f>
        <v>0</v>
      </c>
      <c r="L628" s="1367"/>
      <c r="M628" s="1367"/>
      <c r="N628" s="1367"/>
      <c r="O628" s="1367"/>
      <c r="P628" s="1367"/>
      <c r="Q628" s="1244"/>
      <c r="R628" s="1244"/>
      <c r="S628" s="1244"/>
      <c r="T628" s="1244"/>
      <c r="U628" s="1244"/>
      <c r="V628" s="1244"/>
      <c r="W628" s="1244"/>
      <c r="X628" s="1244"/>
      <c r="Y628" s="1244"/>
      <c r="Z628" s="1244"/>
    </row>
    <row r="629" spans="1:26" ht="19.5" hidden="1">
      <c r="A629" s="1259"/>
      <c r="B629" s="1243"/>
      <c r="C629" s="1243" t="s">
        <v>16</v>
      </c>
      <c r="D629" s="1507" t="s">
        <v>17</v>
      </c>
      <c r="E629" s="1485"/>
      <c r="F629" s="1485"/>
      <c r="G629" s="963"/>
      <c r="H629" s="563" t="s">
        <v>12</v>
      </c>
      <c r="I629" s="830"/>
      <c r="J629" s="830"/>
      <c r="K629" s="831"/>
      <c r="L629" s="967">
        <f t="shared" ref="L629:N629" ca="1" si="263">L630+L631</f>
        <v>0</v>
      </c>
      <c r="M629" s="967">
        <f t="shared" si="263"/>
        <v>0</v>
      </c>
      <c r="N629" s="967">
        <f t="shared" si="263"/>
        <v>0</v>
      </c>
      <c r="O629" s="967">
        <f t="shared" ref="O629:O634" ca="1" si="264">IF(L629&gt;0,N629*100/L629,0)</f>
        <v>0</v>
      </c>
      <c r="P629" s="967">
        <f t="shared" ref="P629:P634" si="265">IF(M629&gt;0,N629*100/M629,0)</f>
        <v>0</v>
      </c>
      <c r="Q629" s="1244"/>
      <c r="R629" s="1244"/>
      <c r="S629" s="1244"/>
      <c r="T629" s="1244"/>
      <c r="U629" s="1244"/>
      <c r="V629" s="1244"/>
      <c r="W629" s="1244"/>
      <c r="X629" s="1244"/>
      <c r="Y629" s="1244"/>
      <c r="Z629" s="1244"/>
    </row>
    <row r="630" spans="1:26" ht="18.75" hidden="1">
      <c r="A630" s="1260"/>
      <c r="B630" s="1261"/>
      <c r="C630" s="1261"/>
      <c r="D630" s="1262"/>
      <c r="E630" s="1261" t="s">
        <v>184</v>
      </c>
      <c r="F630" s="1261"/>
      <c r="G630" s="1263"/>
      <c r="H630" s="165" t="s">
        <v>12</v>
      </c>
      <c r="I630" s="836"/>
      <c r="J630" s="836"/>
      <c r="K630" s="837"/>
      <c r="L630" s="837">
        <f t="shared" ref="L630:N631" si="266">L633+L640</f>
        <v>0</v>
      </c>
      <c r="M630" s="837">
        <f t="shared" si="266"/>
        <v>0</v>
      </c>
      <c r="N630" s="837">
        <f t="shared" si="266"/>
        <v>0</v>
      </c>
      <c r="O630" s="837">
        <f t="shared" si="264"/>
        <v>0</v>
      </c>
      <c r="P630" s="837">
        <f t="shared" si="265"/>
        <v>0</v>
      </c>
      <c r="Q630" s="1264"/>
      <c r="R630" s="1264"/>
      <c r="S630" s="1264"/>
      <c r="T630" s="1264"/>
      <c r="U630" s="1264"/>
      <c r="V630" s="1264"/>
      <c r="W630" s="1264"/>
      <c r="X630" s="1264"/>
      <c r="Y630" s="1264"/>
      <c r="Z630" s="1264"/>
    </row>
    <row r="631" spans="1:26" ht="18.75" hidden="1">
      <c r="A631" s="1260"/>
      <c r="B631" s="1265"/>
      <c r="C631" s="1261"/>
      <c r="D631" s="1262"/>
      <c r="E631" s="1261" t="s">
        <v>185</v>
      </c>
      <c r="F631" s="1261"/>
      <c r="G631" s="1263"/>
      <c r="H631" s="165" t="s">
        <v>12</v>
      </c>
      <c r="I631" s="836"/>
      <c r="J631" s="836"/>
      <c r="K631" s="837"/>
      <c r="L631" s="837">
        <f t="shared" ca="1" si="266"/>
        <v>0</v>
      </c>
      <c r="M631" s="837">
        <f t="shared" si="266"/>
        <v>0</v>
      </c>
      <c r="N631" s="837">
        <f t="shared" si="266"/>
        <v>0</v>
      </c>
      <c r="O631" s="837">
        <f t="shared" ca="1" si="264"/>
        <v>0</v>
      </c>
      <c r="P631" s="837">
        <f t="shared" si="265"/>
        <v>0</v>
      </c>
      <c r="Q631" s="1264"/>
      <c r="R631" s="1264"/>
      <c r="S631" s="1264"/>
      <c r="T631" s="1264"/>
      <c r="U631" s="1264"/>
      <c r="V631" s="1264"/>
      <c r="W631" s="1264"/>
      <c r="X631" s="1264"/>
      <c r="Y631" s="1264"/>
      <c r="Z631" s="1264"/>
    </row>
    <row r="632" spans="1:26" ht="18.75" hidden="1">
      <c r="A632" s="1259"/>
      <c r="B632" s="1242"/>
      <c r="C632" s="1243"/>
      <c r="D632" s="1266" t="s">
        <v>20</v>
      </c>
      <c r="E632" s="1243"/>
      <c r="F632" s="1243"/>
      <c r="G632" s="963"/>
      <c r="H632" s="778" t="s">
        <v>12</v>
      </c>
      <c r="I632" s="944"/>
      <c r="J632" s="944"/>
      <c r="K632" s="945"/>
      <c r="L632" s="831">
        <f t="shared" ref="L632:N632" ca="1" si="267">L633+L634</f>
        <v>0</v>
      </c>
      <c r="M632" s="831">
        <f t="shared" si="267"/>
        <v>0</v>
      </c>
      <c r="N632" s="831">
        <f t="shared" si="267"/>
        <v>0</v>
      </c>
      <c r="O632" s="831">
        <f t="shared" ca="1" si="264"/>
        <v>0</v>
      </c>
      <c r="P632" s="831">
        <f t="shared" si="265"/>
        <v>0</v>
      </c>
      <c r="Q632" s="1244"/>
      <c r="R632" s="1244"/>
      <c r="S632" s="1244"/>
      <c r="T632" s="1244"/>
      <c r="U632" s="1244"/>
      <c r="V632" s="1244"/>
      <c r="W632" s="1244"/>
      <c r="X632" s="1244"/>
      <c r="Y632" s="1244"/>
      <c r="Z632" s="1244"/>
    </row>
    <row r="633" spans="1:26" ht="18.75" hidden="1">
      <c r="A633" s="1260"/>
      <c r="B633" s="1265"/>
      <c r="C633" s="1261"/>
      <c r="D633" s="1262"/>
      <c r="E633" s="1261" t="s">
        <v>184</v>
      </c>
      <c r="F633" s="1261"/>
      <c r="G633" s="1263"/>
      <c r="H633" s="165" t="s">
        <v>12</v>
      </c>
      <c r="I633" s="836"/>
      <c r="J633" s="836"/>
      <c r="K633" s="837"/>
      <c r="L633" s="837">
        <v>0</v>
      </c>
      <c r="M633" s="837">
        <v>0</v>
      </c>
      <c r="N633" s="837">
        <v>0</v>
      </c>
      <c r="O633" s="837">
        <f t="shared" si="264"/>
        <v>0</v>
      </c>
      <c r="P633" s="837">
        <f t="shared" si="265"/>
        <v>0</v>
      </c>
      <c r="Q633" s="1264"/>
      <c r="R633" s="1264"/>
      <c r="S633" s="1264"/>
      <c r="T633" s="1264"/>
      <c r="U633" s="1264"/>
      <c r="V633" s="1264"/>
      <c r="W633" s="1264"/>
      <c r="X633" s="1264"/>
      <c r="Y633" s="1264"/>
      <c r="Z633" s="1264"/>
    </row>
    <row r="634" spans="1:26" ht="18.75" hidden="1">
      <c r="A634" s="1260"/>
      <c r="B634" s="1265"/>
      <c r="C634" s="1261"/>
      <c r="D634" s="1262"/>
      <c r="E634" s="1261" t="s">
        <v>185</v>
      </c>
      <c r="F634" s="1261"/>
      <c r="G634" s="1263"/>
      <c r="H634" s="165" t="s">
        <v>12</v>
      </c>
      <c r="I634" s="836"/>
      <c r="J634" s="836"/>
      <c r="K634" s="837"/>
      <c r="L634" s="837">
        <f ca="1">IFERROR(__xludf.DUMMYFUNCTION("IMPORTRANGE(""https://docs.google.com/spreadsheets/d/1QqKyyYR6Q21VydFLVH3TRQUabQu_ym0Zz7PgGX0-kHA/edit?usp=sharing"",""แผน!HN27"")"),0)</f>
        <v>0</v>
      </c>
      <c r="M634" s="837">
        <v>0</v>
      </c>
      <c r="N634" s="837">
        <f>N635+N636+N637+N638</f>
        <v>0</v>
      </c>
      <c r="O634" s="837">
        <f t="shared" ca="1" si="264"/>
        <v>0</v>
      </c>
      <c r="P634" s="837">
        <f t="shared" si="265"/>
        <v>0</v>
      </c>
      <c r="Q634" s="1264"/>
      <c r="R634" s="1264"/>
      <c r="S634" s="1264"/>
      <c r="T634" s="1264"/>
      <c r="U634" s="1264"/>
      <c r="V634" s="1264"/>
      <c r="W634" s="1264"/>
      <c r="X634" s="1264"/>
      <c r="Y634" s="1264"/>
      <c r="Z634" s="1264"/>
    </row>
    <row r="635" spans="1:26" ht="18.75" hidden="1">
      <c r="A635" s="1241"/>
      <c r="B635" s="1242"/>
      <c r="C635" s="1243"/>
      <c r="D635" s="1243"/>
      <c r="E635" s="1243"/>
      <c r="F635" s="1243" t="s">
        <v>186</v>
      </c>
      <c r="G635" s="963"/>
      <c r="H635" s="778" t="s">
        <v>12</v>
      </c>
      <c r="I635" s="830"/>
      <c r="J635" s="830"/>
      <c r="K635" s="831"/>
      <c r="L635" s="831"/>
      <c r="M635" s="831"/>
      <c r="N635" s="1031">
        <v>0</v>
      </c>
      <c r="O635" s="831"/>
      <c r="P635" s="831"/>
      <c r="Q635" s="1244"/>
      <c r="R635" s="1244"/>
      <c r="S635" s="1244"/>
      <c r="T635" s="1244"/>
      <c r="U635" s="1244"/>
      <c r="V635" s="1244"/>
      <c r="W635" s="1244"/>
      <c r="X635" s="1244"/>
      <c r="Y635" s="1244"/>
      <c r="Z635" s="1244"/>
    </row>
    <row r="636" spans="1:26" ht="18.75" hidden="1">
      <c r="A636" s="1241"/>
      <c r="B636" s="1242"/>
      <c r="C636" s="1243"/>
      <c r="D636" s="1243"/>
      <c r="E636" s="1243"/>
      <c r="F636" s="1243" t="s">
        <v>187</v>
      </c>
      <c r="G636" s="963"/>
      <c r="H636" s="778" t="s">
        <v>12</v>
      </c>
      <c r="I636" s="830"/>
      <c r="J636" s="830"/>
      <c r="K636" s="831"/>
      <c r="L636" s="831"/>
      <c r="M636" s="831"/>
      <c r="N636" s="1031">
        <v>0</v>
      </c>
      <c r="O636" s="831"/>
      <c r="P636" s="831"/>
      <c r="Q636" s="1244"/>
      <c r="R636" s="1244"/>
      <c r="S636" s="1244"/>
      <c r="T636" s="1244"/>
      <c r="U636" s="1244"/>
      <c r="V636" s="1244"/>
      <c r="W636" s="1244"/>
      <c r="X636" s="1244"/>
      <c r="Y636" s="1244"/>
      <c r="Z636" s="1244"/>
    </row>
    <row r="637" spans="1:26" ht="18.75" hidden="1">
      <c r="A637" s="1241"/>
      <c r="B637" s="1242"/>
      <c r="C637" s="1243"/>
      <c r="D637" s="1243"/>
      <c r="E637" s="1243"/>
      <c r="F637" s="1243" t="s">
        <v>188</v>
      </c>
      <c r="G637" s="963"/>
      <c r="H637" s="778" t="s">
        <v>12</v>
      </c>
      <c r="I637" s="830"/>
      <c r="J637" s="830"/>
      <c r="K637" s="831"/>
      <c r="L637" s="831"/>
      <c r="M637" s="831"/>
      <c r="N637" s="1031">
        <v>0</v>
      </c>
      <c r="O637" s="831"/>
      <c r="P637" s="831"/>
      <c r="Q637" s="1244"/>
      <c r="R637" s="1244"/>
      <c r="S637" s="1244"/>
      <c r="T637" s="1244"/>
      <c r="U637" s="1244"/>
      <c r="V637" s="1244"/>
      <c r="W637" s="1244"/>
      <c r="X637" s="1244"/>
      <c r="Y637" s="1244"/>
      <c r="Z637" s="1244"/>
    </row>
    <row r="638" spans="1:26" ht="18.75" hidden="1">
      <c r="A638" s="1241"/>
      <c r="B638" s="1242"/>
      <c r="C638" s="1243"/>
      <c r="D638" s="1243"/>
      <c r="E638" s="1243"/>
      <c r="F638" s="1243" t="s">
        <v>189</v>
      </c>
      <c r="G638" s="963"/>
      <c r="H638" s="778" t="s">
        <v>12</v>
      </c>
      <c r="I638" s="830"/>
      <c r="J638" s="830"/>
      <c r="K638" s="831"/>
      <c r="L638" s="831"/>
      <c r="M638" s="831"/>
      <c r="N638" s="1031">
        <v>0</v>
      </c>
      <c r="O638" s="831"/>
      <c r="P638" s="831"/>
      <c r="Q638" s="1244"/>
      <c r="R638" s="1244"/>
      <c r="S638" s="1244"/>
      <c r="T638" s="1244"/>
      <c r="U638" s="1244"/>
      <c r="V638" s="1244"/>
      <c r="W638" s="1244"/>
      <c r="X638" s="1244"/>
      <c r="Y638" s="1244"/>
      <c r="Z638" s="1244"/>
    </row>
    <row r="639" spans="1:26" ht="18.75" hidden="1">
      <c r="A639" s="1259"/>
      <c r="B639" s="1242"/>
      <c r="C639" s="1243"/>
      <c r="D639" s="1266" t="s">
        <v>21</v>
      </c>
      <c r="E639" s="1243"/>
      <c r="F639" s="1243"/>
      <c r="G639" s="963"/>
      <c r="H639" s="168" t="s">
        <v>12</v>
      </c>
      <c r="I639" s="944"/>
      <c r="J639" s="944"/>
      <c r="K639" s="945"/>
      <c r="L639" s="831">
        <f t="shared" ref="L639:N639" ca="1" si="268">L640+L641</f>
        <v>0</v>
      </c>
      <c r="M639" s="831">
        <f t="shared" si="268"/>
        <v>0</v>
      </c>
      <c r="N639" s="831">
        <f t="shared" si="268"/>
        <v>0</v>
      </c>
      <c r="O639" s="831">
        <f t="shared" ref="O639:O641" ca="1" si="269">IF(L639&gt;0,N639*100/L639,0)</f>
        <v>0</v>
      </c>
      <c r="P639" s="831">
        <f t="shared" ref="P639:P641" si="270">IF(M639&gt;0,N639*100/M639,0)</f>
        <v>0</v>
      </c>
      <c r="Q639" s="1244"/>
      <c r="R639" s="1244"/>
      <c r="S639" s="1244"/>
      <c r="T639" s="1244"/>
      <c r="U639" s="1244"/>
      <c r="V639" s="1244"/>
      <c r="W639" s="1244"/>
      <c r="X639" s="1244"/>
      <c r="Y639" s="1244"/>
      <c r="Z639" s="1244"/>
    </row>
    <row r="640" spans="1:26" ht="18.75" hidden="1">
      <c r="A640" s="1260"/>
      <c r="B640" s="1265"/>
      <c r="C640" s="1261"/>
      <c r="D640" s="1261"/>
      <c r="E640" s="1261" t="s">
        <v>18</v>
      </c>
      <c r="F640" s="1261"/>
      <c r="G640" s="1263"/>
      <c r="H640" s="165" t="s">
        <v>12</v>
      </c>
      <c r="I640" s="947"/>
      <c r="J640" s="947"/>
      <c r="K640" s="948"/>
      <c r="L640" s="837">
        <v>0</v>
      </c>
      <c r="M640" s="837">
        <v>0</v>
      </c>
      <c r="N640" s="837">
        <v>0</v>
      </c>
      <c r="O640" s="837">
        <f t="shared" si="269"/>
        <v>0</v>
      </c>
      <c r="P640" s="837">
        <f t="shared" si="270"/>
        <v>0</v>
      </c>
      <c r="Q640" s="1264"/>
      <c r="R640" s="1264"/>
      <c r="S640" s="1264"/>
      <c r="T640" s="1264"/>
      <c r="U640" s="1264"/>
      <c r="V640" s="1264"/>
      <c r="W640" s="1264"/>
      <c r="X640" s="1264"/>
      <c r="Y640" s="1264"/>
      <c r="Z640" s="1264"/>
    </row>
    <row r="641" spans="1:26" ht="18.75" hidden="1">
      <c r="A641" s="1260"/>
      <c r="B641" s="1265"/>
      <c r="C641" s="1261"/>
      <c r="D641" s="1261"/>
      <c r="E641" s="1261" t="s">
        <v>19</v>
      </c>
      <c r="F641" s="1261"/>
      <c r="G641" s="1263"/>
      <c r="H641" s="169" t="s">
        <v>12</v>
      </c>
      <c r="I641" s="947"/>
      <c r="J641" s="947"/>
      <c r="K641" s="948"/>
      <c r="L641" s="837">
        <f ca="1">IFERROR(__xludf.DUMMYFUNCTION("IMPORTRANGE(""https://docs.google.com/spreadsheets/d/1QqKyyYR6Q21VydFLVH3TRQUabQu_ym0Zz7PgGX0-kHA/edit?usp=sharing"",""แผน!HQ27"")"),0)</f>
        <v>0</v>
      </c>
      <c r="M641" s="837">
        <v>0</v>
      </c>
      <c r="N641" s="837">
        <v>0</v>
      </c>
      <c r="O641" s="837">
        <f t="shared" ca="1" si="269"/>
        <v>0</v>
      </c>
      <c r="P641" s="837">
        <f t="shared" si="270"/>
        <v>0</v>
      </c>
      <c r="Q641" s="1264"/>
      <c r="R641" s="1264"/>
      <c r="S641" s="1264"/>
      <c r="T641" s="1264"/>
      <c r="U641" s="1264"/>
      <c r="V641" s="1264"/>
      <c r="W641" s="1264"/>
      <c r="X641" s="1264"/>
      <c r="Y641" s="1264"/>
      <c r="Z641" s="1264"/>
    </row>
    <row r="642" spans="1:26" ht="19.5" hidden="1">
      <c r="A642" s="1267"/>
      <c r="B642" s="1268"/>
      <c r="C642" s="1243" t="s">
        <v>16</v>
      </c>
      <c r="D642" s="1320" t="s">
        <v>38</v>
      </c>
      <c r="E642" s="1271"/>
      <c r="F642" s="1271"/>
      <c r="G642" s="1272"/>
      <c r="H642" s="954"/>
      <c r="I642" s="944"/>
      <c r="J642" s="944"/>
      <c r="K642" s="945"/>
      <c r="L642" s="945"/>
      <c r="M642" s="945"/>
      <c r="N642" s="945"/>
      <c r="O642" s="945"/>
      <c r="P642" s="945"/>
      <c r="Q642" s="1244"/>
      <c r="R642" s="1244"/>
      <c r="S642" s="1244"/>
      <c r="T642" s="1244"/>
      <c r="U642" s="1244"/>
      <c r="V642" s="1244"/>
      <c r="W642" s="1244"/>
      <c r="X642" s="1244"/>
      <c r="Y642" s="1244"/>
      <c r="Z642" s="1244"/>
    </row>
    <row r="643" spans="1:26" ht="18.75" hidden="1">
      <c r="A643" s="1368"/>
      <c r="B643" s="1242"/>
      <c r="C643" s="1243"/>
      <c r="D643" s="961"/>
      <c r="E643" s="1017" t="s">
        <v>271</v>
      </c>
      <c r="F643" s="961"/>
      <c r="G643" s="954"/>
      <c r="H643" s="730" t="s">
        <v>272</v>
      </c>
      <c r="I643" s="830">
        <f ca="1">IFERROR(__xludf.DUMMYFUNCTION("IMPORTRANGE(""https://docs.google.com/spreadsheets/d/1QqKyyYR6Q21VydFLVH3TRQUabQu_ym0Zz7PgGX0-kHA/edit?usp=sharing"",""แผน!HR27"")"),0)</f>
        <v>0</v>
      </c>
      <c r="J643" s="959">
        <v>0</v>
      </c>
      <c r="K643" s="945">
        <f t="shared" ref="K643:K652" ca="1" si="271">IF(I643&gt;0,J643*100/I643,0)</f>
        <v>0</v>
      </c>
      <c r="L643" s="945"/>
      <c r="M643" s="945"/>
      <c r="N643" s="831"/>
      <c r="O643" s="945"/>
      <c r="P643" s="945"/>
      <c r="Q643" s="1244"/>
      <c r="R643" s="1244"/>
      <c r="S643" s="1244"/>
      <c r="T643" s="1244"/>
      <c r="U643" s="1244"/>
      <c r="V643" s="1244"/>
      <c r="W643" s="1244"/>
      <c r="X643" s="1244"/>
      <c r="Y643" s="1244"/>
      <c r="Z643" s="1244"/>
    </row>
    <row r="644" spans="1:26" ht="18.75" hidden="1">
      <c r="A644" s="1368"/>
      <c r="B644" s="1242"/>
      <c r="C644" s="1243"/>
      <c r="D644" s="961"/>
      <c r="E644" s="1017" t="s">
        <v>273</v>
      </c>
      <c r="F644" s="961"/>
      <c r="G644" s="954"/>
      <c r="H644" s="730" t="s">
        <v>274</v>
      </c>
      <c r="I644" s="830">
        <f ca="1">IFERROR(__xludf.DUMMYFUNCTION("IMPORTRANGE(""https://docs.google.com/spreadsheets/d/1QqKyyYR6Q21VydFLVH3TRQUabQu_ym0Zz7PgGX0-kHA/edit?usp=sharing"",""แผน!HR27"")"),0)</f>
        <v>0</v>
      </c>
      <c r="J644" s="959">
        <v>0</v>
      </c>
      <c r="K644" s="945">
        <f t="shared" ca="1" si="271"/>
        <v>0</v>
      </c>
      <c r="L644" s="945"/>
      <c r="M644" s="945"/>
      <c r="N644" s="831"/>
      <c r="O644" s="945"/>
      <c r="P644" s="945"/>
      <c r="Q644" s="1244"/>
      <c r="R644" s="1244"/>
      <c r="S644" s="1244"/>
      <c r="T644" s="1244"/>
      <c r="U644" s="1244"/>
      <c r="V644" s="1244"/>
      <c r="W644" s="1244"/>
      <c r="X644" s="1244"/>
      <c r="Y644" s="1244"/>
      <c r="Z644" s="1244"/>
    </row>
    <row r="645" spans="1:26" ht="18.75" hidden="1">
      <c r="A645" s="1368"/>
      <c r="B645" s="1242"/>
      <c r="C645" s="1243"/>
      <c r="D645" s="961"/>
      <c r="E645" s="1017" t="s">
        <v>275</v>
      </c>
      <c r="F645" s="961"/>
      <c r="G645" s="954"/>
      <c r="H645" s="730" t="s">
        <v>34</v>
      </c>
      <c r="I645" s="830">
        <v>0</v>
      </c>
      <c r="J645" s="830">
        <f ca="1">IFERROR(__xludf.DUMMYFUNCTION("IMPORTRANGE(""https://docs.google.com/spreadsheets/d/1XWAQStnk-4SwqDmLtmXYiTMKHgktTP8We1SCoS47DrQ/edit?usp=sharing"",""จัดที่ดิน!AS27"")"),0)</f>
        <v>0</v>
      </c>
      <c r="K645" s="945">
        <f t="shared" si="271"/>
        <v>0</v>
      </c>
      <c r="L645" s="945"/>
      <c r="M645" s="945"/>
      <c r="N645" s="831"/>
      <c r="O645" s="945"/>
      <c r="P645" s="945"/>
      <c r="Q645" s="1244"/>
      <c r="R645" s="1244"/>
      <c r="S645" s="1244"/>
      <c r="T645" s="1244"/>
      <c r="U645" s="1244"/>
      <c r="V645" s="1244"/>
      <c r="W645" s="1244"/>
      <c r="X645" s="1244"/>
      <c r="Y645" s="1244"/>
      <c r="Z645" s="1244"/>
    </row>
    <row r="646" spans="1:26" ht="18.75" hidden="1">
      <c r="A646" s="1368"/>
      <c r="B646" s="1242"/>
      <c r="C646" s="1243"/>
      <c r="D646" s="961"/>
      <c r="E646" s="961"/>
      <c r="F646" s="961"/>
      <c r="G646" s="954"/>
      <c r="H646" s="730" t="s">
        <v>46</v>
      </c>
      <c r="I646" s="830">
        <v>0</v>
      </c>
      <c r="J646" s="830">
        <f ca="1">IFERROR(__xludf.DUMMYFUNCTION("IMPORTRANGE(""https://docs.google.com/spreadsheets/d/1XWAQStnk-4SwqDmLtmXYiTMKHgktTP8We1SCoS47DrQ/edit?usp=sharing"",""จัดที่ดิน!AT27"")"),0)</f>
        <v>0</v>
      </c>
      <c r="K646" s="831">
        <f t="shared" si="271"/>
        <v>0</v>
      </c>
      <c r="L646" s="945"/>
      <c r="M646" s="945"/>
      <c r="N646" s="831"/>
      <c r="O646" s="945"/>
      <c r="P646" s="945"/>
      <c r="Q646" s="1244"/>
      <c r="R646" s="1244"/>
      <c r="S646" s="1244"/>
      <c r="T646" s="1244"/>
      <c r="U646" s="1244"/>
      <c r="V646" s="1244"/>
      <c r="W646" s="1244"/>
      <c r="X646" s="1244"/>
      <c r="Y646" s="1244"/>
      <c r="Z646" s="1244"/>
    </row>
    <row r="647" spans="1:26" ht="18.75" hidden="1">
      <c r="A647" s="1368"/>
      <c r="B647" s="1242"/>
      <c r="C647" s="1243"/>
      <c r="D647" s="961"/>
      <c r="E647" s="1017" t="s">
        <v>162</v>
      </c>
      <c r="F647" s="961"/>
      <c r="G647" s="954"/>
      <c r="H647" s="730" t="s">
        <v>35</v>
      </c>
      <c r="I647" s="830">
        <f ca="1">IFERROR(__xludf.DUMMYFUNCTION("IMPORTRANGE(""https://docs.google.com/spreadsheets/d/1QqKyyYR6Q21VydFLVH3TRQUabQu_ym0Zz7PgGX0-kHA/edit?usp=sharing"",""แผน!HS27"")"),0)</f>
        <v>0</v>
      </c>
      <c r="J647" s="830">
        <f ca="1">IFERROR(__xludf.DUMMYFUNCTION("IMPORTRANGE(""https://docs.google.com/spreadsheets/d/1XWAQStnk-4SwqDmLtmXYiTMKHgktTP8We1SCoS47DrQ/edit?usp=sharing"",""จัดที่ดิน!AU27"")"),2)</f>
        <v>2</v>
      </c>
      <c r="K647" s="945">
        <f t="shared" ca="1" si="271"/>
        <v>0</v>
      </c>
      <c r="L647" s="945"/>
      <c r="M647" s="945"/>
      <c r="N647" s="945"/>
      <c r="O647" s="945"/>
      <c r="P647" s="945"/>
      <c r="Q647" s="1244"/>
      <c r="R647" s="1244"/>
      <c r="S647" s="1244"/>
      <c r="T647" s="1244"/>
      <c r="U647" s="1244"/>
      <c r="V647" s="1244"/>
      <c r="W647" s="1244"/>
      <c r="X647" s="1244"/>
      <c r="Y647" s="1244"/>
      <c r="Z647" s="1244"/>
    </row>
    <row r="648" spans="1:26" ht="18.75" hidden="1">
      <c r="A648" s="1368"/>
      <c r="B648" s="1242"/>
      <c r="C648" s="1243"/>
      <c r="D648" s="961"/>
      <c r="E648" s="961"/>
      <c r="F648" s="961"/>
      <c r="G648" s="954"/>
      <c r="H648" s="730" t="s">
        <v>46</v>
      </c>
      <c r="I648" s="830">
        <v>0</v>
      </c>
      <c r="J648" s="830">
        <f ca="1">IFERROR(__xludf.DUMMYFUNCTION("IMPORTRANGE(""https://docs.google.com/spreadsheets/d/1XWAQStnk-4SwqDmLtmXYiTMKHgktTP8We1SCoS47DrQ/edit?usp=sharing"",""จัดที่ดิน!AV27"")"),1.27)</f>
        <v>1.27</v>
      </c>
      <c r="K648" s="831">
        <f t="shared" si="271"/>
        <v>0</v>
      </c>
      <c r="L648" s="945"/>
      <c r="M648" s="945"/>
      <c r="N648" s="945"/>
      <c r="O648" s="945"/>
      <c r="P648" s="945"/>
      <c r="Q648" s="1244"/>
      <c r="R648" s="1244"/>
      <c r="S648" s="1244"/>
      <c r="T648" s="1244"/>
      <c r="U648" s="1244"/>
      <c r="V648" s="1244"/>
      <c r="W648" s="1244"/>
      <c r="X648" s="1244"/>
      <c r="Y648" s="1244"/>
      <c r="Z648" s="1244"/>
    </row>
    <row r="649" spans="1:26" ht="18.75" hidden="1">
      <c r="A649" s="1368"/>
      <c r="B649" s="1242"/>
      <c r="C649" s="1243"/>
      <c r="D649" s="961"/>
      <c r="E649" s="1017" t="s">
        <v>276</v>
      </c>
      <c r="F649" s="961"/>
      <c r="G649" s="954"/>
      <c r="H649" s="730" t="s">
        <v>35</v>
      </c>
      <c r="I649" s="830">
        <f ca="1">IFERROR(__xludf.DUMMYFUNCTION("IMPORTRANGE(""https://docs.google.com/spreadsheets/d/1QqKyyYR6Q21VydFLVH3TRQUabQu_ym0Zz7PgGX0-kHA/edit?usp=sharing"",""แผน!HS27"")"),0)</f>
        <v>0</v>
      </c>
      <c r="J649" s="830">
        <f ca="1">IFERROR(__xludf.DUMMYFUNCTION("IMPORTRANGE(""https://docs.google.com/spreadsheets/d/1XWAQStnk-4SwqDmLtmXYiTMKHgktTP8We1SCoS47DrQ/edit?usp=sharing"",""จัดที่ดิน!AW27"")"),0)</f>
        <v>0</v>
      </c>
      <c r="K649" s="945">
        <f t="shared" ca="1" si="271"/>
        <v>0</v>
      </c>
      <c r="L649" s="945"/>
      <c r="M649" s="945"/>
      <c r="N649" s="945"/>
      <c r="O649" s="945"/>
      <c r="P649" s="945"/>
      <c r="Q649" s="1244"/>
      <c r="R649" s="1244"/>
      <c r="S649" s="1244"/>
      <c r="T649" s="1244"/>
      <c r="U649" s="1244"/>
      <c r="V649" s="1244"/>
      <c r="W649" s="1244"/>
      <c r="X649" s="1244"/>
      <c r="Y649" s="1244"/>
      <c r="Z649" s="1244"/>
    </row>
    <row r="650" spans="1:26" ht="18.75" hidden="1">
      <c r="A650" s="1368"/>
      <c r="B650" s="1242"/>
      <c r="C650" s="1243"/>
      <c r="D650" s="961"/>
      <c r="E650" s="961"/>
      <c r="F650" s="961"/>
      <c r="G650" s="954"/>
      <c r="H650" s="730" t="s">
        <v>46</v>
      </c>
      <c r="I650" s="830">
        <v>0</v>
      </c>
      <c r="J650" s="830">
        <f ca="1">IFERROR(__xludf.DUMMYFUNCTION("IMPORTRANGE(""https://docs.google.com/spreadsheets/d/1XWAQStnk-4SwqDmLtmXYiTMKHgktTP8We1SCoS47DrQ/edit?usp=sharing"",""จัดที่ดิน!AX27"")"),0)</f>
        <v>0</v>
      </c>
      <c r="K650" s="831">
        <f t="shared" si="271"/>
        <v>0</v>
      </c>
      <c r="L650" s="945"/>
      <c r="M650" s="945"/>
      <c r="N650" s="945"/>
      <c r="O650" s="945"/>
      <c r="P650" s="945"/>
      <c r="Q650" s="1244"/>
      <c r="R650" s="1244"/>
      <c r="S650" s="1244"/>
      <c r="T650" s="1244"/>
      <c r="U650" s="1244"/>
      <c r="V650" s="1244"/>
      <c r="W650" s="1244"/>
      <c r="X650" s="1244"/>
      <c r="Y650" s="1244"/>
      <c r="Z650" s="1244"/>
    </row>
    <row r="651" spans="1:26" ht="18.75" hidden="1">
      <c r="A651" s="1368"/>
      <c r="B651" s="1242"/>
      <c r="C651" s="1243"/>
      <c r="D651" s="961"/>
      <c r="E651" s="1017" t="s">
        <v>277</v>
      </c>
      <c r="F651" s="961"/>
      <c r="G651" s="954"/>
      <c r="H651" s="730" t="s">
        <v>35</v>
      </c>
      <c r="I651" s="830">
        <f ca="1">IFERROR(__xludf.DUMMYFUNCTION("IMPORTRANGE(""https://docs.google.com/spreadsheets/d/1QqKyyYR6Q21VydFLVH3TRQUabQu_ym0Zz7PgGX0-kHA/edit?usp=sharing"",""แผน!HS27"")"),0)</f>
        <v>0</v>
      </c>
      <c r="J651" s="830">
        <f ca="1">IFERROR(__xludf.DUMMYFUNCTION("IMPORTRANGE(""https://docs.google.com/spreadsheets/d/1XWAQStnk-4SwqDmLtmXYiTMKHgktTP8We1SCoS47DrQ/edit?usp=sharing"",""จัดที่ดิน!AY27"")"),0)</f>
        <v>0</v>
      </c>
      <c r="K651" s="945">
        <f t="shared" ca="1" si="271"/>
        <v>0</v>
      </c>
      <c r="L651" s="945"/>
      <c r="M651" s="945"/>
      <c r="N651" s="945"/>
      <c r="O651" s="945"/>
      <c r="P651" s="945"/>
      <c r="Q651" s="1244"/>
      <c r="R651" s="1244"/>
      <c r="S651" s="1244"/>
      <c r="T651" s="1244"/>
      <c r="U651" s="1244"/>
      <c r="V651" s="1244"/>
      <c r="W651" s="1244"/>
      <c r="X651" s="1244"/>
      <c r="Y651" s="1244"/>
      <c r="Z651" s="1244"/>
    </row>
    <row r="652" spans="1:26" ht="18.75" hidden="1">
      <c r="A652" s="1369"/>
      <c r="B652" s="1370"/>
      <c r="C652" s="1371"/>
      <c r="D652" s="1116"/>
      <c r="E652" s="1116"/>
      <c r="F652" s="1116"/>
      <c r="G652" s="1361"/>
      <c r="H652" s="468" t="s">
        <v>46</v>
      </c>
      <c r="I652" s="1085">
        <v>0</v>
      </c>
      <c r="J652" s="1085">
        <f ca="1">IFERROR(__xludf.DUMMYFUNCTION("IMPORTRANGE(""https://docs.google.com/spreadsheets/d/1XWAQStnk-4SwqDmLtmXYiTMKHgktTP8We1SCoS47DrQ/edit?usp=sharing"",""จัดที่ดิน!AZ27"")"),0)</f>
        <v>0</v>
      </c>
      <c r="K652" s="1182">
        <f t="shared" si="271"/>
        <v>0</v>
      </c>
      <c r="L652" s="1086"/>
      <c r="M652" s="1086"/>
      <c r="N652" s="1086"/>
      <c r="O652" s="1086"/>
      <c r="P652" s="1086"/>
      <c r="Q652" s="1244"/>
      <c r="R652" s="1244"/>
      <c r="S652" s="1244"/>
      <c r="T652" s="1244"/>
      <c r="U652" s="1244"/>
      <c r="V652" s="1244"/>
      <c r="W652" s="1244"/>
      <c r="X652" s="1244"/>
      <c r="Y652" s="1244"/>
      <c r="Z652" s="1244"/>
    </row>
    <row r="653" spans="1:26" ht="19.5">
      <c r="A653" s="716">
        <v>8</v>
      </c>
      <c r="B653" s="1362" t="s">
        <v>278</v>
      </c>
      <c r="C653" s="1363"/>
      <c r="D653" s="1363"/>
      <c r="E653" s="1363"/>
      <c r="F653" s="1363"/>
      <c r="G653" s="1364"/>
      <c r="H653" s="1364"/>
      <c r="I653" s="1372"/>
      <c r="J653" s="1372"/>
      <c r="K653" s="1367"/>
      <c r="L653" s="1367"/>
      <c r="M653" s="1367"/>
      <c r="N653" s="1367"/>
      <c r="O653" s="1367"/>
      <c r="P653" s="1367"/>
      <c r="Q653" s="1244"/>
      <c r="R653" s="1244"/>
      <c r="S653" s="1244"/>
      <c r="T653" s="1244"/>
      <c r="U653" s="1244"/>
      <c r="V653" s="1244"/>
      <c r="W653" s="1244"/>
      <c r="X653" s="1244"/>
      <c r="Y653" s="1244"/>
      <c r="Z653" s="1244"/>
    </row>
    <row r="654" spans="1:26" ht="19.5">
      <c r="A654" s="1315"/>
      <c r="B654" s="1314" t="s">
        <v>279</v>
      </c>
      <c r="C654" s="1315"/>
      <c r="D654" s="1315"/>
      <c r="E654" s="1315"/>
      <c r="F654" s="1315"/>
      <c r="G654" s="1316"/>
      <c r="H654" s="673" t="s">
        <v>46</v>
      </c>
      <c r="I654" s="1317">
        <f t="shared" ref="I654:J654" ca="1" si="272">I669</f>
        <v>200</v>
      </c>
      <c r="J654" s="1317">
        <f t="shared" si="272"/>
        <v>0</v>
      </c>
      <c r="K654" s="1318">
        <f ca="1">IF(I654&gt;0,J654*100/I654,0)</f>
        <v>0</v>
      </c>
      <c r="L654" s="1319"/>
      <c r="M654" s="1319"/>
      <c r="N654" s="1319"/>
      <c r="O654" s="1319"/>
      <c r="P654" s="1319"/>
      <c r="Q654" s="1244"/>
      <c r="R654" s="1244"/>
      <c r="S654" s="1244"/>
      <c r="T654" s="1244"/>
      <c r="U654" s="1244"/>
      <c r="V654" s="1244"/>
      <c r="W654" s="1244"/>
      <c r="X654" s="1244"/>
      <c r="Y654" s="1244"/>
      <c r="Z654" s="1244"/>
    </row>
    <row r="655" spans="1:26" ht="19.5">
      <c r="A655" s="1259"/>
      <c r="B655" s="1243"/>
      <c r="C655" s="1243" t="s">
        <v>16</v>
      </c>
      <c r="D655" s="1507" t="s">
        <v>17</v>
      </c>
      <c r="E655" s="1485"/>
      <c r="F655" s="1485"/>
      <c r="G655" s="963"/>
      <c r="H655" s="563" t="s">
        <v>12</v>
      </c>
      <c r="I655" s="830"/>
      <c r="J655" s="830"/>
      <c r="K655" s="831"/>
      <c r="L655" s="967">
        <f t="shared" ref="L655:N655" ca="1" si="273">L656+L657</f>
        <v>18400</v>
      </c>
      <c r="M655" s="967">
        <f t="shared" si="273"/>
        <v>0</v>
      </c>
      <c r="N655" s="967">
        <f t="shared" si="273"/>
        <v>2000</v>
      </c>
      <c r="O655" s="967">
        <f t="shared" ref="O655:O660" ca="1" si="274">IF(L655&gt;0,N655*100/L655,0)</f>
        <v>10.869565217391305</v>
      </c>
      <c r="P655" s="967">
        <f t="shared" ref="P655:P660" si="275">IF(M655&gt;0,N655*100/M655,0)</f>
        <v>0</v>
      </c>
      <c r="Q655" s="1244"/>
      <c r="R655" s="1244"/>
      <c r="S655" s="1244"/>
      <c r="T655" s="1244"/>
      <c r="U655" s="1244"/>
      <c r="V655" s="1244"/>
      <c r="W655" s="1244"/>
      <c r="X655" s="1244"/>
      <c r="Y655" s="1244"/>
      <c r="Z655" s="1244"/>
    </row>
    <row r="656" spans="1:26" ht="18.75" hidden="1">
      <c r="A656" s="1260"/>
      <c r="B656" s="1261"/>
      <c r="C656" s="1261"/>
      <c r="D656" s="1262"/>
      <c r="E656" s="1261" t="s">
        <v>184</v>
      </c>
      <c r="F656" s="1261"/>
      <c r="G656" s="1263"/>
      <c r="H656" s="165" t="s">
        <v>12</v>
      </c>
      <c r="I656" s="836"/>
      <c r="J656" s="836"/>
      <c r="K656" s="837"/>
      <c r="L656" s="837">
        <f t="shared" ref="L656:N657" si="276">L659+L666</f>
        <v>0</v>
      </c>
      <c r="M656" s="837">
        <f t="shared" si="276"/>
        <v>0</v>
      </c>
      <c r="N656" s="837">
        <f t="shared" si="276"/>
        <v>0</v>
      </c>
      <c r="O656" s="837">
        <f t="shared" si="274"/>
        <v>0</v>
      </c>
      <c r="P656" s="837">
        <f t="shared" si="275"/>
        <v>0</v>
      </c>
      <c r="Q656" s="1264"/>
      <c r="R656" s="1264"/>
      <c r="S656" s="1264"/>
      <c r="T656" s="1264"/>
      <c r="U656" s="1264"/>
      <c r="V656" s="1264"/>
      <c r="W656" s="1264"/>
      <c r="X656" s="1264"/>
      <c r="Y656" s="1264"/>
      <c r="Z656" s="1264"/>
    </row>
    <row r="657" spans="1:26" ht="18.75" hidden="1">
      <c r="A657" s="1260"/>
      <c r="B657" s="1265"/>
      <c r="C657" s="1261"/>
      <c r="D657" s="1262"/>
      <c r="E657" s="1261" t="s">
        <v>185</v>
      </c>
      <c r="F657" s="1261"/>
      <c r="G657" s="1263"/>
      <c r="H657" s="165" t="s">
        <v>12</v>
      </c>
      <c r="I657" s="836"/>
      <c r="J657" s="836"/>
      <c r="K657" s="837"/>
      <c r="L657" s="837">
        <f t="shared" ca="1" si="276"/>
        <v>18400</v>
      </c>
      <c r="M657" s="837">
        <f t="shared" si="276"/>
        <v>0</v>
      </c>
      <c r="N657" s="837">
        <f t="shared" si="276"/>
        <v>2000</v>
      </c>
      <c r="O657" s="837">
        <f t="shared" ca="1" si="274"/>
        <v>10.869565217391305</v>
      </c>
      <c r="P657" s="837">
        <f t="shared" si="275"/>
        <v>0</v>
      </c>
      <c r="Q657" s="1264"/>
      <c r="R657" s="1264"/>
      <c r="S657" s="1264"/>
      <c r="T657" s="1264"/>
      <c r="U657" s="1264"/>
      <c r="V657" s="1264"/>
      <c r="W657" s="1264"/>
      <c r="X657" s="1264"/>
      <c r="Y657" s="1264"/>
      <c r="Z657" s="1264"/>
    </row>
    <row r="658" spans="1:26" ht="18.75">
      <c r="A658" s="1259"/>
      <c r="B658" s="1242"/>
      <c r="C658" s="1243"/>
      <c r="D658" s="1266" t="s">
        <v>20</v>
      </c>
      <c r="E658" s="1243"/>
      <c r="F658" s="1243"/>
      <c r="G658" s="963"/>
      <c r="H658" s="778" t="s">
        <v>12</v>
      </c>
      <c r="I658" s="944"/>
      <c r="J658" s="944"/>
      <c r="K658" s="945"/>
      <c r="L658" s="831">
        <f t="shared" ref="L658:N658" ca="1" si="277">L659+L660</f>
        <v>18400</v>
      </c>
      <c r="M658" s="831">
        <f t="shared" si="277"/>
        <v>0</v>
      </c>
      <c r="N658" s="831">
        <f t="shared" si="277"/>
        <v>2000</v>
      </c>
      <c r="O658" s="831">
        <f t="shared" ca="1" si="274"/>
        <v>10.869565217391305</v>
      </c>
      <c r="P658" s="831">
        <f t="shared" si="275"/>
        <v>0</v>
      </c>
      <c r="Q658" s="1244"/>
      <c r="R658" s="1244"/>
      <c r="S658" s="1244"/>
      <c r="T658" s="1244"/>
      <c r="U658" s="1244"/>
      <c r="V658" s="1244"/>
      <c r="W658" s="1244"/>
      <c r="X658" s="1244"/>
      <c r="Y658" s="1244"/>
      <c r="Z658" s="1244"/>
    </row>
    <row r="659" spans="1:26" ht="18.75" hidden="1">
      <c r="A659" s="1260"/>
      <c r="B659" s="1265"/>
      <c r="C659" s="1261"/>
      <c r="D659" s="1262"/>
      <c r="E659" s="1261" t="s">
        <v>184</v>
      </c>
      <c r="F659" s="1261"/>
      <c r="G659" s="1263"/>
      <c r="H659" s="165" t="s">
        <v>12</v>
      </c>
      <c r="I659" s="836"/>
      <c r="J659" s="836"/>
      <c r="K659" s="837"/>
      <c r="L659" s="837">
        <v>0</v>
      </c>
      <c r="M659" s="837">
        <v>0</v>
      </c>
      <c r="N659" s="837">
        <v>0</v>
      </c>
      <c r="O659" s="837">
        <f t="shared" si="274"/>
        <v>0</v>
      </c>
      <c r="P659" s="837">
        <f t="shared" si="275"/>
        <v>0</v>
      </c>
      <c r="Q659" s="1264"/>
      <c r="R659" s="1264"/>
      <c r="S659" s="1264"/>
      <c r="T659" s="1264"/>
      <c r="U659" s="1264"/>
      <c r="V659" s="1264"/>
      <c r="W659" s="1264"/>
      <c r="X659" s="1264"/>
      <c r="Y659" s="1264"/>
      <c r="Z659" s="1264"/>
    </row>
    <row r="660" spans="1:26" ht="18.75" hidden="1">
      <c r="A660" s="1260"/>
      <c r="B660" s="1265"/>
      <c r="C660" s="1261"/>
      <c r="D660" s="1262"/>
      <c r="E660" s="1261" t="s">
        <v>185</v>
      </c>
      <c r="F660" s="1261"/>
      <c r="G660" s="1263"/>
      <c r="H660" s="165" t="s">
        <v>12</v>
      </c>
      <c r="I660" s="836"/>
      <c r="J660" s="836"/>
      <c r="K660" s="837"/>
      <c r="L660" s="837">
        <f ca="1">IFERROR(__xludf.DUMMYFUNCTION("IMPORTRANGE(""https://docs.google.com/spreadsheets/d/1QqKyyYR6Q21VydFLVH3TRQUabQu_ym0Zz7PgGX0-kHA/edit?usp=sharing"",""แผน!HV27"")"),18400)</f>
        <v>18400</v>
      </c>
      <c r="M660" s="837">
        <v>0</v>
      </c>
      <c r="N660" s="837">
        <f>N661+N662+N663+N664</f>
        <v>2000</v>
      </c>
      <c r="O660" s="837">
        <f t="shared" ca="1" si="274"/>
        <v>10.869565217391305</v>
      </c>
      <c r="P660" s="837">
        <f t="shared" si="275"/>
        <v>0</v>
      </c>
      <c r="Q660" s="1264"/>
      <c r="R660" s="1264"/>
      <c r="S660" s="1264"/>
      <c r="T660" s="1264"/>
      <c r="U660" s="1264"/>
      <c r="V660" s="1264"/>
      <c r="W660" s="1264"/>
      <c r="X660" s="1264"/>
      <c r="Y660" s="1264"/>
      <c r="Z660" s="1264"/>
    </row>
    <row r="661" spans="1:26" ht="18.75">
      <c r="A661" s="1241"/>
      <c r="B661" s="1242"/>
      <c r="C661" s="1243"/>
      <c r="D661" s="1243"/>
      <c r="E661" s="1243"/>
      <c r="F661" s="1243" t="s">
        <v>186</v>
      </c>
      <c r="G661" s="963"/>
      <c r="H661" s="778" t="s">
        <v>12</v>
      </c>
      <c r="I661" s="830"/>
      <c r="J661" s="830"/>
      <c r="K661" s="831"/>
      <c r="L661" s="831"/>
      <c r="M661" s="831"/>
      <c r="N661" s="1031">
        <v>0</v>
      </c>
      <c r="O661" s="831"/>
      <c r="P661" s="831"/>
      <c r="Q661" s="1244"/>
      <c r="R661" s="1244"/>
      <c r="S661" s="1244"/>
      <c r="T661" s="1244"/>
      <c r="U661" s="1244"/>
      <c r="V661" s="1244"/>
      <c r="W661" s="1244"/>
      <c r="X661" s="1244"/>
      <c r="Y661" s="1244"/>
      <c r="Z661" s="1244"/>
    </row>
    <row r="662" spans="1:26" ht="18.75">
      <c r="A662" s="1241"/>
      <c r="B662" s="1242"/>
      <c r="C662" s="1243"/>
      <c r="D662" s="1243"/>
      <c r="E662" s="1243"/>
      <c r="F662" s="1243" t="s">
        <v>187</v>
      </c>
      <c r="G662" s="963"/>
      <c r="H662" s="778" t="s">
        <v>12</v>
      </c>
      <c r="I662" s="830"/>
      <c r="J662" s="830"/>
      <c r="K662" s="831"/>
      <c r="L662" s="831"/>
      <c r="M662" s="831"/>
      <c r="N662" s="1031">
        <v>0</v>
      </c>
      <c r="O662" s="831"/>
      <c r="P662" s="831"/>
      <c r="Q662" s="1244"/>
      <c r="R662" s="1244"/>
      <c r="S662" s="1244"/>
      <c r="T662" s="1244"/>
      <c r="U662" s="1244"/>
      <c r="V662" s="1244"/>
      <c r="W662" s="1244"/>
      <c r="X662" s="1244"/>
      <c r="Y662" s="1244"/>
      <c r="Z662" s="1244"/>
    </row>
    <row r="663" spans="1:26" ht="18.75">
      <c r="A663" s="1241"/>
      <c r="B663" s="1242"/>
      <c r="C663" s="1242"/>
      <c r="D663" s="1243"/>
      <c r="E663" s="1243"/>
      <c r="F663" s="1243" t="s">
        <v>188</v>
      </c>
      <c r="G663" s="963"/>
      <c r="H663" s="778" t="s">
        <v>12</v>
      </c>
      <c r="I663" s="830"/>
      <c r="J663" s="830"/>
      <c r="K663" s="831"/>
      <c r="L663" s="831"/>
      <c r="M663" s="831"/>
      <c r="N663" s="1031">
        <v>0</v>
      </c>
      <c r="O663" s="831"/>
      <c r="P663" s="831"/>
      <c r="Q663" s="1244"/>
      <c r="R663" s="1244"/>
      <c r="S663" s="1244"/>
      <c r="T663" s="1244"/>
      <c r="U663" s="1244"/>
      <c r="V663" s="1244"/>
      <c r="W663" s="1244"/>
      <c r="X663" s="1244"/>
      <c r="Y663" s="1244"/>
      <c r="Z663" s="1244"/>
    </row>
    <row r="664" spans="1:26" ht="18.75">
      <c r="A664" s="1241"/>
      <c r="B664" s="1242"/>
      <c r="C664" s="1242"/>
      <c r="D664" s="1242"/>
      <c r="E664" s="1243"/>
      <c r="F664" s="1243" t="s">
        <v>189</v>
      </c>
      <c r="G664" s="963"/>
      <c r="H664" s="778" t="s">
        <v>12</v>
      </c>
      <c r="I664" s="830"/>
      <c r="J664" s="830"/>
      <c r="K664" s="831"/>
      <c r="L664" s="831"/>
      <c r="M664" s="831"/>
      <c r="N664" s="1031">
        <v>2000</v>
      </c>
      <c r="O664" s="831"/>
      <c r="P664" s="831"/>
      <c r="Q664" s="1244"/>
      <c r="R664" s="1244"/>
      <c r="S664" s="1244"/>
      <c r="T664" s="1244"/>
      <c r="U664" s="1244"/>
      <c r="V664" s="1244"/>
      <c r="W664" s="1244"/>
      <c r="X664" s="1244"/>
      <c r="Y664" s="1244"/>
      <c r="Z664" s="1244"/>
    </row>
    <row r="665" spans="1:26" ht="18.75">
      <c r="A665" s="1259"/>
      <c r="B665" s="1242"/>
      <c r="C665" s="1242"/>
      <c r="D665" s="1266" t="s">
        <v>21</v>
      </c>
      <c r="E665" s="1243"/>
      <c r="F665" s="1243"/>
      <c r="G665" s="963"/>
      <c r="H665" s="168" t="s">
        <v>12</v>
      </c>
      <c r="I665" s="944"/>
      <c r="J665" s="944"/>
      <c r="K665" s="945"/>
      <c r="L665" s="831">
        <f t="shared" ref="L665:N665" si="278">L666+L667</f>
        <v>0</v>
      </c>
      <c r="M665" s="831">
        <f t="shared" si="278"/>
        <v>0</v>
      </c>
      <c r="N665" s="831">
        <f t="shared" si="278"/>
        <v>0</v>
      </c>
      <c r="O665" s="831">
        <f t="shared" ref="O665:O667" si="279">IF(L665&gt;0,N665*100/L665,0)</f>
        <v>0</v>
      </c>
      <c r="P665" s="831">
        <f t="shared" ref="P665:P667" si="280">IF(M665&gt;0,N665*100/M665,0)</f>
        <v>0</v>
      </c>
      <c r="Q665" s="1244"/>
      <c r="R665" s="1244"/>
      <c r="S665" s="1244"/>
      <c r="T665" s="1244"/>
      <c r="U665" s="1244"/>
      <c r="V665" s="1244"/>
      <c r="W665" s="1244"/>
      <c r="X665" s="1244"/>
      <c r="Y665" s="1244"/>
      <c r="Z665" s="1244"/>
    </row>
    <row r="666" spans="1:26" ht="18.75" hidden="1">
      <c r="A666" s="1260"/>
      <c r="B666" s="1265"/>
      <c r="C666" s="1265"/>
      <c r="D666" s="1265"/>
      <c r="E666" s="1261" t="s">
        <v>18</v>
      </c>
      <c r="F666" s="1261"/>
      <c r="G666" s="1263"/>
      <c r="H666" s="165" t="s">
        <v>12</v>
      </c>
      <c r="I666" s="947"/>
      <c r="J666" s="947"/>
      <c r="K666" s="948"/>
      <c r="L666" s="837">
        <v>0</v>
      </c>
      <c r="M666" s="837">
        <v>0</v>
      </c>
      <c r="N666" s="837">
        <v>0</v>
      </c>
      <c r="O666" s="837">
        <f t="shared" si="279"/>
        <v>0</v>
      </c>
      <c r="P666" s="837">
        <f t="shared" si="280"/>
        <v>0</v>
      </c>
      <c r="Q666" s="1264"/>
      <c r="R666" s="1264"/>
      <c r="S666" s="1264"/>
      <c r="T666" s="1264"/>
      <c r="U666" s="1264"/>
      <c r="V666" s="1264"/>
      <c r="W666" s="1264"/>
      <c r="X666" s="1264"/>
      <c r="Y666" s="1264"/>
      <c r="Z666" s="1264"/>
    </row>
    <row r="667" spans="1:26" ht="18.75" hidden="1">
      <c r="A667" s="1260"/>
      <c r="B667" s="1265"/>
      <c r="C667" s="1265"/>
      <c r="D667" s="1265"/>
      <c r="E667" s="1261" t="s">
        <v>19</v>
      </c>
      <c r="F667" s="1261"/>
      <c r="G667" s="1263"/>
      <c r="H667" s="169" t="s">
        <v>12</v>
      </c>
      <c r="I667" s="947"/>
      <c r="J667" s="947"/>
      <c r="K667" s="948"/>
      <c r="L667" s="837">
        <v>0</v>
      </c>
      <c r="M667" s="837">
        <v>0</v>
      </c>
      <c r="N667" s="837">
        <v>0</v>
      </c>
      <c r="O667" s="837">
        <f t="shared" si="279"/>
        <v>0</v>
      </c>
      <c r="P667" s="837">
        <f t="shared" si="280"/>
        <v>0</v>
      </c>
      <c r="Q667" s="1264"/>
      <c r="R667" s="1264"/>
      <c r="S667" s="1264"/>
      <c r="T667" s="1264"/>
      <c r="U667" s="1264"/>
      <c r="V667" s="1264"/>
      <c r="W667" s="1264"/>
      <c r="X667" s="1264"/>
      <c r="Y667" s="1264"/>
      <c r="Z667" s="1264"/>
    </row>
    <row r="668" spans="1:26" ht="19.5">
      <c r="A668" s="1267"/>
      <c r="B668" s="1268"/>
      <c r="C668" s="1242" t="s">
        <v>16</v>
      </c>
      <c r="D668" s="1269" t="s">
        <v>38</v>
      </c>
      <c r="E668" s="1271"/>
      <c r="F668" s="1271"/>
      <c r="G668" s="1272"/>
      <c r="H668" s="954"/>
      <c r="I668" s="944"/>
      <c r="J668" s="944"/>
      <c r="K668" s="945"/>
      <c r="L668" s="945"/>
      <c r="M668" s="945"/>
      <c r="N668" s="945"/>
      <c r="O668" s="945"/>
      <c r="P668" s="945"/>
      <c r="Q668" s="1244"/>
      <c r="R668" s="1244"/>
      <c r="S668" s="1244"/>
      <c r="T668" s="1244"/>
      <c r="U668" s="1244"/>
      <c r="V668" s="1244"/>
      <c r="W668" s="1244"/>
      <c r="X668" s="1244"/>
      <c r="Y668" s="1244"/>
      <c r="Z668" s="1244"/>
    </row>
    <row r="669" spans="1:26" ht="19.5">
      <c r="A669" s="1267"/>
      <c r="B669" s="1268"/>
      <c r="C669" s="1268"/>
      <c r="D669" s="1268" t="s">
        <v>280</v>
      </c>
      <c r="E669" s="961"/>
      <c r="F669" s="961"/>
      <c r="G669" s="954"/>
      <c r="H669" s="733" t="s">
        <v>46</v>
      </c>
      <c r="I669" s="966">
        <f ca="1">IFERROR(__xludf.DUMMYFUNCTION("IMPORTRANGE(""https://docs.google.com/spreadsheets/d/1QqKyyYR6Q21VydFLVH3TRQUabQu_ym0Zz7PgGX0-kHA/edit?usp=sharing"",""แผน!IA27"")"),200)</f>
        <v>200</v>
      </c>
      <c r="J669" s="966">
        <f>J675</f>
        <v>0</v>
      </c>
      <c r="K669" s="967">
        <f ca="1">IF(I669&gt;0,J669*100/I669,0)</f>
        <v>0</v>
      </c>
      <c r="L669" s="945"/>
      <c r="M669" s="945"/>
      <c r="N669" s="945"/>
      <c r="O669" s="945"/>
      <c r="P669" s="945"/>
      <c r="Q669" s="1244"/>
      <c r="R669" s="1244"/>
      <c r="S669" s="1244"/>
      <c r="T669" s="1244"/>
      <c r="U669" s="1244"/>
      <c r="V669" s="1244"/>
      <c r="W669" s="1244"/>
      <c r="X669" s="1244"/>
      <c r="Y669" s="1244"/>
      <c r="Z669" s="1244"/>
    </row>
    <row r="670" spans="1:26" ht="18.75">
      <c r="A670" s="1267"/>
      <c r="B670" s="1268"/>
      <c r="C670" s="1268"/>
      <c r="D670" s="1268"/>
      <c r="E670" s="961" t="s">
        <v>281</v>
      </c>
      <c r="F670" s="961"/>
      <c r="G670" s="954"/>
      <c r="H670" s="730" t="s">
        <v>66</v>
      </c>
      <c r="I670" s="830">
        <f ca="1">IFERROR(__xludf.DUMMYFUNCTION("IMPORTRANGE(""https://docs.google.com/spreadsheets/d/1QqKyyYR6Q21VydFLVH3TRQUabQu_ym0Zz7PgGX0-kHA/edit?usp=sharing"",""แผน!HZ27"")"),4)</f>
        <v>4</v>
      </c>
      <c r="J670" s="959">
        <v>4</v>
      </c>
      <c r="K670" s="831">
        <f ca="1">IF(I670&gt;0,(J670*100)/I670,0)</f>
        <v>100</v>
      </c>
      <c r="L670" s="945"/>
      <c r="M670" s="945"/>
      <c r="N670" s="945"/>
      <c r="O670" s="945"/>
      <c r="P670" s="945"/>
      <c r="Q670" s="1244"/>
      <c r="R670" s="1244"/>
      <c r="S670" s="1244"/>
      <c r="T670" s="1244"/>
      <c r="U670" s="1244"/>
      <c r="V670" s="1244"/>
      <c r="W670" s="1244"/>
      <c r="X670" s="1244"/>
      <c r="Y670" s="1244"/>
      <c r="Z670" s="1244"/>
    </row>
    <row r="671" spans="1:26" ht="18.75">
      <c r="A671" s="1267"/>
      <c r="B671" s="1268"/>
      <c r="C671" s="1268"/>
      <c r="D671" s="1268"/>
      <c r="E671" s="961" t="s">
        <v>282</v>
      </c>
      <c r="F671" s="961"/>
      <c r="G671" s="954"/>
      <c r="H671" s="730" t="s">
        <v>66</v>
      </c>
      <c r="I671" s="830">
        <f ca="1">IFERROR(__xludf.DUMMYFUNCTION("IMPORTRANGE(""https://docs.google.com/spreadsheets/d/1QqKyyYR6Q21VydFLVH3TRQUabQu_ym0Zz7PgGX0-kHA/edit?usp=sharing"",""แผน!HZ27"")"),4)</f>
        <v>4</v>
      </c>
      <c r="J671" s="959">
        <v>4</v>
      </c>
      <c r="K671" s="831">
        <f ca="1">IF(I$671&gt;0,J671*100/I$671,0)</f>
        <v>100</v>
      </c>
      <c r="L671" s="945"/>
      <c r="M671" s="945"/>
      <c r="N671" s="945"/>
      <c r="O671" s="945"/>
      <c r="P671" s="945"/>
      <c r="Q671" s="1244"/>
      <c r="R671" s="1244"/>
      <c r="S671" s="1244"/>
      <c r="T671" s="1244"/>
      <c r="U671" s="1244"/>
      <c r="V671" s="1244"/>
      <c r="W671" s="1244"/>
      <c r="X671" s="1244"/>
      <c r="Y671" s="1244"/>
      <c r="Z671" s="1244"/>
    </row>
    <row r="672" spans="1:26" ht="18.75">
      <c r="A672" s="1267"/>
      <c r="B672" s="1268"/>
      <c r="C672" s="1268"/>
      <c r="D672" s="1268"/>
      <c r="E672" s="961" t="s">
        <v>283</v>
      </c>
      <c r="F672" s="961"/>
      <c r="G672" s="954"/>
      <c r="H672" s="730" t="s">
        <v>46</v>
      </c>
      <c r="I672" s="830"/>
      <c r="J672" s="959">
        <v>646.95000000000005</v>
      </c>
      <c r="K672" s="831">
        <f t="shared" ref="K672:K675" ca="1" si="281">IF(I$669&gt;0,J672*100/I$669,0)</f>
        <v>323.47500000000002</v>
      </c>
      <c r="L672" s="945"/>
      <c r="M672" s="945"/>
      <c r="N672" s="945"/>
      <c r="O672" s="945"/>
      <c r="P672" s="945"/>
      <c r="Q672" s="1244"/>
      <c r="R672" s="1244"/>
      <c r="S672" s="1244"/>
      <c r="T672" s="1244"/>
      <c r="U672" s="1244"/>
      <c r="V672" s="1244"/>
      <c r="W672" s="1244"/>
      <c r="X672" s="1244"/>
      <c r="Y672" s="1244"/>
      <c r="Z672" s="1244"/>
    </row>
    <row r="673" spans="1:26" ht="18.75">
      <c r="A673" s="1267"/>
      <c r="B673" s="1268"/>
      <c r="C673" s="1268"/>
      <c r="D673" s="1268"/>
      <c r="E673" s="961" t="s">
        <v>284</v>
      </c>
      <c r="F673" s="961"/>
      <c r="G673" s="954"/>
      <c r="H673" s="730" t="s">
        <v>46</v>
      </c>
      <c r="I673" s="830"/>
      <c r="J673" s="959">
        <v>647</v>
      </c>
      <c r="K673" s="831">
        <f t="shared" ca="1" si="281"/>
        <v>323.5</v>
      </c>
      <c r="L673" s="945"/>
      <c r="M673" s="945"/>
      <c r="N673" s="945"/>
      <c r="O673" s="945"/>
      <c r="P673" s="945"/>
      <c r="Q673" s="1244"/>
      <c r="R673" s="1244"/>
      <c r="S673" s="1244"/>
      <c r="T673" s="1244"/>
      <c r="U673" s="1244"/>
      <c r="V673" s="1244"/>
      <c r="W673" s="1244"/>
      <c r="X673" s="1244"/>
      <c r="Y673" s="1244"/>
      <c r="Z673" s="1244"/>
    </row>
    <row r="674" spans="1:26" ht="18.75">
      <c r="A674" s="1267"/>
      <c r="B674" s="1268"/>
      <c r="C674" s="1268"/>
      <c r="D674" s="1268"/>
      <c r="E674" s="961" t="s">
        <v>285</v>
      </c>
      <c r="F674" s="961"/>
      <c r="G674" s="954"/>
      <c r="H674" s="730" t="s">
        <v>46</v>
      </c>
      <c r="I674" s="830"/>
      <c r="J674" s="959">
        <v>0</v>
      </c>
      <c r="K674" s="831">
        <f t="shared" ca="1" si="281"/>
        <v>0</v>
      </c>
      <c r="L674" s="945"/>
      <c r="M674" s="945"/>
      <c r="N674" s="945"/>
      <c r="O674" s="945"/>
      <c r="P674" s="945"/>
      <c r="Q674" s="1244"/>
      <c r="R674" s="1244"/>
      <c r="S674" s="1244"/>
      <c r="T674" s="1244"/>
      <c r="U674" s="1244"/>
      <c r="V674" s="1244"/>
      <c r="W674" s="1244"/>
      <c r="X674" s="1244"/>
      <c r="Y674" s="1244"/>
      <c r="Z674" s="1244"/>
    </row>
    <row r="675" spans="1:26" ht="19.5">
      <c r="A675" s="1267"/>
      <c r="B675" s="1268"/>
      <c r="C675" s="1268"/>
      <c r="D675" s="1268"/>
      <c r="E675" s="961" t="s">
        <v>286</v>
      </c>
      <c r="F675" s="961"/>
      <c r="G675" s="954"/>
      <c r="H675" s="730" t="s">
        <v>46</v>
      </c>
      <c r="I675" s="830"/>
      <c r="J675" s="966">
        <f>J676+J677</f>
        <v>0</v>
      </c>
      <c r="K675" s="967">
        <f t="shared" ca="1" si="281"/>
        <v>0</v>
      </c>
      <c r="L675" s="945"/>
      <c r="M675" s="945"/>
      <c r="N675" s="945"/>
      <c r="O675" s="945"/>
      <c r="P675" s="945"/>
      <c r="Q675" s="1244"/>
      <c r="R675" s="1244"/>
      <c r="S675" s="1244"/>
      <c r="T675" s="1244"/>
      <c r="U675" s="1244"/>
      <c r="V675" s="1244"/>
      <c r="W675" s="1244"/>
      <c r="X675" s="1244"/>
      <c r="Y675" s="1244"/>
      <c r="Z675" s="1244"/>
    </row>
    <row r="676" spans="1:26" ht="18.75">
      <c r="A676" s="1267"/>
      <c r="B676" s="1268"/>
      <c r="C676" s="1268"/>
      <c r="D676" s="1268"/>
      <c r="E676" s="961"/>
      <c r="F676" s="961" t="s">
        <v>287</v>
      </c>
      <c r="G676" s="954"/>
      <c r="H676" s="730" t="s">
        <v>46</v>
      </c>
      <c r="I676" s="830"/>
      <c r="J676" s="959">
        <v>0</v>
      </c>
      <c r="K676" s="831"/>
      <c r="L676" s="945"/>
      <c r="M676" s="945"/>
      <c r="N676" s="945"/>
      <c r="O676" s="945"/>
      <c r="P676" s="945"/>
      <c r="Q676" s="1244"/>
      <c r="R676" s="1244"/>
      <c r="S676" s="1244"/>
      <c r="T676" s="1244"/>
      <c r="U676" s="1244"/>
      <c r="V676" s="1244"/>
      <c r="W676" s="1244"/>
      <c r="X676" s="1244"/>
      <c r="Y676" s="1244"/>
      <c r="Z676" s="1244"/>
    </row>
    <row r="677" spans="1:26" ht="18.75">
      <c r="A677" s="1267"/>
      <c r="B677" s="1268"/>
      <c r="C677" s="1268"/>
      <c r="D677" s="1268"/>
      <c r="E677" s="961"/>
      <c r="F677" s="961" t="s">
        <v>288</v>
      </c>
      <c r="G677" s="954"/>
      <c r="H677" s="730" t="s">
        <v>46</v>
      </c>
      <c r="I677" s="830"/>
      <c r="J677" s="959">
        <v>0</v>
      </c>
      <c r="K677" s="831"/>
      <c r="L677" s="945"/>
      <c r="M677" s="945"/>
      <c r="N677" s="945"/>
      <c r="O677" s="945"/>
      <c r="P677" s="945"/>
      <c r="Q677" s="1244"/>
      <c r="R677" s="1244"/>
      <c r="S677" s="1244"/>
      <c r="T677" s="1244"/>
      <c r="U677" s="1244"/>
      <c r="V677" s="1244"/>
      <c r="W677" s="1244"/>
      <c r="X677" s="1244"/>
      <c r="Y677" s="1244"/>
      <c r="Z677" s="1244"/>
    </row>
    <row r="678" spans="1:26" ht="19.5">
      <c r="A678" s="1267"/>
      <c r="B678" s="1268"/>
      <c r="C678" s="1268"/>
      <c r="D678" s="1268" t="s">
        <v>289</v>
      </c>
      <c r="E678" s="961"/>
      <c r="F678" s="961"/>
      <c r="G678" s="954"/>
      <c r="H678" s="730" t="s">
        <v>46</v>
      </c>
      <c r="I678" s="966">
        <f ca="1">IFERROR(__xludf.DUMMYFUNCTION("IMPORTRANGE(""https://docs.google.com/spreadsheets/d/1QqKyyYR6Q21VydFLVH3TRQUabQu_ym0Zz7PgGX0-kHA/edit?usp=sharing"",""แผน!IB27"")"),0)</f>
        <v>0</v>
      </c>
      <c r="J678" s="966">
        <f>J679</f>
        <v>0</v>
      </c>
      <c r="K678" s="967">
        <f ca="1">IF(I678&gt;0,J678*100/I678,0)</f>
        <v>0</v>
      </c>
      <c r="L678" s="945"/>
      <c r="M678" s="945"/>
      <c r="N678" s="945"/>
      <c r="O678" s="945"/>
      <c r="P678" s="945"/>
      <c r="Q678" s="1244"/>
      <c r="R678" s="1244"/>
      <c r="S678" s="1244"/>
      <c r="T678" s="1244"/>
      <c r="U678" s="1244"/>
      <c r="V678" s="1244"/>
      <c r="W678" s="1244"/>
      <c r="X678" s="1244"/>
      <c r="Y678" s="1244"/>
      <c r="Z678" s="1244"/>
    </row>
    <row r="679" spans="1:26" ht="18.75">
      <c r="A679" s="1267"/>
      <c r="B679" s="1268"/>
      <c r="C679" s="1268"/>
      <c r="D679" s="1268"/>
      <c r="E679" s="961" t="s">
        <v>290</v>
      </c>
      <c r="F679" s="961"/>
      <c r="G679" s="954"/>
      <c r="H679" s="730" t="s">
        <v>46</v>
      </c>
      <c r="I679" s="830"/>
      <c r="J679" s="830">
        <f>J680+J681</f>
        <v>0</v>
      </c>
      <c r="K679" s="831"/>
      <c r="L679" s="945"/>
      <c r="M679" s="945"/>
      <c r="N679" s="945"/>
      <c r="O679" s="945"/>
      <c r="P679" s="945"/>
      <c r="Q679" s="1244"/>
      <c r="R679" s="1244"/>
      <c r="S679" s="1244"/>
      <c r="T679" s="1244"/>
      <c r="U679" s="1244"/>
      <c r="V679" s="1244"/>
      <c r="W679" s="1244"/>
      <c r="X679" s="1244"/>
      <c r="Y679" s="1244"/>
      <c r="Z679" s="1244"/>
    </row>
    <row r="680" spans="1:26" ht="18.75">
      <c r="A680" s="1267"/>
      <c r="B680" s="1268"/>
      <c r="C680" s="1268"/>
      <c r="D680" s="1268"/>
      <c r="E680" s="961"/>
      <c r="F680" s="961" t="s">
        <v>287</v>
      </c>
      <c r="G680" s="954"/>
      <c r="H680" s="730" t="s">
        <v>46</v>
      </c>
      <c r="I680" s="830"/>
      <c r="J680" s="959">
        <v>0</v>
      </c>
      <c r="K680" s="831"/>
      <c r="L680" s="945"/>
      <c r="M680" s="945"/>
      <c r="N680" s="945"/>
      <c r="O680" s="945"/>
      <c r="P680" s="945"/>
      <c r="Q680" s="1244"/>
      <c r="R680" s="1244"/>
      <c r="S680" s="1244"/>
      <c r="T680" s="1244"/>
      <c r="U680" s="1244"/>
      <c r="V680" s="1244"/>
      <c r="W680" s="1244"/>
      <c r="X680" s="1244"/>
      <c r="Y680" s="1244"/>
      <c r="Z680" s="1244"/>
    </row>
    <row r="681" spans="1:26" ht="18.75">
      <c r="A681" s="1267"/>
      <c r="B681" s="1268"/>
      <c r="C681" s="1268"/>
      <c r="D681" s="1268"/>
      <c r="E681" s="961"/>
      <c r="F681" s="961" t="s">
        <v>288</v>
      </c>
      <c r="G681" s="954"/>
      <c r="H681" s="730" t="s">
        <v>46</v>
      </c>
      <c r="I681" s="830"/>
      <c r="J681" s="959">
        <v>0</v>
      </c>
      <c r="K681" s="831"/>
      <c r="L681" s="945"/>
      <c r="M681" s="945"/>
      <c r="N681" s="945"/>
      <c r="O681" s="945"/>
      <c r="P681" s="945"/>
      <c r="Q681" s="1244"/>
      <c r="R681" s="1244"/>
      <c r="S681" s="1244"/>
      <c r="T681" s="1244"/>
      <c r="U681" s="1244"/>
      <c r="V681" s="1244"/>
      <c r="W681" s="1244"/>
      <c r="X681" s="1244"/>
      <c r="Y681" s="1244"/>
      <c r="Z681" s="1244"/>
    </row>
    <row r="682" spans="1:26" ht="18.75">
      <c r="A682" s="1267"/>
      <c r="B682" s="1268"/>
      <c r="C682" s="1268"/>
      <c r="D682" s="1268"/>
      <c r="E682" s="961" t="s">
        <v>291</v>
      </c>
      <c r="F682" s="961"/>
      <c r="G682" s="954"/>
      <c r="H682" s="730" t="s">
        <v>46</v>
      </c>
      <c r="I682" s="830"/>
      <c r="J682" s="959">
        <v>0</v>
      </c>
      <c r="K682" s="831"/>
      <c r="L682" s="945"/>
      <c r="M682" s="945"/>
      <c r="N682" s="945"/>
      <c r="O682" s="945"/>
      <c r="P682" s="945"/>
      <c r="Q682" s="1244"/>
      <c r="R682" s="1244"/>
      <c r="S682" s="1244"/>
      <c r="T682" s="1244"/>
      <c r="U682" s="1244"/>
      <c r="V682" s="1244"/>
      <c r="W682" s="1244"/>
      <c r="X682" s="1244"/>
      <c r="Y682" s="1244"/>
      <c r="Z682" s="1244"/>
    </row>
    <row r="683" spans="1:26" ht="18.75">
      <c r="A683" s="1267"/>
      <c r="B683" s="1268"/>
      <c r="C683" s="1268"/>
      <c r="D683" s="1268"/>
      <c r="E683" s="961"/>
      <c r="F683" s="961" t="s">
        <v>292</v>
      </c>
      <c r="G683" s="954"/>
      <c r="H683" s="730" t="s">
        <v>46</v>
      </c>
      <c r="I683" s="830"/>
      <c r="J683" s="959">
        <v>0</v>
      </c>
      <c r="K683" s="831"/>
      <c r="L683" s="945"/>
      <c r="M683" s="945"/>
      <c r="N683" s="945"/>
      <c r="O683" s="945"/>
      <c r="P683" s="945"/>
      <c r="Q683" s="1244"/>
      <c r="R683" s="1244"/>
      <c r="S683" s="1244"/>
      <c r="T683" s="1244"/>
      <c r="U683" s="1244"/>
      <c r="V683" s="1244"/>
      <c r="W683" s="1244"/>
      <c r="X683" s="1244"/>
      <c r="Y683" s="1244"/>
      <c r="Z683" s="1244"/>
    </row>
    <row r="684" spans="1:26" ht="19.5">
      <c r="A684" s="1373"/>
      <c r="B684" s="1374" t="s">
        <v>293</v>
      </c>
      <c r="C684" s="1373"/>
      <c r="D684" s="1373"/>
      <c r="E684" s="1373"/>
      <c r="F684" s="1373"/>
      <c r="G684" s="1375"/>
      <c r="H684" s="1375"/>
      <c r="I684" s="1376"/>
      <c r="J684" s="1376"/>
      <c r="K684" s="1377"/>
      <c r="L684" s="1377"/>
      <c r="M684" s="1377"/>
      <c r="N684" s="1377"/>
      <c r="O684" s="1377"/>
      <c r="P684" s="1377"/>
      <c r="Q684" s="1244"/>
      <c r="R684" s="1244"/>
      <c r="S684" s="1244"/>
      <c r="T684" s="1244"/>
      <c r="U684" s="1244"/>
      <c r="V684" s="1244"/>
      <c r="W684" s="1244"/>
      <c r="X684" s="1244"/>
      <c r="Y684" s="1244"/>
      <c r="Z684" s="1244"/>
    </row>
    <row r="685" spans="1:26" ht="19.5">
      <c r="A685" s="1259"/>
      <c r="B685" s="1243"/>
      <c r="C685" s="1243" t="s">
        <v>16</v>
      </c>
      <c r="D685" s="1507" t="s">
        <v>17</v>
      </c>
      <c r="E685" s="1485"/>
      <c r="F685" s="1485"/>
      <c r="G685" s="963"/>
      <c r="H685" s="563" t="s">
        <v>12</v>
      </c>
      <c r="I685" s="830"/>
      <c r="J685" s="830"/>
      <c r="K685" s="831"/>
      <c r="L685" s="967">
        <f t="shared" ref="L685:N685" ca="1" si="282">L686+L687</f>
        <v>40200</v>
      </c>
      <c r="M685" s="967">
        <f t="shared" si="282"/>
        <v>0</v>
      </c>
      <c r="N685" s="967">
        <f t="shared" si="282"/>
        <v>1000</v>
      </c>
      <c r="O685" s="967">
        <f t="shared" ref="O685:O688" ca="1" si="283">IF(L685&gt;0,N685*100/L685,0)</f>
        <v>2.4875621890547261</v>
      </c>
      <c r="P685" s="967">
        <f t="shared" ref="P685:P688" si="284">IF(M685&gt;0,N685*100/M685,0)</f>
        <v>0</v>
      </c>
      <c r="Q685" s="1244"/>
      <c r="R685" s="1244"/>
      <c r="S685" s="1244"/>
      <c r="T685" s="1244"/>
      <c r="U685" s="1244"/>
      <c r="V685" s="1244"/>
      <c r="W685" s="1244"/>
      <c r="X685" s="1244"/>
      <c r="Y685" s="1244"/>
      <c r="Z685" s="1244"/>
    </row>
    <row r="686" spans="1:26" ht="18.75" hidden="1">
      <c r="A686" s="1260"/>
      <c r="B686" s="1261"/>
      <c r="C686" s="1261"/>
      <c r="D686" s="1262"/>
      <c r="E686" s="1261" t="s">
        <v>184</v>
      </c>
      <c r="F686" s="1261"/>
      <c r="G686" s="1263"/>
      <c r="H686" s="165" t="s">
        <v>12</v>
      </c>
      <c r="I686" s="836"/>
      <c r="J686" s="836"/>
      <c r="K686" s="837"/>
      <c r="L686" s="837">
        <f t="shared" ref="L686:N687" si="285">L689+L696</f>
        <v>0</v>
      </c>
      <c r="M686" s="837">
        <f t="shared" si="285"/>
        <v>0</v>
      </c>
      <c r="N686" s="837">
        <f t="shared" si="285"/>
        <v>0</v>
      </c>
      <c r="O686" s="837">
        <f t="shared" si="283"/>
        <v>0</v>
      </c>
      <c r="P686" s="837">
        <f t="shared" si="284"/>
        <v>0</v>
      </c>
      <c r="Q686" s="1264"/>
      <c r="R686" s="1264"/>
      <c r="S686" s="1264"/>
      <c r="T686" s="1264"/>
      <c r="U686" s="1264"/>
      <c r="V686" s="1264"/>
      <c r="W686" s="1264"/>
      <c r="X686" s="1264"/>
      <c r="Y686" s="1264"/>
      <c r="Z686" s="1264"/>
    </row>
    <row r="687" spans="1:26" ht="18.75" hidden="1">
      <c r="A687" s="1260"/>
      <c r="B687" s="1265"/>
      <c r="C687" s="1261"/>
      <c r="D687" s="1262"/>
      <c r="E687" s="1261" t="s">
        <v>185</v>
      </c>
      <c r="F687" s="1261"/>
      <c r="G687" s="1263"/>
      <c r="H687" s="165" t="s">
        <v>12</v>
      </c>
      <c r="I687" s="836"/>
      <c r="J687" s="836"/>
      <c r="K687" s="837"/>
      <c r="L687" s="837">
        <f t="shared" ca="1" si="285"/>
        <v>40200</v>
      </c>
      <c r="M687" s="837">
        <f t="shared" si="285"/>
        <v>0</v>
      </c>
      <c r="N687" s="837">
        <f t="shared" si="285"/>
        <v>1000</v>
      </c>
      <c r="O687" s="837">
        <f t="shared" ca="1" si="283"/>
        <v>2.4875621890547261</v>
      </c>
      <c r="P687" s="837">
        <f t="shared" si="284"/>
        <v>0</v>
      </c>
      <c r="Q687" s="1264"/>
      <c r="R687" s="1264"/>
      <c r="S687" s="1264"/>
      <c r="T687" s="1264"/>
      <c r="U687" s="1264"/>
      <c r="V687" s="1264"/>
      <c r="W687" s="1264"/>
      <c r="X687" s="1264"/>
      <c r="Y687" s="1264"/>
      <c r="Z687" s="1264"/>
    </row>
    <row r="688" spans="1:26" ht="18.75">
      <c r="A688" s="1259"/>
      <c r="B688" s="1242"/>
      <c r="C688" s="1243"/>
      <c r="D688" s="1266" t="s">
        <v>20</v>
      </c>
      <c r="E688" s="1243"/>
      <c r="F688" s="1243"/>
      <c r="G688" s="963"/>
      <c r="H688" s="778" t="s">
        <v>12</v>
      </c>
      <c r="I688" s="944"/>
      <c r="J688" s="944"/>
      <c r="K688" s="945"/>
      <c r="L688" s="831">
        <f t="shared" ref="L688:N688" ca="1" si="286">L689+L690</f>
        <v>40200</v>
      </c>
      <c r="M688" s="831">
        <f t="shared" si="286"/>
        <v>0</v>
      </c>
      <c r="N688" s="831">
        <f t="shared" si="286"/>
        <v>1000</v>
      </c>
      <c r="O688" s="831">
        <f t="shared" ca="1" si="283"/>
        <v>2.4875621890547261</v>
      </c>
      <c r="P688" s="831">
        <f t="shared" si="284"/>
        <v>0</v>
      </c>
      <c r="Q688" s="1244"/>
      <c r="R688" s="1244"/>
      <c r="S688" s="1244"/>
      <c r="T688" s="1244"/>
      <c r="U688" s="1244"/>
      <c r="V688" s="1244"/>
      <c r="W688" s="1244"/>
      <c r="X688" s="1244"/>
      <c r="Y688" s="1244"/>
      <c r="Z688" s="1244"/>
    </row>
    <row r="689" spans="1:26" ht="18.75" hidden="1">
      <c r="A689" s="1260"/>
      <c r="B689" s="1265"/>
      <c r="C689" s="1261"/>
      <c r="D689" s="1262"/>
      <c r="E689" s="1261" t="s">
        <v>184</v>
      </c>
      <c r="F689" s="1261"/>
      <c r="G689" s="1263"/>
      <c r="H689" s="165" t="s">
        <v>12</v>
      </c>
      <c r="I689" s="836"/>
      <c r="J689" s="836"/>
      <c r="K689" s="837"/>
      <c r="L689" s="837">
        <v>0</v>
      </c>
      <c r="M689" s="837">
        <v>0</v>
      </c>
      <c r="N689" s="837">
        <v>0</v>
      </c>
      <c r="O689" s="837"/>
      <c r="P689" s="837"/>
      <c r="Q689" s="1264"/>
      <c r="R689" s="1264"/>
      <c r="S689" s="1264"/>
      <c r="T689" s="1264"/>
      <c r="U689" s="1264"/>
      <c r="V689" s="1264"/>
      <c r="W689" s="1264"/>
      <c r="X689" s="1264"/>
      <c r="Y689" s="1264"/>
      <c r="Z689" s="1264"/>
    </row>
    <row r="690" spans="1:26" ht="18.75" hidden="1">
      <c r="A690" s="1260"/>
      <c r="B690" s="1265"/>
      <c r="C690" s="1261"/>
      <c r="D690" s="1262"/>
      <c r="E690" s="1261" t="s">
        <v>185</v>
      </c>
      <c r="F690" s="1261"/>
      <c r="G690" s="1263"/>
      <c r="H690" s="165" t="s">
        <v>12</v>
      </c>
      <c r="I690" s="836"/>
      <c r="J690" s="836"/>
      <c r="K690" s="837"/>
      <c r="L690" s="837">
        <f ca="1">IFERROR(__xludf.DUMMYFUNCTION("IMPORTRANGE(""https://docs.google.com/spreadsheets/d/1QqKyyYR6Q21VydFLVH3TRQUabQu_ym0Zz7PgGX0-kHA/edit?usp=sharing"",""แผน!HW27"")"),40200)</f>
        <v>40200</v>
      </c>
      <c r="M690" s="837">
        <v>0</v>
      </c>
      <c r="N690" s="837">
        <f>N691+N692+N693+N694</f>
        <v>1000</v>
      </c>
      <c r="O690" s="837">
        <f ca="1">IF(L690&gt;0,N690*100/L690,0)</f>
        <v>2.4875621890547261</v>
      </c>
      <c r="P690" s="837">
        <f>IF(M690&gt;0,N690*100/M690,0)</f>
        <v>0</v>
      </c>
      <c r="Q690" s="1264"/>
      <c r="R690" s="1264"/>
      <c r="S690" s="1264"/>
      <c r="T690" s="1264"/>
      <c r="U690" s="1264"/>
      <c r="V690" s="1264"/>
      <c r="W690" s="1264"/>
      <c r="X690" s="1264"/>
      <c r="Y690" s="1264"/>
      <c r="Z690" s="1264"/>
    </row>
    <row r="691" spans="1:26" ht="18.75">
      <c r="A691" s="1241"/>
      <c r="B691" s="1242"/>
      <c r="C691" s="1243"/>
      <c r="D691" s="1243"/>
      <c r="E691" s="1243"/>
      <c r="F691" s="1243" t="s">
        <v>186</v>
      </c>
      <c r="G691" s="963"/>
      <c r="H691" s="778" t="s">
        <v>12</v>
      </c>
      <c r="I691" s="830"/>
      <c r="J691" s="830"/>
      <c r="K691" s="831"/>
      <c r="L691" s="831"/>
      <c r="M691" s="831"/>
      <c r="N691" s="1031">
        <v>0</v>
      </c>
      <c r="O691" s="831"/>
      <c r="P691" s="831"/>
      <c r="Q691" s="1244"/>
      <c r="R691" s="1244"/>
      <c r="S691" s="1244"/>
      <c r="T691" s="1244"/>
      <c r="U691" s="1244"/>
      <c r="V691" s="1244"/>
      <c r="W691" s="1244"/>
      <c r="X691" s="1244"/>
      <c r="Y691" s="1244"/>
      <c r="Z691" s="1244"/>
    </row>
    <row r="692" spans="1:26" ht="18.75">
      <c r="A692" s="1241"/>
      <c r="B692" s="1242"/>
      <c r="C692" s="1243"/>
      <c r="D692" s="1243"/>
      <c r="E692" s="1243"/>
      <c r="F692" s="1243" t="s">
        <v>187</v>
      </c>
      <c r="G692" s="963"/>
      <c r="H692" s="778" t="s">
        <v>12</v>
      </c>
      <c r="I692" s="830"/>
      <c r="J692" s="830"/>
      <c r="K692" s="831"/>
      <c r="L692" s="831"/>
      <c r="M692" s="831"/>
      <c r="N692" s="1031">
        <v>0</v>
      </c>
      <c r="O692" s="831"/>
      <c r="P692" s="831"/>
      <c r="Q692" s="1244"/>
      <c r="R692" s="1244"/>
      <c r="S692" s="1244"/>
      <c r="T692" s="1244"/>
      <c r="U692" s="1244"/>
      <c r="V692" s="1244"/>
      <c r="W692" s="1244"/>
      <c r="X692" s="1244"/>
      <c r="Y692" s="1244"/>
      <c r="Z692" s="1244"/>
    </row>
    <row r="693" spans="1:26" ht="18.75">
      <c r="A693" s="1241"/>
      <c r="B693" s="1242"/>
      <c r="C693" s="1243"/>
      <c r="D693" s="1243"/>
      <c r="E693" s="1243"/>
      <c r="F693" s="1243" t="s">
        <v>188</v>
      </c>
      <c r="G693" s="963"/>
      <c r="H693" s="778" t="s">
        <v>12</v>
      </c>
      <c r="I693" s="830"/>
      <c r="J693" s="830"/>
      <c r="K693" s="831"/>
      <c r="L693" s="831"/>
      <c r="M693" s="831"/>
      <c r="N693" s="1031">
        <v>0</v>
      </c>
      <c r="O693" s="831"/>
      <c r="P693" s="831"/>
      <c r="Q693" s="1244"/>
      <c r="R693" s="1244"/>
      <c r="S693" s="1244"/>
      <c r="T693" s="1244"/>
      <c r="U693" s="1244"/>
      <c r="V693" s="1244"/>
      <c r="W693" s="1244"/>
      <c r="X693" s="1244"/>
      <c r="Y693" s="1244"/>
      <c r="Z693" s="1244"/>
    </row>
    <row r="694" spans="1:26" ht="18.75">
      <c r="A694" s="1241"/>
      <c r="B694" s="1242"/>
      <c r="C694" s="1243"/>
      <c r="D694" s="1243"/>
      <c r="E694" s="1243"/>
      <c r="F694" s="1243" t="s">
        <v>189</v>
      </c>
      <c r="G694" s="963"/>
      <c r="H694" s="778" t="s">
        <v>12</v>
      </c>
      <c r="I694" s="830"/>
      <c r="J694" s="830"/>
      <c r="K694" s="831"/>
      <c r="L694" s="831"/>
      <c r="M694" s="831"/>
      <c r="N694" s="1031">
        <v>1000</v>
      </c>
      <c r="O694" s="831"/>
      <c r="P694" s="831"/>
      <c r="Q694" s="1244"/>
      <c r="R694" s="1244"/>
      <c r="S694" s="1244"/>
      <c r="T694" s="1244"/>
      <c r="U694" s="1244"/>
      <c r="V694" s="1244"/>
      <c r="W694" s="1244"/>
      <c r="X694" s="1244"/>
      <c r="Y694" s="1244"/>
      <c r="Z694" s="1244"/>
    </row>
    <row r="695" spans="1:26" ht="18.75">
      <c r="A695" s="1259"/>
      <c r="B695" s="1242"/>
      <c r="C695" s="1243"/>
      <c r="D695" s="1266" t="s">
        <v>21</v>
      </c>
      <c r="E695" s="1243"/>
      <c r="F695" s="1243"/>
      <c r="G695" s="963"/>
      <c r="H695" s="168" t="s">
        <v>12</v>
      </c>
      <c r="I695" s="944"/>
      <c r="J695" s="944"/>
      <c r="K695" s="945"/>
      <c r="L695" s="831">
        <f t="shared" ref="L695:N695" si="287">L696+L697</f>
        <v>0</v>
      </c>
      <c r="M695" s="831">
        <f t="shared" si="287"/>
        <v>0</v>
      </c>
      <c r="N695" s="831">
        <f t="shared" si="287"/>
        <v>0</v>
      </c>
      <c r="O695" s="831">
        <f t="shared" ref="O695:O697" si="288">IF(L695&gt;0,N695*100/L695,0)</f>
        <v>0</v>
      </c>
      <c r="P695" s="831">
        <f t="shared" ref="P695:P697" si="289">IF(M695&gt;0,N695*100/M695,0)</f>
        <v>0</v>
      </c>
      <c r="Q695" s="1244"/>
      <c r="R695" s="1244"/>
      <c r="S695" s="1244"/>
      <c r="T695" s="1244"/>
      <c r="U695" s="1244"/>
      <c r="V695" s="1244"/>
      <c r="W695" s="1244"/>
      <c r="X695" s="1244"/>
      <c r="Y695" s="1244"/>
      <c r="Z695" s="1244"/>
    </row>
    <row r="696" spans="1:26" ht="18.75" hidden="1">
      <c r="A696" s="1260"/>
      <c r="B696" s="1265"/>
      <c r="C696" s="1261"/>
      <c r="D696" s="1261"/>
      <c r="E696" s="1261" t="s">
        <v>18</v>
      </c>
      <c r="F696" s="1261"/>
      <c r="G696" s="1263"/>
      <c r="H696" s="165" t="s">
        <v>12</v>
      </c>
      <c r="I696" s="947"/>
      <c r="J696" s="947"/>
      <c r="K696" s="948"/>
      <c r="L696" s="837">
        <v>0</v>
      </c>
      <c r="M696" s="837">
        <v>0</v>
      </c>
      <c r="N696" s="837">
        <v>0</v>
      </c>
      <c r="O696" s="837">
        <f t="shared" si="288"/>
        <v>0</v>
      </c>
      <c r="P696" s="837">
        <f t="shared" si="289"/>
        <v>0</v>
      </c>
      <c r="Q696" s="1264"/>
      <c r="R696" s="1264"/>
      <c r="S696" s="1264"/>
      <c r="T696" s="1264"/>
      <c r="U696" s="1264"/>
      <c r="V696" s="1264"/>
      <c r="W696" s="1264"/>
      <c r="X696" s="1264"/>
      <c r="Y696" s="1264"/>
      <c r="Z696" s="1264"/>
    </row>
    <row r="697" spans="1:26" ht="18.75" hidden="1">
      <c r="A697" s="1260"/>
      <c r="B697" s="1265"/>
      <c r="C697" s="1261"/>
      <c r="D697" s="1261"/>
      <c r="E697" s="1261" t="s">
        <v>19</v>
      </c>
      <c r="F697" s="1261"/>
      <c r="G697" s="1263"/>
      <c r="H697" s="169" t="s">
        <v>12</v>
      </c>
      <c r="I697" s="947"/>
      <c r="J697" s="947"/>
      <c r="K697" s="948"/>
      <c r="L697" s="837">
        <v>0</v>
      </c>
      <c r="M697" s="837">
        <v>0</v>
      </c>
      <c r="N697" s="837">
        <v>0</v>
      </c>
      <c r="O697" s="837">
        <f t="shared" si="288"/>
        <v>0</v>
      </c>
      <c r="P697" s="837">
        <f t="shared" si="289"/>
        <v>0</v>
      </c>
      <c r="Q697" s="1264"/>
      <c r="R697" s="1264"/>
      <c r="S697" s="1264"/>
      <c r="T697" s="1264"/>
      <c r="U697" s="1264"/>
      <c r="V697" s="1264"/>
      <c r="W697" s="1264"/>
      <c r="X697" s="1264"/>
      <c r="Y697" s="1264"/>
      <c r="Z697" s="1264"/>
    </row>
    <row r="698" spans="1:26" ht="19.5">
      <c r="A698" s="1267"/>
      <c r="B698" s="1268"/>
      <c r="C698" s="1243" t="s">
        <v>16</v>
      </c>
      <c r="D698" s="1378" t="s">
        <v>38</v>
      </c>
      <c r="E698" s="1271"/>
      <c r="F698" s="1271"/>
      <c r="G698" s="1272"/>
      <c r="H698" s="954"/>
      <c r="I698" s="944"/>
      <c r="J698" s="944"/>
      <c r="K698" s="945"/>
      <c r="L698" s="945"/>
      <c r="M698" s="945"/>
      <c r="N698" s="945"/>
      <c r="O698" s="945"/>
      <c r="P698" s="945"/>
      <c r="Q698" s="1244"/>
      <c r="R698" s="1244"/>
      <c r="S698" s="1244"/>
      <c r="T698" s="1244"/>
      <c r="U698" s="1244"/>
      <c r="V698" s="1244"/>
      <c r="W698" s="1244"/>
      <c r="X698" s="1244"/>
      <c r="Y698" s="1244"/>
      <c r="Z698" s="1244"/>
    </row>
    <row r="699" spans="1:26" ht="18.75">
      <c r="A699" s="1368"/>
      <c r="B699" s="1243"/>
      <c r="C699" s="1243"/>
      <c r="D699" s="1243" t="s">
        <v>294</v>
      </c>
      <c r="E699" s="1243"/>
      <c r="F699" s="1243"/>
      <c r="G699" s="963"/>
      <c r="H699" s="730" t="s">
        <v>46</v>
      </c>
      <c r="I699" s="1379">
        <f ca="1">IFERROR(__xludf.DUMMYFUNCTION("IMPORTRANGE(""https://docs.google.com/spreadsheets/d/1QqKyyYR6Q21VydFLVH3TRQUabQu_ym0Zz7PgGX0-kHA/edit?usp=sharing"",""แผน!IC27"")"),0)</f>
        <v>0</v>
      </c>
      <c r="J699" s="830">
        <f ca="1">IFERROR(__xludf.DUMMYFUNCTION("IMPORTRANGE(""https://docs.google.com/spreadsheets/d/1XWAQStnk-4SwqDmLtmXYiTMKHgktTP8We1SCoS47DrQ/edit?usp=sharing"",""จัดที่ดิน!BB27"")"),0)</f>
        <v>0</v>
      </c>
      <c r="K699" s="831">
        <f t="shared" ref="K699:K701" ca="1" si="290">IF(I699&gt;0,J699*100/I699,0)</f>
        <v>0</v>
      </c>
      <c r="L699" s="831"/>
      <c r="M699" s="963"/>
      <c r="N699" s="1380"/>
      <c r="O699" s="831"/>
      <c r="P699" s="831"/>
      <c r="Q699" s="1244"/>
      <c r="R699" s="1244"/>
      <c r="S699" s="1244"/>
      <c r="T699" s="1244"/>
      <c r="U699" s="1244"/>
      <c r="V699" s="1244"/>
      <c r="W699" s="1244"/>
      <c r="X699" s="1244"/>
      <c r="Y699" s="1244"/>
      <c r="Z699" s="1244"/>
    </row>
    <row r="700" spans="1:26" ht="18.75">
      <c r="A700" s="1368"/>
      <c r="B700" s="1243"/>
      <c r="C700" s="1243"/>
      <c r="D700" s="1243" t="s">
        <v>295</v>
      </c>
      <c r="E700" s="1243"/>
      <c r="F700" s="1243"/>
      <c r="G700" s="963"/>
      <c r="H700" s="730" t="s">
        <v>35</v>
      </c>
      <c r="I700" s="1379">
        <f ca="1">IFERROR(__xludf.DUMMYFUNCTION("IMPORTRANGE(""https://docs.google.com/spreadsheets/d/1QqKyyYR6Q21VydFLVH3TRQUabQu_ym0Zz7PgGX0-kHA/edit?usp=sharing"",""แผน!ID27"")"),30)</f>
        <v>30</v>
      </c>
      <c r="J700" s="830">
        <f ca="1">IFERROR(__xludf.DUMMYFUNCTION("IMPORTRANGE(""https://docs.google.com/spreadsheets/d/1XWAQStnk-4SwqDmLtmXYiTMKHgktTP8We1SCoS47DrQ/edit?usp=sharing"",""จัดที่ดิน!BD27"")"),3)</f>
        <v>3</v>
      </c>
      <c r="K700" s="831">
        <f t="shared" ca="1" si="290"/>
        <v>10</v>
      </c>
      <c r="L700" s="831"/>
      <c r="M700" s="963"/>
      <c r="N700" s="1380"/>
      <c r="O700" s="831"/>
      <c r="P700" s="831"/>
      <c r="Q700" s="1244"/>
      <c r="R700" s="1244"/>
      <c r="S700" s="1244"/>
      <c r="T700" s="1244"/>
      <c r="U700" s="1244"/>
      <c r="V700" s="1244"/>
      <c r="W700" s="1244"/>
      <c r="X700" s="1244"/>
      <c r="Y700" s="1244"/>
      <c r="Z700" s="1244"/>
    </row>
    <row r="701" spans="1:26" ht="19.5">
      <c r="A701" s="1368"/>
      <c r="B701" s="1243"/>
      <c r="C701" s="1243"/>
      <c r="D701" s="1243" t="s">
        <v>296</v>
      </c>
      <c r="E701" s="1243"/>
      <c r="F701" s="1243"/>
      <c r="G701" s="963"/>
      <c r="H701" s="733" t="s">
        <v>46</v>
      </c>
      <c r="I701" s="1381">
        <f ca="1">IFERROR(__xludf.DUMMYFUNCTION("IMPORTRANGE(""https://docs.google.com/spreadsheets/d/1QqKyyYR6Q21VydFLVH3TRQUabQu_ym0Zz7PgGX0-kHA/edit?usp=sharing"",""แผน!IE27"")"),200)</f>
        <v>200</v>
      </c>
      <c r="J701" s="966">
        <f>J704+J707</f>
        <v>0</v>
      </c>
      <c r="K701" s="967">
        <f t="shared" ca="1" si="290"/>
        <v>0</v>
      </c>
      <c r="L701" s="831"/>
      <c r="M701" s="963"/>
      <c r="N701" s="1380"/>
      <c r="O701" s="831"/>
      <c r="P701" s="831"/>
      <c r="Q701" s="1244"/>
      <c r="R701" s="1244"/>
      <c r="S701" s="1244"/>
      <c r="T701" s="1244"/>
      <c r="U701" s="1244"/>
      <c r="V701" s="1244"/>
      <c r="W701" s="1244"/>
      <c r="X701" s="1244"/>
      <c r="Y701" s="1244"/>
      <c r="Z701" s="1244"/>
    </row>
    <row r="702" spans="1:26" ht="18.75">
      <c r="A702" s="1368"/>
      <c r="B702" s="1243"/>
      <c r="C702" s="1243"/>
      <c r="D702" s="1243"/>
      <c r="E702" s="1243" t="s">
        <v>297</v>
      </c>
      <c r="F702" s="1243"/>
      <c r="G702" s="963"/>
      <c r="H702" s="730" t="s">
        <v>35</v>
      </c>
      <c r="I702" s="1379"/>
      <c r="J702" s="959">
        <v>0</v>
      </c>
      <c r="K702" s="831"/>
      <c r="L702" s="831"/>
      <c r="M702" s="963"/>
      <c r="N702" s="1380"/>
      <c r="O702" s="831"/>
      <c r="P702" s="831"/>
      <c r="Q702" s="1244"/>
      <c r="R702" s="1244"/>
      <c r="S702" s="1244"/>
      <c r="T702" s="1244"/>
      <c r="U702" s="1244"/>
      <c r="V702" s="1244"/>
      <c r="W702" s="1244"/>
      <c r="X702" s="1244"/>
      <c r="Y702" s="1244"/>
      <c r="Z702" s="1244"/>
    </row>
    <row r="703" spans="1:26" ht="18.75">
      <c r="A703" s="1368"/>
      <c r="B703" s="1243"/>
      <c r="C703" s="1243"/>
      <c r="D703" s="1243"/>
      <c r="E703" s="1243"/>
      <c r="F703" s="1243"/>
      <c r="G703" s="963"/>
      <c r="H703" s="730" t="s">
        <v>34</v>
      </c>
      <c r="I703" s="1379"/>
      <c r="J703" s="959">
        <v>0</v>
      </c>
      <c r="K703" s="831"/>
      <c r="L703" s="831"/>
      <c r="M703" s="963"/>
      <c r="N703" s="1380"/>
      <c r="O703" s="831"/>
      <c r="P703" s="831"/>
      <c r="Q703" s="1244"/>
      <c r="R703" s="1244"/>
      <c r="S703" s="1244"/>
      <c r="T703" s="1244"/>
      <c r="U703" s="1244"/>
      <c r="V703" s="1244"/>
      <c r="W703" s="1244"/>
      <c r="X703" s="1244"/>
      <c r="Y703" s="1244"/>
      <c r="Z703" s="1244"/>
    </row>
    <row r="704" spans="1:26" ht="18.75">
      <c r="A704" s="1368"/>
      <c r="B704" s="1243"/>
      <c r="C704" s="1243"/>
      <c r="D704" s="1243"/>
      <c r="E704" s="1243"/>
      <c r="F704" s="1243"/>
      <c r="G704" s="963"/>
      <c r="H704" s="730" t="s">
        <v>46</v>
      </c>
      <c r="I704" s="1379">
        <f ca="1">IFERROR(__xludf.DUMMYFUNCTION("IMPORTRANGE(""https://docs.google.com/spreadsheets/d/1QqKyyYR6Q21VydFLVH3TRQUabQu_ym0Zz7PgGX0-kHA/edit?usp=sharing"",""แผน!IF27"")"),200)</f>
        <v>200</v>
      </c>
      <c r="J704" s="959">
        <v>0</v>
      </c>
      <c r="K704" s="831"/>
      <c r="L704" s="831"/>
      <c r="M704" s="963"/>
      <c r="N704" s="1380"/>
      <c r="O704" s="831"/>
      <c r="P704" s="831"/>
      <c r="Q704" s="1244"/>
      <c r="R704" s="1244"/>
      <c r="S704" s="1244"/>
      <c r="T704" s="1244"/>
      <c r="U704" s="1244"/>
      <c r="V704" s="1244"/>
      <c r="W704" s="1244"/>
      <c r="X704" s="1244"/>
      <c r="Y704" s="1244"/>
      <c r="Z704" s="1244"/>
    </row>
    <row r="705" spans="1:26" ht="18.75">
      <c r="A705" s="1368"/>
      <c r="B705" s="1243"/>
      <c r="C705" s="1243"/>
      <c r="D705" s="1243"/>
      <c r="E705" s="1243" t="s">
        <v>298</v>
      </c>
      <c r="F705" s="1243"/>
      <c r="G705" s="963"/>
      <c r="H705" s="730" t="s">
        <v>35</v>
      </c>
      <c r="I705" s="1379"/>
      <c r="J705" s="959">
        <v>0</v>
      </c>
      <c r="K705" s="831"/>
      <c r="L705" s="831"/>
      <c r="M705" s="963"/>
      <c r="N705" s="1380"/>
      <c r="O705" s="831"/>
      <c r="P705" s="831"/>
      <c r="Q705" s="1244"/>
      <c r="R705" s="1244"/>
      <c r="S705" s="1244"/>
      <c r="T705" s="1244"/>
      <c r="U705" s="1244"/>
      <c r="V705" s="1244"/>
      <c r="W705" s="1244"/>
      <c r="X705" s="1244"/>
      <c r="Y705" s="1244"/>
      <c r="Z705" s="1244"/>
    </row>
    <row r="706" spans="1:26" ht="18.75">
      <c r="A706" s="1368"/>
      <c r="B706" s="1243"/>
      <c r="C706" s="1243"/>
      <c r="D706" s="1243"/>
      <c r="E706" s="1243"/>
      <c r="F706" s="1243"/>
      <c r="G706" s="963"/>
      <c r="H706" s="730" t="s">
        <v>34</v>
      </c>
      <c r="I706" s="1379"/>
      <c r="J706" s="959">
        <v>0</v>
      </c>
      <c r="K706" s="831"/>
      <c r="L706" s="831"/>
      <c r="M706" s="963"/>
      <c r="N706" s="1380"/>
      <c r="O706" s="831"/>
      <c r="P706" s="831"/>
      <c r="Q706" s="1244"/>
      <c r="R706" s="1244"/>
      <c r="S706" s="1244"/>
      <c r="T706" s="1244"/>
      <c r="U706" s="1244"/>
      <c r="V706" s="1244"/>
      <c r="W706" s="1244"/>
      <c r="X706" s="1244"/>
      <c r="Y706" s="1244"/>
      <c r="Z706" s="1244"/>
    </row>
    <row r="707" spans="1:26" ht="18.75">
      <c r="A707" s="1368"/>
      <c r="B707" s="1243"/>
      <c r="C707" s="1243"/>
      <c r="D707" s="1243"/>
      <c r="E707" s="1243"/>
      <c r="F707" s="1243"/>
      <c r="G707" s="963"/>
      <c r="H707" s="730" t="s">
        <v>46</v>
      </c>
      <c r="I707" s="1379">
        <f ca="1">IFERROR(__xludf.DUMMYFUNCTION("IMPORTRANGE(""https://docs.google.com/spreadsheets/d/1QqKyyYR6Q21VydFLVH3TRQUabQu_ym0Zz7PgGX0-kHA/edit?usp=sharing"",""แผน!IG27"")"),0)</f>
        <v>0</v>
      </c>
      <c r="J707" s="959">
        <v>0</v>
      </c>
      <c r="K707" s="831"/>
      <c r="L707" s="831"/>
      <c r="M707" s="963"/>
      <c r="N707" s="1380"/>
      <c r="O707" s="831"/>
      <c r="P707" s="831"/>
      <c r="Q707" s="1244"/>
      <c r="R707" s="1244"/>
      <c r="S707" s="1244"/>
      <c r="T707" s="1244"/>
      <c r="U707" s="1244"/>
      <c r="V707" s="1244"/>
      <c r="W707" s="1244"/>
      <c r="X707" s="1244"/>
      <c r="Y707" s="1244"/>
      <c r="Z707" s="1244"/>
    </row>
    <row r="708" spans="1:26" ht="19.5">
      <c r="A708" s="1368"/>
      <c r="B708" s="1243"/>
      <c r="C708" s="1243"/>
      <c r="D708" s="1322" t="s">
        <v>299</v>
      </c>
      <c r="E708" s="1243"/>
      <c r="F708" s="1243"/>
      <c r="G708" s="963"/>
      <c r="H708" s="733" t="s">
        <v>46</v>
      </c>
      <c r="I708" s="1381">
        <f ca="1">IFERROR(__xludf.DUMMYFUNCTION("IMPORTRANGE(""https://docs.google.com/spreadsheets/d/1QqKyyYR6Q21VydFLVH3TRQUabQu_ym0Zz7PgGX0-kHA/edit?usp=sharing"",""แผน!IH27"")"),100)</f>
        <v>100</v>
      </c>
      <c r="J708" s="966">
        <f>J714+J717</f>
        <v>0</v>
      </c>
      <c r="K708" s="967">
        <f ca="1">IF(I708&gt;0,J708*100/I708,0)</f>
        <v>0</v>
      </c>
      <c r="L708" s="831"/>
      <c r="M708" s="963"/>
      <c r="N708" s="1380"/>
      <c r="O708" s="831"/>
      <c r="P708" s="831"/>
      <c r="Q708" s="1244"/>
      <c r="R708" s="1244"/>
      <c r="S708" s="1244"/>
      <c r="T708" s="1244"/>
      <c r="U708" s="1244"/>
      <c r="V708" s="1244"/>
      <c r="W708" s="1244"/>
      <c r="X708" s="1244"/>
      <c r="Y708" s="1244"/>
      <c r="Z708" s="1244"/>
    </row>
    <row r="709" spans="1:26" ht="18.75">
      <c r="A709" s="1368"/>
      <c r="B709" s="1243"/>
      <c r="C709" s="1243"/>
      <c r="D709" s="1243"/>
      <c r="E709" s="1243" t="s">
        <v>300</v>
      </c>
      <c r="F709" s="1243"/>
      <c r="G709" s="963"/>
      <c r="H709" s="730" t="s">
        <v>34</v>
      </c>
      <c r="I709" s="1379"/>
      <c r="J709" s="959">
        <v>0</v>
      </c>
      <c r="K709" s="831"/>
      <c r="L709" s="1380"/>
      <c r="M709" s="963"/>
      <c r="N709" s="1380"/>
      <c r="O709" s="831"/>
      <c r="P709" s="831"/>
      <c r="Q709" s="1244"/>
      <c r="R709" s="1244"/>
      <c r="S709" s="1244"/>
      <c r="T709" s="1244"/>
      <c r="U709" s="1244"/>
      <c r="V709" s="1244"/>
      <c r="W709" s="1244"/>
      <c r="X709" s="1244"/>
      <c r="Y709" s="1244"/>
      <c r="Z709" s="1244"/>
    </row>
    <row r="710" spans="1:26" ht="18.75">
      <c r="A710" s="1368"/>
      <c r="B710" s="1243"/>
      <c r="C710" s="1243"/>
      <c r="D710" s="1243"/>
      <c r="E710" s="1243"/>
      <c r="F710" s="1243"/>
      <c r="G710" s="963"/>
      <c r="H710" s="730" t="s">
        <v>46</v>
      </c>
      <c r="I710" s="1379"/>
      <c r="J710" s="959">
        <v>0</v>
      </c>
      <c r="K710" s="831"/>
      <c r="L710" s="1380"/>
      <c r="M710" s="963"/>
      <c r="N710" s="1380"/>
      <c r="O710" s="831"/>
      <c r="P710" s="831"/>
      <c r="Q710" s="1244"/>
      <c r="R710" s="1244"/>
      <c r="S710" s="1244"/>
      <c r="T710" s="1244"/>
      <c r="U710" s="1244"/>
      <c r="V710" s="1244"/>
      <c r="W710" s="1244"/>
      <c r="X710" s="1244"/>
      <c r="Y710" s="1244"/>
      <c r="Z710" s="1244"/>
    </row>
    <row r="711" spans="1:26" ht="18.75">
      <c r="A711" s="1368"/>
      <c r="B711" s="1243"/>
      <c r="C711" s="1243"/>
      <c r="D711" s="1243"/>
      <c r="E711" s="1243" t="s">
        <v>301</v>
      </c>
      <c r="F711" s="1243"/>
      <c r="G711" s="963"/>
      <c r="H711" s="954"/>
      <c r="I711" s="1379"/>
      <c r="J711" s="830"/>
      <c r="K711" s="831"/>
      <c r="L711" s="1380"/>
      <c r="M711" s="963"/>
      <c r="N711" s="1380"/>
      <c r="O711" s="831"/>
      <c r="P711" s="831"/>
      <c r="Q711" s="1244"/>
      <c r="R711" s="1244"/>
      <c r="S711" s="1244"/>
      <c r="T711" s="1244"/>
      <c r="U711" s="1244"/>
      <c r="V711" s="1244"/>
      <c r="W711" s="1244"/>
      <c r="X711" s="1244"/>
      <c r="Y711" s="1244"/>
      <c r="Z711" s="1244"/>
    </row>
    <row r="712" spans="1:26" ht="18.75">
      <c r="A712" s="1368"/>
      <c r="B712" s="1243"/>
      <c r="C712" s="1243"/>
      <c r="D712" s="1243"/>
      <c r="E712" s="1243"/>
      <c r="F712" s="1243" t="s">
        <v>302</v>
      </c>
      <c r="G712" s="963"/>
      <c r="H712" s="730" t="s">
        <v>35</v>
      </c>
      <c r="I712" s="1379"/>
      <c r="J712" s="959">
        <v>0</v>
      </c>
      <c r="K712" s="831"/>
      <c r="L712" s="1380"/>
      <c r="M712" s="963"/>
      <c r="N712" s="1380"/>
      <c r="O712" s="831"/>
      <c r="P712" s="831"/>
      <c r="Q712" s="1244"/>
      <c r="R712" s="1244"/>
      <c r="S712" s="1244"/>
      <c r="T712" s="1244"/>
      <c r="U712" s="1244"/>
      <c r="V712" s="1244"/>
      <c r="W712" s="1244"/>
      <c r="X712" s="1244"/>
      <c r="Y712" s="1244"/>
      <c r="Z712" s="1244"/>
    </row>
    <row r="713" spans="1:26" ht="18.75">
      <c r="A713" s="1368"/>
      <c r="B713" s="1243"/>
      <c r="C713" s="1243"/>
      <c r="D713" s="1243"/>
      <c r="E713" s="1243"/>
      <c r="F713" s="1243"/>
      <c r="G713" s="963"/>
      <c r="H713" s="730" t="s">
        <v>34</v>
      </c>
      <c r="I713" s="1379"/>
      <c r="J713" s="959">
        <v>0</v>
      </c>
      <c r="K713" s="831"/>
      <c r="L713" s="1380"/>
      <c r="M713" s="963"/>
      <c r="N713" s="1380"/>
      <c r="O713" s="831"/>
      <c r="P713" s="831"/>
      <c r="Q713" s="1244"/>
      <c r="R713" s="1244"/>
      <c r="S713" s="1244"/>
      <c r="T713" s="1244"/>
      <c r="U713" s="1244"/>
      <c r="V713" s="1244"/>
      <c r="W713" s="1244"/>
      <c r="X713" s="1244"/>
      <c r="Y713" s="1244"/>
      <c r="Z713" s="1244"/>
    </row>
    <row r="714" spans="1:26" ht="18.75">
      <c r="A714" s="1368"/>
      <c r="B714" s="1243"/>
      <c r="C714" s="1243"/>
      <c r="D714" s="1243"/>
      <c r="E714" s="1243"/>
      <c r="F714" s="1243"/>
      <c r="G714" s="963"/>
      <c r="H714" s="730" t="s">
        <v>46</v>
      </c>
      <c r="I714" s="1379"/>
      <c r="J714" s="959">
        <v>0</v>
      </c>
      <c r="K714" s="831"/>
      <c r="L714" s="1380"/>
      <c r="M714" s="963"/>
      <c r="N714" s="1380"/>
      <c r="O714" s="831"/>
      <c r="P714" s="831"/>
      <c r="Q714" s="1244"/>
      <c r="R714" s="1244"/>
      <c r="S714" s="1244"/>
      <c r="T714" s="1244"/>
      <c r="U714" s="1244"/>
      <c r="V714" s="1244"/>
      <c r="W714" s="1244"/>
      <c r="X714" s="1244"/>
      <c r="Y714" s="1244"/>
      <c r="Z714" s="1244"/>
    </row>
    <row r="715" spans="1:26" ht="18.75">
      <c r="A715" s="1368"/>
      <c r="B715" s="1243"/>
      <c r="C715" s="1243"/>
      <c r="D715" s="1243"/>
      <c r="E715" s="1243"/>
      <c r="F715" s="1243" t="s">
        <v>303</v>
      </c>
      <c r="G715" s="963"/>
      <c r="H715" s="730" t="s">
        <v>35</v>
      </c>
      <c r="I715" s="1379"/>
      <c r="J715" s="959">
        <v>0</v>
      </c>
      <c r="K715" s="831"/>
      <c r="L715" s="1380"/>
      <c r="M715" s="963"/>
      <c r="N715" s="1380"/>
      <c r="O715" s="831"/>
      <c r="P715" s="831"/>
      <c r="Q715" s="1244"/>
      <c r="R715" s="1244"/>
      <c r="S715" s="1244"/>
      <c r="T715" s="1244"/>
      <c r="U715" s="1244"/>
      <c r="V715" s="1244"/>
      <c r="W715" s="1244"/>
      <c r="X715" s="1244"/>
      <c r="Y715" s="1244"/>
      <c r="Z715" s="1244"/>
    </row>
    <row r="716" spans="1:26" ht="18.75">
      <c r="A716" s="1368"/>
      <c r="B716" s="1243"/>
      <c r="C716" s="1243"/>
      <c r="D716" s="1243"/>
      <c r="E716" s="1243"/>
      <c r="F716" s="1243"/>
      <c r="G716" s="963"/>
      <c r="H716" s="730" t="s">
        <v>34</v>
      </c>
      <c r="I716" s="1379"/>
      <c r="J716" s="959">
        <v>0</v>
      </c>
      <c r="K716" s="831"/>
      <c r="L716" s="1380"/>
      <c r="M716" s="963"/>
      <c r="N716" s="1380"/>
      <c r="O716" s="831"/>
      <c r="P716" s="831"/>
      <c r="Q716" s="1244"/>
      <c r="R716" s="1244"/>
      <c r="S716" s="1244"/>
      <c r="T716" s="1244"/>
      <c r="U716" s="1244"/>
      <c r="V716" s="1244"/>
      <c r="W716" s="1244"/>
      <c r="X716" s="1244"/>
      <c r="Y716" s="1244"/>
      <c r="Z716" s="1244"/>
    </row>
    <row r="717" spans="1:26" ht="18.75">
      <c r="A717" s="1368"/>
      <c r="B717" s="1243"/>
      <c r="C717" s="1243"/>
      <c r="D717" s="1243"/>
      <c r="E717" s="1243"/>
      <c r="F717" s="1243"/>
      <c r="G717" s="963"/>
      <c r="H717" s="730" t="s">
        <v>46</v>
      </c>
      <c r="I717" s="1379"/>
      <c r="J717" s="959">
        <v>0</v>
      </c>
      <c r="K717" s="831"/>
      <c r="L717" s="1380"/>
      <c r="M717" s="963"/>
      <c r="N717" s="1380"/>
      <c r="O717" s="831"/>
      <c r="P717" s="831"/>
      <c r="Q717" s="1244"/>
      <c r="R717" s="1244"/>
      <c r="S717" s="1244"/>
      <c r="T717" s="1244"/>
      <c r="U717" s="1244"/>
      <c r="V717" s="1244"/>
      <c r="W717" s="1244"/>
      <c r="X717" s="1244"/>
      <c r="Y717" s="1244"/>
      <c r="Z717" s="1244"/>
    </row>
    <row r="718" spans="1:26" ht="18.75">
      <c r="A718" s="1368"/>
      <c r="B718" s="1243"/>
      <c r="C718" s="1243"/>
      <c r="D718" s="1243" t="s">
        <v>304</v>
      </c>
      <c r="E718" s="1243"/>
      <c r="F718" s="1243"/>
      <c r="G718" s="963"/>
      <c r="H718" s="730" t="s">
        <v>35</v>
      </c>
      <c r="I718" s="1379"/>
      <c r="J718" s="830">
        <f ca="1">IFERROR(__xludf.DUMMYFUNCTION("IMPORTRANGE(""https://docs.google.com/spreadsheets/d/1XWAQStnk-4SwqDmLtmXYiTMKHgktTP8We1SCoS47DrQ/edit?usp=sharing"",""จัดที่ดิน!BF27"")"),0)</f>
        <v>0</v>
      </c>
      <c r="K718" s="831"/>
      <c r="L718" s="831"/>
      <c r="M718" s="963"/>
      <c r="N718" s="1380"/>
      <c r="O718" s="831"/>
      <c r="P718" s="831"/>
      <c r="Q718" s="1244"/>
      <c r="R718" s="1244"/>
      <c r="S718" s="1244"/>
      <c r="T718" s="1244"/>
      <c r="U718" s="1244"/>
      <c r="V718" s="1244"/>
      <c r="W718" s="1244"/>
      <c r="X718" s="1244"/>
      <c r="Y718" s="1244"/>
      <c r="Z718" s="1244"/>
    </row>
    <row r="719" spans="1:26" ht="18.75">
      <c r="A719" s="1368"/>
      <c r="B719" s="1243"/>
      <c r="C719" s="1243"/>
      <c r="D719" s="1243"/>
      <c r="E719" s="1243"/>
      <c r="F719" s="1243"/>
      <c r="G719" s="963"/>
      <c r="H719" s="730" t="s">
        <v>34</v>
      </c>
      <c r="I719" s="1379"/>
      <c r="J719" s="830">
        <f ca="1">IFERROR(__xludf.DUMMYFUNCTION("IMPORTRANGE(""https://docs.google.com/spreadsheets/d/1XWAQStnk-4SwqDmLtmXYiTMKHgktTP8We1SCoS47DrQ/edit?usp=sharing"",""จัดที่ดิน!BG27"")"),0)</f>
        <v>0</v>
      </c>
      <c r="K719" s="831"/>
      <c r="L719" s="1380"/>
      <c r="M719" s="963"/>
      <c r="N719" s="1380"/>
      <c r="O719" s="831"/>
      <c r="P719" s="831"/>
      <c r="Q719" s="1244"/>
      <c r="R719" s="1244"/>
      <c r="S719" s="1244"/>
      <c r="T719" s="1244"/>
      <c r="U719" s="1244"/>
      <c r="V719" s="1244"/>
      <c r="W719" s="1244"/>
      <c r="X719" s="1244"/>
      <c r="Y719" s="1244"/>
      <c r="Z719" s="1244"/>
    </row>
    <row r="720" spans="1:26" ht="18.75">
      <c r="A720" s="1368"/>
      <c r="B720" s="1243"/>
      <c r="C720" s="1243"/>
      <c r="D720" s="1243"/>
      <c r="E720" s="1243"/>
      <c r="F720" s="1243"/>
      <c r="G720" s="963"/>
      <c r="H720" s="730" t="s">
        <v>46</v>
      </c>
      <c r="I720" s="1379">
        <f ca="1">IFERROR(__xludf.DUMMYFUNCTION("IMPORTRANGE(""https://docs.google.com/spreadsheets/d/1QqKyyYR6Q21VydFLVH3TRQUabQu_ym0Zz7PgGX0-kHA/edit?usp=sharing"",""แผน!II27"")"),400)</f>
        <v>400</v>
      </c>
      <c r="J720" s="830">
        <f ca="1">IFERROR(__xludf.DUMMYFUNCTION("IMPORTRANGE(""https://docs.google.com/spreadsheets/d/1XWAQStnk-4SwqDmLtmXYiTMKHgktTP8We1SCoS47DrQ/edit?usp=sharing"",""จัดที่ดิน!BH27"")"),0)</f>
        <v>0</v>
      </c>
      <c r="K720" s="831">
        <f t="shared" ref="K720:K723" ca="1" si="291">IF(I720&gt;0,J720*100/I720,0)</f>
        <v>0</v>
      </c>
      <c r="L720" s="1380"/>
      <c r="M720" s="963"/>
      <c r="N720" s="1380"/>
      <c r="O720" s="831"/>
      <c r="P720" s="831"/>
      <c r="Q720" s="1244"/>
      <c r="R720" s="1244"/>
      <c r="S720" s="1244"/>
      <c r="T720" s="1244"/>
      <c r="U720" s="1244"/>
      <c r="V720" s="1244"/>
      <c r="W720" s="1244"/>
      <c r="X720" s="1244"/>
      <c r="Y720" s="1244"/>
      <c r="Z720" s="1244"/>
    </row>
    <row r="721" spans="1:26" ht="19.5">
      <c r="A721" s="1368"/>
      <c r="B721" s="1243"/>
      <c r="C721" s="1243"/>
      <c r="D721" s="1243" t="s">
        <v>305</v>
      </c>
      <c r="E721" s="1243"/>
      <c r="F721" s="1243"/>
      <c r="G721" s="963"/>
      <c r="H721" s="733" t="s">
        <v>35</v>
      </c>
      <c r="I721" s="1381">
        <f ca="1">IFERROR(__xludf.DUMMYFUNCTION("IMPORTRANGE(""https://docs.google.com/spreadsheets/d/1QqKyyYR6Q21VydFLVH3TRQUabQu_ym0Zz7PgGX0-kHA/edit?usp=sharing"",""แผน!IJ27"")"),30)</f>
        <v>30</v>
      </c>
      <c r="J721" s="966">
        <f ca="1">J723+J726</f>
        <v>0</v>
      </c>
      <c r="K721" s="967">
        <f t="shared" ca="1" si="291"/>
        <v>0</v>
      </c>
      <c r="L721" s="1380"/>
      <c r="M721" s="963"/>
      <c r="N721" s="1380"/>
      <c r="O721" s="831"/>
      <c r="P721" s="831"/>
      <c r="Q721" s="1244"/>
      <c r="R721" s="1244"/>
      <c r="S721" s="1244"/>
      <c r="T721" s="1244"/>
      <c r="U721" s="1244"/>
      <c r="V721" s="1244"/>
      <c r="W721" s="1244"/>
      <c r="X721" s="1244"/>
      <c r="Y721" s="1244"/>
      <c r="Z721" s="1244"/>
    </row>
    <row r="722" spans="1:26" ht="19.5">
      <c r="A722" s="1368"/>
      <c r="B722" s="1243"/>
      <c r="C722" s="1243"/>
      <c r="D722" s="1243"/>
      <c r="E722" s="1243"/>
      <c r="F722" s="1243"/>
      <c r="G722" s="963"/>
      <c r="H722" s="733" t="s">
        <v>46</v>
      </c>
      <c r="I722" s="1381">
        <f ca="1">IFERROR(__xludf.DUMMYFUNCTION("IMPORTRANGE(""https://docs.google.com/spreadsheets/d/1QqKyyYR6Q21VydFLVH3TRQUabQu_ym0Zz7PgGX0-kHA/edit?usp=sharing"",""แผน!IK27"")"),300)</f>
        <v>300</v>
      </c>
      <c r="J722" s="966">
        <f ca="1">J725+J728</f>
        <v>0</v>
      </c>
      <c r="K722" s="967">
        <f t="shared" ca="1" si="291"/>
        <v>0</v>
      </c>
      <c r="L722" s="831"/>
      <c r="M722" s="963"/>
      <c r="N722" s="1380"/>
      <c r="O722" s="831"/>
      <c r="P722" s="831"/>
      <c r="Q722" s="1244"/>
      <c r="R722" s="1244"/>
      <c r="S722" s="1244"/>
      <c r="T722" s="1244"/>
      <c r="U722" s="1244"/>
      <c r="V722" s="1244"/>
      <c r="W722" s="1244"/>
      <c r="X722" s="1244"/>
      <c r="Y722" s="1244"/>
      <c r="Z722" s="1244"/>
    </row>
    <row r="723" spans="1:26" ht="18.75">
      <c r="A723" s="1368"/>
      <c r="B723" s="1243"/>
      <c r="C723" s="1243"/>
      <c r="D723" s="1243"/>
      <c r="E723" s="1243" t="s">
        <v>306</v>
      </c>
      <c r="F723" s="1243"/>
      <c r="G723" s="963"/>
      <c r="H723" s="730" t="s">
        <v>35</v>
      </c>
      <c r="I723" s="1379">
        <f ca="1">IFERROR(__xludf.DUMMYFUNCTION("IMPORTRANGE(""https://docs.google.com/spreadsheets/d/1QqKyyYR6Q21VydFLVH3TRQUabQu_ym0Zz7PgGX0-kHA/edit?usp=sharing"",""แผน!IL27"")"),20)</f>
        <v>20</v>
      </c>
      <c r="J723" s="830">
        <f ca="1">IFERROR(__xludf.DUMMYFUNCTION("IMPORTRANGE(""https://docs.google.com/spreadsheets/d/1XWAQStnk-4SwqDmLtmXYiTMKHgktTP8We1SCoS47DrQ/edit?usp=sharing"",""จัดที่ดิน!BM27"")"),0)</f>
        <v>0</v>
      </c>
      <c r="K723" s="831">
        <f t="shared" ca="1" si="291"/>
        <v>0</v>
      </c>
      <c r="L723" s="831"/>
      <c r="M723" s="963"/>
      <c r="N723" s="1380"/>
      <c r="O723" s="831"/>
      <c r="P723" s="831"/>
      <c r="Q723" s="1244"/>
      <c r="R723" s="1244"/>
      <c r="S723" s="1244"/>
      <c r="T723" s="1244"/>
      <c r="U723" s="1244"/>
      <c r="V723" s="1244"/>
      <c r="W723" s="1244"/>
      <c r="X723" s="1244"/>
      <c r="Y723" s="1244"/>
      <c r="Z723" s="1244"/>
    </row>
    <row r="724" spans="1:26" ht="18.75">
      <c r="A724" s="1368"/>
      <c r="B724" s="1243"/>
      <c r="C724" s="1243"/>
      <c r="D724" s="1243"/>
      <c r="E724" s="1243"/>
      <c r="F724" s="1243"/>
      <c r="G724" s="963"/>
      <c r="H724" s="730" t="s">
        <v>34</v>
      </c>
      <c r="I724" s="1379"/>
      <c r="J724" s="830">
        <f ca="1">IFERROR(__xludf.DUMMYFUNCTION("IMPORTRANGE(""https://docs.google.com/spreadsheets/d/1XWAQStnk-4SwqDmLtmXYiTMKHgktTP8We1SCoS47DrQ/edit?usp=sharing"",""จัดที่ดิน!BN27"")"),0)</f>
        <v>0</v>
      </c>
      <c r="K724" s="831"/>
      <c r="L724" s="1380"/>
      <c r="M724" s="963"/>
      <c r="N724" s="1380"/>
      <c r="O724" s="831"/>
      <c r="P724" s="831"/>
      <c r="Q724" s="1244"/>
      <c r="R724" s="1244"/>
      <c r="S724" s="1244"/>
      <c r="T724" s="1244"/>
      <c r="U724" s="1244"/>
      <c r="V724" s="1244"/>
      <c r="W724" s="1244"/>
      <c r="X724" s="1244"/>
      <c r="Y724" s="1244"/>
      <c r="Z724" s="1244"/>
    </row>
    <row r="725" spans="1:26" ht="18.75">
      <c r="A725" s="1368"/>
      <c r="B725" s="1243"/>
      <c r="C725" s="1243"/>
      <c r="D725" s="1243"/>
      <c r="E725" s="1243"/>
      <c r="F725" s="1243"/>
      <c r="G725" s="963"/>
      <c r="H725" s="730" t="s">
        <v>46</v>
      </c>
      <c r="I725" s="1379">
        <f ca="1">IFERROR(__xludf.DUMMYFUNCTION("IMPORTRANGE(""https://docs.google.com/spreadsheets/d/1QqKyyYR6Q21VydFLVH3TRQUabQu_ym0Zz7PgGX0-kHA/edit?usp=sharing"",""แผน!IM27"")"),200)</f>
        <v>200</v>
      </c>
      <c r="J725" s="830">
        <f ca="1">IFERROR(__xludf.DUMMYFUNCTION("IMPORTRANGE(""https://docs.google.com/spreadsheets/d/1XWAQStnk-4SwqDmLtmXYiTMKHgktTP8We1SCoS47DrQ/edit?usp=sharing"",""จัดที่ดิน!BO27"")"),0)</f>
        <v>0</v>
      </c>
      <c r="K725" s="831">
        <f t="shared" ref="K725:K726" ca="1" si="292">IF(I725&gt;0,J725*100/I725,0)</f>
        <v>0</v>
      </c>
      <c r="L725" s="1380"/>
      <c r="M725" s="963"/>
      <c r="N725" s="1380"/>
      <c r="O725" s="831"/>
      <c r="P725" s="831"/>
      <c r="Q725" s="1244"/>
      <c r="R725" s="1244"/>
      <c r="S725" s="1244"/>
      <c r="T725" s="1244"/>
      <c r="U725" s="1244"/>
      <c r="V725" s="1244"/>
      <c r="W725" s="1244"/>
      <c r="X725" s="1244"/>
      <c r="Y725" s="1244"/>
      <c r="Z725" s="1244"/>
    </row>
    <row r="726" spans="1:26" ht="18.75">
      <c r="A726" s="1368"/>
      <c r="B726" s="1243"/>
      <c r="C726" s="1243"/>
      <c r="D726" s="1243"/>
      <c r="E726" s="1243" t="s">
        <v>307</v>
      </c>
      <c r="F726" s="1243"/>
      <c r="G726" s="963"/>
      <c r="H726" s="730" t="s">
        <v>35</v>
      </c>
      <c r="I726" s="1379">
        <f ca="1">IFERROR(__xludf.DUMMYFUNCTION("IMPORTRANGE(""https://docs.google.com/spreadsheets/d/1QqKyyYR6Q21VydFLVH3TRQUabQu_ym0Zz7PgGX0-kHA/edit?usp=sharing"",""แผน!IN27"")"),10)</f>
        <v>10</v>
      </c>
      <c r="J726" s="830">
        <f ca="1">IFERROR(__xludf.DUMMYFUNCTION("IMPORTRANGE(""https://docs.google.com/spreadsheets/d/1XWAQStnk-4SwqDmLtmXYiTMKHgktTP8We1SCoS47DrQ/edit?usp=sharing"",""จัดที่ดิน!BR27"")"),0)</f>
        <v>0</v>
      </c>
      <c r="K726" s="831">
        <f t="shared" ca="1" si="292"/>
        <v>0</v>
      </c>
      <c r="L726" s="831"/>
      <c r="M726" s="963"/>
      <c r="N726" s="1380"/>
      <c r="O726" s="831"/>
      <c r="P726" s="831"/>
      <c r="Q726" s="1244"/>
      <c r="R726" s="1244"/>
      <c r="S726" s="1244"/>
      <c r="T726" s="1244"/>
      <c r="U726" s="1244"/>
      <c r="V726" s="1244"/>
      <c r="W726" s="1244"/>
      <c r="X726" s="1244"/>
      <c r="Y726" s="1244"/>
      <c r="Z726" s="1244"/>
    </row>
    <row r="727" spans="1:26" ht="18.75">
      <c r="A727" s="1368"/>
      <c r="B727" s="1243"/>
      <c r="C727" s="1243"/>
      <c r="D727" s="1243"/>
      <c r="E727" s="1243"/>
      <c r="F727" s="1243"/>
      <c r="G727" s="963"/>
      <c r="H727" s="730" t="s">
        <v>34</v>
      </c>
      <c r="I727" s="1379"/>
      <c r="J727" s="830">
        <f ca="1">IFERROR(__xludf.DUMMYFUNCTION("IMPORTRANGE(""https://docs.google.com/spreadsheets/d/1XWAQStnk-4SwqDmLtmXYiTMKHgktTP8We1SCoS47DrQ/edit?usp=sharing"",""จัดที่ดิน!BS27"")"),0)</f>
        <v>0</v>
      </c>
      <c r="K727" s="831"/>
      <c r="L727" s="1380"/>
      <c r="M727" s="963"/>
      <c r="N727" s="1380"/>
      <c r="O727" s="831"/>
      <c r="P727" s="831"/>
      <c r="Q727" s="1244"/>
      <c r="R727" s="1244"/>
      <c r="S727" s="1244"/>
      <c r="T727" s="1244"/>
      <c r="U727" s="1244"/>
      <c r="V727" s="1244"/>
      <c r="W727" s="1244"/>
      <c r="X727" s="1244"/>
      <c r="Y727" s="1244"/>
      <c r="Z727" s="1244"/>
    </row>
    <row r="728" spans="1:26" ht="18.75">
      <c r="A728" s="1368"/>
      <c r="B728" s="1243"/>
      <c r="C728" s="1243"/>
      <c r="D728" s="1243"/>
      <c r="E728" s="1243"/>
      <c r="F728" s="1243"/>
      <c r="G728" s="963"/>
      <c r="H728" s="730" t="s">
        <v>46</v>
      </c>
      <c r="I728" s="1379">
        <f ca="1">IFERROR(__xludf.DUMMYFUNCTION("IMPORTRANGE(""https://docs.google.com/spreadsheets/d/1QqKyyYR6Q21VydFLVH3TRQUabQu_ym0Zz7PgGX0-kHA/edit?usp=sharing"",""แผน!IO27"")"),100)</f>
        <v>100</v>
      </c>
      <c r="J728" s="830">
        <f ca="1">IFERROR(__xludf.DUMMYFUNCTION("IMPORTRANGE(""https://docs.google.com/spreadsheets/d/1XWAQStnk-4SwqDmLtmXYiTMKHgktTP8We1SCoS47DrQ/edit?usp=sharing"",""จัดที่ดิน!BT27"")"),0)</f>
        <v>0</v>
      </c>
      <c r="K728" s="831">
        <f t="shared" ref="K728:K729" ca="1" si="293">IF(I728&gt;0,J728*100/I728,0)</f>
        <v>0</v>
      </c>
      <c r="L728" s="1380"/>
      <c r="M728" s="963"/>
      <c r="N728" s="1380"/>
      <c r="O728" s="831"/>
      <c r="P728" s="831"/>
      <c r="Q728" s="1244"/>
      <c r="R728" s="1244"/>
      <c r="S728" s="1244"/>
      <c r="T728" s="1244"/>
      <c r="U728" s="1244"/>
      <c r="V728" s="1244"/>
      <c r="W728" s="1244"/>
      <c r="X728" s="1244"/>
      <c r="Y728" s="1244"/>
      <c r="Z728" s="1244"/>
    </row>
    <row r="729" spans="1:26" ht="19.5">
      <c r="A729" s="1368"/>
      <c r="B729" s="1243"/>
      <c r="C729" s="1243"/>
      <c r="D729" s="1243" t="s">
        <v>308</v>
      </c>
      <c r="E729" s="1243"/>
      <c r="F729" s="1243"/>
      <c r="G729" s="963"/>
      <c r="H729" s="733" t="s">
        <v>46</v>
      </c>
      <c r="I729" s="1381">
        <f ca="1">IFERROR(__xludf.DUMMYFUNCTION("IMPORTRANGE(""https://docs.google.com/spreadsheets/d/1QqKyyYR6Q21VydFLVH3TRQUabQu_ym0Zz7PgGX0-kHA/edit?usp=sharing"",""แผน!IP27"")"),40)</f>
        <v>40</v>
      </c>
      <c r="J729" s="966">
        <f>J732+J735</f>
        <v>0</v>
      </c>
      <c r="K729" s="967">
        <f t="shared" ca="1" si="293"/>
        <v>0</v>
      </c>
      <c r="L729" s="831"/>
      <c r="M729" s="963"/>
      <c r="N729" s="1380"/>
      <c r="O729" s="831"/>
      <c r="P729" s="831"/>
      <c r="Q729" s="1244"/>
      <c r="R729" s="1244"/>
      <c r="S729" s="1244"/>
      <c r="T729" s="1244"/>
      <c r="U729" s="1244"/>
      <c r="V729" s="1244"/>
      <c r="W729" s="1244"/>
      <c r="X729" s="1244"/>
      <c r="Y729" s="1244"/>
      <c r="Z729" s="1244"/>
    </row>
    <row r="730" spans="1:26" ht="18.75">
      <c r="A730" s="1368"/>
      <c r="B730" s="1243"/>
      <c r="C730" s="1243"/>
      <c r="D730" s="1243"/>
      <c r="E730" s="1243" t="s">
        <v>309</v>
      </c>
      <c r="F730" s="1243"/>
      <c r="G730" s="963"/>
      <c r="H730" s="730" t="s">
        <v>35</v>
      </c>
      <c r="I730" s="1379"/>
      <c r="J730" s="959">
        <v>0</v>
      </c>
      <c r="K730" s="831"/>
      <c r="L730" s="1380"/>
      <c r="M730" s="831"/>
      <c r="N730" s="1380"/>
      <c r="O730" s="831"/>
      <c r="P730" s="831"/>
      <c r="Q730" s="1244"/>
      <c r="R730" s="1244"/>
      <c r="S730" s="1244"/>
      <c r="T730" s="1244"/>
      <c r="U730" s="1244"/>
      <c r="V730" s="1244"/>
      <c r="W730" s="1244"/>
      <c r="X730" s="1244"/>
      <c r="Y730" s="1244"/>
      <c r="Z730" s="1244"/>
    </row>
    <row r="731" spans="1:26" ht="18.75">
      <c r="A731" s="1368"/>
      <c r="B731" s="1243"/>
      <c r="C731" s="1243"/>
      <c r="D731" s="1243"/>
      <c r="E731" s="1243"/>
      <c r="F731" s="1243"/>
      <c r="G731" s="963"/>
      <c r="H731" s="730" t="s">
        <v>34</v>
      </c>
      <c r="I731" s="1379"/>
      <c r="J731" s="959">
        <v>0</v>
      </c>
      <c r="K731" s="831"/>
      <c r="L731" s="1380"/>
      <c r="M731" s="831"/>
      <c r="N731" s="1380"/>
      <c r="O731" s="831"/>
      <c r="P731" s="831"/>
      <c r="Q731" s="1244"/>
      <c r="R731" s="1244"/>
      <c r="S731" s="1244"/>
      <c r="T731" s="1244"/>
      <c r="U731" s="1244"/>
      <c r="V731" s="1244"/>
      <c r="W731" s="1244"/>
      <c r="X731" s="1244"/>
      <c r="Y731" s="1244"/>
      <c r="Z731" s="1244"/>
    </row>
    <row r="732" spans="1:26" ht="18.75">
      <c r="A732" s="1368"/>
      <c r="B732" s="1243"/>
      <c r="C732" s="1243"/>
      <c r="D732" s="1243"/>
      <c r="E732" s="1243"/>
      <c r="F732" s="1243"/>
      <c r="G732" s="963"/>
      <c r="H732" s="730" t="s">
        <v>46</v>
      </c>
      <c r="I732" s="1379"/>
      <c r="J732" s="959">
        <v>0</v>
      </c>
      <c r="K732" s="831"/>
      <c r="L732" s="1380"/>
      <c r="M732" s="831"/>
      <c r="N732" s="1380"/>
      <c r="O732" s="831"/>
      <c r="P732" s="831"/>
      <c r="Q732" s="1244"/>
      <c r="R732" s="1244"/>
      <c r="S732" s="1244"/>
      <c r="T732" s="1244"/>
      <c r="U732" s="1244"/>
      <c r="V732" s="1244"/>
      <c r="W732" s="1244"/>
      <c r="X732" s="1244"/>
      <c r="Y732" s="1244"/>
      <c r="Z732" s="1244"/>
    </row>
    <row r="733" spans="1:26" ht="18.75">
      <c r="A733" s="1368"/>
      <c r="B733" s="1243"/>
      <c r="C733" s="1243"/>
      <c r="D733" s="1243"/>
      <c r="E733" s="1243" t="s">
        <v>310</v>
      </c>
      <c r="F733" s="1243"/>
      <c r="G733" s="963"/>
      <c r="H733" s="730" t="s">
        <v>35</v>
      </c>
      <c r="I733" s="1379"/>
      <c r="J733" s="959">
        <v>0</v>
      </c>
      <c r="K733" s="831"/>
      <c r="L733" s="1380"/>
      <c r="M733" s="831"/>
      <c r="N733" s="1380"/>
      <c r="O733" s="831"/>
      <c r="P733" s="831"/>
      <c r="Q733" s="1244"/>
      <c r="R733" s="1244"/>
      <c r="S733" s="1244"/>
      <c r="T733" s="1244"/>
      <c r="U733" s="1244"/>
      <c r="V733" s="1244"/>
      <c r="W733" s="1244"/>
      <c r="X733" s="1244"/>
      <c r="Y733" s="1244"/>
      <c r="Z733" s="1244"/>
    </row>
    <row r="734" spans="1:26" ht="18.75">
      <c r="A734" s="1368"/>
      <c r="B734" s="1243"/>
      <c r="C734" s="1243"/>
      <c r="D734" s="1243"/>
      <c r="E734" s="1243"/>
      <c r="F734" s="1243"/>
      <c r="G734" s="963"/>
      <c r="H734" s="730" t="s">
        <v>34</v>
      </c>
      <c r="I734" s="1379"/>
      <c r="J734" s="959">
        <v>0</v>
      </c>
      <c r="K734" s="831"/>
      <c r="L734" s="1380"/>
      <c r="M734" s="831"/>
      <c r="N734" s="1380"/>
      <c r="O734" s="831"/>
      <c r="P734" s="831"/>
      <c r="Q734" s="1244"/>
      <c r="R734" s="1244"/>
      <c r="S734" s="1244"/>
      <c r="T734" s="1244"/>
      <c r="U734" s="1244"/>
      <c r="V734" s="1244"/>
      <c r="W734" s="1244"/>
      <c r="X734" s="1244"/>
      <c r="Y734" s="1244"/>
      <c r="Z734" s="1244"/>
    </row>
    <row r="735" spans="1:26" ht="19.5">
      <c r="A735" s="1382"/>
      <c r="B735" s="1383" t="s">
        <v>311</v>
      </c>
      <c r="C735" s="1116"/>
      <c r="D735" s="1116"/>
      <c r="E735" s="1116"/>
      <c r="F735" s="1116"/>
      <c r="G735" s="1361"/>
      <c r="H735" s="391" t="s">
        <v>46</v>
      </c>
      <c r="I735" s="1384"/>
      <c r="J735" s="1118">
        <v>0</v>
      </c>
      <c r="K735" s="1182"/>
      <c r="L735" s="1385"/>
      <c r="M735" s="1182"/>
      <c r="N735" s="1385"/>
      <c r="O735" s="1182"/>
      <c r="P735" s="1182"/>
      <c r="Q735" s="1244"/>
      <c r="R735" s="1244"/>
      <c r="S735" s="1244"/>
      <c r="T735" s="1244"/>
      <c r="U735" s="1244"/>
      <c r="V735" s="1244"/>
      <c r="W735" s="1244"/>
      <c r="X735" s="1244"/>
      <c r="Y735" s="1244"/>
      <c r="Z735" s="1244"/>
    </row>
    <row r="736" spans="1:26" ht="19.5" hidden="1">
      <c r="A736" s="740">
        <v>9</v>
      </c>
      <c r="B736" s="1386" t="s">
        <v>312</v>
      </c>
      <c r="C736" s="1387"/>
      <c r="D736" s="1387"/>
      <c r="E736" s="1387"/>
      <c r="F736" s="1387"/>
      <c r="G736" s="1388"/>
      <c r="H736" s="744" t="s">
        <v>46</v>
      </c>
      <c r="I736" s="1389"/>
      <c r="J736" s="1389">
        <f>J751</f>
        <v>0</v>
      </c>
      <c r="K736" s="1390">
        <f>IF(I736&gt;0,J736*100/I736,0)</f>
        <v>0</v>
      </c>
      <c r="L736" s="1391"/>
      <c r="M736" s="1391"/>
      <c r="N736" s="1391"/>
      <c r="O736" s="1391"/>
      <c r="P736" s="1391"/>
      <c r="Q736" s="1264"/>
      <c r="R736" s="1264"/>
      <c r="S736" s="1264"/>
      <c r="T736" s="1264"/>
      <c r="U736" s="1264"/>
      <c r="V736" s="1264"/>
      <c r="W736" s="1264"/>
      <c r="X736" s="1264"/>
      <c r="Y736" s="1264"/>
      <c r="Z736" s="1264"/>
    </row>
    <row r="737" spans="1:26" ht="19.5" hidden="1">
      <c r="A737" s="1260"/>
      <c r="B737" s="1261"/>
      <c r="C737" s="1261" t="s">
        <v>16</v>
      </c>
      <c r="D737" s="1508" t="s">
        <v>17</v>
      </c>
      <c r="E737" s="1485"/>
      <c r="F737" s="1485"/>
      <c r="G737" s="1263"/>
      <c r="H737" s="612" t="s">
        <v>12</v>
      </c>
      <c r="I737" s="836"/>
      <c r="J737" s="836"/>
      <c r="K737" s="837"/>
      <c r="L737" s="1292">
        <f t="shared" ref="L737:N737" si="294">L738+L739</f>
        <v>0</v>
      </c>
      <c r="M737" s="1292">
        <f t="shared" si="294"/>
        <v>0</v>
      </c>
      <c r="N737" s="1292">
        <f t="shared" si="294"/>
        <v>0</v>
      </c>
      <c r="O737" s="1292">
        <f t="shared" ref="O737:O742" si="295">IF(L737&gt;0,N737*100/L737,0)</f>
        <v>0</v>
      </c>
      <c r="P737" s="1292">
        <f t="shared" ref="P737:P742" si="296">IF(M737&gt;0,N737*100/M737,0)</f>
        <v>0</v>
      </c>
      <c r="Q737" s="1264"/>
      <c r="R737" s="1264"/>
      <c r="S737" s="1264"/>
      <c r="T737" s="1264"/>
      <c r="U737" s="1264"/>
      <c r="V737" s="1264"/>
      <c r="W737" s="1264"/>
      <c r="X737" s="1264"/>
      <c r="Y737" s="1264"/>
      <c r="Z737" s="1264"/>
    </row>
    <row r="738" spans="1:26" ht="18.75" hidden="1">
      <c r="A738" s="1260"/>
      <c r="B738" s="1261"/>
      <c r="C738" s="1261"/>
      <c r="D738" s="1262"/>
      <c r="E738" s="1261" t="s">
        <v>184</v>
      </c>
      <c r="F738" s="1261"/>
      <c r="G738" s="1263"/>
      <c r="H738" s="165" t="s">
        <v>12</v>
      </c>
      <c r="I738" s="836"/>
      <c r="J738" s="836"/>
      <c r="K738" s="837"/>
      <c r="L738" s="837">
        <f t="shared" ref="L738:N739" si="297">L741+L748</f>
        <v>0</v>
      </c>
      <c r="M738" s="837">
        <f t="shared" si="297"/>
        <v>0</v>
      </c>
      <c r="N738" s="837">
        <f t="shared" si="297"/>
        <v>0</v>
      </c>
      <c r="O738" s="837">
        <f t="shared" si="295"/>
        <v>0</v>
      </c>
      <c r="P738" s="837">
        <f t="shared" si="296"/>
        <v>0</v>
      </c>
      <c r="Q738" s="1264"/>
      <c r="R738" s="1264"/>
      <c r="S738" s="1264"/>
      <c r="T738" s="1264"/>
      <c r="U738" s="1264"/>
      <c r="V738" s="1264"/>
      <c r="W738" s="1264"/>
      <c r="X738" s="1264"/>
      <c r="Y738" s="1264"/>
      <c r="Z738" s="1264"/>
    </row>
    <row r="739" spans="1:26" ht="18.75" hidden="1">
      <c r="A739" s="1260"/>
      <c r="B739" s="1265"/>
      <c r="C739" s="1261"/>
      <c r="D739" s="1262"/>
      <c r="E739" s="1261" t="s">
        <v>185</v>
      </c>
      <c r="F739" s="1261"/>
      <c r="G739" s="1263"/>
      <c r="H739" s="165" t="s">
        <v>12</v>
      </c>
      <c r="I739" s="836"/>
      <c r="J739" s="836"/>
      <c r="K739" s="837"/>
      <c r="L739" s="837">
        <f t="shared" si="297"/>
        <v>0</v>
      </c>
      <c r="M739" s="837">
        <f t="shared" si="297"/>
        <v>0</v>
      </c>
      <c r="N739" s="837">
        <f t="shared" si="297"/>
        <v>0</v>
      </c>
      <c r="O739" s="837">
        <f t="shared" si="295"/>
        <v>0</v>
      </c>
      <c r="P739" s="837">
        <f t="shared" si="296"/>
        <v>0</v>
      </c>
      <c r="Q739" s="1264"/>
      <c r="R739" s="1264"/>
      <c r="S739" s="1264"/>
      <c r="T739" s="1264"/>
      <c r="U739" s="1264"/>
      <c r="V739" s="1264"/>
      <c r="W739" s="1264"/>
      <c r="X739" s="1264"/>
      <c r="Y739" s="1264"/>
      <c r="Z739" s="1264"/>
    </row>
    <row r="740" spans="1:26" ht="19.5" hidden="1">
      <c r="A740" s="1260"/>
      <c r="B740" s="1265"/>
      <c r="C740" s="1261"/>
      <c r="D740" s="1392" t="s">
        <v>20</v>
      </c>
      <c r="E740" s="1261"/>
      <c r="F740" s="1261"/>
      <c r="G740" s="1263"/>
      <c r="H740" s="612" t="s">
        <v>12</v>
      </c>
      <c r="I740" s="947"/>
      <c r="J740" s="947"/>
      <c r="K740" s="948"/>
      <c r="L740" s="1292">
        <f t="shared" ref="L740:N740" si="298">L741+L742</f>
        <v>0</v>
      </c>
      <c r="M740" s="1292">
        <f t="shared" si="298"/>
        <v>0</v>
      </c>
      <c r="N740" s="1292">
        <f t="shared" si="298"/>
        <v>0</v>
      </c>
      <c r="O740" s="1292">
        <f t="shared" si="295"/>
        <v>0</v>
      </c>
      <c r="P740" s="1292">
        <f t="shared" si="296"/>
        <v>0</v>
      </c>
      <c r="Q740" s="1264"/>
      <c r="R740" s="1264"/>
      <c r="S740" s="1264"/>
      <c r="T740" s="1264"/>
      <c r="U740" s="1264"/>
      <c r="V740" s="1264"/>
      <c r="W740" s="1264"/>
      <c r="X740" s="1264"/>
      <c r="Y740" s="1264"/>
      <c r="Z740" s="1264"/>
    </row>
    <row r="741" spans="1:26" ht="18.75" hidden="1">
      <c r="A741" s="1260"/>
      <c r="B741" s="1265"/>
      <c r="C741" s="1261"/>
      <c r="D741" s="1262"/>
      <c r="E741" s="1261" t="s">
        <v>184</v>
      </c>
      <c r="F741" s="1261"/>
      <c r="G741" s="1263"/>
      <c r="H741" s="165" t="s">
        <v>12</v>
      </c>
      <c r="I741" s="836"/>
      <c r="J741" s="836"/>
      <c r="K741" s="837"/>
      <c r="L741" s="837">
        <v>0</v>
      </c>
      <c r="M741" s="837">
        <v>0</v>
      </c>
      <c r="N741" s="837">
        <v>0</v>
      </c>
      <c r="O741" s="837">
        <f t="shared" si="295"/>
        <v>0</v>
      </c>
      <c r="P741" s="837">
        <f t="shared" si="296"/>
        <v>0</v>
      </c>
      <c r="Q741" s="1264"/>
      <c r="R741" s="1264"/>
      <c r="S741" s="1264"/>
      <c r="T741" s="1264"/>
      <c r="U741" s="1264"/>
      <c r="V741" s="1264"/>
      <c r="W741" s="1264"/>
      <c r="X741" s="1264"/>
      <c r="Y741" s="1264"/>
      <c r="Z741" s="1264"/>
    </row>
    <row r="742" spans="1:26" ht="18.75" hidden="1">
      <c r="A742" s="1260"/>
      <c r="B742" s="1265"/>
      <c r="C742" s="1261"/>
      <c r="D742" s="1262"/>
      <c r="E742" s="1261" t="s">
        <v>185</v>
      </c>
      <c r="F742" s="1261"/>
      <c r="G742" s="1263"/>
      <c r="H742" s="165" t="s">
        <v>12</v>
      </c>
      <c r="I742" s="836"/>
      <c r="J742" s="836"/>
      <c r="K742" s="837"/>
      <c r="L742" s="837">
        <v>0</v>
      </c>
      <c r="M742" s="837">
        <v>0</v>
      </c>
      <c r="N742" s="837">
        <f>N743+N744+N745+N746</f>
        <v>0</v>
      </c>
      <c r="O742" s="837">
        <f t="shared" si="295"/>
        <v>0</v>
      </c>
      <c r="P742" s="837">
        <f t="shared" si="296"/>
        <v>0</v>
      </c>
      <c r="Q742" s="1264"/>
      <c r="R742" s="1264"/>
      <c r="S742" s="1264"/>
      <c r="T742" s="1264"/>
      <c r="U742" s="1264"/>
      <c r="V742" s="1264"/>
      <c r="W742" s="1264"/>
      <c r="X742" s="1264"/>
      <c r="Y742" s="1264"/>
      <c r="Z742" s="1264"/>
    </row>
    <row r="743" spans="1:26" ht="18.75" hidden="1">
      <c r="A743" s="1294"/>
      <c r="B743" s="1265"/>
      <c r="C743" s="1261"/>
      <c r="D743" s="1261"/>
      <c r="E743" s="1261"/>
      <c r="F743" s="1261" t="s">
        <v>186</v>
      </c>
      <c r="G743" s="1263"/>
      <c r="H743" s="165" t="s">
        <v>12</v>
      </c>
      <c r="I743" s="836"/>
      <c r="J743" s="836"/>
      <c r="K743" s="837"/>
      <c r="L743" s="837"/>
      <c r="M743" s="837"/>
      <c r="N743" s="837"/>
      <c r="O743" s="837"/>
      <c r="P743" s="837"/>
      <c r="Q743" s="1264"/>
      <c r="R743" s="1264"/>
      <c r="S743" s="1264"/>
      <c r="T743" s="1264"/>
      <c r="U743" s="1264"/>
      <c r="V743" s="1264"/>
      <c r="W743" s="1264"/>
      <c r="X743" s="1264"/>
      <c r="Y743" s="1264"/>
      <c r="Z743" s="1264"/>
    </row>
    <row r="744" spans="1:26" ht="18.75" hidden="1">
      <c r="A744" s="1294"/>
      <c r="B744" s="1265"/>
      <c r="C744" s="1261"/>
      <c r="D744" s="1261"/>
      <c r="E744" s="1261"/>
      <c r="F744" s="1261" t="s">
        <v>187</v>
      </c>
      <c r="G744" s="1263"/>
      <c r="H744" s="165" t="s">
        <v>12</v>
      </c>
      <c r="I744" s="836"/>
      <c r="J744" s="836"/>
      <c r="K744" s="837"/>
      <c r="L744" s="837"/>
      <c r="M744" s="837"/>
      <c r="N744" s="837"/>
      <c r="O744" s="837"/>
      <c r="P744" s="837"/>
      <c r="Q744" s="1264"/>
      <c r="R744" s="1264"/>
      <c r="S744" s="1264"/>
      <c r="T744" s="1264"/>
      <c r="U744" s="1264"/>
      <c r="V744" s="1264"/>
      <c r="W744" s="1264"/>
      <c r="X744" s="1264"/>
      <c r="Y744" s="1264"/>
      <c r="Z744" s="1264"/>
    </row>
    <row r="745" spans="1:26" ht="18.75" hidden="1">
      <c r="A745" s="1294"/>
      <c r="B745" s="1265"/>
      <c r="C745" s="1261"/>
      <c r="D745" s="1261"/>
      <c r="E745" s="1261"/>
      <c r="F745" s="1261" t="s">
        <v>188</v>
      </c>
      <c r="G745" s="1263"/>
      <c r="H745" s="165" t="s">
        <v>12</v>
      </c>
      <c r="I745" s="836"/>
      <c r="J745" s="836"/>
      <c r="K745" s="837"/>
      <c r="L745" s="837"/>
      <c r="M745" s="837"/>
      <c r="N745" s="837"/>
      <c r="O745" s="837"/>
      <c r="P745" s="837"/>
      <c r="Q745" s="1264"/>
      <c r="R745" s="1264"/>
      <c r="S745" s="1264"/>
      <c r="T745" s="1264"/>
      <c r="U745" s="1264"/>
      <c r="V745" s="1264"/>
      <c r="W745" s="1264"/>
      <c r="X745" s="1264"/>
      <c r="Y745" s="1264"/>
      <c r="Z745" s="1264"/>
    </row>
    <row r="746" spans="1:26" ht="18.75" hidden="1">
      <c r="A746" s="1294"/>
      <c r="B746" s="1265"/>
      <c r="C746" s="1261"/>
      <c r="D746" s="1261"/>
      <c r="E746" s="1261"/>
      <c r="F746" s="1261" t="s">
        <v>189</v>
      </c>
      <c r="G746" s="1263"/>
      <c r="H746" s="165" t="s">
        <v>12</v>
      </c>
      <c r="I746" s="836"/>
      <c r="J746" s="836"/>
      <c r="K746" s="837"/>
      <c r="L746" s="837"/>
      <c r="M746" s="837"/>
      <c r="N746" s="837"/>
      <c r="O746" s="837"/>
      <c r="P746" s="837"/>
      <c r="Q746" s="1264"/>
      <c r="R746" s="1264"/>
      <c r="S746" s="1264"/>
      <c r="T746" s="1264"/>
      <c r="U746" s="1264"/>
      <c r="V746" s="1264"/>
      <c r="W746" s="1264"/>
      <c r="X746" s="1264"/>
      <c r="Y746" s="1264"/>
      <c r="Z746" s="1264"/>
    </row>
    <row r="747" spans="1:26" ht="19.5" hidden="1">
      <c r="A747" s="1260"/>
      <c r="B747" s="1265"/>
      <c r="C747" s="1261"/>
      <c r="D747" s="1392" t="s">
        <v>21</v>
      </c>
      <c r="E747" s="1261"/>
      <c r="F747" s="1261"/>
      <c r="G747" s="1263"/>
      <c r="H747" s="749" t="s">
        <v>12</v>
      </c>
      <c r="I747" s="947"/>
      <c r="J747" s="947"/>
      <c r="K747" s="948"/>
      <c r="L747" s="1292">
        <f t="shared" ref="L747:N747" si="299">L748+L749</f>
        <v>0</v>
      </c>
      <c r="M747" s="1292">
        <f t="shared" si="299"/>
        <v>0</v>
      </c>
      <c r="N747" s="1292">
        <f t="shared" si="299"/>
        <v>0</v>
      </c>
      <c r="O747" s="1292">
        <f t="shared" ref="O747:O749" si="300">IF(L747&gt;0,N747*100/L747,0)</f>
        <v>0</v>
      </c>
      <c r="P747" s="1292">
        <f t="shared" ref="P747:P749" si="301">IF(M747&gt;0,N747*100/M747,0)</f>
        <v>0</v>
      </c>
      <c r="Q747" s="1264"/>
      <c r="R747" s="1264"/>
      <c r="S747" s="1264"/>
      <c r="T747" s="1264"/>
      <c r="U747" s="1264"/>
      <c r="V747" s="1264"/>
      <c r="W747" s="1264"/>
      <c r="X747" s="1264"/>
      <c r="Y747" s="1264"/>
      <c r="Z747" s="1264"/>
    </row>
    <row r="748" spans="1:26" ht="18.75" hidden="1">
      <c r="A748" s="1260"/>
      <c r="B748" s="1265"/>
      <c r="C748" s="1261"/>
      <c r="D748" s="1261"/>
      <c r="E748" s="1261" t="s">
        <v>18</v>
      </c>
      <c r="F748" s="1261"/>
      <c r="G748" s="1263"/>
      <c r="H748" s="165" t="s">
        <v>12</v>
      </c>
      <c r="I748" s="947"/>
      <c r="J748" s="947"/>
      <c r="K748" s="948"/>
      <c r="L748" s="837">
        <v>0</v>
      </c>
      <c r="M748" s="837">
        <v>0</v>
      </c>
      <c r="N748" s="837">
        <v>0</v>
      </c>
      <c r="O748" s="837">
        <f t="shared" si="300"/>
        <v>0</v>
      </c>
      <c r="P748" s="837">
        <f t="shared" si="301"/>
        <v>0</v>
      </c>
      <c r="Q748" s="1264"/>
      <c r="R748" s="1264"/>
      <c r="S748" s="1264"/>
      <c r="T748" s="1264"/>
      <c r="U748" s="1264"/>
      <c r="V748" s="1264"/>
      <c r="W748" s="1264"/>
      <c r="X748" s="1264"/>
      <c r="Y748" s="1264"/>
      <c r="Z748" s="1264"/>
    </row>
    <row r="749" spans="1:26" ht="18.75" hidden="1">
      <c r="A749" s="1260"/>
      <c r="B749" s="1265"/>
      <c r="C749" s="1261"/>
      <c r="D749" s="1261"/>
      <c r="E749" s="1261" t="s">
        <v>19</v>
      </c>
      <c r="F749" s="1261"/>
      <c r="G749" s="1263"/>
      <c r="H749" s="169" t="s">
        <v>12</v>
      </c>
      <c r="I749" s="947"/>
      <c r="J749" s="947"/>
      <c r="K749" s="948"/>
      <c r="L749" s="837">
        <v>0</v>
      </c>
      <c r="M749" s="837">
        <v>0</v>
      </c>
      <c r="N749" s="837">
        <v>0</v>
      </c>
      <c r="O749" s="837">
        <f t="shared" si="300"/>
        <v>0</v>
      </c>
      <c r="P749" s="837">
        <f t="shared" si="301"/>
        <v>0</v>
      </c>
      <c r="Q749" s="1264"/>
      <c r="R749" s="1264"/>
      <c r="S749" s="1264"/>
      <c r="T749" s="1264"/>
      <c r="U749" s="1264"/>
      <c r="V749" s="1264"/>
      <c r="W749" s="1264"/>
      <c r="X749" s="1264"/>
      <c r="Y749" s="1264"/>
      <c r="Z749" s="1264"/>
    </row>
    <row r="750" spans="1:26" ht="19.5" hidden="1">
      <c r="A750" s="1273"/>
      <c r="B750" s="1274"/>
      <c r="C750" s="1261" t="s">
        <v>16</v>
      </c>
      <c r="D750" s="1393" t="s">
        <v>38</v>
      </c>
      <c r="E750" s="1296"/>
      <c r="F750" s="1296"/>
      <c r="G750" s="1297"/>
      <c r="H750" s="1060"/>
      <c r="I750" s="947"/>
      <c r="J750" s="947"/>
      <c r="K750" s="948"/>
      <c r="L750" s="948"/>
      <c r="M750" s="948"/>
      <c r="N750" s="948"/>
      <c r="O750" s="948"/>
      <c r="P750" s="948"/>
      <c r="Q750" s="1264"/>
      <c r="R750" s="1264"/>
      <c r="S750" s="1264"/>
      <c r="T750" s="1264"/>
      <c r="U750" s="1264"/>
      <c r="V750" s="1264"/>
      <c r="W750" s="1264"/>
      <c r="X750" s="1264"/>
      <c r="Y750" s="1264"/>
      <c r="Z750" s="1264"/>
    </row>
    <row r="751" spans="1:26" ht="18.75" hidden="1">
      <c r="A751" s="1294"/>
      <c r="B751" s="1265"/>
      <c r="C751" s="1261"/>
      <c r="D751" s="1261"/>
      <c r="E751" s="1261" t="s">
        <v>313</v>
      </c>
      <c r="F751" s="1261"/>
      <c r="G751" s="1263"/>
      <c r="H751" s="165" t="s">
        <v>46</v>
      </c>
      <c r="I751" s="836"/>
      <c r="J751" s="836"/>
      <c r="K751" s="837"/>
      <c r="L751" s="837"/>
      <c r="M751" s="837"/>
      <c r="N751" s="837"/>
      <c r="O751" s="837"/>
      <c r="P751" s="837"/>
      <c r="Q751" s="1264"/>
      <c r="R751" s="1264"/>
      <c r="S751" s="1264"/>
      <c r="T751" s="1264"/>
      <c r="U751" s="1264"/>
      <c r="V751" s="1264"/>
      <c r="W751" s="1264"/>
      <c r="X751" s="1264"/>
      <c r="Y751" s="1264"/>
      <c r="Z751" s="1264"/>
    </row>
    <row r="752" spans="1:26" ht="18.75" hidden="1">
      <c r="A752" s="1294"/>
      <c r="B752" s="1265"/>
      <c r="C752" s="1261"/>
      <c r="D752" s="1261"/>
      <c r="E752" s="1261"/>
      <c r="F752" s="1261"/>
      <c r="G752" s="1263"/>
      <c r="H752" s="165" t="s">
        <v>314</v>
      </c>
      <c r="I752" s="836"/>
      <c r="J752" s="836"/>
      <c r="K752" s="837"/>
      <c r="L752" s="837"/>
      <c r="M752" s="837"/>
      <c r="N752" s="837"/>
      <c r="O752" s="837"/>
      <c r="P752" s="837"/>
      <c r="Q752" s="1264"/>
      <c r="R752" s="1264"/>
      <c r="S752" s="1264"/>
      <c r="T752" s="1264"/>
      <c r="U752" s="1264"/>
      <c r="V752" s="1264"/>
      <c r="W752" s="1264"/>
      <c r="X752" s="1264"/>
      <c r="Y752" s="1264"/>
      <c r="Z752" s="1264"/>
    </row>
    <row r="753" spans="1:26" ht="19.5" hidden="1">
      <c r="A753" s="751">
        <v>10</v>
      </c>
      <c r="B753" s="1394" t="s">
        <v>315</v>
      </c>
      <c r="C753" s="1395"/>
      <c r="D753" s="1395"/>
      <c r="E753" s="1395"/>
      <c r="F753" s="1395"/>
      <c r="G753" s="1396"/>
      <c r="H753" s="755" t="s">
        <v>46</v>
      </c>
      <c r="I753" s="1397"/>
      <c r="J753" s="1397">
        <f>J768</f>
        <v>0</v>
      </c>
      <c r="K753" s="1398">
        <f>IF(I753&gt;0,J753*100/I753,0)</f>
        <v>0</v>
      </c>
      <c r="L753" s="1399"/>
      <c r="M753" s="1399"/>
      <c r="N753" s="1399"/>
      <c r="O753" s="1399"/>
      <c r="P753" s="1399"/>
      <c r="Q753" s="1264"/>
      <c r="R753" s="1264"/>
      <c r="S753" s="1264"/>
      <c r="T753" s="1264"/>
      <c r="U753" s="1264"/>
      <c r="V753" s="1264"/>
      <c r="W753" s="1264"/>
      <c r="X753" s="1264"/>
      <c r="Y753" s="1264"/>
      <c r="Z753" s="1264"/>
    </row>
    <row r="754" spans="1:26" ht="19.5" hidden="1">
      <c r="A754" s="1260"/>
      <c r="B754" s="1261"/>
      <c r="C754" s="1261" t="s">
        <v>16</v>
      </c>
      <c r="D754" s="1508" t="s">
        <v>17</v>
      </c>
      <c r="E754" s="1485"/>
      <c r="F754" s="1485"/>
      <c r="G754" s="1263"/>
      <c r="H754" s="612" t="s">
        <v>12</v>
      </c>
      <c r="I754" s="836"/>
      <c r="J754" s="836"/>
      <c r="K754" s="837"/>
      <c r="L754" s="1292">
        <f t="shared" ref="L754:N754" si="302">L755+L756</f>
        <v>0</v>
      </c>
      <c r="M754" s="1292">
        <f t="shared" si="302"/>
        <v>0</v>
      </c>
      <c r="N754" s="1292">
        <f t="shared" si="302"/>
        <v>0</v>
      </c>
      <c r="O754" s="1292">
        <f t="shared" ref="O754:O759" si="303">IF(L754&gt;0,N754*100/L754,0)</f>
        <v>0</v>
      </c>
      <c r="P754" s="1292">
        <f t="shared" ref="P754:P759" si="304">IF(M754&gt;0,N754*100/M754,0)</f>
        <v>0</v>
      </c>
      <c r="Q754" s="1264"/>
      <c r="R754" s="1264"/>
      <c r="S754" s="1264"/>
      <c r="T754" s="1264"/>
      <c r="U754" s="1264"/>
      <c r="V754" s="1264"/>
      <c r="W754" s="1264"/>
      <c r="X754" s="1264"/>
      <c r="Y754" s="1264"/>
      <c r="Z754" s="1264"/>
    </row>
    <row r="755" spans="1:26" ht="18.75" hidden="1">
      <c r="A755" s="1260"/>
      <c r="B755" s="1261"/>
      <c r="C755" s="1261"/>
      <c r="D755" s="1262"/>
      <c r="E755" s="1261" t="s">
        <v>184</v>
      </c>
      <c r="F755" s="1261"/>
      <c r="G755" s="1263"/>
      <c r="H755" s="165" t="s">
        <v>12</v>
      </c>
      <c r="I755" s="836"/>
      <c r="J755" s="836"/>
      <c r="K755" s="837"/>
      <c r="L755" s="837">
        <f t="shared" ref="L755:N756" si="305">L758+L765</f>
        <v>0</v>
      </c>
      <c r="M755" s="837">
        <f t="shared" si="305"/>
        <v>0</v>
      </c>
      <c r="N755" s="837">
        <f t="shared" si="305"/>
        <v>0</v>
      </c>
      <c r="O755" s="837">
        <f t="shared" si="303"/>
        <v>0</v>
      </c>
      <c r="P755" s="837">
        <f t="shared" si="304"/>
        <v>0</v>
      </c>
      <c r="Q755" s="1264"/>
      <c r="R755" s="1264"/>
      <c r="S755" s="1264"/>
      <c r="T755" s="1264"/>
      <c r="U755" s="1264"/>
      <c r="V755" s="1264"/>
      <c r="W755" s="1264"/>
      <c r="X755" s="1264"/>
      <c r="Y755" s="1264"/>
      <c r="Z755" s="1264"/>
    </row>
    <row r="756" spans="1:26" ht="18.75" hidden="1">
      <c r="A756" s="1260"/>
      <c r="B756" s="1265"/>
      <c r="C756" s="1261"/>
      <c r="D756" s="1262"/>
      <c r="E756" s="1261" t="s">
        <v>185</v>
      </c>
      <c r="F756" s="1261"/>
      <c r="G756" s="1263"/>
      <c r="H756" s="165" t="s">
        <v>12</v>
      </c>
      <c r="I756" s="836"/>
      <c r="J756" s="836"/>
      <c r="K756" s="837"/>
      <c r="L756" s="837">
        <f t="shared" si="305"/>
        <v>0</v>
      </c>
      <c r="M756" s="837">
        <f t="shared" si="305"/>
        <v>0</v>
      </c>
      <c r="N756" s="837">
        <f t="shared" si="305"/>
        <v>0</v>
      </c>
      <c r="O756" s="837">
        <f t="shared" si="303"/>
        <v>0</v>
      </c>
      <c r="P756" s="837">
        <f t="shared" si="304"/>
        <v>0</v>
      </c>
      <c r="Q756" s="1264"/>
      <c r="R756" s="1264"/>
      <c r="S756" s="1264"/>
      <c r="T756" s="1264"/>
      <c r="U756" s="1264"/>
      <c r="V756" s="1264"/>
      <c r="W756" s="1264"/>
      <c r="X756" s="1264"/>
      <c r="Y756" s="1264"/>
      <c r="Z756" s="1264"/>
    </row>
    <row r="757" spans="1:26" ht="19.5" hidden="1">
      <c r="A757" s="1260"/>
      <c r="B757" s="1265"/>
      <c r="C757" s="1261"/>
      <c r="D757" s="1392" t="s">
        <v>20</v>
      </c>
      <c r="E757" s="1261"/>
      <c r="F757" s="1261"/>
      <c r="G757" s="1263"/>
      <c r="H757" s="612" t="s">
        <v>12</v>
      </c>
      <c r="I757" s="947"/>
      <c r="J757" s="947"/>
      <c r="K757" s="948"/>
      <c r="L757" s="1292">
        <f t="shared" ref="L757:N757" si="306">L758+L759</f>
        <v>0</v>
      </c>
      <c r="M757" s="1292">
        <f t="shared" si="306"/>
        <v>0</v>
      </c>
      <c r="N757" s="1292">
        <f t="shared" si="306"/>
        <v>0</v>
      </c>
      <c r="O757" s="1292">
        <f t="shared" si="303"/>
        <v>0</v>
      </c>
      <c r="P757" s="1292">
        <f t="shared" si="304"/>
        <v>0</v>
      </c>
      <c r="Q757" s="1264"/>
      <c r="R757" s="1264"/>
      <c r="S757" s="1264"/>
      <c r="T757" s="1264"/>
      <c r="U757" s="1264"/>
      <c r="V757" s="1264"/>
      <c r="W757" s="1264"/>
      <c r="X757" s="1264"/>
      <c r="Y757" s="1264"/>
      <c r="Z757" s="1264"/>
    </row>
    <row r="758" spans="1:26" ht="18.75" hidden="1">
      <c r="A758" s="1260"/>
      <c r="B758" s="1265"/>
      <c r="C758" s="1261"/>
      <c r="D758" s="1262"/>
      <c r="E758" s="1261" t="s">
        <v>184</v>
      </c>
      <c r="F758" s="1261"/>
      <c r="G758" s="1263"/>
      <c r="H758" s="165" t="s">
        <v>12</v>
      </c>
      <c r="I758" s="836"/>
      <c r="J758" s="836"/>
      <c r="K758" s="837"/>
      <c r="L758" s="837">
        <v>0</v>
      </c>
      <c r="M758" s="837">
        <v>0</v>
      </c>
      <c r="N758" s="837">
        <v>0</v>
      </c>
      <c r="O758" s="837">
        <f t="shared" si="303"/>
        <v>0</v>
      </c>
      <c r="P758" s="837">
        <f t="shared" si="304"/>
        <v>0</v>
      </c>
      <c r="Q758" s="1264"/>
      <c r="R758" s="1264"/>
      <c r="S758" s="1264"/>
      <c r="T758" s="1264"/>
      <c r="U758" s="1264"/>
      <c r="V758" s="1264"/>
      <c r="W758" s="1264"/>
      <c r="X758" s="1264"/>
      <c r="Y758" s="1264"/>
      <c r="Z758" s="1264"/>
    </row>
    <row r="759" spans="1:26" ht="18.75" hidden="1">
      <c r="A759" s="1260"/>
      <c r="B759" s="1265"/>
      <c r="C759" s="1261"/>
      <c r="D759" s="1262"/>
      <c r="E759" s="1261" t="s">
        <v>185</v>
      </c>
      <c r="F759" s="1261"/>
      <c r="G759" s="1263"/>
      <c r="H759" s="165" t="s">
        <v>12</v>
      </c>
      <c r="I759" s="836"/>
      <c r="J759" s="836"/>
      <c r="K759" s="837"/>
      <c r="L759" s="837">
        <v>0</v>
      </c>
      <c r="M759" s="837">
        <v>0</v>
      </c>
      <c r="N759" s="837">
        <f>N760+N761+N762+N763</f>
        <v>0</v>
      </c>
      <c r="O759" s="837">
        <f t="shared" si="303"/>
        <v>0</v>
      </c>
      <c r="P759" s="837">
        <f t="shared" si="304"/>
        <v>0</v>
      </c>
      <c r="Q759" s="1264"/>
      <c r="R759" s="1264"/>
      <c r="S759" s="1264"/>
      <c r="T759" s="1264"/>
      <c r="U759" s="1264"/>
      <c r="V759" s="1264"/>
      <c r="W759" s="1264"/>
      <c r="X759" s="1264"/>
      <c r="Y759" s="1264"/>
      <c r="Z759" s="1264"/>
    </row>
    <row r="760" spans="1:26" ht="18.75" hidden="1">
      <c r="A760" s="1294"/>
      <c r="B760" s="1265"/>
      <c r="C760" s="1261"/>
      <c r="D760" s="1261"/>
      <c r="E760" s="1261"/>
      <c r="F760" s="1261" t="s">
        <v>186</v>
      </c>
      <c r="G760" s="1263"/>
      <c r="H760" s="165" t="s">
        <v>12</v>
      </c>
      <c r="I760" s="836"/>
      <c r="J760" s="836"/>
      <c r="K760" s="837"/>
      <c r="L760" s="837"/>
      <c r="M760" s="837"/>
      <c r="N760" s="837"/>
      <c r="O760" s="837"/>
      <c r="P760" s="837"/>
      <c r="Q760" s="1264"/>
      <c r="R760" s="1264"/>
      <c r="S760" s="1264"/>
      <c r="T760" s="1264"/>
      <c r="U760" s="1264"/>
      <c r="V760" s="1264"/>
      <c r="W760" s="1264"/>
      <c r="X760" s="1264"/>
      <c r="Y760" s="1264"/>
      <c r="Z760" s="1264"/>
    </row>
    <row r="761" spans="1:26" ht="18.75" hidden="1">
      <c r="A761" s="1294"/>
      <c r="B761" s="1265"/>
      <c r="C761" s="1261"/>
      <c r="D761" s="1261"/>
      <c r="E761" s="1261"/>
      <c r="F761" s="1261" t="s">
        <v>187</v>
      </c>
      <c r="G761" s="1263"/>
      <c r="H761" s="165" t="s">
        <v>12</v>
      </c>
      <c r="I761" s="836"/>
      <c r="J761" s="836"/>
      <c r="K761" s="837"/>
      <c r="L761" s="837"/>
      <c r="M761" s="837"/>
      <c r="N761" s="837"/>
      <c r="O761" s="837"/>
      <c r="P761" s="837"/>
      <c r="Q761" s="1264"/>
      <c r="R761" s="1264"/>
      <c r="S761" s="1264"/>
      <c r="T761" s="1264"/>
      <c r="U761" s="1264"/>
      <c r="V761" s="1264"/>
      <c r="W761" s="1264"/>
      <c r="X761" s="1264"/>
      <c r="Y761" s="1264"/>
      <c r="Z761" s="1264"/>
    </row>
    <row r="762" spans="1:26" ht="18.75" hidden="1">
      <c r="A762" s="1294"/>
      <c r="B762" s="1265"/>
      <c r="C762" s="1261"/>
      <c r="D762" s="1261"/>
      <c r="E762" s="1261"/>
      <c r="F762" s="1261" t="s">
        <v>188</v>
      </c>
      <c r="G762" s="1263"/>
      <c r="H762" s="165" t="s">
        <v>12</v>
      </c>
      <c r="I762" s="836"/>
      <c r="J762" s="836"/>
      <c r="K762" s="837"/>
      <c r="L762" s="837"/>
      <c r="M762" s="837"/>
      <c r="N762" s="837"/>
      <c r="O762" s="837"/>
      <c r="P762" s="837"/>
      <c r="Q762" s="1264"/>
      <c r="R762" s="1264"/>
      <c r="S762" s="1264"/>
      <c r="T762" s="1264"/>
      <c r="U762" s="1264"/>
      <c r="V762" s="1264"/>
      <c r="W762" s="1264"/>
      <c r="X762" s="1264"/>
      <c r="Y762" s="1264"/>
      <c r="Z762" s="1264"/>
    </row>
    <row r="763" spans="1:26" ht="18.75" hidden="1">
      <c r="A763" s="1294"/>
      <c r="B763" s="1265"/>
      <c r="C763" s="1261"/>
      <c r="D763" s="1261"/>
      <c r="E763" s="1261"/>
      <c r="F763" s="1261" t="s">
        <v>189</v>
      </c>
      <c r="G763" s="1263"/>
      <c r="H763" s="165" t="s">
        <v>12</v>
      </c>
      <c r="I763" s="836"/>
      <c r="J763" s="836"/>
      <c r="K763" s="837"/>
      <c r="L763" s="837"/>
      <c r="M763" s="837"/>
      <c r="N763" s="837"/>
      <c r="O763" s="837"/>
      <c r="P763" s="837"/>
      <c r="Q763" s="1264"/>
      <c r="R763" s="1264"/>
      <c r="S763" s="1264"/>
      <c r="T763" s="1264"/>
      <c r="U763" s="1264"/>
      <c r="V763" s="1264"/>
      <c r="W763" s="1264"/>
      <c r="X763" s="1264"/>
      <c r="Y763" s="1264"/>
      <c r="Z763" s="1264"/>
    </row>
    <row r="764" spans="1:26" ht="19.5" hidden="1">
      <c r="A764" s="1260"/>
      <c r="B764" s="1265"/>
      <c r="C764" s="1261"/>
      <c r="D764" s="1392" t="s">
        <v>21</v>
      </c>
      <c r="E764" s="1261"/>
      <c r="F764" s="1261"/>
      <c r="G764" s="1263"/>
      <c r="H764" s="749" t="s">
        <v>12</v>
      </c>
      <c r="I764" s="947"/>
      <c r="J764" s="947"/>
      <c r="K764" s="948"/>
      <c r="L764" s="1292">
        <f t="shared" ref="L764:N764" si="307">L765+L766</f>
        <v>0</v>
      </c>
      <c r="M764" s="1292">
        <f t="shared" si="307"/>
        <v>0</v>
      </c>
      <c r="N764" s="1292">
        <f t="shared" si="307"/>
        <v>0</v>
      </c>
      <c r="O764" s="1292">
        <f t="shared" ref="O764:O766" si="308">IF(L764&gt;0,N764*100/L764,0)</f>
        <v>0</v>
      </c>
      <c r="P764" s="1292">
        <f t="shared" ref="P764:P766" si="309">IF(M764&gt;0,N764*100/M764,0)</f>
        <v>0</v>
      </c>
      <c r="Q764" s="1264"/>
      <c r="R764" s="1264"/>
      <c r="S764" s="1264"/>
      <c r="T764" s="1264"/>
      <c r="U764" s="1264"/>
      <c r="V764" s="1264"/>
      <c r="W764" s="1264"/>
      <c r="X764" s="1264"/>
      <c r="Y764" s="1264"/>
      <c r="Z764" s="1264"/>
    </row>
    <row r="765" spans="1:26" ht="18.75" hidden="1">
      <c r="A765" s="1260"/>
      <c r="B765" s="1265"/>
      <c r="C765" s="1261"/>
      <c r="D765" s="1261"/>
      <c r="E765" s="1261" t="s">
        <v>18</v>
      </c>
      <c r="F765" s="1261"/>
      <c r="G765" s="1263"/>
      <c r="H765" s="165" t="s">
        <v>12</v>
      </c>
      <c r="I765" s="947"/>
      <c r="J765" s="947"/>
      <c r="K765" s="948"/>
      <c r="L765" s="837">
        <v>0</v>
      </c>
      <c r="M765" s="837">
        <v>0</v>
      </c>
      <c r="N765" s="837">
        <v>0</v>
      </c>
      <c r="O765" s="837">
        <f t="shared" si="308"/>
        <v>0</v>
      </c>
      <c r="P765" s="837">
        <f t="shared" si="309"/>
        <v>0</v>
      </c>
      <c r="Q765" s="1264"/>
      <c r="R765" s="1264"/>
      <c r="S765" s="1264"/>
      <c r="T765" s="1264"/>
      <c r="U765" s="1264"/>
      <c r="V765" s="1264"/>
      <c r="W765" s="1264"/>
      <c r="X765" s="1264"/>
      <c r="Y765" s="1264"/>
      <c r="Z765" s="1264"/>
    </row>
    <row r="766" spans="1:26" ht="18.75" hidden="1">
      <c r="A766" s="1260"/>
      <c r="B766" s="1265"/>
      <c r="C766" s="1261"/>
      <c r="D766" s="1261"/>
      <c r="E766" s="1261" t="s">
        <v>19</v>
      </c>
      <c r="F766" s="1261"/>
      <c r="G766" s="1263"/>
      <c r="H766" s="169" t="s">
        <v>12</v>
      </c>
      <c r="I766" s="947"/>
      <c r="J766" s="947"/>
      <c r="K766" s="948"/>
      <c r="L766" s="837">
        <v>0</v>
      </c>
      <c r="M766" s="837">
        <v>0</v>
      </c>
      <c r="N766" s="837">
        <v>0</v>
      </c>
      <c r="O766" s="837">
        <f t="shared" si="308"/>
        <v>0</v>
      </c>
      <c r="P766" s="837">
        <f t="shared" si="309"/>
        <v>0</v>
      </c>
      <c r="Q766" s="1264"/>
      <c r="R766" s="1264"/>
      <c r="S766" s="1264"/>
      <c r="T766" s="1264"/>
      <c r="U766" s="1264"/>
      <c r="V766" s="1264"/>
      <c r="W766" s="1264"/>
      <c r="X766" s="1264"/>
      <c r="Y766" s="1264"/>
      <c r="Z766" s="1264"/>
    </row>
    <row r="767" spans="1:26" ht="19.5" hidden="1">
      <c r="A767" s="1273"/>
      <c r="B767" s="1274"/>
      <c r="C767" s="1261" t="s">
        <v>16</v>
      </c>
      <c r="D767" s="1393" t="s">
        <v>38</v>
      </c>
      <c r="E767" s="1296"/>
      <c r="F767" s="1296"/>
      <c r="G767" s="1297"/>
      <c r="H767" s="1060"/>
      <c r="I767" s="947"/>
      <c r="J767" s="947"/>
      <c r="K767" s="948"/>
      <c r="L767" s="948"/>
      <c r="M767" s="948"/>
      <c r="N767" s="948"/>
      <c r="O767" s="948"/>
      <c r="P767" s="948"/>
      <c r="Q767" s="1264"/>
      <c r="R767" s="1264"/>
      <c r="S767" s="1264"/>
      <c r="T767" s="1264"/>
      <c r="U767" s="1264"/>
      <c r="V767" s="1264"/>
      <c r="W767" s="1264"/>
      <c r="X767" s="1264"/>
      <c r="Y767" s="1264"/>
      <c r="Z767" s="1264"/>
    </row>
    <row r="768" spans="1:26" ht="18.75" hidden="1">
      <c r="A768" s="1294"/>
      <c r="B768" s="1265"/>
      <c r="C768" s="1261"/>
      <c r="D768" s="1261"/>
      <c r="E768" s="1261" t="s">
        <v>316</v>
      </c>
      <c r="F768" s="1261"/>
      <c r="G768" s="1263"/>
      <c r="H768" s="165" t="s">
        <v>46</v>
      </c>
      <c r="I768" s="836"/>
      <c r="J768" s="836"/>
      <c r="K768" s="837"/>
      <c r="L768" s="837"/>
      <c r="M768" s="837"/>
      <c r="N768" s="837"/>
      <c r="O768" s="837"/>
      <c r="P768" s="837"/>
      <c r="Q768" s="1264"/>
      <c r="R768" s="1264"/>
      <c r="S768" s="1264"/>
      <c r="T768" s="1264"/>
      <c r="U768" s="1264"/>
      <c r="V768" s="1264"/>
      <c r="W768" s="1264"/>
      <c r="X768" s="1264"/>
      <c r="Y768" s="1264"/>
      <c r="Z768" s="1264"/>
    </row>
    <row r="769" spans="1:26" ht="19.5" hidden="1">
      <c r="A769" s="759">
        <v>11</v>
      </c>
      <c r="B769" s="1400" t="s">
        <v>317</v>
      </c>
      <c r="C769" s="1401"/>
      <c r="D769" s="1401"/>
      <c r="E769" s="1401"/>
      <c r="F769" s="1401"/>
      <c r="G769" s="1402"/>
      <c r="H769" s="763" t="s">
        <v>46</v>
      </c>
      <c r="I769" s="1403"/>
      <c r="J769" s="1403">
        <f>J784</f>
        <v>0</v>
      </c>
      <c r="K769" s="1404">
        <f>IF(I769&gt;0,J769*100/I769,0)</f>
        <v>0</v>
      </c>
      <c r="L769" s="1405"/>
      <c r="M769" s="1405"/>
      <c r="N769" s="1405"/>
      <c r="O769" s="1405"/>
      <c r="P769" s="1405"/>
      <c r="Q769" s="1264"/>
      <c r="R769" s="1264"/>
      <c r="S769" s="1264"/>
      <c r="T769" s="1264"/>
      <c r="U769" s="1264"/>
      <c r="V769" s="1264"/>
      <c r="W769" s="1264"/>
      <c r="X769" s="1264"/>
      <c r="Y769" s="1264"/>
      <c r="Z769" s="1264"/>
    </row>
    <row r="770" spans="1:26" ht="19.5" hidden="1">
      <c r="A770" s="1260"/>
      <c r="B770" s="1261"/>
      <c r="C770" s="1261" t="s">
        <v>16</v>
      </c>
      <c r="D770" s="1508" t="s">
        <v>17</v>
      </c>
      <c r="E770" s="1485"/>
      <c r="F770" s="1485"/>
      <c r="G770" s="1263"/>
      <c r="H770" s="612" t="s">
        <v>12</v>
      </c>
      <c r="I770" s="836"/>
      <c r="J770" s="836"/>
      <c r="K770" s="837"/>
      <c r="L770" s="1292">
        <f t="shared" ref="L770:N770" si="310">L771+L772</f>
        <v>0</v>
      </c>
      <c r="M770" s="1292">
        <f t="shared" si="310"/>
        <v>0</v>
      </c>
      <c r="N770" s="1292">
        <f t="shared" si="310"/>
        <v>0</v>
      </c>
      <c r="O770" s="1292">
        <f t="shared" ref="O770:O775" si="311">IF(L770&gt;0,N770*100/L770,0)</f>
        <v>0</v>
      </c>
      <c r="P770" s="1292">
        <f t="shared" ref="P770:P775" si="312">IF(M770&gt;0,N770*100/M770,0)</f>
        <v>0</v>
      </c>
      <c r="Q770" s="1264"/>
      <c r="R770" s="1264"/>
      <c r="S770" s="1264"/>
      <c r="T770" s="1264"/>
      <c r="U770" s="1264"/>
      <c r="V770" s="1264"/>
      <c r="W770" s="1264"/>
      <c r="X770" s="1264"/>
      <c r="Y770" s="1264"/>
      <c r="Z770" s="1264"/>
    </row>
    <row r="771" spans="1:26" ht="18.75" hidden="1">
      <c r="A771" s="1260"/>
      <c r="B771" s="1261"/>
      <c r="C771" s="1261"/>
      <c r="D771" s="1262"/>
      <c r="E771" s="1261" t="s">
        <v>184</v>
      </c>
      <c r="F771" s="1261"/>
      <c r="G771" s="1263"/>
      <c r="H771" s="165" t="s">
        <v>12</v>
      </c>
      <c r="I771" s="836"/>
      <c r="J771" s="836"/>
      <c r="K771" s="837"/>
      <c r="L771" s="837">
        <f t="shared" ref="L771:N772" si="313">L774+L781</f>
        <v>0</v>
      </c>
      <c r="M771" s="837">
        <f t="shared" si="313"/>
        <v>0</v>
      </c>
      <c r="N771" s="837">
        <f t="shared" si="313"/>
        <v>0</v>
      </c>
      <c r="O771" s="837">
        <f t="shared" si="311"/>
        <v>0</v>
      </c>
      <c r="P771" s="837">
        <f t="shared" si="312"/>
        <v>0</v>
      </c>
      <c r="Q771" s="1264"/>
      <c r="R771" s="1264"/>
      <c r="S771" s="1264"/>
      <c r="T771" s="1264"/>
      <c r="U771" s="1264"/>
      <c r="V771" s="1264"/>
      <c r="W771" s="1264"/>
      <c r="X771" s="1264"/>
      <c r="Y771" s="1264"/>
      <c r="Z771" s="1264"/>
    </row>
    <row r="772" spans="1:26" ht="18.75" hidden="1">
      <c r="A772" s="1260"/>
      <c r="B772" s="1265"/>
      <c r="C772" s="1261"/>
      <c r="D772" s="1262"/>
      <c r="E772" s="1261" t="s">
        <v>185</v>
      </c>
      <c r="F772" s="1261"/>
      <c r="G772" s="1263"/>
      <c r="H772" s="165" t="s">
        <v>12</v>
      </c>
      <c r="I772" s="836"/>
      <c r="J772" s="836"/>
      <c r="K772" s="837"/>
      <c r="L772" s="837">
        <f t="shared" si="313"/>
        <v>0</v>
      </c>
      <c r="M772" s="837">
        <f t="shared" si="313"/>
        <v>0</v>
      </c>
      <c r="N772" s="837">
        <f t="shared" si="313"/>
        <v>0</v>
      </c>
      <c r="O772" s="837">
        <f t="shared" si="311"/>
        <v>0</v>
      </c>
      <c r="P772" s="837">
        <f t="shared" si="312"/>
        <v>0</v>
      </c>
      <c r="Q772" s="1264"/>
      <c r="R772" s="1264"/>
      <c r="S772" s="1264"/>
      <c r="T772" s="1264"/>
      <c r="U772" s="1264"/>
      <c r="V772" s="1264"/>
      <c r="W772" s="1264"/>
      <c r="X772" s="1264"/>
      <c r="Y772" s="1264"/>
      <c r="Z772" s="1264"/>
    </row>
    <row r="773" spans="1:26" ht="19.5" hidden="1">
      <c r="A773" s="1260"/>
      <c r="B773" s="1265"/>
      <c r="C773" s="1261"/>
      <c r="D773" s="1392" t="s">
        <v>20</v>
      </c>
      <c r="E773" s="1261"/>
      <c r="F773" s="1261"/>
      <c r="G773" s="1263"/>
      <c r="H773" s="612" t="s">
        <v>12</v>
      </c>
      <c r="I773" s="947"/>
      <c r="J773" s="947"/>
      <c r="K773" s="948"/>
      <c r="L773" s="1292">
        <f t="shared" ref="L773:N773" si="314">L774+L775</f>
        <v>0</v>
      </c>
      <c r="M773" s="1292">
        <f t="shared" si="314"/>
        <v>0</v>
      </c>
      <c r="N773" s="1292">
        <f t="shared" si="314"/>
        <v>0</v>
      </c>
      <c r="O773" s="1292">
        <f t="shared" si="311"/>
        <v>0</v>
      </c>
      <c r="P773" s="1292">
        <f t="shared" si="312"/>
        <v>0</v>
      </c>
      <c r="Q773" s="1264"/>
      <c r="R773" s="1264"/>
      <c r="S773" s="1264"/>
      <c r="T773" s="1264"/>
      <c r="U773" s="1264"/>
      <c r="V773" s="1264"/>
      <c r="W773" s="1264"/>
      <c r="X773" s="1264"/>
      <c r="Y773" s="1264"/>
      <c r="Z773" s="1264"/>
    </row>
    <row r="774" spans="1:26" ht="18.75" hidden="1">
      <c r="A774" s="1260"/>
      <c r="B774" s="1265"/>
      <c r="C774" s="1261"/>
      <c r="D774" s="1262"/>
      <c r="E774" s="1261" t="s">
        <v>184</v>
      </c>
      <c r="F774" s="1261"/>
      <c r="G774" s="1263"/>
      <c r="H774" s="165" t="s">
        <v>12</v>
      </c>
      <c r="I774" s="836"/>
      <c r="J774" s="836"/>
      <c r="K774" s="837"/>
      <c r="L774" s="837">
        <v>0</v>
      </c>
      <c r="M774" s="837">
        <v>0</v>
      </c>
      <c r="N774" s="837">
        <v>0</v>
      </c>
      <c r="O774" s="837">
        <f t="shared" si="311"/>
        <v>0</v>
      </c>
      <c r="P774" s="837">
        <f t="shared" si="312"/>
        <v>0</v>
      </c>
      <c r="Q774" s="1264"/>
      <c r="R774" s="1264"/>
      <c r="S774" s="1264"/>
      <c r="T774" s="1264"/>
      <c r="U774" s="1264"/>
      <c r="V774" s="1264"/>
      <c r="W774" s="1264"/>
      <c r="X774" s="1264"/>
      <c r="Y774" s="1264"/>
      <c r="Z774" s="1264"/>
    </row>
    <row r="775" spans="1:26" ht="18.75" hidden="1">
      <c r="A775" s="1260"/>
      <c r="B775" s="1265"/>
      <c r="C775" s="1261"/>
      <c r="D775" s="1262"/>
      <c r="E775" s="1261" t="s">
        <v>185</v>
      </c>
      <c r="F775" s="1261"/>
      <c r="G775" s="1263"/>
      <c r="H775" s="165" t="s">
        <v>12</v>
      </c>
      <c r="I775" s="836"/>
      <c r="J775" s="836"/>
      <c r="K775" s="837"/>
      <c r="L775" s="837">
        <v>0</v>
      </c>
      <c r="M775" s="837">
        <v>0</v>
      </c>
      <c r="N775" s="837">
        <f>N776+N777+N778+N779</f>
        <v>0</v>
      </c>
      <c r="O775" s="837">
        <f t="shared" si="311"/>
        <v>0</v>
      </c>
      <c r="P775" s="837">
        <f t="shared" si="312"/>
        <v>0</v>
      </c>
      <c r="Q775" s="1264"/>
      <c r="R775" s="1264"/>
      <c r="S775" s="1264"/>
      <c r="T775" s="1264"/>
      <c r="U775" s="1264"/>
      <c r="V775" s="1264"/>
      <c r="W775" s="1264"/>
      <c r="X775" s="1264"/>
      <c r="Y775" s="1264"/>
      <c r="Z775" s="1264"/>
    </row>
    <row r="776" spans="1:26" ht="18.75" hidden="1">
      <c r="A776" s="1294"/>
      <c r="B776" s="1265"/>
      <c r="C776" s="1261"/>
      <c r="D776" s="1261"/>
      <c r="E776" s="1261"/>
      <c r="F776" s="1261" t="s">
        <v>186</v>
      </c>
      <c r="G776" s="1263"/>
      <c r="H776" s="165" t="s">
        <v>12</v>
      </c>
      <c r="I776" s="836"/>
      <c r="J776" s="836"/>
      <c r="K776" s="837"/>
      <c r="L776" s="837"/>
      <c r="M776" s="837"/>
      <c r="N776" s="837"/>
      <c r="O776" s="837"/>
      <c r="P776" s="837"/>
      <c r="Q776" s="1264"/>
      <c r="R776" s="1264"/>
      <c r="S776" s="1264"/>
      <c r="T776" s="1264"/>
      <c r="U776" s="1264"/>
      <c r="V776" s="1264"/>
      <c r="W776" s="1264"/>
      <c r="X776" s="1264"/>
      <c r="Y776" s="1264"/>
      <c r="Z776" s="1264"/>
    </row>
    <row r="777" spans="1:26" ht="18.75" hidden="1">
      <c r="A777" s="1294"/>
      <c r="B777" s="1265"/>
      <c r="C777" s="1261"/>
      <c r="D777" s="1261"/>
      <c r="E777" s="1261"/>
      <c r="F777" s="1261" t="s">
        <v>187</v>
      </c>
      <c r="G777" s="1263"/>
      <c r="H777" s="165" t="s">
        <v>12</v>
      </c>
      <c r="I777" s="836"/>
      <c r="J777" s="836"/>
      <c r="K777" s="837"/>
      <c r="L777" s="837"/>
      <c r="M777" s="837"/>
      <c r="N777" s="837"/>
      <c r="O777" s="837"/>
      <c r="P777" s="837"/>
      <c r="Q777" s="1264"/>
      <c r="R777" s="1264"/>
      <c r="S777" s="1264"/>
      <c r="T777" s="1264"/>
      <c r="U777" s="1264"/>
      <c r="V777" s="1264"/>
      <c r="W777" s="1264"/>
      <c r="X777" s="1264"/>
      <c r="Y777" s="1264"/>
      <c r="Z777" s="1264"/>
    </row>
    <row r="778" spans="1:26" ht="18.75" hidden="1">
      <c r="A778" s="1294"/>
      <c r="B778" s="1265"/>
      <c r="C778" s="1261"/>
      <c r="D778" s="1261"/>
      <c r="E778" s="1261"/>
      <c r="F778" s="1261" t="s">
        <v>188</v>
      </c>
      <c r="G778" s="1263"/>
      <c r="H778" s="165" t="s">
        <v>12</v>
      </c>
      <c r="I778" s="836"/>
      <c r="J778" s="836"/>
      <c r="K778" s="837"/>
      <c r="L778" s="837"/>
      <c r="M778" s="837"/>
      <c r="N778" s="837"/>
      <c r="O778" s="837"/>
      <c r="P778" s="837"/>
      <c r="Q778" s="1264"/>
      <c r="R778" s="1264"/>
      <c r="S778" s="1264"/>
      <c r="T778" s="1264"/>
      <c r="U778" s="1264"/>
      <c r="V778" s="1264"/>
      <c r="W778" s="1264"/>
      <c r="X778" s="1264"/>
      <c r="Y778" s="1264"/>
      <c r="Z778" s="1264"/>
    </row>
    <row r="779" spans="1:26" ht="18.75" hidden="1">
      <c r="A779" s="1294"/>
      <c r="B779" s="1265"/>
      <c r="C779" s="1261"/>
      <c r="D779" s="1261"/>
      <c r="E779" s="1261"/>
      <c r="F779" s="1261" t="s">
        <v>189</v>
      </c>
      <c r="G779" s="1263"/>
      <c r="H779" s="165" t="s">
        <v>12</v>
      </c>
      <c r="I779" s="836"/>
      <c r="J779" s="836"/>
      <c r="K779" s="837"/>
      <c r="L779" s="837"/>
      <c r="M779" s="837"/>
      <c r="N779" s="837"/>
      <c r="O779" s="837"/>
      <c r="P779" s="837"/>
      <c r="Q779" s="1264"/>
      <c r="R779" s="1264"/>
      <c r="S779" s="1264"/>
      <c r="T779" s="1264"/>
      <c r="U779" s="1264"/>
      <c r="V779" s="1264"/>
      <c r="W779" s="1264"/>
      <c r="X779" s="1264"/>
      <c r="Y779" s="1264"/>
      <c r="Z779" s="1264"/>
    </row>
    <row r="780" spans="1:26" ht="19.5" hidden="1">
      <c r="A780" s="1260"/>
      <c r="B780" s="1265"/>
      <c r="C780" s="1261"/>
      <c r="D780" s="1392" t="s">
        <v>21</v>
      </c>
      <c r="E780" s="1261"/>
      <c r="F780" s="1261"/>
      <c r="G780" s="1263"/>
      <c r="H780" s="749" t="s">
        <v>12</v>
      </c>
      <c r="I780" s="947"/>
      <c r="J780" s="947"/>
      <c r="K780" s="948"/>
      <c r="L780" s="1292">
        <f t="shared" ref="L780:N780" si="315">L781+L782</f>
        <v>0</v>
      </c>
      <c r="M780" s="1292">
        <f t="shared" si="315"/>
        <v>0</v>
      </c>
      <c r="N780" s="1292">
        <f t="shared" si="315"/>
        <v>0</v>
      </c>
      <c r="O780" s="1292">
        <f t="shared" ref="O780:O782" si="316">IF(L780&gt;0,N780*100/L780,0)</f>
        <v>0</v>
      </c>
      <c r="P780" s="1292">
        <f t="shared" ref="P780:P782" si="317">IF(M780&gt;0,N780*100/M780,0)</f>
        <v>0</v>
      </c>
      <c r="Q780" s="1264"/>
      <c r="R780" s="1264"/>
      <c r="S780" s="1264"/>
      <c r="T780" s="1264"/>
      <c r="U780" s="1264"/>
      <c r="V780" s="1264"/>
      <c r="W780" s="1264"/>
      <c r="X780" s="1264"/>
      <c r="Y780" s="1264"/>
      <c r="Z780" s="1264"/>
    </row>
    <row r="781" spans="1:26" ht="18.75" hidden="1">
      <c r="A781" s="1260"/>
      <c r="B781" s="1265"/>
      <c r="C781" s="1261"/>
      <c r="D781" s="1261"/>
      <c r="E781" s="1261" t="s">
        <v>18</v>
      </c>
      <c r="F781" s="1261"/>
      <c r="G781" s="1263"/>
      <c r="H781" s="165" t="s">
        <v>12</v>
      </c>
      <c r="I781" s="947"/>
      <c r="J781" s="947"/>
      <c r="K781" s="948"/>
      <c r="L781" s="837">
        <v>0</v>
      </c>
      <c r="M781" s="837">
        <v>0</v>
      </c>
      <c r="N781" s="837">
        <v>0</v>
      </c>
      <c r="O781" s="837">
        <f t="shared" si="316"/>
        <v>0</v>
      </c>
      <c r="P781" s="837">
        <f t="shared" si="317"/>
        <v>0</v>
      </c>
      <c r="Q781" s="1264"/>
      <c r="R781" s="1264"/>
      <c r="S781" s="1264"/>
      <c r="T781" s="1264"/>
      <c r="U781" s="1264"/>
      <c r="V781" s="1264"/>
      <c r="W781" s="1264"/>
      <c r="X781" s="1264"/>
      <c r="Y781" s="1264"/>
      <c r="Z781" s="1264"/>
    </row>
    <row r="782" spans="1:26" ht="18.75" hidden="1">
      <c r="A782" s="1260"/>
      <c r="B782" s="1265"/>
      <c r="C782" s="1261"/>
      <c r="D782" s="1261"/>
      <c r="E782" s="1261" t="s">
        <v>19</v>
      </c>
      <c r="F782" s="1261"/>
      <c r="G782" s="1263"/>
      <c r="H782" s="169" t="s">
        <v>12</v>
      </c>
      <c r="I782" s="947"/>
      <c r="J782" s="947"/>
      <c r="K782" s="948"/>
      <c r="L782" s="837">
        <v>0</v>
      </c>
      <c r="M782" s="837">
        <v>0</v>
      </c>
      <c r="N782" s="837">
        <v>0</v>
      </c>
      <c r="O782" s="837">
        <f t="shared" si="316"/>
        <v>0</v>
      </c>
      <c r="P782" s="837">
        <f t="shared" si="317"/>
        <v>0</v>
      </c>
      <c r="Q782" s="1264"/>
      <c r="R782" s="1264"/>
      <c r="S782" s="1264"/>
      <c r="T782" s="1264"/>
      <c r="U782" s="1264"/>
      <c r="V782" s="1264"/>
      <c r="W782" s="1264"/>
      <c r="X782" s="1264"/>
      <c r="Y782" s="1264"/>
      <c r="Z782" s="1264"/>
    </row>
    <row r="783" spans="1:26" ht="19.5" hidden="1">
      <c r="A783" s="1273"/>
      <c r="B783" s="1274"/>
      <c r="C783" s="1261" t="s">
        <v>16</v>
      </c>
      <c r="D783" s="1393" t="s">
        <v>38</v>
      </c>
      <c r="E783" s="1296"/>
      <c r="F783" s="1296"/>
      <c r="G783" s="1297"/>
      <c r="H783" s="1406"/>
      <c r="I783" s="947"/>
      <c r="J783" s="947"/>
      <c r="K783" s="948"/>
      <c r="L783" s="948"/>
      <c r="M783" s="948"/>
      <c r="N783" s="948"/>
      <c r="O783" s="948"/>
      <c r="P783" s="948"/>
      <c r="Q783" s="1264"/>
      <c r="R783" s="1264"/>
      <c r="S783" s="1264"/>
      <c r="T783" s="1264"/>
      <c r="U783" s="1264"/>
      <c r="V783" s="1264"/>
      <c r="W783" s="1264"/>
      <c r="X783" s="1264"/>
      <c r="Y783" s="1264"/>
      <c r="Z783" s="1264"/>
    </row>
    <row r="784" spans="1:26" ht="18.75" hidden="1">
      <c r="A784" s="1294"/>
      <c r="B784" s="1265"/>
      <c r="C784" s="1261"/>
      <c r="D784" s="1261"/>
      <c r="E784" s="1261" t="s">
        <v>318</v>
      </c>
      <c r="F784" s="1261"/>
      <c r="G784" s="1263"/>
      <c r="H784" s="165" t="s">
        <v>46</v>
      </c>
      <c r="I784" s="836"/>
      <c r="J784" s="836"/>
      <c r="K784" s="837"/>
      <c r="L784" s="837"/>
      <c r="M784" s="837"/>
      <c r="N784" s="837"/>
      <c r="O784" s="837"/>
      <c r="P784" s="837"/>
      <c r="Q784" s="1264"/>
      <c r="R784" s="1264"/>
      <c r="S784" s="1264"/>
      <c r="T784" s="1264"/>
      <c r="U784" s="1264"/>
      <c r="V784" s="1264"/>
      <c r="W784" s="1264"/>
      <c r="X784" s="1264"/>
      <c r="Y784" s="1264"/>
      <c r="Z784" s="1264"/>
    </row>
    <row r="785" spans="1:26" ht="19.5" hidden="1">
      <c r="A785" s="768">
        <v>12</v>
      </c>
      <c r="B785" s="1407" t="s">
        <v>319</v>
      </c>
      <c r="C785" s="1408"/>
      <c r="D785" s="1408"/>
      <c r="E785" s="1408"/>
      <c r="F785" s="1408"/>
      <c r="G785" s="1409"/>
      <c r="H785" s="772" t="s">
        <v>46</v>
      </c>
      <c r="I785" s="1436">
        <f t="shared" ref="I785:J785" ca="1" si="318">I800</f>
        <v>0</v>
      </c>
      <c r="J785" s="1410">
        <f t="shared" ca="1" si="318"/>
        <v>0</v>
      </c>
      <c r="K785" s="1411">
        <f ca="1">IF(I785&gt;0,J785*100/I785,0)</f>
        <v>0</v>
      </c>
      <c r="L785" s="1412"/>
      <c r="M785" s="1412"/>
      <c r="N785" s="1412"/>
      <c r="O785" s="1412"/>
      <c r="P785" s="1412"/>
      <c r="Q785" s="1244"/>
      <c r="R785" s="1244"/>
      <c r="S785" s="1244"/>
      <c r="T785" s="1244"/>
      <c r="U785" s="1244"/>
      <c r="V785" s="1244"/>
      <c r="W785" s="1244"/>
      <c r="X785" s="1244"/>
      <c r="Y785" s="1244"/>
      <c r="Z785" s="1244"/>
    </row>
    <row r="786" spans="1:26" ht="19.5" hidden="1">
      <c r="A786" s="1259"/>
      <c r="B786" s="1242"/>
      <c r="C786" s="1243" t="s">
        <v>16</v>
      </c>
      <c r="D786" s="1507" t="s">
        <v>17</v>
      </c>
      <c r="E786" s="1485"/>
      <c r="F786" s="1485"/>
      <c r="G786" s="963"/>
      <c r="H786" s="563" t="s">
        <v>12</v>
      </c>
      <c r="I786" s="830"/>
      <c r="J786" s="830"/>
      <c r="K786" s="831"/>
      <c r="L786" s="967">
        <f t="shared" ref="L786:N786" ca="1" si="319">L787+L788</f>
        <v>0</v>
      </c>
      <c r="M786" s="967">
        <f t="shared" si="319"/>
        <v>0</v>
      </c>
      <c r="N786" s="967">
        <f t="shared" si="319"/>
        <v>0</v>
      </c>
      <c r="O786" s="967">
        <f t="shared" ref="O786:O791" ca="1" si="320">IF(L786&gt;0,N786*100/L786,0)</f>
        <v>0</v>
      </c>
      <c r="P786" s="967">
        <f t="shared" ref="P786:P791" si="321">IF(M786&gt;0,N786*100/M786,0)</f>
        <v>0</v>
      </c>
      <c r="Q786" s="1244"/>
      <c r="R786" s="1244"/>
      <c r="S786" s="1244"/>
      <c r="T786" s="1244"/>
      <c r="U786" s="1244"/>
      <c r="V786" s="1244"/>
      <c r="W786" s="1244"/>
      <c r="X786" s="1244"/>
      <c r="Y786" s="1244"/>
      <c r="Z786" s="1244"/>
    </row>
    <row r="787" spans="1:26" ht="18.75" hidden="1">
      <c r="A787" s="1260"/>
      <c r="B787" s="1265"/>
      <c r="C787" s="1261"/>
      <c r="D787" s="1262"/>
      <c r="E787" s="1261" t="s">
        <v>184</v>
      </c>
      <c r="F787" s="1261"/>
      <c r="G787" s="1263"/>
      <c r="H787" s="165" t="s">
        <v>12</v>
      </c>
      <c r="I787" s="836"/>
      <c r="J787" s="836"/>
      <c r="K787" s="837"/>
      <c r="L787" s="837">
        <f t="shared" ref="L787:N788" si="322">L790+L797</f>
        <v>0</v>
      </c>
      <c r="M787" s="837">
        <f t="shared" si="322"/>
        <v>0</v>
      </c>
      <c r="N787" s="837">
        <f t="shared" si="322"/>
        <v>0</v>
      </c>
      <c r="O787" s="837">
        <f t="shared" si="320"/>
        <v>0</v>
      </c>
      <c r="P787" s="837">
        <f t="shared" si="321"/>
        <v>0</v>
      </c>
      <c r="Q787" s="1264"/>
      <c r="R787" s="1264"/>
      <c r="S787" s="1264"/>
      <c r="T787" s="1264"/>
      <c r="U787" s="1264"/>
      <c r="V787" s="1264"/>
      <c r="W787" s="1264"/>
      <c r="X787" s="1264"/>
      <c r="Y787" s="1264"/>
      <c r="Z787" s="1264"/>
    </row>
    <row r="788" spans="1:26" ht="18.75" hidden="1">
      <c r="A788" s="1260"/>
      <c r="B788" s="1265"/>
      <c r="C788" s="1265"/>
      <c r="D788" s="1274"/>
      <c r="E788" s="1261" t="s">
        <v>185</v>
      </c>
      <c r="F788" s="1261"/>
      <c r="G788" s="1263"/>
      <c r="H788" s="165" t="s">
        <v>12</v>
      </c>
      <c r="I788" s="836"/>
      <c r="J788" s="836"/>
      <c r="K788" s="837"/>
      <c r="L788" s="837">
        <f t="shared" ca="1" si="322"/>
        <v>0</v>
      </c>
      <c r="M788" s="837">
        <f t="shared" si="322"/>
        <v>0</v>
      </c>
      <c r="N788" s="837">
        <f t="shared" si="322"/>
        <v>0</v>
      </c>
      <c r="O788" s="837">
        <f t="shared" ca="1" si="320"/>
        <v>0</v>
      </c>
      <c r="P788" s="837">
        <f t="shared" si="321"/>
        <v>0</v>
      </c>
      <c r="Q788" s="1264"/>
      <c r="R788" s="1264"/>
      <c r="S788" s="1264"/>
      <c r="T788" s="1264"/>
      <c r="U788" s="1264"/>
      <c r="V788" s="1264"/>
      <c r="W788" s="1264"/>
      <c r="X788" s="1264"/>
      <c r="Y788" s="1264"/>
      <c r="Z788" s="1264"/>
    </row>
    <row r="789" spans="1:26" ht="18.75" hidden="1">
      <c r="A789" s="1259"/>
      <c r="B789" s="1242"/>
      <c r="C789" s="1242"/>
      <c r="D789" s="1266" t="s">
        <v>20</v>
      </c>
      <c r="E789" s="1243"/>
      <c r="F789" s="1243"/>
      <c r="G789" s="963"/>
      <c r="H789" s="778" t="s">
        <v>12</v>
      </c>
      <c r="I789" s="944"/>
      <c r="J789" s="944"/>
      <c r="K789" s="945"/>
      <c r="L789" s="831">
        <f t="shared" ref="L789:N789" ca="1" si="323">L790+L791</f>
        <v>0</v>
      </c>
      <c r="M789" s="831">
        <f t="shared" si="323"/>
        <v>0</v>
      </c>
      <c r="N789" s="831">
        <f t="shared" si="323"/>
        <v>0</v>
      </c>
      <c r="O789" s="831">
        <f t="shared" ca="1" si="320"/>
        <v>0</v>
      </c>
      <c r="P789" s="831">
        <f t="shared" si="321"/>
        <v>0</v>
      </c>
      <c r="Q789" s="1244"/>
      <c r="R789" s="1244"/>
      <c r="S789" s="1244"/>
      <c r="T789" s="1244"/>
      <c r="U789" s="1244"/>
      <c r="V789" s="1244"/>
      <c r="W789" s="1244"/>
      <c r="X789" s="1244"/>
      <c r="Y789" s="1244"/>
      <c r="Z789" s="1244"/>
    </row>
    <row r="790" spans="1:26" ht="18.75" hidden="1">
      <c r="A790" s="1260"/>
      <c r="B790" s="1265"/>
      <c r="C790" s="1265"/>
      <c r="D790" s="1274"/>
      <c r="E790" s="1261" t="s">
        <v>184</v>
      </c>
      <c r="F790" s="1261"/>
      <c r="G790" s="1263"/>
      <c r="H790" s="165" t="s">
        <v>12</v>
      </c>
      <c r="I790" s="836"/>
      <c r="J790" s="836"/>
      <c r="K790" s="837"/>
      <c r="L790" s="837">
        <v>0</v>
      </c>
      <c r="M790" s="837">
        <v>0</v>
      </c>
      <c r="N790" s="837">
        <v>0</v>
      </c>
      <c r="O790" s="837">
        <f t="shared" si="320"/>
        <v>0</v>
      </c>
      <c r="P790" s="837">
        <f t="shared" si="321"/>
        <v>0</v>
      </c>
      <c r="Q790" s="1264"/>
      <c r="R790" s="1264"/>
      <c r="S790" s="1264"/>
      <c r="T790" s="1264"/>
      <c r="U790" s="1264"/>
      <c r="V790" s="1264"/>
      <c r="W790" s="1264"/>
      <c r="X790" s="1264"/>
      <c r="Y790" s="1264"/>
      <c r="Z790" s="1264"/>
    </row>
    <row r="791" spans="1:26" ht="18.75" hidden="1">
      <c r="A791" s="1260"/>
      <c r="B791" s="1265"/>
      <c r="C791" s="1265"/>
      <c r="D791" s="1274"/>
      <c r="E791" s="1261" t="s">
        <v>185</v>
      </c>
      <c r="F791" s="1261"/>
      <c r="G791" s="1263"/>
      <c r="H791" s="165" t="s">
        <v>12</v>
      </c>
      <c r="I791" s="836"/>
      <c r="J791" s="836"/>
      <c r="K791" s="837"/>
      <c r="L791" s="837">
        <f ca="1">IFERROR(__xludf.DUMMYFUNCTION("IMPORTRANGE(""https://docs.google.com/spreadsheets/d/1QqKyyYR6Q21VydFLVH3TRQUabQu_ym0Zz7PgGX0-kHA/edit?usp=sharing"",""แผน!JJ27"")"),0)</f>
        <v>0</v>
      </c>
      <c r="M791" s="837">
        <v>0</v>
      </c>
      <c r="N791" s="837">
        <f>N792+N793+N794+N795</f>
        <v>0</v>
      </c>
      <c r="O791" s="837">
        <f t="shared" ca="1" si="320"/>
        <v>0</v>
      </c>
      <c r="P791" s="837">
        <f t="shared" si="321"/>
        <v>0</v>
      </c>
      <c r="Q791" s="1264"/>
      <c r="R791" s="1264"/>
      <c r="S791" s="1264"/>
      <c r="T791" s="1264"/>
      <c r="U791" s="1264"/>
      <c r="V791" s="1264"/>
      <c r="W791" s="1264"/>
      <c r="X791" s="1264"/>
      <c r="Y791" s="1264"/>
      <c r="Z791" s="1264"/>
    </row>
    <row r="792" spans="1:26" ht="18.75" hidden="1">
      <c r="A792" s="1241"/>
      <c r="B792" s="1242"/>
      <c r="C792" s="1243"/>
      <c r="D792" s="1243"/>
      <c r="E792" s="1243"/>
      <c r="F792" s="1243" t="s">
        <v>186</v>
      </c>
      <c r="G792" s="963"/>
      <c r="H792" s="778" t="s">
        <v>12</v>
      </c>
      <c r="I792" s="830"/>
      <c r="J792" s="830"/>
      <c r="K792" s="831"/>
      <c r="L792" s="831"/>
      <c r="M792" s="831"/>
      <c r="N792" s="1031">
        <v>0</v>
      </c>
      <c r="O792" s="831"/>
      <c r="P792" s="831"/>
      <c r="Q792" s="1244"/>
      <c r="R792" s="1244"/>
      <c r="S792" s="1244"/>
      <c r="T792" s="1244"/>
      <c r="U792" s="1244"/>
      <c r="V792" s="1244"/>
      <c r="W792" s="1244"/>
      <c r="X792" s="1244"/>
      <c r="Y792" s="1244"/>
      <c r="Z792" s="1244"/>
    </row>
    <row r="793" spans="1:26" ht="18.75" hidden="1">
      <c r="A793" s="1241"/>
      <c r="B793" s="1242"/>
      <c r="C793" s="1243"/>
      <c r="D793" s="1243"/>
      <c r="E793" s="1243"/>
      <c r="F793" s="1243" t="s">
        <v>187</v>
      </c>
      <c r="G793" s="963"/>
      <c r="H793" s="778" t="s">
        <v>12</v>
      </c>
      <c r="I793" s="830"/>
      <c r="J793" s="830"/>
      <c r="K793" s="831"/>
      <c r="L793" s="831"/>
      <c r="M793" s="831"/>
      <c r="N793" s="1031">
        <v>0</v>
      </c>
      <c r="O793" s="831"/>
      <c r="P793" s="831"/>
      <c r="Q793" s="1244"/>
      <c r="R793" s="1244"/>
      <c r="S793" s="1244"/>
      <c r="T793" s="1244"/>
      <c r="U793" s="1244"/>
      <c r="V793" s="1244"/>
      <c r="W793" s="1244"/>
      <c r="X793" s="1244"/>
      <c r="Y793" s="1244"/>
      <c r="Z793" s="1244"/>
    </row>
    <row r="794" spans="1:26" ht="18.75" hidden="1">
      <c r="A794" s="1241"/>
      <c r="B794" s="1242"/>
      <c r="C794" s="1243"/>
      <c r="D794" s="1243"/>
      <c r="E794" s="1243"/>
      <c r="F794" s="1243" t="s">
        <v>188</v>
      </c>
      <c r="G794" s="963"/>
      <c r="H794" s="778" t="s">
        <v>12</v>
      </c>
      <c r="I794" s="830"/>
      <c r="J794" s="830"/>
      <c r="K794" s="831"/>
      <c r="L794" s="831"/>
      <c r="M794" s="831"/>
      <c r="N794" s="1031">
        <v>0</v>
      </c>
      <c r="O794" s="831"/>
      <c r="P794" s="831"/>
      <c r="Q794" s="1244"/>
      <c r="R794" s="1244"/>
      <c r="S794" s="1244"/>
      <c r="T794" s="1244"/>
      <c r="U794" s="1244"/>
      <c r="V794" s="1244"/>
      <c r="W794" s="1244"/>
      <c r="X794" s="1244"/>
      <c r="Y794" s="1244"/>
      <c r="Z794" s="1244"/>
    </row>
    <row r="795" spans="1:26" ht="18.75" hidden="1">
      <c r="A795" s="1241"/>
      <c r="B795" s="1242"/>
      <c r="C795" s="1243"/>
      <c r="D795" s="1243"/>
      <c r="E795" s="1243"/>
      <c r="F795" s="1243" t="s">
        <v>189</v>
      </c>
      <c r="G795" s="963"/>
      <c r="H795" s="778" t="s">
        <v>12</v>
      </c>
      <c r="I795" s="830"/>
      <c r="J795" s="830"/>
      <c r="K795" s="831"/>
      <c r="L795" s="831"/>
      <c r="M795" s="831"/>
      <c r="N795" s="1031">
        <v>0</v>
      </c>
      <c r="O795" s="831"/>
      <c r="P795" s="831"/>
      <c r="Q795" s="1244"/>
      <c r="R795" s="1244"/>
      <c r="S795" s="1244"/>
      <c r="T795" s="1244"/>
      <c r="U795" s="1244"/>
      <c r="V795" s="1244"/>
      <c r="W795" s="1244"/>
      <c r="X795" s="1244"/>
      <c r="Y795" s="1244"/>
      <c r="Z795" s="1244"/>
    </row>
    <row r="796" spans="1:26" ht="18.75" hidden="1">
      <c r="A796" s="1259"/>
      <c r="B796" s="1242"/>
      <c r="C796" s="1243"/>
      <c r="D796" s="1266" t="s">
        <v>21</v>
      </c>
      <c r="E796" s="1243"/>
      <c r="F796" s="1243"/>
      <c r="G796" s="963"/>
      <c r="H796" s="168" t="s">
        <v>12</v>
      </c>
      <c r="I796" s="944"/>
      <c r="J796" s="944"/>
      <c r="K796" s="945"/>
      <c r="L796" s="831">
        <f t="shared" ref="L796:N796" si="324">L797+L798</f>
        <v>0</v>
      </c>
      <c r="M796" s="831">
        <f t="shared" si="324"/>
        <v>0</v>
      </c>
      <c r="N796" s="831">
        <f t="shared" si="324"/>
        <v>0</v>
      </c>
      <c r="O796" s="831">
        <f t="shared" ref="O796:O798" si="325">IF(L796&gt;0,N796*100/L796,0)</f>
        <v>0</v>
      </c>
      <c r="P796" s="831">
        <f t="shared" ref="P796:P798" si="326">IF(M796&gt;0,N796*100/M796,0)</f>
        <v>0</v>
      </c>
      <c r="Q796" s="1244"/>
      <c r="R796" s="1244"/>
      <c r="S796" s="1244"/>
      <c r="T796" s="1244"/>
      <c r="U796" s="1244"/>
      <c r="V796" s="1244"/>
      <c r="W796" s="1244"/>
      <c r="X796" s="1244"/>
      <c r="Y796" s="1244"/>
      <c r="Z796" s="1244"/>
    </row>
    <row r="797" spans="1:26" ht="18.75" hidden="1">
      <c r="A797" s="1260"/>
      <c r="B797" s="1265"/>
      <c r="C797" s="1261"/>
      <c r="D797" s="1261"/>
      <c r="E797" s="1261" t="s">
        <v>18</v>
      </c>
      <c r="F797" s="1261"/>
      <c r="G797" s="1263"/>
      <c r="H797" s="165" t="s">
        <v>12</v>
      </c>
      <c r="I797" s="947"/>
      <c r="J797" s="947"/>
      <c r="K797" s="948"/>
      <c r="L797" s="837">
        <v>0</v>
      </c>
      <c r="M797" s="837">
        <v>0</v>
      </c>
      <c r="N797" s="837">
        <v>0</v>
      </c>
      <c r="O797" s="837">
        <f t="shared" si="325"/>
        <v>0</v>
      </c>
      <c r="P797" s="837">
        <f t="shared" si="326"/>
        <v>0</v>
      </c>
      <c r="Q797" s="1264"/>
      <c r="R797" s="1264"/>
      <c r="S797" s="1264"/>
      <c r="T797" s="1264"/>
      <c r="U797" s="1264"/>
      <c r="V797" s="1264"/>
      <c r="W797" s="1264"/>
      <c r="X797" s="1264"/>
      <c r="Y797" s="1264"/>
      <c r="Z797" s="1264"/>
    </row>
    <row r="798" spans="1:26" ht="18.75" hidden="1">
      <c r="A798" s="1260"/>
      <c r="B798" s="1265"/>
      <c r="C798" s="1261"/>
      <c r="D798" s="1261"/>
      <c r="E798" s="1261" t="s">
        <v>19</v>
      </c>
      <c r="F798" s="1261"/>
      <c r="G798" s="1263"/>
      <c r="H798" s="169" t="s">
        <v>12</v>
      </c>
      <c r="I798" s="947"/>
      <c r="J798" s="947"/>
      <c r="K798" s="948"/>
      <c r="L798" s="837">
        <v>0</v>
      </c>
      <c r="M798" s="837">
        <v>0</v>
      </c>
      <c r="N798" s="837">
        <v>0</v>
      </c>
      <c r="O798" s="837">
        <f t="shared" si="325"/>
        <v>0</v>
      </c>
      <c r="P798" s="837">
        <f t="shared" si="326"/>
        <v>0</v>
      </c>
      <c r="Q798" s="1264"/>
      <c r="R798" s="1264"/>
      <c r="S798" s="1264"/>
      <c r="T798" s="1264"/>
      <c r="U798" s="1264"/>
      <c r="V798" s="1264"/>
      <c r="W798" s="1264"/>
      <c r="X798" s="1264"/>
      <c r="Y798" s="1264"/>
      <c r="Z798" s="1264"/>
    </row>
    <row r="799" spans="1:26" ht="19.5" hidden="1">
      <c r="A799" s="1267"/>
      <c r="B799" s="1268"/>
      <c r="C799" s="1243" t="s">
        <v>16</v>
      </c>
      <c r="D799" s="1378" t="s">
        <v>38</v>
      </c>
      <c r="E799" s="1271"/>
      <c r="F799" s="1271"/>
      <c r="G799" s="1272"/>
      <c r="H799" s="1413"/>
      <c r="I799" s="944"/>
      <c r="J799" s="944"/>
      <c r="K799" s="945"/>
      <c r="L799" s="945"/>
      <c r="M799" s="945"/>
      <c r="N799" s="945"/>
      <c r="O799" s="945"/>
      <c r="P799" s="945"/>
      <c r="Q799" s="1244"/>
      <c r="R799" s="1244"/>
      <c r="S799" s="1244"/>
      <c r="T799" s="1244"/>
      <c r="U799" s="1244"/>
      <c r="V799" s="1244"/>
      <c r="W799" s="1244"/>
      <c r="X799" s="1244"/>
      <c r="Y799" s="1244"/>
      <c r="Z799" s="1244"/>
    </row>
    <row r="800" spans="1:26" ht="18.75" hidden="1">
      <c r="A800" s="1267"/>
      <c r="B800" s="1268"/>
      <c r="C800" s="1268"/>
      <c r="D800" s="1268"/>
      <c r="E800" s="961"/>
      <c r="F800" s="961" t="s">
        <v>320</v>
      </c>
      <c r="G800" s="954"/>
      <c r="H800" s="777" t="s">
        <v>46</v>
      </c>
      <c r="I800" s="944">
        <f ca="1">IFERROR(__xludf.DUMMYFUNCTION("IMPORTRANGE(""https://docs.google.com/spreadsheets/d/1QqKyyYR6Q21VydFLVH3TRQUabQu_ym0Zz7PgGX0-kHA/edit?usp=sharing"",""แผน!JN27"")"),0)</f>
        <v>0</v>
      </c>
      <c r="J800" s="944">
        <f ca="1">IFERROR(__xludf.DUMMYFUNCTION("IMPORTRANGE(""https://docs.google.com/spreadsheets/d/1MaWodYyGHDf7siQLGxnXhG4mBNTNIuy296niS2xXulU/edit?usp=sharing"",""RTK!H27"")"),0)</f>
        <v>0</v>
      </c>
      <c r="K800" s="831">
        <f ca="1">IF(I800&gt;0,J800*100/I800,0)</f>
        <v>0</v>
      </c>
      <c r="L800" s="831"/>
      <c r="M800" s="831"/>
      <c r="N800" s="831"/>
      <c r="O800" s="945"/>
      <c r="P800" s="945"/>
      <c r="Q800" s="1244"/>
      <c r="R800" s="1244"/>
      <c r="S800" s="1244"/>
      <c r="T800" s="1244"/>
      <c r="U800" s="1244"/>
      <c r="V800" s="1244"/>
      <c r="W800" s="1244"/>
      <c r="X800" s="1244"/>
      <c r="Y800" s="1244"/>
      <c r="Z800" s="1244"/>
    </row>
    <row r="801" spans="1:26" ht="18.75" hidden="1">
      <c r="A801" s="1267"/>
      <c r="B801" s="1268"/>
      <c r="C801" s="1268"/>
      <c r="D801" s="1268"/>
      <c r="E801" s="961"/>
      <c r="F801" s="961"/>
      <c r="G801" s="954"/>
      <c r="H801" s="778" t="s">
        <v>34</v>
      </c>
      <c r="I801" s="944"/>
      <c r="J801" s="830">
        <f ca="1">IFERROR(__xludf.DUMMYFUNCTION("IMPORTRANGE(""https://docs.google.com/spreadsheets/d/1MaWodYyGHDf7siQLGxnXhG4mBNTNIuy296niS2xXulU/edit?usp=sharing"",""RTK!I27"")"),0)</f>
        <v>0</v>
      </c>
      <c r="K801" s="831"/>
      <c r="L801" s="831"/>
      <c r="M801" s="831"/>
      <c r="N801" s="831"/>
      <c r="O801" s="945"/>
      <c r="P801" s="945"/>
      <c r="Q801" s="1244"/>
      <c r="R801" s="1244"/>
      <c r="S801" s="1244"/>
      <c r="T801" s="1244"/>
      <c r="U801" s="1244"/>
      <c r="V801" s="1244"/>
      <c r="W801" s="1244"/>
      <c r="X801" s="1244"/>
      <c r="Y801" s="1244"/>
      <c r="Z801" s="1244"/>
    </row>
    <row r="802" spans="1:26" ht="18.75" hidden="1">
      <c r="A802" s="1273"/>
      <c r="B802" s="1274"/>
      <c r="C802" s="1274"/>
      <c r="D802" s="1274"/>
      <c r="E802" s="1262"/>
      <c r="F802" s="1262" t="s">
        <v>321</v>
      </c>
      <c r="G802" s="1060"/>
      <c r="H802" s="619" t="s">
        <v>46</v>
      </c>
      <c r="I802" s="947"/>
      <c r="J802" s="836"/>
      <c r="K802" s="948">
        <f>IF(I802&gt;0,J802*100/I802,0)</f>
        <v>0</v>
      </c>
      <c r="L802" s="948"/>
      <c r="M802" s="948"/>
      <c r="N802" s="948"/>
      <c r="O802" s="948"/>
      <c r="P802" s="948"/>
      <c r="Q802" s="1264"/>
      <c r="R802" s="1264"/>
      <c r="S802" s="1264"/>
      <c r="T802" s="1264"/>
      <c r="U802" s="1264"/>
      <c r="V802" s="1264"/>
      <c r="W802" s="1264"/>
      <c r="X802" s="1264"/>
      <c r="Y802" s="1264"/>
      <c r="Z802" s="1264"/>
    </row>
    <row r="803" spans="1:26" ht="18.75" hidden="1">
      <c r="A803" s="1273"/>
      <c r="B803" s="1274"/>
      <c r="C803" s="1274"/>
      <c r="D803" s="1274"/>
      <c r="E803" s="1262"/>
      <c r="F803" s="1262"/>
      <c r="G803" s="1060"/>
      <c r="H803" s="619" t="s">
        <v>34</v>
      </c>
      <c r="I803" s="947"/>
      <c r="J803" s="836"/>
      <c r="K803" s="948"/>
      <c r="L803" s="948"/>
      <c r="M803" s="948"/>
      <c r="N803" s="948"/>
      <c r="O803" s="948"/>
      <c r="P803" s="948"/>
      <c r="Q803" s="1264"/>
      <c r="R803" s="1264"/>
      <c r="S803" s="1264"/>
      <c r="T803" s="1264"/>
      <c r="U803" s="1264"/>
      <c r="V803" s="1264"/>
      <c r="W803" s="1264"/>
      <c r="X803" s="1264"/>
      <c r="Y803" s="1264"/>
      <c r="Z803" s="1264"/>
    </row>
    <row r="804" spans="1:26" ht="19.5" hidden="1">
      <c r="A804" s="759">
        <v>13</v>
      </c>
      <c r="B804" s="1400" t="s">
        <v>322</v>
      </c>
      <c r="C804" s="1401"/>
      <c r="D804" s="1419"/>
      <c r="E804" s="1401"/>
      <c r="F804" s="1401"/>
      <c r="G804" s="1402"/>
      <c r="H804" s="763" t="s">
        <v>46</v>
      </c>
      <c r="I804" s="1403"/>
      <c r="J804" s="1403">
        <f>J819</f>
        <v>0</v>
      </c>
      <c r="K804" s="1404">
        <f>IF(I804&gt;0,J804*100/I804,0)</f>
        <v>0</v>
      </c>
      <c r="L804" s="1405"/>
      <c r="M804" s="1405"/>
      <c r="N804" s="1405"/>
      <c r="O804" s="1405"/>
      <c r="P804" s="1405"/>
      <c r="Q804" s="1264"/>
      <c r="R804" s="1264"/>
      <c r="S804" s="1264"/>
      <c r="T804" s="1264"/>
      <c r="U804" s="1264"/>
      <c r="V804" s="1264"/>
      <c r="W804" s="1264"/>
      <c r="X804" s="1264"/>
      <c r="Y804" s="1264"/>
      <c r="Z804" s="1264"/>
    </row>
    <row r="805" spans="1:26" ht="19.5" hidden="1">
      <c r="A805" s="1260"/>
      <c r="B805" s="1261"/>
      <c r="C805" s="1261" t="s">
        <v>16</v>
      </c>
      <c r="D805" s="1508" t="s">
        <v>17</v>
      </c>
      <c r="E805" s="1485"/>
      <c r="F805" s="1485"/>
      <c r="G805" s="1263"/>
      <c r="H805" s="612" t="s">
        <v>12</v>
      </c>
      <c r="I805" s="836"/>
      <c r="J805" s="836"/>
      <c r="K805" s="837"/>
      <c r="L805" s="1292">
        <f t="shared" ref="L805:N805" si="327">L806+L807</f>
        <v>0</v>
      </c>
      <c r="M805" s="1292">
        <f t="shared" si="327"/>
        <v>0</v>
      </c>
      <c r="N805" s="1292">
        <f t="shared" si="327"/>
        <v>0</v>
      </c>
      <c r="O805" s="1292">
        <f t="shared" ref="O805:O810" si="328">IF(L805&gt;0,N805*100/L805,0)</f>
        <v>0</v>
      </c>
      <c r="P805" s="1292">
        <f t="shared" ref="P805:P810" si="329">IF(M805&gt;0,N805*100/M805,0)</f>
        <v>0</v>
      </c>
      <c r="Q805" s="1264"/>
      <c r="R805" s="1264"/>
      <c r="S805" s="1264"/>
      <c r="T805" s="1264"/>
      <c r="U805" s="1264"/>
      <c r="V805" s="1264"/>
      <c r="W805" s="1264"/>
      <c r="X805" s="1264"/>
      <c r="Y805" s="1264"/>
      <c r="Z805" s="1264"/>
    </row>
    <row r="806" spans="1:26" ht="18.75" hidden="1">
      <c r="A806" s="1260"/>
      <c r="B806" s="1261"/>
      <c r="C806" s="1261"/>
      <c r="D806" s="1274"/>
      <c r="E806" s="1261" t="s">
        <v>184</v>
      </c>
      <c r="F806" s="1261"/>
      <c r="G806" s="1263"/>
      <c r="H806" s="165" t="s">
        <v>12</v>
      </c>
      <c r="I806" s="836"/>
      <c r="J806" s="836"/>
      <c r="K806" s="837"/>
      <c r="L806" s="837">
        <f t="shared" ref="L806:N807" si="330">L809+L816</f>
        <v>0</v>
      </c>
      <c r="M806" s="837">
        <f t="shared" si="330"/>
        <v>0</v>
      </c>
      <c r="N806" s="837">
        <f t="shared" si="330"/>
        <v>0</v>
      </c>
      <c r="O806" s="837">
        <f t="shared" si="328"/>
        <v>0</v>
      </c>
      <c r="P806" s="837">
        <f t="shared" si="329"/>
        <v>0</v>
      </c>
      <c r="Q806" s="1264"/>
      <c r="R806" s="1264"/>
      <c r="S806" s="1264"/>
      <c r="T806" s="1264"/>
      <c r="U806" s="1264"/>
      <c r="V806" s="1264"/>
      <c r="W806" s="1264"/>
      <c r="X806" s="1264"/>
      <c r="Y806" s="1264"/>
      <c r="Z806" s="1264"/>
    </row>
    <row r="807" spans="1:26" ht="18.75" hidden="1">
      <c r="A807" s="1260"/>
      <c r="B807" s="1261"/>
      <c r="C807" s="1261"/>
      <c r="D807" s="1274"/>
      <c r="E807" s="1261" t="s">
        <v>185</v>
      </c>
      <c r="F807" s="1261"/>
      <c r="G807" s="1263"/>
      <c r="H807" s="165" t="s">
        <v>12</v>
      </c>
      <c r="I807" s="836"/>
      <c r="J807" s="836"/>
      <c r="K807" s="837"/>
      <c r="L807" s="837">
        <f t="shared" si="330"/>
        <v>0</v>
      </c>
      <c r="M807" s="837">
        <f t="shared" si="330"/>
        <v>0</v>
      </c>
      <c r="N807" s="837">
        <f t="shared" si="330"/>
        <v>0</v>
      </c>
      <c r="O807" s="837">
        <f t="shared" si="328"/>
        <v>0</v>
      </c>
      <c r="P807" s="837">
        <f t="shared" si="329"/>
        <v>0</v>
      </c>
      <c r="Q807" s="1264"/>
      <c r="R807" s="1264"/>
      <c r="S807" s="1264"/>
      <c r="T807" s="1264"/>
      <c r="U807" s="1264"/>
      <c r="V807" s="1264"/>
      <c r="W807" s="1264"/>
      <c r="X807" s="1264"/>
      <c r="Y807" s="1264"/>
      <c r="Z807" s="1264"/>
    </row>
    <row r="808" spans="1:26" ht="19.5" hidden="1">
      <c r="A808" s="1260"/>
      <c r="B808" s="1265"/>
      <c r="C808" s="1261"/>
      <c r="D808" s="1509" t="s">
        <v>20</v>
      </c>
      <c r="E808" s="1485"/>
      <c r="F808" s="1485"/>
      <c r="G808" s="1263"/>
      <c r="H808" s="612" t="s">
        <v>12</v>
      </c>
      <c r="I808" s="947"/>
      <c r="J808" s="947"/>
      <c r="K808" s="948"/>
      <c r="L808" s="1292">
        <f t="shared" ref="L808:N808" si="331">L809+L810</f>
        <v>0</v>
      </c>
      <c r="M808" s="1292">
        <f t="shared" si="331"/>
        <v>0</v>
      </c>
      <c r="N808" s="1292">
        <f t="shared" si="331"/>
        <v>0</v>
      </c>
      <c r="O808" s="1292">
        <f t="shared" si="328"/>
        <v>0</v>
      </c>
      <c r="P808" s="1292">
        <f t="shared" si="329"/>
        <v>0</v>
      </c>
      <c r="Q808" s="1264"/>
      <c r="R808" s="1264"/>
      <c r="S808" s="1264"/>
      <c r="T808" s="1264"/>
      <c r="U808" s="1264"/>
      <c r="V808" s="1264"/>
      <c r="W808" s="1264"/>
      <c r="X808" s="1264"/>
      <c r="Y808" s="1264"/>
      <c r="Z808" s="1264"/>
    </row>
    <row r="809" spans="1:26" ht="18.75" hidden="1">
      <c r="A809" s="1260"/>
      <c r="B809" s="1261"/>
      <c r="C809" s="1261"/>
      <c r="D809" s="1274"/>
      <c r="E809" s="1261" t="s">
        <v>184</v>
      </c>
      <c r="F809" s="1261"/>
      <c r="G809" s="1263"/>
      <c r="H809" s="165" t="s">
        <v>12</v>
      </c>
      <c r="I809" s="836"/>
      <c r="J809" s="836"/>
      <c r="K809" s="837"/>
      <c r="L809" s="837">
        <v>0</v>
      </c>
      <c r="M809" s="837">
        <v>0</v>
      </c>
      <c r="N809" s="837">
        <v>0</v>
      </c>
      <c r="O809" s="837">
        <f t="shared" si="328"/>
        <v>0</v>
      </c>
      <c r="P809" s="837">
        <f t="shared" si="329"/>
        <v>0</v>
      </c>
      <c r="Q809" s="1264"/>
      <c r="R809" s="1264"/>
      <c r="S809" s="1264"/>
      <c r="T809" s="1264"/>
      <c r="U809" s="1264"/>
      <c r="V809" s="1264"/>
      <c r="W809" s="1264"/>
      <c r="X809" s="1264"/>
      <c r="Y809" s="1264"/>
      <c r="Z809" s="1264"/>
    </row>
    <row r="810" spans="1:26" ht="18.75" hidden="1">
      <c r="A810" s="1260"/>
      <c r="B810" s="1261"/>
      <c r="C810" s="1261"/>
      <c r="D810" s="1274"/>
      <c r="E810" s="1261" t="s">
        <v>185</v>
      </c>
      <c r="F810" s="1261"/>
      <c r="G810" s="1263"/>
      <c r="H810" s="165" t="s">
        <v>12</v>
      </c>
      <c r="I810" s="836"/>
      <c r="J810" s="836"/>
      <c r="K810" s="837"/>
      <c r="L810" s="837">
        <v>0</v>
      </c>
      <c r="M810" s="837">
        <v>0</v>
      </c>
      <c r="N810" s="837">
        <f>N811+N812+N813+N814</f>
        <v>0</v>
      </c>
      <c r="O810" s="837">
        <f t="shared" si="328"/>
        <v>0</v>
      </c>
      <c r="P810" s="837">
        <f t="shared" si="329"/>
        <v>0</v>
      </c>
      <c r="Q810" s="1264"/>
      <c r="R810" s="1264"/>
      <c r="S810" s="1264"/>
      <c r="T810" s="1264"/>
      <c r="U810" s="1264"/>
      <c r="V810" s="1264"/>
      <c r="W810" s="1264"/>
      <c r="X810" s="1264"/>
      <c r="Y810" s="1264"/>
      <c r="Z810" s="1264"/>
    </row>
    <row r="811" spans="1:26" ht="18.75" hidden="1">
      <c r="A811" s="1294"/>
      <c r="B811" s="1265"/>
      <c r="C811" s="1261"/>
      <c r="D811" s="1265"/>
      <c r="E811" s="1261"/>
      <c r="F811" s="1261" t="s">
        <v>186</v>
      </c>
      <c r="G811" s="1263"/>
      <c r="H811" s="165" t="s">
        <v>12</v>
      </c>
      <c r="I811" s="836"/>
      <c r="J811" s="836"/>
      <c r="K811" s="837"/>
      <c r="L811" s="837"/>
      <c r="M811" s="837"/>
      <c r="N811" s="837"/>
      <c r="O811" s="837"/>
      <c r="P811" s="837"/>
      <c r="Q811" s="1264"/>
      <c r="R811" s="1264"/>
      <c r="S811" s="1264"/>
      <c r="T811" s="1264"/>
      <c r="U811" s="1264"/>
      <c r="V811" s="1264"/>
      <c r="W811" s="1264"/>
      <c r="X811" s="1264"/>
      <c r="Y811" s="1264"/>
      <c r="Z811" s="1264"/>
    </row>
    <row r="812" spans="1:26" ht="18.75" hidden="1">
      <c r="A812" s="1294"/>
      <c r="B812" s="1265"/>
      <c r="C812" s="1261"/>
      <c r="D812" s="1265"/>
      <c r="E812" s="1261"/>
      <c r="F812" s="1261" t="s">
        <v>187</v>
      </c>
      <c r="G812" s="1263"/>
      <c r="H812" s="165" t="s">
        <v>12</v>
      </c>
      <c r="I812" s="836"/>
      <c r="J812" s="836"/>
      <c r="K812" s="837"/>
      <c r="L812" s="837"/>
      <c r="M812" s="837"/>
      <c r="N812" s="837"/>
      <c r="O812" s="837"/>
      <c r="P812" s="837"/>
      <c r="Q812" s="1264"/>
      <c r="R812" s="1264"/>
      <c r="S812" s="1264"/>
      <c r="T812" s="1264"/>
      <c r="U812" s="1264"/>
      <c r="V812" s="1264"/>
      <c r="W812" s="1264"/>
      <c r="X812" s="1264"/>
      <c r="Y812" s="1264"/>
      <c r="Z812" s="1264"/>
    </row>
    <row r="813" spans="1:26" ht="18.75" hidden="1">
      <c r="A813" s="1294"/>
      <c r="B813" s="1265"/>
      <c r="C813" s="1261"/>
      <c r="D813" s="1265"/>
      <c r="E813" s="1261"/>
      <c r="F813" s="1261" t="s">
        <v>188</v>
      </c>
      <c r="G813" s="1263"/>
      <c r="H813" s="165" t="s">
        <v>12</v>
      </c>
      <c r="I813" s="836"/>
      <c r="J813" s="836"/>
      <c r="K813" s="837"/>
      <c r="L813" s="837"/>
      <c r="M813" s="837"/>
      <c r="N813" s="837"/>
      <c r="O813" s="837"/>
      <c r="P813" s="837"/>
      <c r="Q813" s="1264"/>
      <c r="R813" s="1264"/>
      <c r="S813" s="1264"/>
      <c r="T813" s="1264"/>
      <c r="U813" s="1264"/>
      <c r="V813" s="1264"/>
      <c r="W813" s="1264"/>
      <c r="X813" s="1264"/>
      <c r="Y813" s="1264"/>
      <c r="Z813" s="1264"/>
    </row>
    <row r="814" spans="1:26" ht="18.75" hidden="1">
      <c r="A814" s="1294"/>
      <c r="B814" s="1265"/>
      <c r="C814" s="1261"/>
      <c r="D814" s="1265"/>
      <c r="E814" s="1261"/>
      <c r="F814" s="1261" t="s">
        <v>189</v>
      </c>
      <c r="G814" s="1263"/>
      <c r="H814" s="165" t="s">
        <v>12</v>
      </c>
      <c r="I814" s="836"/>
      <c r="J814" s="836"/>
      <c r="K814" s="837"/>
      <c r="L814" s="837"/>
      <c r="M814" s="837"/>
      <c r="N814" s="837"/>
      <c r="O814" s="837"/>
      <c r="P814" s="837"/>
      <c r="Q814" s="1264"/>
      <c r="R814" s="1264"/>
      <c r="S814" s="1264"/>
      <c r="T814" s="1264"/>
      <c r="U814" s="1264"/>
      <c r="V814" s="1264"/>
      <c r="W814" s="1264"/>
      <c r="X814" s="1264"/>
      <c r="Y814" s="1264"/>
      <c r="Z814" s="1264"/>
    </row>
    <row r="815" spans="1:26" ht="19.5" hidden="1">
      <c r="A815" s="1260"/>
      <c r="B815" s="1265"/>
      <c r="C815" s="1261"/>
      <c r="D815" s="1509" t="s">
        <v>21</v>
      </c>
      <c r="E815" s="1485"/>
      <c r="F815" s="1485"/>
      <c r="G815" s="1263"/>
      <c r="H815" s="749" t="s">
        <v>12</v>
      </c>
      <c r="I815" s="947"/>
      <c r="J815" s="947"/>
      <c r="K815" s="948"/>
      <c r="L815" s="1292">
        <f t="shared" ref="L815:N815" si="332">L816+L817</f>
        <v>0</v>
      </c>
      <c r="M815" s="1292">
        <f t="shared" si="332"/>
        <v>0</v>
      </c>
      <c r="N815" s="1292">
        <f t="shared" si="332"/>
        <v>0</v>
      </c>
      <c r="O815" s="1292">
        <f t="shared" ref="O815:O817" si="333">IF(L815&gt;0,N815*100/L815,0)</f>
        <v>0</v>
      </c>
      <c r="P815" s="1292">
        <f t="shared" ref="P815:P817" si="334">IF(M815&gt;0,N815*100/M815,0)</f>
        <v>0</v>
      </c>
      <c r="Q815" s="1264"/>
      <c r="R815" s="1264"/>
      <c r="S815" s="1264"/>
      <c r="T815" s="1264"/>
      <c r="U815" s="1264"/>
      <c r="V815" s="1264"/>
      <c r="W815" s="1264"/>
      <c r="X815" s="1264"/>
      <c r="Y815" s="1264"/>
      <c r="Z815" s="1264"/>
    </row>
    <row r="816" spans="1:26" ht="18.75" hidden="1">
      <c r="A816" s="1260"/>
      <c r="B816" s="1265"/>
      <c r="C816" s="1261"/>
      <c r="D816" s="1265"/>
      <c r="E816" s="1261" t="s">
        <v>18</v>
      </c>
      <c r="F816" s="1261"/>
      <c r="G816" s="1263"/>
      <c r="H816" s="165" t="s">
        <v>12</v>
      </c>
      <c r="I816" s="947"/>
      <c r="J816" s="947"/>
      <c r="K816" s="948"/>
      <c r="L816" s="837">
        <v>0</v>
      </c>
      <c r="M816" s="837">
        <v>0</v>
      </c>
      <c r="N816" s="837">
        <v>0</v>
      </c>
      <c r="O816" s="837">
        <f t="shared" si="333"/>
        <v>0</v>
      </c>
      <c r="P816" s="837">
        <f t="shared" si="334"/>
        <v>0</v>
      </c>
      <c r="Q816" s="1264"/>
      <c r="R816" s="1264"/>
      <c r="S816" s="1264"/>
      <c r="T816" s="1264"/>
      <c r="U816" s="1264"/>
      <c r="V816" s="1264"/>
      <c r="W816" s="1264"/>
      <c r="X816" s="1264"/>
      <c r="Y816" s="1264"/>
      <c r="Z816" s="1264"/>
    </row>
    <row r="817" spans="1:26" ht="18.75" hidden="1">
      <c r="A817" s="1260"/>
      <c r="B817" s="1265"/>
      <c r="C817" s="1261"/>
      <c r="D817" s="1265"/>
      <c r="E817" s="1261" t="s">
        <v>19</v>
      </c>
      <c r="F817" s="1261"/>
      <c r="G817" s="1263"/>
      <c r="H817" s="169" t="s">
        <v>12</v>
      </c>
      <c r="I817" s="947"/>
      <c r="J817" s="947"/>
      <c r="K817" s="948"/>
      <c r="L817" s="837">
        <v>0</v>
      </c>
      <c r="M817" s="837">
        <v>0</v>
      </c>
      <c r="N817" s="837">
        <v>0</v>
      </c>
      <c r="O817" s="837">
        <f t="shared" si="333"/>
        <v>0</v>
      </c>
      <c r="P817" s="837">
        <f t="shared" si="334"/>
        <v>0</v>
      </c>
      <c r="Q817" s="1264"/>
      <c r="R817" s="1264"/>
      <c r="S817" s="1264"/>
      <c r="T817" s="1264"/>
      <c r="U817" s="1264"/>
      <c r="V817" s="1264"/>
      <c r="W817" s="1264"/>
      <c r="X817" s="1264"/>
      <c r="Y817" s="1264"/>
      <c r="Z817" s="1264"/>
    </row>
    <row r="818" spans="1:26" ht="19.5" hidden="1">
      <c r="A818" s="1273"/>
      <c r="B818" s="1274"/>
      <c r="C818" s="1261" t="s">
        <v>16</v>
      </c>
      <c r="D818" s="1420" t="s">
        <v>38</v>
      </c>
      <c r="E818" s="1296"/>
      <c r="F818" s="1296"/>
      <c r="G818" s="1297"/>
      <c r="H818" s="1060"/>
      <c r="I818" s="947"/>
      <c r="J818" s="947"/>
      <c r="K818" s="948"/>
      <c r="L818" s="948"/>
      <c r="M818" s="948"/>
      <c r="N818" s="948"/>
      <c r="O818" s="948"/>
      <c r="P818" s="948"/>
      <c r="Q818" s="1264"/>
      <c r="R818" s="1264"/>
      <c r="S818" s="1264"/>
      <c r="T818" s="1264"/>
      <c r="U818" s="1264"/>
      <c r="V818" s="1264"/>
      <c r="W818" s="1264"/>
      <c r="X818" s="1264"/>
      <c r="Y818" s="1264"/>
      <c r="Z818" s="1264"/>
    </row>
    <row r="819" spans="1:26" ht="19.5" hidden="1" thickBot="1">
      <c r="A819" s="1421"/>
      <c r="B819" s="1422"/>
      <c r="C819" s="1423"/>
      <c r="D819" s="1422"/>
      <c r="E819" s="1423" t="s">
        <v>323</v>
      </c>
      <c r="F819" s="1423"/>
      <c r="G819" s="1424"/>
      <c r="H819" s="792" t="s">
        <v>46</v>
      </c>
      <c r="I819" s="1425"/>
      <c r="J819" s="1425"/>
      <c r="K819" s="1426"/>
      <c r="L819" s="1426"/>
      <c r="M819" s="1426"/>
      <c r="N819" s="1426"/>
      <c r="O819" s="1426"/>
      <c r="P819" s="1426"/>
      <c r="Q819" s="1264"/>
      <c r="R819" s="1264"/>
      <c r="S819" s="1264"/>
      <c r="T819" s="1264"/>
      <c r="U819" s="1264"/>
      <c r="V819" s="1264"/>
      <c r="W819" s="1264"/>
      <c r="X819" s="1264"/>
      <c r="Y819" s="1264"/>
      <c r="Z819" s="1264"/>
    </row>
    <row r="820" spans="1:26" ht="19.5">
      <c r="A820" s="1427" t="s">
        <v>333</v>
      </c>
      <c r="B820" s="1428"/>
      <c r="C820" s="1428"/>
      <c r="D820" s="1429"/>
      <c r="E820" s="1428"/>
      <c r="F820" s="1428"/>
      <c r="G820" s="1430"/>
      <c r="H820" s="143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32"/>
      <c r="J820" s="1432"/>
      <c r="K820" s="1433"/>
      <c r="L820" s="1433"/>
      <c r="M820" s="1433"/>
      <c r="N820" s="1433"/>
      <c r="O820" s="1433"/>
      <c r="P820" s="1433"/>
      <c r="Q820" s="1244"/>
      <c r="R820" s="1244"/>
      <c r="S820" s="1244"/>
      <c r="T820" s="1244"/>
      <c r="U820" s="1244"/>
      <c r="V820" s="1244"/>
      <c r="W820" s="1244"/>
      <c r="X820" s="1244"/>
      <c r="Y820" s="1244"/>
      <c r="Z820" s="1244"/>
    </row>
    <row r="821" spans="1:26" ht="18.75">
      <c r="A821" s="1368"/>
      <c r="B821" s="1243" t="s">
        <v>325</v>
      </c>
      <c r="C821" s="1243"/>
      <c r="D821" s="1242"/>
      <c r="E821" s="1243"/>
      <c r="F821" s="1243"/>
      <c r="G821" s="963"/>
      <c r="H821" s="590" t="s">
        <v>12</v>
      </c>
      <c r="I821" s="830">
        <f ca="1">IFERROR(__xludf.DUMMYFUNCTION("IMPORTRANGE(""https://docs.google.com/spreadsheets/d/19vJNZY_5yjcGF2XGBMNZRCAIB0Kwfpjp8YEOfu-bneM/edit?usp=sharing"",""งานกองทุน!D27"")"),6570000)</f>
        <v>6570000</v>
      </c>
      <c r="J821" s="830">
        <f ca="1">IFERROR(__xludf.DUMMYFUNCTION("IMPORTRANGE(""https://docs.google.com/spreadsheets/d/19vJNZY_5yjcGF2XGBMNZRCAIB0Kwfpjp8YEOfu-bneM/edit?usp=sharing"",""งานกองทุน!F27"")"),2952914)</f>
        <v>2952914</v>
      </c>
      <c r="K821" s="831">
        <f t="shared" ref="K821:K828" ca="1" si="335">IF(I821&gt;0,J821*100/I821,0)</f>
        <v>44.945418569254187</v>
      </c>
      <c r="L821" s="831"/>
      <c r="M821" s="831"/>
      <c r="N821" s="831"/>
      <c r="O821" s="831"/>
      <c r="P821" s="831"/>
      <c r="Q821" s="1244"/>
      <c r="R821" s="1244"/>
      <c r="S821" s="1244"/>
      <c r="T821" s="1244"/>
      <c r="U821" s="1244"/>
      <c r="V821" s="1244"/>
      <c r="W821" s="1244"/>
      <c r="X821" s="1244"/>
      <c r="Y821" s="1244"/>
      <c r="Z821" s="1244"/>
    </row>
    <row r="822" spans="1:26" ht="18.75">
      <c r="A822" s="1368"/>
      <c r="B822" s="1243"/>
      <c r="C822" s="1243"/>
      <c r="D822" s="1242"/>
      <c r="E822" s="1243"/>
      <c r="F822" s="1243"/>
      <c r="G822" s="963"/>
      <c r="H822" s="590" t="s">
        <v>35</v>
      </c>
      <c r="I822" s="830">
        <f ca="1">IFERROR(__xludf.DUMMYFUNCTION("IMPORTRANGE(""https://docs.google.com/spreadsheets/d/19vJNZY_5yjcGF2XGBMNZRCAIB0Kwfpjp8YEOfu-bneM/edit?usp=sharing"",""งานกองทุน!C27"")"),216)</f>
        <v>216</v>
      </c>
      <c r="J822" s="830">
        <f ca="1">IFERROR(__xludf.DUMMYFUNCTION("IMPORTRANGE(""https://docs.google.com/spreadsheets/d/19vJNZY_5yjcGF2XGBMNZRCAIB0Kwfpjp8YEOfu-bneM/edit?usp=sharing"",""งานกองทุน!E27"")"),107)</f>
        <v>107</v>
      </c>
      <c r="K822" s="831">
        <f t="shared" ca="1" si="335"/>
        <v>49.537037037037038</v>
      </c>
      <c r="L822" s="831"/>
      <c r="M822" s="831"/>
      <c r="N822" s="831"/>
      <c r="O822" s="831"/>
      <c r="P822" s="831"/>
      <c r="Q822" s="1244"/>
      <c r="R822" s="1244"/>
      <c r="S822" s="1244"/>
      <c r="T822" s="1244"/>
      <c r="U822" s="1244"/>
      <c r="V822" s="1244"/>
      <c r="W822" s="1244"/>
      <c r="X822" s="1244"/>
      <c r="Y822" s="1244"/>
      <c r="Z822" s="1244"/>
    </row>
    <row r="823" spans="1:26" ht="18.75">
      <c r="A823" s="1368"/>
      <c r="B823" s="1243" t="s">
        <v>326</v>
      </c>
      <c r="C823" s="1243"/>
      <c r="D823" s="1242"/>
      <c r="E823" s="1243"/>
      <c r="F823" s="1243"/>
      <c r="G823" s="963"/>
      <c r="H823" s="590" t="s">
        <v>12</v>
      </c>
      <c r="I823" s="830">
        <f ca="1">IFERROR(__xludf.DUMMYFUNCTION("IMPORTRANGE(""https://docs.google.com/spreadsheets/d/19vJNZY_5yjcGF2XGBMNZRCAIB0Kwfpjp8YEOfu-bneM/edit?usp=sharing"",""งานกองทุน!I27"")"),5571824.18)</f>
        <v>5571824.1799999997</v>
      </c>
      <c r="J823" s="830">
        <f ca="1">IFERROR(__xludf.DUMMYFUNCTION("IMPORTRANGE(""https://docs.google.com/spreadsheets/d/19vJNZY_5yjcGF2XGBMNZRCAIB0Kwfpjp8YEOfu-bneM/edit?usp=sharing"",""งานกองทุน!K27"")"),90175.79)</f>
        <v>90175.79</v>
      </c>
      <c r="K823" s="831">
        <f t="shared" ca="1" si="335"/>
        <v>1.6184249015553109</v>
      </c>
      <c r="L823" s="831"/>
      <c r="M823" s="831"/>
      <c r="N823" s="831"/>
      <c r="O823" s="831"/>
      <c r="P823" s="831"/>
      <c r="Q823" s="1244"/>
      <c r="R823" s="1244"/>
      <c r="S823" s="1244"/>
      <c r="T823" s="1244"/>
      <c r="U823" s="1244"/>
      <c r="V823" s="1244"/>
      <c r="W823" s="1244"/>
      <c r="X823" s="1244"/>
      <c r="Y823" s="1244"/>
      <c r="Z823" s="1244"/>
    </row>
    <row r="824" spans="1:26" ht="18.75">
      <c r="A824" s="1368"/>
      <c r="B824" s="1243"/>
      <c r="C824" s="1243"/>
      <c r="D824" s="1242"/>
      <c r="E824" s="1243"/>
      <c r="F824" s="1243"/>
      <c r="G824" s="963"/>
      <c r="H824" s="590" t="s">
        <v>35</v>
      </c>
      <c r="I824" s="830">
        <f ca="1">IFERROR(__xludf.DUMMYFUNCTION("IMPORTRANGE(""https://docs.google.com/spreadsheets/d/19vJNZY_5yjcGF2XGBMNZRCAIB0Kwfpjp8YEOfu-bneM/edit?usp=sharing"",""งานกองทุน!H27"")"),221)</f>
        <v>221</v>
      </c>
      <c r="J824" s="830">
        <f ca="1">IFERROR(__xludf.DUMMYFUNCTION("IMPORTRANGE(""https://docs.google.com/spreadsheets/d/19vJNZY_5yjcGF2XGBMNZRCAIB0Kwfpjp8YEOfu-bneM/edit?usp=sharing"",""งานกองทุน!J27"")"),24)</f>
        <v>24</v>
      </c>
      <c r="K824" s="831">
        <f t="shared" ca="1" si="335"/>
        <v>10.859728506787331</v>
      </c>
      <c r="L824" s="831"/>
      <c r="M824" s="831"/>
      <c r="N824" s="831"/>
      <c r="O824" s="831"/>
      <c r="P824" s="831"/>
      <c r="Q824" s="1244"/>
      <c r="R824" s="1244"/>
      <c r="S824" s="1244"/>
      <c r="T824" s="1244"/>
      <c r="U824" s="1244"/>
      <c r="V824" s="1244"/>
      <c r="W824" s="1244"/>
      <c r="X824" s="1244"/>
      <c r="Y824" s="1244"/>
      <c r="Z824" s="1244"/>
    </row>
    <row r="825" spans="1:26" ht="18.75">
      <c r="A825" s="1368"/>
      <c r="B825" s="1243" t="s">
        <v>327</v>
      </c>
      <c r="C825" s="1243"/>
      <c r="D825" s="1242"/>
      <c r="E825" s="1243"/>
      <c r="F825" s="1243"/>
      <c r="G825" s="963"/>
      <c r="H825" s="590" t="s">
        <v>12</v>
      </c>
      <c r="I825" s="830">
        <f ca="1">IFERROR(__xludf.DUMMYFUNCTION("IMPORTRANGE(""https://docs.google.com/spreadsheets/d/19vJNZY_5yjcGF2XGBMNZRCAIB0Kwfpjp8YEOfu-bneM/edit?usp=sharing"",""งานกองทุน!N27"")"),3559249.29)</f>
        <v>3559249.29</v>
      </c>
      <c r="J825" s="830">
        <f ca="1">IFERROR(__xludf.DUMMYFUNCTION("IMPORTRANGE(""https://docs.google.com/spreadsheets/d/19vJNZY_5yjcGF2XGBMNZRCAIB0Kwfpjp8YEOfu-bneM/edit?usp=sharing"",""งานกองทุน!P27"")"),233473.98)</f>
        <v>233473.98</v>
      </c>
      <c r="K825" s="831">
        <f t="shared" ca="1" si="335"/>
        <v>6.5596411202767984</v>
      </c>
      <c r="L825" s="831"/>
      <c r="M825" s="831"/>
      <c r="N825" s="831"/>
      <c r="O825" s="831"/>
      <c r="P825" s="831"/>
      <c r="Q825" s="1244"/>
      <c r="R825" s="1244"/>
      <c r="S825" s="1244"/>
      <c r="T825" s="1244"/>
      <c r="U825" s="1244"/>
      <c r="V825" s="1244"/>
      <c r="W825" s="1244"/>
      <c r="X825" s="1244"/>
      <c r="Y825" s="1244"/>
      <c r="Z825" s="1244"/>
    </row>
    <row r="826" spans="1:26" ht="18.75">
      <c r="A826" s="1368"/>
      <c r="B826" s="1243"/>
      <c r="C826" s="1243"/>
      <c r="D826" s="1242"/>
      <c r="E826" s="1243"/>
      <c r="F826" s="1243"/>
      <c r="G826" s="963"/>
      <c r="H826" s="590" t="s">
        <v>35</v>
      </c>
      <c r="I826" s="830">
        <f ca="1">IFERROR(__xludf.DUMMYFUNCTION("IMPORTRANGE(""https://docs.google.com/spreadsheets/d/19vJNZY_5yjcGF2XGBMNZRCAIB0Kwfpjp8YEOfu-bneM/edit?usp=sharing"",""งานกองทุน!M27"")"),451)</f>
        <v>451</v>
      </c>
      <c r="J826" s="830">
        <f ca="1">IFERROR(__xludf.DUMMYFUNCTION("IMPORTRANGE(""https://docs.google.com/spreadsheets/d/19vJNZY_5yjcGF2XGBMNZRCAIB0Kwfpjp8YEOfu-bneM/edit?usp=sharing"",""งานกองทุน!O27"")"),114)</f>
        <v>114</v>
      </c>
      <c r="K826" s="831">
        <f t="shared" ca="1" si="335"/>
        <v>25.277161862527716</v>
      </c>
      <c r="L826" s="831"/>
      <c r="M826" s="831"/>
      <c r="N826" s="831"/>
      <c r="O826" s="831"/>
      <c r="P826" s="831"/>
      <c r="Q826" s="1244"/>
      <c r="R826" s="1244"/>
      <c r="S826" s="1244"/>
      <c r="T826" s="1244"/>
      <c r="U826" s="1244"/>
      <c r="V826" s="1244"/>
      <c r="W826" s="1244"/>
      <c r="X826" s="1244"/>
      <c r="Y826" s="1244"/>
      <c r="Z826" s="1244"/>
    </row>
    <row r="827" spans="1:26" ht="18.75">
      <c r="A827" s="1368"/>
      <c r="B827" s="1243" t="s">
        <v>328</v>
      </c>
      <c r="C827" s="1243"/>
      <c r="D827" s="1242"/>
      <c r="E827" s="1243"/>
      <c r="F827" s="1243"/>
      <c r="G827" s="963"/>
      <c r="H827" s="590" t="s">
        <v>12</v>
      </c>
      <c r="I827" s="830">
        <f ca="1">IFERROR(__xludf.DUMMYFUNCTION("IMPORTRANGE(""https://docs.google.com/spreadsheets/d/19vJNZY_5yjcGF2XGBMNZRCAIB0Kwfpjp8YEOfu-bneM/edit?usp=sharing"",""งานกองทุน!S27"")"),9900000)</f>
        <v>9900000</v>
      </c>
      <c r="J827" s="830">
        <f ca="1">IFERROR(__xludf.DUMMYFUNCTION("IMPORTRANGE(""https://docs.google.com/spreadsheets/d/19vJNZY_5yjcGF2XGBMNZRCAIB0Kwfpjp8YEOfu-bneM/edit?usp=sharing"",""งานกองทุน!U27"")"),2940000)</f>
        <v>2940000</v>
      </c>
      <c r="K827" s="831">
        <f t="shared" ca="1" si="335"/>
        <v>29.696969696969695</v>
      </c>
      <c r="L827" s="831"/>
      <c r="M827" s="831"/>
      <c r="N827" s="831"/>
      <c r="O827" s="831"/>
      <c r="P827" s="831"/>
      <c r="Q827" s="1244"/>
      <c r="R827" s="1244"/>
      <c r="S827" s="1244"/>
      <c r="T827" s="1244"/>
      <c r="U827" s="1244"/>
      <c r="V827" s="1244"/>
      <c r="W827" s="1244"/>
      <c r="X827" s="1244"/>
      <c r="Y827" s="1244"/>
      <c r="Z827" s="1244"/>
    </row>
    <row r="828" spans="1:26" ht="18.75">
      <c r="A828" s="1369"/>
      <c r="B828" s="1371"/>
      <c r="C828" s="1371"/>
      <c r="D828" s="1370"/>
      <c r="E828" s="1371"/>
      <c r="F828" s="1371"/>
      <c r="G828" s="1434"/>
      <c r="H828" s="802" t="s">
        <v>35</v>
      </c>
      <c r="I828" s="1085">
        <f ca="1">IFERROR(__xludf.DUMMYFUNCTION("IMPORTRANGE(""https://docs.google.com/spreadsheets/d/19vJNZY_5yjcGF2XGBMNZRCAIB0Kwfpjp8YEOfu-bneM/edit?usp=sharing"",""งานกองทุน!R27"")"),396)</f>
        <v>396</v>
      </c>
      <c r="J828" s="1085">
        <f ca="1">IFERROR(__xludf.DUMMYFUNCTION("IMPORTRANGE(""https://docs.google.com/spreadsheets/d/19vJNZY_5yjcGF2XGBMNZRCAIB0Kwfpjp8YEOfu-bneM/edit?usp=sharing"",""งานกองทุน!T27"")"),92)</f>
        <v>92</v>
      </c>
      <c r="K828" s="1182">
        <f t="shared" ca="1" si="335"/>
        <v>23.232323232323232</v>
      </c>
      <c r="L828" s="1182"/>
      <c r="M828" s="1182"/>
      <c r="N828" s="1182"/>
      <c r="O828" s="1182"/>
      <c r="P828" s="1182"/>
      <c r="Q828" s="1244"/>
      <c r="R828" s="1244"/>
      <c r="S828" s="1244"/>
      <c r="T828" s="1244"/>
      <c r="U828" s="1244"/>
      <c r="V828" s="1244"/>
      <c r="W828" s="1244"/>
      <c r="X828" s="1244"/>
      <c r="Y828" s="1244"/>
      <c r="Z828" s="124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4028E-9DA2-4B67-8671-13235B4B777A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Q24" sqref="Q24"/>
      <selection pane="bottomLeft" activeCell="Q24" sqref="Q24"/>
    </sheetView>
  </sheetViews>
  <sheetFormatPr defaultColWidth="12.5703125" defaultRowHeight="15.75" customHeight="1"/>
  <cols>
    <col min="1" max="3" width="3.28515625" style="803" customWidth="1"/>
    <col min="4" max="6" width="5.85546875" style="803" customWidth="1"/>
    <col min="7" max="7" width="56.42578125" style="803" customWidth="1"/>
    <col min="8" max="8" width="9.42578125" style="803" customWidth="1"/>
    <col min="9" max="10" width="16.85546875" style="803" bestFit="1" customWidth="1"/>
    <col min="11" max="11" width="12.5703125" style="803" bestFit="1" customWidth="1"/>
    <col min="12" max="14" width="21.28515625" style="803" bestFit="1" customWidth="1"/>
    <col min="15" max="15" width="20.140625" style="803" bestFit="1" customWidth="1"/>
    <col min="16" max="16" width="22" style="803" bestFit="1" customWidth="1"/>
    <col min="17" max="16384" width="12.5703125" style="803"/>
  </cols>
  <sheetData>
    <row r="1" spans="1:26" ht="19.5">
      <c r="A1" s="1498" t="s">
        <v>0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</row>
    <row r="2" spans="1:26" ht="19.5">
      <c r="A2" s="1498" t="s">
        <v>353</v>
      </c>
      <c r="B2" s="1516"/>
      <c r="C2" s="1516"/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  <c r="O2" s="1516"/>
      <c r="P2" s="1516"/>
    </row>
    <row r="3" spans="1:26" ht="19.5">
      <c r="A3" s="1498" t="s">
        <v>329</v>
      </c>
      <c r="B3" s="1516"/>
      <c r="C3" s="1516"/>
      <c r="D3" s="1516"/>
      <c r="E3" s="1516"/>
      <c r="F3" s="1516"/>
      <c r="G3" s="1516"/>
      <c r="H3" s="1516"/>
      <c r="I3" s="1516"/>
      <c r="J3" s="1516"/>
      <c r="K3" s="1516"/>
      <c r="L3" s="1516"/>
      <c r="M3" s="1516"/>
      <c r="N3" s="1516"/>
      <c r="O3" s="1516"/>
      <c r="P3" s="1516"/>
    </row>
    <row r="4" spans="1:26" ht="12.75">
      <c r="A4" s="804"/>
      <c r="B4" s="804"/>
      <c r="C4" s="804"/>
      <c r="D4" s="804"/>
      <c r="E4" s="804"/>
      <c r="F4" s="804"/>
      <c r="G4" s="804"/>
      <c r="H4" s="804"/>
      <c r="I4" s="804"/>
      <c r="J4" s="805"/>
      <c r="K4" s="806"/>
      <c r="L4" s="805"/>
      <c r="M4" s="805"/>
      <c r="N4" s="805"/>
      <c r="O4" s="804"/>
      <c r="P4" s="804"/>
    </row>
    <row r="5" spans="1:26" ht="19.5">
      <c r="A5" s="1504" t="s">
        <v>2</v>
      </c>
      <c r="B5" s="1516"/>
      <c r="C5" s="1516"/>
      <c r="D5" s="1516"/>
      <c r="E5" s="1516"/>
      <c r="F5" s="1516"/>
      <c r="G5" s="1505"/>
      <c r="H5" s="1500" t="s">
        <v>3</v>
      </c>
      <c r="I5" s="1501" t="s">
        <v>4</v>
      </c>
      <c r="J5" s="1494"/>
      <c r="K5" s="1495"/>
      <c r="L5" s="1502" t="s">
        <v>5</v>
      </c>
      <c r="M5" s="1495"/>
      <c r="N5" s="1503" t="s">
        <v>6</v>
      </c>
      <c r="O5" s="1494"/>
      <c r="P5" s="1495"/>
    </row>
    <row r="6" spans="1:26" ht="19.5">
      <c r="A6" s="1506"/>
      <c r="B6" s="1494"/>
      <c r="C6" s="1494"/>
      <c r="D6" s="1494"/>
      <c r="E6" s="1494"/>
      <c r="F6" s="1494"/>
      <c r="G6" s="1495"/>
      <c r="H6" s="14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12" t="s">
        <v>15</v>
      </c>
      <c r="B7" s="1494"/>
      <c r="C7" s="1494"/>
      <c r="D7" s="1494"/>
      <c r="E7" s="1494"/>
      <c r="F7" s="1494"/>
      <c r="G7" s="1495"/>
      <c r="H7" s="807"/>
      <c r="I7" s="808"/>
      <c r="J7" s="808"/>
      <c r="K7" s="809"/>
      <c r="L7" s="809"/>
      <c r="M7" s="809"/>
      <c r="N7" s="809"/>
      <c r="O7" s="809"/>
      <c r="P7" s="809"/>
    </row>
    <row r="8" spans="1:26" ht="19.5">
      <c r="A8" s="810"/>
      <c r="B8" s="811"/>
      <c r="C8" s="812" t="s">
        <v>16</v>
      </c>
      <c r="D8" s="813" t="s">
        <v>17</v>
      </c>
      <c r="E8" s="811"/>
      <c r="F8" s="811"/>
      <c r="G8" s="814"/>
      <c r="H8" s="19" t="s">
        <v>12</v>
      </c>
      <c r="I8" s="815"/>
      <c r="J8" s="815"/>
      <c r="K8" s="816"/>
      <c r="L8" s="817">
        <f t="shared" ref="L8:N8" ca="1" si="0">L9+L10</f>
        <v>6513638</v>
      </c>
      <c r="M8" s="817">
        <f t="shared" ca="1" si="0"/>
        <v>3888960.84</v>
      </c>
      <c r="N8" s="817">
        <f t="shared" ca="1" si="0"/>
        <v>2392815.89</v>
      </c>
      <c r="O8" s="817">
        <f t="shared" ref="O8:O16" ca="1" si="1">IF(L8&gt;0,N8*100/L8,0)</f>
        <v>36.735475474688648</v>
      </c>
      <c r="P8" s="817">
        <f t="shared" ref="P8:P16" ca="1" si="2">IF(M8&gt;0,N8*100/M8,0)</f>
        <v>61.528413076023675</v>
      </c>
      <c r="Q8" s="818"/>
      <c r="R8" s="818"/>
      <c r="S8" s="818"/>
      <c r="T8" s="818"/>
      <c r="U8" s="818"/>
      <c r="V8" s="818"/>
      <c r="W8" s="818"/>
      <c r="X8" s="818"/>
      <c r="Y8" s="818"/>
      <c r="Z8" s="818"/>
    </row>
    <row r="9" spans="1:26" ht="18.75" hidden="1">
      <c r="A9" s="819"/>
      <c r="B9" s="820"/>
      <c r="C9" s="820"/>
      <c r="D9" s="820"/>
      <c r="E9" s="821" t="s">
        <v>18</v>
      </c>
      <c r="F9" s="820"/>
      <c r="G9" s="822"/>
      <c r="H9" s="28" t="s">
        <v>12</v>
      </c>
      <c r="I9" s="823"/>
      <c r="J9" s="823"/>
      <c r="K9" s="824"/>
      <c r="L9" s="824">
        <f t="shared" ref="L9:N10" si="3">L12+L15</f>
        <v>0</v>
      </c>
      <c r="M9" s="824">
        <f t="shared" si="3"/>
        <v>0</v>
      </c>
      <c r="N9" s="824">
        <f t="shared" si="3"/>
        <v>0</v>
      </c>
      <c r="O9" s="824">
        <f t="shared" si="1"/>
        <v>0</v>
      </c>
      <c r="P9" s="824">
        <f t="shared" si="2"/>
        <v>0</v>
      </c>
      <c r="Q9" s="825"/>
      <c r="R9" s="825"/>
      <c r="S9" s="825"/>
      <c r="T9" s="825"/>
      <c r="U9" s="825"/>
      <c r="V9" s="825"/>
      <c r="W9" s="825"/>
      <c r="X9" s="825"/>
      <c r="Y9" s="825"/>
      <c r="Z9" s="825"/>
    </row>
    <row r="10" spans="1:26" ht="18.75" hidden="1">
      <c r="A10" s="819"/>
      <c r="B10" s="820"/>
      <c r="C10" s="820"/>
      <c r="D10" s="820"/>
      <c r="E10" s="821" t="s">
        <v>19</v>
      </c>
      <c r="F10" s="820"/>
      <c r="G10" s="822"/>
      <c r="H10" s="28" t="s">
        <v>12</v>
      </c>
      <c r="I10" s="823"/>
      <c r="J10" s="823"/>
      <c r="K10" s="824"/>
      <c r="L10" s="824">
        <f t="shared" ca="1" si="3"/>
        <v>6513638</v>
      </c>
      <c r="M10" s="824">
        <f t="shared" ca="1" si="3"/>
        <v>3888960.84</v>
      </c>
      <c r="N10" s="824">
        <f t="shared" ca="1" si="3"/>
        <v>2392815.89</v>
      </c>
      <c r="O10" s="824">
        <f t="shared" ca="1" si="1"/>
        <v>36.735475474688648</v>
      </c>
      <c r="P10" s="824">
        <f t="shared" ca="1" si="2"/>
        <v>61.528413076023675</v>
      </c>
      <c r="Q10" s="825"/>
      <c r="R10" s="825"/>
      <c r="S10" s="825"/>
      <c r="T10" s="825"/>
      <c r="U10" s="825"/>
      <c r="V10" s="825"/>
      <c r="W10" s="825"/>
      <c r="X10" s="825"/>
      <c r="Y10" s="825"/>
      <c r="Z10" s="825"/>
    </row>
    <row r="11" spans="1:26" ht="18.75">
      <c r="A11" s="826"/>
      <c r="B11" s="827"/>
      <c r="C11" s="827"/>
      <c r="D11" s="828" t="s">
        <v>20</v>
      </c>
      <c r="E11" s="827"/>
      <c r="F11" s="827"/>
      <c r="G11" s="829"/>
      <c r="H11" s="590" t="s">
        <v>12</v>
      </c>
      <c r="I11" s="830"/>
      <c r="J11" s="830"/>
      <c r="K11" s="831"/>
      <c r="L11" s="831">
        <f t="shared" ref="L11:N11" ca="1" si="4">L12+L13</f>
        <v>6170538</v>
      </c>
      <c r="M11" s="831">
        <f t="shared" ca="1" si="4"/>
        <v>3545910.84</v>
      </c>
      <c r="N11" s="831">
        <f t="shared" ca="1" si="4"/>
        <v>2049765.8900000001</v>
      </c>
      <c r="O11" s="831">
        <f t="shared" ca="1" si="1"/>
        <v>33.218592771003109</v>
      </c>
      <c r="P11" s="831">
        <f t="shared" ca="1" si="2"/>
        <v>57.806470114178055</v>
      </c>
      <c r="Q11" s="818"/>
      <c r="R11" s="818"/>
      <c r="S11" s="818"/>
      <c r="T11" s="818"/>
      <c r="U11" s="818"/>
      <c r="V11" s="818"/>
      <c r="W11" s="818"/>
      <c r="X11" s="818"/>
      <c r="Y11" s="818"/>
      <c r="Z11" s="818"/>
    </row>
    <row r="12" spans="1:26" ht="18.75" hidden="1">
      <c r="A12" s="832"/>
      <c r="B12" s="833"/>
      <c r="C12" s="833"/>
      <c r="D12" s="833"/>
      <c r="E12" s="834" t="s">
        <v>18</v>
      </c>
      <c r="F12" s="833"/>
      <c r="G12" s="835"/>
      <c r="H12" s="43" t="s">
        <v>12</v>
      </c>
      <c r="I12" s="836"/>
      <c r="J12" s="836"/>
      <c r="K12" s="837"/>
      <c r="L12" s="837">
        <f t="shared" ref="L12:N13" si="5">L22+L32</f>
        <v>0</v>
      </c>
      <c r="M12" s="837">
        <f t="shared" si="5"/>
        <v>0</v>
      </c>
      <c r="N12" s="837">
        <f t="shared" si="5"/>
        <v>0</v>
      </c>
      <c r="O12" s="837">
        <f t="shared" si="1"/>
        <v>0</v>
      </c>
      <c r="P12" s="837">
        <f t="shared" si="2"/>
        <v>0</v>
      </c>
      <c r="Q12" s="825"/>
      <c r="R12" s="825"/>
      <c r="S12" s="825"/>
      <c r="T12" s="825"/>
      <c r="U12" s="825"/>
      <c r="V12" s="825"/>
      <c r="W12" s="825"/>
      <c r="X12" s="825"/>
      <c r="Y12" s="825"/>
      <c r="Z12" s="825"/>
    </row>
    <row r="13" spans="1:26" ht="18.75" hidden="1">
      <c r="A13" s="832"/>
      <c r="B13" s="833"/>
      <c r="C13" s="833"/>
      <c r="D13" s="833"/>
      <c r="E13" s="834" t="s">
        <v>19</v>
      </c>
      <c r="F13" s="833"/>
      <c r="G13" s="835"/>
      <c r="H13" s="43" t="s">
        <v>12</v>
      </c>
      <c r="I13" s="836"/>
      <c r="J13" s="836"/>
      <c r="K13" s="837"/>
      <c r="L13" s="837">
        <f t="shared" ca="1" si="5"/>
        <v>6170538</v>
      </c>
      <c r="M13" s="837">
        <f t="shared" ca="1" si="5"/>
        <v>3545910.84</v>
      </c>
      <c r="N13" s="837">
        <f t="shared" ca="1" si="5"/>
        <v>2049765.8900000001</v>
      </c>
      <c r="O13" s="837">
        <f t="shared" ca="1" si="1"/>
        <v>33.218592771003109</v>
      </c>
      <c r="P13" s="837">
        <f t="shared" ca="1" si="2"/>
        <v>57.806470114178055</v>
      </c>
      <c r="Q13" s="825"/>
      <c r="R13" s="825"/>
      <c r="S13" s="825"/>
      <c r="T13" s="825"/>
      <c r="U13" s="825"/>
      <c r="V13" s="825"/>
      <c r="W13" s="825"/>
      <c r="X13" s="825"/>
      <c r="Y13" s="825"/>
      <c r="Z13" s="825"/>
    </row>
    <row r="14" spans="1:26" ht="18.75">
      <c r="A14" s="826"/>
      <c r="B14" s="827"/>
      <c r="C14" s="827"/>
      <c r="D14" s="828" t="s">
        <v>21</v>
      </c>
      <c r="E14" s="827"/>
      <c r="F14" s="827"/>
      <c r="G14" s="829"/>
      <c r="H14" s="590" t="s">
        <v>12</v>
      </c>
      <c r="I14" s="830"/>
      <c r="J14" s="830"/>
      <c r="K14" s="831"/>
      <c r="L14" s="831">
        <f t="shared" ref="L14:N14" ca="1" si="6">L15+L16</f>
        <v>343100</v>
      </c>
      <c r="M14" s="831">
        <f t="shared" ca="1" si="6"/>
        <v>343050</v>
      </c>
      <c r="N14" s="831">
        <f t="shared" ca="1" si="6"/>
        <v>343050</v>
      </c>
      <c r="O14" s="831">
        <f t="shared" ca="1" si="1"/>
        <v>99.985426989215966</v>
      </c>
      <c r="P14" s="831">
        <f t="shared" ca="1" si="2"/>
        <v>100</v>
      </c>
      <c r="Q14" s="818"/>
      <c r="R14" s="818"/>
      <c r="S14" s="818"/>
      <c r="T14" s="818"/>
      <c r="U14" s="818"/>
      <c r="V14" s="818"/>
      <c r="W14" s="818"/>
      <c r="X14" s="818"/>
      <c r="Y14" s="818"/>
      <c r="Z14" s="818"/>
    </row>
    <row r="15" spans="1:26" ht="18.75" hidden="1">
      <c r="A15" s="832"/>
      <c r="B15" s="833"/>
      <c r="C15" s="833"/>
      <c r="D15" s="833"/>
      <c r="E15" s="834" t="s">
        <v>18</v>
      </c>
      <c r="F15" s="833"/>
      <c r="G15" s="835"/>
      <c r="H15" s="43" t="s">
        <v>12</v>
      </c>
      <c r="I15" s="836"/>
      <c r="J15" s="836"/>
      <c r="K15" s="837"/>
      <c r="L15" s="837">
        <f t="shared" ref="L15:N16" si="7">L25+L35</f>
        <v>0</v>
      </c>
      <c r="M15" s="837">
        <f t="shared" si="7"/>
        <v>0</v>
      </c>
      <c r="N15" s="837">
        <f t="shared" si="7"/>
        <v>0</v>
      </c>
      <c r="O15" s="837">
        <f t="shared" si="1"/>
        <v>0</v>
      </c>
      <c r="P15" s="837">
        <f t="shared" si="2"/>
        <v>0</v>
      </c>
      <c r="Q15" s="825"/>
      <c r="R15" s="825"/>
      <c r="S15" s="825"/>
      <c r="T15" s="825"/>
      <c r="U15" s="825"/>
      <c r="V15" s="825"/>
      <c r="W15" s="825"/>
      <c r="X15" s="825"/>
      <c r="Y15" s="825"/>
      <c r="Z15" s="825"/>
    </row>
    <row r="16" spans="1:26" ht="18.75" hidden="1">
      <c r="A16" s="838"/>
      <c r="B16" s="839"/>
      <c r="C16" s="839"/>
      <c r="D16" s="839"/>
      <c r="E16" s="840" t="s">
        <v>19</v>
      </c>
      <c r="F16" s="839"/>
      <c r="G16" s="841"/>
      <c r="H16" s="50" t="s">
        <v>12</v>
      </c>
      <c r="I16" s="842"/>
      <c r="J16" s="842"/>
      <c r="K16" s="843"/>
      <c r="L16" s="843">
        <f t="shared" ca="1" si="7"/>
        <v>343100</v>
      </c>
      <c r="M16" s="843">
        <f t="shared" ca="1" si="7"/>
        <v>343050</v>
      </c>
      <c r="N16" s="843">
        <f t="shared" ca="1" si="7"/>
        <v>343050</v>
      </c>
      <c r="O16" s="843">
        <f t="shared" ca="1" si="1"/>
        <v>99.985426989215966</v>
      </c>
      <c r="P16" s="843">
        <f t="shared" ca="1" si="2"/>
        <v>100</v>
      </c>
      <c r="Q16" s="825"/>
      <c r="R16" s="825"/>
      <c r="S16" s="825"/>
      <c r="T16" s="825"/>
      <c r="U16" s="825"/>
      <c r="V16" s="825"/>
      <c r="W16" s="825"/>
      <c r="X16" s="825"/>
      <c r="Y16" s="825"/>
      <c r="Z16" s="825"/>
    </row>
    <row r="17" spans="1:26" ht="19.5">
      <c r="A17" s="1512" t="s">
        <v>22</v>
      </c>
      <c r="B17" s="1494"/>
      <c r="C17" s="1494"/>
      <c r="D17" s="1494"/>
      <c r="E17" s="1494"/>
      <c r="F17" s="1494"/>
      <c r="G17" s="1495"/>
      <c r="H17" s="807"/>
      <c r="I17" s="808"/>
      <c r="J17" s="808"/>
      <c r="K17" s="809"/>
      <c r="L17" s="809"/>
      <c r="M17" s="809"/>
      <c r="N17" s="809"/>
      <c r="O17" s="809"/>
      <c r="P17" s="809"/>
    </row>
    <row r="18" spans="1:26" ht="19.5">
      <c r="A18" s="810"/>
      <c r="B18" s="811"/>
      <c r="C18" s="812" t="s">
        <v>16</v>
      </c>
      <c r="D18" s="813" t="s">
        <v>17</v>
      </c>
      <c r="E18" s="811"/>
      <c r="F18" s="811"/>
      <c r="G18" s="814"/>
      <c r="H18" s="19" t="s">
        <v>12</v>
      </c>
      <c r="I18" s="815"/>
      <c r="J18" s="815"/>
      <c r="K18" s="816"/>
      <c r="L18" s="817">
        <f t="shared" ref="L18:N18" ca="1" si="8">L19+L20</f>
        <v>4393145</v>
      </c>
      <c r="M18" s="817">
        <f t="shared" ca="1" si="8"/>
        <v>3888960.84</v>
      </c>
      <c r="N18" s="817">
        <f t="shared" ca="1" si="8"/>
        <v>2021501.7100000002</v>
      </c>
      <c r="O18" s="817">
        <f t="shared" ref="O18:O26" ca="1" si="9">IF(L18&gt;0,N18*100/L18,0)</f>
        <v>46.014909819730519</v>
      </c>
      <c r="P18" s="817">
        <f t="shared" ref="P18:P26" ca="1" si="10">IF(M18&gt;0,N18*100/M18,0)</f>
        <v>51.980510814297638</v>
      </c>
      <c r="Q18" s="818"/>
      <c r="R18" s="818"/>
      <c r="S18" s="818"/>
      <c r="T18" s="818"/>
      <c r="U18" s="818"/>
      <c r="V18" s="818"/>
      <c r="W18" s="818"/>
      <c r="X18" s="818"/>
      <c r="Y18" s="818"/>
      <c r="Z18" s="818"/>
    </row>
    <row r="19" spans="1:26" ht="18.75" hidden="1">
      <c r="A19" s="819"/>
      <c r="B19" s="820"/>
      <c r="C19" s="820"/>
      <c r="D19" s="820"/>
      <c r="E19" s="821" t="s">
        <v>18</v>
      </c>
      <c r="F19" s="820"/>
      <c r="G19" s="822"/>
      <c r="H19" s="28" t="s">
        <v>12</v>
      </c>
      <c r="I19" s="823"/>
      <c r="J19" s="823"/>
      <c r="K19" s="824"/>
      <c r="L19" s="824">
        <f t="shared" ref="L19:N20" si="11">L22+L25</f>
        <v>0</v>
      </c>
      <c r="M19" s="824">
        <f t="shared" si="11"/>
        <v>0</v>
      </c>
      <c r="N19" s="824">
        <f t="shared" si="11"/>
        <v>0</v>
      </c>
      <c r="O19" s="824">
        <f t="shared" si="9"/>
        <v>0</v>
      </c>
      <c r="P19" s="824">
        <f t="shared" si="10"/>
        <v>0</v>
      </c>
      <c r="Q19" s="825"/>
      <c r="R19" s="825"/>
      <c r="S19" s="825"/>
      <c r="T19" s="825"/>
      <c r="U19" s="825"/>
      <c r="V19" s="825"/>
      <c r="W19" s="825"/>
      <c r="X19" s="825"/>
      <c r="Y19" s="825"/>
      <c r="Z19" s="825"/>
    </row>
    <row r="20" spans="1:26" ht="18.75" hidden="1">
      <c r="A20" s="819"/>
      <c r="B20" s="820"/>
      <c r="C20" s="820"/>
      <c r="D20" s="820"/>
      <c r="E20" s="821" t="s">
        <v>19</v>
      </c>
      <c r="F20" s="820"/>
      <c r="G20" s="822"/>
      <c r="H20" s="28" t="s">
        <v>12</v>
      </c>
      <c r="I20" s="823"/>
      <c r="J20" s="823"/>
      <c r="K20" s="824"/>
      <c r="L20" s="824">
        <f t="shared" ca="1" si="11"/>
        <v>4393145</v>
      </c>
      <c r="M20" s="824">
        <f t="shared" ca="1" si="11"/>
        <v>3888960.84</v>
      </c>
      <c r="N20" s="824">
        <f t="shared" ca="1" si="11"/>
        <v>2021501.7100000002</v>
      </c>
      <c r="O20" s="824">
        <f t="shared" ca="1" si="9"/>
        <v>46.014909819730519</v>
      </c>
      <c r="P20" s="824">
        <f t="shared" ca="1" si="10"/>
        <v>51.980510814297638</v>
      </c>
      <c r="Q20" s="825"/>
      <c r="R20" s="825"/>
      <c r="S20" s="825"/>
      <c r="T20" s="825"/>
      <c r="U20" s="825"/>
      <c r="V20" s="825"/>
      <c r="W20" s="825"/>
      <c r="X20" s="825"/>
      <c r="Y20" s="825"/>
      <c r="Z20" s="825"/>
    </row>
    <row r="21" spans="1:26" ht="18.75">
      <c r="A21" s="826"/>
      <c r="B21" s="827"/>
      <c r="C21" s="827"/>
      <c r="D21" s="828" t="s">
        <v>20</v>
      </c>
      <c r="E21" s="827"/>
      <c r="F21" s="827"/>
      <c r="G21" s="829"/>
      <c r="H21" s="590" t="s">
        <v>12</v>
      </c>
      <c r="I21" s="830"/>
      <c r="J21" s="830"/>
      <c r="K21" s="831"/>
      <c r="L21" s="831">
        <f t="shared" ref="L21:N21" ca="1" si="12">L22+L23</f>
        <v>4050045</v>
      </c>
      <c r="M21" s="831">
        <f t="shared" ca="1" si="12"/>
        <v>3545910.84</v>
      </c>
      <c r="N21" s="831">
        <f t="shared" ca="1" si="12"/>
        <v>1678451.7100000002</v>
      </c>
      <c r="O21" s="831">
        <f t="shared" ca="1" si="9"/>
        <v>41.442791623302959</v>
      </c>
      <c r="P21" s="831">
        <f t="shared" ca="1" si="10"/>
        <v>47.334853743812701</v>
      </c>
      <c r="Q21" s="818"/>
      <c r="R21" s="818"/>
      <c r="S21" s="818"/>
      <c r="T21" s="818"/>
      <c r="U21" s="818"/>
      <c r="V21" s="818"/>
      <c r="W21" s="818"/>
      <c r="X21" s="818"/>
      <c r="Y21" s="818"/>
      <c r="Z21" s="818"/>
    </row>
    <row r="22" spans="1:26" ht="18.75" hidden="1">
      <c r="A22" s="832"/>
      <c r="B22" s="833"/>
      <c r="C22" s="833"/>
      <c r="D22" s="833"/>
      <c r="E22" s="834" t="s">
        <v>18</v>
      </c>
      <c r="F22" s="833"/>
      <c r="G22" s="835"/>
      <c r="H22" s="43" t="s">
        <v>12</v>
      </c>
      <c r="I22" s="836"/>
      <c r="J22" s="836"/>
      <c r="K22" s="837"/>
      <c r="L22" s="837">
        <f t="shared" ref="L22:N23" si="13">L45+L57+L70+L92+L123+L136+L153+L185+L169+L265+L281+L302+L319+L332+L349+L393+L406</f>
        <v>0</v>
      </c>
      <c r="M22" s="837">
        <f t="shared" si="13"/>
        <v>0</v>
      </c>
      <c r="N22" s="837">
        <f t="shared" si="13"/>
        <v>0</v>
      </c>
      <c r="O22" s="837">
        <f t="shared" si="9"/>
        <v>0</v>
      </c>
      <c r="P22" s="837">
        <f t="shared" si="10"/>
        <v>0</v>
      </c>
      <c r="Q22" s="825"/>
      <c r="R22" s="825"/>
      <c r="S22" s="825"/>
      <c r="T22" s="825"/>
      <c r="U22" s="825"/>
      <c r="V22" s="825"/>
      <c r="W22" s="825"/>
      <c r="X22" s="825"/>
      <c r="Y22" s="825"/>
      <c r="Z22" s="825"/>
    </row>
    <row r="23" spans="1:26" ht="18.75" hidden="1">
      <c r="A23" s="832"/>
      <c r="B23" s="833"/>
      <c r="C23" s="833"/>
      <c r="D23" s="833"/>
      <c r="E23" s="834" t="s">
        <v>19</v>
      </c>
      <c r="F23" s="833"/>
      <c r="G23" s="835"/>
      <c r="H23" s="43" t="s">
        <v>12</v>
      </c>
      <c r="I23" s="836"/>
      <c r="J23" s="836"/>
      <c r="K23" s="837"/>
      <c r="L23" s="837">
        <f t="shared" ca="1" si="13"/>
        <v>4050045</v>
      </c>
      <c r="M23" s="837">
        <f t="shared" ca="1" si="13"/>
        <v>3545910.84</v>
      </c>
      <c r="N23" s="837">
        <f t="shared" ca="1" si="13"/>
        <v>1678451.7100000002</v>
      </c>
      <c r="O23" s="837">
        <f t="shared" ca="1" si="9"/>
        <v>41.442791623302959</v>
      </c>
      <c r="P23" s="837">
        <f t="shared" ca="1" si="10"/>
        <v>47.334853743812701</v>
      </c>
      <c r="Q23" s="825"/>
      <c r="R23" s="825"/>
      <c r="S23" s="825"/>
      <c r="T23" s="825"/>
      <c r="U23" s="825"/>
      <c r="V23" s="825"/>
      <c r="W23" s="825"/>
      <c r="X23" s="825"/>
      <c r="Y23" s="825"/>
      <c r="Z23" s="825"/>
    </row>
    <row r="24" spans="1:26" ht="18.75">
      <c r="A24" s="826"/>
      <c r="B24" s="827"/>
      <c r="C24" s="827"/>
      <c r="D24" s="828" t="s">
        <v>21</v>
      </c>
      <c r="E24" s="827"/>
      <c r="F24" s="827"/>
      <c r="G24" s="829"/>
      <c r="H24" s="590" t="s">
        <v>12</v>
      </c>
      <c r="I24" s="830"/>
      <c r="J24" s="830"/>
      <c r="K24" s="831"/>
      <c r="L24" s="831">
        <f t="shared" ref="L24:N24" ca="1" si="14">L25+L26</f>
        <v>343100</v>
      </c>
      <c r="M24" s="831">
        <f t="shared" ca="1" si="14"/>
        <v>343050</v>
      </c>
      <c r="N24" s="831">
        <f t="shared" ca="1" si="14"/>
        <v>343050</v>
      </c>
      <c r="O24" s="831">
        <f t="shared" ca="1" si="9"/>
        <v>99.985426989215966</v>
      </c>
      <c r="P24" s="831">
        <f t="shared" ca="1" si="10"/>
        <v>100</v>
      </c>
      <c r="Q24" s="818"/>
      <c r="R24" s="818"/>
      <c r="S24" s="818"/>
      <c r="T24" s="818"/>
      <c r="U24" s="818"/>
      <c r="V24" s="818"/>
      <c r="W24" s="818"/>
      <c r="X24" s="818"/>
      <c r="Y24" s="818"/>
      <c r="Z24" s="818"/>
    </row>
    <row r="25" spans="1:26" ht="18.75" hidden="1">
      <c r="A25" s="832"/>
      <c r="B25" s="833"/>
      <c r="C25" s="833"/>
      <c r="D25" s="833"/>
      <c r="E25" s="834" t="s">
        <v>18</v>
      </c>
      <c r="F25" s="833"/>
      <c r="G25" s="835"/>
      <c r="H25" s="43" t="s">
        <v>12</v>
      </c>
      <c r="I25" s="836"/>
      <c r="J25" s="836"/>
      <c r="K25" s="837"/>
      <c r="L25" s="837">
        <f t="shared" ref="L25:N26" si="15">L48+L60+L73+L95+L126+L139+L156+L188+L172+L268+L284+L305+L322+L335+L352+L396+L409</f>
        <v>0</v>
      </c>
      <c r="M25" s="837">
        <f t="shared" si="15"/>
        <v>0</v>
      </c>
      <c r="N25" s="837">
        <f t="shared" si="15"/>
        <v>0</v>
      </c>
      <c r="O25" s="837">
        <f t="shared" si="9"/>
        <v>0</v>
      </c>
      <c r="P25" s="837">
        <f t="shared" si="10"/>
        <v>0</v>
      </c>
      <c r="Q25" s="825"/>
      <c r="R25" s="825"/>
      <c r="S25" s="825"/>
      <c r="T25" s="825"/>
      <c r="U25" s="825"/>
      <c r="V25" s="825"/>
      <c r="W25" s="825"/>
      <c r="X25" s="825"/>
      <c r="Y25" s="825"/>
      <c r="Z25" s="825"/>
    </row>
    <row r="26" spans="1:26" ht="18.75" hidden="1">
      <c r="A26" s="838"/>
      <c r="B26" s="839"/>
      <c r="C26" s="839"/>
      <c r="D26" s="839"/>
      <c r="E26" s="840" t="s">
        <v>19</v>
      </c>
      <c r="F26" s="839"/>
      <c r="G26" s="841"/>
      <c r="H26" s="50" t="s">
        <v>12</v>
      </c>
      <c r="I26" s="842"/>
      <c r="J26" s="842"/>
      <c r="K26" s="843"/>
      <c r="L26" s="843">
        <f t="shared" ca="1" si="15"/>
        <v>343100</v>
      </c>
      <c r="M26" s="843">
        <f t="shared" ca="1" si="15"/>
        <v>343050</v>
      </c>
      <c r="N26" s="843">
        <f t="shared" ca="1" si="15"/>
        <v>343050</v>
      </c>
      <c r="O26" s="843">
        <f t="shared" ca="1" si="9"/>
        <v>99.985426989215966</v>
      </c>
      <c r="P26" s="843">
        <f t="shared" ca="1" si="10"/>
        <v>100</v>
      </c>
      <c r="Q26" s="825"/>
      <c r="R26" s="825"/>
      <c r="S26" s="825"/>
      <c r="T26" s="825"/>
      <c r="U26" s="825"/>
      <c r="V26" s="825"/>
      <c r="W26" s="825"/>
      <c r="X26" s="825"/>
      <c r="Y26" s="825"/>
      <c r="Z26" s="825"/>
    </row>
    <row r="27" spans="1:26" ht="19.5">
      <c r="A27" s="1512" t="s">
        <v>23</v>
      </c>
      <c r="B27" s="1494"/>
      <c r="C27" s="1494"/>
      <c r="D27" s="1494"/>
      <c r="E27" s="1494"/>
      <c r="F27" s="1494"/>
      <c r="G27" s="1495"/>
      <c r="H27" s="807"/>
      <c r="I27" s="808"/>
      <c r="J27" s="808"/>
      <c r="K27" s="809"/>
      <c r="L27" s="809"/>
      <c r="M27" s="809"/>
      <c r="N27" s="809"/>
      <c r="O27" s="809"/>
      <c r="P27" s="809"/>
    </row>
    <row r="28" spans="1:26" ht="19.5">
      <c r="A28" s="810"/>
      <c r="B28" s="811"/>
      <c r="C28" s="812" t="s">
        <v>16</v>
      </c>
      <c r="D28" s="813" t="s">
        <v>17</v>
      </c>
      <c r="E28" s="811"/>
      <c r="F28" s="811"/>
      <c r="G28" s="814"/>
      <c r="H28" s="19" t="s">
        <v>12</v>
      </c>
      <c r="I28" s="815"/>
      <c r="J28" s="815"/>
      <c r="K28" s="816"/>
      <c r="L28" s="817">
        <f t="shared" ref="L28:N28" ca="1" si="16">L29+L30</f>
        <v>2120493</v>
      </c>
      <c r="M28" s="817">
        <f t="shared" si="16"/>
        <v>0</v>
      </c>
      <c r="N28" s="817">
        <f t="shared" si="16"/>
        <v>371314.18</v>
      </c>
      <c r="O28" s="817">
        <f t="shared" ref="O28:O37" ca="1" si="17">IF(L28&gt;0,N28*100/L28,0)</f>
        <v>17.510747736493354</v>
      </c>
      <c r="P28" s="817">
        <f t="shared" ref="P28:P37" si="18">IF(M28&gt;0,N28*100/M28,0)</f>
        <v>0</v>
      </c>
      <c r="Q28" s="818"/>
      <c r="R28" s="818"/>
      <c r="S28" s="818"/>
      <c r="T28" s="818"/>
      <c r="U28" s="818"/>
      <c r="V28" s="818"/>
      <c r="W28" s="818"/>
      <c r="X28" s="818"/>
      <c r="Y28" s="818"/>
      <c r="Z28" s="818"/>
    </row>
    <row r="29" spans="1:26" ht="18.75" hidden="1">
      <c r="A29" s="819"/>
      <c r="B29" s="820"/>
      <c r="C29" s="820"/>
      <c r="D29" s="820"/>
      <c r="E29" s="821" t="s">
        <v>18</v>
      </c>
      <c r="F29" s="820"/>
      <c r="G29" s="822"/>
      <c r="H29" s="28" t="s">
        <v>12</v>
      </c>
      <c r="I29" s="823"/>
      <c r="J29" s="823"/>
      <c r="K29" s="824"/>
      <c r="L29" s="824">
        <f t="shared" ref="L29:N30" si="19">L32+L35</f>
        <v>0</v>
      </c>
      <c r="M29" s="824">
        <f t="shared" si="19"/>
        <v>0</v>
      </c>
      <c r="N29" s="824">
        <f t="shared" si="19"/>
        <v>0</v>
      </c>
      <c r="O29" s="824">
        <f t="shared" si="17"/>
        <v>0</v>
      </c>
      <c r="P29" s="824">
        <f t="shared" si="18"/>
        <v>0</v>
      </c>
      <c r="Q29" s="825"/>
      <c r="R29" s="825"/>
      <c r="S29" s="825"/>
      <c r="T29" s="825"/>
      <c r="U29" s="825"/>
      <c r="V29" s="825"/>
      <c r="W29" s="825"/>
      <c r="X29" s="825"/>
      <c r="Y29" s="825"/>
      <c r="Z29" s="825"/>
    </row>
    <row r="30" spans="1:26" ht="18.75" hidden="1">
      <c r="A30" s="819"/>
      <c r="B30" s="820"/>
      <c r="C30" s="820"/>
      <c r="D30" s="820"/>
      <c r="E30" s="821" t="s">
        <v>19</v>
      </c>
      <c r="F30" s="820"/>
      <c r="G30" s="822"/>
      <c r="H30" s="28" t="s">
        <v>12</v>
      </c>
      <c r="I30" s="823"/>
      <c r="J30" s="823"/>
      <c r="K30" s="824"/>
      <c r="L30" s="824">
        <f t="shared" ca="1" si="19"/>
        <v>2120493</v>
      </c>
      <c r="M30" s="824">
        <f t="shared" si="19"/>
        <v>0</v>
      </c>
      <c r="N30" s="824">
        <f t="shared" si="19"/>
        <v>371314.18</v>
      </c>
      <c r="O30" s="824">
        <f t="shared" ca="1" si="17"/>
        <v>17.510747736493354</v>
      </c>
      <c r="P30" s="824">
        <f t="shared" si="18"/>
        <v>0</v>
      </c>
      <c r="Q30" s="825"/>
      <c r="R30" s="825"/>
      <c r="S30" s="825"/>
      <c r="T30" s="825"/>
      <c r="U30" s="825"/>
      <c r="V30" s="825"/>
      <c r="W30" s="825"/>
      <c r="X30" s="825"/>
      <c r="Y30" s="825"/>
      <c r="Z30" s="825"/>
    </row>
    <row r="31" spans="1:26" ht="18.75">
      <c r="A31" s="826"/>
      <c r="B31" s="827"/>
      <c r="C31" s="827"/>
      <c r="D31" s="828" t="s">
        <v>20</v>
      </c>
      <c r="E31" s="827"/>
      <c r="F31" s="827"/>
      <c r="G31" s="829"/>
      <c r="H31" s="590" t="s">
        <v>12</v>
      </c>
      <c r="I31" s="830"/>
      <c r="J31" s="830"/>
      <c r="K31" s="831"/>
      <c r="L31" s="831">
        <f t="shared" ref="L31:N31" ca="1" si="20">L32+L33</f>
        <v>2120493</v>
      </c>
      <c r="M31" s="831">
        <f t="shared" si="20"/>
        <v>0</v>
      </c>
      <c r="N31" s="831">
        <f t="shared" si="20"/>
        <v>371314.18</v>
      </c>
      <c r="O31" s="831">
        <f t="shared" ca="1" si="17"/>
        <v>17.510747736493354</v>
      </c>
      <c r="P31" s="831">
        <f t="shared" si="18"/>
        <v>0</v>
      </c>
      <c r="Q31" s="818"/>
      <c r="R31" s="818"/>
      <c r="S31" s="818"/>
      <c r="T31" s="818"/>
      <c r="U31" s="818"/>
      <c r="V31" s="818"/>
      <c r="W31" s="818"/>
      <c r="X31" s="818"/>
      <c r="Y31" s="818"/>
      <c r="Z31" s="818"/>
    </row>
    <row r="32" spans="1:26" ht="18.75" hidden="1">
      <c r="A32" s="832"/>
      <c r="B32" s="833"/>
      <c r="C32" s="833"/>
      <c r="D32" s="833"/>
      <c r="E32" s="834" t="s">
        <v>18</v>
      </c>
      <c r="F32" s="833"/>
      <c r="G32" s="835"/>
      <c r="H32" s="43" t="s">
        <v>12</v>
      </c>
      <c r="I32" s="836"/>
      <c r="J32" s="836"/>
      <c r="K32" s="837"/>
      <c r="L32" s="837">
        <f t="shared" ref="L32:N33" si="21">L423+L448+L471+L506+L527+L548+L633+L659+L689+L741+L758+L774+L790+L809</f>
        <v>0</v>
      </c>
      <c r="M32" s="837">
        <f t="shared" si="21"/>
        <v>0</v>
      </c>
      <c r="N32" s="837">
        <f t="shared" si="21"/>
        <v>0</v>
      </c>
      <c r="O32" s="837">
        <f t="shared" si="17"/>
        <v>0</v>
      </c>
      <c r="P32" s="837">
        <f t="shared" si="18"/>
        <v>0</v>
      </c>
      <c r="Q32" s="825"/>
      <c r="R32" s="825"/>
      <c r="S32" s="825"/>
      <c r="T32" s="825"/>
      <c r="U32" s="825"/>
      <c r="V32" s="825"/>
      <c r="W32" s="825"/>
      <c r="X32" s="825"/>
      <c r="Y32" s="825"/>
      <c r="Z32" s="825"/>
    </row>
    <row r="33" spans="1:26" ht="18.75" hidden="1">
      <c r="A33" s="832"/>
      <c r="B33" s="833"/>
      <c r="C33" s="833"/>
      <c r="D33" s="833"/>
      <c r="E33" s="834" t="s">
        <v>19</v>
      </c>
      <c r="F33" s="833"/>
      <c r="G33" s="835"/>
      <c r="H33" s="43" t="s">
        <v>12</v>
      </c>
      <c r="I33" s="836"/>
      <c r="J33" s="836"/>
      <c r="K33" s="837"/>
      <c r="L33" s="837">
        <f t="shared" ca="1" si="21"/>
        <v>2120493</v>
      </c>
      <c r="M33" s="837">
        <f t="shared" si="21"/>
        <v>0</v>
      </c>
      <c r="N33" s="837">
        <f t="shared" si="21"/>
        <v>371314.18</v>
      </c>
      <c r="O33" s="837">
        <f t="shared" ca="1" si="17"/>
        <v>17.510747736493354</v>
      </c>
      <c r="P33" s="837">
        <f t="shared" si="18"/>
        <v>0</v>
      </c>
      <c r="Q33" s="825"/>
      <c r="R33" s="825"/>
      <c r="S33" s="825"/>
      <c r="T33" s="825"/>
      <c r="U33" s="825"/>
      <c r="V33" s="825"/>
      <c r="W33" s="825"/>
      <c r="X33" s="825"/>
      <c r="Y33" s="825"/>
      <c r="Z33" s="825"/>
    </row>
    <row r="34" spans="1:26" ht="18.75">
      <c r="A34" s="826"/>
      <c r="B34" s="827"/>
      <c r="C34" s="827"/>
      <c r="D34" s="828" t="s">
        <v>21</v>
      </c>
      <c r="E34" s="827"/>
      <c r="F34" s="827"/>
      <c r="G34" s="829"/>
      <c r="H34" s="590" t="s">
        <v>12</v>
      </c>
      <c r="I34" s="830"/>
      <c r="J34" s="830"/>
      <c r="K34" s="831"/>
      <c r="L34" s="831">
        <f t="shared" ref="L34:N34" ca="1" si="22">L35+L36</f>
        <v>0</v>
      </c>
      <c r="M34" s="831">
        <f t="shared" si="22"/>
        <v>0</v>
      </c>
      <c r="N34" s="831">
        <f t="shared" si="22"/>
        <v>0</v>
      </c>
      <c r="O34" s="831">
        <f t="shared" ca="1" si="17"/>
        <v>0</v>
      </c>
      <c r="P34" s="831">
        <f t="shared" si="18"/>
        <v>0</v>
      </c>
      <c r="Q34" s="818"/>
      <c r="R34" s="818"/>
      <c r="S34" s="818"/>
      <c r="T34" s="818"/>
      <c r="U34" s="818"/>
      <c r="V34" s="818"/>
      <c r="W34" s="818"/>
      <c r="X34" s="818"/>
      <c r="Y34" s="818"/>
      <c r="Z34" s="818"/>
    </row>
    <row r="35" spans="1:26" ht="18.75" hidden="1">
      <c r="A35" s="832"/>
      <c r="B35" s="833"/>
      <c r="C35" s="833"/>
      <c r="D35" s="833"/>
      <c r="E35" s="834" t="s">
        <v>18</v>
      </c>
      <c r="F35" s="833"/>
      <c r="G35" s="835"/>
      <c r="H35" s="43" t="s">
        <v>12</v>
      </c>
      <c r="I35" s="836"/>
      <c r="J35" s="836"/>
      <c r="K35" s="837"/>
      <c r="L35" s="837">
        <f t="shared" ref="L35:N36" si="23">L430+L455+L478+L513+L534+L556+L640+L666+L696+L748+L765+L781+L797+L816</f>
        <v>0</v>
      </c>
      <c r="M35" s="837">
        <f t="shared" si="23"/>
        <v>0</v>
      </c>
      <c r="N35" s="837">
        <f t="shared" si="23"/>
        <v>0</v>
      </c>
      <c r="O35" s="837">
        <f t="shared" si="17"/>
        <v>0</v>
      </c>
      <c r="P35" s="837">
        <f t="shared" si="18"/>
        <v>0</v>
      </c>
      <c r="Q35" s="825"/>
      <c r="R35" s="825"/>
      <c r="S35" s="825"/>
      <c r="T35" s="825"/>
      <c r="U35" s="825"/>
      <c r="V35" s="825"/>
      <c r="W35" s="825"/>
      <c r="X35" s="825"/>
      <c r="Y35" s="825"/>
      <c r="Z35" s="825"/>
    </row>
    <row r="36" spans="1:26" ht="18.75" hidden="1">
      <c r="A36" s="838"/>
      <c r="B36" s="839"/>
      <c r="C36" s="839"/>
      <c r="D36" s="839"/>
      <c r="E36" s="840" t="s">
        <v>19</v>
      </c>
      <c r="F36" s="839"/>
      <c r="G36" s="841"/>
      <c r="H36" s="50" t="s">
        <v>12</v>
      </c>
      <c r="I36" s="842"/>
      <c r="J36" s="842"/>
      <c r="K36" s="843"/>
      <c r="L36" s="843">
        <f t="shared" ca="1" si="23"/>
        <v>0</v>
      </c>
      <c r="M36" s="843">
        <f t="shared" si="23"/>
        <v>0</v>
      </c>
      <c r="N36" s="843">
        <f t="shared" si="23"/>
        <v>0</v>
      </c>
      <c r="O36" s="843">
        <f t="shared" ca="1" si="17"/>
        <v>0</v>
      </c>
      <c r="P36" s="843">
        <f t="shared" si="18"/>
        <v>0</v>
      </c>
      <c r="Q36" s="825"/>
      <c r="R36" s="825"/>
      <c r="S36" s="825"/>
      <c r="T36" s="825"/>
      <c r="U36" s="825"/>
      <c r="V36" s="825"/>
      <c r="W36" s="825"/>
      <c r="X36" s="825"/>
      <c r="Y36" s="825"/>
      <c r="Z36" s="825"/>
    </row>
    <row r="37" spans="1:26" ht="19.5">
      <c r="A37" s="844" t="s">
        <v>24</v>
      </c>
      <c r="B37" s="845"/>
      <c r="C37" s="845"/>
      <c r="D37" s="845"/>
      <c r="E37" s="845"/>
      <c r="F37" s="845"/>
      <c r="G37" s="846"/>
      <c r="H37" s="847"/>
      <c r="I37" s="848"/>
      <c r="J37" s="848"/>
      <c r="K37" s="849"/>
      <c r="L37" s="850">
        <f t="shared" ref="L37:N37" ca="1" si="24">L41+L53+L66+L88+L119+L132+L149+L165+L181+L261+L277+L298+L315+L328+L345+L389+L402</f>
        <v>4393145</v>
      </c>
      <c r="M37" s="850">
        <f t="shared" ca="1" si="24"/>
        <v>3888960.84</v>
      </c>
      <c r="N37" s="850">
        <f t="shared" ca="1" si="24"/>
        <v>2021501.7100000002</v>
      </c>
      <c r="O37" s="850">
        <f t="shared" ca="1" si="17"/>
        <v>46.014909819730519</v>
      </c>
      <c r="P37" s="850">
        <f t="shared" ca="1" si="18"/>
        <v>51.980510814297638</v>
      </c>
    </row>
    <row r="38" spans="1:26" ht="19.5">
      <c r="A38" s="851" t="s">
        <v>25</v>
      </c>
      <c r="B38" s="852"/>
      <c r="C38" s="852"/>
      <c r="D38" s="852"/>
      <c r="E38" s="852"/>
      <c r="F38" s="852"/>
      <c r="G38" s="853"/>
      <c r="H38" s="854"/>
      <c r="I38" s="855"/>
      <c r="J38" s="855"/>
      <c r="K38" s="856"/>
      <c r="L38" s="856"/>
      <c r="M38" s="856"/>
      <c r="N38" s="856"/>
      <c r="O38" s="856"/>
      <c r="P38" s="856"/>
    </row>
    <row r="39" spans="1:26" ht="19.5">
      <c r="A39" s="857"/>
      <c r="B39" s="858" t="s">
        <v>26</v>
      </c>
      <c r="C39" s="859"/>
      <c r="D39" s="859"/>
      <c r="E39" s="859"/>
      <c r="F39" s="859"/>
      <c r="G39" s="860"/>
      <c r="H39" s="861"/>
      <c r="I39" s="862"/>
      <c r="J39" s="862"/>
      <c r="K39" s="863"/>
      <c r="L39" s="863"/>
      <c r="M39" s="863"/>
      <c r="N39" s="863"/>
      <c r="O39" s="863"/>
      <c r="P39" s="863"/>
    </row>
    <row r="40" spans="1:26" ht="19.5">
      <c r="A40" s="864"/>
      <c r="B40" s="1513" t="s">
        <v>27</v>
      </c>
      <c r="C40" s="1485"/>
      <c r="D40" s="1485"/>
      <c r="E40" s="1485"/>
      <c r="F40" s="1485"/>
      <c r="G40" s="1491"/>
      <c r="H40" s="865"/>
      <c r="I40" s="866"/>
      <c r="J40" s="866"/>
      <c r="K40" s="867"/>
      <c r="L40" s="867"/>
      <c r="M40" s="867"/>
      <c r="N40" s="867"/>
      <c r="O40" s="867"/>
      <c r="P40" s="867"/>
    </row>
    <row r="41" spans="1:26" ht="19.5">
      <c r="A41" s="868"/>
      <c r="B41" s="869"/>
      <c r="C41" s="870" t="s">
        <v>16</v>
      </c>
      <c r="D41" s="871" t="s">
        <v>17</v>
      </c>
      <c r="E41" s="869"/>
      <c r="F41" s="869"/>
      <c r="G41" s="872"/>
      <c r="H41" s="82" t="s">
        <v>12</v>
      </c>
      <c r="I41" s="873"/>
      <c r="J41" s="873"/>
      <c r="K41" s="874"/>
      <c r="L41" s="875">
        <f t="shared" ref="L41:N41" ca="1" si="25">L42+L43</f>
        <v>548300</v>
      </c>
      <c r="M41" s="875">
        <f t="shared" ca="1" si="25"/>
        <v>559085.84</v>
      </c>
      <c r="N41" s="875">
        <f t="shared" ca="1" si="25"/>
        <v>261524.71</v>
      </c>
      <c r="O41" s="875">
        <f t="shared" ref="O41:O49" ca="1" si="26">IF(L41&gt;0,N41*100/L41,0)</f>
        <v>47.697375524347983</v>
      </c>
      <c r="P41" s="875">
        <f t="shared" ref="P41:P49" ca="1" si="27">IF(M41&gt;0,N41*100/M41,0)</f>
        <v>46.777201511667691</v>
      </c>
      <c r="Q41" s="818"/>
      <c r="R41" s="818"/>
      <c r="S41" s="818"/>
      <c r="T41" s="818"/>
      <c r="U41" s="818"/>
      <c r="V41" s="818"/>
      <c r="W41" s="818"/>
      <c r="X41" s="818"/>
      <c r="Y41" s="818"/>
      <c r="Z41" s="818"/>
    </row>
    <row r="42" spans="1:26" ht="18.75" hidden="1">
      <c r="A42" s="876"/>
      <c r="B42" s="877"/>
      <c r="C42" s="877"/>
      <c r="D42" s="877"/>
      <c r="E42" s="878" t="s">
        <v>18</v>
      </c>
      <c r="F42" s="877"/>
      <c r="G42" s="879"/>
      <c r="H42" s="90" t="s">
        <v>12</v>
      </c>
      <c r="I42" s="880"/>
      <c r="J42" s="880"/>
      <c r="K42" s="881"/>
      <c r="L42" s="881">
        <f t="shared" ref="L42:N43" si="28">L45+L48</f>
        <v>0</v>
      </c>
      <c r="M42" s="881">
        <f t="shared" si="28"/>
        <v>0</v>
      </c>
      <c r="N42" s="881">
        <f t="shared" si="28"/>
        <v>0</v>
      </c>
      <c r="O42" s="881">
        <f t="shared" si="26"/>
        <v>0</v>
      </c>
      <c r="P42" s="881">
        <f t="shared" si="27"/>
        <v>0</v>
      </c>
      <c r="Q42" s="825"/>
      <c r="R42" s="825"/>
      <c r="S42" s="825"/>
      <c r="T42" s="825"/>
      <c r="U42" s="825"/>
      <c r="V42" s="825"/>
      <c r="W42" s="825"/>
      <c r="X42" s="825"/>
      <c r="Y42" s="825"/>
      <c r="Z42" s="825"/>
    </row>
    <row r="43" spans="1:26" ht="18.75" hidden="1">
      <c r="A43" s="876"/>
      <c r="B43" s="877"/>
      <c r="C43" s="877"/>
      <c r="D43" s="877"/>
      <c r="E43" s="878" t="s">
        <v>19</v>
      </c>
      <c r="F43" s="877"/>
      <c r="G43" s="879"/>
      <c r="H43" s="90" t="s">
        <v>12</v>
      </c>
      <c r="I43" s="880"/>
      <c r="J43" s="880"/>
      <c r="K43" s="881"/>
      <c r="L43" s="881">
        <f t="shared" ca="1" si="28"/>
        <v>548300</v>
      </c>
      <c r="M43" s="881">
        <f t="shared" ca="1" si="28"/>
        <v>559085.84</v>
      </c>
      <c r="N43" s="881">
        <f t="shared" ca="1" si="28"/>
        <v>261524.71</v>
      </c>
      <c r="O43" s="881">
        <f t="shared" ca="1" si="26"/>
        <v>47.697375524347983</v>
      </c>
      <c r="P43" s="881">
        <f t="shared" ca="1" si="27"/>
        <v>46.777201511667691</v>
      </c>
      <c r="Q43" s="825"/>
      <c r="R43" s="825"/>
      <c r="S43" s="825"/>
      <c r="T43" s="825"/>
      <c r="U43" s="825"/>
      <c r="V43" s="825"/>
      <c r="W43" s="825"/>
      <c r="X43" s="825"/>
      <c r="Y43" s="825"/>
      <c r="Z43" s="825"/>
    </row>
    <row r="44" spans="1:26" ht="18.75">
      <c r="A44" s="826"/>
      <c r="B44" s="827"/>
      <c r="C44" s="827"/>
      <c r="D44" s="828" t="s">
        <v>20</v>
      </c>
      <c r="E44" s="827"/>
      <c r="F44" s="827"/>
      <c r="G44" s="829"/>
      <c r="H44" s="590" t="s">
        <v>12</v>
      </c>
      <c r="I44" s="830"/>
      <c r="J44" s="830"/>
      <c r="K44" s="831"/>
      <c r="L44" s="831">
        <f t="shared" ref="L44:N44" ca="1" si="29">L45+L46</f>
        <v>548300</v>
      </c>
      <c r="M44" s="831">
        <f t="shared" ca="1" si="29"/>
        <v>559085.84</v>
      </c>
      <c r="N44" s="831">
        <f t="shared" ca="1" si="29"/>
        <v>261524.71</v>
      </c>
      <c r="O44" s="831">
        <f t="shared" ca="1" si="26"/>
        <v>47.697375524347983</v>
      </c>
      <c r="P44" s="831">
        <f t="shared" ca="1" si="27"/>
        <v>46.777201511667691</v>
      </c>
      <c r="Q44" s="818"/>
      <c r="R44" s="818"/>
      <c r="S44" s="818"/>
      <c r="T44" s="818"/>
      <c r="U44" s="818"/>
      <c r="V44" s="818"/>
      <c r="W44" s="818"/>
      <c r="X44" s="818"/>
      <c r="Y44" s="818"/>
      <c r="Z44" s="818"/>
    </row>
    <row r="45" spans="1:26" ht="18.75" hidden="1">
      <c r="A45" s="832"/>
      <c r="B45" s="833"/>
      <c r="C45" s="833"/>
      <c r="D45" s="833"/>
      <c r="E45" s="834" t="s">
        <v>18</v>
      </c>
      <c r="F45" s="833"/>
      <c r="G45" s="835"/>
      <c r="H45" s="43" t="s">
        <v>12</v>
      </c>
      <c r="I45" s="836"/>
      <c r="J45" s="836"/>
      <c r="K45" s="837"/>
      <c r="L45" s="837">
        <v>0</v>
      </c>
      <c r="M45" s="837">
        <v>0</v>
      </c>
      <c r="N45" s="837">
        <v>0</v>
      </c>
      <c r="O45" s="837">
        <f t="shared" si="26"/>
        <v>0</v>
      </c>
      <c r="P45" s="837">
        <f t="shared" si="27"/>
        <v>0</v>
      </c>
      <c r="Q45" s="825"/>
      <c r="R45" s="825"/>
      <c r="S45" s="825"/>
      <c r="T45" s="825"/>
      <c r="U45" s="825"/>
      <c r="V45" s="825"/>
      <c r="W45" s="825"/>
      <c r="X45" s="825"/>
      <c r="Y45" s="825"/>
      <c r="Z45" s="825"/>
    </row>
    <row r="46" spans="1:26" ht="18.75" hidden="1">
      <c r="A46" s="832"/>
      <c r="B46" s="833"/>
      <c r="C46" s="833"/>
      <c r="D46" s="833"/>
      <c r="E46" s="834" t="s">
        <v>19</v>
      </c>
      <c r="F46" s="833"/>
      <c r="G46" s="835"/>
      <c r="H46" s="43" t="s">
        <v>12</v>
      </c>
      <c r="I46" s="836"/>
      <c r="J46" s="836"/>
      <c r="K46" s="837"/>
      <c r="L46" s="837">
        <f ca="1">IFERROR(__xludf.DUMMYFUNCTION("IMPORTRANGE(""https://docs.google.com/spreadsheets/d/1MeEWN-I1oV_STSDYn1IFDPWt_1FKiwhDph83XaGc0o0/edit?usp=sharing"",""งบพรบ!M28"")"),548300)</f>
        <v>548300</v>
      </c>
      <c r="M46" s="837">
        <f ca="1">IFERROR(__xludf.DUMMYFUNCTION("IMPORTRANGE(""https://docs.google.com/spreadsheets/d/1MeEWN-I1oV_STSDYn1IFDPWt_1FKiwhDph83XaGc0o0/edit?usp=sharing"",""งบพรบ!R28"")"),559085.84)</f>
        <v>559085.84</v>
      </c>
      <c r="N46" s="837">
        <f ca="1">IFERROR(__xludf.DUMMYFUNCTION("IMPORTRANGE(""https://docs.google.com/spreadsheets/d/1MeEWN-I1oV_STSDYn1IFDPWt_1FKiwhDph83XaGc0o0/edit?usp=sharing"",""งบพรบ!T28"")"),261524.71)</f>
        <v>261524.71</v>
      </c>
      <c r="O46" s="837">
        <f t="shared" ca="1" si="26"/>
        <v>47.697375524347983</v>
      </c>
      <c r="P46" s="837">
        <f t="shared" ca="1" si="27"/>
        <v>46.777201511667691</v>
      </c>
      <c r="Q46" s="825"/>
      <c r="R46" s="825"/>
      <c r="S46" s="825"/>
      <c r="T46" s="825"/>
      <c r="U46" s="825"/>
      <c r="V46" s="825"/>
      <c r="W46" s="825"/>
      <c r="X46" s="825"/>
      <c r="Y46" s="825"/>
      <c r="Z46" s="825"/>
    </row>
    <row r="47" spans="1:26" ht="18.75">
      <c r="A47" s="826"/>
      <c r="B47" s="827"/>
      <c r="C47" s="827"/>
      <c r="D47" s="828" t="s">
        <v>21</v>
      </c>
      <c r="E47" s="827"/>
      <c r="F47" s="827"/>
      <c r="G47" s="829"/>
      <c r="H47" s="590" t="s">
        <v>12</v>
      </c>
      <c r="I47" s="830"/>
      <c r="J47" s="830"/>
      <c r="K47" s="831"/>
      <c r="L47" s="831">
        <f t="shared" ref="L47:N47" ca="1" si="30">L48+L49</f>
        <v>0</v>
      </c>
      <c r="M47" s="831">
        <f t="shared" ca="1" si="30"/>
        <v>0</v>
      </c>
      <c r="N47" s="831">
        <f t="shared" ca="1" si="30"/>
        <v>0</v>
      </c>
      <c r="O47" s="831">
        <f t="shared" ca="1" si="26"/>
        <v>0</v>
      </c>
      <c r="P47" s="831">
        <f t="shared" ca="1" si="27"/>
        <v>0</v>
      </c>
      <c r="Q47" s="818"/>
      <c r="R47" s="818"/>
      <c r="S47" s="818"/>
      <c r="T47" s="818"/>
      <c r="U47" s="818"/>
      <c r="V47" s="818"/>
      <c r="W47" s="818"/>
      <c r="X47" s="818"/>
      <c r="Y47" s="818"/>
      <c r="Z47" s="818"/>
    </row>
    <row r="48" spans="1:26" ht="18.75" hidden="1">
      <c r="A48" s="832"/>
      <c r="B48" s="833"/>
      <c r="C48" s="833"/>
      <c r="D48" s="833"/>
      <c r="E48" s="834" t="s">
        <v>18</v>
      </c>
      <c r="F48" s="833"/>
      <c r="G48" s="835"/>
      <c r="H48" s="43" t="s">
        <v>12</v>
      </c>
      <c r="I48" s="836"/>
      <c r="J48" s="836"/>
      <c r="K48" s="837"/>
      <c r="L48" s="837">
        <v>0</v>
      </c>
      <c r="M48" s="837">
        <v>0</v>
      </c>
      <c r="N48" s="837">
        <v>0</v>
      </c>
      <c r="O48" s="837">
        <f t="shared" si="26"/>
        <v>0</v>
      </c>
      <c r="P48" s="837">
        <f t="shared" si="27"/>
        <v>0</v>
      </c>
      <c r="Q48" s="825"/>
      <c r="R48" s="825"/>
      <c r="S48" s="825"/>
      <c r="T48" s="825"/>
      <c r="U48" s="825"/>
      <c r="V48" s="825"/>
      <c r="W48" s="825"/>
      <c r="X48" s="825"/>
      <c r="Y48" s="825"/>
      <c r="Z48" s="825"/>
    </row>
    <row r="49" spans="1:26" ht="18.75" hidden="1">
      <c r="A49" s="838"/>
      <c r="B49" s="839"/>
      <c r="C49" s="839"/>
      <c r="D49" s="839"/>
      <c r="E49" s="840" t="s">
        <v>19</v>
      </c>
      <c r="F49" s="839"/>
      <c r="G49" s="841"/>
      <c r="H49" s="50" t="s">
        <v>12</v>
      </c>
      <c r="I49" s="842"/>
      <c r="J49" s="842"/>
      <c r="K49" s="843"/>
      <c r="L49" s="843">
        <f ca="1">IFERROR(__xludf.DUMMYFUNCTION("IMPORTRANGE(""https://docs.google.com/spreadsheets/d/1MeEWN-I1oV_STSDYn1IFDPWt_1FKiwhDph83XaGc0o0/edit?usp=sharing"",""งบพรบ!P28"")"),0)</f>
        <v>0</v>
      </c>
      <c r="M49" s="843">
        <f ca="1">IFERROR(__xludf.DUMMYFUNCTION("IMPORTRANGE(""https://docs.google.com/spreadsheets/d/1MeEWN-I1oV_STSDYn1IFDPWt_1FKiwhDph83XaGc0o0/edit?usp=sharing"",""งบพรบ!S28"")"),0)</f>
        <v>0</v>
      </c>
      <c r="N49" s="843">
        <f ca="1">IFERROR(__xludf.DUMMYFUNCTION("IMPORTRANGE(""https://docs.google.com/spreadsheets/d/1MeEWN-I1oV_STSDYn1IFDPWt_1FKiwhDph83XaGc0o0/edit?usp=sharing"",""งบพรบ!U28"")"),0)</f>
        <v>0</v>
      </c>
      <c r="O49" s="843">
        <f t="shared" ca="1" si="26"/>
        <v>0</v>
      </c>
      <c r="P49" s="843">
        <f t="shared" ca="1" si="27"/>
        <v>0</v>
      </c>
      <c r="Q49" s="825"/>
      <c r="R49" s="825"/>
      <c r="S49" s="825"/>
      <c r="T49" s="825"/>
      <c r="U49" s="825"/>
      <c r="V49" s="825"/>
      <c r="W49" s="825"/>
      <c r="X49" s="825"/>
      <c r="Y49" s="825"/>
      <c r="Z49" s="825"/>
    </row>
    <row r="50" spans="1:26" ht="19.5">
      <c r="A50" s="1514" t="s">
        <v>28</v>
      </c>
      <c r="B50" s="1494"/>
      <c r="C50" s="1494"/>
      <c r="D50" s="1494"/>
      <c r="E50" s="1494"/>
      <c r="F50" s="1494"/>
      <c r="G50" s="1495"/>
      <c r="H50" s="882"/>
      <c r="I50" s="883"/>
      <c r="J50" s="883"/>
      <c r="K50" s="884"/>
      <c r="L50" s="884"/>
      <c r="M50" s="884"/>
      <c r="N50" s="884"/>
      <c r="O50" s="884"/>
      <c r="P50" s="884"/>
    </row>
    <row r="51" spans="1:26" ht="19.5">
      <c r="A51" s="885"/>
      <c r="B51" s="1515" t="s">
        <v>29</v>
      </c>
      <c r="C51" s="1485"/>
      <c r="D51" s="1485"/>
      <c r="E51" s="1485"/>
      <c r="F51" s="1485"/>
      <c r="G51" s="1491"/>
      <c r="H51" s="886"/>
      <c r="I51" s="887"/>
      <c r="J51" s="887"/>
      <c r="K51" s="888"/>
      <c r="L51" s="888"/>
      <c r="M51" s="888"/>
      <c r="N51" s="888"/>
      <c r="O51" s="888"/>
      <c r="P51" s="888"/>
    </row>
    <row r="52" spans="1:26" ht="19.5">
      <c r="A52" s="889"/>
      <c r="B52" s="890" t="s">
        <v>30</v>
      </c>
      <c r="C52" s="891"/>
      <c r="D52" s="891"/>
      <c r="E52" s="891"/>
      <c r="F52" s="891"/>
      <c r="G52" s="892"/>
      <c r="H52" s="893"/>
      <c r="I52" s="894"/>
      <c r="J52" s="894"/>
      <c r="K52" s="895"/>
      <c r="L52" s="895"/>
      <c r="M52" s="895"/>
      <c r="N52" s="895"/>
      <c r="O52" s="895"/>
      <c r="P52" s="895"/>
    </row>
    <row r="53" spans="1:26" ht="19.5">
      <c r="A53" s="896"/>
      <c r="B53" s="897"/>
      <c r="C53" s="898" t="s">
        <v>16</v>
      </c>
      <c r="D53" s="899" t="s">
        <v>17</v>
      </c>
      <c r="E53" s="897"/>
      <c r="F53" s="897"/>
      <c r="G53" s="900"/>
      <c r="H53" s="113" t="s">
        <v>12</v>
      </c>
      <c r="I53" s="901"/>
      <c r="J53" s="901"/>
      <c r="K53" s="902"/>
      <c r="L53" s="903">
        <f t="shared" ref="L53:N53" ca="1" si="31">L54+L55</f>
        <v>753200</v>
      </c>
      <c r="M53" s="903">
        <f t="shared" ca="1" si="31"/>
        <v>594900</v>
      </c>
      <c r="N53" s="903">
        <f t="shared" ca="1" si="31"/>
        <v>300863.45</v>
      </c>
      <c r="O53" s="903">
        <f t="shared" ref="O53:O61" ca="1" si="32">IF(L53&gt;0,N53*100/L53,0)</f>
        <v>39.944695963887412</v>
      </c>
      <c r="P53" s="903">
        <f t="shared" ref="P53:P61" ca="1" si="33">IF(M53&gt;0,N53*100/M53,0)</f>
        <v>50.573785510169778</v>
      </c>
      <c r="Q53" s="818"/>
      <c r="R53" s="818"/>
      <c r="S53" s="818"/>
      <c r="T53" s="818"/>
      <c r="U53" s="818"/>
      <c r="V53" s="818"/>
      <c r="W53" s="818"/>
      <c r="X53" s="818"/>
      <c r="Y53" s="818"/>
      <c r="Z53" s="818"/>
    </row>
    <row r="54" spans="1:26" ht="18.75" hidden="1">
      <c r="A54" s="904"/>
      <c r="B54" s="905"/>
      <c r="C54" s="905"/>
      <c r="D54" s="905"/>
      <c r="E54" s="906" t="s">
        <v>18</v>
      </c>
      <c r="F54" s="905"/>
      <c r="G54" s="907"/>
      <c r="H54" s="121" t="s">
        <v>12</v>
      </c>
      <c r="I54" s="908"/>
      <c r="J54" s="908"/>
      <c r="K54" s="909"/>
      <c r="L54" s="909">
        <f t="shared" ref="L54:N55" si="34">L57+L60</f>
        <v>0</v>
      </c>
      <c r="M54" s="909">
        <f t="shared" si="34"/>
        <v>0</v>
      </c>
      <c r="N54" s="909">
        <f t="shared" si="34"/>
        <v>0</v>
      </c>
      <c r="O54" s="909">
        <f t="shared" si="32"/>
        <v>0</v>
      </c>
      <c r="P54" s="909">
        <f t="shared" si="33"/>
        <v>0</v>
      </c>
      <c r="Q54" s="825"/>
      <c r="R54" s="825"/>
      <c r="S54" s="825"/>
      <c r="T54" s="825"/>
      <c r="U54" s="825"/>
      <c r="V54" s="825"/>
      <c r="W54" s="825"/>
      <c r="X54" s="825"/>
      <c r="Y54" s="825"/>
      <c r="Z54" s="825"/>
    </row>
    <row r="55" spans="1:26" ht="18.75" hidden="1">
      <c r="A55" s="904"/>
      <c r="B55" s="905"/>
      <c r="C55" s="905"/>
      <c r="D55" s="905"/>
      <c r="E55" s="906" t="s">
        <v>19</v>
      </c>
      <c r="F55" s="905"/>
      <c r="G55" s="907"/>
      <c r="H55" s="121" t="s">
        <v>12</v>
      </c>
      <c r="I55" s="908"/>
      <c r="J55" s="908"/>
      <c r="K55" s="909"/>
      <c r="L55" s="909">
        <f t="shared" ca="1" si="34"/>
        <v>753200</v>
      </c>
      <c r="M55" s="909">
        <f t="shared" ca="1" si="34"/>
        <v>594900</v>
      </c>
      <c r="N55" s="909">
        <f t="shared" ca="1" si="34"/>
        <v>300863.45</v>
      </c>
      <c r="O55" s="909">
        <f t="shared" ca="1" si="32"/>
        <v>39.944695963887412</v>
      </c>
      <c r="P55" s="909">
        <f t="shared" ca="1" si="33"/>
        <v>50.573785510169778</v>
      </c>
      <c r="Q55" s="825"/>
      <c r="R55" s="825"/>
      <c r="S55" s="825"/>
      <c r="T55" s="825"/>
      <c r="U55" s="825"/>
      <c r="V55" s="825"/>
      <c r="W55" s="825"/>
      <c r="X55" s="825"/>
      <c r="Y55" s="825"/>
      <c r="Z55" s="825"/>
    </row>
    <row r="56" spans="1:26" ht="18.75">
      <c r="A56" s="826"/>
      <c r="B56" s="827"/>
      <c r="C56" s="827"/>
      <c r="D56" s="828" t="s">
        <v>20</v>
      </c>
      <c r="E56" s="827"/>
      <c r="F56" s="827"/>
      <c r="G56" s="829"/>
      <c r="H56" s="590" t="s">
        <v>12</v>
      </c>
      <c r="I56" s="830"/>
      <c r="J56" s="830"/>
      <c r="K56" s="831"/>
      <c r="L56" s="831">
        <f t="shared" ref="L56:N56" ca="1" si="35">L57+L58</f>
        <v>753200</v>
      </c>
      <c r="M56" s="831">
        <f t="shared" ca="1" si="35"/>
        <v>594900</v>
      </c>
      <c r="N56" s="831">
        <f t="shared" ca="1" si="35"/>
        <v>300863.45</v>
      </c>
      <c r="O56" s="831">
        <f t="shared" ca="1" si="32"/>
        <v>39.944695963887412</v>
      </c>
      <c r="P56" s="831">
        <f t="shared" ca="1" si="33"/>
        <v>50.573785510169778</v>
      </c>
      <c r="Q56" s="818"/>
      <c r="R56" s="818"/>
      <c r="S56" s="818"/>
      <c r="T56" s="818"/>
      <c r="U56" s="818"/>
      <c r="V56" s="818"/>
      <c r="W56" s="818"/>
      <c r="X56" s="818"/>
      <c r="Y56" s="818"/>
      <c r="Z56" s="818"/>
    </row>
    <row r="57" spans="1:26" ht="18.75" hidden="1">
      <c r="A57" s="832"/>
      <c r="B57" s="833"/>
      <c r="C57" s="833"/>
      <c r="D57" s="833"/>
      <c r="E57" s="834" t="s">
        <v>18</v>
      </c>
      <c r="F57" s="833"/>
      <c r="G57" s="835"/>
      <c r="H57" s="43" t="s">
        <v>12</v>
      </c>
      <c r="I57" s="836"/>
      <c r="J57" s="836"/>
      <c r="K57" s="837"/>
      <c r="L57" s="837">
        <v>0</v>
      </c>
      <c r="M57" s="837">
        <v>0</v>
      </c>
      <c r="N57" s="837">
        <v>0</v>
      </c>
      <c r="O57" s="837">
        <f t="shared" si="32"/>
        <v>0</v>
      </c>
      <c r="P57" s="837">
        <f t="shared" si="33"/>
        <v>0</v>
      </c>
      <c r="Q57" s="825"/>
      <c r="R57" s="825"/>
      <c r="S57" s="825"/>
      <c r="T57" s="825"/>
      <c r="U57" s="825"/>
      <c r="V57" s="825"/>
      <c r="W57" s="825"/>
      <c r="X57" s="825"/>
      <c r="Y57" s="825"/>
      <c r="Z57" s="825"/>
    </row>
    <row r="58" spans="1:26" ht="18.75" hidden="1">
      <c r="A58" s="832"/>
      <c r="B58" s="833"/>
      <c r="C58" s="833"/>
      <c r="D58" s="833"/>
      <c r="E58" s="834" t="s">
        <v>19</v>
      </c>
      <c r="F58" s="833"/>
      <c r="G58" s="835"/>
      <c r="H58" s="43" t="s">
        <v>12</v>
      </c>
      <c r="I58" s="836"/>
      <c r="J58" s="836"/>
      <c r="K58" s="837"/>
      <c r="L58" s="837">
        <f ca="1">IFERROR(__xludf.DUMMYFUNCTION("IMPORTRANGE(""https://docs.google.com/spreadsheets/d/1MeEWN-I1oV_STSDYn1IFDPWt_1FKiwhDph83XaGc0o0/edit?usp=sharing"",""งบพรบ!W28"")"),753200)</f>
        <v>753200</v>
      </c>
      <c r="M58" s="837">
        <f ca="1">IFERROR(__xludf.DUMMYFUNCTION("IMPORTRANGE(""https://docs.google.com/spreadsheets/d/1MeEWN-I1oV_STSDYn1IFDPWt_1FKiwhDph83XaGc0o0/edit?usp=sharing"",""งบพรบ!AB28"")"),594900)</f>
        <v>594900</v>
      </c>
      <c r="N58" s="837">
        <f ca="1">IFERROR(__xludf.DUMMYFUNCTION("IMPORTRANGE(""https://docs.google.com/spreadsheets/d/1MeEWN-I1oV_STSDYn1IFDPWt_1FKiwhDph83XaGc0o0/edit?usp=sharing"",""งบพรบ!AD28"")"),300863.45)</f>
        <v>300863.45</v>
      </c>
      <c r="O58" s="837">
        <f t="shared" ca="1" si="32"/>
        <v>39.944695963887412</v>
      </c>
      <c r="P58" s="837">
        <f t="shared" ca="1" si="33"/>
        <v>50.573785510169778</v>
      </c>
      <c r="Q58" s="825"/>
      <c r="R58" s="825"/>
      <c r="S58" s="825"/>
      <c r="T58" s="825"/>
      <c r="U58" s="825"/>
      <c r="V58" s="825"/>
      <c r="W58" s="825"/>
      <c r="X58" s="825"/>
      <c r="Y58" s="825"/>
      <c r="Z58" s="825"/>
    </row>
    <row r="59" spans="1:26" ht="18.75">
      <c r="A59" s="826"/>
      <c r="B59" s="827"/>
      <c r="C59" s="827"/>
      <c r="D59" s="828" t="s">
        <v>21</v>
      </c>
      <c r="E59" s="827"/>
      <c r="F59" s="827"/>
      <c r="G59" s="829"/>
      <c r="H59" s="590" t="s">
        <v>12</v>
      </c>
      <c r="I59" s="830"/>
      <c r="J59" s="830"/>
      <c r="K59" s="831"/>
      <c r="L59" s="831">
        <f t="shared" ref="L59:N59" ca="1" si="36">L60+L61</f>
        <v>0</v>
      </c>
      <c r="M59" s="831">
        <f t="shared" ca="1" si="36"/>
        <v>0</v>
      </c>
      <c r="N59" s="831">
        <f t="shared" ca="1" si="36"/>
        <v>0</v>
      </c>
      <c r="O59" s="831">
        <f t="shared" ca="1" si="32"/>
        <v>0</v>
      </c>
      <c r="P59" s="831">
        <f t="shared" ca="1" si="33"/>
        <v>0</v>
      </c>
      <c r="Q59" s="818"/>
      <c r="R59" s="818"/>
      <c r="S59" s="818"/>
      <c r="T59" s="818"/>
      <c r="U59" s="818"/>
      <c r="V59" s="818"/>
      <c r="W59" s="818"/>
      <c r="X59" s="818"/>
      <c r="Y59" s="818"/>
      <c r="Z59" s="818"/>
    </row>
    <row r="60" spans="1:26" ht="18.75" hidden="1">
      <c r="A60" s="832"/>
      <c r="B60" s="833"/>
      <c r="C60" s="833"/>
      <c r="D60" s="833"/>
      <c r="E60" s="834" t="s">
        <v>18</v>
      </c>
      <c r="F60" s="833"/>
      <c r="G60" s="835"/>
      <c r="H60" s="43" t="s">
        <v>12</v>
      </c>
      <c r="I60" s="836"/>
      <c r="J60" s="836"/>
      <c r="K60" s="837"/>
      <c r="L60" s="837">
        <v>0</v>
      </c>
      <c r="M60" s="837">
        <v>0</v>
      </c>
      <c r="N60" s="837">
        <v>0</v>
      </c>
      <c r="O60" s="837">
        <f t="shared" si="32"/>
        <v>0</v>
      </c>
      <c r="P60" s="837">
        <f t="shared" si="33"/>
        <v>0</v>
      </c>
      <c r="Q60" s="825"/>
      <c r="R60" s="825"/>
      <c r="S60" s="825"/>
      <c r="T60" s="825"/>
      <c r="U60" s="825"/>
      <c r="V60" s="825"/>
      <c r="W60" s="825"/>
      <c r="X60" s="825"/>
      <c r="Y60" s="825"/>
      <c r="Z60" s="825"/>
    </row>
    <row r="61" spans="1:26" ht="18.75" hidden="1">
      <c r="A61" s="838"/>
      <c r="B61" s="839"/>
      <c r="C61" s="839"/>
      <c r="D61" s="839"/>
      <c r="E61" s="840" t="s">
        <v>19</v>
      </c>
      <c r="F61" s="839"/>
      <c r="G61" s="841"/>
      <c r="H61" s="50" t="s">
        <v>12</v>
      </c>
      <c r="I61" s="842"/>
      <c r="J61" s="842"/>
      <c r="K61" s="843"/>
      <c r="L61" s="843">
        <f ca="1">IFERROR(__xludf.DUMMYFUNCTION("IMPORTRANGE(""https://docs.google.com/spreadsheets/d/1MeEWN-I1oV_STSDYn1IFDPWt_1FKiwhDph83XaGc0o0/edit?usp=sharing"",""งบพรบ!Z28"")"),0)</f>
        <v>0</v>
      </c>
      <c r="M61" s="843">
        <f ca="1">IFERROR(__xludf.DUMMYFUNCTION("IMPORTRANGE(""https://docs.google.com/spreadsheets/d/1MeEWN-I1oV_STSDYn1IFDPWt_1FKiwhDph83XaGc0o0/edit?usp=sharing"",""งบพรบ!AC28"")"),0)</f>
        <v>0</v>
      </c>
      <c r="N61" s="843">
        <f ca="1">IFERROR(__xludf.DUMMYFUNCTION("IMPORTRANGE(""https://docs.google.com/spreadsheets/d/1MeEWN-I1oV_STSDYn1IFDPWt_1FKiwhDph83XaGc0o0/edit?usp=sharing"",""งบพรบ!AE28"")"),0)</f>
        <v>0</v>
      </c>
      <c r="O61" s="843">
        <f t="shared" ca="1" si="32"/>
        <v>0</v>
      </c>
      <c r="P61" s="843">
        <f t="shared" ca="1" si="33"/>
        <v>0</v>
      </c>
      <c r="Q61" s="825"/>
      <c r="R61" s="825"/>
      <c r="S61" s="825"/>
      <c r="T61" s="825"/>
      <c r="U61" s="825"/>
      <c r="V61" s="825"/>
      <c r="W61" s="825"/>
      <c r="X61" s="825"/>
      <c r="Y61" s="825"/>
      <c r="Z61" s="825"/>
    </row>
    <row r="62" spans="1:26" ht="19.5">
      <c r="A62" s="910" t="s">
        <v>31</v>
      </c>
      <c r="B62" s="911"/>
      <c r="C62" s="911"/>
      <c r="D62" s="911"/>
      <c r="E62" s="912"/>
      <c r="F62" s="912"/>
      <c r="G62" s="913"/>
      <c r="H62" s="914"/>
      <c r="I62" s="915"/>
      <c r="J62" s="915"/>
      <c r="K62" s="916"/>
      <c r="L62" s="916"/>
      <c r="M62" s="916"/>
      <c r="N62" s="916"/>
      <c r="O62" s="916"/>
      <c r="P62" s="916"/>
    </row>
    <row r="63" spans="1:26" ht="19.5">
      <c r="A63" s="917" t="s">
        <v>32</v>
      </c>
      <c r="B63" s="918"/>
      <c r="C63" s="919"/>
      <c r="D63" s="918"/>
      <c r="E63" s="918"/>
      <c r="F63" s="918"/>
      <c r="G63" s="920"/>
      <c r="H63" s="921"/>
      <c r="I63" s="922"/>
      <c r="J63" s="922"/>
      <c r="K63" s="923"/>
      <c r="L63" s="923"/>
      <c r="M63" s="923"/>
      <c r="N63" s="923"/>
      <c r="O63" s="923"/>
      <c r="P63" s="923"/>
    </row>
    <row r="64" spans="1:26" ht="19.5">
      <c r="A64" s="924"/>
      <c r="B64" s="925" t="s">
        <v>33</v>
      </c>
      <c r="C64" s="926"/>
      <c r="D64" s="927"/>
      <c r="E64" s="926"/>
      <c r="F64" s="926"/>
      <c r="G64" s="928"/>
      <c r="H64" s="205" t="s">
        <v>34</v>
      </c>
      <c r="I64" s="929">
        <f t="shared" ref="I64:J65" ca="1" si="37">I76</f>
        <v>2</v>
      </c>
      <c r="J64" s="929">
        <f t="shared" si="37"/>
        <v>2</v>
      </c>
      <c r="K64" s="930">
        <f t="shared" ref="K64:K65" ca="1" si="38">IF(I64&gt;0,J64*100/I64,0)</f>
        <v>100</v>
      </c>
      <c r="L64" s="931"/>
      <c r="M64" s="931"/>
      <c r="N64" s="931"/>
      <c r="O64" s="931"/>
      <c r="P64" s="931"/>
    </row>
    <row r="65" spans="1:26" ht="19.5">
      <c r="A65" s="924"/>
      <c r="B65" s="926"/>
      <c r="C65" s="926"/>
      <c r="D65" s="927"/>
      <c r="E65" s="926"/>
      <c r="F65" s="926"/>
      <c r="G65" s="928"/>
      <c r="H65" s="205" t="s">
        <v>35</v>
      </c>
      <c r="I65" s="929">
        <f t="shared" ca="1" si="37"/>
        <v>105</v>
      </c>
      <c r="J65" s="929">
        <f t="shared" si="37"/>
        <v>105</v>
      </c>
      <c r="K65" s="930">
        <f t="shared" ca="1" si="38"/>
        <v>100</v>
      </c>
      <c r="L65" s="931"/>
      <c r="M65" s="931"/>
      <c r="N65" s="931"/>
      <c r="O65" s="931"/>
      <c r="P65" s="931"/>
    </row>
    <row r="66" spans="1:26" ht="19.5">
      <c r="A66" s="932"/>
      <c r="B66" s="933"/>
      <c r="C66" s="934" t="s">
        <v>16</v>
      </c>
      <c r="D66" s="935" t="s">
        <v>17</v>
      </c>
      <c r="E66" s="933"/>
      <c r="F66" s="933"/>
      <c r="G66" s="936"/>
      <c r="H66" s="152" t="s">
        <v>12</v>
      </c>
      <c r="I66" s="937"/>
      <c r="J66" s="937"/>
      <c r="K66" s="938"/>
      <c r="L66" s="939">
        <f t="shared" ref="L66:N66" ca="1" si="39">L67+L68</f>
        <v>1493400</v>
      </c>
      <c r="M66" s="939">
        <f t="shared" ca="1" si="39"/>
        <v>1182550</v>
      </c>
      <c r="N66" s="939">
        <f t="shared" ca="1" si="39"/>
        <v>497832.27</v>
      </c>
      <c r="O66" s="939">
        <f t="shared" ref="O66:O74" ca="1" si="40">IF(L66&gt;0,N66*100/L66,0)</f>
        <v>33.335494174367213</v>
      </c>
      <c r="P66" s="939">
        <f t="shared" ref="P66:P74" ca="1" si="41">IF(M66&gt;0,N66*100/M66,0)</f>
        <v>42.09820049892182</v>
      </c>
      <c r="Q66" s="818"/>
      <c r="R66" s="818"/>
      <c r="S66" s="818"/>
      <c r="T66" s="818"/>
      <c r="U66" s="818"/>
      <c r="V66" s="818"/>
      <c r="W66" s="818"/>
      <c r="X66" s="818"/>
      <c r="Y66" s="818"/>
      <c r="Z66" s="818"/>
    </row>
    <row r="67" spans="1:26" ht="18.75" hidden="1">
      <c r="A67" s="940"/>
      <c r="B67" s="833"/>
      <c r="C67" s="833"/>
      <c r="D67" s="833"/>
      <c r="E67" s="834" t="s">
        <v>18</v>
      </c>
      <c r="F67" s="833"/>
      <c r="G67" s="941"/>
      <c r="H67" s="158" t="s">
        <v>12</v>
      </c>
      <c r="I67" s="836"/>
      <c r="J67" s="836"/>
      <c r="K67" s="837"/>
      <c r="L67" s="837">
        <f t="shared" ref="L67:N68" si="42">L70+L73</f>
        <v>0</v>
      </c>
      <c r="M67" s="837">
        <f t="shared" si="42"/>
        <v>0</v>
      </c>
      <c r="N67" s="837">
        <f t="shared" si="42"/>
        <v>0</v>
      </c>
      <c r="O67" s="837">
        <f t="shared" si="40"/>
        <v>0</v>
      </c>
      <c r="P67" s="837">
        <f t="shared" si="41"/>
        <v>0</v>
      </c>
      <c r="Q67" s="825"/>
      <c r="R67" s="825"/>
      <c r="S67" s="825"/>
      <c r="T67" s="825"/>
      <c r="U67" s="825"/>
      <c r="V67" s="825"/>
      <c r="W67" s="825"/>
      <c r="X67" s="825"/>
      <c r="Y67" s="825"/>
      <c r="Z67" s="825"/>
    </row>
    <row r="68" spans="1:26" ht="18.75" hidden="1">
      <c r="A68" s="940"/>
      <c r="B68" s="833"/>
      <c r="C68" s="833"/>
      <c r="D68" s="833"/>
      <c r="E68" s="834" t="s">
        <v>19</v>
      </c>
      <c r="F68" s="833"/>
      <c r="G68" s="941"/>
      <c r="H68" s="158" t="s">
        <v>12</v>
      </c>
      <c r="I68" s="836"/>
      <c r="J68" s="836"/>
      <c r="K68" s="837"/>
      <c r="L68" s="837">
        <f t="shared" ca="1" si="42"/>
        <v>1493400</v>
      </c>
      <c r="M68" s="837">
        <f t="shared" ca="1" si="42"/>
        <v>1182550</v>
      </c>
      <c r="N68" s="837">
        <f t="shared" ca="1" si="42"/>
        <v>497832.27</v>
      </c>
      <c r="O68" s="837">
        <f t="shared" ca="1" si="40"/>
        <v>33.335494174367213</v>
      </c>
      <c r="P68" s="837">
        <f t="shared" ca="1" si="41"/>
        <v>42.09820049892182</v>
      </c>
      <c r="Q68" s="825"/>
      <c r="R68" s="825"/>
      <c r="S68" s="825"/>
      <c r="T68" s="825"/>
      <c r="U68" s="825"/>
      <c r="V68" s="825"/>
      <c r="W68" s="825"/>
      <c r="X68" s="825"/>
      <c r="Y68" s="825"/>
      <c r="Z68" s="825"/>
    </row>
    <row r="69" spans="1:26" ht="18.75">
      <c r="A69" s="942"/>
      <c r="B69" s="827"/>
      <c r="C69" s="943"/>
      <c r="D69" s="828" t="s">
        <v>20</v>
      </c>
      <c r="E69" s="827"/>
      <c r="F69" s="827"/>
      <c r="G69" s="829"/>
      <c r="H69" s="778" t="s">
        <v>12</v>
      </c>
      <c r="I69" s="944"/>
      <c r="J69" s="944"/>
      <c r="K69" s="945"/>
      <c r="L69" s="831">
        <f t="shared" ref="L69:N69" ca="1" si="43">L70+L71</f>
        <v>1493400</v>
      </c>
      <c r="M69" s="831">
        <f t="shared" ca="1" si="43"/>
        <v>1182550</v>
      </c>
      <c r="N69" s="831">
        <f t="shared" ca="1" si="43"/>
        <v>497832.27</v>
      </c>
      <c r="O69" s="831">
        <f t="shared" ca="1" si="40"/>
        <v>33.335494174367213</v>
      </c>
      <c r="P69" s="831">
        <f t="shared" ca="1" si="41"/>
        <v>42.09820049892182</v>
      </c>
      <c r="Q69" s="818"/>
      <c r="R69" s="818"/>
      <c r="S69" s="818"/>
      <c r="T69" s="818"/>
      <c r="U69" s="818"/>
      <c r="V69" s="818"/>
      <c r="W69" s="818"/>
      <c r="X69" s="818"/>
      <c r="Y69" s="818"/>
      <c r="Z69" s="818"/>
    </row>
    <row r="70" spans="1:26" ht="19.5" hidden="1">
      <c r="A70" s="940"/>
      <c r="B70" s="833"/>
      <c r="C70" s="946"/>
      <c r="D70" s="833"/>
      <c r="E70" s="834" t="s">
        <v>36</v>
      </c>
      <c r="F70" s="833"/>
      <c r="G70" s="941"/>
      <c r="H70" s="165" t="s">
        <v>12</v>
      </c>
      <c r="I70" s="947"/>
      <c r="J70" s="947"/>
      <c r="K70" s="948"/>
      <c r="L70" s="837">
        <v>0</v>
      </c>
      <c r="M70" s="837">
        <v>0</v>
      </c>
      <c r="N70" s="837">
        <v>0</v>
      </c>
      <c r="O70" s="837">
        <f t="shared" si="40"/>
        <v>0</v>
      </c>
      <c r="P70" s="837">
        <f t="shared" si="41"/>
        <v>0</v>
      </c>
      <c r="Q70" s="825"/>
      <c r="R70" s="825"/>
      <c r="S70" s="825"/>
      <c r="T70" s="825"/>
      <c r="U70" s="825"/>
      <c r="V70" s="825"/>
      <c r="W70" s="825"/>
      <c r="X70" s="825"/>
      <c r="Y70" s="825"/>
      <c r="Z70" s="825"/>
    </row>
    <row r="71" spans="1:26" ht="19.5" hidden="1">
      <c r="A71" s="940"/>
      <c r="B71" s="833"/>
      <c r="C71" s="946"/>
      <c r="D71" s="833"/>
      <c r="E71" s="834" t="s">
        <v>37</v>
      </c>
      <c r="F71" s="833"/>
      <c r="G71" s="941"/>
      <c r="H71" s="165" t="s">
        <v>12</v>
      </c>
      <c r="I71" s="947"/>
      <c r="J71" s="947"/>
      <c r="K71" s="948"/>
      <c r="L71" s="837">
        <f ca="1">IFERROR(__xludf.DUMMYFUNCTION("IMPORTRANGE(""https://docs.google.com/spreadsheets/d/1MeEWN-I1oV_STSDYn1IFDPWt_1FKiwhDph83XaGc0o0/edit?usp=sharing"",""งบพรบ!AG28"")"),1493400)</f>
        <v>1493400</v>
      </c>
      <c r="M71" s="837">
        <f ca="1">IFERROR(__xludf.DUMMYFUNCTION("IMPORTRANGE(""https://docs.google.com/spreadsheets/d/1MeEWN-I1oV_STSDYn1IFDPWt_1FKiwhDph83XaGc0o0/edit?usp=sharing"",""งบพรบ!AL28"")"),1182550)</f>
        <v>1182550</v>
      </c>
      <c r="N71" s="837">
        <f ca="1">IFERROR(__xludf.DUMMYFUNCTION("IMPORTRANGE(""https://docs.google.com/spreadsheets/d/1MeEWN-I1oV_STSDYn1IFDPWt_1FKiwhDph83XaGc0o0/edit?usp=sharing"",""งบพรบ!AN28"")"),497832.27)</f>
        <v>497832.27</v>
      </c>
      <c r="O71" s="837">
        <f t="shared" ca="1" si="40"/>
        <v>33.335494174367213</v>
      </c>
      <c r="P71" s="837">
        <f t="shared" ca="1" si="41"/>
        <v>42.09820049892182</v>
      </c>
      <c r="Q71" s="825"/>
      <c r="R71" s="825"/>
      <c r="S71" s="825"/>
      <c r="T71" s="825"/>
      <c r="U71" s="825"/>
      <c r="V71" s="825"/>
      <c r="W71" s="825"/>
      <c r="X71" s="825"/>
      <c r="Y71" s="825"/>
      <c r="Z71" s="825"/>
    </row>
    <row r="72" spans="1:26" ht="18.75">
      <c r="A72" s="942"/>
      <c r="B72" s="827"/>
      <c r="C72" s="943"/>
      <c r="D72" s="828" t="s">
        <v>21</v>
      </c>
      <c r="E72" s="827"/>
      <c r="F72" s="827"/>
      <c r="G72" s="829"/>
      <c r="H72" s="168" t="s">
        <v>12</v>
      </c>
      <c r="I72" s="944"/>
      <c r="J72" s="944"/>
      <c r="K72" s="945"/>
      <c r="L72" s="831">
        <f t="shared" ref="L72:N72" ca="1" si="44">L73+L74</f>
        <v>0</v>
      </c>
      <c r="M72" s="831">
        <f t="shared" ca="1" si="44"/>
        <v>0</v>
      </c>
      <c r="N72" s="831">
        <f t="shared" ca="1" si="44"/>
        <v>0</v>
      </c>
      <c r="O72" s="831">
        <f t="shared" ca="1" si="40"/>
        <v>0</v>
      </c>
      <c r="P72" s="831">
        <f t="shared" ca="1" si="41"/>
        <v>0</v>
      </c>
      <c r="Q72" s="818"/>
      <c r="R72" s="818"/>
      <c r="S72" s="818"/>
      <c r="T72" s="818"/>
      <c r="U72" s="818"/>
      <c r="V72" s="818"/>
      <c r="W72" s="818"/>
      <c r="X72" s="818"/>
      <c r="Y72" s="818"/>
      <c r="Z72" s="818"/>
    </row>
    <row r="73" spans="1:26" ht="19.5" hidden="1">
      <c r="A73" s="940"/>
      <c r="B73" s="833"/>
      <c r="C73" s="946"/>
      <c r="D73" s="833"/>
      <c r="E73" s="834" t="s">
        <v>18</v>
      </c>
      <c r="F73" s="833"/>
      <c r="G73" s="941"/>
      <c r="H73" s="165" t="s">
        <v>12</v>
      </c>
      <c r="I73" s="947"/>
      <c r="J73" s="947"/>
      <c r="K73" s="948"/>
      <c r="L73" s="837">
        <v>0</v>
      </c>
      <c r="M73" s="837"/>
      <c r="N73" s="837"/>
      <c r="O73" s="837">
        <f t="shared" si="40"/>
        <v>0</v>
      </c>
      <c r="P73" s="837">
        <f t="shared" si="41"/>
        <v>0</v>
      </c>
      <c r="Q73" s="825"/>
      <c r="R73" s="825"/>
      <c r="S73" s="825"/>
      <c r="T73" s="825"/>
      <c r="U73" s="825"/>
      <c r="V73" s="825"/>
      <c r="W73" s="825"/>
      <c r="X73" s="825"/>
      <c r="Y73" s="825"/>
      <c r="Z73" s="825"/>
    </row>
    <row r="74" spans="1:26" ht="19.5" hidden="1">
      <c r="A74" s="940"/>
      <c r="B74" s="833"/>
      <c r="C74" s="946"/>
      <c r="D74" s="833"/>
      <c r="E74" s="834" t="s">
        <v>19</v>
      </c>
      <c r="F74" s="833"/>
      <c r="G74" s="941"/>
      <c r="H74" s="169" t="s">
        <v>12</v>
      </c>
      <c r="I74" s="947"/>
      <c r="J74" s="947"/>
      <c r="K74" s="948"/>
      <c r="L74" s="837">
        <f ca="1">IFERROR(__xludf.DUMMYFUNCTION("IMPORTRANGE(""https://docs.google.com/spreadsheets/d/1MeEWN-I1oV_STSDYn1IFDPWt_1FKiwhDph83XaGc0o0/edit?usp=sharing"",""งบพรบ!AJ28"")"),0)</f>
        <v>0</v>
      </c>
      <c r="M74" s="837">
        <f ca="1">IFERROR(__xludf.DUMMYFUNCTION("IMPORTRANGE(""https://docs.google.com/spreadsheets/d/1MeEWN-I1oV_STSDYn1IFDPWt_1FKiwhDph83XaGc0o0/edit?usp=sharing"",""งบพรบ!AM28"")"),0)</f>
        <v>0</v>
      </c>
      <c r="N74" s="837">
        <f ca="1">IFERROR(__xludf.DUMMYFUNCTION("IMPORTRANGE(""https://docs.google.com/spreadsheets/d/1MeEWN-I1oV_STSDYn1IFDPWt_1FKiwhDph83XaGc0o0/edit?usp=sharing"",""งบพรบ!AO28"")"),0)</f>
        <v>0</v>
      </c>
      <c r="O74" s="837">
        <f t="shared" ca="1" si="40"/>
        <v>0</v>
      </c>
      <c r="P74" s="837">
        <f t="shared" ca="1" si="41"/>
        <v>0</v>
      </c>
      <c r="Q74" s="825"/>
      <c r="R74" s="825"/>
      <c r="S74" s="825"/>
      <c r="T74" s="825"/>
      <c r="U74" s="825"/>
      <c r="V74" s="825"/>
      <c r="W74" s="825"/>
      <c r="X74" s="825"/>
      <c r="Y74" s="825"/>
      <c r="Z74" s="825"/>
    </row>
    <row r="75" spans="1:26" ht="19.5">
      <c r="A75" s="949"/>
      <c r="B75" s="950"/>
      <c r="C75" s="946" t="s">
        <v>16</v>
      </c>
      <c r="D75" s="951" t="s">
        <v>38</v>
      </c>
      <c r="E75" s="952"/>
      <c r="F75" s="952"/>
      <c r="G75" s="953"/>
      <c r="H75" s="954"/>
      <c r="I75" s="944"/>
      <c r="J75" s="944"/>
      <c r="K75" s="945"/>
      <c r="L75" s="945"/>
      <c r="M75" s="945"/>
      <c r="N75" s="945"/>
      <c r="O75" s="945"/>
      <c r="P75" s="945"/>
    </row>
    <row r="76" spans="1:26" ht="19.5">
      <c r="A76" s="949"/>
      <c r="B76" s="950"/>
      <c r="C76" s="950"/>
      <c r="D76" s="955" t="s">
        <v>39</v>
      </c>
      <c r="E76" s="956"/>
      <c r="F76" s="957"/>
      <c r="G76" s="958"/>
      <c r="H76" s="180" t="s">
        <v>34</v>
      </c>
      <c r="I76" s="830">
        <f t="shared" ref="I76:J77" ca="1" si="45">I78+I80+I82</f>
        <v>2</v>
      </c>
      <c r="J76" s="830">
        <f t="shared" si="45"/>
        <v>2</v>
      </c>
      <c r="K76" s="945">
        <f t="shared" ref="K76:K84" ca="1" si="46">IF(I76&gt;0,J76*100/I76,0)</f>
        <v>100</v>
      </c>
      <c r="L76" s="945"/>
      <c r="M76" s="945"/>
      <c r="N76" s="945"/>
      <c r="O76" s="945"/>
      <c r="P76" s="945"/>
    </row>
    <row r="77" spans="1:26" ht="19.5">
      <c r="A77" s="949"/>
      <c r="B77" s="950"/>
      <c r="C77" s="950"/>
      <c r="D77" s="950"/>
      <c r="E77" s="957"/>
      <c r="F77" s="957"/>
      <c r="G77" s="958"/>
      <c r="H77" s="180" t="s">
        <v>35</v>
      </c>
      <c r="I77" s="830">
        <f t="shared" ca="1" si="45"/>
        <v>105</v>
      </c>
      <c r="J77" s="830">
        <f t="shared" si="45"/>
        <v>105</v>
      </c>
      <c r="K77" s="945">
        <f t="shared" ca="1" si="46"/>
        <v>100</v>
      </c>
      <c r="L77" s="945"/>
      <c r="M77" s="945"/>
      <c r="N77" s="945"/>
      <c r="O77" s="945"/>
      <c r="P77" s="945"/>
    </row>
    <row r="78" spans="1:26" ht="18.75">
      <c r="A78" s="949"/>
      <c r="B78" s="950"/>
      <c r="C78" s="950"/>
      <c r="D78" s="950"/>
      <c r="E78" s="956" t="s">
        <v>40</v>
      </c>
      <c r="F78" s="956"/>
      <c r="G78" s="958"/>
      <c r="H78" s="730" t="s">
        <v>34</v>
      </c>
      <c r="I78" s="944">
        <f ca="1">IFERROR(__xludf.DUMMYFUNCTION("IMPORTRANGE(""https://docs.google.com/spreadsheets/d/1QqKyyYR6Q21VydFLVH3TRQUabQu_ym0Zz7PgGX0-kHA/edit?usp=sharing"",""แผน!H28"")"),1)</f>
        <v>1</v>
      </c>
      <c r="J78" s="959">
        <v>1</v>
      </c>
      <c r="K78" s="945">
        <f t="shared" ca="1" si="46"/>
        <v>100</v>
      </c>
      <c r="L78" s="945"/>
      <c r="M78" s="945"/>
      <c r="N78" s="945"/>
      <c r="O78" s="945"/>
      <c r="P78" s="945"/>
    </row>
    <row r="79" spans="1:26" ht="18.75">
      <c r="A79" s="949"/>
      <c r="B79" s="950"/>
      <c r="C79" s="950"/>
      <c r="D79" s="950"/>
      <c r="E79" s="957"/>
      <c r="F79" s="957"/>
      <c r="G79" s="958"/>
      <c r="H79" s="730" t="s">
        <v>35</v>
      </c>
      <c r="I79" s="944">
        <f ca="1">IFERROR(__xludf.DUMMYFUNCTION("IMPORTRANGE(""https://docs.google.com/spreadsheets/d/1QqKyyYR6Q21VydFLVH3TRQUabQu_ym0Zz7PgGX0-kHA/edit?usp=sharing"",""แผน!I28"")"),30)</f>
        <v>30</v>
      </c>
      <c r="J79" s="959">
        <v>30</v>
      </c>
      <c r="K79" s="945">
        <f t="shared" ca="1" si="46"/>
        <v>100</v>
      </c>
      <c r="L79" s="945"/>
      <c r="M79" s="945"/>
      <c r="N79" s="945"/>
      <c r="O79" s="945"/>
      <c r="P79" s="945"/>
    </row>
    <row r="80" spans="1:26" ht="18.75">
      <c r="A80" s="949"/>
      <c r="B80" s="950"/>
      <c r="C80" s="950"/>
      <c r="D80" s="950"/>
      <c r="E80" s="956" t="s">
        <v>41</v>
      </c>
      <c r="F80" s="956"/>
      <c r="G80" s="958"/>
      <c r="H80" s="730" t="s">
        <v>34</v>
      </c>
      <c r="I80" s="944">
        <f ca="1">IFERROR(__xludf.DUMMYFUNCTION("IMPORTRANGE(""https://docs.google.com/spreadsheets/d/1QqKyyYR6Q21VydFLVH3TRQUabQu_ym0Zz7PgGX0-kHA/edit?usp=sharing"",""แผน!F28"")"),0)</f>
        <v>0</v>
      </c>
      <c r="J80" s="959">
        <v>0</v>
      </c>
      <c r="K80" s="945">
        <f t="shared" ca="1" si="46"/>
        <v>0</v>
      </c>
      <c r="L80" s="945"/>
      <c r="M80" s="945"/>
      <c r="N80" s="945"/>
      <c r="O80" s="945"/>
      <c r="P80" s="945"/>
    </row>
    <row r="81" spans="1:26" ht="18.75">
      <c r="A81" s="949"/>
      <c r="B81" s="950"/>
      <c r="C81" s="950"/>
      <c r="D81" s="950"/>
      <c r="E81" s="957"/>
      <c r="F81" s="957"/>
      <c r="G81" s="958"/>
      <c r="H81" s="730" t="s">
        <v>35</v>
      </c>
      <c r="I81" s="944">
        <f ca="1">IFERROR(__xludf.DUMMYFUNCTION("IMPORTRANGE(""https://docs.google.com/spreadsheets/d/1QqKyyYR6Q21VydFLVH3TRQUabQu_ym0Zz7PgGX0-kHA/edit?usp=sharing"",""แผน!G28"")"),0)</f>
        <v>0</v>
      </c>
      <c r="J81" s="959">
        <v>0</v>
      </c>
      <c r="K81" s="945">
        <f t="shared" ca="1" si="46"/>
        <v>0</v>
      </c>
      <c r="L81" s="945"/>
      <c r="M81" s="945"/>
      <c r="N81" s="945"/>
      <c r="O81" s="945"/>
      <c r="P81" s="945"/>
    </row>
    <row r="82" spans="1:26" ht="18.75">
      <c r="A82" s="949"/>
      <c r="B82" s="950"/>
      <c r="C82" s="950"/>
      <c r="D82" s="950"/>
      <c r="E82" s="956" t="s">
        <v>42</v>
      </c>
      <c r="F82" s="956"/>
      <c r="G82" s="958"/>
      <c r="H82" s="730" t="s">
        <v>34</v>
      </c>
      <c r="I82" s="944">
        <f ca="1">IFERROR(__xludf.DUMMYFUNCTION("IMPORTRANGE(""https://docs.google.com/spreadsheets/d/1QqKyyYR6Q21VydFLVH3TRQUabQu_ym0Zz7PgGX0-kHA/edit?usp=sharing"",""แผน!D28"")"),1)</f>
        <v>1</v>
      </c>
      <c r="J82" s="959">
        <v>1</v>
      </c>
      <c r="K82" s="945">
        <f t="shared" ca="1" si="46"/>
        <v>100</v>
      </c>
      <c r="L82" s="945"/>
      <c r="M82" s="945"/>
      <c r="N82" s="945"/>
      <c r="O82" s="945"/>
      <c r="P82" s="945"/>
    </row>
    <row r="83" spans="1:26" ht="18.75">
      <c r="A83" s="949"/>
      <c r="B83" s="950"/>
      <c r="C83" s="950"/>
      <c r="D83" s="950"/>
      <c r="E83" s="957"/>
      <c r="F83" s="957"/>
      <c r="G83" s="958"/>
      <c r="H83" s="730" t="s">
        <v>35</v>
      </c>
      <c r="I83" s="944">
        <f ca="1">IFERROR(__xludf.DUMMYFUNCTION("IMPORTRANGE(""https://docs.google.com/spreadsheets/d/1QqKyyYR6Q21VydFLVH3TRQUabQu_ym0Zz7PgGX0-kHA/edit?usp=sharing"",""แผน!E28"")"),75)</f>
        <v>75</v>
      </c>
      <c r="J83" s="959">
        <v>75</v>
      </c>
      <c r="K83" s="945">
        <f t="shared" ca="1" si="46"/>
        <v>100</v>
      </c>
      <c r="L83" s="945"/>
      <c r="M83" s="945"/>
      <c r="N83" s="945"/>
      <c r="O83" s="945"/>
      <c r="P83" s="945"/>
    </row>
    <row r="84" spans="1:26" ht="18.75">
      <c r="A84" s="949"/>
      <c r="B84" s="950"/>
      <c r="C84" s="950"/>
      <c r="D84" s="955" t="s">
        <v>43</v>
      </c>
      <c r="E84" s="956"/>
      <c r="F84" s="957"/>
      <c r="G84" s="958"/>
      <c r="H84" s="777" t="s">
        <v>34</v>
      </c>
      <c r="I84" s="944">
        <f ca="1">IFERROR(__xludf.DUMMYFUNCTION("IMPORTRANGE(""https://docs.google.com/spreadsheets/d/1QqKyyYR6Q21VydFLVH3TRQUabQu_ym0Zz7PgGX0-kHA/edit?usp=sharing"",""แผน!J28"")"),2)</f>
        <v>2</v>
      </c>
      <c r="J84" s="959">
        <v>0</v>
      </c>
      <c r="K84" s="945">
        <f t="shared" ca="1" si="46"/>
        <v>0</v>
      </c>
      <c r="L84" s="945"/>
      <c r="M84" s="945"/>
      <c r="N84" s="945"/>
      <c r="O84" s="945"/>
      <c r="P84" s="945"/>
    </row>
    <row r="85" spans="1:26" ht="19.5">
      <c r="A85" s="917" t="s">
        <v>44</v>
      </c>
      <c r="B85" s="918"/>
      <c r="C85" s="919"/>
      <c r="D85" s="918"/>
      <c r="E85" s="918"/>
      <c r="F85" s="918"/>
      <c r="G85" s="920"/>
      <c r="H85" s="921"/>
      <c r="I85" s="922"/>
      <c r="J85" s="922"/>
      <c r="K85" s="923"/>
      <c r="L85" s="923"/>
      <c r="M85" s="923"/>
      <c r="N85" s="923"/>
      <c r="O85" s="923"/>
      <c r="P85" s="923"/>
    </row>
    <row r="86" spans="1:26" ht="19.5">
      <c r="A86" s="924"/>
      <c r="B86" s="925" t="s">
        <v>45</v>
      </c>
      <c r="C86" s="926"/>
      <c r="D86" s="927"/>
      <c r="E86" s="926"/>
      <c r="F86" s="926"/>
      <c r="G86" s="928"/>
      <c r="H86" s="205" t="s">
        <v>46</v>
      </c>
      <c r="I86" s="929">
        <f t="shared" ref="I86:J87" ca="1" si="47">I98</f>
        <v>90</v>
      </c>
      <c r="J86" s="929">
        <f t="shared" si="47"/>
        <v>0</v>
      </c>
      <c r="K86" s="930">
        <f t="shared" ref="K86:K87" ca="1" si="48">IF(I86&gt;0,J86*100/I86,0)</f>
        <v>0</v>
      </c>
      <c r="L86" s="931"/>
      <c r="M86" s="931"/>
      <c r="N86" s="931"/>
      <c r="O86" s="931"/>
      <c r="P86" s="931"/>
    </row>
    <row r="87" spans="1:26" ht="19.5">
      <c r="A87" s="924"/>
      <c r="B87" s="926"/>
      <c r="C87" s="926"/>
      <c r="D87" s="927"/>
      <c r="E87" s="926"/>
      <c r="F87" s="926"/>
      <c r="G87" s="928"/>
      <c r="H87" s="205" t="s">
        <v>35</v>
      </c>
      <c r="I87" s="929">
        <f t="shared" ca="1" si="47"/>
        <v>30</v>
      </c>
      <c r="J87" s="929">
        <f t="shared" si="47"/>
        <v>30</v>
      </c>
      <c r="K87" s="930">
        <f t="shared" ca="1" si="48"/>
        <v>100</v>
      </c>
      <c r="L87" s="931"/>
      <c r="M87" s="931"/>
      <c r="N87" s="931"/>
      <c r="O87" s="931"/>
      <c r="P87" s="931"/>
    </row>
    <row r="88" spans="1:26" ht="19.5">
      <c r="A88" s="932"/>
      <c r="B88" s="933"/>
      <c r="C88" s="934" t="s">
        <v>16</v>
      </c>
      <c r="D88" s="935" t="s">
        <v>17</v>
      </c>
      <c r="E88" s="933"/>
      <c r="F88" s="933"/>
      <c r="G88" s="936"/>
      <c r="H88" s="152" t="s">
        <v>12</v>
      </c>
      <c r="I88" s="937"/>
      <c r="J88" s="937"/>
      <c r="K88" s="938"/>
      <c r="L88" s="939">
        <f t="shared" ref="L88:N88" ca="1" si="49">L89+L90</f>
        <v>136720</v>
      </c>
      <c r="M88" s="939">
        <f t="shared" ca="1" si="49"/>
        <v>96270</v>
      </c>
      <c r="N88" s="939">
        <f t="shared" ca="1" si="49"/>
        <v>65520</v>
      </c>
      <c r="O88" s="939">
        <f t="shared" ref="O88:O96" ca="1" si="50">IF(L88&gt;0,N88*100/L88,0)</f>
        <v>47.922761849034522</v>
      </c>
      <c r="P88" s="939">
        <f t="shared" ref="P88:P96" ca="1" si="51">IF(M88&gt;0,N88*100/M88,0)</f>
        <v>68.058585229043317</v>
      </c>
      <c r="Q88" s="818"/>
      <c r="R88" s="818"/>
      <c r="S88" s="818"/>
      <c r="T88" s="818"/>
      <c r="U88" s="818"/>
      <c r="V88" s="818"/>
      <c r="W88" s="818"/>
      <c r="X88" s="818"/>
      <c r="Y88" s="818"/>
      <c r="Z88" s="818"/>
    </row>
    <row r="89" spans="1:26" ht="18.75" hidden="1">
      <c r="A89" s="940"/>
      <c r="B89" s="833"/>
      <c r="C89" s="833"/>
      <c r="D89" s="833"/>
      <c r="E89" s="834" t="s">
        <v>18</v>
      </c>
      <c r="F89" s="833"/>
      <c r="G89" s="941"/>
      <c r="H89" s="158" t="s">
        <v>12</v>
      </c>
      <c r="I89" s="836"/>
      <c r="J89" s="836"/>
      <c r="K89" s="837"/>
      <c r="L89" s="837">
        <f t="shared" ref="L89:N90" si="52">L92+L95</f>
        <v>0</v>
      </c>
      <c r="M89" s="837">
        <f t="shared" si="52"/>
        <v>0</v>
      </c>
      <c r="N89" s="837">
        <f t="shared" si="52"/>
        <v>0</v>
      </c>
      <c r="O89" s="837">
        <f t="shared" si="50"/>
        <v>0</v>
      </c>
      <c r="P89" s="837">
        <f t="shared" si="51"/>
        <v>0</v>
      </c>
      <c r="Q89" s="825"/>
      <c r="R89" s="825"/>
      <c r="S89" s="825"/>
      <c r="T89" s="825"/>
      <c r="U89" s="825"/>
      <c r="V89" s="825"/>
      <c r="W89" s="825"/>
      <c r="X89" s="825"/>
      <c r="Y89" s="825"/>
      <c r="Z89" s="825"/>
    </row>
    <row r="90" spans="1:26" ht="18.75" hidden="1">
      <c r="A90" s="940"/>
      <c r="B90" s="833"/>
      <c r="C90" s="833"/>
      <c r="D90" s="833"/>
      <c r="E90" s="834" t="s">
        <v>19</v>
      </c>
      <c r="F90" s="833"/>
      <c r="G90" s="941"/>
      <c r="H90" s="158" t="s">
        <v>12</v>
      </c>
      <c r="I90" s="836"/>
      <c r="J90" s="836"/>
      <c r="K90" s="837"/>
      <c r="L90" s="837">
        <f t="shared" ca="1" si="52"/>
        <v>136720</v>
      </c>
      <c r="M90" s="837">
        <f t="shared" ca="1" si="52"/>
        <v>96270</v>
      </c>
      <c r="N90" s="837">
        <f t="shared" ca="1" si="52"/>
        <v>65520</v>
      </c>
      <c r="O90" s="837">
        <f t="shared" ca="1" si="50"/>
        <v>47.922761849034522</v>
      </c>
      <c r="P90" s="837">
        <f t="shared" ca="1" si="51"/>
        <v>68.058585229043317</v>
      </c>
      <c r="Q90" s="825"/>
      <c r="R90" s="825"/>
      <c r="S90" s="825"/>
      <c r="T90" s="825"/>
      <c r="U90" s="825"/>
      <c r="V90" s="825"/>
      <c r="W90" s="825"/>
      <c r="X90" s="825"/>
      <c r="Y90" s="825"/>
      <c r="Z90" s="825"/>
    </row>
    <row r="91" spans="1:26" ht="18.75">
      <c r="A91" s="942"/>
      <c r="B91" s="827"/>
      <c r="C91" s="943"/>
      <c r="D91" s="828" t="s">
        <v>20</v>
      </c>
      <c r="E91" s="827"/>
      <c r="F91" s="827"/>
      <c r="G91" s="829"/>
      <c r="H91" s="778" t="s">
        <v>12</v>
      </c>
      <c r="I91" s="944"/>
      <c r="J91" s="944"/>
      <c r="K91" s="945"/>
      <c r="L91" s="831">
        <f t="shared" ref="L91:N91" ca="1" si="53">L92+L93</f>
        <v>136720</v>
      </c>
      <c r="M91" s="831">
        <f t="shared" ca="1" si="53"/>
        <v>96270</v>
      </c>
      <c r="N91" s="831">
        <f t="shared" ca="1" si="53"/>
        <v>65520</v>
      </c>
      <c r="O91" s="831">
        <f t="shared" ca="1" si="50"/>
        <v>47.922761849034522</v>
      </c>
      <c r="P91" s="831">
        <f t="shared" ca="1" si="51"/>
        <v>68.058585229043317</v>
      </c>
      <c r="Q91" s="818"/>
      <c r="R91" s="818"/>
      <c r="S91" s="818"/>
      <c r="T91" s="818"/>
      <c r="U91" s="818"/>
      <c r="V91" s="818"/>
      <c r="W91" s="818"/>
      <c r="X91" s="818"/>
      <c r="Y91" s="818"/>
      <c r="Z91" s="818"/>
    </row>
    <row r="92" spans="1:26" ht="19.5" hidden="1">
      <c r="A92" s="940"/>
      <c r="B92" s="833"/>
      <c r="C92" s="946"/>
      <c r="D92" s="833"/>
      <c r="E92" s="834" t="s">
        <v>36</v>
      </c>
      <c r="F92" s="833"/>
      <c r="G92" s="941"/>
      <c r="H92" s="165" t="s">
        <v>12</v>
      </c>
      <c r="I92" s="947"/>
      <c r="J92" s="947"/>
      <c r="K92" s="948"/>
      <c r="L92" s="837">
        <v>0</v>
      </c>
      <c r="M92" s="837">
        <v>0</v>
      </c>
      <c r="N92" s="837">
        <v>0</v>
      </c>
      <c r="O92" s="837">
        <f t="shared" si="50"/>
        <v>0</v>
      </c>
      <c r="P92" s="837">
        <f t="shared" si="51"/>
        <v>0</v>
      </c>
      <c r="Q92" s="825"/>
      <c r="R92" s="825"/>
      <c r="S92" s="825"/>
      <c r="T92" s="825"/>
      <c r="U92" s="825"/>
      <c r="V92" s="825"/>
      <c r="W92" s="825"/>
      <c r="X92" s="825"/>
      <c r="Y92" s="825"/>
      <c r="Z92" s="825"/>
    </row>
    <row r="93" spans="1:26" ht="19.5" hidden="1">
      <c r="A93" s="940"/>
      <c r="B93" s="833"/>
      <c r="C93" s="946"/>
      <c r="D93" s="833"/>
      <c r="E93" s="834" t="s">
        <v>37</v>
      </c>
      <c r="F93" s="833"/>
      <c r="G93" s="941"/>
      <c r="H93" s="165" t="s">
        <v>12</v>
      </c>
      <c r="I93" s="947"/>
      <c r="J93" s="947"/>
      <c r="K93" s="948"/>
      <c r="L93" s="837">
        <f ca="1">IFERROR(__xludf.DUMMYFUNCTION("IMPORTRANGE(""https://docs.google.com/spreadsheets/d/1MeEWN-I1oV_STSDYn1IFDPWt_1FKiwhDph83XaGc0o0/edit?usp=sharing"",""งบพรบ!AQ28"")"),136720)</f>
        <v>136720</v>
      </c>
      <c r="M93" s="837">
        <f ca="1">IFERROR(__xludf.DUMMYFUNCTION("IMPORTRANGE(""https://docs.google.com/spreadsheets/d/1MeEWN-I1oV_STSDYn1IFDPWt_1FKiwhDph83XaGc0o0/edit?usp=sharing"",""งบพรบ!AV28"")"),96270)</f>
        <v>96270</v>
      </c>
      <c r="N93" s="837">
        <f ca="1">IFERROR(__xludf.DUMMYFUNCTION("IMPORTRANGE(""https://docs.google.com/spreadsheets/d/1MeEWN-I1oV_STSDYn1IFDPWt_1FKiwhDph83XaGc0o0/edit?usp=sharing"",""งบพรบ!AX28"")"),65520)</f>
        <v>65520</v>
      </c>
      <c r="O93" s="837">
        <f t="shared" ca="1" si="50"/>
        <v>47.922761849034522</v>
      </c>
      <c r="P93" s="837">
        <f t="shared" ca="1" si="51"/>
        <v>68.058585229043317</v>
      </c>
      <c r="Q93" s="825"/>
      <c r="R93" s="825"/>
      <c r="S93" s="825"/>
      <c r="T93" s="825"/>
      <c r="U93" s="825"/>
      <c r="V93" s="825"/>
      <c r="W93" s="825"/>
      <c r="X93" s="825"/>
      <c r="Y93" s="825"/>
      <c r="Z93" s="825"/>
    </row>
    <row r="94" spans="1:26" ht="18.75">
      <c r="A94" s="942"/>
      <c r="B94" s="827"/>
      <c r="C94" s="943"/>
      <c r="D94" s="828" t="s">
        <v>21</v>
      </c>
      <c r="E94" s="827"/>
      <c r="F94" s="827"/>
      <c r="G94" s="829"/>
      <c r="H94" s="168" t="s">
        <v>12</v>
      </c>
      <c r="I94" s="944"/>
      <c r="J94" s="944"/>
      <c r="K94" s="945"/>
      <c r="L94" s="831">
        <f t="shared" ref="L94:N94" ca="1" si="54">L95+L96</f>
        <v>0</v>
      </c>
      <c r="M94" s="831">
        <f t="shared" ca="1" si="54"/>
        <v>0</v>
      </c>
      <c r="N94" s="831">
        <f t="shared" ca="1" si="54"/>
        <v>0</v>
      </c>
      <c r="O94" s="831">
        <f t="shared" ca="1" si="50"/>
        <v>0</v>
      </c>
      <c r="P94" s="831">
        <f t="shared" ca="1" si="51"/>
        <v>0</v>
      </c>
      <c r="Q94" s="818"/>
      <c r="R94" s="818"/>
      <c r="S94" s="818"/>
      <c r="T94" s="818"/>
      <c r="U94" s="818"/>
      <c r="V94" s="818"/>
      <c r="W94" s="818"/>
      <c r="X94" s="818"/>
      <c r="Y94" s="818"/>
      <c r="Z94" s="818"/>
    </row>
    <row r="95" spans="1:26" ht="19.5" hidden="1">
      <c r="A95" s="940"/>
      <c r="B95" s="833"/>
      <c r="C95" s="946"/>
      <c r="D95" s="833"/>
      <c r="E95" s="834" t="s">
        <v>18</v>
      </c>
      <c r="F95" s="833"/>
      <c r="G95" s="941"/>
      <c r="H95" s="165" t="s">
        <v>12</v>
      </c>
      <c r="I95" s="947"/>
      <c r="J95" s="947"/>
      <c r="K95" s="948"/>
      <c r="L95" s="837">
        <v>0</v>
      </c>
      <c r="M95" s="837">
        <v>0</v>
      </c>
      <c r="N95" s="837">
        <v>0</v>
      </c>
      <c r="O95" s="837">
        <f t="shared" si="50"/>
        <v>0</v>
      </c>
      <c r="P95" s="837">
        <f t="shared" si="51"/>
        <v>0</v>
      </c>
      <c r="Q95" s="825"/>
      <c r="R95" s="825"/>
      <c r="S95" s="825"/>
      <c r="T95" s="825"/>
      <c r="U95" s="825"/>
      <c r="V95" s="825"/>
      <c r="W95" s="825"/>
      <c r="X95" s="825"/>
      <c r="Y95" s="825"/>
      <c r="Z95" s="825"/>
    </row>
    <row r="96" spans="1:26" ht="19.5" hidden="1">
      <c r="A96" s="940"/>
      <c r="B96" s="833"/>
      <c r="C96" s="946"/>
      <c r="D96" s="833"/>
      <c r="E96" s="834" t="s">
        <v>19</v>
      </c>
      <c r="F96" s="833"/>
      <c r="G96" s="941"/>
      <c r="H96" s="169" t="s">
        <v>12</v>
      </c>
      <c r="I96" s="947"/>
      <c r="J96" s="947"/>
      <c r="K96" s="948"/>
      <c r="L96" s="837">
        <f ca="1">IFERROR(__xludf.DUMMYFUNCTION("IMPORTRANGE(""https://docs.google.com/spreadsheets/d/1MeEWN-I1oV_STSDYn1IFDPWt_1FKiwhDph83XaGc0o0/edit?usp=sharing"",""งบพรบ!AT28"")"),0)</f>
        <v>0</v>
      </c>
      <c r="M96" s="837">
        <f ca="1">IFERROR(__xludf.DUMMYFUNCTION("IMPORTRANGE(""https://docs.google.com/spreadsheets/d/1MeEWN-I1oV_STSDYn1IFDPWt_1FKiwhDph83XaGc0o0/edit?usp=sharing"",""งบพรบ!AW28"")"),0)</f>
        <v>0</v>
      </c>
      <c r="N96" s="837">
        <f ca="1">IFERROR(__xludf.DUMMYFUNCTION("IMPORTRANGE(""https://docs.google.com/spreadsheets/d/1MeEWN-I1oV_STSDYn1IFDPWt_1FKiwhDph83XaGc0o0/edit?usp=sharing"",""งบพรบ!AY28"")"),0)</f>
        <v>0</v>
      </c>
      <c r="O96" s="837">
        <f t="shared" ca="1" si="50"/>
        <v>0</v>
      </c>
      <c r="P96" s="837">
        <f t="shared" ca="1" si="51"/>
        <v>0</v>
      </c>
      <c r="Q96" s="825"/>
      <c r="R96" s="825"/>
      <c r="S96" s="825"/>
      <c r="T96" s="825"/>
      <c r="U96" s="825"/>
      <c r="V96" s="825"/>
      <c r="W96" s="825"/>
      <c r="X96" s="825"/>
      <c r="Y96" s="825"/>
      <c r="Z96" s="825"/>
    </row>
    <row r="97" spans="1:16" ht="19.5">
      <c r="A97" s="949"/>
      <c r="B97" s="950"/>
      <c r="C97" s="946" t="s">
        <v>16</v>
      </c>
      <c r="D97" s="951" t="s">
        <v>38</v>
      </c>
      <c r="E97" s="952"/>
      <c r="F97" s="952"/>
      <c r="G97" s="953"/>
      <c r="H97" s="954"/>
      <c r="I97" s="944"/>
      <c r="J97" s="830"/>
      <c r="K97" s="831"/>
      <c r="L97" s="831"/>
      <c r="M97" s="831"/>
      <c r="N97" s="831"/>
      <c r="O97" s="945"/>
      <c r="P97" s="945"/>
    </row>
    <row r="98" spans="1:16" ht="18.75">
      <c r="A98" s="949"/>
      <c r="B98" s="950"/>
      <c r="C98" s="950"/>
      <c r="D98" s="956" t="s">
        <v>47</v>
      </c>
      <c r="E98" s="956"/>
      <c r="F98" s="957"/>
      <c r="G98" s="958"/>
      <c r="H98" s="590" t="s">
        <v>46</v>
      </c>
      <c r="I98" s="830">
        <f ca="1">IFERROR(__xludf.DUMMYFUNCTION("IMPORTRANGE(""https://docs.google.com/spreadsheets/d/1QqKyyYR6Q21VydFLVH3TRQUabQu_ym0Zz7PgGX0-kHA/edit?usp=sharing"",""แผน!K28"")"),90)</f>
        <v>90</v>
      </c>
      <c r="J98" s="830">
        <f>J102</f>
        <v>0</v>
      </c>
      <c r="K98" s="831">
        <f t="shared" ref="K98:K100" ca="1" si="55">IF(I98&gt;0,J98*100/I98,0)</f>
        <v>0</v>
      </c>
      <c r="L98" s="831"/>
      <c r="M98" s="831"/>
      <c r="N98" s="831"/>
      <c r="O98" s="945"/>
      <c r="P98" s="945"/>
    </row>
    <row r="99" spans="1:16" ht="18.75">
      <c r="A99" s="949"/>
      <c r="B99" s="950"/>
      <c r="C99" s="950"/>
      <c r="D99" s="956" t="s">
        <v>48</v>
      </c>
      <c r="E99" s="956"/>
      <c r="F99" s="957"/>
      <c r="G99" s="958"/>
      <c r="H99" s="590" t="s">
        <v>35</v>
      </c>
      <c r="I99" s="830">
        <f ca="1">IFERROR(__xludf.DUMMYFUNCTION("IMPORTRANGE(""https://docs.google.com/spreadsheets/d/1QqKyyYR6Q21VydFLVH3TRQUabQu_ym0Zz7PgGX0-kHA/edit?usp=sharing"",""แผน!L28"")"),30)</f>
        <v>30</v>
      </c>
      <c r="J99" s="830">
        <f>J104</f>
        <v>30</v>
      </c>
      <c r="K99" s="831">
        <f t="shared" ca="1" si="55"/>
        <v>100</v>
      </c>
      <c r="L99" s="831"/>
      <c r="M99" s="831"/>
      <c r="N99" s="831"/>
      <c r="O99" s="945"/>
      <c r="P99" s="945"/>
    </row>
    <row r="100" spans="1:16" ht="18.75">
      <c r="A100" s="949"/>
      <c r="B100" s="950"/>
      <c r="C100" s="950"/>
      <c r="D100" s="950"/>
      <c r="E100" s="957"/>
      <c r="F100" s="957"/>
      <c r="G100" s="958"/>
      <c r="H100" s="590" t="s">
        <v>49</v>
      </c>
      <c r="I100" s="830">
        <f ca="1">IFERROR(__xludf.DUMMYFUNCTION("IMPORTRANGE(""https://docs.google.com/spreadsheets/d/1QqKyyYR6Q21VydFLVH3TRQUabQu_ym0Zz7PgGX0-kHA/edit?usp=sharing"",""แผน!M28"")"),2)</f>
        <v>2</v>
      </c>
      <c r="J100" s="830">
        <f>J107+J110</f>
        <v>0</v>
      </c>
      <c r="K100" s="831">
        <f t="shared" ca="1" si="55"/>
        <v>0</v>
      </c>
      <c r="L100" s="831"/>
      <c r="M100" s="831"/>
      <c r="N100" s="831"/>
      <c r="O100" s="945"/>
      <c r="P100" s="945"/>
    </row>
    <row r="101" spans="1:16" ht="19.5">
      <c r="A101" s="949"/>
      <c r="B101" s="950"/>
      <c r="C101" s="950"/>
      <c r="D101" s="957"/>
      <c r="E101" s="960" t="s">
        <v>50</v>
      </c>
      <c r="F101" s="957"/>
      <c r="G101" s="958"/>
      <c r="H101" s="590"/>
      <c r="I101" s="830"/>
      <c r="J101" s="830"/>
      <c r="K101" s="831"/>
      <c r="L101" s="831"/>
      <c r="M101" s="831"/>
      <c r="N101" s="831"/>
      <c r="O101" s="945"/>
      <c r="P101" s="945"/>
    </row>
    <row r="102" spans="1:16" ht="18.75">
      <c r="A102" s="949"/>
      <c r="B102" s="950"/>
      <c r="C102" s="950"/>
      <c r="D102" s="957"/>
      <c r="E102" s="961" t="s">
        <v>47</v>
      </c>
      <c r="F102" s="957"/>
      <c r="G102" s="958"/>
      <c r="H102" s="590" t="s">
        <v>46</v>
      </c>
      <c r="I102" s="830">
        <f ca="1">IFERROR(__xludf.DUMMYFUNCTION("IMPORTRANGE(""https://docs.google.com/spreadsheets/d/1QqKyyYR6Q21VydFLVH3TRQUabQu_ym0Zz7PgGX0-kHA/edit?usp=sharing"",""แผน!N28"")"),90)</f>
        <v>90</v>
      </c>
      <c r="J102" s="959">
        <v>0</v>
      </c>
      <c r="K102" s="831">
        <f t="shared" ref="K102:K104" ca="1" si="56">IF(I102&gt;0,J102*100/I102,0)</f>
        <v>0</v>
      </c>
      <c r="L102" s="831"/>
      <c r="M102" s="831"/>
      <c r="N102" s="831"/>
      <c r="O102" s="945"/>
      <c r="P102" s="945"/>
    </row>
    <row r="103" spans="1:16" ht="19.5">
      <c r="A103" s="949"/>
      <c r="B103" s="950"/>
      <c r="C103" s="950"/>
      <c r="D103" s="957"/>
      <c r="E103" s="956" t="s">
        <v>51</v>
      </c>
      <c r="F103" s="957"/>
      <c r="G103" s="958"/>
      <c r="H103" s="590" t="s">
        <v>35</v>
      </c>
      <c r="I103" s="830">
        <f ca="1">IFERROR(__xludf.DUMMYFUNCTION("IMPORTRANGE(""https://docs.google.com/spreadsheets/d/1QqKyyYR6Q21VydFLVH3TRQUabQu_ym0Zz7PgGX0-kHA/edit?usp=sharing"",""แผน!O28"")"),30)</f>
        <v>30</v>
      </c>
      <c r="J103" s="959">
        <v>30</v>
      </c>
      <c r="K103" s="831">
        <f t="shared" ca="1" si="56"/>
        <v>100</v>
      </c>
      <c r="L103" s="831"/>
      <c r="M103" s="831"/>
      <c r="N103" s="831"/>
      <c r="O103" s="945"/>
      <c r="P103" s="945"/>
    </row>
    <row r="104" spans="1:16" ht="18.75">
      <c r="A104" s="949"/>
      <c r="B104" s="950"/>
      <c r="C104" s="950"/>
      <c r="D104" s="957"/>
      <c r="E104" s="962" t="s">
        <v>52</v>
      </c>
      <c r="F104" s="957"/>
      <c r="G104" s="958"/>
      <c r="H104" s="590" t="s">
        <v>35</v>
      </c>
      <c r="I104" s="830">
        <f ca="1">IFERROR(__xludf.DUMMYFUNCTION("IMPORTRANGE(""https://docs.google.com/spreadsheets/d/1QqKyyYR6Q21VydFLVH3TRQUabQu_ym0Zz7PgGX0-kHA/edit?usp=sharing"",""แผน!O28"")"),30)</f>
        <v>30</v>
      </c>
      <c r="J104" s="959">
        <v>30</v>
      </c>
      <c r="K104" s="831">
        <f t="shared" ca="1" si="56"/>
        <v>100</v>
      </c>
      <c r="L104" s="831"/>
      <c r="M104" s="831"/>
      <c r="N104" s="831"/>
      <c r="O104" s="945"/>
      <c r="P104" s="945"/>
    </row>
    <row r="105" spans="1:16" ht="19.5">
      <c r="A105" s="949"/>
      <c r="B105" s="950"/>
      <c r="C105" s="950"/>
      <c r="D105" s="957"/>
      <c r="E105" s="960" t="s">
        <v>53</v>
      </c>
      <c r="F105" s="957"/>
      <c r="G105" s="958"/>
      <c r="H105" s="963"/>
      <c r="I105" s="830"/>
      <c r="J105" s="830"/>
      <c r="K105" s="831"/>
      <c r="L105" s="831"/>
      <c r="M105" s="831"/>
      <c r="N105" s="831"/>
      <c r="O105" s="945"/>
      <c r="P105" s="945"/>
    </row>
    <row r="106" spans="1:16" ht="19.5">
      <c r="A106" s="949"/>
      <c r="B106" s="950"/>
      <c r="C106" s="950"/>
      <c r="D106" s="957"/>
      <c r="E106" s="956" t="s">
        <v>54</v>
      </c>
      <c r="F106" s="957"/>
      <c r="G106" s="958"/>
      <c r="H106" s="590" t="s">
        <v>49</v>
      </c>
      <c r="I106" s="830">
        <f ca="1">IFERROR(__xludf.DUMMYFUNCTION("IMPORTRANGE(""https://docs.google.com/spreadsheets/d/1QqKyyYR6Q21VydFLVH3TRQUabQu_ym0Zz7PgGX0-kHA/edit?usp=sharing"",""แผน!P28"")"),1)</f>
        <v>1</v>
      </c>
      <c r="J106" s="959">
        <v>0</v>
      </c>
      <c r="K106" s="831">
        <f t="shared" ref="K106:K107" ca="1" si="57">IF(I106&gt;0,J106*100/I106,0)</f>
        <v>0</v>
      </c>
      <c r="L106" s="831"/>
      <c r="M106" s="831"/>
      <c r="N106" s="831"/>
      <c r="O106" s="945"/>
      <c r="P106" s="945"/>
    </row>
    <row r="107" spans="1:16" ht="18.75">
      <c r="A107" s="949"/>
      <c r="B107" s="950"/>
      <c r="C107" s="950"/>
      <c r="D107" s="957"/>
      <c r="E107" s="962" t="s">
        <v>55</v>
      </c>
      <c r="F107" s="957"/>
      <c r="G107" s="958"/>
      <c r="H107" s="590" t="s">
        <v>49</v>
      </c>
      <c r="I107" s="830">
        <f ca="1">IFERROR(__xludf.DUMMYFUNCTION("IMPORTRANGE(""https://docs.google.com/spreadsheets/d/1QqKyyYR6Q21VydFLVH3TRQUabQu_ym0Zz7PgGX0-kHA/edit?usp=sharing"",""แผน!P28"")"),1)</f>
        <v>1</v>
      </c>
      <c r="J107" s="959">
        <v>0</v>
      </c>
      <c r="K107" s="831">
        <f t="shared" ca="1" si="57"/>
        <v>0</v>
      </c>
      <c r="L107" s="831"/>
      <c r="M107" s="831"/>
      <c r="N107" s="831"/>
      <c r="O107" s="945"/>
      <c r="P107" s="945"/>
    </row>
    <row r="108" spans="1:16" ht="19.5">
      <c r="A108" s="949"/>
      <c r="B108" s="950"/>
      <c r="C108" s="950"/>
      <c r="D108" s="957"/>
      <c r="E108" s="960" t="s">
        <v>56</v>
      </c>
      <c r="F108" s="957"/>
      <c r="G108" s="958"/>
      <c r="H108" s="963"/>
      <c r="I108" s="830"/>
      <c r="J108" s="830"/>
      <c r="K108" s="831"/>
      <c r="L108" s="831"/>
      <c r="M108" s="831"/>
      <c r="N108" s="831"/>
      <c r="O108" s="945"/>
      <c r="P108" s="945"/>
    </row>
    <row r="109" spans="1:16" ht="19.5">
      <c r="A109" s="949"/>
      <c r="B109" s="950"/>
      <c r="C109" s="950"/>
      <c r="D109" s="957"/>
      <c r="E109" s="956" t="s">
        <v>57</v>
      </c>
      <c r="F109" s="957"/>
      <c r="G109" s="958"/>
      <c r="H109" s="590" t="s">
        <v>49</v>
      </c>
      <c r="I109" s="830">
        <f ca="1">IFERROR(__xludf.DUMMYFUNCTION("IMPORTRANGE(""https://docs.google.com/spreadsheets/d/1QqKyyYR6Q21VydFLVH3TRQUabQu_ym0Zz7PgGX0-kHA/edit?usp=sharing"",""แผน!Q28"")"),1)</f>
        <v>1</v>
      </c>
      <c r="J109" s="959">
        <v>0</v>
      </c>
      <c r="K109" s="831">
        <f t="shared" ref="K109:K116" ca="1" si="58">IF(I109&gt;0,J109*100/I109,0)</f>
        <v>0</v>
      </c>
      <c r="L109" s="831"/>
      <c r="M109" s="831"/>
      <c r="N109" s="831"/>
      <c r="O109" s="945"/>
      <c r="P109" s="945"/>
    </row>
    <row r="110" spans="1:16" ht="18.75">
      <c r="A110" s="949"/>
      <c r="B110" s="950"/>
      <c r="C110" s="950"/>
      <c r="D110" s="957"/>
      <c r="E110" s="964" t="s">
        <v>58</v>
      </c>
      <c r="F110" s="957"/>
      <c r="G110" s="958"/>
      <c r="H110" s="590" t="s">
        <v>49</v>
      </c>
      <c r="I110" s="830">
        <f ca="1">IFERROR(__xludf.DUMMYFUNCTION("IMPORTRANGE(""https://docs.google.com/spreadsheets/d/1QqKyyYR6Q21VydFLVH3TRQUabQu_ym0Zz7PgGX0-kHA/edit?usp=sharing"",""แผน!Q28"")"),1)</f>
        <v>1</v>
      </c>
      <c r="J110" s="959">
        <v>0</v>
      </c>
      <c r="K110" s="831">
        <f t="shared" ca="1" si="58"/>
        <v>0</v>
      </c>
      <c r="L110" s="831"/>
      <c r="M110" s="831"/>
      <c r="N110" s="831"/>
      <c r="O110" s="945"/>
      <c r="P110" s="945"/>
    </row>
    <row r="111" spans="1:16" ht="19.5">
      <c r="A111" s="949"/>
      <c r="B111" s="950"/>
      <c r="C111" s="950"/>
      <c r="D111" s="960" t="s">
        <v>59</v>
      </c>
      <c r="E111" s="960"/>
      <c r="F111" s="957"/>
      <c r="G111" s="958"/>
      <c r="H111" s="733" t="s">
        <v>35</v>
      </c>
      <c r="I111" s="965">
        <f ca="1">IFERROR(__xludf.DUMMYFUNCTION("IMPORTRANGE(""https://docs.google.com/spreadsheets/d/1QqKyyYR6Q21VydFLVH3TRQUabQu_ym0Zz7PgGX0-kHA/edit?usp=sharing"",""แผน!R28"")"),30)</f>
        <v>30</v>
      </c>
      <c r="J111" s="966">
        <f>J114</f>
        <v>0</v>
      </c>
      <c r="K111" s="967">
        <f t="shared" ca="1" si="58"/>
        <v>0</v>
      </c>
      <c r="L111" s="831"/>
      <c r="M111" s="831"/>
      <c r="N111" s="831"/>
      <c r="O111" s="945"/>
      <c r="P111" s="945"/>
    </row>
    <row r="112" spans="1:16" ht="19.5">
      <c r="A112" s="949"/>
      <c r="B112" s="950"/>
      <c r="C112" s="950"/>
      <c r="D112" s="950"/>
      <c r="E112" s="957"/>
      <c r="F112" s="957"/>
      <c r="G112" s="958"/>
      <c r="H112" s="196" t="s">
        <v>49</v>
      </c>
      <c r="I112" s="965">
        <f t="shared" ref="I112:J112" ca="1" si="59">I115+I116</f>
        <v>2</v>
      </c>
      <c r="J112" s="966">
        <f t="shared" si="59"/>
        <v>0</v>
      </c>
      <c r="K112" s="967">
        <f t="shared" ca="1" si="58"/>
        <v>0</v>
      </c>
      <c r="L112" s="831"/>
      <c r="M112" s="831"/>
      <c r="N112" s="831"/>
      <c r="O112" s="945"/>
      <c r="P112" s="945"/>
    </row>
    <row r="113" spans="1:26" ht="19.5">
      <c r="A113" s="949"/>
      <c r="B113" s="950"/>
      <c r="C113" s="950"/>
      <c r="D113" s="950"/>
      <c r="E113" s="968" t="s">
        <v>60</v>
      </c>
      <c r="F113" s="957"/>
      <c r="G113" s="958"/>
      <c r="H113" s="198" t="s">
        <v>35</v>
      </c>
      <c r="I113" s="944">
        <f ca="1">IFERROR(__xludf.DUMMYFUNCTION("IMPORTRANGE(""https://docs.google.com/spreadsheets/d/1QqKyyYR6Q21VydFLVH3TRQUabQu_ym0Zz7PgGX0-kHA/edit?usp=sharing"",""แผน!R28"")"),30)</f>
        <v>30</v>
      </c>
      <c r="J113" s="959">
        <v>0</v>
      </c>
      <c r="K113" s="831">
        <f t="shared" ca="1" si="58"/>
        <v>0</v>
      </c>
      <c r="L113" s="831"/>
      <c r="M113" s="831"/>
      <c r="N113" s="831"/>
      <c r="O113" s="945"/>
      <c r="P113" s="945"/>
    </row>
    <row r="114" spans="1:26" ht="19.5">
      <c r="A114" s="949"/>
      <c r="B114" s="950"/>
      <c r="C114" s="950"/>
      <c r="D114" s="950"/>
      <c r="E114" s="956" t="s">
        <v>61</v>
      </c>
      <c r="F114" s="957"/>
      <c r="G114" s="958"/>
      <c r="H114" s="199" t="s">
        <v>35</v>
      </c>
      <c r="I114" s="944">
        <f ca="1">IFERROR(__xludf.DUMMYFUNCTION("IMPORTRANGE(""https://docs.google.com/spreadsheets/d/1QqKyyYR6Q21VydFLVH3TRQUabQu_ym0Zz7PgGX0-kHA/edit?usp=sharing"",""แผน!R28"")"),30)</f>
        <v>30</v>
      </c>
      <c r="J114" s="959">
        <v>0</v>
      </c>
      <c r="K114" s="831">
        <f t="shared" ca="1" si="58"/>
        <v>0</v>
      </c>
      <c r="L114" s="831"/>
      <c r="M114" s="831"/>
      <c r="N114" s="831"/>
      <c r="O114" s="945"/>
      <c r="P114" s="945"/>
    </row>
    <row r="115" spans="1:26" ht="18.75">
      <c r="A115" s="949"/>
      <c r="B115" s="950"/>
      <c r="C115" s="950"/>
      <c r="D115" s="950"/>
      <c r="E115" s="956" t="s">
        <v>62</v>
      </c>
      <c r="F115" s="957"/>
      <c r="G115" s="958"/>
      <c r="H115" s="199" t="s">
        <v>49</v>
      </c>
      <c r="I115" s="944">
        <f ca="1">IFERROR(__xludf.DUMMYFUNCTION("IMPORTRANGE(""https://docs.google.com/spreadsheets/d/1QqKyyYR6Q21VydFLVH3TRQUabQu_ym0Zz7PgGX0-kHA/edit?usp=sharing"",""แผน!S28"")"),1)</f>
        <v>1</v>
      </c>
      <c r="J115" s="959">
        <v>0</v>
      </c>
      <c r="K115" s="831">
        <f t="shared" ca="1" si="58"/>
        <v>0</v>
      </c>
      <c r="L115" s="831"/>
      <c r="M115" s="831"/>
      <c r="N115" s="831"/>
      <c r="O115" s="945"/>
      <c r="P115" s="945"/>
    </row>
    <row r="116" spans="1:26" ht="18.75">
      <c r="A116" s="949"/>
      <c r="B116" s="950"/>
      <c r="C116" s="950"/>
      <c r="D116" s="950"/>
      <c r="E116" s="956" t="s">
        <v>63</v>
      </c>
      <c r="F116" s="957"/>
      <c r="G116" s="958"/>
      <c r="H116" s="199" t="s">
        <v>49</v>
      </c>
      <c r="I116" s="944">
        <f ca="1">IFERROR(__xludf.DUMMYFUNCTION("IMPORTRANGE(""https://docs.google.com/spreadsheets/d/1QqKyyYR6Q21VydFLVH3TRQUabQu_ym0Zz7PgGX0-kHA/edit?usp=sharing"",""แผน!T28"")"),1)</f>
        <v>1</v>
      </c>
      <c r="J116" s="959">
        <v>0</v>
      </c>
      <c r="K116" s="831">
        <f t="shared" ca="1" si="58"/>
        <v>0</v>
      </c>
      <c r="L116" s="831"/>
      <c r="M116" s="831"/>
      <c r="N116" s="831"/>
      <c r="O116" s="945"/>
      <c r="P116" s="945"/>
    </row>
    <row r="117" spans="1:26" ht="19.5">
      <c r="A117" s="917" t="s">
        <v>64</v>
      </c>
      <c r="B117" s="918"/>
      <c r="C117" s="969"/>
      <c r="D117" s="918"/>
      <c r="E117" s="918"/>
      <c r="F117" s="918"/>
      <c r="G117" s="918"/>
      <c r="H117" s="970"/>
      <c r="I117" s="971"/>
      <c r="J117" s="971"/>
      <c r="K117" s="972"/>
      <c r="L117" s="923"/>
      <c r="M117" s="923"/>
      <c r="N117" s="923"/>
      <c r="O117" s="923"/>
      <c r="P117" s="923"/>
    </row>
    <row r="118" spans="1:26" ht="19.5">
      <c r="A118" s="924"/>
      <c r="B118" s="925" t="s">
        <v>65</v>
      </c>
      <c r="C118" s="973"/>
      <c r="D118" s="927"/>
      <c r="E118" s="926"/>
      <c r="F118" s="926"/>
      <c r="G118" s="928"/>
      <c r="H118" s="205" t="s">
        <v>66</v>
      </c>
      <c r="I118" s="974">
        <v>2</v>
      </c>
      <c r="J118" s="974">
        <f>J438+J440</f>
        <v>2</v>
      </c>
      <c r="K118" s="931">
        <f>IF(I118&gt;0,J118*100/I118,0)</f>
        <v>100</v>
      </c>
      <c r="L118" s="931"/>
      <c r="M118" s="931"/>
      <c r="N118" s="931"/>
      <c r="O118" s="931"/>
      <c r="P118" s="931"/>
    </row>
    <row r="119" spans="1:26" ht="19.5">
      <c r="A119" s="932"/>
      <c r="B119" s="933"/>
      <c r="C119" s="934" t="s">
        <v>16</v>
      </c>
      <c r="D119" s="935" t="s">
        <v>17</v>
      </c>
      <c r="E119" s="933"/>
      <c r="F119" s="933"/>
      <c r="G119" s="936"/>
      <c r="H119" s="152" t="s">
        <v>12</v>
      </c>
      <c r="I119" s="937"/>
      <c r="J119" s="937"/>
      <c r="K119" s="938"/>
      <c r="L119" s="939">
        <f t="shared" ref="L119:N119" ca="1" si="60">L120+L121</f>
        <v>245300</v>
      </c>
      <c r="M119" s="939">
        <f t="shared" ca="1" si="60"/>
        <v>245250</v>
      </c>
      <c r="N119" s="939">
        <f t="shared" ca="1" si="60"/>
        <v>245250</v>
      </c>
      <c r="O119" s="939">
        <f t="shared" ref="O119:O127" ca="1" si="61">IF(L119&gt;0,N119*100/L119,0)</f>
        <v>99.979616795760293</v>
      </c>
      <c r="P119" s="939">
        <f t="shared" ref="P119:P127" ca="1" si="62">IF(M119&gt;0,N119*100/M119,0)</f>
        <v>100</v>
      </c>
      <c r="Q119" s="818"/>
      <c r="R119" s="818"/>
      <c r="S119" s="818"/>
      <c r="T119" s="818"/>
      <c r="U119" s="818"/>
      <c r="V119" s="818"/>
      <c r="W119" s="818"/>
      <c r="X119" s="818"/>
      <c r="Y119" s="818"/>
      <c r="Z119" s="818"/>
    </row>
    <row r="120" spans="1:26" ht="18.75" hidden="1">
      <c r="A120" s="940"/>
      <c r="B120" s="833"/>
      <c r="C120" s="833"/>
      <c r="D120" s="833"/>
      <c r="E120" s="834" t="s">
        <v>18</v>
      </c>
      <c r="F120" s="833"/>
      <c r="G120" s="941"/>
      <c r="H120" s="158" t="s">
        <v>12</v>
      </c>
      <c r="I120" s="836"/>
      <c r="J120" s="836"/>
      <c r="K120" s="837"/>
      <c r="L120" s="837">
        <f t="shared" ref="L120:N121" si="63">L123+L126</f>
        <v>0</v>
      </c>
      <c r="M120" s="837">
        <f t="shared" si="63"/>
        <v>0</v>
      </c>
      <c r="N120" s="837">
        <f t="shared" si="63"/>
        <v>0</v>
      </c>
      <c r="O120" s="837">
        <f t="shared" si="61"/>
        <v>0</v>
      </c>
      <c r="P120" s="837">
        <f t="shared" si="62"/>
        <v>0</v>
      </c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</row>
    <row r="121" spans="1:26" ht="18.75" hidden="1">
      <c r="A121" s="940"/>
      <c r="B121" s="833"/>
      <c r="C121" s="833"/>
      <c r="D121" s="833"/>
      <c r="E121" s="834" t="s">
        <v>19</v>
      </c>
      <c r="F121" s="833"/>
      <c r="G121" s="941"/>
      <c r="H121" s="158" t="s">
        <v>12</v>
      </c>
      <c r="I121" s="836"/>
      <c r="J121" s="836"/>
      <c r="K121" s="837"/>
      <c r="L121" s="837">
        <f t="shared" ca="1" si="63"/>
        <v>245300</v>
      </c>
      <c r="M121" s="837">
        <f t="shared" ca="1" si="63"/>
        <v>245250</v>
      </c>
      <c r="N121" s="837">
        <f t="shared" ca="1" si="63"/>
        <v>245250</v>
      </c>
      <c r="O121" s="837">
        <f t="shared" ca="1" si="61"/>
        <v>99.979616795760293</v>
      </c>
      <c r="P121" s="837">
        <f t="shared" ca="1" si="62"/>
        <v>100</v>
      </c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</row>
    <row r="122" spans="1:26" ht="18.75">
      <c r="A122" s="942"/>
      <c r="B122" s="827"/>
      <c r="C122" s="943"/>
      <c r="D122" s="828" t="s">
        <v>20</v>
      </c>
      <c r="E122" s="827"/>
      <c r="F122" s="827"/>
      <c r="G122" s="829"/>
      <c r="H122" s="778" t="s">
        <v>12</v>
      </c>
      <c r="I122" s="944"/>
      <c r="J122" s="944"/>
      <c r="K122" s="945"/>
      <c r="L122" s="831">
        <f t="shared" ref="L122:N122" ca="1" si="64">L123+L124</f>
        <v>0</v>
      </c>
      <c r="M122" s="831">
        <f t="shared" ca="1" si="64"/>
        <v>0</v>
      </c>
      <c r="N122" s="831">
        <f t="shared" ca="1" si="64"/>
        <v>0</v>
      </c>
      <c r="O122" s="831">
        <f t="shared" ca="1" si="61"/>
        <v>0</v>
      </c>
      <c r="P122" s="831">
        <f t="shared" ca="1" si="62"/>
        <v>0</v>
      </c>
      <c r="Q122" s="818"/>
      <c r="R122" s="818"/>
      <c r="S122" s="818"/>
      <c r="T122" s="818"/>
      <c r="U122" s="818"/>
      <c r="V122" s="818"/>
      <c r="W122" s="818"/>
      <c r="X122" s="818"/>
      <c r="Y122" s="818"/>
      <c r="Z122" s="818"/>
    </row>
    <row r="123" spans="1:26" ht="18.75" hidden="1">
      <c r="A123" s="940"/>
      <c r="B123" s="833"/>
      <c r="C123" s="834"/>
      <c r="D123" s="833"/>
      <c r="E123" s="834" t="s">
        <v>36</v>
      </c>
      <c r="F123" s="833"/>
      <c r="G123" s="941"/>
      <c r="H123" s="165" t="s">
        <v>12</v>
      </c>
      <c r="I123" s="947"/>
      <c r="J123" s="947"/>
      <c r="K123" s="948"/>
      <c r="L123" s="837">
        <v>0</v>
      </c>
      <c r="M123" s="837">
        <v>0</v>
      </c>
      <c r="N123" s="837">
        <v>0</v>
      </c>
      <c r="O123" s="837">
        <f t="shared" si="61"/>
        <v>0</v>
      </c>
      <c r="P123" s="837">
        <f t="shared" si="62"/>
        <v>0</v>
      </c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</row>
    <row r="124" spans="1:26" ht="18.75" hidden="1">
      <c r="A124" s="940"/>
      <c r="B124" s="833"/>
      <c r="C124" s="834"/>
      <c r="D124" s="833"/>
      <c r="E124" s="834" t="s">
        <v>37</v>
      </c>
      <c r="F124" s="833"/>
      <c r="G124" s="941"/>
      <c r="H124" s="165" t="s">
        <v>12</v>
      </c>
      <c r="I124" s="947"/>
      <c r="J124" s="947"/>
      <c r="K124" s="948"/>
      <c r="L124" s="837">
        <f ca="1">IFERROR(__xludf.DUMMYFUNCTION("IMPORTRANGE(""https://docs.google.com/spreadsheets/d/1MeEWN-I1oV_STSDYn1IFDPWt_1FKiwhDph83XaGc0o0/edit?usp=sharing"",""งบพรบ!BA28"")"),0)</f>
        <v>0</v>
      </c>
      <c r="M124" s="837">
        <f ca="1">IFERROR(__xludf.DUMMYFUNCTION("IMPORTRANGE(""https://docs.google.com/spreadsheets/d/1MeEWN-I1oV_STSDYn1IFDPWt_1FKiwhDph83XaGc0o0/edit?usp=sharing"",""งบพรบ!BF28"")"),0)</f>
        <v>0</v>
      </c>
      <c r="N124" s="837">
        <f ca="1">IFERROR(__xludf.DUMMYFUNCTION("IMPORTRANGE(""https://docs.google.com/spreadsheets/d/1MeEWN-I1oV_STSDYn1IFDPWt_1FKiwhDph83XaGc0o0/edit?usp=sharing"",""งบพรบ!BH28"")"),0)</f>
        <v>0</v>
      </c>
      <c r="O124" s="837">
        <f t="shared" ca="1" si="61"/>
        <v>0</v>
      </c>
      <c r="P124" s="837">
        <f t="shared" ca="1" si="62"/>
        <v>0</v>
      </c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</row>
    <row r="125" spans="1:26" ht="18.75">
      <c r="A125" s="942"/>
      <c r="B125" s="827"/>
      <c r="C125" s="943"/>
      <c r="D125" s="828" t="s">
        <v>21</v>
      </c>
      <c r="E125" s="827"/>
      <c r="F125" s="827"/>
      <c r="G125" s="829"/>
      <c r="H125" s="168" t="s">
        <v>12</v>
      </c>
      <c r="I125" s="944"/>
      <c r="J125" s="944"/>
      <c r="K125" s="945"/>
      <c r="L125" s="831">
        <f t="shared" ref="L125:N125" ca="1" si="65">L126+L127</f>
        <v>245300</v>
      </c>
      <c r="M125" s="831">
        <f t="shared" ca="1" si="65"/>
        <v>245250</v>
      </c>
      <c r="N125" s="831">
        <f t="shared" ca="1" si="65"/>
        <v>245250</v>
      </c>
      <c r="O125" s="831">
        <f t="shared" ca="1" si="61"/>
        <v>99.979616795760293</v>
      </c>
      <c r="P125" s="831">
        <f t="shared" ca="1" si="62"/>
        <v>100</v>
      </c>
      <c r="Q125" s="818"/>
      <c r="R125" s="818"/>
      <c r="S125" s="818"/>
      <c r="T125" s="818"/>
      <c r="U125" s="818"/>
      <c r="V125" s="818"/>
      <c r="W125" s="818"/>
      <c r="X125" s="818"/>
      <c r="Y125" s="818"/>
      <c r="Z125" s="818"/>
    </row>
    <row r="126" spans="1:26" ht="19.5" hidden="1">
      <c r="A126" s="940"/>
      <c r="B126" s="833"/>
      <c r="C126" s="946"/>
      <c r="D126" s="833"/>
      <c r="E126" s="834" t="s">
        <v>18</v>
      </c>
      <c r="F126" s="833"/>
      <c r="G126" s="941"/>
      <c r="H126" s="165" t="s">
        <v>12</v>
      </c>
      <c r="I126" s="947"/>
      <c r="J126" s="947"/>
      <c r="K126" s="948"/>
      <c r="L126" s="837">
        <v>0</v>
      </c>
      <c r="M126" s="837">
        <v>0</v>
      </c>
      <c r="N126" s="837">
        <v>0</v>
      </c>
      <c r="O126" s="837">
        <f t="shared" si="61"/>
        <v>0</v>
      </c>
      <c r="P126" s="837">
        <f t="shared" si="62"/>
        <v>0</v>
      </c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</row>
    <row r="127" spans="1:26" ht="19.5" hidden="1">
      <c r="A127" s="940"/>
      <c r="B127" s="833"/>
      <c r="C127" s="946"/>
      <c r="D127" s="833"/>
      <c r="E127" s="834" t="s">
        <v>19</v>
      </c>
      <c r="F127" s="833"/>
      <c r="G127" s="941"/>
      <c r="H127" s="169" t="s">
        <v>12</v>
      </c>
      <c r="I127" s="947"/>
      <c r="J127" s="947"/>
      <c r="K127" s="948"/>
      <c r="L127" s="837">
        <f ca="1">IFERROR(__xludf.DUMMYFUNCTION("IMPORTRANGE(""https://docs.google.com/spreadsheets/d/1MeEWN-I1oV_STSDYn1IFDPWt_1FKiwhDph83XaGc0o0/edit?usp=sharing"",""งบพรบ!BD28"")"),245300)</f>
        <v>245300</v>
      </c>
      <c r="M127" s="837">
        <f ca="1">IFERROR(__xludf.DUMMYFUNCTION("IMPORTRANGE(""https://docs.google.com/spreadsheets/d/1MeEWN-I1oV_STSDYn1IFDPWt_1FKiwhDph83XaGc0o0/edit?usp=sharing"",""งบพรบ!BG28"")"),245250)</f>
        <v>245250</v>
      </c>
      <c r="N127" s="837">
        <f ca="1">IFERROR(__xludf.DUMMYFUNCTION("IMPORTRANGE(""https://docs.google.com/spreadsheets/d/1MeEWN-I1oV_STSDYn1IFDPWt_1FKiwhDph83XaGc0o0/edit?usp=sharing"",""งบพรบ!BI28"")"),245250)</f>
        <v>245250</v>
      </c>
      <c r="O127" s="837">
        <f t="shared" ca="1" si="61"/>
        <v>99.979616795760293</v>
      </c>
      <c r="P127" s="837">
        <f t="shared" ca="1" si="62"/>
        <v>100</v>
      </c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</row>
    <row r="128" spans="1:26" ht="19.5" hidden="1">
      <c r="A128" s="917" t="s">
        <v>67</v>
      </c>
      <c r="B128" s="918"/>
      <c r="C128" s="969"/>
      <c r="D128" s="918"/>
      <c r="E128" s="918"/>
      <c r="F128" s="918"/>
      <c r="G128" s="918"/>
      <c r="H128" s="970"/>
      <c r="I128" s="971"/>
      <c r="J128" s="971"/>
      <c r="K128" s="972"/>
      <c r="L128" s="923"/>
      <c r="M128" s="923"/>
      <c r="N128" s="923"/>
      <c r="O128" s="923"/>
      <c r="P128" s="923"/>
    </row>
    <row r="129" spans="1:26" ht="19.5" hidden="1">
      <c r="A129" s="924"/>
      <c r="B129" s="925" t="s">
        <v>68</v>
      </c>
      <c r="C129" s="973"/>
      <c r="D129" s="927"/>
      <c r="E129" s="926"/>
      <c r="F129" s="926"/>
      <c r="G129" s="926"/>
      <c r="H129" s="207"/>
      <c r="I129" s="974"/>
      <c r="J129" s="974"/>
      <c r="K129" s="931"/>
      <c r="L129" s="931"/>
      <c r="M129" s="931"/>
      <c r="N129" s="931"/>
      <c r="O129" s="931"/>
      <c r="P129" s="931"/>
    </row>
    <row r="130" spans="1:26" ht="19.5" hidden="1">
      <c r="A130" s="924"/>
      <c r="B130" s="925"/>
      <c r="C130" s="975" t="s">
        <v>69</v>
      </c>
      <c r="D130" s="927"/>
      <c r="E130" s="926"/>
      <c r="F130" s="926"/>
      <c r="G130" s="928"/>
      <c r="H130" s="205" t="s">
        <v>66</v>
      </c>
      <c r="I130" s="929">
        <f t="shared" ref="I130:J130" ca="1" si="66">I146</f>
        <v>0</v>
      </c>
      <c r="J130" s="929">
        <f t="shared" si="66"/>
        <v>0</v>
      </c>
      <c r="K130" s="930">
        <f t="shared" ref="K130:K131" ca="1" si="67">IF(I130&gt;0,J130*100/I130,0)</f>
        <v>0</v>
      </c>
      <c r="L130" s="931"/>
      <c r="M130" s="931"/>
      <c r="N130" s="931"/>
      <c r="O130" s="931"/>
      <c r="P130" s="931"/>
    </row>
    <row r="131" spans="1:26" ht="19.5" hidden="1">
      <c r="A131" s="924"/>
      <c r="B131" s="925"/>
      <c r="C131" s="975" t="s">
        <v>70</v>
      </c>
      <c r="D131" s="927"/>
      <c r="E131" s="926"/>
      <c r="F131" s="926"/>
      <c r="G131" s="928"/>
      <c r="H131" s="205" t="s">
        <v>35</v>
      </c>
      <c r="I131" s="929">
        <f t="shared" ref="I131:J131" ca="1" si="68">I143</f>
        <v>0</v>
      </c>
      <c r="J131" s="929">
        <f t="shared" ca="1" si="68"/>
        <v>0</v>
      </c>
      <c r="K131" s="930">
        <f t="shared" ca="1" si="67"/>
        <v>0</v>
      </c>
      <c r="L131" s="931"/>
      <c r="M131" s="931"/>
      <c r="N131" s="931"/>
      <c r="O131" s="931"/>
      <c r="P131" s="931"/>
    </row>
    <row r="132" spans="1:26" ht="19.5" hidden="1">
      <c r="A132" s="932"/>
      <c r="B132" s="933"/>
      <c r="C132" s="934" t="s">
        <v>16</v>
      </c>
      <c r="D132" s="935" t="s">
        <v>17</v>
      </c>
      <c r="E132" s="933"/>
      <c r="F132" s="933"/>
      <c r="G132" s="936"/>
      <c r="H132" s="152" t="s">
        <v>12</v>
      </c>
      <c r="I132" s="937"/>
      <c r="J132" s="937"/>
      <c r="K132" s="938"/>
      <c r="L132" s="939">
        <f t="shared" ref="L132:N132" ca="1" si="69">L133+L134</f>
        <v>0</v>
      </c>
      <c r="M132" s="939">
        <f t="shared" ca="1" si="69"/>
        <v>0</v>
      </c>
      <c r="N132" s="939">
        <f t="shared" ca="1" si="69"/>
        <v>0</v>
      </c>
      <c r="O132" s="939">
        <f t="shared" ref="O132:O140" ca="1" si="70">IF(L132&gt;0,N132*100/L132,0)</f>
        <v>0</v>
      </c>
      <c r="P132" s="939">
        <f t="shared" ref="P132:P140" ca="1" si="71">IF(M132&gt;0,N132*100/M132,0)</f>
        <v>0</v>
      </c>
      <c r="Q132" s="818"/>
      <c r="R132" s="818"/>
      <c r="S132" s="818"/>
      <c r="T132" s="818"/>
      <c r="U132" s="818"/>
      <c r="V132" s="818"/>
      <c r="W132" s="818"/>
      <c r="X132" s="818"/>
      <c r="Y132" s="818"/>
      <c r="Z132" s="818"/>
    </row>
    <row r="133" spans="1:26" ht="18.75" hidden="1">
      <c r="A133" s="940"/>
      <c r="B133" s="833"/>
      <c r="C133" s="833"/>
      <c r="D133" s="833"/>
      <c r="E133" s="834" t="s">
        <v>18</v>
      </c>
      <c r="F133" s="833"/>
      <c r="G133" s="941"/>
      <c r="H133" s="158" t="s">
        <v>12</v>
      </c>
      <c r="I133" s="836"/>
      <c r="J133" s="836"/>
      <c r="K133" s="837"/>
      <c r="L133" s="837">
        <f t="shared" ref="L133:N134" si="72">L136+L139</f>
        <v>0</v>
      </c>
      <c r="M133" s="837">
        <f t="shared" si="72"/>
        <v>0</v>
      </c>
      <c r="N133" s="837">
        <f t="shared" si="72"/>
        <v>0</v>
      </c>
      <c r="O133" s="837">
        <f t="shared" si="70"/>
        <v>0</v>
      </c>
      <c r="P133" s="837">
        <f t="shared" si="71"/>
        <v>0</v>
      </c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</row>
    <row r="134" spans="1:26" ht="18.75" hidden="1">
      <c r="A134" s="940"/>
      <c r="B134" s="833"/>
      <c r="C134" s="833"/>
      <c r="D134" s="833"/>
      <c r="E134" s="834" t="s">
        <v>19</v>
      </c>
      <c r="F134" s="833"/>
      <c r="G134" s="941"/>
      <c r="H134" s="158" t="s">
        <v>12</v>
      </c>
      <c r="I134" s="836"/>
      <c r="J134" s="836"/>
      <c r="K134" s="837"/>
      <c r="L134" s="837">
        <f t="shared" ca="1" si="72"/>
        <v>0</v>
      </c>
      <c r="M134" s="837">
        <f t="shared" ca="1" si="72"/>
        <v>0</v>
      </c>
      <c r="N134" s="837">
        <f t="shared" ca="1" si="72"/>
        <v>0</v>
      </c>
      <c r="O134" s="837">
        <f t="shared" ca="1" si="70"/>
        <v>0</v>
      </c>
      <c r="P134" s="837">
        <f t="shared" ca="1" si="71"/>
        <v>0</v>
      </c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</row>
    <row r="135" spans="1:26" ht="18.75" hidden="1">
      <c r="A135" s="942"/>
      <c r="B135" s="827"/>
      <c r="C135" s="943"/>
      <c r="D135" s="828" t="s">
        <v>20</v>
      </c>
      <c r="E135" s="827"/>
      <c r="F135" s="827"/>
      <c r="G135" s="829"/>
      <c r="H135" s="778" t="s">
        <v>12</v>
      </c>
      <c r="I135" s="944"/>
      <c r="J135" s="944"/>
      <c r="K135" s="945"/>
      <c r="L135" s="831">
        <f t="shared" ref="L135:N135" ca="1" si="73">L136+L137</f>
        <v>0</v>
      </c>
      <c r="M135" s="831">
        <f t="shared" ca="1" si="73"/>
        <v>0</v>
      </c>
      <c r="N135" s="831">
        <f t="shared" ca="1" si="73"/>
        <v>0</v>
      </c>
      <c r="O135" s="831">
        <f t="shared" ca="1" si="70"/>
        <v>0</v>
      </c>
      <c r="P135" s="831">
        <f t="shared" ca="1" si="71"/>
        <v>0</v>
      </c>
      <c r="Q135" s="818"/>
      <c r="R135" s="818"/>
      <c r="S135" s="818"/>
      <c r="T135" s="818"/>
      <c r="U135" s="818"/>
      <c r="V135" s="818"/>
      <c r="W135" s="818"/>
      <c r="X135" s="818"/>
      <c r="Y135" s="818"/>
      <c r="Z135" s="818"/>
    </row>
    <row r="136" spans="1:26" ht="19.5" hidden="1">
      <c r="A136" s="940"/>
      <c r="B136" s="833"/>
      <c r="C136" s="946"/>
      <c r="D136" s="833"/>
      <c r="E136" s="834" t="s">
        <v>36</v>
      </c>
      <c r="F136" s="833"/>
      <c r="G136" s="941"/>
      <c r="H136" s="165" t="s">
        <v>12</v>
      </c>
      <c r="I136" s="947"/>
      <c r="J136" s="947"/>
      <c r="K136" s="948"/>
      <c r="L136" s="837">
        <v>0</v>
      </c>
      <c r="M136" s="837">
        <v>0</v>
      </c>
      <c r="N136" s="837">
        <v>0</v>
      </c>
      <c r="O136" s="837">
        <f t="shared" si="70"/>
        <v>0</v>
      </c>
      <c r="P136" s="837">
        <f t="shared" si="71"/>
        <v>0</v>
      </c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</row>
    <row r="137" spans="1:26" ht="19.5" hidden="1">
      <c r="A137" s="940"/>
      <c r="B137" s="833"/>
      <c r="C137" s="946"/>
      <c r="D137" s="833"/>
      <c r="E137" s="834" t="s">
        <v>37</v>
      </c>
      <c r="F137" s="833"/>
      <c r="G137" s="941"/>
      <c r="H137" s="165" t="s">
        <v>12</v>
      </c>
      <c r="I137" s="947"/>
      <c r="J137" s="947"/>
      <c r="K137" s="948"/>
      <c r="L137" s="837">
        <f ca="1">IFERROR(__xludf.DUMMYFUNCTION("IMPORTRANGE(""https://docs.google.com/spreadsheets/d/1MeEWN-I1oV_STSDYn1IFDPWt_1FKiwhDph83XaGc0o0/edit?usp=sharing"",""งบพรบ!BK28"")"),0)</f>
        <v>0</v>
      </c>
      <c r="M137" s="837">
        <f ca="1">IFERROR(__xludf.DUMMYFUNCTION("IMPORTRANGE(""https://docs.google.com/spreadsheets/d/1MeEWN-I1oV_STSDYn1IFDPWt_1FKiwhDph83XaGc0o0/edit?usp=sharing"",""งบพรบ!BP28"")"),0)</f>
        <v>0</v>
      </c>
      <c r="N137" s="837">
        <f ca="1">IFERROR(__xludf.DUMMYFUNCTION("IMPORTRANGE(""https://docs.google.com/spreadsheets/d/1MeEWN-I1oV_STSDYn1IFDPWt_1FKiwhDph83XaGc0o0/edit?usp=sharing"",""งบพรบ!BR28"")"),0)</f>
        <v>0</v>
      </c>
      <c r="O137" s="837">
        <f t="shared" ca="1" si="70"/>
        <v>0</v>
      </c>
      <c r="P137" s="837">
        <f t="shared" ca="1" si="71"/>
        <v>0</v>
      </c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</row>
    <row r="138" spans="1:26" ht="18.75" hidden="1">
      <c r="A138" s="942"/>
      <c r="B138" s="827"/>
      <c r="C138" s="943"/>
      <c r="D138" s="828" t="s">
        <v>21</v>
      </c>
      <c r="E138" s="827"/>
      <c r="F138" s="827"/>
      <c r="G138" s="829"/>
      <c r="H138" s="168" t="s">
        <v>12</v>
      </c>
      <c r="I138" s="944"/>
      <c r="J138" s="944"/>
      <c r="K138" s="945"/>
      <c r="L138" s="831">
        <f t="shared" ref="L138:N138" ca="1" si="74">L139+L140</f>
        <v>0</v>
      </c>
      <c r="M138" s="831">
        <f t="shared" ca="1" si="74"/>
        <v>0</v>
      </c>
      <c r="N138" s="831">
        <f t="shared" ca="1" si="74"/>
        <v>0</v>
      </c>
      <c r="O138" s="831">
        <f t="shared" ca="1" si="70"/>
        <v>0</v>
      </c>
      <c r="P138" s="831">
        <f t="shared" ca="1" si="71"/>
        <v>0</v>
      </c>
      <c r="Q138" s="818"/>
      <c r="R138" s="818"/>
      <c r="S138" s="818"/>
      <c r="T138" s="818"/>
      <c r="U138" s="818"/>
      <c r="V138" s="818"/>
      <c r="W138" s="818"/>
      <c r="X138" s="818"/>
      <c r="Y138" s="818"/>
      <c r="Z138" s="818"/>
    </row>
    <row r="139" spans="1:26" ht="19.5" hidden="1">
      <c r="A139" s="940"/>
      <c r="B139" s="833"/>
      <c r="C139" s="946"/>
      <c r="D139" s="833"/>
      <c r="E139" s="834" t="s">
        <v>18</v>
      </c>
      <c r="F139" s="833"/>
      <c r="G139" s="941"/>
      <c r="H139" s="165" t="s">
        <v>12</v>
      </c>
      <c r="I139" s="947"/>
      <c r="J139" s="947"/>
      <c r="K139" s="948"/>
      <c r="L139" s="837">
        <v>0</v>
      </c>
      <c r="M139" s="837">
        <v>0</v>
      </c>
      <c r="N139" s="837">
        <v>0</v>
      </c>
      <c r="O139" s="837">
        <f t="shared" si="70"/>
        <v>0</v>
      </c>
      <c r="P139" s="837">
        <f t="shared" si="71"/>
        <v>0</v>
      </c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</row>
    <row r="140" spans="1:26" ht="19.5" hidden="1">
      <c r="A140" s="940"/>
      <c r="B140" s="833"/>
      <c r="C140" s="946"/>
      <c r="D140" s="833"/>
      <c r="E140" s="834" t="s">
        <v>19</v>
      </c>
      <c r="F140" s="833"/>
      <c r="G140" s="941"/>
      <c r="H140" s="169" t="s">
        <v>12</v>
      </c>
      <c r="I140" s="947"/>
      <c r="J140" s="947"/>
      <c r="K140" s="948"/>
      <c r="L140" s="837">
        <f ca="1">IFERROR(__xludf.DUMMYFUNCTION("IMPORTRANGE(""https://docs.google.com/spreadsheets/d/1MeEWN-I1oV_STSDYn1IFDPWt_1FKiwhDph83XaGc0o0/edit?usp=sharing"",""งบพรบ!BN28"")"),0)</f>
        <v>0</v>
      </c>
      <c r="M140" s="837">
        <f ca="1">IFERROR(__xludf.DUMMYFUNCTION("IMPORTRANGE(""https://docs.google.com/spreadsheets/d/1MeEWN-I1oV_STSDYn1IFDPWt_1FKiwhDph83XaGc0o0/edit?usp=sharing"",""งบพรบ!BQ28"")"),0)</f>
        <v>0</v>
      </c>
      <c r="N140" s="837">
        <f ca="1">IFERROR(__xludf.DUMMYFUNCTION("IMPORTRANGE(""https://docs.google.com/spreadsheets/d/1MeEWN-I1oV_STSDYn1IFDPWt_1FKiwhDph83XaGc0o0/edit?usp=sharing"",""งบพรบ!BS28"")"),0)</f>
        <v>0</v>
      </c>
      <c r="O140" s="837">
        <f t="shared" ca="1" si="70"/>
        <v>0</v>
      </c>
      <c r="P140" s="837">
        <f t="shared" ca="1" si="71"/>
        <v>0</v>
      </c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</row>
    <row r="141" spans="1:26" ht="19.5" hidden="1">
      <c r="A141" s="949"/>
      <c r="B141" s="950"/>
      <c r="C141" s="934" t="s">
        <v>16</v>
      </c>
      <c r="D141" s="951" t="s">
        <v>38</v>
      </c>
      <c r="E141" s="952"/>
      <c r="F141" s="952"/>
      <c r="G141" s="953"/>
      <c r="H141" s="168"/>
      <c r="I141" s="830"/>
      <c r="J141" s="830"/>
      <c r="K141" s="831"/>
      <c r="L141" s="831"/>
      <c r="M141" s="831"/>
      <c r="N141" s="831"/>
      <c r="O141" s="831"/>
      <c r="P141" s="831"/>
    </row>
    <row r="142" spans="1:26" ht="19.5" hidden="1">
      <c r="A142" s="942"/>
      <c r="B142" s="827"/>
      <c r="C142" s="976"/>
      <c r="D142" s="943" t="s">
        <v>71</v>
      </c>
      <c r="E142" s="828"/>
      <c r="F142" s="827"/>
      <c r="G142" s="977"/>
      <c r="H142" s="168"/>
      <c r="I142" s="830"/>
      <c r="J142" s="959">
        <v>0</v>
      </c>
      <c r="K142" s="831"/>
      <c r="L142" s="831"/>
      <c r="M142" s="831"/>
      <c r="N142" s="831"/>
      <c r="O142" s="831"/>
      <c r="P142" s="831"/>
    </row>
    <row r="143" spans="1:26" ht="19.5" hidden="1">
      <c r="A143" s="942"/>
      <c r="B143" s="827"/>
      <c r="C143" s="976"/>
      <c r="D143" s="943" t="s">
        <v>72</v>
      </c>
      <c r="E143" s="828"/>
      <c r="F143" s="827"/>
      <c r="G143" s="977"/>
      <c r="H143" s="168" t="s">
        <v>35</v>
      </c>
      <c r="I143" s="830">
        <f ca="1">I145</f>
        <v>0</v>
      </c>
      <c r="J143" s="830">
        <f ca="1">IF(AND(J144&gt;=I144,J145&gt;=I145),J145,0)</f>
        <v>0</v>
      </c>
      <c r="K143" s="831">
        <f t="shared" ref="K143:K146" ca="1" si="75">IF(I143&gt;0,J143*100/I143,0)</f>
        <v>0</v>
      </c>
      <c r="L143" s="831"/>
      <c r="M143" s="831"/>
      <c r="N143" s="831"/>
      <c r="O143" s="831"/>
      <c r="P143" s="831"/>
    </row>
    <row r="144" spans="1:26" ht="19.5" hidden="1">
      <c r="A144" s="942"/>
      <c r="B144" s="827"/>
      <c r="C144" s="976"/>
      <c r="D144" s="957"/>
      <c r="E144" s="943" t="s">
        <v>73</v>
      </c>
      <c r="F144" s="827"/>
      <c r="G144" s="977"/>
      <c r="H144" s="168" t="s">
        <v>35</v>
      </c>
      <c r="I144" s="830">
        <f ca="1">IFERROR(__xludf.DUMMYFUNCTION("IMPORTRANGE(""https://docs.google.com/spreadsheets/d/1QqKyyYR6Q21VydFLVH3TRQUabQu_ym0Zz7PgGX0-kHA/edit?usp=sharing"",""แผน!U28"")"),0)</f>
        <v>0</v>
      </c>
      <c r="J144" s="959">
        <v>0</v>
      </c>
      <c r="K144" s="831">
        <f t="shared" ca="1" si="75"/>
        <v>0</v>
      </c>
      <c r="L144" s="831"/>
      <c r="M144" s="831"/>
      <c r="N144" s="831"/>
      <c r="O144" s="831"/>
      <c r="P144" s="831"/>
    </row>
    <row r="145" spans="1:26" ht="19.5" hidden="1">
      <c r="A145" s="942"/>
      <c r="B145" s="827"/>
      <c r="C145" s="976"/>
      <c r="D145" s="957"/>
      <c r="E145" s="943" t="s">
        <v>74</v>
      </c>
      <c r="F145" s="827"/>
      <c r="G145" s="977"/>
      <c r="H145" s="168" t="s">
        <v>35</v>
      </c>
      <c r="I145" s="830">
        <f ca="1">IFERROR(__xludf.DUMMYFUNCTION("IMPORTRANGE(""https://docs.google.com/spreadsheets/d/1QqKyyYR6Q21VydFLVH3TRQUabQu_ym0Zz7PgGX0-kHA/edit?usp=sharing"",""แผน!V28"")"),0)</f>
        <v>0</v>
      </c>
      <c r="J145" s="959">
        <v>0</v>
      </c>
      <c r="K145" s="831">
        <f t="shared" ca="1" si="75"/>
        <v>0</v>
      </c>
      <c r="L145" s="831"/>
      <c r="M145" s="831"/>
      <c r="N145" s="831"/>
      <c r="O145" s="831"/>
      <c r="P145" s="831"/>
    </row>
    <row r="146" spans="1:26" ht="19.5" hidden="1">
      <c r="A146" s="942"/>
      <c r="B146" s="827"/>
      <c r="C146" s="976"/>
      <c r="D146" s="943" t="s">
        <v>75</v>
      </c>
      <c r="E146" s="828"/>
      <c r="F146" s="827"/>
      <c r="G146" s="977"/>
      <c r="H146" s="168" t="s">
        <v>66</v>
      </c>
      <c r="I146" s="830">
        <f ca="1">IFERROR(__xludf.DUMMYFUNCTION("IMPORTRANGE(""https://docs.google.com/spreadsheets/d/1QqKyyYR6Q21VydFLVH3TRQUabQu_ym0Zz7PgGX0-kHA/edit?usp=sharing"",""แผน!W28"")"),0)</f>
        <v>0</v>
      </c>
      <c r="J146" s="959">
        <v>0</v>
      </c>
      <c r="K146" s="831">
        <f t="shared" ca="1" si="75"/>
        <v>0</v>
      </c>
      <c r="L146" s="831"/>
      <c r="M146" s="831"/>
      <c r="N146" s="831"/>
      <c r="O146" s="831"/>
      <c r="P146" s="831"/>
    </row>
    <row r="147" spans="1:26" ht="19.5">
      <c r="A147" s="917" t="s">
        <v>76</v>
      </c>
      <c r="B147" s="918"/>
      <c r="C147" s="969"/>
      <c r="D147" s="918"/>
      <c r="E147" s="918"/>
      <c r="F147" s="918"/>
      <c r="G147" s="918"/>
      <c r="H147" s="970"/>
      <c r="I147" s="971"/>
      <c r="J147" s="971"/>
      <c r="K147" s="972"/>
      <c r="L147" s="923"/>
      <c r="M147" s="923"/>
      <c r="N147" s="923"/>
      <c r="O147" s="923"/>
      <c r="P147" s="923"/>
    </row>
    <row r="148" spans="1:26" ht="19.5">
      <c r="A148" s="978"/>
      <c r="B148" s="925" t="s">
        <v>77</v>
      </c>
      <c r="C148" s="925"/>
      <c r="D148" s="925"/>
      <c r="E148" s="979"/>
      <c r="F148" s="980"/>
      <c r="G148" s="981"/>
      <c r="H148" s="221" t="s">
        <v>35</v>
      </c>
      <c r="I148" s="929">
        <f t="shared" ref="I148:J148" ca="1" si="76">I159</f>
        <v>20</v>
      </c>
      <c r="J148" s="929">
        <f t="shared" si="76"/>
        <v>80</v>
      </c>
      <c r="K148" s="930">
        <f ca="1">IF(I148&gt;0,J148*100/I148,0)</f>
        <v>400</v>
      </c>
      <c r="L148" s="930"/>
      <c r="M148" s="930"/>
      <c r="N148" s="930"/>
      <c r="O148" s="930"/>
      <c r="P148" s="930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32"/>
      <c r="B149" s="933"/>
      <c r="C149" s="934" t="s">
        <v>16</v>
      </c>
      <c r="D149" s="935" t="s">
        <v>17</v>
      </c>
      <c r="E149" s="933"/>
      <c r="F149" s="933"/>
      <c r="G149" s="936"/>
      <c r="H149" s="152" t="s">
        <v>12</v>
      </c>
      <c r="I149" s="937"/>
      <c r="J149" s="937"/>
      <c r="K149" s="938"/>
      <c r="L149" s="939">
        <f t="shared" ref="L149:N149" ca="1" si="77">L150+L151</f>
        <v>10000</v>
      </c>
      <c r="M149" s="939">
        <f t="shared" ca="1" si="77"/>
        <v>186580</v>
      </c>
      <c r="N149" s="939">
        <f t="shared" ca="1" si="77"/>
        <v>82329.289999999994</v>
      </c>
      <c r="O149" s="939">
        <f t="shared" ref="O149:O157" ca="1" si="78">IF(L149&gt;0,N149*100/L149,0)</f>
        <v>823.29289999999992</v>
      </c>
      <c r="P149" s="939">
        <f t="shared" ref="P149:P157" ca="1" si="79">IF(M149&gt;0,N149*100/M149,0)</f>
        <v>44.125463608103757</v>
      </c>
      <c r="Q149" s="818"/>
      <c r="R149" s="818"/>
      <c r="S149" s="818"/>
      <c r="T149" s="818"/>
      <c r="U149" s="818"/>
      <c r="V149" s="818"/>
      <c r="W149" s="818"/>
      <c r="X149" s="818"/>
      <c r="Y149" s="818"/>
      <c r="Z149" s="818"/>
    </row>
    <row r="150" spans="1:26" ht="18.75" hidden="1">
      <c r="A150" s="940"/>
      <c r="B150" s="833"/>
      <c r="C150" s="833"/>
      <c r="D150" s="833"/>
      <c r="E150" s="834" t="s">
        <v>18</v>
      </c>
      <c r="F150" s="833"/>
      <c r="G150" s="941"/>
      <c r="H150" s="158" t="s">
        <v>12</v>
      </c>
      <c r="I150" s="836"/>
      <c r="J150" s="836"/>
      <c r="K150" s="837"/>
      <c r="L150" s="837">
        <f t="shared" ref="L150:N151" si="80">L153+L156</f>
        <v>0</v>
      </c>
      <c r="M150" s="837">
        <f t="shared" si="80"/>
        <v>0</v>
      </c>
      <c r="N150" s="837">
        <f t="shared" si="80"/>
        <v>0</v>
      </c>
      <c r="O150" s="837">
        <f t="shared" si="78"/>
        <v>0</v>
      </c>
      <c r="P150" s="837">
        <f t="shared" si="79"/>
        <v>0</v>
      </c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</row>
    <row r="151" spans="1:26" ht="18.75" hidden="1">
      <c r="A151" s="940"/>
      <c r="B151" s="833"/>
      <c r="C151" s="833"/>
      <c r="D151" s="833"/>
      <c r="E151" s="834" t="s">
        <v>19</v>
      </c>
      <c r="F151" s="833"/>
      <c r="G151" s="941"/>
      <c r="H151" s="158" t="s">
        <v>12</v>
      </c>
      <c r="I151" s="836"/>
      <c r="J151" s="836"/>
      <c r="K151" s="837"/>
      <c r="L151" s="837">
        <f t="shared" ca="1" si="80"/>
        <v>10000</v>
      </c>
      <c r="M151" s="837">
        <f t="shared" ca="1" si="80"/>
        <v>186580</v>
      </c>
      <c r="N151" s="837">
        <f t="shared" ca="1" si="80"/>
        <v>82329.289999999994</v>
      </c>
      <c r="O151" s="837">
        <f t="shared" ca="1" si="78"/>
        <v>823.29289999999992</v>
      </c>
      <c r="P151" s="837">
        <f t="shared" ca="1" si="79"/>
        <v>44.125463608103757</v>
      </c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</row>
    <row r="152" spans="1:26" ht="18.75">
      <c r="A152" s="942"/>
      <c r="B152" s="827"/>
      <c r="C152" s="943"/>
      <c r="D152" s="828" t="s">
        <v>20</v>
      </c>
      <c r="E152" s="827"/>
      <c r="F152" s="827"/>
      <c r="G152" s="829"/>
      <c r="H152" s="778" t="s">
        <v>12</v>
      </c>
      <c r="I152" s="944"/>
      <c r="J152" s="944"/>
      <c r="K152" s="945"/>
      <c r="L152" s="831">
        <f t="shared" ref="L152:N152" ca="1" si="81">L153+L154</f>
        <v>10000</v>
      </c>
      <c r="M152" s="831">
        <f t="shared" ca="1" si="81"/>
        <v>186580</v>
      </c>
      <c r="N152" s="831">
        <f t="shared" ca="1" si="81"/>
        <v>82329.289999999994</v>
      </c>
      <c r="O152" s="831">
        <f t="shared" ca="1" si="78"/>
        <v>823.29289999999992</v>
      </c>
      <c r="P152" s="831">
        <f t="shared" ca="1" si="79"/>
        <v>44.125463608103757</v>
      </c>
      <c r="Q152" s="818"/>
      <c r="R152" s="818"/>
      <c r="S152" s="818"/>
      <c r="T152" s="818"/>
      <c r="U152" s="818"/>
      <c r="V152" s="818"/>
      <c r="W152" s="818"/>
      <c r="X152" s="818"/>
      <c r="Y152" s="818"/>
      <c r="Z152" s="818"/>
    </row>
    <row r="153" spans="1:26" ht="19.5" hidden="1">
      <c r="A153" s="940"/>
      <c r="B153" s="833"/>
      <c r="C153" s="946"/>
      <c r="D153" s="833"/>
      <c r="E153" s="834" t="s">
        <v>36</v>
      </c>
      <c r="F153" s="833"/>
      <c r="G153" s="941"/>
      <c r="H153" s="165" t="s">
        <v>12</v>
      </c>
      <c r="I153" s="947"/>
      <c r="J153" s="947"/>
      <c r="K153" s="948"/>
      <c r="L153" s="837">
        <v>0</v>
      </c>
      <c r="M153" s="837">
        <v>0</v>
      </c>
      <c r="N153" s="837">
        <v>0</v>
      </c>
      <c r="O153" s="837">
        <f t="shared" si="78"/>
        <v>0</v>
      </c>
      <c r="P153" s="837">
        <f t="shared" si="79"/>
        <v>0</v>
      </c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</row>
    <row r="154" spans="1:26" ht="19.5" hidden="1">
      <c r="A154" s="940"/>
      <c r="B154" s="833"/>
      <c r="C154" s="946"/>
      <c r="D154" s="833"/>
      <c r="E154" s="834" t="s">
        <v>37</v>
      </c>
      <c r="F154" s="833"/>
      <c r="G154" s="941"/>
      <c r="H154" s="165" t="s">
        <v>12</v>
      </c>
      <c r="I154" s="947"/>
      <c r="J154" s="947"/>
      <c r="K154" s="948"/>
      <c r="L154" s="837">
        <f ca="1">IFERROR(__xludf.DUMMYFUNCTION("IMPORTRANGE(""https://docs.google.com/spreadsheets/d/1MeEWN-I1oV_STSDYn1IFDPWt_1FKiwhDph83XaGc0o0/edit?usp=sharing"",""งบพรบ!BU28"")"),10000)</f>
        <v>10000</v>
      </c>
      <c r="M154" s="837">
        <f ca="1">IFERROR(__xludf.DUMMYFUNCTION("IMPORTRANGE(""https://docs.google.com/spreadsheets/d/1MeEWN-I1oV_STSDYn1IFDPWt_1FKiwhDph83XaGc0o0/edit?usp=sharing"",""งบพรบ!BZ28"")"),186580)</f>
        <v>186580</v>
      </c>
      <c r="N154" s="837">
        <f ca="1">IFERROR(__xludf.DUMMYFUNCTION("IMPORTRANGE(""https://docs.google.com/spreadsheets/d/1MeEWN-I1oV_STSDYn1IFDPWt_1FKiwhDph83XaGc0o0/edit?usp=sharing"",""งบพรบ!CB28"")"),82329.29)</f>
        <v>82329.289999999994</v>
      </c>
      <c r="O154" s="837">
        <f t="shared" ca="1" si="78"/>
        <v>823.29289999999992</v>
      </c>
      <c r="P154" s="837">
        <f t="shared" ca="1" si="79"/>
        <v>44.125463608103757</v>
      </c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</row>
    <row r="155" spans="1:26" ht="18.75">
      <c r="A155" s="942"/>
      <c r="B155" s="827"/>
      <c r="C155" s="943"/>
      <c r="D155" s="828" t="s">
        <v>21</v>
      </c>
      <c r="E155" s="827"/>
      <c r="F155" s="827"/>
      <c r="G155" s="829"/>
      <c r="H155" s="168" t="s">
        <v>12</v>
      </c>
      <c r="I155" s="944"/>
      <c r="J155" s="944"/>
      <c r="K155" s="945"/>
      <c r="L155" s="831">
        <f t="shared" ref="L155:N155" ca="1" si="82">L156+L157</f>
        <v>0</v>
      </c>
      <c r="M155" s="831">
        <f t="shared" ca="1" si="82"/>
        <v>0</v>
      </c>
      <c r="N155" s="831">
        <f t="shared" ca="1" si="82"/>
        <v>0</v>
      </c>
      <c r="O155" s="831">
        <f t="shared" ca="1" si="78"/>
        <v>0</v>
      </c>
      <c r="P155" s="831">
        <f t="shared" ca="1" si="79"/>
        <v>0</v>
      </c>
      <c r="Q155" s="818"/>
      <c r="R155" s="818"/>
      <c r="S155" s="818"/>
      <c r="T155" s="818"/>
      <c r="U155" s="818"/>
      <c r="V155" s="818"/>
      <c r="W155" s="818"/>
      <c r="X155" s="818"/>
      <c r="Y155" s="818"/>
      <c r="Z155" s="818"/>
    </row>
    <row r="156" spans="1:26" ht="19.5" hidden="1">
      <c r="A156" s="940"/>
      <c r="B156" s="833"/>
      <c r="C156" s="946"/>
      <c r="D156" s="833"/>
      <c r="E156" s="834" t="s">
        <v>18</v>
      </c>
      <c r="F156" s="833"/>
      <c r="G156" s="941"/>
      <c r="H156" s="165" t="s">
        <v>12</v>
      </c>
      <c r="I156" s="947"/>
      <c r="J156" s="947"/>
      <c r="K156" s="948"/>
      <c r="L156" s="837">
        <v>0</v>
      </c>
      <c r="M156" s="837">
        <v>0</v>
      </c>
      <c r="N156" s="837">
        <v>0</v>
      </c>
      <c r="O156" s="837">
        <f t="shared" si="78"/>
        <v>0</v>
      </c>
      <c r="P156" s="837">
        <f t="shared" si="79"/>
        <v>0</v>
      </c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</row>
    <row r="157" spans="1:26" ht="19.5" hidden="1">
      <c r="A157" s="940"/>
      <c r="B157" s="833"/>
      <c r="C157" s="946"/>
      <c r="D157" s="833"/>
      <c r="E157" s="834" t="s">
        <v>19</v>
      </c>
      <c r="F157" s="833"/>
      <c r="G157" s="941"/>
      <c r="H157" s="169" t="s">
        <v>12</v>
      </c>
      <c r="I157" s="947"/>
      <c r="J157" s="947"/>
      <c r="K157" s="948"/>
      <c r="L157" s="837">
        <f ca="1">IFERROR(__xludf.DUMMYFUNCTION("IMPORTRANGE(""https://docs.google.com/spreadsheets/d/1MeEWN-I1oV_STSDYn1IFDPWt_1FKiwhDph83XaGc0o0/edit?usp=sharing"",""งบพรบ!BX28"")"),0)</f>
        <v>0</v>
      </c>
      <c r="M157" s="837">
        <f ca="1">IFERROR(__xludf.DUMMYFUNCTION("IMPORTRANGE(""https://docs.google.com/spreadsheets/d/1MeEWN-I1oV_STSDYn1IFDPWt_1FKiwhDph83XaGc0o0/edit?usp=sharing"",""งบพรบ!CA28"")"),0)</f>
        <v>0</v>
      </c>
      <c r="N157" s="837">
        <f ca="1">IFERROR(__xludf.DUMMYFUNCTION("IMPORTRANGE(""https://docs.google.com/spreadsheets/d/1MeEWN-I1oV_STSDYn1IFDPWt_1FKiwhDph83XaGc0o0/edit?usp=sharing"",""งบพรบ!CC28"")"),0)</f>
        <v>0</v>
      </c>
      <c r="O157" s="837">
        <f t="shared" ca="1" si="78"/>
        <v>0</v>
      </c>
      <c r="P157" s="837">
        <f t="shared" ca="1" si="79"/>
        <v>0</v>
      </c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</row>
    <row r="158" spans="1:26" ht="19.5">
      <c r="A158" s="949"/>
      <c r="B158" s="950"/>
      <c r="C158" s="946" t="s">
        <v>16</v>
      </c>
      <c r="D158" s="951" t="s">
        <v>38</v>
      </c>
      <c r="E158" s="952"/>
      <c r="F158" s="952"/>
      <c r="G158" s="953"/>
      <c r="H158" s="168"/>
      <c r="I158" s="830"/>
      <c r="J158" s="830"/>
      <c r="K158" s="831"/>
      <c r="L158" s="831"/>
      <c r="M158" s="831"/>
      <c r="N158" s="831"/>
      <c r="O158" s="831"/>
      <c r="P158" s="831"/>
    </row>
    <row r="159" spans="1:26" ht="19.5">
      <c r="A159" s="942"/>
      <c r="B159" s="827"/>
      <c r="C159" s="976"/>
      <c r="D159" s="943" t="s">
        <v>78</v>
      </c>
      <c r="E159" s="828"/>
      <c r="F159" s="827"/>
      <c r="G159" s="977"/>
      <c r="H159" s="168" t="s">
        <v>35</v>
      </c>
      <c r="I159" s="830">
        <f ca="1">IFERROR(__xludf.DUMMYFUNCTION("IMPORTRANGE(""https://docs.google.com/spreadsheets/d/1QqKyyYR6Q21VydFLVH3TRQUabQu_ym0Zz7PgGX0-kHA/edit?usp=sharing"",""แผน!X28"")"),20)</f>
        <v>20</v>
      </c>
      <c r="J159" s="959">
        <v>80</v>
      </c>
      <c r="K159" s="831">
        <f ca="1">IF(I159&gt;0,J159*100/I159,0)</f>
        <v>400</v>
      </c>
      <c r="L159" s="831"/>
      <c r="M159" s="831"/>
      <c r="N159" s="831"/>
      <c r="O159" s="831"/>
      <c r="P159" s="831"/>
    </row>
    <row r="160" spans="1:26" ht="19.5" hidden="1">
      <c r="A160" s="940"/>
      <c r="B160" s="833"/>
      <c r="C160" s="946"/>
      <c r="D160" s="834" t="s">
        <v>79</v>
      </c>
      <c r="E160" s="982"/>
      <c r="F160" s="833"/>
      <c r="G160" s="941"/>
      <c r="H160" s="169" t="s">
        <v>35</v>
      </c>
      <c r="I160" s="836"/>
      <c r="J160" s="836"/>
      <c r="K160" s="837"/>
      <c r="L160" s="837"/>
      <c r="M160" s="837"/>
      <c r="N160" s="837"/>
      <c r="O160" s="837"/>
      <c r="P160" s="83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983"/>
      <c r="B161" s="984"/>
      <c r="C161" s="985"/>
      <c r="D161" s="986" t="s">
        <v>80</v>
      </c>
      <c r="E161" s="987"/>
      <c r="F161" s="984"/>
      <c r="G161" s="988"/>
      <c r="H161" s="232" t="s">
        <v>35</v>
      </c>
      <c r="I161" s="989"/>
      <c r="J161" s="989"/>
      <c r="K161" s="990"/>
      <c r="L161" s="990"/>
      <c r="M161" s="990"/>
      <c r="N161" s="990"/>
      <c r="O161" s="990"/>
      <c r="P161" s="990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991" t="s">
        <v>81</v>
      </c>
      <c r="B162" s="992"/>
      <c r="C162" s="992"/>
      <c r="D162" s="992"/>
      <c r="E162" s="993"/>
      <c r="F162" s="993"/>
      <c r="G162" s="994"/>
      <c r="H162" s="995"/>
      <c r="I162" s="996"/>
      <c r="J162" s="996"/>
      <c r="K162" s="997"/>
      <c r="L162" s="997"/>
      <c r="M162" s="997"/>
      <c r="N162" s="997"/>
      <c r="O162" s="997"/>
      <c r="P162" s="997"/>
    </row>
    <row r="163" spans="1:26" ht="19.5">
      <c r="A163" s="998" t="s">
        <v>82</v>
      </c>
      <c r="B163" s="999"/>
      <c r="C163" s="999"/>
      <c r="D163" s="1000"/>
      <c r="E163" s="1000"/>
      <c r="F163" s="1000"/>
      <c r="G163" s="1001"/>
      <c r="H163" s="1002"/>
      <c r="I163" s="1003"/>
      <c r="J163" s="1003"/>
      <c r="K163" s="1004"/>
      <c r="L163" s="1004"/>
      <c r="M163" s="1004"/>
      <c r="N163" s="1004"/>
      <c r="O163" s="1004"/>
      <c r="P163" s="1004"/>
    </row>
    <row r="164" spans="1:26" ht="19.5">
      <c r="A164" s="1005"/>
      <c r="B164" s="1006" t="s">
        <v>83</v>
      </c>
      <c r="C164" s="1007"/>
      <c r="D164" s="952"/>
      <c r="E164" s="952"/>
      <c r="F164" s="952"/>
      <c r="G164" s="953"/>
      <c r="H164" s="252" t="s">
        <v>35</v>
      </c>
      <c r="I164" s="1008">
        <f t="shared" ref="I164:J164" ca="1" si="83">I174+I177</f>
        <v>11</v>
      </c>
      <c r="J164" s="1008">
        <f t="shared" si="83"/>
        <v>11</v>
      </c>
      <c r="K164" s="1009">
        <f ca="1">IF(I164&gt;0,J164*100/I164,0)</f>
        <v>100</v>
      </c>
      <c r="L164" s="1010"/>
      <c r="M164" s="1010"/>
      <c r="N164" s="1010"/>
      <c r="O164" s="1010"/>
      <c r="P164" s="1010"/>
    </row>
    <row r="165" spans="1:26" ht="19.5">
      <c r="A165" s="932"/>
      <c r="B165" s="933"/>
      <c r="C165" s="934" t="s">
        <v>16</v>
      </c>
      <c r="D165" s="935" t="s">
        <v>17</v>
      </c>
      <c r="E165" s="933"/>
      <c r="F165" s="933"/>
      <c r="G165" s="936"/>
      <c r="H165" s="152" t="s">
        <v>12</v>
      </c>
      <c r="I165" s="937"/>
      <c r="J165" s="937"/>
      <c r="K165" s="938"/>
      <c r="L165" s="939">
        <f t="shared" ref="L165:N165" ca="1" si="84">L166+L167</f>
        <v>22055</v>
      </c>
      <c r="M165" s="939">
        <f t="shared" ca="1" si="84"/>
        <v>40695</v>
      </c>
      <c r="N165" s="939">
        <f t="shared" ca="1" si="84"/>
        <v>40695</v>
      </c>
      <c r="O165" s="939">
        <f t="shared" ref="O165:O173" ca="1" si="85">IF(L165&gt;0,N165*100/L165,0)</f>
        <v>184.51598277034685</v>
      </c>
      <c r="P165" s="939">
        <f t="shared" ref="P165:P173" ca="1" si="86">IF(M165&gt;0,N165*100/M165,0)</f>
        <v>100</v>
      </c>
      <c r="Q165" s="818"/>
      <c r="R165" s="818"/>
      <c r="S165" s="818"/>
      <c r="T165" s="818"/>
      <c r="U165" s="818"/>
      <c r="V165" s="818"/>
      <c r="W165" s="818"/>
      <c r="X165" s="818"/>
      <c r="Y165" s="818"/>
      <c r="Z165" s="818"/>
    </row>
    <row r="166" spans="1:26" ht="18.75" hidden="1">
      <c r="A166" s="940"/>
      <c r="B166" s="833"/>
      <c r="C166" s="833"/>
      <c r="D166" s="833"/>
      <c r="E166" s="834" t="s">
        <v>18</v>
      </c>
      <c r="F166" s="833"/>
      <c r="G166" s="941"/>
      <c r="H166" s="158" t="s">
        <v>12</v>
      </c>
      <c r="I166" s="836"/>
      <c r="J166" s="836"/>
      <c r="K166" s="837"/>
      <c r="L166" s="837">
        <f t="shared" ref="L166:N167" si="87">L169+L172</f>
        <v>0</v>
      </c>
      <c r="M166" s="837">
        <f t="shared" si="87"/>
        <v>0</v>
      </c>
      <c r="N166" s="837">
        <f t="shared" si="87"/>
        <v>0</v>
      </c>
      <c r="O166" s="837">
        <f t="shared" si="85"/>
        <v>0</v>
      </c>
      <c r="P166" s="837">
        <f t="shared" si="86"/>
        <v>0</v>
      </c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</row>
    <row r="167" spans="1:26" ht="18.75" hidden="1">
      <c r="A167" s="940"/>
      <c r="B167" s="833"/>
      <c r="C167" s="833"/>
      <c r="D167" s="833"/>
      <c r="E167" s="834" t="s">
        <v>19</v>
      </c>
      <c r="F167" s="833"/>
      <c r="G167" s="941"/>
      <c r="H167" s="158" t="s">
        <v>12</v>
      </c>
      <c r="I167" s="836"/>
      <c r="J167" s="836"/>
      <c r="K167" s="837"/>
      <c r="L167" s="837">
        <f t="shared" ca="1" si="87"/>
        <v>22055</v>
      </c>
      <c r="M167" s="837">
        <f t="shared" ca="1" si="87"/>
        <v>40695</v>
      </c>
      <c r="N167" s="837">
        <f t="shared" ca="1" si="87"/>
        <v>40695</v>
      </c>
      <c r="O167" s="837">
        <f t="shared" ca="1" si="85"/>
        <v>184.51598277034685</v>
      </c>
      <c r="P167" s="837">
        <f t="shared" ca="1" si="86"/>
        <v>100</v>
      </c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</row>
    <row r="168" spans="1:26" ht="18.75">
      <c r="A168" s="942"/>
      <c r="B168" s="827"/>
      <c r="C168" s="943"/>
      <c r="D168" s="828" t="s">
        <v>20</v>
      </c>
      <c r="E168" s="827"/>
      <c r="F168" s="827"/>
      <c r="G168" s="829"/>
      <c r="H168" s="778" t="s">
        <v>12</v>
      </c>
      <c r="I168" s="944"/>
      <c r="J168" s="944"/>
      <c r="K168" s="945"/>
      <c r="L168" s="831">
        <f t="shared" ref="L168:N168" ca="1" si="88">L169+L170</f>
        <v>22055</v>
      </c>
      <c r="M168" s="831">
        <f t="shared" ca="1" si="88"/>
        <v>40695</v>
      </c>
      <c r="N168" s="831">
        <f t="shared" ca="1" si="88"/>
        <v>40695</v>
      </c>
      <c r="O168" s="831">
        <f t="shared" ca="1" si="85"/>
        <v>184.51598277034685</v>
      </c>
      <c r="P168" s="831">
        <f t="shared" ca="1" si="86"/>
        <v>100</v>
      </c>
      <c r="Q168" s="818"/>
      <c r="R168" s="818"/>
      <c r="S168" s="818"/>
      <c r="T168" s="818"/>
      <c r="U168" s="818"/>
      <c r="V168" s="818"/>
      <c r="W168" s="818"/>
      <c r="X168" s="818"/>
      <c r="Y168" s="818"/>
      <c r="Z168" s="818"/>
    </row>
    <row r="169" spans="1:26" ht="19.5" hidden="1">
      <c r="A169" s="940"/>
      <c r="B169" s="833"/>
      <c r="C169" s="946"/>
      <c r="D169" s="833"/>
      <c r="E169" s="834" t="s">
        <v>36</v>
      </c>
      <c r="F169" s="833"/>
      <c r="G169" s="941"/>
      <c r="H169" s="165" t="s">
        <v>12</v>
      </c>
      <c r="I169" s="947"/>
      <c r="J169" s="947"/>
      <c r="K169" s="948"/>
      <c r="L169" s="837">
        <v>0</v>
      </c>
      <c r="M169" s="837">
        <v>0</v>
      </c>
      <c r="N169" s="837">
        <v>0</v>
      </c>
      <c r="O169" s="837">
        <f t="shared" si="85"/>
        <v>0</v>
      </c>
      <c r="P169" s="837">
        <f t="shared" si="86"/>
        <v>0</v>
      </c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</row>
    <row r="170" spans="1:26" ht="19.5" hidden="1">
      <c r="A170" s="940"/>
      <c r="B170" s="833"/>
      <c r="C170" s="946"/>
      <c r="D170" s="833"/>
      <c r="E170" s="834" t="s">
        <v>37</v>
      </c>
      <c r="F170" s="833"/>
      <c r="G170" s="941"/>
      <c r="H170" s="165" t="s">
        <v>12</v>
      </c>
      <c r="I170" s="947"/>
      <c r="J170" s="947"/>
      <c r="K170" s="948"/>
      <c r="L170" s="837">
        <f ca="1">IFERROR(__xludf.DUMMYFUNCTION("IMPORTRANGE(""https://docs.google.com/spreadsheets/d/1MeEWN-I1oV_STSDYn1IFDPWt_1FKiwhDph83XaGc0o0/edit?usp=sharing"",""งบพรบ!CE28"")"),22055)</f>
        <v>22055</v>
      </c>
      <c r="M170" s="837">
        <f ca="1">IFERROR(__xludf.DUMMYFUNCTION("IMPORTRANGE(""https://docs.google.com/spreadsheets/d/1MeEWN-I1oV_STSDYn1IFDPWt_1FKiwhDph83XaGc0o0/edit?usp=sharing"",""งบพรบ!CJ28"")"),40695)</f>
        <v>40695</v>
      </c>
      <c r="N170" s="837">
        <f ca="1">IFERROR(__xludf.DUMMYFUNCTION("IMPORTRANGE(""https://docs.google.com/spreadsheets/d/1MeEWN-I1oV_STSDYn1IFDPWt_1FKiwhDph83XaGc0o0/edit?usp=sharing"",""งบพรบ!CL28"")"),40695)</f>
        <v>40695</v>
      </c>
      <c r="O170" s="837">
        <f t="shared" ca="1" si="85"/>
        <v>184.51598277034685</v>
      </c>
      <c r="P170" s="837">
        <f t="shared" ca="1" si="86"/>
        <v>100</v>
      </c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</row>
    <row r="171" spans="1:26" ht="18.75">
      <c r="A171" s="942"/>
      <c r="B171" s="827"/>
      <c r="C171" s="943"/>
      <c r="D171" s="828" t="s">
        <v>21</v>
      </c>
      <c r="E171" s="827"/>
      <c r="F171" s="827"/>
      <c r="G171" s="829"/>
      <c r="H171" s="168" t="s">
        <v>12</v>
      </c>
      <c r="I171" s="944"/>
      <c r="J171" s="944"/>
      <c r="K171" s="945"/>
      <c r="L171" s="831">
        <f t="shared" ref="L171:N171" ca="1" si="89">L172+L173</f>
        <v>0</v>
      </c>
      <c r="M171" s="831">
        <f t="shared" ca="1" si="89"/>
        <v>0</v>
      </c>
      <c r="N171" s="831">
        <f t="shared" ca="1" si="89"/>
        <v>0</v>
      </c>
      <c r="O171" s="831">
        <f t="shared" ca="1" si="85"/>
        <v>0</v>
      </c>
      <c r="P171" s="831">
        <f t="shared" ca="1" si="86"/>
        <v>0</v>
      </c>
      <c r="Q171" s="818"/>
      <c r="R171" s="818"/>
      <c r="S171" s="818"/>
      <c r="T171" s="818"/>
      <c r="U171" s="818"/>
      <c r="V171" s="818"/>
      <c r="W171" s="818"/>
      <c r="X171" s="818"/>
      <c r="Y171" s="818"/>
      <c r="Z171" s="818"/>
    </row>
    <row r="172" spans="1:26" ht="19.5" hidden="1">
      <c r="A172" s="940"/>
      <c r="B172" s="833"/>
      <c r="C172" s="946"/>
      <c r="D172" s="833"/>
      <c r="E172" s="834" t="s">
        <v>18</v>
      </c>
      <c r="F172" s="833"/>
      <c r="G172" s="941"/>
      <c r="H172" s="165" t="s">
        <v>12</v>
      </c>
      <c r="I172" s="947"/>
      <c r="J172" s="947"/>
      <c r="K172" s="948"/>
      <c r="L172" s="837">
        <v>0</v>
      </c>
      <c r="M172" s="837">
        <v>0</v>
      </c>
      <c r="N172" s="837">
        <v>0</v>
      </c>
      <c r="O172" s="837">
        <f t="shared" si="85"/>
        <v>0</v>
      </c>
      <c r="P172" s="837">
        <f t="shared" si="86"/>
        <v>0</v>
      </c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</row>
    <row r="173" spans="1:26" ht="19.5" hidden="1">
      <c r="A173" s="940"/>
      <c r="B173" s="833"/>
      <c r="C173" s="946"/>
      <c r="D173" s="833"/>
      <c r="E173" s="834" t="s">
        <v>19</v>
      </c>
      <c r="F173" s="833"/>
      <c r="G173" s="941"/>
      <c r="H173" s="169" t="s">
        <v>12</v>
      </c>
      <c r="I173" s="947"/>
      <c r="J173" s="947"/>
      <c r="K173" s="948"/>
      <c r="L173" s="837">
        <f ca="1">IFERROR(__xludf.DUMMYFUNCTION("IMPORTRANGE(""https://docs.google.com/spreadsheets/d/1MeEWN-I1oV_STSDYn1IFDPWt_1FKiwhDph83XaGc0o0/edit?usp=sharing"",""งบพรบ!CH28"")"),0)</f>
        <v>0</v>
      </c>
      <c r="M173" s="837">
        <f ca="1">IFERROR(__xludf.DUMMYFUNCTION("IMPORTRANGE(""https://docs.google.com/spreadsheets/d/1MeEWN-I1oV_STSDYn1IFDPWt_1FKiwhDph83XaGc0o0/edit?usp=sharing"",""งบพรบ!CK28"")"),0)</f>
        <v>0</v>
      </c>
      <c r="N173" s="837">
        <f ca="1">IFERROR(__xludf.DUMMYFUNCTION("IMPORTRANGE(""https://docs.google.com/spreadsheets/d/1MeEWN-I1oV_STSDYn1IFDPWt_1FKiwhDph83XaGc0o0/edit?usp=sharing"",""งบพรบ!CM28"")"),0)</f>
        <v>0</v>
      </c>
      <c r="O173" s="837">
        <f t="shared" ca="1" si="85"/>
        <v>0</v>
      </c>
      <c r="P173" s="837">
        <f t="shared" ca="1" si="86"/>
        <v>0</v>
      </c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</row>
    <row r="174" spans="1:26" ht="19.5">
      <c r="A174" s="1011"/>
      <c r="B174" s="1012"/>
      <c r="C174" s="1013" t="s">
        <v>84</v>
      </c>
      <c r="D174" s="1012"/>
      <c r="E174" s="1012"/>
      <c r="F174" s="1012"/>
      <c r="G174" s="1014"/>
      <c r="H174" s="260" t="s">
        <v>35</v>
      </c>
      <c r="I174" s="1015">
        <f t="shared" ref="I174:J174" ca="1" si="90">I176</f>
        <v>11</v>
      </c>
      <c r="J174" s="1015">
        <f t="shared" si="90"/>
        <v>11</v>
      </c>
      <c r="K174" s="1016">
        <f ca="1">IF(I174&gt;0,J174*100/I174,0)</f>
        <v>100</v>
      </c>
      <c r="L174" s="1016"/>
      <c r="M174" s="1016"/>
      <c r="N174" s="1016"/>
      <c r="O174" s="1016"/>
      <c r="P174" s="1016"/>
    </row>
    <row r="175" spans="1:26" ht="19.5">
      <c r="A175" s="949"/>
      <c r="B175" s="950"/>
      <c r="C175" s="946" t="s">
        <v>16</v>
      </c>
      <c r="D175" s="951" t="s">
        <v>38</v>
      </c>
      <c r="E175" s="952"/>
      <c r="F175" s="952"/>
      <c r="G175" s="953"/>
      <c r="H175" s="954"/>
      <c r="I175" s="944"/>
      <c r="J175" s="944"/>
      <c r="K175" s="945"/>
      <c r="L175" s="945"/>
      <c r="M175" s="945"/>
      <c r="N175" s="945"/>
      <c r="O175" s="945"/>
      <c r="P175" s="945"/>
    </row>
    <row r="176" spans="1:26" ht="18.75">
      <c r="A176" s="949"/>
      <c r="B176" s="950"/>
      <c r="C176" s="950"/>
      <c r="D176" s="1017" t="s">
        <v>85</v>
      </c>
      <c r="E176" s="957"/>
      <c r="F176" s="957"/>
      <c r="G176" s="958"/>
      <c r="H176" s="590" t="s">
        <v>35</v>
      </c>
      <c r="I176" s="830">
        <f ca="1">IFERROR(__xludf.DUMMYFUNCTION("IMPORTRANGE(""https://docs.google.com/spreadsheets/d/1QqKyyYR6Q21VydFLVH3TRQUabQu_ym0Zz7PgGX0-kHA/edit?usp=sharing"",""แผน!Y28"")"),11)</f>
        <v>11</v>
      </c>
      <c r="J176" s="959">
        <v>11</v>
      </c>
      <c r="K176" s="945">
        <f ca="1">IF(I176&gt;0,J176*100/I176,0)</f>
        <v>100</v>
      </c>
      <c r="L176" s="945"/>
      <c r="M176" s="945"/>
      <c r="N176" s="945"/>
      <c r="O176" s="945"/>
      <c r="P176" s="945"/>
    </row>
    <row r="177" spans="1:26" ht="19.5" hidden="1">
      <c r="A177" s="1011"/>
      <c r="B177" s="1018"/>
      <c r="C177" s="1019" t="s">
        <v>86</v>
      </c>
      <c r="D177" s="1018"/>
      <c r="E177" s="1012"/>
      <c r="F177" s="1012"/>
      <c r="G177" s="1014"/>
      <c r="H177" s="266" t="s">
        <v>35</v>
      </c>
      <c r="I177" s="1015"/>
      <c r="J177" s="1015">
        <f>J179</f>
        <v>0</v>
      </c>
      <c r="K177" s="1016"/>
      <c r="L177" s="1016"/>
      <c r="M177" s="1016"/>
      <c r="N177" s="1016"/>
      <c r="O177" s="1016"/>
      <c r="P177" s="1016"/>
    </row>
    <row r="178" spans="1:26" ht="19.5" hidden="1">
      <c r="A178" s="949"/>
      <c r="B178" s="950"/>
      <c r="C178" s="946" t="s">
        <v>16</v>
      </c>
      <c r="D178" s="1020" t="s">
        <v>38</v>
      </c>
      <c r="E178" s="952"/>
      <c r="F178" s="952"/>
      <c r="G178" s="953"/>
      <c r="H178" s="954"/>
      <c r="I178" s="944"/>
      <c r="J178" s="944"/>
      <c r="K178" s="945"/>
      <c r="L178" s="945"/>
      <c r="M178" s="945"/>
      <c r="N178" s="945"/>
      <c r="O178" s="945"/>
      <c r="P178" s="945"/>
    </row>
    <row r="179" spans="1:26" ht="18.75" hidden="1">
      <c r="A179" s="949"/>
      <c r="B179" s="950"/>
      <c r="C179" s="950"/>
      <c r="D179" s="1021" t="s">
        <v>87</v>
      </c>
      <c r="E179" s="957"/>
      <c r="F179" s="1022"/>
      <c r="G179" s="958"/>
      <c r="H179" s="43" t="s">
        <v>35</v>
      </c>
      <c r="I179" s="830"/>
      <c r="J179" s="830"/>
      <c r="K179" s="945"/>
      <c r="L179" s="945"/>
      <c r="M179" s="945"/>
      <c r="N179" s="945"/>
      <c r="O179" s="945"/>
      <c r="P179" s="945"/>
    </row>
    <row r="180" spans="1:26" ht="19.5">
      <c r="A180" s="1005"/>
      <c r="B180" s="1006" t="s">
        <v>88</v>
      </c>
      <c r="C180" s="1007"/>
      <c r="D180" s="952"/>
      <c r="E180" s="952"/>
      <c r="F180" s="952"/>
      <c r="G180" s="953"/>
      <c r="H180" s="252" t="s">
        <v>35</v>
      </c>
      <c r="I180" s="1008">
        <f t="shared" ref="I180:J180" ca="1" si="91">I225+I226</f>
        <v>0</v>
      </c>
      <c r="J180" s="1008">
        <f t="shared" si="91"/>
        <v>0</v>
      </c>
      <c r="K180" s="1009">
        <f ca="1">IF(I180&gt;0,J180*100/I180,0)</f>
        <v>0</v>
      </c>
      <c r="L180" s="1010"/>
      <c r="M180" s="1010"/>
      <c r="N180" s="1010"/>
      <c r="O180" s="1010"/>
      <c r="P180" s="1010"/>
    </row>
    <row r="181" spans="1:26" ht="19.5">
      <c r="A181" s="932"/>
      <c r="B181" s="933"/>
      <c r="C181" s="934" t="s">
        <v>16</v>
      </c>
      <c r="D181" s="935" t="s">
        <v>17</v>
      </c>
      <c r="E181" s="933"/>
      <c r="F181" s="933"/>
      <c r="G181" s="936"/>
      <c r="H181" s="152" t="s">
        <v>12</v>
      </c>
      <c r="I181" s="937"/>
      <c r="J181" s="937"/>
      <c r="K181" s="938"/>
      <c r="L181" s="939">
        <f t="shared" ref="L181:N181" ca="1" si="92">L182+L183</f>
        <v>76500</v>
      </c>
      <c r="M181" s="939">
        <f t="shared" ca="1" si="92"/>
        <v>61500</v>
      </c>
      <c r="N181" s="939">
        <f t="shared" ca="1" si="92"/>
        <v>33240</v>
      </c>
      <c r="O181" s="939">
        <f t="shared" ref="O181:O189" ca="1" si="93">IF(L181&gt;0,N181*100/L181,0)</f>
        <v>43.450980392156865</v>
      </c>
      <c r="P181" s="939">
        <f t="shared" ref="P181:P189" ca="1" si="94">IF(M181&gt;0,N181*100/M181,0)</f>
        <v>54.048780487804876</v>
      </c>
      <c r="Q181" s="818"/>
      <c r="R181" s="818"/>
      <c r="S181" s="818"/>
      <c r="T181" s="818"/>
      <c r="U181" s="818"/>
      <c r="V181" s="818"/>
      <c r="W181" s="818"/>
      <c r="X181" s="818"/>
      <c r="Y181" s="818"/>
      <c r="Z181" s="818"/>
    </row>
    <row r="182" spans="1:26" ht="18.75" hidden="1">
      <c r="A182" s="940"/>
      <c r="B182" s="833"/>
      <c r="C182" s="833"/>
      <c r="D182" s="833"/>
      <c r="E182" s="834" t="s">
        <v>18</v>
      </c>
      <c r="F182" s="833"/>
      <c r="G182" s="941"/>
      <c r="H182" s="158" t="s">
        <v>12</v>
      </c>
      <c r="I182" s="836"/>
      <c r="J182" s="836"/>
      <c r="K182" s="837"/>
      <c r="L182" s="837">
        <f t="shared" ref="L182:N183" si="95">L185+L188</f>
        <v>0</v>
      </c>
      <c r="M182" s="837">
        <f t="shared" si="95"/>
        <v>0</v>
      </c>
      <c r="N182" s="837">
        <f t="shared" si="95"/>
        <v>0</v>
      </c>
      <c r="O182" s="837">
        <f t="shared" si="93"/>
        <v>0</v>
      </c>
      <c r="P182" s="837">
        <f t="shared" si="94"/>
        <v>0</v>
      </c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</row>
    <row r="183" spans="1:26" ht="18.75" hidden="1">
      <c r="A183" s="940"/>
      <c r="B183" s="833"/>
      <c r="C183" s="833"/>
      <c r="D183" s="833"/>
      <c r="E183" s="834" t="s">
        <v>19</v>
      </c>
      <c r="F183" s="833"/>
      <c r="G183" s="941"/>
      <c r="H183" s="158" t="s">
        <v>12</v>
      </c>
      <c r="I183" s="836"/>
      <c r="J183" s="836"/>
      <c r="K183" s="837"/>
      <c r="L183" s="837">
        <f t="shared" ca="1" si="95"/>
        <v>76500</v>
      </c>
      <c r="M183" s="837">
        <f t="shared" ca="1" si="95"/>
        <v>61500</v>
      </c>
      <c r="N183" s="837">
        <f t="shared" ca="1" si="95"/>
        <v>33240</v>
      </c>
      <c r="O183" s="837">
        <f t="shared" ca="1" si="93"/>
        <v>43.450980392156865</v>
      </c>
      <c r="P183" s="837">
        <f t="shared" ca="1" si="94"/>
        <v>54.048780487804876</v>
      </c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</row>
    <row r="184" spans="1:26" ht="18.75">
      <c r="A184" s="942"/>
      <c r="B184" s="827"/>
      <c r="C184" s="943"/>
      <c r="D184" s="828" t="s">
        <v>20</v>
      </c>
      <c r="E184" s="827"/>
      <c r="F184" s="827"/>
      <c r="G184" s="829"/>
      <c r="H184" s="778" t="s">
        <v>12</v>
      </c>
      <c r="I184" s="944"/>
      <c r="J184" s="944"/>
      <c r="K184" s="945"/>
      <c r="L184" s="831">
        <f t="shared" ref="L184:N184" ca="1" si="96">L185+L186</f>
        <v>76500</v>
      </c>
      <c r="M184" s="831">
        <f t="shared" ca="1" si="96"/>
        <v>61500</v>
      </c>
      <c r="N184" s="831">
        <f t="shared" ca="1" si="96"/>
        <v>33240</v>
      </c>
      <c r="O184" s="831">
        <f t="shared" ca="1" si="93"/>
        <v>43.450980392156865</v>
      </c>
      <c r="P184" s="831">
        <f t="shared" ca="1" si="94"/>
        <v>54.048780487804876</v>
      </c>
      <c r="Q184" s="818"/>
      <c r="R184" s="818"/>
      <c r="S184" s="818"/>
      <c r="T184" s="818"/>
      <c r="U184" s="818"/>
      <c r="V184" s="818"/>
      <c r="W184" s="818"/>
      <c r="X184" s="818"/>
      <c r="Y184" s="818"/>
      <c r="Z184" s="818"/>
    </row>
    <row r="185" spans="1:26" ht="19.5" hidden="1">
      <c r="A185" s="940"/>
      <c r="B185" s="833"/>
      <c r="C185" s="946"/>
      <c r="D185" s="833"/>
      <c r="E185" s="834" t="s">
        <v>36</v>
      </c>
      <c r="F185" s="833"/>
      <c r="G185" s="941"/>
      <c r="H185" s="165" t="s">
        <v>12</v>
      </c>
      <c r="I185" s="947"/>
      <c r="J185" s="947"/>
      <c r="K185" s="948"/>
      <c r="L185" s="837">
        <v>0</v>
      </c>
      <c r="M185" s="837">
        <v>0</v>
      </c>
      <c r="N185" s="837">
        <v>0</v>
      </c>
      <c r="O185" s="837">
        <f t="shared" si="93"/>
        <v>0</v>
      </c>
      <c r="P185" s="837">
        <f t="shared" si="94"/>
        <v>0</v>
      </c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</row>
    <row r="186" spans="1:26" ht="19.5" hidden="1">
      <c r="A186" s="940"/>
      <c r="B186" s="833"/>
      <c r="C186" s="946"/>
      <c r="D186" s="833"/>
      <c r="E186" s="834" t="s">
        <v>37</v>
      </c>
      <c r="F186" s="833"/>
      <c r="G186" s="941"/>
      <c r="H186" s="165" t="s">
        <v>12</v>
      </c>
      <c r="I186" s="947"/>
      <c r="J186" s="947"/>
      <c r="K186" s="948"/>
      <c r="L186" s="837">
        <f ca="1">IFERROR(__xludf.DUMMYFUNCTION("IMPORTRANGE(""https://docs.google.com/spreadsheets/d/1MeEWN-I1oV_STSDYn1IFDPWt_1FKiwhDph83XaGc0o0/edit?usp=sharing"",""งบพรบ!CO28"")"),76500)</f>
        <v>76500</v>
      </c>
      <c r="M186" s="837">
        <f ca="1">IFERROR(__xludf.DUMMYFUNCTION("IMPORTRANGE(""https://docs.google.com/spreadsheets/d/1MeEWN-I1oV_STSDYn1IFDPWt_1FKiwhDph83XaGc0o0/edit?usp=sharing"",""งบพรบ!CT28"")"),61500)</f>
        <v>61500</v>
      </c>
      <c r="N186" s="837">
        <f ca="1">IFERROR(__xludf.DUMMYFUNCTION("IMPORTRANGE(""https://docs.google.com/spreadsheets/d/1MeEWN-I1oV_STSDYn1IFDPWt_1FKiwhDph83XaGc0o0/edit?usp=sharing"",""งบพรบ!CV28"")"),33240)</f>
        <v>33240</v>
      </c>
      <c r="O186" s="837">
        <f t="shared" ca="1" si="93"/>
        <v>43.450980392156865</v>
      </c>
      <c r="P186" s="837">
        <f t="shared" ca="1" si="94"/>
        <v>54.048780487804876</v>
      </c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</row>
    <row r="187" spans="1:26" ht="18.75">
      <c r="A187" s="942"/>
      <c r="B187" s="827"/>
      <c r="C187" s="943"/>
      <c r="D187" s="828" t="s">
        <v>21</v>
      </c>
      <c r="E187" s="827"/>
      <c r="F187" s="827"/>
      <c r="G187" s="829"/>
      <c r="H187" s="168" t="s">
        <v>12</v>
      </c>
      <c r="I187" s="944"/>
      <c r="J187" s="944"/>
      <c r="K187" s="945"/>
      <c r="L187" s="831">
        <f t="shared" ref="L187:N187" ca="1" si="97">L188+L189</f>
        <v>0</v>
      </c>
      <c r="M187" s="831">
        <f t="shared" ca="1" si="97"/>
        <v>0</v>
      </c>
      <c r="N187" s="831">
        <f t="shared" ca="1" si="97"/>
        <v>0</v>
      </c>
      <c r="O187" s="831">
        <f t="shared" ca="1" si="93"/>
        <v>0</v>
      </c>
      <c r="P187" s="831">
        <f t="shared" ca="1" si="94"/>
        <v>0</v>
      </c>
      <c r="Q187" s="818"/>
      <c r="R187" s="818"/>
      <c r="S187" s="818"/>
      <c r="T187" s="818"/>
      <c r="U187" s="818"/>
      <c r="V187" s="818"/>
      <c r="W187" s="818"/>
      <c r="X187" s="818"/>
      <c r="Y187" s="818"/>
      <c r="Z187" s="818"/>
    </row>
    <row r="188" spans="1:26" ht="19.5" hidden="1">
      <c r="A188" s="940"/>
      <c r="B188" s="833"/>
      <c r="C188" s="946"/>
      <c r="D188" s="833"/>
      <c r="E188" s="834" t="s">
        <v>18</v>
      </c>
      <c r="F188" s="833"/>
      <c r="G188" s="941"/>
      <c r="H188" s="165" t="s">
        <v>12</v>
      </c>
      <c r="I188" s="947"/>
      <c r="J188" s="947"/>
      <c r="K188" s="948"/>
      <c r="L188" s="837">
        <v>0</v>
      </c>
      <c r="M188" s="837">
        <v>0</v>
      </c>
      <c r="N188" s="837">
        <v>0</v>
      </c>
      <c r="O188" s="837">
        <f t="shared" si="93"/>
        <v>0</v>
      </c>
      <c r="P188" s="837">
        <f t="shared" si="94"/>
        <v>0</v>
      </c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</row>
    <row r="189" spans="1:26" ht="19.5" hidden="1">
      <c r="A189" s="940"/>
      <c r="B189" s="833"/>
      <c r="C189" s="946"/>
      <c r="D189" s="833"/>
      <c r="E189" s="834" t="s">
        <v>19</v>
      </c>
      <c r="F189" s="833"/>
      <c r="G189" s="941"/>
      <c r="H189" s="169" t="s">
        <v>12</v>
      </c>
      <c r="I189" s="947"/>
      <c r="J189" s="947"/>
      <c r="K189" s="948"/>
      <c r="L189" s="837">
        <f ca="1">IFERROR(__xludf.DUMMYFUNCTION("IMPORTRANGE(""https://docs.google.com/spreadsheets/d/1MeEWN-I1oV_STSDYn1IFDPWt_1FKiwhDph83XaGc0o0/edit?usp=sharing"",""งบพรบ!CR28"")"),0)</f>
        <v>0</v>
      </c>
      <c r="M189" s="837">
        <f ca="1">IFERROR(__xludf.DUMMYFUNCTION("IMPORTRANGE(""https://docs.google.com/spreadsheets/d/1MeEWN-I1oV_STSDYn1IFDPWt_1FKiwhDph83XaGc0o0/edit?usp=sharing"",""งบพรบ!CU28"")"),0)</f>
        <v>0</v>
      </c>
      <c r="N189" s="837">
        <f ca="1">IFERROR(__xludf.DUMMYFUNCTION("IMPORTRANGE(""https://docs.google.com/spreadsheets/d/1MeEWN-I1oV_STSDYn1IFDPWt_1FKiwhDph83XaGc0o0/edit?usp=sharing"",""งบพรบ!CW28"")"),0)</f>
        <v>0</v>
      </c>
      <c r="O189" s="837">
        <f t="shared" ca="1" si="93"/>
        <v>0</v>
      </c>
      <c r="P189" s="837">
        <f t="shared" ca="1" si="94"/>
        <v>0</v>
      </c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</row>
    <row r="190" spans="1:26" ht="19.5">
      <c r="A190" s="1011"/>
      <c r="B190" s="1018"/>
      <c r="C190" s="1023" t="s">
        <v>89</v>
      </c>
      <c r="D190" s="1012"/>
      <c r="E190" s="1012"/>
      <c r="F190" s="1012"/>
      <c r="G190" s="1014"/>
      <c r="H190" s="260" t="s">
        <v>90</v>
      </c>
      <c r="I190" s="1024">
        <f t="shared" ref="I190:J190" ca="1" si="98">I193</f>
        <v>4</v>
      </c>
      <c r="J190" s="1024">
        <f t="shared" si="98"/>
        <v>2</v>
      </c>
      <c r="K190" s="1025">
        <f ca="1">IF(I190&gt;0,J190*100/I190,0)</f>
        <v>50</v>
      </c>
      <c r="L190" s="1016"/>
      <c r="M190" s="1016"/>
      <c r="N190" s="1016"/>
      <c r="O190" s="1016"/>
      <c r="P190" s="1016"/>
    </row>
    <row r="191" spans="1:26" ht="19.5">
      <c r="A191" s="932"/>
      <c r="B191" s="933"/>
      <c r="C191" s="934" t="s">
        <v>16</v>
      </c>
      <c r="D191" s="1026" t="s">
        <v>17</v>
      </c>
      <c r="E191" s="933"/>
      <c r="F191" s="933"/>
      <c r="G191" s="936"/>
      <c r="H191" s="275" t="s">
        <v>12</v>
      </c>
      <c r="I191" s="937"/>
      <c r="J191" s="937"/>
      <c r="K191" s="938"/>
      <c r="L191" s="939">
        <f ca="1">IFERROR(__xludf.DUMMYFUNCTION("IMPORTRANGE(""https://docs.google.com/spreadsheets/d/1QqKyyYR6Q21VydFLVH3TRQUabQu_ym0Zz7PgGX0-kHA/edit?usp=sharing"",""แผน!Z28"")"),6000)</f>
        <v>6000</v>
      </c>
      <c r="M191" s="939"/>
      <c r="N191" s="1027">
        <v>1240</v>
      </c>
      <c r="O191" s="939">
        <f ca="1">IF(L191&gt;0,N191*100/L191,0)</f>
        <v>20.666666666666668</v>
      </c>
      <c r="P191" s="939">
        <f>IF(M191&gt;0,N191*100/M191,0)</f>
        <v>0</v>
      </c>
      <c r="Q191" s="818"/>
      <c r="R191" s="818"/>
      <c r="S191" s="818"/>
      <c r="T191" s="818"/>
      <c r="U191" s="818"/>
      <c r="V191" s="818"/>
      <c r="W191" s="818"/>
      <c r="X191" s="818"/>
      <c r="Y191" s="818"/>
      <c r="Z191" s="818"/>
    </row>
    <row r="192" spans="1:26" ht="19.5">
      <c r="A192" s="949"/>
      <c r="B192" s="950"/>
      <c r="C192" s="976" t="s">
        <v>16</v>
      </c>
      <c r="D192" s="951" t="s">
        <v>38</v>
      </c>
      <c r="E192" s="952"/>
      <c r="F192" s="952"/>
      <c r="G192" s="953"/>
      <c r="H192" s="954"/>
      <c r="I192" s="830"/>
      <c r="J192" s="830"/>
      <c r="K192" s="831"/>
      <c r="L192" s="831"/>
      <c r="M192" s="831"/>
      <c r="N192" s="831"/>
      <c r="O192" s="831"/>
      <c r="P192" s="831"/>
      <c r="Q192" s="818"/>
      <c r="R192" s="818"/>
      <c r="S192" s="818"/>
      <c r="T192" s="818"/>
      <c r="U192" s="818"/>
      <c r="V192" s="818"/>
      <c r="W192" s="818"/>
      <c r="X192" s="818"/>
      <c r="Y192" s="818"/>
      <c r="Z192" s="818"/>
    </row>
    <row r="193" spans="1:26" ht="18.75">
      <c r="A193" s="949"/>
      <c r="B193" s="950"/>
      <c r="C193" s="950"/>
      <c r="D193" s="956" t="s">
        <v>91</v>
      </c>
      <c r="E193" s="957"/>
      <c r="F193" s="957"/>
      <c r="G193" s="958"/>
      <c r="H193" s="730" t="s">
        <v>90</v>
      </c>
      <c r="I193" s="830">
        <f ca="1">IFERROR(__xludf.DUMMYFUNCTION("IMPORTRANGE(""https://docs.google.com/spreadsheets/d/1QqKyyYR6Q21VydFLVH3TRQUabQu_ym0Zz7PgGX0-kHA/edit?usp=sharing"",""แผน!AC28"")"),4)</f>
        <v>4</v>
      </c>
      <c r="J193" s="959">
        <v>2</v>
      </c>
      <c r="K193" s="831">
        <f ca="1">IF(I193&gt;0,J193*100/I193,0)</f>
        <v>50</v>
      </c>
      <c r="L193" s="831"/>
      <c r="M193" s="831"/>
      <c r="N193" s="831"/>
      <c r="O193" s="831"/>
      <c r="P193" s="831"/>
      <c r="Q193" s="818"/>
      <c r="R193" s="818"/>
      <c r="S193" s="818"/>
      <c r="T193" s="818"/>
      <c r="U193" s="818"/>
      <c r="V193" s="818"/>
      <c r="W193" s="818"/>
      <c r="X193" s="818"/>
      <c r="Y193" s="818"/>
      <c r="Z193" s="818"/>
    </row>
    <row r="194" spans="1:26" ht="18.75">
      <c r="A194" s="949"/>
      <c r="B194" s="950"/>
      <c r="C194" s="950"/>
      <c r="D194" s="956" t="s">
        <v>92</v>
      </c>
      <c r="E194" s="957"/>
      <c r="F194" s="957"/>
      <c r="G194" s="958"/>
      <c r="H194" s="277" t="s">
        <v>35</v>
      </c>
      <c r="I194" s="830"/>
      <c r="J194" s="830">
        <f>J195+J196</f>
        <v>70</v>
      </c>
      <c r="K194" s="831"/>
      <c r="L194" s="831"/>
      <c r="M194" s="831"/>
      <c r="N194" s="831"/>
      <c r="O194" s="831"/>
      <c r="P194" s="831"/>
      <c r="Q194" s="818"/>
      <c r="R194" s="818"/>
      <c r="S194" s="818"/>
      <c r="T194" s="818"/>
      <c r="U194" s="818"/>
      <c r="V194" s="818"/>
      <c r="W194" s="818"/>
      <c r="X194" s="818"/>
      <c r="Y194" s="818"/>
      <c r="Z194" s="818"/>
    </row>
    <row r="195" spans="1:26" ht="18.75">
      <c r="A195" s="949"/>
      <c r="B195" s="950"/>
      <c r="C195" s="950"/>
      <c r="D195" s="950"/>
      <c r="E195" s="956" t="s">
        <v>93</v>
      </c>
      <c r="F195" s="957"/>
      <c r="G195" s="958"/>
      <c r="H195" s="277" t="s">
        <v>35</v>
      </c>
      <c r="I195" s="830"/>
      <c r="J195" s="959">
        <v>70</v>
      </c>
      <c r="K195" s="831"/>
      <c r="L195" s="831"/>
      <c r="M195" s="831"/>
      <c r="N195" s="831"/>
      <c r="O195" s="831"/>
      <c r="P195" s="831"/>
      <c r="Q195" s="818"/>
      <c r="R195" s="818"/>
      <c r="S195" s="818"/>
      <c r="T195" s="818"/>
      <c r="U195" s="818"/>
      <c r="V195" s="818"/>
      <c r="W195" s="818"/>
      <c r="X195" s="818"/>
      <c r="Y195" s="818"/>
      <c r="Z195" s="818"/>
    </row>
    <row r="196" spans="1:26" ht="18.75">
      <c r="A196" s="949"/>
      <c r="B196" s="950"/>
      <c r="C196" s="950"/>
      <c r="D196" s="950"/>
      <c r="E196" s="956" t="s">
        <v>94</v>
      </c>
      <c r="F196" s="957"/>
      <c r="G196" s="958"/>
      <c r="H196" s="277" t="s">
        <v>35</v>
      </c>
      <c r="I196" s="830"/>
      <c r="J196" s="959">
        <v>0</v>
      </c>
      <c r="K196" s="831"/>
      <c r="L196" s="831"/>
      <c r="M196" s="831"/>
      <c r="N196" s="831"/>
      <c r="O196" s="831"/>
      <c r="P196" s="831"/>
      <c r="Q196" s="818"/>
      <c r="R196" s="818"/>
      <c r="S196" s="818"/>
      <c r="T196" s="818"/>
      <c r="U196" s="818"/>
      <c r="V196" s="818"/>
      <c r="W196" s="818"/>
      <c r="X196" s="818"/>
      <c r="Y196" s="818"/>
      <c r="Z196" s="818"/>
    </row>
    <row r="197" spans="1:26" ht="19.5">
      <c r="A197" s="1011"/>
      <c r="B197" s="1018"/>
      <c r="C197" s="1023" t="s">
        <v>95</v>
      </c>
      <c r="D197" s="1012"/>
      <c r="E197" s="1012"/>
      <c r="F197" s="1012"/>
      <c r="G197" s="1014"/>
      <c r="H197" s="278" t="s">
        <v>96</v>
      </c>
      <c r="I197" s="1024">
        <f t="shared" ref="I197:J197" ca="1" si="99">I204</f>
        <v>4</v>
      </c>
      <c r="J197" s="1024">
        <f t="shared" si="99"/>
        <v>4</v>
      </c>
      <c r="K197" s="1025">
        <f ca="1">IF(I197&gt;0,J197*100/I197,0)</f>
        <v>100</v>
      </c>
      <c r="L197" s="1016"/>
      <c r="M197" s="1016"/>
      <c r="N197" s="1016"/>
      <c r="O197" s="1016"/>
      <c r="P197" s="1016"/>
    </row>
    <row r="198" spans="1:26" ht="19.5">
      <c r="A198" s="932"/>
      <c r="B198" s="933"/>
      <c r="C198" s="934" t="s">
        <v>16</v>
      </c>
      <c r="D198" s="1026" t="s">
        <v>17</v>
      </c>
      <c r="E198" s="933"/>
      <c r="F198" s="933"/>
      <c r="G198" s="936"/>
      <c r="H198" s="275" t="s">
        <v>12</v>
      </c>
      <c r="I198" s="1028"/>
      <c r="J198" s="1028"/>
      <c r="K198" s="1029"/>
      <c r="L198" s="939">
        <f ca="1">L199+L200+L201+L202</f>
        <v>52000</v>
      </c>
      <c r="M198" s="939"/>
      <c r="N198" s="939">
        <f>N199+N200+N201+N202</f>
        <v>0</v>
      </c>
      <c r="O198" s="939">
        <f ca="1">IF(L198&gt;0,N198*100/L198,0)</f>
        <v>0</v>
      </c>
      <c r="P198" s="939">
        <f>IF(M198&gt;0,N198*100/M198,0)</f>
        <v>0</v>
      </c>
      <c r="Q198" s="818"/>
      <c r="R198" s="818"/>
      <c r="S198" s="818"/>
      <c r="T198" s="818"/>
      <c r="U198" s="818"/>
      <c r="V198" s="818"/>
      <c r="W198" s="818"/>
      <c r="X198" s="818"/>
      <c r="Y198" s="818"/>
      <c r="Z198" s="818"/>
    </row>
    <row r="199" spans="1:26" ht="18.75">
      <c r="A199" s="942"/>
      <c r="B199" s="1030"/>
      <c r="C199" s="827"/>
      <c r="D199" s="943" t="s">
        <v>97</v>
      </c>
      <c r="E199" s="827"/>
      <c r="F199" s="827"/>
      <c r="G199" s="829"/>
      <c r="H199" s="778" t="s">
        <v>12</v>
      </c>
      <c r="I199" s="944"/>
      <c r="J199" s="944"/>
      <c r="K199" s="945"/>
      <c r="L199" s="831">
        <f ca="1">IFERROR(__xludf.DUMMYFUNCTION("IMPORTRANGE(""https://docs.google.com/spreadsheets/d/1QqKyyYR6Q21VydFLVH3TRQUabQu_ym0Zz7PgGX0-kHA/edit?usp=sharing"",""แผน!AE28"")"),4000)</f>
        <v>4000</v>
      </c>
      <c r="M199" s="831"/>
      <c r="N199" s="1031">
        <v>0</v>
      </c>
      <c r="O199" s="831"/>
      <c r="P199" s="831"/>
      <c r="Q199" s="818"/>
      <c r="R199" s="818"/>
      <c r="S199" s="818"/>
      <c r="T199" s="818"/>
      <c r="U199" s="818"/>
      <c r="V199" s="818"/>
      <c r="W199" s="818"/>
      <c r="X199" s="818"/>
      <c r="Y199" s="818"/>
      <c r="Z199" s="818"/>
    </row>
    <row r="200" spans="1:26" ht="19.5">
      <c r="A200" s="1032"/>
      <c r="B200" s="1030"/>
      <c r="C200" s="976"/>
      <c r="D200" s="943" t="s">
        <v>98</v>
      </c>
      <c r="E200" s="827"/>
      <c r="F200" s="827"/>
      <c r="G200" s="829"/>
      <c r="H200" s="590" t="s">
        <v>12</v>
      </c>
      <c r="I200" s="830"/>
      <c r="J200" s="830"/>
      <c r="K200" s="831"/>
      <c r="L200" s="831">
        <f ca="1">IFERROR(__xludf.DUMMYFUNCTION("IMPORTRANGE(""https://docs.google.com/spreadsheets/d/1QqKyyYR6Q21VydFLVH3TRQUabQu_ym0Zz7PgGX0-kHA/edit?usp=sharing"",""แผน!AF28"")"),32000)</f>
        <v>32000</v>
      </c>
      <c r="M200" s="831"/>
      <c r="N200" s="1031">
        <v>0</v>
      </c>
      <c r="O200" s="831"/>
      <c r="P200" s="831"/>
      <c r="Q200" s="1033"/>
      <c r="R200" s="1033"/>
      <c r="S200" s="1033"/>
      <c r="T200" s="1033"/>
      <c r="U200" s="1033"/>
      <c r="V200" s="1033"/>
      <c r="W200" s="1033"/>
      <c r="X200" s="1033"/>
      <c r="Y200" s="1033"/>
      <c r="Z200" s="1033"/>
    </row>
    <row r="201" spans="1:26" ht="19.5">
      <c r="A201" s="1032"/>
      <c r="B201" s="1030"/>
      <c r="C201" s="976"/>
      <c r="D201" s="943" t="s">
        <v>99</v>
      </c>
      <c r="E201" s="827"/>
      <c r="F201" s="827"/>
      <c r="G201" s="829"/>
      <c r="H201" s="590" t="s">
        <v>12</v>
      </c>
      <c r="I201" s="830"/>
      <c r="J201" s="830"/>
      <c r="K201" s="831"/>
      <c r="L201" s="831">
        <f ca="1">IFERROR(__xludf.DUMMYFUNCTION("IMPORTRANGE(""https://docs.google.com/spreadsheets/d/1QqKyyYR6Q21VydFLVH3TRQUabQu_ym0Zz7PgGX0-kHA/edit?usp=sharing"",""แผน!AG28"")"),16000)</f>
        <v>16000</v>
      </c>
      <c r="M201" s="831"/>
      <c r="N201" s="1031">
        <v>0</v>
      </c>
      <c r="O201" s="831"/>
      <c r="P201" s="831"/>
      <c r="Q201" s="1033"/>
      <c r="R201" s="1033"/>
      <c r="S201" s="1033"/>
      <c r="T201" s="1033"/>
      <c r="U201" s="1033"/>
      <c r="V201" s="1033"/>
      <c r="W201" s="1033"/>
      <c r="X201" s="1033"/>
      <c r="Y201" s="1033"/>
      <c r="Z201" s="1033"/>
    </row>
    <row r="202" spans="1:26" ht="19.5">
      <c r="A202" s="1032"/>
      <c r="B202" s="1030"/>
      <c r="C202" s="976"/>
      <c r="D202" s="943" t="s">
        <v>100</v>
      </c>
      <c r="E202" s="827"/>
      <c r="F202" s="827"/>
      <c r="G202" s="829"/>
      <c r="H202" s="590" t="s">
        <v>12</v>
      </c>
      <c r="I202" s="830"/>
      <c r="J202" s="830"/>
      <c r="K202" s="831"/>
      <c r="L202" s="831">
        <f ca="1">IFERROR(__xludf.DUMMYFUNCTION("IMPORTRANGE(""https://docs.google.com/spreadsheets/d/1QqKyyYR6Q21VydFLVH3TRQUabQu_ym0Zz7PgGX0-kHA/edit?usp=sharing"",""แผน!AH28"")"),0)</f>
        <v>0</v>
      </c>
      <c r="M202" s="831"/>
      <c r="N202" s="1031">
        <v>0</v>
      </c>
      <c r="O202" s="831"/>
      <c r="P202" s="831"/>
      <c r="Q202" s="1033"/>
      <c r="R202" s="1033"/>
      <c r="S202" s="1033"/>
      <c r="T202" s="1033"/>
      <c r="U202" s="1033"/>
      <c r="V202" s="1033"/>
      <c r="W202" s="1033"/>
      <c r="X202" s="1033"/>
      <c r="Y202" s="1033"/>
      <c r="Z202" s="1033"/>
    </row>
    <row r="203" spans="1:26" ht="19.5">
      <c r="A203" s="949"/>
      <c r="B203" s="950"/>
      <c r="C203" s="976" t="s">
        <v>16</v>
      </c>
      <c r="D203" s="951" t="s">
        <v>38</v>
      </c>
      <c r="E203" s="952"/>
      <c r="F203" s="952"/>
      <c r="G203" s="953"/>
      <c r="H203" s="954"/>
      <c r="I203" s="944"/>
      <c r="J203" s="944"/>
      <c r="K203" s="945"/>
      <c r="L203" s="945"/>
      <c r="M203" s="945"/>
      <c r="N203" s="945"/>
      <c r="O203" s="945"/>
      <c r="P203" s="945"/>
      <c r="Q203" s="818"/>
      <c r="R203" s="818"/>
      <c r="S203" s="818"/>
      <c r="T203" s="818"/>
      <c r="U203" s="818"/>
      <c r="V203" s="818"/>
      <c r="W203" s="818"/>
      <c r="X203" s="818"/>
      <c r="Y203" s="818"/>
      <c r="Z203" s="818"/>
    </row>
    <row r="204" spans="1:26" ht="18.75">
      <c r="A204" s="949"/>
      <c r="B204" s="950"/>
      <c r="C204" s="950"/>
      <c r="D204" s="955" t="s">
        <v>101</v>
      </c>
      <c r="E204" s="957"/>
      <c r="F204" s="957"/>
      <c r="G204" s="958"/>
      <c r="H204" s="954" t="s">
        <v>96</v>
      </c>
      <c r="I204" s="830">
        <f ca="1">IFERROR(__xludf.DUMMYFUNCTION("IMPORTRANGE(""https://docs.google.com/spreadsheets/d/1QqKyyYR6Q21VydFLVH3TRQUabQu_ym0Zz7PgGX0-kHA/edit?usp=sharing"",""แผน!AI28"")"),4)</f>
        <v>4</v>
      </c>
      <c r="J204" s="959">
        <v>4</v>
      </c>
      <c r="K204" s="945">
        <f ca="1">IF(I204&gt;0,J204*100/I204,0)</f>
        <v>100</v>
      </c>
      <c r="L204" s="831"/>
      <c r="M204" s="831"/>
      <c r="N204" s="831"/>
      <c r="O204" s="831"/>
      <c r="P204" s="831"/>
      <c r="Q204" s="818"/>
      <c r="R204" s="818"/>
      <c r="S204" s="818"/>
      <c r="T204" s="818"/>
      <c r="U204" s="818"/>
      <c r="V204" s="818"/>
      <c r="W204" s="818"/>
      <c r="X204" s="818"/>
      <c r="Y204" s="818"/>
      <c r="Z204" s="818"/>
    </row>
    <row r="205" spans="1:26" ht="18.75">
      <c r="A205" s="949"/>
      <c r="B205" s="950"/>
      <c r="C205" s="950"/>
      <c r="D205" s="956" t="s">
        <v>59</v>
      </c>
      <c r="E205" s="957"/>
      <c r="F205" s="957"/>
      <c r="G205" s="958"/>
      <c r="H205" s="954"/>
      <c r="I205" s="830"/>
      <c r="J205" s="830"/>
      <c r="K205" s="945"/>
      <c r="L205" s="831"/>
      <c r="M205" s="831"/>
      <c r="N205" s="831"/>
      <c r="O205" s="831"/>
      <c r="P205" s="831"/>
      <c r="Q205" s="818"/>
      <c r="R205" s="818"/>
      <c r="S205" s="818"/>
      <c r="T205" s="818"/>
      <c r="U205" s="818"/>
      <c r="V205" s="818"/>
      <c r="W205" s="818"/>
      <c r="X205" s="818"/>
      <c r="Y205" s="818"/>
      <c r="Z205" s="818"/>
    </row>
    <row r="206" spans="1:26" ht="18.75">
      <c r="A206" s="949"/>
      <c r="B206" s="950"/>
      <c r="C206" s="950"/>
      <c r="D206" s="957"/>
      <c r="E206" s="968" t="s">
        <v>102</v>
      </c>
      <c r="F206" s="1034"/>
      <c r="G206" s="1035"/>
      <c r="H206" s="1036" t="s">
        <v>96</v>
      </c>
      <c r="I206" s="830">
        <v>4</v>
      </c>
      <c r="J206" s="959">
        <v>0</v>
      </c>
      <c r="K206" s="945">
        <f t="shared" ref="K206:K208" si="100">IF(I206&gt;0,J206*100/I206,0)</f>
        <v>0</v>
      </c>
      <c r="L206" s="831"/>
      <c r="M206" s="831"/>
      <c r="N206" s="831"/>
      <c r="O206" s="831"/>
      <c r="P206" s="831"/>
      <c r="Q206" s="818"/>
      <c r="R206" s="818"/>
      <c r="S206" s="818"/>
      <c r="T206" s="818"/>
      <c r="U206" s="818"/>
      <c r="V206" s="818"/>
      <c r="W206" s="818"/>
      <c r="X206" s="818"/>
      <c r="Y206" s="818"/>
      <c r="Z206" s="818"/>
    </row>
    <row r="207" spans="1:26" ht="18.75">
      <c r="A207" s="949"/>
      <c r="B207" s="950"/>
      <c r="C207" s="950"/>
      <c r="D207" s="956"/>
      <c r="E207" s="956" t="s">
        <v>103</v>
      </c>
      <c r="F207" s="957"/>
      <c r="G207" s="957"/>
      <c r="H207" s="290" t="s">
        <v>104</v>
      </c>
      <c r="I207" s="830">
        <v>0</v>
      </c>
      <c r="J207" s="959">
        <v>0</v>
      </c>
      <c r="K207" s="945">
        <f t="shared" si="100"/>
        <v>0</v>
      </c>
      <c r="L207" s="831"/>
      <c r="M207" s="831"/>
      <c r="N207" s="831"/>
      <c r="O207" s="831"/>
      <c r="P207" s="831"/>
      <c r="Q207" s="818"/>
      <c r="R207" s="818"/>
      <c r="S207" s="818"/>
      <c r="T207" s="818"/>
      <c r="U207" s="818"/>
      <c r="V207" s="818"/>
      <c r="W207" s="818"/>
      <c r="X207" s="818"/>
      <c r="Y207" s="818"/>
      <c r="Z207" s="818"/>
    </row>
    <row r="208" spans="1:26" ht="19.5" hidden="1">
      <c r="A208" s="1011"/>
      <c r="B208" s="1018"/>
      <c r="C208" s="1023" t="s">
        <v>105</v>
      </c>
      <c r="D208" s="1012"/>
      <c r="E208" s="1012"/>
      <c r="F208" s="1037"/>
      <c r="G208" s="1014"/>
      <c r="H208" s="278" t="s">
        <v>96</v>
      </c>
      <c r="I208" s="1024">
        <f t="shared" ref="I208:J208" ca="1" si="101">I215</f>
        <v>0</v>
      </c>
      <c r="J208" s="1024">
        <f t="shared" si="101"/>
        <v>0</v>
      </c>
      <c r="K208" s="1025">
        <f t="shared" ca="1" si="100"/>
        <v>0</v>
      </c>
      <c r="L208" s="1016"/>
      <c r="M208" s="1016"/>
      <c r="N208" s="1016"/>
      <c r="O208" s="1016"/>
      <c r="P208" s="1016"/>
    </row>
    <row r="209" spans="1:26" ht="19.5" hidden="1">
      <c r="A209" s="932"/>
      <c r="B209" s="933"/>
      <c r="C209" s="934" t="s">
        <v>16</v>
      </c>
      <c r="D209" s="1026" t="s">
        <v>17</v>
      </c>
      <c r="E209" s="933"/>
      <c r="F209" s="933"/>
      <c r="G209" s="936"/>
      <c r="H209" s="275" t="s">
        <v>12</v>
      </c>
      <c r="I209" s="1028"/>
      <c r="J209" s="1028"/>
      <c r="K209" s="1029"/>
      <c r="L209" s="939">
        <f ca="1">L210+L211+L212</f>
        <v>0</v>
      </c>
      <c r="M209" s="939"/>
      <c r="N209" s="939">
        <f>N210+N211+N212</f>
        <v>0</v>
      </c>
      <c r="O209" s="939">
        <f ca="1">IF(L209&gt;0,N209*100/L209,0)</f>
        <v>0</v>
      </c>
      <c r="P209" s="939">
        <f>IF(M209&gt;0,N209*100/M209,0)</f>
        <v>0</v>
      </c>
      <c r="Q209" s="818"/>
      <c r="R209" s="818"/>
      <c r="S209" s="818"/>
      <c r="T209" s="818"/>
      <c r="U209" s="818"/>
      <c r="V209" s="818"/>
      <c r="W209" s="818"/>
      <c r="X209" s="818"/>
      <c r="Y209" s="818"/>
      <c r="Z209" s="818"/>
    </row>
    <row r="210" spans="1:26" ht="18.75" hidden="1">
      <c r="A210" s="942"/>
      <c r="B210" s="1030"/>
      <c r="C210" s="827"/>
      <c r="D210" s="943" t="s">
        <v>97</v>
      </c>
      <c r="E210" s="827"/>
      <c r="F210" s="827"/>
      <c r="G210" s="829"/>
      <c r="H210" s="778" t="s">
        <v>12</v>
      </c>
      <c r="I210" s="944"/>
      <c r="J210" s="944"/>
      <c r="K210" s="945"/>
      <c r="L210" s="831">
        <f ca="1">IFERROR(__xludf.DUMMYFUNCTION("IMPORTRANGE(""https://docs.google.com/spreadsheets/d/1QqKyyYR6Q21VydFLVH3TRQUabQu_ym0Zz7PgGX0-kHA/edit?usp=sharing"",""แผน!AK28"")"),0)</f>
        <v>0</v>
      </c>
      <c r="M210" s="831"/>
      <c r="N210" s="1031">
        <v>0</v>
      </c>
      <c r="O210" s="831"/>
      <c r="P210" s="831"/>
      <c r="Q210" s="818"/>
      <c r="R210" s="818"/>
      <c r="S210" s="818"/>
      <c r="T210" s="818"/>
      <c r="U210" s="818"/>
      <c r="V210" s="818"/>
      <c r="W210" s="818"/>
      <c r="X210" s="818"/>
      <c r="Y210" s="818"/>
      <c r="Z210" s="818"/>
    </row>
    <row r="211" spans="1:26" ht="19.5" hidden="1">
      <c r="A211" s="1032"/>
      <c r="B211" s="1030"/>
      <c r="C211" s="1038"/>
      <c r="D211" s="943" t="s">
        <v>99</v>
      </c>
      <c r="E211" s="827"/>
      <c r="F211" s="827"/>
      <c r="G211" s="829"/>
      <c r="H211" s="778" t="s">
        <v>12</v>
      </c>
      <c r="I211" s="830"/>
      <c r="J211" s="830"/>
      <c r="K211" s="831"/>
      <c r="L211" s="831">
        <f ca="1">IFERROR(__xludf.DUMMYFUNCTION("IMPORTRANGE(""https://docs.google.com/spreadsheets/d/1QqKyyYR6Q21VydFLVH3TRQUabQu_ym0Zz7PgGX0-kHA/edit?usp=sharing"",""แผน!AL28"")"),0)</f>
        <v>0</v>
      </c>
      <c r="M211" s="831"/>
      <c r="N211" s="1031">
        <v>0</v>
      </c>
      <c r="O211" s="831"/>
      <c r="P211" s="831"/>
      <c r="Q211" s="1033"/>
      <c r="R211" s="1033"/>
      <c r="S211" s="1033"/>
      <c r="T211" s="1033"/>
      <c r="U211" s="1033"/>
      <c r="V211" s="1033"/>
      <c r="W211" s="1033"/>
      <c r="X211" s="1033"/>
      <c r="Y211" s="1033"/>
      <c r="Z211" s="1033"/>
    </row>
    <row r="212" spans="1:26" ht="19.5" hidden="1">
      <c r="A212" s="1032"/>
      <c r="B212" s="1030"/>
      <c r="C212" s="1038"/>
      <c r="D212" s="943" t="s">
        <v>98</v>
      </c>
      <c r="E212" s="827"/>
      <c r="F212" s="827"/>
      <c r="G212" s="829"/>
      <c r="H212" s="778" t="s">
        <v>12</v>
      </c>
      <c r="I212" s="830"/>
      <c r="J212" s="830"/>
      <c r="K212" s="831"/>
      <c r="L212" s="831">
        <f ca="1">IFERROR(__xludf.DUMMYFUNCTION("IMPORTRANGE(""https://docs.google.com/spreadsheets/d/1QqKyyYR6Q21VydFLVH3TRQUabQu_ym0Zz7PgGX0-kHA/edit?usp=sharing"",""แผน!AM28"")"),0)</f>
        <v>0</v>
      </c>
      <c r="M212" s="831"/>
      <c r="N212" s="1031">
        <v>0</v>
      </c>
      <c r="O212" s="831"/>
      <c r="P212" s="831"/>
      <c r="Q212" s="1033"/>
      <c r="R212" s="1033"/>
      <c r="S212" s="1033"/>
      <c r="T212" s="1033"/>
      <c r="U212" s="1033"/>
      <c r="V212" s="1033"/>
      <c r="W212" s="1033"/>
      <c r="X212" s="1033"/>
      <c r="Y212" s="1033"/>
      <c r="Z212" s="1033"/>
    </row>
    <row r="213" spans="1:26" ht="19.5" hidden="1">
      <c r="A213" s="949"/>
      <c r="B213" s="950"/>
      <c r="C213" s="1038" t="s">
        <v>16</v>
      </c>
      <c r="D213" s="951" t="s">
        <v>38</v>
      </c>
      <c r="E213" s="952"/>
      <c r="F213" s="952"/>
      <c r="G213" s="953"/>
      <c r="H213" s="954"/>
      <c r="I213" s="944"/>
      <c r="J213" s="830"/>
      <c r="K213" s="831"/>
      <c r="L213" s="831"/>
      <c r="M213" s="831"/>
      <c r="N213" s="831"/>
      <c r="O213" s="945"/>
      <c r="P213" s="945"/>
      <c r="Q213" s="818"/>
      <c r="R213" s="818"/>
      <c r="S213" s="818"/>
      <c r="T213" s="818"/>
      <c r="U213" s="818"/>
      <c r="V213" s="818"/>
      <c r="W213" s="818"/>
      <c r="X213" s="818"/>
      <c r="Y213" s="818"/>
      <c r="Z213" s="818"/>
    </row>
    <row r="214" spans="1:26" ht="18.75" hidden="1">
      <c r="A214" s="949"/>
      <c r="B214" s="950"/>
      <c r="C214" s="950"/>
      <c r="D214" s="955" t="s">
        <v>106</v>
      </c>
      <c r="E214" s="957"/>
      <c r="F214" s="957"/>
      <c r="G214" s="958"/>
      <c r="H214" s="954" t="s">
        <v>96</v>
      </c>
      <c r="I214" s="830">
        <f ca="1">IFERROR(__xludf.DUMMYFUNCTION("IMPORTRANGE(""https://docs.google.com/spreadsheets/d/1QqKyyYR6Q21VydFLVH3TRQUabQu_ym0Zz7PgGX0-kHA/edit?usp=sharing"",""แผน!AN28"")"),0)</f>
        <v>0</v>
      </c>
      <c r="J214" s="959">
        <v>0</v>
      </c>
      <c r="K214" s="831">
        <f t="shared" ref="K214:K216" ca="1" si="102">IF(I214&gt;0,J214*100/I214,0)</f>
        <v>0</v>
      </c>
      <c r="L214" s="831"/>
      <c r="M214" s="831"/>
      <c r="N214" s="831"/>
      <c r="O214" s="831"/>
      <c r="P214" s="831"/>
      <c r="Q214" s="818"/>
      <c r="R214" s="818"/>
      <c r="S214" s="818"/>
      <c r="T214" s="818"/>
      <c r="U214" s="818"/>
      <c r="V214" s="818"/>
      <c r="W214" s="818"/>
      <c r="X214" s="818"/>
      <c r="Y214" s="818"/>
      <c r="Z214" s="818"/>
    </row>
    <row r="215" spans="1:26" ht="18.75" hidden="1">
      <c r="A215" s="949"/>
      <c r="B215" s="950"/>
      <c r="C215" s="950"/>
      <c r="D215" s="955" t="s">
        <v>107</v>
      </c>
      <c r="E215" s="957"/>
      <c r="F215" s="957"/>
      <c r="G215" s="958"/>
      <c r="H215" s="954" t="s">
        <v>96</v>
      </c>
      <c r="I215" s="830">
        <f ca="1">IFERROR(__xludf.DUMMYFUNCTION("IMPORTRANGE(""https://docs.google.com/spreadsheets/d/1QqKyyYR6Q21VydFLVH3TRQUabQu_ym0Zz7PgGX0-kHA/edit?usp=sharing"",""แผน!AN28"")"),0)</f>
        <v>0</v>
      </c>
      <c r="J215" s="959">
        <v>0</v>
      </c>
      <c r="K215" s="831">
        <f t="shared" ca="1" si="102"/>
        <v>0</v>
      </c>
      <c r="L215" s="831"/>
      <c r="M215" s="831"/>
      <c r="N215" s="831"/>
      <c r="O215" s="831"/>
      <c r="P215" s="831"/>
      <c r="Q215" s="818"/>
      <c r="R215" s="818"/>
      <c r="S215" s="818"/>
      <c r="T215" s="818"/>
      <c r="U215" s="818"/>
      <c r="V215" s="818"/>
      <c r="W215" s="818"/>
      <c r="X215" s="818"/>
      <c r="Y215" s="818"/>
      <c r="Z215" s="818"/>
    </row>
    <row r="216" spans="1:26" ht="19.5">
      <c r="A216" s="1011"/>
      <c r="B216" s="1018"/>
      <c r="C216" s="1023" t="s">
        <v>108</v>
      </c>
      <c r="D216" s="1012"/>
      <c r="E216" s="1012"/>
      <c r="F216" s="1037"/>
      <c r="G216" s="1014"/>
      <c r="H216" s="260" t="s">
        <v>109</v>
      </c>
      <c r="I216" s="1024">
        <f t="shared" ref="I216:J216" ca="1" si="103">I224</f>
        <v>50000</v>
      </c>
      <c r="J216" s="1024">
        <f t="shared" si="103"/>
        <v>0</v>
      </c>
      <c r="K216" s="1025">
        <f t="shared" ca="1" si="102"/>
        <v>0</v>
      </c>
      <c r="L216" s="1016"/>
      <c r="M216" s="1016"/>
      <c r="N216" s="1016"/>
      <c r="O216" s="1016"/>
      <c r="P216" s="1016"/>
    </row>
    <row r="217" spans="1:26" ht="19.5">
      <c r="A217" s="932"/>
      <c r="B217" s="933"/>
      <c r="C217" s="934" t="s">
        <v>16</v>
      </c>
      <c r="D217" s="1026" t="s">
        <v>17</v>
      </c>
      <c r="E217" s="933"/>
      <c r="F217" s="933"/>
      <c r="G217" s="936"/>
      <c r="H217" s="275" t="s">
        <v>12</v>
      </c>
      <c r="I217" s="1028"/>
      <c r="J217" s="1028"/>
      <c r="K217" s="1029"/>
      <c r="L217" s="939">
        <f ca="1">L218+L219+L220</f>
        <v>18500</v>
      </c>
      <c r="M217" s="939"/>
      <c r="N217" s="939">
        <f>N218+N219+N220</f>
        <v>0</v>
      </c>
      <c r="O217" s="939">
        <f ca="1">IF(L217&gt;0,N217*100/L217,0)</f>
        <v>0</v>
      </c>
      <c r="P217" s="939">
        <f>IF(M217&gt;0,N217*100/M217,0)</f>
        <v>0</v>
      </c>
      <c r="Q217" s="818"/>
      <c r="R217" s="818"/>
      <c r="S217" s="818"/>
      <c r="T217" s="818"/>
      <c r="U217" s="818"/>
      <c r="V217" s="818"/>
      <c r="W217" s="818"/>
      <c r="X217" s="818"/>
      <c r="Y217" s="818"/>
      <c r="Z217" s="818"/>
    </row>
    <row r="218" spans="1:26" ht="18.75">
      <c r="A218" s="942"/>
      <c r="B218" s="1030"/>
      <c r="C218" s="827"/>
      <c r="D218" s="943" t="s">
        <v>97</v>
      </c>
      <c r="E218" s="827"/>
      <c r="F218" s="827"/>
      <c r="G218" s="829"/>
      <c r="H218" s="778" t="s">
        <v>12</v>
      </c>
      <c r="I218" s="944"/>
      <c r="J218" s="944"/>
      <c r="K218" s="945"/>
      <c r="L218" s="831">
        <f ca="1">IFERROR(__xludf.DUMMYFUNCTION("IMPORTRANGE(""https://docs.google.com/spreadsheets/d/1QqKyyYR6Q21VydFLVH3TRQUabQu_ym0Zz7PgGX0-kHA/edit?usp=sharing"",""แผน!AP28"")"),5000)</f>
        <v>5000</v>
      </c>
      <c r="M218" s="831"/>
      <c r="N218" s="1031">
        <v>0</v>
      </c>
      <c r="O218" s="831"/>
      <c r="P218" s="831"/>
      <c r="Q218" s="818"/>
      <c r="R218" s="818"/>
      <c r="S218" s="818"/>
      <c r="T218" s="818"/>
      <c r="U218" s="818"/>
      <c r="V218" s="818"/>
      <c r="W218" s="818"/>
      <c r="X218" s="818"/>
      <c r="Y218" s="818"/>
      <c r="Z218" s="818"/>
    </row>
    <row r="219" spans="1:26" ht="19.5">
      <c r="A219" s="1032"/>
      <c r="B219" s="1030"/>
      <c r="C219" s="1038"/>
      <c r="D219" s="943" t="s">
        <v>110</v>
      </c>
      <c r="E219" s="827"/>
      <c r="F219" s="827"/>
      <c r="G219" s="829"/>
      <c r="H219" s="778" t="s">
        <v>12</v>
      </c>
      <c r="I219" s="830"/>
      <c r="J219" s="830"/>
      <c r="K219" s="831"/>
      <c r="L219" s="831">
        <f ca="1">IFERROR(__xludf.DUMMYFUNCTION("IMPORTRANGE(""https://docs.google.com/spreadsheets/d/1QqKyyYR6Q21VydFLVH3TRQUabQu_ym0Zz7PgGX0-kHA/edit?usp=sharing"",""แผน!AQ28"")"),13500)</f>
        <v>13500</v>
      </c>
      <c r="M219" s="831"/>
      <c r="N219" s="1031">
        <v>0</v>
      </c>
      <c r="O219" s="831"/>
      <c r="P219" s="831"/>
      <c r="Q219" s="1033"/>
      <c r="R219" s="1033"/>
      <c r="S219" s="1033"/>
      <c r="T219" s="1033"/>
      <c r="U219" s="1033"/>
      <c r="V219" s="1033"/>
      <c r="W219" s="1033"/>
      <c r="X219" s="1033"/>
      <c r="Y219" s="1033"/>
      <c r="Z219" s="1033"/>
    </row>
    <row r="220" spans="1:26" ht="19.5">
      <c r="A220" s="1032"/>
      <c r="B220" s="1030"/>
      <c r="C220" s="1038"/>
      <c r="D220" s="943" t="s">
        <v>98</v>
      </c>
      <c r="E220" s="827"/>
      <c r="F220" s="827"/>
      <c r="G220" s="829"/>
      <c r="H220" s="778" t="s">
        <v>12</v>
      </c>
      <c r="I220" s="830"/>
      <c r="J220" s="830"/>
      <c r="K220" s="831"/>
      <c r="L220" s="831">
        <f ca="1">IFERROR(__xludf.DUMMYFUNCTION("IMPORTRANGE(""https://docs.google.com/spreadsheets/d/1QqKyyYR6Q21VydFLVH3TRQUabQu_ym0Zz7PgGX0-kHA/edit?usp=sharing"",""แผน!AR28"")"),0)</f>
        <v>0</v>
      </c>
      <c r="M220" s="831"/>
      <c r="N220" s="1031">
        <v>0</v>
      </c>
      <c r="O220" s="831"/>
      <c r="P220" s="831"/>
      <c r="Q220" s="1033"/>
      <c r="R220" s="1033"/>
      <c r="S220" s="1033"/>
      <c r="T220" s="1033"/>
      <c r="U220" s="1033"/>
      <c r="V220" s="1033"/>
      <c r="W220" s="1033"/>
      <c r="X220" s="1033"/>
      <c r="Y220" s="1033"/>
      <c r="Z220" s="1033"/>
    </row>
    <row r="221" spans="1:26" ht="19.5">
      <c r="A221" s="949"/>
      <c r="B221" s="950"/>
      <c r="C221" s="1038" t="s">
        <v>16</v>
      </c>
      <c r="D221" s="951" t="s">
        <v>38</v>
      </c>
      <c r="E221" s="952"/>
      <c r="F221" s="952"/>
      <c r="G221" s="953"/>
      <c r="H221" s="954"/>
      <c r="I221" s="944"/>
      <c r="J221" s="944"/>
      <c r="K221" s="945"/>
      <c r="L221" s="945"/>
      <c r="M221" s="945"/>
      <c r="N221" s="945"/>
      <c r="O221" s="945"/>
      <c r="P221" s="945"/>
      <c r="Q221" s="818"/>
      <c r="R221" s="818"/>
      <c r="S221" s="818"/>
      <c r="T221" s="818"/>
      <c r="U221" s="818"/>
      <c r="V221" s="818"/>
      <c r="W221" s="818"/>
      <c r="X221" s="818"/>
      <c r="Y221" s="818"/>
      <c r="Z221" s="818"/>
    </row>
    <row r="222" spans="1:26" ht="18.75">
      <c r="A222" s="949"/>
      <c r="B222" s="950"/>
      <c r="C222" s="950"/>
      <c r="D222" s="943" t="s">
        <v>111</v>
      </c>
      <c r="E222" s="957"/>
      <c r="F222" s="957"/>
      <c r="G222" s="958"/>
      <c r="H222" s="954"/>
      <c r="I222" s="830"/>
      <c r="J222" s="830"/>
      <c r="K222" s="945"/>
      <c r="L222" s="945"/>
      <c r="M222" s="945"/>
      <c r="N222" s="945"/>
      <c r="O222" s="945"/>
      <c r="P222" s="945"/>
      <c r="Q222" s="818"/>
      <c r="R222" s="818"/>
      <c r="S222" s="818"/>
      <c r="T222" s="818"/>
      <c r="U222" s="818"/>
      <c r="V222" s="818"/>
      <c r="W222" s="818"/>
      <c r="X222" s="818"/>
      <c r="Y222" s="818"/>
      <c r="Z222" s="818"/>
    </row>
    <row r="223" spans="1:26" ht="18.75">
      <c r="A223" s="949"/>
      <c r="B223" s="950"/>
      <c r="C223" s="950"/>
      <c r="D223" s="950"/>
      <c r="E223" s="955" t="s">
        <v>112</v>
      </c>
      <c r="F223" s="957"/>
      <c r="G223" s="958"/>
      <c r="H223" s="730" t="s">
        <v>109</v>
      </c>
      <c r="I223" s="830">
        <f ca="1">IFERROR(__xludf.DUMMYFUNCTION("IMPORTRANGE(""https://docs.google.com/spreadsheets/d/1QqKyyYR6Q21VydFLVH3TRQUabQu_ym0Zz7PgGX0-kHA/edit?usp=sharing"",""แผน!AT28"")"),50000)</f>
        <v>50000</v>
      </c>
      <c r="J223" s="959">
        <v>0</v>
      </c>
      <c r="K223" s="945">
        <f t="shared" ref="K223:K226" ca="1" si="104">IF(I223&gt;0,J223*100/I223,0)</f>
        <v>0</v>
      </c>
      <c r="L223" s="945"/>
      <c r="M223" s="945"/>
      <c r="N223" s="945"/>
      <c r="O223" s="945"/>
      <c r="P223" s="945"/>
      <c r="Q223" s="818"/>
      <c r="R223" s="818"/>
      <c r="S223" s="818"/>
      <c r="T223" s="818"/>
      <c r="U223" s="818"/>
      <c r="V223" s="818"/>
      <c r="W223" s="818"/>
      <c r="X223" s="818"/>
      <c r="Y223" s="818"/>
      <c r="Z223" s="818"/>
    </row>
    <row r="224" spans="1:26" ht="18.75">
      <c r="A224" s="949"/>
      <c r="B224" s="950"/>
      <c r="C224" s="950"/>
      <c r="D224" s="950"/>
      <c r="E224" s="955" t="s">
        <v>113</v>
      </c>
      <c r="F224" s="957"/>
      <c r="G224" s="958"/>
      <c r="H224" s="730" t="s">
        <v>109</v>
      </c>
      <c r="I224" s="830">
        <f ca="1">IFERROR(__xludf.DUMMYFUNCTION("IMPORTRANGE(""https://docs.google.com/spreadsheets/d/1QqKyyYR6Q21VydFLVH3TRQUabQu_ym0Zz7PgGX0-kHA/edit?usp=sharing"",""แผน!AT28"")"),50000)</f>
        <v>50000</v>
      </c>
      <c r="J224" s="959">
        <v>0</v>
      </c>
      <c r="K224" s="945">
        <f t="shared" ca="1" si="104"/>
        <v>0</v>
      </c>
      <c r="L224" s="831"/>
      <c r="M224" s="831"/>
      <c r="N224" s="831"/>
      <c r="O224" s="831"/>
      <c r="P224" s="831"/>
      <c r="Q224" s="818"/>
      <c r="R224" s="818"/>
      <c r="S224" s="818"/>
      <c r="T224" s="818"/>
      <c r="U224" s="818"/>
      <c r="V224" s="818"/>
      <c r="W224" s="818"/>
      <c r="X224" s="818"/>
      <c r="Y224" s="818"/>
      <c r="Z224" s="818"/>
    </row>
    <row r="225" spans="1:26" ht="18.75">
      <c r="A225" s="949"/>
      <c r="B225" s="950"/>
      <c r="C225" s="950"/>
      <c r="D225" s="943" t="s">
        <v>114</v>
      </c>
      <c r="E225" s="957"/>
      <c r="F225" s="957"/>
      <c r="G225" s="958"/>
      <c r="H225" s="730" t="s">
        <v>35</v>
      </c>
      <c r="I225" s="830">
        <f ca="1">IFERROR(__xludf.DUMMYFUNCTION("IMPORTRANGE(""https://docs.google.com/spreadsheets/d/1QqKyyYR6Q21VydFLVH3TRQUabQu_ym0Zz7PgGX0-kHA/edit?usp=sharing"",""แผน!AS28"")"),0)</f>
        <v>0</v>
      </c>
      <c r="J225" s="959">
        <v>0</v>
      </c>
      <c r="K225" s="945">
        <f t="shared" ca="1" si="104"/>
        <v>0</v>
      </c>
      <c r="L225" s="831"/>
      <c r="M225" s="831"/>
      <c r="N225" s="831"/>
      <c r="O225" s="831"/>
      <c r="P225" s="831"/>
      <c r="Q225" s="818"/>
      <c r="R225" s="818"/>
      <c r="S225" s="818"/>
      <c r="T225" s="818"/>
      <c r="U225" s="818"/>
      <c r="V225" s="818"/>
      <c r="W225" s="818"/>
      <c r="X225" s="818"/>
      <c r="Y225" s="818"/>
      <c r="Z225" s="818"/>
    </row>
    <row r="226" spans="1:26" ht="19.5" hidden="1">
      <c r="A226" s="1011"/>
      <c r="B226" s="1018"/>
      <c r="C226" s="1039" t="s">
        <v>115</v>
      </c>
      <c r="D226" s="1012"/>
      <c r="E226" s="1012"/>
      <c r="F226" s="1012"/>
      <c r="G226" s="1014"/>
      <c r="H226" s="266" t="s">
        <v>35</v>
      </c>
      <c r="I226" s="1040">
        <f t="shared" ref="I226:J226" ca="1" si="105">I237+I248</f>
        <v>0</v>
      </c>
      <c r="J226" s="1040">
        <f t="shared" si="105"/>
        <v>0</v>
      </c>
      <c r="K226" s="1041">
        <f t="shared" ca="1" si="104"/>
        <v>0</v>
      </c>
      <c r="L226" s="1016"/>
      <c r="M226" s="1016"/>
      <c r="N226" s="1016"/>
      <c r="O226" s="1016"/>
      <c r="P226" s="1016"/>
    </row>
    <row r="227" spans="1:26" ht="19.5" hidden="1">
      <c r="A227" s="1042"/>
      <c r="B227" s="1043"/>
      <c r="C227" s="1044" t="s">
        <v>16</v>
      </c>
      <c r="D227" s="1045" t="s">
        <v>17</v>
      </c>
      <c r="E227" s="1043"/>
      <c r="F227" s="1043"/>
      <c r="G227" s="1046"/>
      <c r="H227" s="1047" t="s">
        <v>12</v>
      </c>
      <c r="I227" s="1048"/>
      <c r="J227" s="1048"/>
      <c r="K227" s="1049"/>
      <c r="L227" s="1050">
        <f t="shared" ref="L227:L231" ca="1" si="106">L238+L249</f>
        <v>0</v>
      </c>
      <c r="M227" s="1050"/>
      <c r="N227" s="1050">
        <f t="shared" ref="N227:N231" si="107">N238+N249</f>
        <v>0</v>
      </c>
      <c r="O227" s="1051"/>
      <c r="P227" s="1051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</row>
    <row r="228" spans="1:26" ht="18.75" hidden="1">
      <c r="A228" s="940"/>
      <c r="B228" s="1052"/>
      <c r="C228" s="833"/>
      <c r="D228" s="834" t="s">
        <v>97</v>
      </c>
      <c r="E228" s="833"/>
      <c r="F228" s="833"/>
      <c r="G228" s="835"/>
      <c r="H228" s="165" t="s">
        <v>12</v>
      </c>
      <c r="I228" s="947"/>
      <c r="J228" s="947"/>
      <c r="K228" s="948"/>
      <c r="L228" s="837">
        <f t="shared" ca="1" si="106"/>
        <v>0</v>
      </c>
      <c r="M228" s="837"/>
      <c r="N228" s="837">
        <f t="shared" si="107"/>
        <v>0</v>
      </c>
      <c r="O228" s="837"/>
      <c r="P228" s="837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</row>
    <row r="229" spans="1:26" ht="19.5" hidden="1">
      <c r="A229" s="1053"/>
      <c r="B229" s="1052"/>
      <c r="C229" s="1054"/>
      <c r="D229" s="834" t="s">
        <v>98</v>
      </c>
      <c r="E229" s="833"/>
      <c r="F229" s="833"/>
      <c r="G229" s="835"/>
      <c r="H229" s="165" t="s">
        <v>12</v>
      </c>
      <c r="I229" s="836"/>
      <c r="J229" s="836"/>
      <c r="K229" s="837"/>
      <c r="L229" s="837">
        <f t="shared" ca="1" si="106"/>
        <v>0</v>
      </c>
      <c r="M229" s="837"/>
      <c r="N229" s="837">
        <f t="shared" si="107"/>
        <v>0</v>
      </c>
      <c r="O229" s="837"/>
      <c r="P229" s="837"/>
      <c r="Q229" s="1055"/>
      <c r="R229" s="1055"/>
      <c r="S229" s="1055"/>
      <c r="T229" s="1055"/>
      <c r="U229" s="1055"/>
      <c r="V229" s="1055"/>
      <c r="W229" s="1055"/>
      <c r="X229" s="1055"/>
      <c r="Y229" s="1055"/>
      <c r="Z229" s="1055"/>
    </row>
    <row r="230" spans="1:26" ht="19.5" hidden="1">
      <c r="A230" s="1053"/>
      <c r="B230" s="1052"/>
      <c r="C230" s="1054"/>
      <c r="D230" s="834" t="s">
        <v>116</v>
      </c>
      <c r="E230" s="833"/>
      <c r="F230" s="833"/>
      <c r="G230" s="835"/>
      <c r="H230" s="165" t="s">
        <v>12</v>
      </c>
      <c r="I230" s="836"/>
      <c r="J230" s="836"/>
      <c r="K230" s="837"/>
      <c r="L230" s="837">
        <f t="shared" ca="1" si="106"/>
        <v>0</v>
      </c>
      <c r="M230" s="837"/>
      <c r="N230" s="837">
        <f t="shared" si="107"/>
        <v>0</v>
      </c>
      <c r="O230" s="837"/>
      <c r="P230" s="837"/>
      <c r="Q230" s="1055"/>
      <c r="R230" s="1055"/>
      <c r="S230" s="1055"/>
      <c r="T230" s="1055"/>
      <c r="U230" s="1055"/>
      <c r="V230" s="1055"/>
      <c r="W230" s="1055"/>
      <c r="X230" s="1055"/>
      <c r="Y230" s="1055"/>
      <c r="Z230" s="1055"/>
    </row>
    <row r="231" spans="1:26" ht="19.5" hidden="1">
      <c r="A231" s="1053"/>
      <c r="B231" s="1052"/>
      <c r="C231" s="1054"/>
      <c r="D231" s="834" t="s">
        <v>100</v>
      </c>
      <c r="E231" s="833"/>
      <c r="F231" s="833"/>
      <c r="G231" s="835"/>
      <c r="H231" s="165" t="s">
        <v>12</v>
      </c>
      <c r="I231" s="836"/>
      <c r="J231" s="836"/>
      <c r="K231" s="837"/>
      <c r="L231" s="837">
        <f t="shared" ca="1" si="106"/>
        <v>0</v>
      </c>
      <c r="M231" s="837"/>
      <c r="N231" s="837">
        <f t="shared" si="107"/>
        <v>0</v>
      </c>
      <c r="O231" s="837"/>
      <c r="P231" s="837"/>
      <c r="Q231" s="1055"/>
      <c r="R231" s="1055"/>
      <c r="S231" s="1055"/>
      <c r="T231" s="1055"/>
      <c r="U231" s="1055"/>
      <c r="V231" s="1055"/>
      <c r="W231" s="1055"/>
      <c r="X231" s="1055"/>
      <c r="Y231" s="1055"/>
      <c r="Z231" s="1055"/>
    </row>
    <row r="232" spans="1:26" ht="19.5" hidden="1">
      <c r="A232" s="1056"/>
      <c r="B232" s="1057"/>
      <c r="C232" s="1054" t="s">
        <v>16</v>
      </c>
      <c r="D232" s="1020" t="s">
        <v>38</v>
      </c>
      <c r="E232" s="1058"/>
      <c r="F232" s="1058"/>
      <c r="G232" s="1059"/>
      <c r="H232" s="1060"/>
      <c r="I232" s="947"/>
      <c r="J232" s="836"/>
      <c r="K232" s="837"/>
      <c r="L232" s="837"/>
      <c r="M232" s="837"/>
      <c r="N232" s="837"/>
      <c r="O232" s="948"/>
      <c r="P232" s="948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</row>
    <row r="233" spans="1:26" ht="18.75" hidden="1">
      <c r="A233" s="1056"/>
      <c r="B233" s="1057"/>
      <c r="C233" s="1057"/>
      <c r="D233" s="1022" t="s">
        <v>117</v>
      </c>
      <c r="E233" s="1061"/>
      <c r="F233" s="1061"/>
      <c r="G233" s="1062"/>
      <c r="H233" s="583" t="s">
        <v>35</v>
      </c>
      <c r="I233" s="836">
        <f t="shared" ref="I233:J233" ca="1" si="108">I244+I255</f>
        <v>0</v>
      </c>
      <c r="J233" s="836">
        <f t="shared" si="108"/>
        <v>0</v>
      </c>
      <c r="K233" s="837">
        <f ca="1">IF(I233&gt;0,J233*100/I233,0)</f>
        <v>0</v>
      </c>
      <c r="L233" s="837"/>
      <c r="M233" s="837"/>
      <c r="N233" s="837"/>
      <c r="O233" s="837"/>
      <c r="P233" s="837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</row>
    <row r="234" spans="1:26" ht="18.75" hidden="1">
      <c r="A234" s="1056"/>
      <c r="B234" s="1057"/>
      <c r="C234" s="1057"/>
      <c r="D234" s="1063" t="s">
        <v>43</v>
      </c>
      <c r="E234" s="1061"/>
      <c r="F234" s="1061"/>
      <c r="G234" s="1062"/>
      <c r="H234" s="583"/>
      <c r="I234" s="836"/>
      <c r="J234" s="836"/>
      <c r="K234" s="837"/>
      <c r="L234" s="837"/>
      <c r="M234" s="837"/>
      <c r="N234" s="837"/>
      <c r="O234" s="948"/>
      <c r="P234" s="948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</row>
    <row r="235" spans="1:26" ht="18.75" hidden="1">
      <c r="A235" s="1056"/>
      <c r="B235" s="1057"/>
      <c r="C235" s="1057"/>
      <c r="D235" s="1057"/>
      <c r="E235" s="1021" t="s">
        <v>118</v>
      </c>
      <c r="F235" s="1061"/>
      <c r="G235" s="1062"/>
      <c r="H235" s="583" t="s">
        <v>35</v>
      </c>
      <c r="I235" s="836">
        <f t="shared" ref="I235:J236" si="109">I246+I257</f>
        <v>0</v>
      </c>
      <c r="J235" s="836">
        <f t="shared" si="109"/>
        <v>0</v>
      </c>
      <c r="K235" s="837">
        <f t="shared" ref="K235:K237" si="110">IF(I235&gt;0,J235*100/I235,0)</f>
        <v>0</v>
      </c>
      <c r="L235" s="837"/>
      <c r="M235" s="837"/>
      <c r="N235" s="837"/>
      <c r="O235" s="837"/>
      <c r="P235" s="837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</row>
    <row r="236" spans="1:26" ht="18.75" hidden="1">
      <c r="A236" s="1056"/>
      <c r="B236" s="1057"/>
      <c r="C236" s="1057"/>
      <c r="D236" s="1057"/>
      <c r="E236" s="1021" t="s">
        <v>119</v>
      </c>
      <c r="F236" s="1061"/>
      <c r="G236" s="1062"/>
      <c r="H236" s="583" t="s">
        <v>66</v>
      </c>
      <c r="I236" s="836">
        <f t="shared" si="109"/>
        <v>0</v>
      </c>
      <c r="J236" s="836">
        <f t="shared" si="109"/>
        <v>0</v>
      </c>
      <c r="K236" s="837">
        <f t="shared" si="110"/>
        <v>0</v>
      </c>
      <c r="L236" s="837"/>
      <c r="M236" s="837"/>
      <c r="N236" s="837"/>
      <c r="O236" s="837"/>
      <c r="P236" s="837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</row>
    <row r="237" spans="1:26" ht="19.5" hidden="1">
      <c r="A237" s="1011"/>
      <c r="B237" s="1018"/>
      <c r="C237" s="1023" t="s">
        <v>331</v>
      </c>
      <c r="D237" s="1012"/>
      <c r="E237" s="1012"/>
      <c r="F237" s="1012"/>
      <c r="G237" s="1014"/>
      <c r="H237" s="260" t="s">
        <v>35</v>
      </c>
      <c r="I237" s="1024">
        <f t="shared" ref="I237:J237" ca="1" si="111">I244</f>
        <v>0</v>
      </c>
      <c r="J237" s="1024">
        <f t="shared" si="111"/>
        <v>0</v>
      </c>
      <c r="K237" s="1025">
        <f t="shared" ca="1" si="110"/>
        <v>0</v>
      </c>
      <c r="L237" s="1016"/>
      <c r="M237" s="1016"/>
      <c r="N237" s="1016"/>
      <c r="O237" s="1016"/>
      <c r="P237" s="1016"/>
    </row>
    <row r="238" spans="1:26" ht="19.5" hidden="1">
      <c r="A238" s="932"/>
      <c r="B238" s="933"/>
      <c r="C238" s="934" t="s">
        <v>16</v>
      </c>
      <c r="D238" s="935" t="s">
        <v>17</v>
      </c>
      <c r="E238" s="933"/>
      <c r="F238" s="933"/>
      <c r="G238" s="936"/>
      <c r="H238" s="275" t="s">
        <v>12</v>
      </c>
      <c r="I238" s="1028"/>
      <c r="J238" s="1028"/>
      <c r="K238" s="1029"/>
      <c r="L238" s="939">
        <f ca="1">L239+L240+L241+L242</f>
        <v>0</v>
      </c>
      <c r="M238" s="939"/>
      <c r="N238" s="939">
        <f>N239+N240+N241+N242</f>
        <v>0</v>
      </c>
      <c r="O238" s="939">
        <f ca="1">IF(L238&gt;0,N238*100/L238,0)</f>
        <v>0</v>
      </c>
      <c r="P238" s="939">
        <f>IF(M238&gt;0,N238*100/M238,0)</f>
        <v>0</v>
      </c>
      <c r="Q238" s="818"/>
      <c r="R238" s="818"/>
      <c r="S238" s="818"/>
      <c r="T238" s="818"/>
      <c r="U238" s="818"/>
      <c r="V238" s="818"/>
      <c r="W238" s="818"/>
      <c r="X238" s="818"/>
      <c r="Y238" s="818"/>
      <c r="Z238" s="818"/>
    </row>
    <row r="239" spans="1:26" ht="18.75" hidden="1">
      <c r="A239" s="1064"/>
      <c r="B239" s="1065"/>
      <c r="C239" s="1066"/>
      <c r="D239" s="1067" t="s">
        <v>97</v>
      </c>
      <c r="E239" s="1066"/>
      <c r="F239" s="1066"/>
      <c r="G239" s="1068"/>
      <c r="H239" s="319" t="s">
        <v>12</v>
      </c>
      <c r="I239" s="1069"/>
      <c r="J239" s="1069"/>
      <c r="K239" s="1070"/>
      <c r="L239" s="1071">
        <f ca="1">IFERROR(__xludf.DUMMYFUNCTION("IMPORTRANGE(""https://docs.google.com/spreadsheets/d/1QqKyyYR6Q21VydFLVH3TRQUabQu_ym0Zz7PgGX0-kHA/edit?usp=sharing"",""แผน!AV28"")"),0)</f>
        <v>0</v>
      </c>
      <c r="M239" s="1071"/>
      <c r="N239" s="1072">
        <v>0</v>
      </c>
      <c r="O239" s="1071"/>
      <c r="P239" s="1071"/>
      <c r="Q239" s="1073"/>
      <c r="R239" s="1073"/>
      <c r="S239" s="1073"/>
      <c r="T239" s="1073"/>
      <c r="U239" s="1073"/>
      <c r="V239" s="1073"/>
      <c r="W239" s="1073"/>
      <c r="X239" s="1073"/>
      <c r="Y239" s="1073"/>
      <c r="Z239" s="1073"/>
    </row>
    <row r="240" spans="1:26" ht="19.5" hidden="1">
      <c r="A240" s="1074"/>
      <c r="B240" s="1065"/>
      <c r="C240" s="1075"/>
      <c r="D240" s="1067" t="s">
        <v>98</v>
      </c>
      <c r="E240" s="1066"/>
      <c r="F240" s="1066"/>
      <c r="G240" s="1068"/>
      <c r="H240" s="319" t="s">
        <v>12</v>
      </c>
      <c r="I240" s="1076"/>
      <c r="J240" s="1076"/>
      <c r="K240" s="1071"/>
      <c r="L240" s="1071">
        <f ca="1">IFERROR(__xludf.DUMMYFUNCTION("IMPORTRANGE(""https://docs.google.com/spreadsheets/d/1QqKyyYR6Q21VydFLVH3TRQUabQu_ym0Zz7PgGX0-kHA/edit?usp=sharing"",""แผน!AW28"")"),0)</f>
        <v>0</v>
      </c>
      <c r="M240" s="1071"/>
      <c r="N240" s="1072">
        <v>0</v>
      </c>
      <c r="O240" s="1071"/>
      <c r="P240" s="1071"/>
      <c r="Q240" s="1077"/>
      <c r="R240" s="1077"/>
      <c r="S240" s="1077"/>
      <c r="T240" s="1077"/>
      <c r="U240" s="1077"/>
      <c r="V240" s="1077"/>
      <c r="W240" s="1077"/>
      <c r="X240" s="1077"/>
      <c r="Y240" s="1077"/>
      <c r="Z240" s="1077"/>
    </row>
    <row r="241" spans="1:26" ht="19.5" hidden="1">
      <c r="A241" s="1074"/>
      <c r="B241" s="1065"/>
      <c r="C241" s="1075"/>
      <c r="D241" s="1067" t="s">
        <v>116</v>
      </c>
      <c r="E241" s="1066"/>
      <c r="F241" s="1066"/>
      <c r="G241" s="1068"/>
      <c r="H241" s="319" t="s">
        <v>12</v>
      </c>
      <c r="I241" s="1076"/>
      <c r="J241" s="1076"/>
      <c r="K241" s="1071"/>
      <c r="L241" s="1071">
        <f ca="1">IFERROR(__xludf.DUMMYFUNCTION("IMPORTRANGE(""https://docs.google.com/spreadsheets/d/1QqKyyYR6Q21VydFLVH3TRQUabQu_ym0Zz7PgGX0-kHA/edit?usp=sharing"",""แผน!AX28"")"),0)</f>
        <v>0</v>
      </c>
      <c r="M241" s="1071"/>
      <c r="N241" s="1072">
        <v>0</v>
      </c>
      <c r="O241" s="1071"/>
      <c r="P241" s="1071"/>
      <c r="Q241" s="1077"/>
      <c r="R241" s="1077"/>
      <c r="S241" s="1077"/>
      <c r="T241" s="1077"/>
      <c r="U241" s="1077"/>
      <c r="V241" s="1077"/>
      <c r="W241" s="1077"/>
      <c r="X241" s="1077"/>
      <c r="Y241" s="1077"/>
      <c r="Z241" s="1077"/>
    </row>
    <row r="242" spans="1:26" ht="19.5" hidden="1">
      <c r="A242" s="1074"/>
      <c r="B242" s="1065"/>
      <c r="C242" s="1075"/>
      <c r="D242" s="1067" t="s">
        <v>100</v>
      </c>
      <c r="E242" s="1066"/>
      <c r="F242" s="1066"/>
      <c r="G242" s="1068"/>
      <c r="H242" s="319" t="s">
        <v>12</v>
      </c>
      <c r="I242" s="1076"/>
      <c r="J242" s="1076"/>
      <c r="K242" s="1071"/>
      <c r="L242" s="1071">
        <f ca="1">IFERROR(__xludf.DUMMYFUNCTION("IMPORTRANGE(""https://docs.google.com/spreadsheets/d/1QqKyyYR6Q21VydFLVH3TRQUabQu_ym0Zz7PgGX0-kHA/edit?usp=sharing"",""แผน!AY28"")"),0)</f>
        <v>0</v>
      </c>
      <c r="M242" s="1071"/>
      <c r="N242" s="1072">
        <v>0</v>
      </c>
      <c r="O242" s="1071"/>
      <c r="P242" s="1071"/>
      <c r="Q242" s="1077"/>
      <c r="R242" s="1077"/>
      <c r="S242" s="1077"/>
      <c r="T242" s="1077"/>
      <c r="U242" s="1077"/>
      <c r="V242" s="1077"/>
      <c r="W242" s="1077"/>
      <c r="X242" s="1077"/>
      <c r="Y242" s="1077"/>
      <c r="Z242" s="1077"/>
    </row>
    <row r="243" spans="1:26" ht="19.5" hidden="1">
      <c r="A243" s="949"/>
      <c r="B243" s="950"/>
      <c r="C243" s="1038" t="s">
        <v>16</v>
      </c>
      <c r="D243" s="951" t="s">
        <v>38</v>
      </c>
      <c r="E243" s="952"/>
      <c r="F243" s="952"/>
      <c r="G243" s="953"/>
      <c r="H243" s="954"/>
      <c r="I243" s="944"/>
      <c r="J243" s="830"/>
      <c r="K243" s="831"/>
      <c r="L243" s="831"/>
      <c r="M243" s="831"/>
      <c r="N243" s="831"/>
      <c r="O243" s="945"/>
      <c r="P243" s="945"/>
      <c r="Q243" s="818"/>
      <c r="R243" s="818"/>
      <c r="S243" s="818"/>
      <c r="T243" s="818"/>
      <c r="U243" s="818"/>
      <c r="V243" s="818"/>
      <c r="W243" s="818"/>
      <c r="X243" s="818"/>
      <c r="Y243" s="818"/>
      <c r="Z243" s="818"/>
    </row>
    <row r="244" spans="1:26" ht="18.75" hidden="1">
      <c r="A244" s="949"/>
      <c r="B244" s="950"/>
      <c r="C244" s="950"/>
      <c r="D244" s="956" t="s">
        <v>117</v>
      </c>
      <c r="E244" s="957"/>
      <c r="F244" s="957"/>
      <c r="G244" s="958"/>
      <c r="H244" s="730" t="s">
        <v>35</v>
      </c>
      <c r="I244" s="830">
        <f ca="1">IFERROR(__xludf.DUMMYFUNCTION("IMPORTRANGE(""https://docs.google.com/spreadsheets/d/1QqKyyYR6Q21VydFLVH3TRQUabQu_ym0Zz7PgGX0-kHA/edit?usp=sharing"",""แผน!BE28"")"),0)</f>
        <v>0</v>
      </c>
      <c r="J244" s="959">
        <v>0</v>
      </c>
      <c r="K244" s="831">
        <f ca="1">IF(I244&gt;0,J244*100/I244,0)</f>
        <v>0</v>
      </c>
      <c r="L244" s="831"/>
      <c r="M244" s="831"/>
      <c r="N244" s="831"/>
      <c r="O244" s="831"/>
      <c r="P244" s="831"/>
      <c r="Q244" s="818"/>
      <c r="R244" s="818"/>
      <c r="S244" s="818"/>
      <c r="T244" s="818"/>
      <c r="U244" s="818"/>
      <c r="V244" s="818"/>
      <c r="W244" s="818"/>
      <c r="X244" s="818"/>
      <c r="Y244" s="818"/>
      <c r="Z244" s="818"/>
    </row>
    <row r="245" spans="1:26" ht="18.75" hidden="1">
      <c r="A245" s="949"/>
      <c r="B245" s="950"/>
      <c r="C245" s="950"/>
      <c r="D245" s="1078" t="s">
        <v>43</v>
      </c>
      <c r="E245" s="957"/>
      <c r="F245" s="957"/>
      <c r="G245" s="958"/>
      <c r="H245" s="730"/>
      <c r="I245" s="830"/>
      <c r="J245" s="830"/>
      <c r="K245" s="831"/>
      <c r="L245" s="831"/>
      <c r="M245" s="831"/>
      <c r="N245" s="831"/>
      <c r="O245" s="945"/>
      <c r="P245" s="945"/>
      <c r="Q245" s="818"/>
      <c r="R245" s="818"/>
      <c r="S245" s="818"/>
      <c r="T245" s="818"/>
      <c r="U245" s="818"/>
      <c r="V245" s="818"/>
      <c r="W245" s="818"/>
      <c r="X245" s="818"/>
      <c r="Y245" s="818"/>
      <c r="Z245" s="818"/>
    </row>
    <row r="246" spans="1:26" ht="18.75" hidden="1">
      <c r="A246" s="949"/>
      <c r="B246" s="950"/>
      <c r="C246" s="950"/>
      <c r="D246" s="950"/>
      <c r="E246" s="955" t="s">
        <v>118</v>
      </c>
      <c r="F246" s="957"/>
      <c r="G246" s="958"/>
      <c r="H246" s="730" t="s">
        <v>35</v>
      </c>
      <c r="I246" s="830"/>
      <c r="J246" s="959">
        <v>0</v>
      </c>
      <c r="K246" s="831">
        <f t="shared" ref="K246:K248" si="112">IF(I246&gt;0,J246*100/I246,0)</f>
        <v>0</v>
      </c>
      <c r="L246" s="831"/>
      <c r="M246" s="831"/>
      <c r="N246" s="831"/>
      <c r="O246" s="831"/>
      <c r="P246" s="831"/>
      <c r="Q246" s="818"/>
      <c r="R246" s="818"/>
      <c r="S246" s="818"/>
      <c r="T246" s="818"/>
      <c r="U246" s="818"/>
      <c r="V246" s="818"/>
      <c r="W246" s="818"/>
      <c r="X246" s="818"/>
      <c r="Y246" s="818"/>
      <c r="Z246" s="818"/>
    </row>
    <row r="247" spans="1:26" ht="18.75" hidden="1">
      <c r="A247" s="949"/>
      <c r="B247" s="950"/>
      <c r="C247" s="950"/>
      <c r="D247" s="950"/>
      <c r="E247" s="955" t="s">
        <v>119</v>
      </c>
      <c r="F247" s="957"/>
      <c r="G247" s="958"/>
      <c r="H247" s="730" t="s">
        <v>66</v>
      </c>
      <c r="I247" s="830"/>
      <c r="J247" s="959">
        <v>0</v>
      </c>
      <c r="K247" s="831">
        <f t="shared" si="112"/>
        <v>0</v>
      </c>
      <c r="L247" s="831"/>
      <c r="M247" s="831"/>
      <c r="N247" s="831"/>
      <c r="O247" s="831"/>
      <c r="P247" s="831"/>
      <c r="Q247" s="818"/>
      <c r="R247" s="818"/>
      <c r="S247" s="818"/>
      <c r="T247" s="818"/>
      <c r="U247" s="818"/>
      <c r="V247" s="818"/>
      <c r="W247" s="818"/>
      <c r="X247" s="818"/>
      <c r="Y247" s="818"/>
      <c r="Z247" s="818"/>
    </row>
    <row r="248" spans="1:26" ht="19.5" hidden="1">
      <c r="A248" s="1011"/>
      <c r="B248" s="1018"/>
      <c r="C248" s="1023" t="s">
        <v>332</v>
      </c>
      <c r="D248" s="1012"/>
      <c r="E248" s="1012"/>
      <c r="F248" s="1012"/>
      <c r="G248" s="1014"/>
      <c r="H248" s="260" t="s">
        <v>35</v>
      </c>
      <c r="I248" s="1024">
        <f t="shared" ref="I248:J248" ca="1" si="113">I255</f>
        <v>0</v>
      </c>
      <c r="J248" s="1024">
        <f t="shared" si="113"/>
        <v>0</v>
      </c>
      <c r="K248" s="1025">
        <f t="shared" ca="1" si="112"/>
        <v>0</v>
      </c>
      <c r="L248" s="1016"/>
      <c r="M248" s="1016"/>
      <c r="N248" s="1016"/>
      <c r="O248" s="1016"/>
      <c r="P248" s="1016"/>
    </row>
    <row r="249" spans="1:26" ht="19.5" hidden="1">
      <c r="A249" s="932"/>
      <c r="B249" s="933"/>
      <c r="C249" s="934" t="s">
        <v>16</v>
      </c>
      <c r="D249" s="1026" t="s">
        <v>17</v>
      </c>
      <c r="E249" s="933"/>
      <c r="F249" s="933"/>
      <c r="G249" s="936"/>
      <c r="H249" s="275" t="s">
        <v>12</v>
      </c>
      <c r="I249" s="1028"/>
      <c r="J249" s="1028"/>
      <c r="K249" s="1029"/>
      <c r="L249" s="939">
        <f ca="1">L250+L251+L252+L253</f>
        <v>0</v>
      </c>
      <c r="M249" s="939"/>
      <c r="N249" s="939">
        <f>N250+N251+N252+N253</f>
        <v>0</v>
      </c>
      <c r="O249" s="939">
        <f ca="1">IF(L249&gt;0,N249*100/L249,0)</f>
        <v>0</v>
      </c>
      <c r="P249" s="939">
        <f>IF(M249&gt;0,N249*100/M249,0)</f>
        <v>0</v>
      </c>
      <c r="Q249" s="818"/>
      <c r="R249" s="818"/>
      <c r="S249" s="818"/>
      <c r="T249" s="818"/>
      <c r="U249" s="818"/>
      <c r="V249" s="818"/>
      <c r="W249" s="818"/>
      <c r="X249" s="818"/>
      <c r="Y249" s="818"/>
      <c r="Z249" s="818"/>
    </row>
    <row r="250" spans="1:26" ht="18.75" hidden="1">
      <c r="A250" s="1064"/>
      <c r="B250" s="1065"/>
      <c r="C250" s="1066"/>
      <c r="D250" s="1067" t="s">
        <v>97</v>
      </c>
      <c r="E250" s="1066"/>
      <c r="F250" s="1066"/>
      <c r="G250" s="1068"/>
      <c r="H250" s="319" t="s">
        <v>12</v>
      </c>
      <c r="I250" s="1069"/>
      <c r="J250" s="1069"/>
      <c r="K250" s="1070"/>
      <c r="L250" s="1071">
        <f ca="1">IFERROR(__xludf.DUMMYFUNCTION("IMPORTRANGE(""https://docs.google.com/spreadsheets/d/1QqKyyYR6Q21VydFLVH3TRQUabQu_ym0Zz7PgGX0-kHA/edit?usp=sharing"",""แผน!AZ28"")"),0)</f>
        <v>0</v>
      </c>
      <c r="M250" s="1071"/>
      <c r="N250" s="1072">
        <v>0</v>
      </c>
      <c r="O250" s="1071"/>
      <c r="P250" s="1071"/>
      <c r="Q250" s="1073"/>
      <c r="R250" s="1073"/>
      <c r="S250" s="1073"/>
      <c r="T250" s="1073"/>
      <c r="U250" s="1073"/>
      <c r="V250" s="1073"/>
      <c r="W250" s="1073"/>
      <c r="X250" s="1073"/>
      <c r="Y250" s="1073"/>
      <c r="Z250" s="1073"/>
    </row>
    <row r="251" spans="1:26" ht="19.5" hidden="1">
      <c r="A251" s="1074"/>
      <c r="B251" s="1065"/>
      <c r="C251" s="1075"/>
      <c r="D251" s="1067" t="s">
        <v>98</v>
      </c>
      <c r="E251" s="1066"/>
      <c r="F251" s="1066"/>
      <c r="G251" s="1068"/>
      <c r="H251" s="319" t="s">
        <v>12</v>
      </c>
      <c r="I251" s="1076"/>
      <c r="J251" s="1076"/>
      <c r="K251" s="1071"/>
      <c r="L251" s="1071">
        <f ca="1">IFERROR(__xludf.DUMMYFUNCTION("IMPORTRANGE(""https://docs.google.com/spreadsheets/d/1QqKyyYR6Q21VydFLVH3TRQUabQu_ym0Zz7PgGX0-kHA/edit?usp=sharing"",""แผน!BA28"")"),0)</f>
        <v>0</v>
      </c>
      <c r="M251" s="1071"/>
      <c r="N251" s="1072">
        <v>0</v>
      </c>
      <c r="O251" s="1071"/>
      <c r="P251" s="1071"/>
      <c r="Q251" s="1077"/>
      <c r="R251" s="1077"/>
      <c r="S251" s="1077"/>
      <c r="T251" s="1077"/>
      <c r="U251" s="1077"/>
      <c r="V251" s="1077"/>
      <c r="W251" s="1077"/>
      <c r="X251" s="1077"/>
      <c r="Y251" s="1077"/>
      <c r="Z251" s="1077"/>
    </row>
    <row r="252" spans="1:26" ht="19.5" hidden="1">
      <c r="A252" s="1074"/>
      <c r="B252" s="1065"/>
      <c r="C252" s="1075"/>
      <c r="D252" s="1067" t="s">
        <v>116</v>
      </c>
      <c r="E252" s="1066"/>
      <c r="F252" s="1066"/>
      <c r="G252" s="1068"/>
      <c r="H252" s="319" t="s">
        <v>12</v>
      </c>
      <c r="I252" s="1076"/>
      <c r="J252" s="1076"/>
      <c r="K252" s="1071"/>
      <c r="L252" s="1071">
        <f ca="1">IFERROR(__xludf.DUMMYFUNCTION("IMPORTRANGE(""https://docs.google.com/spreadsheets/d/1QqKyyYR6Q21VydFLVH3TRQUabQu_ym0Zz7PgGX0-kHA/edit?usp=sharing"",""แผน!BB28"")"),0)</f>
        <v>0</v>
      </c>
      <c r="M252" s="1071"/>
      <c r="N252" s="1072">
        <v>0</v>
      </c>
      <c r="O252" s="1071"/>
      <c r="P252" s="1071"/>
      <c r="Q252" s="1077"/>
      <c r="R252" s="1077"/>
      <c r="S252" s="1077"/>
      <c r="T252" s="1077"/>
      <c r="U252" s="1077"/>
      <c r="V252" s="1077"/>
      <c r="W252" s="1077"/>
      <c r="X252" s="1077"/>
      <c r="Y252" s="1077"/>
      <c r="Z252" s="1077"/>
    </row>
    <row r="253" spans="1:26" ht="19.5" hidden="1">
      <c r="A253" s="1074"/>
      <c r="B253" s="1065"/>
      <c r="C253" s="1075"/>
      <c r="D253" s="1067" t="s">
        <v>100</v>
      </c>
      <c r="E253" s="1066"/>
      <c r="F253" s="1066"/>
      <c r="G253" s="1068"/>
      <c r="H253" s="319" t="s">
        <v>12</v>
      </c>
      <c r="I253" s="1076"/>
      <c r="J253" s="1076"/>
      <c r="K253" s="1071"/>
      <c r="L253" s="1071">
        <f ca="1">IFERROR(__xludf.DUMMYFUNCTION("IMPORTRANGE(""https://docs.google.com/spreadsheets/d/1QqKyyYR6Q21VydFLVH3TRQUabQu_ym0Zz7PgGX0-kHA/edit?usp=sharing"",""แผน!BC28"")"),0)</f>
        <v>0</v>
      </c>
      <c r="M253" s="1071"/>
      <c r="N253" s="1072">
        <v>0</v>
      </c>
      <c r="O253" s="1071"/>
      <c r="P253" s="1071"/>
      <c r="Q253" s="1077"/>
      <c r="R253" s="1077"/>
      <c r="S253" s="1077"/>
      <c r="T253" s="1077"/>
      <c r="U253" s="1077"/>
      <c r="V253" s="1077"/>
      <c r="W253" s="1077"/>
      <c r="X253" s="1077"/>
      <c r="Y253" s="1077"/>
      <c r="Z253" s="1077"/>
    </row>
    <row r="254" spans="1:26" ht="19.5" hidden="1">
      <c r="A254" s="949"/>
      <c r="B254" s="950"/>
      <c r="C254" s="1038" t="s">
        <v>16</v>
      </c>
      <c r="D254" s="951" t="s">
        <v>38</v>
      </c>
      <c r="E254" s="952"/>
      <c r="F254" s="952"/>
      <c r="G254" s="953"/>
      <c r="H254" s="954"/>
      <c r="I254" s="944"/>
      <c r="J254" s="830"/>
      <c r="K254" s="831"/>
      <c r="L254" s="831"/>
      <c r="M254" s="831"/>
      <c r="N254" s="831"/>
      <c r="O254" s="945"/>
      <c r="P254" s="945"/>
      <c r="Q254" s="818"/>
      <c r="R254" s="818"/>
      <c r="S254" s="818"/>
      <c r="T254" s="818"/>
      <c r="U254" s="818"/>
      <c r="V254" s="818"/>
      <c r="W254" s="818"/>
      <c r="X254" s="818"/>
      <c r="Y254" s="818"/>
      <c r="Z254" s="818"/>
    </row>
    <row r="255" spans="1:26" ht="18.75" hidden="1">
      <c r="A255" s="949"/>
      <c r="B255" s="950"/>
      <c r="C255" s="950"/>
      <c r="D255" s="956" t="s">
        <v>117</v>
      </c>
      <c r="E255" s="957"/>
      <c r="F255" s="957"/>
      <c r="G255" s="958"/>
      <c r="H255" s="730" t="s">
        <v>35</v>
      </c>
      <c r="I255" s="830">
        <f ca="1">IFERROR(__xludf.DUMMYFUNCTION("IMPORTRANGE(""https://docs.google.com/spreadsheets/d/1QqKyyYR6Q21VydFLVH3TRQUabQu_ym0Zz7PgGX0-kHA/edit?usp=sharing"",""แผน!BF28"")"),0)</f>
        <v>0</v>
      </c>
      <c r="J255" s="959">
        <v>0</v>
      </c>
      <c r="K255" s="831">
        <f ca="1">IF(I255&gt;0,J255*100/I255,0)</f>
        <v>0</v>
      </c>
      <c r="L255" s="831"/>
      <c r="M255" s="831"/>
      <c r="N255" s="831"/>
      <c r="O255" s="831"/>
      <c r="P255" s="831"/>
      <c r="Q255" s="818"/>
      <c r="R255" s="818"/>
      <c r="S255" s="818"/>
      <c r="T255" s="818"/>
      <c r="U255" s="818"/>
      <c r="V255" s="818"/>
      <c r="W255" s="818"/>
      <c r="X255" s="818"/>
      <c r="Y255" s="818"/>
      <c r="Z255" s="818"/>
    </row>
    <row r="256" spans="1:26" ht="18.75" hidden="1">
      <c r="A256" s="949"/>
      <c r="B256" s="950"/>
      <c r="C256" s="950"/>
      <c r="D256" s="1078" t="s">
        <v>43</v>
      </c>
      <c r="E256" s="957"/>
      <c r="F256" s="957"/>
      <c r="G256" s="958"/>
      <c r="H256" s="730"/>
      <c r="I256" s="830"/>
      <c r="J256" s="830"/>
      <c r="K256" s="831"/>
      <c r="L256" s="831"/>
      <c r="M256" s="831"/>
      <c r="N256" s="831"/>
      <c r="O256" s="945"/>
      <c r="P256" s="945"/>
      <c r="Q256" s="818"/>
      <c r="R256" s="818"/>
      <c r="S256" s="818"/>
      <c r="T256" s="818"/>
      <c r="U256" s="818"/>
      <c r="V256" s="818"/>
      <c r="W256" s="818"/>
      <c r="X256" s="818"/>
      <c r="Y256" s="818"/>
      <c r="Z256" s="818"/>
    </row>
    <row r="257" spans="1:26" ht="18.75" hidden="1">
      <c r="A257" s="949"/>
      <c r="B257" s="950"/>
      <c r="C257" s="950"/>
      <c r="D257" s="950"/>
      <c r="E257" s="955" t="s">
        <v>118</v>
      </c>
      <c r="F257" s="957"/>
      <c r="G257" s="958"/>
      <c r="H257" s="730" t="s">
        <v>35</v>
      </c>
      <c r="I257" s="830"/>
      <c r="J257" s="959">
        <v>0</v>
      </c>
      <c r="K257" s="831">
        <f t="shared" ref="K257:K258" si="114">IF(I257&gt;0,J257*100/I257,0)</f>
        <v>0</v>
      </c>
      <c r="L257" s="831"/>
      <c r="M257" s="831"/>
      <c r="N257" s="831"/>
      <c r="O257" s="831"/>
      <c r="P257" s="831"/>
      <c r="Q257" s="818"/>
      <c r="R257" s="818"/>
      <c r="S257" s="818"/>
      <c r="T257" s="818"/>
      <c r="U257" s="818"/>
      <c r="V257" s="818"/>
      <c r="W257" s="818"/>
      <c r="X257" s="818"/>
      <c r="Y257" s="818"/>
      <c r="Z257" s="818"/>
    </row>
    <row r="258" spans="1:26" ht="18.75" hidden="1">
      <c r="A258" s="949"/>
      <c r="B258" s="950"/>
      <c r="C258" s="950"/>
      <c r="D258" s="950"/>
      <c r="E258" s="955" t="s">
        <v>119</v>
      </c>
      <c r="F258" s="957"/>
      <c r="G258" s="958"/>
      <c r="H258" s="730" t="s">
        <v>66</v>
      </c>
      <c r="I258" s="830"/>
      <c r="J258" s="959">
        <v>0</v>
      </c>
      <c r="K258" s="831">
        <f t="shared" si="114"/>
        <v>0</v>
      </c>
      <c r="L258" s="831"/>
      <c r="M258" s="831"/>
      <c r="N258" s="831"/>
      <c r="O258" s="831"/>
      <c r="P258" s="831"/>
      <c r="Q258" s="818"/>
      <c r="R258" s="818"/>
      <c r="S258" s="818"/>
      <c r="T258" s="818"/>
      <c r="U258" s="818"/>
      <c r="V258" s="818"/>
      <c r="W258" s="818"/>
      <c r="X258" s="818"/>
      <c r="Y258" s="818"/>
      <c r="Z258" s="818"/>
    </row>
    <row r="259" spans="1:26" ht="19.5">
      <c r="A259" s="998" t="s">
        <v>122</v>
      </c>
      <c r="B259" s="999"/>
      <c r="C259" s="999"/>
      <c r="D259" s="1000"/>
      <c r="E259" s="1000"/>
      <c r="F259" s="1000"/>
      <c r="G259" s="1001"/>
      <c r="H259" s="1002"/>
      <c r="I259" s="1003"/>
      <c r="J259" s="1003"/>
      <c r="K259" s="1004"/>
      <c r="L259" s="1004"/>
      <c r="M259" s="1004"/>
      <c r="N259" s="1004"/>
      <c r="O259" s="1004"/>
      <c r="P259" s="1004"/>
    </row>
    <row r="260" spans="1:26" ht="19.5">
      <c r="A260" s="1005"/>
      <c r="B260" s="1006" t="s">
        <v>123</v>
      </c>
      <c r="C260" s="1007"/>
      <c r="D260" s="952"/>
      <c r="E260" s="952"/>
      <c r="F260" s="952"/>
      <c r="G260" s="953"/>
      <c r="H260" s="252" t="s">
        <v>35</v>
      </c>
      <c r="I260" s="1008">
        <f t="shared" ref="I260:J260" ca="1" si="115">I271</f>
        <v>26</v>
      </c>
      <c r="J260" s="1008">
        <f t="shared" si="115"/>
        <v>26</v>
      </c>
      <c r="K260" s="1009">
        <f ca="1">IF(I260&gt;0,J260*100/I260,0)</f>
        <v>100</v>
      </c>
      <c r="L260" s="1010"/>
      <c r="M260" s="1010"/>
      <c r="N260" s="1010"/>
      <c r="O260" s="1010"/>
      <c r="P260" s="1010"/>
    </row>
    <row r="261" spans="1:26" ht="19.5">
      <c r="A261" s="932"/>
      <c r="B261" s="933"/>
      <c r="C261" s="934" t="s">
        <v>16</v>
      </c>
      <c r="D261" s="935" t="s">
        <v>17</v>
      </c>
      <c r="E261" s="933"/>
      <c r="F261" s="933"/>
      <c r="G261" s="936"/>
      <c r="H261" s="152" t="s">
        <v>12</v>
      </c>
      <c r="I261" s="937"/>
      <c r="J261" s="937"/>
      <c r="K261" s="938"/>
      <c r="L261" s="939">
        <f t="shared" ref="L261:N261" ca="1" si="116">L262+L263</f>
        <v>30700</v>
      </c>
      <c r="M261" s="939">
        <f t="shared" ca="1" si="116"/>
        <v>27700</v>
      </c>
      <c r="N261" s="939">
        <f t="shared" ca="1" si="116"/>
        <v>24830</v>
      </c>
      <c r="O261" s="939">
        <f t="shared" ref="O261:O269" ca="1" si="117">IF(L261&gt;0,N261*100/L261,0)</f>
        <v>80.879478827361567</v>
      </c>
      <c r="P261" s="939">
        <f t="shared" ref="P261:P269" ca="1" si="118">IF(M261&gt;0,N261*100/M261,0)</f>
        <v>89.638989169675085</v>
      </c>
      <c r="Q261" s="818"/>
      <c r="R261" s="818"/>
      <c r="S261" s="818"/>
      <c r="T261" s="818"/>
      <c r="U261" s="818"/>
      <c r="V261" s="818"/>
      <c r="W261" s="818"/>
      <c r="X261" s="818"/>
      <c r="Y261" s="818"/>
      <c r="Z261" s="818"/>
    </row>
    <row r="262" spans="1:26" ht="18.75" hidden="1">
      <c r="A262" s="940"/>
      <c r="B262" s="833"/>
      <c r="C262" s="833"/>
      <c r="D262" s="833"/>
      <c r="E262" s="834" t="s">
        <v>18</v>
      </c>
      <c r="F262" s="833"/>
      <c r="G262" s="941"/>
      <c r="H262" s="158" t="s">
        <v>12</v>
      </c>
      <c r="I262" s="836"/>
      <c r="J262" s="836"/>
      <c r="K262" s="837"/>
      <c r="L262" s="837">
        <f t="shared" ref="L262:N263" si="119">L265+L268</f>
        <v>0</v>
      </c>
      <c r="M262" s="837">
        <f t="shared" si="119"/>
        <v>0</v>
      </c>
      <c r="N262" s="837">
        <f t="shared" si="119"/>
        <v>0</v>
      </c>
      <c r="O262" s="837">
        <f t="shared" si="117"/>
        <v>0</v>
      </c>
      <c r="P262" s="837">
        <f t="shared" si="118"/>
        <v>0</v>
      </c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</row>
    <row r="263" spans="1:26" ht="18.75" hidden="1">
      <c r="A263" s="940"/>
      <c r="B263" s="833"/>
      <c r="C263" s="833"/>
      <c r="D263" s="833"/>
      <c r="E263" s="834" t="s">
        <v>19</v>
      </c>
      <c r="F263" s="833"/>
      <c r="G263" s="941"/>
      <c r="H263" s="158" t="s">
        <v>12</v>
      </c>
      <c r="I263" s="836"/>
      <c r="J263" s="836"/>
      <c r="K263" s="837"/>
      <c r="L263" s="837">
        <f t="shared" ca="1" si="119"/>
        <v>30700</v>
      </c>
      <c r="M263" s="837">
        <f t="shared" ca="1" si="119"/>
        <v>27700</v>
      </c>
      <c r="N263" s="837">
        <f t="shared" ca="1" si="119"/>
        <v>24830</v>
      </c>
      <c r="O263" s="837">
        <f t="shared" ca="1" si="117"/>
        <v>80.879478827361567</v>
      </c>
      <c r="P263" s="837">
        <f t="shared" ca="1" si="118"/>
        <v>89.638989169675085</v>
      </c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</row>
    <row r="264" spans="1:26" ht="18.75">
      <c r="A264" s="942"/>
      <c r="B264" s="827"/>
      <c r="C264" s="943"/>
      <c r="D264" s="828" t="s">
        <v>20</v>
      </c>
      <c r="E264" s="827"/>
      <c r="F264" s="827"/>
      <c r="G264" s="829"/>
      <c r="H264" s="778" t="s">
        <v>12</v>
      </c>
      <c r="I264" s="944"/>
      <c r="J264" s="944"/>
      <c r="K264" s="945"/>
      <c r="L264" s="831">
        <f t="shared" ref="L264:N264" ca="1" si="120">L265+L266</f>
        <v>30700</v>
      </c>
      <c r="M264" s="831">
        <f t="shared" ca="1" si="120"/>
        <v>27700</v>
      </c>
      <c r="N264" s="831">
        <f t="shared" ca="1" si="120"/>
        <v>24830</v>
      </c>
      <c r="O264" s="831">
        <f t="shared" ca="1" si="117"/>
        <v>80.879478827361567</v>
      </c>
      <c r="P264" s="831">
        <f t="shared" ca="1" si="118"/>
        <v>89.638989169675085</v>
      </c>
      <c r="Q264" s="818"/>
      <c r="R264" s="818"/>
      <c r="S264" s="818"/>
      <c r="T264" s="818"/>
      <c r="U264" s="818"/>
      <c r="V264" s="818"/>
      <c r="W264" s="818"/>
      <c r="X264" s="818"/>
      <c r="Y264" s="818"/>
      <c r="Z264" s="818"/>
    </row>
    <row r="265" spans="1:26" ht="19.5" hidden="1">
      <c r="A265" s="940"/>
      <c r="B265" s="833"/>
      <c r="C265" s="946"/>
      <c r="D265" s="833"/>
      <c r="E265" s="834" t="s">
        <v>36</v>
      </c>
      <c r="F265" s="833"/>
      <c r="G265" s="941"/>
      <c r="H265" s="165" t="s">
        <v>12</v>
      </c>
      <c r="I265" s="947"/>
      <c r="J265" s="947"/>
      <c r="K265" s="948"/>
      <c r="L265" s="837">
        <v>0</v>
      </c>
      <c r="M265" s="837">
        <v>0</v>
      </c>
      <c r="N265" s="837">
        <v>0</v>
      </c>
      <c r="O265" s="837">
        <f t="shared" si="117"/>
        <v>0</v>
      </c>
      <c r="P265" s="837">
        <f t="shared" si="118"/>
        <v>0</v>
      </c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</row>
    <row r="266" spans="1:26" ht="19.5" hidden="1">
      <c r="A266" s="940"/>
      <c r="B266" s="833"/>
      <c r="C266" s="946"/>
      <c r="D266" s="833"/>
      <c r="E266" s="834" t="s">
        <v>37</v>
      </c>
      <c r="F266" s="833"/>
      <c r="G266" s="941"/>
      <c r="H266" s="165" t="s">
        <v>12</v>
      </c>
      <c r="I266" s="947"/>
      <c r="J266" s="947"/>
      <c r="K266" s="948"/>
      <c r="L266" s="837">
        <f ca="1">IFERROR(__xludf.DUMMYFUNCTION("IMPORTRANGE(""https://docs.google.com/spreadsheets/d/1MeEWN-I1oV_STSDYn1IFDPWt_1FKiwhDph83XaGc0o0/edit?usp=sharing"",""งบพรบ!CY28"")"),30700)</f>
        <v>30700</v>
      </c>
      <c r="M266" s="837">
        <f ca="1">IFERROR(__xludf.DUMMYFUNCTION("IMPORTRANGE(""https://docs.google.com/spreadsheets/d/1MeEWN-I1oV_STSDYn1IFDPWt_1FKiwhDph83XaGc0o0/edit?usp=sharing"",""งบพรบ!DD28"")"),27700)</f>
        <v>27700</v>
      </c>
      <c r="N266" s="837">
        <f ca="1">IFERROR(__xludf.DUMMYFUNCTION("IMPORTRANGE(""https://docs.google.com/spreadsheets/d/1MeEWN-I1oV_STSDYn1IFDPWt_1FKiwhDph83XaGc0o0/edit?usp=sharing"",""งบพรบ!DF28"")"),24830)</f>
        <v>24830</v>
      </c>
      <c r="O266" s="837">
        <f t="shared" ca="1" si="117"/>
        <v>80.879478827361567</v>
      </c>
      <c r="P266" s="837">
        <f t="shared" ca="1" si="118"/>
        <v>89.638989169675085</v>
      </c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</row>
    <row r="267" spans="1:26" ht="18.75">
      <c r="A267" s="942"/>
      <c r="B267" s="827"/>
      <c r="C267" s="943"/>
      <c r="D267" s="828" t="s">
        <v>21</v>
      </c>
      <c r="E267" s="827"/>
      <c r="F267" s="827"/>
      <c r="G267" s="829"/>
      <c r="H267" s="168" t="s">
        <v>12</v>
      </c>
      <c r="I267" s="944"/>
      <c r="J267" s="944"/>
      <c r="K267" s="945"/>
      <c r="L267" s="831">
        <f t="shared" ref="L267:N267" ca="1" si="121">L268+L269</f>
        <v>0</v>
      </c>
      <c r="M267" s="831">
        <f t="shared" ca="1" si="121"/>
        <v>0</v>
      </c>
      <c r="N267" s="831">
        <f t="shared" ca="1" si="121"/>
        <v>0</v>
      </c>
      <c r="O267" s="831">
        <f t="shared" ca="1" si="117"/>
        <v>0</v>
      </c>
      <c r="P267" s="831">
        <f t="shared" ca="1" si="118"/>
        <v>0</v>
      </c>
      <c r="Q267" s="818"/>
      <c r="R267" s="818"/>
      <c r="S267" s="818"/>
      <c r="T267" s="818"/>
      <c r="U267" s="818"/>
      <c r="V267" s="818"/>
      <c r="W267" s="818"/>
      <c r="X267" s="818"/>
      <c r="Y267" s="818"/>
      <c r="Z267" s="818"/>
    </row>
    <row r="268" spans="1:26" ht="19.5" hidden="1">
      <c r="A268" s="940"/>
      <c r="B268" s="833"/>
      <c r="C268" s="946"/>
      <c r="D268" s="833"/>
      <c r="E268" s="834" t="s">
        <v>18</v>
      </c>
      <c r="F268" s="833"/>
      <c r="G268" s="941"/>
      <c r="H268" s="165" t="s">
        <v>12</v>
      </c>
      <c r="I268" s="947"/>
      <c r="J268" s="947"/>
      <c r="K268" s="948"/>
      <c r="L268" s="837">
        <v>0</v>
      </c>
      <c r="M268" s="837">
        <v>0</v>
      </c>
      <c r="N268" s="837">
        <v>0</v>
      </c>
      <c r="O268" s="837">
        <f t="shared" si="117"/>
        <v>0</v>
      </c>
      <c r="P268" s="837">
        <f t="shared" si="118"/>
        <v>0</v>
      </c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</row>
    <row r="269" spans="1:26" ht="19.5" hidden="1">
      <c r="A269" s="940"/>
      <c r="B269" s="833"/>
      <c r="C269" s="946"/>
      <c r="D269" s="833"/>
      <c r="E269" s="834" t="s">
        <v>19</v>
      </c>
      <c r="F269" s="833"/>
      <c r="G269" s="941"/>
      <c r="H269" s="169" t="s">
        <v>12</v>
      </c>
      <c r="I269" s="947"/>
      <c r="J269" s="947"/>
      <c r="K269" s="948"/>
      <c r="L269" s="837">
        <f ca="1">IFERROR(__xludf.DUMMYFUNCTION("IMPORTRANGE(""https://docs.google.com/spreadsheets/d/1MeEWN-I1oV_STSDYn1IFDPWt_1FKiwhDph83XaGc0o0/edit?usp=sharing"",""งบพรบ!DB28"")"),0)</f>
        <v>0</v>
      </c>
      <c r="M269" s="837">
        <f ca="1">IFERROR(__xludf.DUMMYFUNCTION("IMPORTRANGE(""https://docs.google.com/spreadsheets/d/1MeEWN-I1oV_STSDYn1IFDPWt_1FKiwhDph83XaGc0o0/edit?usp=sharing"",""งบพรบ!DE28"")"),0)</f>
        <v>0</v>
      </c>
      <c r="N269" s="837">
        <f ca="1">IFERROR(__xludf.DUMMYFUNCTION("IMPORTRANGE(""https://docs.google.com/spreadsheets/d/1MeEWN-I1oV_STSDYn1IFDPWt_1FKiwhDph83XaGc0o0/edit?usp=sharing"",""งบพรบ!DG28"")"),0)</f>
        <v>0</v>
      </c>
      <c r="O269" s="837">
        <f t="shared" ca="1" si="117"/>
        <v>0</v>
      </c>
      <c r="P269" s="837">
        <f t="shared" ca="1" si="118"/>
        <v>0</v>
      </c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</row>
    <row r="270" spans="1:26" ht="19.5">
      <c r="A270" s="949"/>
      <c r="B270" s="950"/>
      <c r="C270" s="943" t="s">
        <v>16</v>
      </c>
      <c r="D270" s="951" t="s">
        <v>38</v>
      </c>
      <c r="E270" s="952"/>
      <c r="F270" s="952"/>
      <c r="G270" s="953"/>
      <c r="H270" s="954"/>
      <c r="I270" s="944"/>
      <c r="J270" s="944"/>
      <c r="K270" s="945"/>
      <c r="L270" s="945"/>
      <c r="M270" s="945"/>
      <c r="N270" s="945"/>
      <c r="O270" s="945"/>
      <c r="P270" s="945"/>
    </row>
    <row r="271" spans="1:26" ht="18.75">
      <c r="A271" s="949"/>
      <c r="B271" s="950"/>
      <c r="C271" s="950"/>
      <c r="D271" s="1079" t="s">
        <v>124</v>
      </c>
      <c r="E271" s="957"/>
      <c r="F271" s="1022"/>
      <c r="G271" s="958"/>
      <c r="H271" s="346" t="s">
        <v>35</v>
      </c>
      <c r="I271" s="830">
        <f ca="1">IFERROR(__xludf.DUMMYFUNCTION("IMPORTRANGE(""https://docs.google.com/spreadsheets/d/1QqKyyYR6Q21VydFLVH3TRQUabQu_ym0Zz7PgGX0-kHA/edit?usp=sharing"",""แผน!EA28"")"),26)</f>
        <v>26</v>
      </c>
      <c r="J271" s="959">
        <v>26</v>
      </c>
      <c r="K271" s="945">
        <f ca="1">IF(I271&gt;0,J271*100/I271,0)</f>
        <v>100</v>
      </c>
      <c r="L271" s="945"/>
      <c r="M271" s="945"/>
      <c r="N271" s="945"/>
      <c r="O271" s="945"/>
      <c r="P271" s="945"/>
    </row>
    <row r="272" spans="1:26" ht="18.75" hidden="1">
      <c r="A272" s="1080"/>
      <c r="B272" s="1081"/>
      <c r="C272" s="1081"/>
      <c r="D272" s="1082" t="s">
        <v>125</v>
      </c>
      <c r="E272" s="1083"/>
      <c r="F272" s="1083"/>
      <c r="G272" s="1084"/>
      <c r="H272" s="50" t="s">
        <v>35</v>
      </c>
      <c r="I272" s="1085">
        <v>0</v>
      </c>
      <c r="J272" s="1085">
        <v>0</v>
      </c>
      <c r="K272" s="1086">
        <v>0</v>
      </c>
      <c r="L272" s="1086"/>
      <c r="M272" s="1086"/>
      <c r="N272" s="1086"/>
      <c r="O272" s="1086"/>
      <c r="P272" s="1086"/>
    </row>
    <row r="273" spans="1:26" ht="19.5">
      <c r="A273" s="1087" t="s">
        <v>126</v>
      </c>
      <c r="B273" s="1088"/>
      <c r="C273" s="1088"/>
      <c r="D273" s="1088"/>
      <c r="E273" s="1089"/>
      <c r="F273" s="1089"/>
      <c r="G273" s="1090"/>
      <c r="H273" s="1091"/>
      <c r="I273" s="1092"/>
      <c r="J273" s="1092"/>
      <c r="K273" s="1093"/>
      <c r="L273" s="1093"/>
      <c r="M273" s="1093"/>
      <c r="N273" s="1093"/>
      <c r="O273" s="1093"/>
      <c r="P273" s="1093"/>
    </row>
    <row r="274" spans="1:26" ht="19.5">
      <c r="A274" s="1094" t="s">
        <v>127</v>
      </c>
      <c r="B274" s="1095"/>
      <c r="C274" s="1096"/>
      <c r="D274" s="1095"/>
      <c r="E274" s="1095"/>
      <c r="F274" s="1095"/>
      <c r="G274" s="1095"/>
      <c r="H274" s="1097"/>
      <c r="I274" s="1098"/>
      <c r="J274" s="1099"/>
      <c r="K274" s="1100"/>
      <c r="L274" s="1100"/>
      <c r="M274" s="1100"/>
      <c r="N274" s="1100"/>
      <c r="O274" s="1100"/>
      <c r="P274" s="1100"/>
    </row>
    <row r="275" spans="1:26" ht="19.5">
      <c r="A275" s="1101"/>
      <c r="B275" s="1102" t="s">
        <v>128</v>
      </c>
      <c r="C275" s="1103"/>
      <c r="D275" s="1104"/>
      <c r="E275" s="1103"/>
      <c r="F275" s="1103"/>
      <c r="G275" s="1105"/>
      <c r="H275" s="374" t="s">
        <v>35</v>
      </c>
      <c r="I275" s="1106">
        <f t="shared" ref="I275:J275" ca="1" si="122">I288</f>
        <v>20</v>
      </c>
      <c r="J275" s="1106">
        <f t="shared" ca="1" si="122"/>
        <v>20</v>
      </c>
      <c r="K275" s="1107">
        <f t="shared" ref="K275:K276" ca="1" si="123">IF(I275&gt;0,J275*100/I275,0)</f>
        <v>100</v>
      </c>
      <c r="L275" s="1108"/>
      <c r="M275" s="1108"/>
      <c r="N275" s="1108"/>
      <c r="O275" s="1108"/>
      <c r="P275" s="1108"/>
    </row>
    <row r="276" spans="1:26" ht="19.5">
      <c r="A276" s="1101"/>
      <c r="B276" s="1102"/>
      <c r="C276" s="1103"/>
      <c r="D276" s="1104"/>
      <c r="E276" s="1103"/>
      <c r="F276" s="1103"/>
      <c r="G276" s="1105"/>
      <c r="H276" s="374" t="s">
        <v>46</v>
      </c>
      <c r="I276" s="1106">
        <f t="shared" ref="I276:J276" ca="1" si="124">I287</f>
        <v>200</v>
      </c>
      <c r="J276" s="1106">
        <f t="shared" si="124"/>
        <v>0</v>
      </c>
      <c r="K276" s="1107">
        <f t="shared" ca="1" si="123"/>
        <v>0</v>
      </c>
      <c r="L276" s="1108"/>
      <c r="M276" s="1108"/>
      <c r="N276" s="1108"/>
      <c r="O276" s="1108"/>
      <c r="P276" s="1108"/>
    </row>
    <row r="277" spans="1:26" ht="19.5">
      <c r="A277" s="932"/>
      <c r="B277" s="933"/>
      <c r="C277" s="934" t="s">
        <v>16</v>
      </c>
      <c r="D277" s="935" t="s">
        <v>17</v>
      </c>
      <c r="E277" s="933"/>
      <c r="F277" s="933"/>
      <c r="G277" s="936"/>
      <c r="H277" s="152" t="s">
        <v>12</v>
      </c>
      <c r="I277" s="937"/>
      <c r="J277" s="937"/>
      <c r="K277" s="938"/>
      <c r="L277" s="939">
        <f t="shared" ref="L277:N277" ca="1" si="125">L278+L279</f>
        <v>75640</v>
      </c>
      <c r="M277" s="939">
        <f t="shared" ca="1" si="125"/>
        <v>37520</v>
      </c>
      <c r="N277" s="939">
        <f t="shared" ca="1" si="125"/>
        <v>26150</v>
      </c>
      <c r="O277" s="939">
        <f t="shared" ref="O277:O285" ca="1" si="126">IF(L277&gt;0,N277*100/L277,0)</f>
        <v>34.571655208884188</v>
      </c>
      <c r="P277" s="939">
        <f t="shared" ref="P277:P285" ca="1" si="127">IF(M277&gt;0,N277*100/M277,0)</f>
        <v>69.696162046908313</v>
      </c>
      <c r="Q277" s="818"/>
      <c r="R277" s="818"/>
      <c r="S277" s="818"/>
      <c r="T277" s="818"/>
      <c r="U277" s="818"/>
      <c r="V277" s="818"/>
      <c r="W277" s="818"/>
      <c r="X277" s="818"/>
      <c r="Y277" s="818"/>
      <c r="Z277" s="818"/>
    </row>
    <row r="278" spans="1:26" ht="18.75" hidden="1">
      <c r="A278" s="940"/>
      <c r="B278" s="833"/>
      <c r="C278" s="833"/>
      <c r="D278" s="833"/>
      <c r="E278" s="834" t="s">
        <v>18</v>
      </c>
      <c r="F278" s="833"/>
      <c r="G278" s="941"/>
      <c r="H278" s="158" t="s">
        <v>12</v>
      </c>
      <c r="I278" s="836"/>
      <c r="J278" s="836"/>
      <c r="K278" s="837"/>
      <c r="L278" s="837">
        <f t="shared" ref="L278:N279" si="128">L281+L284</f>
        <v>0</v>
      </c>
      <c r="M278" s="837">
        <f t="shared" si="128"/>
        <v>0</v>
      </c>
      <c r="N278" s="837">
        <f t="shared" si="128"/>
        <v>0</v>
      </c>
      <c r="O278" s="837">
        <f t="shared" si="126"/>
        <v>0</v>
      </c>
      <c r="P278" s="837">
        <f t="shared" si="127"/>
        <v>0</v>
      </c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</row>
    <row r="279" spans="1:26" ht="18.75" hidden="1">
      <c r="A279" s="940"/>
      <c r="B279" s="833"/>
      <c r="C279" s="833"/>
      <c r="D279" s="833"/>
      <c r="E279" s="834" t="s">
        <v>19</v>
      </c>
      <c r="F279" s="833"/>
      <c r="G279" s="941"/>
      <c r="H279" s="158" t="s">
        <v>12</v>
      </c>
      <c r="I279" s="836"/>
      <c r="J279" s="836"/>
      <c r="K279" s="837"/>
      <c r="L279" s="837">
        <f t="shared" ca="1" si="128"/>
        <v>75640</v>
      </c>
      <c r="M279" s="837">
        <f t="shared" ca="1" si="128"/>
        <v>37520</v>
      </c>
      <c r="N279" s="837">
        <f t="shared" ca="1" si="128"/>
        <v>26150</v>
      </c>
      <c r="O279" s="837">
        <f t="shared" ca="1" si="126"/>
        <v>34.571655208884188</v>
      </c>
      <c r="P279" s="837">
        <f t="shared" ca="1" si="127"/>
        <v>69.696162046908313</v>
      </c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</row>
    <row r="280" spans="1:26" ht="18.75">
      <c r="A280" s="942"/>
      <c r="B280" s="827"/>
      <c r="C280" s="943"/>
      <c r="D280" s="828" t="s">
        <v>20</v>
      </c>
      <c r="E280" s="827"/>
      <c r="F280" s="827"/>
      <c r="G280" s="829"/>
      <c r="H280" s="778" t="s">
        <v>12</v>
      </c>
      <c r="I280" s="944"/>
      <c r="J280" s="944"/>
      <c r="K280" s="945"/>
      <c r="L280" s="831">
        <f t="shared" ref="L280:N280" ca="1" si="129">L281+L282</f>
        <v>75640</v>
      </c>
      <c r="M280" s="831">
        <f t="shared" ca="1" si="129"/>
        <v>37520</v>
      </c>
      <c r="N280" s="831">
        <f t="shared" ca="1" si="129"/>
        <v>26150</v>
      </c>
      <c r="O280" s="831">
        <f t="shared" ca="1" si="126"/>
        <v>34.571655208884188</v>
      </c>
      <c r="P280" s="831">
        <f t="shared" ca="1" si="127"/>
        <v>69.696162046908313</v>
      </c>
      <c r="Q280" s="818"/>
      <c r="R280" s="818"/>
      <c r="S280" s="818"/>
      <c r="T280" s="818"/>
      <c r="U280" s="818"/>
      <c r="V280" s="818"/>
      <c r="W280" s="818"/>
      <c r="X280" s="818"/>
      <c r="Y280" s="818"/>
      <c r="Z280" s="818"/>
    </row>
    <row r="281" spans="1:26" ht="19.5" hidden="1">
      <c r="A281" s="940"/>
      <c r="B281" s="833"/>
      <c r="C281" s="946"/>
      <c r="D281" s="833"/>
      <c r="E281" s="834" t="s">
        <v>36</v>
      </c>
      <c r="F281" s="833"/>
      <c r="G281" s="941"/>
      <c r="H281" s="165" t="s">
        <v>12</v>
      </c>
      <c r="I281" s="947"/>
      <c r="J281" s="947"/>
      <c r="K281" s="948"/>
      <c r="L281" s="837">
        <v>0</v>
      </c>
      <c r="M281" s="837">
        <v>0</v>
      </c>
      <c r="N281" s="837">
        <v>0</v>
      </c>
      <c r="O281" s="837">
        <f t="shared" si="126"/>
        <v>0</v>
      </c>
      <c r="P281" s="837">
        <f t="shared" si="127"/>
        <v>0</v>
      </c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</row>
    <row r="282" spans="1:26" ht="19.5" hidden="1">
      <c r="A282" s="940"/>
      <c r="B282" s="833"/>
      <c r="C282" s="946"/>
      <c r="D282" s="833"/>
      <c r="E282" s="834" t="s">
        <v>37</v>
      </c>
      <c r="F282" s="833"/>
      <c r="G282" s="941"/>
      <c r="H282" s="165" t="s">
        <v>12</v>
      </c>
      <c r="I282" s="947"/>
      <c r="J282" s="947"/>
      <c r="K282" s="948"/>
      <c r="L282" s="837">
        <f ca="1">IFERROR(__xludf.DUMMYFUNCTION("IMPORTRANGE(""https://docs.google.com/spreadsheets/d/1MeEWN-I1oV_STSDYn1IFDPWt_1FKiwhDph83XaGc0o0/edit?usp=sharing"",""งบพรบ!DI28"")"),75640)</f>
        <v>75640</v>
      </c>
      <c r="M282" s="837">
        <f ca="1">IFERROR(__xludf.DUMMYFUNCTION("IMPORTRANGE(""https://docs.google.com/spreadsheets/d/1MeEWN-I1oV_STSDYn1IFDPWt_1FKiwhDph83XaGc0o0/edit?usp=sharing"",""งบพรบ!DN28"")"),37520)</f>
        <v>37520</v>
      </c>
      <c r="N282" s="837">
        <f ca="1">IFERROR(__xludf.DUMMYFUNCTION("IMPORTRANGE(""https://docs.google.com/spreadsheets/d/1MeEWN-I1oV_STSDYn1IFDPWt_1FKiwhDph83XaGc0o0/edit?usp=sharing"",""งบพรบ!DP28"")"),26150)</f>
        <v>26150</v>
      </c>
      <c r="O282" s="837">
        <f t="shared" ca="1" si="126"/>
        <v>34.571655208884188</v>
      </c>
      <c r="P282" s="837">
        <f t="shared" ca="1" si="127"/>
        <v>69.696162046908313</v>
      </c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</row>
    <row r="283" spans="1:26" ht="18.75">
      <c r="A283" s="942"/>
      <c r="B283" s="827"/>
      <c r="C283" s="943"/>
      <c r="D283" s="828" t="s">
        <v>21</v>
      </c>
      <c r="E283" s="827"/>
      <c r="F283" s="827"/>
      <c r="G283" s="829"/>
      <c r="H283" s="168" t="s">
        <v>12</v>
      </c>
      <c r="I283" s="944"/>
      <c r="J283" s="944"/>
      <c r="K283" s="945"/>
      <c r="L283" s="831">
        <f t="shared" ref="L283:N283" ca="1" si="130">L284+L285</f>
        <v>0</v>
      </c>
      <c r="M283" s="831">
        <f t="shared" ca="1" si="130"/>
        <v>0</v>
      </c>
      <c r="N283" s="831">
        <f t="shared" ca="1" si="130"/>
        <v>0</v>
      </c>
      <c r="O283" s="831">
        <f t="shared" ca="1" si="126"/>
        <v>0</v>
      </c>
      <c r="P283" s="831">
        <f t="shared" ca="1" si="127"/>
        <v>0</v>
      </c>
      <c r="Q283" s="818"/>
      <c r="R283" s="818"/>
      <c r="S283" s="818"/>
      <c r="T283" s="818"/>
      <c r="U283" s="818"/>
      <c r="V283" s="818"/>
      <c r="W283" s="818"/>
      <c r="X283" s="818"/>
      <c r="Y283" s="818"/>
      <c r="Z283" s="818"/>
    </row>
    <row r="284" spans="1:26" ht="19.5" hidden="1">
      <c r="A284" s="940"/>
      <c r="B284" s="833"/>
      <c r="C284" s="946"/>
      <c r="D284" s="833"/>
      <c r="E284" s="834" t="s">
        <v>18</v>
      </c>
      <c r="F284" s="833"/>
      <c r="G284" s="941"/>
      <c r="H284" s="165" t="s">
        <v>12</v>
      </c>
      <c r="I284" s="947"/>
      <c r="J284" s="947"/>
      <c r="K284" s="948"/>
      <c r="L284" s="837">
        <v>0</v>
      </c>
      <c r="M284" s="837">
        <v>0</v>
      </c>
      <c r="N284" s="837">
        <v>0</v>
      </c>
      <c r="O284" s="837">
        <f t="shared" si="126"/>
        <v>0</v>
      </c>
      <c r="P284" s="837">
        <f t="shared" si="127"/>
        <v>0</v>
      </c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</row>
    <row r="285" spans="1:26" ht="19.5" hidden="1">
      <c r="A285" s="940"/>
      <c r="B285" s="833"/>
      <c r="C285" s="946"/>
      <c r="D285" s="833"/>
      <c r="E285" s="834" t="s">
        <v>19</v>
      </c>
      <c r="F285" s="833"/>
      <c r="G285" s="941"/>
      <c r="H285" s="169" t="s">
        <v>12</v>
      </c>
      <c r="I285" s="947"/>
      <c r="J285" s="947"/>
      <c r="K285" s="948"/>
      <c r="L285" s="837">
        <f ca="1">IFERROR(__xludf.DUMMYFUNCTION("IMPORTRANGE(""https://docs.google.com/spreadsheets/d/1MeEWN-I1oV_STSDYn1IFDPWt_1FKiwhDph83XaGc0o0/edit?usp=sharing"",""งบพรบ!DL28"")"),0)</f>
        <v>0</v>
      </c>
      <c r="M285" s="837">
        <f ca="1">IFERROR(__xludf.DUMMYFUNCTION("IMPORTRANGE(""https://docs.google.com/spreadsheets/d/1MeEWN-I1oV_STSDYn1IFDPWt_1FKiwhDph83XaGc0o0/edit?usp=sharing"",""งบพรบ!DO28"")"),0)</f>
        <v>0</v>
      </c>
      <c r="N285" s="837">
        <f ca="1">IFERROR(__xludf.DUMMYFUNCTION("IMPORTRANGE(""https://docs.google.com/spreadsheets/d/1MeEWN-I1oV_STSDYn1IFDPWt_1FKiwhDph83XaGc0o0/edit?usp=sharing"",""งบพรบ!DQ28"")"),0)</f>
        <v>0</v>
      </c>
      <c r="O285" s="837">
        <f t="shared" ca="1" si="126"/>
        <v>0</v>
      </c>
      <c r="P285" s="837">
        <f t="shared" ca="1" si="127"/>
        <v>0</v>
      </c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</row>
    <row r="286" spans="1:26" ht="19.5">
      <c r="A286" s="949"/>
      <c r="B286" s="950"/>
      <c r="C286" s="946" t="s">
        <v>16</v>
      </c>
      <c r="D286" s="951" t="s">
        <v>38</v>
      </c>
      <c r="E286" s="952"/>
      <c r="F286" s="952"/>
      <c r="G286" s="953"/>
      <c r="H286" s="954"/>
      <c r="I286" s="944"/>
      <c r="J286" s="944"/>
      <c r="K286" s="945"/>
      <c r="L286" s="945"/>
      <c r="M286" s="945"/>
      <c r="N286" s="945"/>
      <c r="O286" s="945"/>
      <c r="P286" s="945"/>
    </row>
    <row r="287" spans="1:26" ht="18.75">
      <c r="A287" s="949"/>
      <c r="B287" s="950"/>
      <c r="C287" s="950"/>
      <c r="D287" s="961" t="s">
        <v>129</v>
      </c>
      <c r="E287" s="950"/>
      <c r="F287" s="957"/>
      <c r="G287" s="958"/>
      <c r="H287" s="777" t="s">
        <v>46</v>
      </c>
      <c r="I287" s="830">
        <f ca="1">IFERROR(__xludf.DUMMYFUNCTION("IMPORTRANGE(""https://docs.google.com/spreadsheets/d/1QqKyyYR6Q21VydFLVH3TRQUabQu_ym0Zz7PgGX0-kHA/edit?usp=sharing"",""แผน!EC28"")"),200)</f>
        <v>200</v>
      </c>
      <c r="J287" s="959">
        <v>0</v>
      </c>
      <c r="K287" s="945">
        <f t="shared" ref="K287:K288" ca="1" si="131">IF(I287&gt;0,J287*100/I287,0)</f>
        <v>0</v>
      </c>
      <c r="L287" s="945"/>
      <c r="M287" s="945"/>
      <c r="N287" s="945"/>
      <c r="O287" s="945"/>
      <c r="P287" s="945"/>
    </row>
    <row r="288" spans="1:26" ht="19.5">
      <c r="A288" s="949"/>
      <c r="B288" s="950"/>
      <c r="C288" s="950"/>
      <c r="D288" s="961" t="s">
        <v>130</v>
      </c>
      <c r="E288" s="950"/>
      <c r="F288" s="957"/>
      <c r="G288" s="958"/>
      <c r="H288" s="180" t="s">
        <v>35</v>
      </c>
      <c r="I288" s="966">
        <f ca="1">IFERROR(__xludf.DUMMYFUNCTION("IMPORTRANGE(""https://docs.google.com/spreadsheets/d/1QqKyyYR6Q21VydFLVH3TRQUabQu_ym0Zz7PgGX0-kHA/edit?usp=sharing"",""แผน!EB28"")"),20)</f>
        <v>20</v>
      </c>
      <c r="J288" s="966">
        <f ca="1">IF(AND(J291&gt;=I288,J294&gt;=I288),J294,0)</f>
        <v>20</v>
      </c>
      <c r="K288" s="1109">
        <f t="shared" ca="1" si="131"/>
        <v>100</v>
      </c>
      <c r="L288" s="945"/>
      <c r="M288" s="945"/>
      <c r="N288" s="945"/>
      <c r="O288" s="945"/>
      <c r="P288" s="945"/>
    </row>
    <row r="289" spans="1:26" ht="19.5">
      <c r="A289" s="949"/>
      <c r="B289" s="950"/>
      <c r="C289" s="950"/>
      <c r="D289" s="1110"/>
      <c r="E289" s="1111" t="s">
        <v>131</v>
      </c>
      <c r="F289" s="957"/>
      <c r="G289" s="958"/>
      <c r="H289" s="730"/>
      <c r="I289" s="944"/>
      <c r="J289" s="830"/>
      <c r="K289" s="945"/>
      <c r="L289" s="945"/>
      <c r="M289" s="945"/>
      <c r="N289" s="945"/>
      <c r="O289" s="945"/>
      <c r="P289" s="945"/>
    </row>
    <row r="290" spans="1:26" ht="19.5">
      <c r="A290" s="949"/>
      <c r="B290" s="950"/>
      <c r="C290" s="950"/>
      <c r="D290" s="1110"/>
      <c r="E290" s="961" t="s">
        <v>132</v>
      </c>
      <c r="F290" s="957"/>
      <c r="G290" s="958"/>
      <c r="H290" s="730" t="s">
        <v>35</v>
      </c>
      <c r="I290" s="944">
        <f ca="1">IFERROR(__xludf.DUMMYFUNCTION("IMPORTRANGE(""https://docs.google.com/spreadsheets/d/1QqKyyYR6Q21VydFLVH3TRQUabQu_ym0Zz7PgGX0-kHA/edit?usp=sharing"",""แผน!EB28"")"),20)</f>
        <v>20</v>
      </c>
      <c r="J290" s="959">
        <v>20</v>
      </c>
      <c r="K290" s="945">
        <f t="shared" ref="K290:K291" ca="1" si="132">IF(I290&gt;0,J290*100/I290,0)</f>
        <v>100</v>
      </c>
      <c r="L290" s="945"/>
      <c r="M290" s="945"/>
      <c r="N290" s="945"/>
      <c r="O290" s="945"/>
      <c r="P290" s="945"/>
    </row>
    <row r="291" spans="1:26" ht="19.5">
      <c r="A291" s="949"/>
      <c r="B291" s="950"/>
      <c r="C291" s="950"/>
      <c r="D291" s="957"/>
      <c r="E291" s="961" t="s">
        <v>133</v>
      </c>
      <c r="F291" s="957"/>
      <c r="G291" s="958"/>
      <c r="H291" s="730" t="s">
        <v>35</v>
      </c>
      <c r="I291" s="944">
        <f ca="1">IFERROR(__xludf.DUMMYFUNCTION("IMPORTRANGE(""https://docs.google.com/spreadsheets/d/1QqKyyYR6Q21VydFLVH3TRQUabQu_ym0Zz7PgGX0-kHA/edit?usp=sharing"",""แผน!EB28"")"),20)</f>
        <v>20</v>
      </c>
      <c r="J291" s="959">
        <v>20</v>
      </c>
      <c r="K291" s="945">
        <f t="shared" ca="1" si="132"/>
        <v>100</v>
      </c>
      <c r="L291" s="945"/>
      <c r="M291" s="945"/>
      <c r="N291" s="945"/>
      <c r="O291" s="945"/>
      <c r="P291" s="945"/>
    </row>
    <row r="292" spans="1:26" ht="19.5">
      <c r="A292" s="1112"/>
      <c r="B292" s="1113"/>
      <c r="C292" s="1113"/>
      <c r="D292" s="1114"/>
      <c r="E292" s="1115" t="s">
        <v>134</v>
      </c>
      <c r="F292" s="1034"/>
      <c r="G292" s="1035"/>
      <c r="H292" s="387"/>
      <c r="I292" s="1028"/>
      <c r="J292" s="937"/>
      <c r="K292" s="1029"/>
      <c r="L292" s="1029"/>
      <c r="M292" s="1029"/>
      <c r="N292" s="1029"/>
      <c r="O292" s="1029"/>
      <c r="P292" s="1029"/>
    </row>
    <row r="293" spans="1:26" ht="19.5">
      <c r="A293" s="949"/>
      <c r="B293" s="950"/>
      <c r="C293" s="950"/>
      <c r="D293" s="1110"/>
      <c r="E293" s="961" t="s">
        <v>132</v>
      </c>
      <c r="F293" s="957"/>
      <c r="G293" s="958"/>
      <c r="H293" s="730" t="s">
        <v>35</v>
      </c>
      <c r="I293" s="944">
        <f ca="1">IFERROR(__xludf.DUMMYFUNCTION("IMPORTRANGE(""https://docs.google.com/spreadsheets/d/1QqKyyYR6Q21VydFLVH3TRQUabQu_ym0Zz7PgGX0-kHA/edit?usp=sharing"",""แผน!EB28"")"),20)</f>
        <v>20</v>
      </c>
      <c r="J293" s="959">
        <v>20</v>
      </c>
      <c r="K293" s="945">
        <f t="shared" ref="K293:K294" ca="1" si="133">IF(I293&gt;0,J293*100/I293,0)</f>
        <v>100</v>
      </c>
      <c r="L293" s="945"/>
      <c r="M293" s="945"/>
      <c r="N293" s="945"/>
      <c r="O293" s="945"/>
      <c r="P293" s="945"/>
    </row>
    <row r="294" spans="1:26" ht="19.5">
      <c r="A294" s="1080"/>
      <c r="B294" s="1081"/>
      <c r="C294" s="1081"/>
      <c r="D294" s="1083"/>
      <c r="E294" s="1116" t="s">
        <v>136</v>
      </c>
      <c r="F294" s="1083"/>
      <c r="G294" s="1084"/>
      <c r="H294" s="391" t="s">
        <v>35</v>
      </c>
      <c r="I294" s="1117">
        <f ca="1">IFERROR(__xludf.DUMMYFUNCTION("IMPORTRANGE(""https://docs.google.com/spreadsheets/d/1QqKyyYR6Q21VydFLVH3TRQUabQu_ym0Zz7PgGX0-kHA/edit?usp=sharing"",""แผน!EB28"")"),20)</f>
        <v>20</v>
      </c>
      <c r="J294" s="1118">
        <v>20</v>
      </c>
      <c r="K294" s="1086">
        <f t="shared" ca="1" si="133"/>
        <v>100</v>
      </c>
      <c r="L294" s="1086"/>
      <c r="M294" s="1086"/>
      <c r="N294" s="1086"/>
      <c r="O294" s="1086"/>
      <c r="P294" s="1086"/>
    </row>
    <row r="295" spans="1:26" ht="19.5">
      <c r="A295" s="1119" t="s">
        <v>137</v>
      </c>
      <c r="B295" s="1120"/>
      <c r="C295" s="1120"/>
      <c r="D295" s="1120"/>
      <c r="E295" s="1121"/>
      <c r="F295" s="1121"/>
      <c r="G295" s="1122"/>
      <c r="H295" s="1123"/>
      <c r="I295" s="1124"/>
      <c r="J295" s="1124"/>
      <c r="K295" s="1125"/>
      <c r="L295" s="1125"/>
      <c r="M295" s="1125"/>
      <c r="N295" s="1125"/>
      <c r="O295" s="1125"/>
      <c r="P295" s="1125"/>
    </row>
    <row r="296" spans="1:26" ht="19.5">
      <c r="A296" s="1126" t="s">
        <v>138</v>
      </c>
      <c r="B296" s="1127"/>
      <c r="C296" s="1127"/>
      <c r="D296" s="1128"/>
      <c r="E296" s="1128"/>
      <c r="F296" s="1128"/>
      <c r="G296" s="1129"/>
      <c r="H296" s="1130"/>
      <c r="I296" s="1131"/>
      <c r="J296" s="1131"/>
      <c r="K296" s="1132"/>
      <c r="L296" s="1132"/>
      <c r="M296" s="1132"/>
      <c r="N296" s="1132"/>
      <c r="O296" s="1132"/>
      <c r="P296" s="1132"/>
    </row>
    <row r="297" spans="1:26" ht="19.5">
      <c r="A297" s="1133"/>
      <c r="B297" s="1134" t="s">
        <v>139</v>
      </c>
      <c r="C297" s="1135"/>
      <c r="D297" s="1135"/>
      <c r="E297" s="1135"/>
      <c r="F297" s="1135"/>
      <c r="G297" s="1136"/>
      <c r="H297" s="412" t="s">
        <v>35</v>
      </c>
      <c r="I297" s="1137">
        <f t="shared" ref="I297:J297" ca="1" si="134">I309</f>
        <v>20</v>
      </c>
      <c r="J297" s="1137">
        <f t="shared" si="134"/>
        <v>20</v>
      </c>
      <c r="K297" s="1138">
        <f ca="1">IF(I297&gt;0,J297*100/I297,0)</f>
        <v>100</v>
      </c>
      <c r="L297" s="1139"/>
      <c r="M297" s="1139"/>
      <c r="N297" s="1139"/>
      <c r="O297" s="1139"/>
      <c r="P297" s="1139"/>
    </row>
    <row r="298" spans="1:26" ht="19.5">
      <c r="A298" s="932"/>
      <c r="B298" s="933"/>
      <c r="C298" s="934" t="s">
        <v>16</v>
      </c>
      <c r="D298" s="935" t="s">
        <v>17</v>
      </c>
      <c r="E298" s="933"/>
      <c r="F298" s="933"/>
      <c r="G298" s="936"/>
      <c r="H298" s="152" t="s">
        <v>12</v>
      </c>
      <c r="I298" s="937"/>
      <c r="J298" s="937"/>
      <c r="K298" s="938"/>
      <c r="L298" s="939">
        <f t="shared" ref="L298:N298" ca="1" si="135">L299+L300</f>
        <v>225400</v>
      </c>
      <c r="M298" s="939">
        <f t="shared" ca="1" si="135"/>
        <v>168400</v>
      </c>
      <c r="N298" s="939">
        <f t="shared" ca="1" si="135"/>
        <v>90200.320000000007</v>
      </c>
      <c r="O298" s="939">
        <f t="shared" ref="O298:O306" ca="1" si="136">IF(L298&gt;0,N298*100/L298,0)</f>
        <v>40.017888198757767</v>
      </c>
      <c r="P298" s="939">
        <f t="shared" ref="P298:P306" ca="1" si="137">IF(M298&gt;0,N298*100/M298,0)</f>
        <v>53.563135391923993</v>
      </c>
      <c r="Q298" s="818"/>
      <c r="R298" s="818"/>
      <c r="S298" s="818"/>
      <c r="T298" s="818"/>
      <c r="U298" s="818"/>
      <c r="V298" s="818"/>
      <c r="W298" s="818"/>
      <c r="X298" s="818"/>
      <c r="Y298" s="818"/>
      <c r="Z298" s="818"/>
    </row>
    <row r="299" spans="1:26" ht="18.75" hidden="1">
      <c r="A299" s="940"/>
      <c r="B299" s="833"/>
      <c r="C299" s="833"/>
      <c r="D299" s="833"/>
      <c r="E299" s="834" t="s">
        <v>18</v>
      </c>
      <c r="F299" s="833"/>
      <c r="G299" s="941"/>
      <c r="H299" s="158" t="s">
        <v>12</v>
      </c>
      <c r="I299" s="836"/>
      <c r="J299" s="836"/>
      <c r="K299" s="837"/>
      <c r="L299" s="837">
        <f t="shared" ref="L299:N300" si="138">L302+L305</f>
        <v>0</v>
      </c>
      <c r="M299" s="837">
        <f t="shared" si="138"/>
        <v>0</v>
      </c>
      <c r="N299" s="837">
        <f t="shared" si="138"/>
        <v>0</v>
      </c>
      <c r="O299" s="837">
        <f t="shared" si="136"/>
        <v>0</v>
      </c>
      <c r="P299" s="837">
        <f t="shared" si="137"/>
        <v>0</v>
      </c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</row>
    <row r="300" spans="1:26" ht="18.75" hidden="1">
      <c r="A300" s="940"/>
      <c r="B300" s="833"/>
      <c r="C300" s="833"/>
      <c r="D300" s="833"/>
      <c r="E300" s="834" t="s">
        <v>19</v>
      </c>
      <c r="F300" s="833"/>
      <c r="G300" s="941"/>
      <c r="H300" s="158" t="s">
        <v>12</v>
      </c>
      <c r="I300" s="836"/>
      <c r="J300" s="836"/>
      <c r="K300" s="837"/>
      <c r="L300" s="837">
        <f t="shared" ca="1" si="138"/>
        <v>225400</v>
      </c>
      <c r="M300" s="837">
        <f t="shared" ca="1" si="138"/>
        <v>168400</v>
      </c>
      <c r="N300" s="837">
        <f t="shared" ca="1" si="138"/>
        <v>90200.320000000007</v>
      </c>
      <c r="O300" s="837">
        <f t="shared" ca="1" si="136"/>
        <v>40.017888198757767</v>
      </c>
      <c r="P300" s="837">
        <f t="shared" ca="1" si="137"/>
        <v>53.563135391923993</v>
      </c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</row>
    <row r="301" spans="1:26" ht="18.75">
      <c r="A301" s="942"/>
      <c r="B301" s="827"/>
      <c r="C301" s="943"/>
      <c r="D301" s="828" t="s">
        <v>20</v>
      </c>
      <c r="E301" s="827"/>
      <c r="F301" s="827"/>
      <c r="G301" s="829"/>
      <c r="H301" s="778" t="s">
        <v>12</v>
      </c>
      <c r="I301" s="944"/>
      <c r="J301" s="944"/>
      <c r="K301" s="945"/>
      <c r="L301" s="831">
        <f t="shared" ref="L301:N301" ca="1" si="139">L302+L303</f>
        <v>225400</v>
      </c>
      <c r="M301" s="831">
        <f t="shared" ca="1" si="139"/>
        <v>168400</v>
      </c>
      <c r="N301" s="831">
        <f t="shared" ca="1" si="139"/>
        <v>90200.320000000007</v>
      </c>
      <c r="O301" s="831">
        <f t="shared" ca="1" si="136"/>
        <v>40.017888198757767</v>
      </c>
      <c r="P301" s="831">
        <f t="shared" ca="1" si="137"/>
        <v>53.563135391923993</v>
      </c>
      <c r="Q301" s="818"/>
      <c r="R301" s="818"/>
      <c r="S301" s="818"/>
      <c r="T301" s="818"/>
      <c r="U301" s="818"/>
      <c r="V301" s="818"/>
      <c r="W301" s="818"/>
      <c r="X301" s="818"/>
      <c r="Y301" s="818"/>
      <c r="Z301" s="818"/>
    </row>
    <row r="302" spans="1:26" ht="19.5" hidden="1">
      <c r="A302" s="940"/>
      <c r="B302" s="833"/>
      <c r="C302" s="946"/>
      <c r="D302" s="833"/>
      <c r="E302" s="834" t="s">
        <v>36</v>
      </c>
      <c r="F302" s="833"/>
      <c r="G302" s="941"/>
      <c r="H302" s="165" t="s">
        <v>12</v>
      </c>
      <c r="I302" s="947"/>
      <c r="J302" s="947"/>
      <c r="K302" s="948"/>
      <c r="L302" s="837">
        <v>0</v>
      </c>
      <c r="M302" s="837">
        <v>0</v>
      </c>
      <c r="N302" s="837">
        <v>0</v>
      </c>
      <c r="O302" s="837">
        <f t="shared" si="136"/>
        <v>0</v>
      </c>
      <c r="P302" s="837">
        <f t="shared" si="137"/>
        <v>0</v>
      </c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</row>
    <row r="303" spans="1:26" ht="19.5" hidden="1">
      <c r="A303" s="940"/>
      <c r="B303" s="833"/>
      <c r="C303" s="946"/>
      <c r="D303" s="833"/>
      <c r="E303" s="834" t="s">
        <v>37</v>
      </c>
      <c r="F303" s="833"/>
      <c r="G303" s="941"/>
      <c r="H303" s="165" t="s">
        <v>12</v>
      </c>
      <c r="I303" s="947"/>
      <c r="J303" s="947"/>
      <c r="K303" s="948"/>
      <c r="L303" s="837">
        <f ca="1">IFERROR(__xludf.DUMMYFUNCTION("IMPORTRANGE(""https://docs.google.com/spreadsheets/d/1MeEWN-I1oV_STSDYn1IFDPWt_1FKiwhDph83XaGc0o0/edit?usp=sharing"",""งบพรบ!DS28"")"),225400)</f>
        <v>225400</v>
      </c>
      <c r="M303" s="837">
        <f ca="1">IFERROR(__xludf.DUMMYFUNCTION("IMPORTRANGE(""https://docs.google.com/spreadsheets/d/1MeEWN-I1oV_STSDYn1IFDPWt_1FKiwhDph83XaGc0o0/edit?usp=sharing"",""งบพรบ!DX28"")"),168400)</f>
        <v>168400</v>
      </c>
      <c r="N303" s="837">
        <f ca="1">IFERROR(__xludf.DUMMYFUNCTION("IMPORTRANGE(""https://docs.google.com/spreadsheets/d/1MeEWN-I1oV_STSDYn1IFDPWt_1FKiwhDph83XaGc0o0/edit?usp=sharing"",""งบพรบ!DZ28"")"),90200.32)</f>
        <v>90200.320000000007</v>
      </c>
      <c r="O303" s="837">
        <f t="shared" ca="1" si="136"/>
        <v>40.017888198757767</v>
      </c>
      <c r="P303" s="837">
        <f t="shared" ca="1" si="137"/>
        <v>53.563135391923993</v>
      </c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</row>
    <row r="304" spans="1:26" ht="18.75">
      <c r="A304" s="942"/>
      <c r="B304" s="827"/>
      <c r="C304" s="943"/>
      <c r="D304" s="828" t="s">
        <v>21</v>
      </c>
      <c r="E304" s="827"/>
      <c r="F304" s="827"/>
      <c r="G304" s="829"/>
      <c r="H304" s="168" t="s">
        <v>12</v>
      </c>
      <c r="I304" s="944"/>
      <c r="J304" s="944"/>
      <c r="K304" s="945"/>
      <c r="L304" s="831">
        <f t="shared" ref="L304:N304" ca="1" si="140">L305+L306</f>
        <v>0</v>
      </c>
      <c r="M304" s="831">
        <f t="shared" ca="1" si="140"/>
        <v>0</v>
      </c>
      <c r="N304" s="831">
        <f t="shared" ca="1" si="140"/>
        <v>0</v>
      </c>
      <c r="O304" s="831">
        <f t="shared" ca="1" si="136"/>
        <v>0</v>
      </c>
      <c r="P304" s="831">
        <f t="shared" ca="1" si="137"/>
        <v>0</v>
      </c>
      <c r="Q304" s="818"/>
      <c r="R304" s="818"/>
      <c r="S304" s="818"/>
      <c r="T304" s="818"/>
      <c r="U304" s="818"/>
      <c r="V304" s="818"/>
      <c r="W304" s="818"/>
      <c r="X304" s="818"/>
      <c r="Y304" s="818"/>
      <c r="Z304" s="818"/>
    </row>
    <row r="305" spans="1:26" ht="19.5" hidden="1">
      <c r="A305" s="940"/>
      <c r="B305" s="833"/>
      <c r="C305" s="946"/>
      <c r="D305" s="833"/>
      <c r="E305" s="834" t="s">
        <v>18</v>
      </c>
      <c r="F305" s="833"/>
      <c r="G305" s="941"/>
      <c r="H305" s="165" t="s">
        <v>12</v>
      </c>
      <c r="I305" s="947"/>
      <c r="J305" s="947"/>
      <c r="K305" s="948"/>
      <c r="L305" s="837">
        <v>0</v>
      </c>
      <c r="M305" s="837">
        <v>0</v>
      </c>
      <c r="N305" s="837">
        <v>0</v>
      </c>
      <c r="O305" s="837">
        <f t="shared" si="136"/>
        <v>0</v>
      </c>
      <c r="P305" s="837">
        <f t="shared" si="137"/>
        <v>0</v>
      </c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</row>
    <row r="306" spans="1:26" ht="19.5" hidden="1">
      <c r="A306" s="940"/>
      <c r="B306" s="833"/>
      <c r="C306" s="946"/>
      <c r="D306" s="833"/>
      <c r="E306" s="834" t="s">
        <v>19</v>
      </c>
      <c r="F306" s="833"/>
      <c r="G306" s="941"/>
      <c r="H306" s="169" t="s">
        <v>12</v>
      </c>
      <c r="I306" s="947"/>
      <c r="J306" s="947"/>
      <c r="K306" s="948"/>
      <c r="L306" s="837">
        <f ca="1">IFERROR(__xludf.DUMMYFUNCTION("IMPORTRANGE(""https://docs.google.com/spreadsheets/d/1MeEWN-I1oV_STSDYn1IFDPWt_1FKiwhDph83XaGc0o0/edit?usp=sharing"",""งบพรบ!DV28"")"),0)</f>
        <v>0</v>
      </c>
      <c r="M306" s="837">
        <f ca="1">IFERROR(__xludf.DUMMYFUNCTION("IMPORTRANGE(""https://docs.google.com/spreadsheets/d/1MeEWN-I1oV_STSDYn1IFDPWt_1FKiwhDph83XaGc0o0/edit?usp=sharing"",""งบพรบ!DY28"")"),0)</f>
        <v>0</v>
      </c>
      <c r="N306" s="837">
        <f ca="1">IFERROR(__xludf.DUMMYFUNCTION("IMPORTRANGE(""https://docs.google.com/spreadsheets/d/1MeEWN-I1oV_STSDYn1IFDPWt_1FKiwhDph83XaGc0o0/edit?usp=sharing"",""งบพรบ!EA28"")"),0)</f>
        <v>0</v>
      </c>
      <c r="O306" s="837">
        <f t="shared" ca="1" si="136"/>
        <v>0</v>
      </c>
      <c r="P306" s="837">
        <f t="shared" ca="1" si="137"/>
        <v>0</v>
      </c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</row>
    <row r="307" spans="1:26" ht="19.5">
      <c r="A307" s="949"/>
      <c r="B307" s="950"/>
      <c r="C307" s="946" t="s">
        <v>16</v>
      </c>
      <c r="D307" s="951" t="s">
        <v>38</v>
      </c>
      <c r="E307" s="952"/>
      <c r="F307" s="952"/>
      <c r="G307" s="953"/>
      <c r="H307" s="954"/>
      <c r="I307" s="830"/>
      <c r="J307" s="830"/>
      <c r="K307" s="831"/>
      <c r="L307" s="831"/>
      <c r="M307" s="831"/>
      <c r="N307" s="831"/>
      <c r="O307" s="831"/>
      <c r="P307" s="831"/>
    </row>
    <row r="308" spans="1:26" ht="18.75">
      <c r="A308" s="949"/>
      <c r="B308" s="950"/>
      <c r="C308" s="950"/>
      <c r="D308" s="956" t="s">
        <v>140</v>
      </c>
      <c r="E308" s="956"/>
      <c r="F308" s="956"/>
      <c r="G308" s="958"/>
      <c r="H308" s="730"/>
      <c r="I308" s="830"/>
      <c r="J308" s="959">
        <v>0</v>
      </c>
      <c r="K308" s="831"/>
      <c r="L308" s="831"/>
      <c r="M308" s="831"/>
      <c r="N308" s="831"/>
      <c r="O308" s="831"/>
      <c r="P308" s="831"/>
    </row>
    <row r="309" spans="1:26" ht="18.75">
      <c r="A309" s="949"/>
      <c r="B309" s="950"/>
      <c r="C309" s="950"/>
      <c r="D309" s="956" t="s">
        <v>141</v>
      </c>
      <c r="E309" s="956"/>
      <c r="F309" s="956"/>
      <c r="G309" s="958"/>
      <c r="H309" s="730" t="s">
        <v>35</v>
      </c>
      <c r="I309" s="830">
        <f ca="1">IFERROR(__xludf.DUMMYFUNCTION("IMPORTRANGE(""https://docs.google.com/spreadsheets/d/1QqKyyYR6Q21VydFLVH3TRQUabQu_ym0Zz7PgGX0-kHA/edit?usp=sharing"",""แผน!ED28"")"),20)</f>
        <v>20</v>
      </c>
      <c r="J309" s="959">
        <v>20</v>
      </c>
      <c r="K309" s="831">
        <f t="shared" ref="K309:K312" ca="1" si="141">IF(I309&gt;0,J309*100/I309,0)</f>
        <v>100</v>
      </c>
      <c r="L309" s="831"/>
      <c r="M309" s="831"/>
      <c r="N309" s="831"/>
      <c r="O309" s="831"/>
      <c r="P309" s="831"/>
    </row>
    <row r="310" spans="1:26" ht="18.75">
      <c r="A310" s="949"/>
      <c r="B310" s="950"/>
      <c r="C310" s="950"/>
      <c r="D310" s="956" t="s">
        <v>142</v>
      </c>
      <c r="E310" s="956"/>
      <c r="F310" s="956"/>
      <c r="G310" s="958"/>
      <c r="H310" s="730" t="s">
        <v>35</v>
      </c>
      <c r="I310" s="830">
        <f ca="1">IFERROR(__xludf.DUMMYFUNCTION("IMPORTRANGE(""https://docs.google.com/spreadsheets/d/1QqKyyYR6Q21VydFLVH3TRQUabQu_ym0Zz7PgGX0-kHA/edit?usp=sharing"",""แผน!ED28"")"),20)</f>
        <v>20</v>
      </c>
      <c r="J310" s="959">
        <v>20</v>
      </c>
      <c r="K310" s="831">
        <f t="shared" ca="1" si="141"/>
        <v>100</v>
      </c>
      <c r="L310" s="831"/>
      <c r="M310" s="831"/>
      <c r="N310" s="831"/>
      <c r="O310" s="831"/>
      <c r="P310" s="831"/>
    </row>
    <row r="311" spans="1:26" ht="18.75">
      <c r="A311" s="949"/>
      <c r="B311" s="950"/>
      <c r="C311" s="950"/>
      <c r="D311" s="956" t="s">
        <v>59</v>
      </c>
      <c r="E311" s="956"/>
      <c r="F311" s="956"/>
      <c r="G311" s="958"/>
      <c r="H311" s="730" t="s">
        <v>35</v>
      </c>
      <c r="I311" s="830">
        <f ca="1">IFERROR(__xludf.DUMMYFUNCTION("IMPORTRANGE(""https://docs.google.com/spreadsheets/d/1QqKyyYR6Q21VydFLVH3TRQUabQu_ym0Zz7PgGX0-kHA/edit?usp=sharing"",""แผน!ED28"")"),20)</f>
        <v>20</v>
      </c>
      <c r="J311" s="959">
        <v>0</v>
      </c>
      <c r="K311" s="831">
        <f t="shared" ca="1" si="141"/>
        <v>0</v>
      </c>
      <c r="L311" s="831"/>
      <c r="M311" s="831"/>
      <c r="N311" s="831"/>
      <c r="O311" s="831"/>
      <c r="P311" s="831"/>
    </row>
    <row r="312" spans="1:26" ht="18.75">
      <c r="A312" s="949"/>
      <c r="B312" s="950"/>
      <c r="C312" s="950"/>
      <c r="D312" s="956" t="s">
        <v>143</v>
      </c>
      <c r="E312" s="956"/>
      <c r="F312" s="956"/>
      <c r="G312" s="958"/>
      <c r="H312" s="730" t="s">
        <v>35</v>
      </c>
      <c r="I312" s="830">
        <f ca="1">IFERROR(__xludf.DUMMYFUNCTION("IMPORTRANGE(""https://docs.google.com/spreadsheets/d/1QqKyyYR6Q21VydFLVH3TRQUabQu_ym0Zz7PgGX0-kHA/edit?usp=sharing"",""แผน!EE28"")"),4)</f>
        <v>4</v>
      </c>
      <c r="J312" s="959">
        <v>0</v>
      </c>
      <c r="K312" s="831">
        <f t="shared" ca="1" si="141"/>
        <v>0</v>
      </c>
      <c r="L312" s="831"/>
      <c r="M312" s="831"/>
      <c r="N312" s="831"/>
      <c r="O312" s="831"/>
      <c r="P312" s="831"/>
    </row>
    <row r="313" spans="1:26" ht="19.5" hidden="1">
      <c r="A313" s="1126" t="s">
        <v>144</v>
      </c>
      <c r="B313" s="1127"/>
      <c r="C313" s="1127"/>
      <c r="D313" s="1128"/>
      <c r="E313" s="1127"/>
      <c r="F313" s="1127"/>
      <c r="G313" s="1127"/>
      <c r="H313" s="1140"/>
      <c r="I313" s="1131"/>
      <c r="J313" s="1131"/>
      <c r="K313" s="1132"/>
      <c r="L313" s="1132"/>
      <c r="M313" s="1132"/>
      <c r="N313" s="1132"/>
      <c r="O313" s="1132"/>
      <c r="P313" s="1132"/>
    </row>
    <row r="314" spans="1:26" ht="19.5" hidden="1">
      <c r="A314" s="1141"/>
      <c r="B314" s="1134" t="s">
        <v>145</v>
      </c>
      <c r="C314" s="1142"/>
      <c r="D314" s="1143"/>
      <c r="E314" s="1135"/>
      <c r="F314" s="1135"/>
      <c r="G314" s="1136"/>
      <c r="H314" s="412" t="s">
        <v>146</v>
      </c>
      <c r="I314" s="1137">
        <f t="shared" ref="I314:J314" ca="1" si="142">I325</f>
        <v>0</v>
      </c>
      <c r="J314" s="1137">
        <f t="shared" si="142"/>
        <v>0</v>
      </c>
      <c r="K314" s="1138">
        <f ca="1">IF(I314&gt;0,J314*100/I314,0)</f>
        <v>0</v>
      </c>
      <c r="L314" s="1139"/>
      <c r="M314" s="1139"/>
      <c r="N314" s="1139"/>
      <c r="O314" s="1139"/>
      <c r="P314" s="1139"/>
    </row>
    <row r="315" spans="1:26" ht="19.5" hidden="1">
      <c r="A315" s="932"/>
      <c r="B315" s="933"/>
      <c r="C315" s="934" t="s">
        <v>16</v>
      </c>
      <c r="D315" s="935" t="s">
        <v>17</v>
      </c>
      <c r="E315" s="933"/>
      <c r="F315" s="933"/>
      <c r="G315" s="936"/>
      <c r="H315" s="152" t="s">
        <v>12</v>
      </c>
      <c r="I315" s="937"/>
      <c r="J315" s="937"/>
      <c r="K315" s="938"/>
      <c r="L315" s="939">
        <f t="shared" ref="L315:N315" ca="1" si="143">L316+L317</f>
        <v>0</v>
      </c>
      <c r="M315" s="939">
        <f t="shared" ca="1" si="143"/>
        <v>0</v>
      </c>
      <c r="N315" s="939">
        <f t="shared" ca="1" si="143"/>
        <v>0</v>
      </c>
      <c r="O315" s="939">
        <f t="shared" ref="O315:O323" ca="1" si="144">IF(L315&gt;0,N315*100/L315,0)</f>
        <v>0</v>
      </c>
      <c r="P315" s="939">
        <f t="shared" ref="P315:P323" ca="1" si="145">IF(M315&gt;0,N315*100/M315,0)</f>
        <v>0</v>
      </c>
      <c r="Q315" s="818"/>
      <c r="R315" s="818"/>
      <c r="S315" s="818"/>
      <c r="T315" s="818"/>
      <c r="U315" s="818"/>
      <c r="V315" s="818"/>
      <c r="W315" s="818"/>
      <c r="X315" s="818"/>
      <c r="Y315" s="818"/>
      <c r="Z315" s="818"/>
    </row>
    <row r="316" spans="1:26" ht="18.75" hidden="1">
      <c r="A316" s="940"/>
      <c r="B316" s="833"/>
      <c r="C316" s="833"/>
      <c r="D316" s="833"/>
      <c r="E316" s="834" t="s">
        <v>18</v>
      </c>
      <c r="F316" s="833"/>
      <c r="G316" s="941"/>
      <c r="H316" s="158" t="s">
        <v>12</v>
      </c>
      <c r="I316" s="836"/>
      <c r="J316" s="836"/>
      <c r="K316" s="837"/>
      <c r="L316" s="837">
        <f t="shared" ref="L316:N317" si="146">L319+L322</f>
        <v>0</v>
      </c>
      <c r="M316" s="837">
        <f t="shared" si="146"/>
        <v>0</v>
      </c>
      <c r="N316" s="837">
        <f t="shared" si="146"/>
        <v>0</v>
      </c>
      <c r="O316" s="837">
        <f t="shared" si="144"/>
        <v>0</v>
      </c>
      <c r="P316" s="837">
        <f t="shared" si="145"/>
        <v>0</v>
      </c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</row>
    <row r="317" spans="1:26" ht="18.75" hidden="1">
      <c r="A317" s="940"/>
      <c r="B317" s="833"/>
      <c r="C317" s="833"/>
      <c r="D317" s="833"/>
      <c r="E317" s="834" t="s">
        <v>19</v>
      </c>
      <c r="F317" s="833"/>
      <c r="G317" s="941"/>
      <c r="H317" s="158" t="s">
        <v>12</v>
      </c>
      <c r="I317" s="836"/>
      <c r="J317" s="836"/>
      <c r="K317" s="837"/>
      <c r="L317" s="837">
        <f t="shared" ca="1" si="146"/>
        <v>0</v>
      </c>
      <c r="M317" s="837">
        <f t="shared" ca="1" si="146"/>
        <v>0</v>
      </c>
      <c r="N317" s="837">
        <f t="shared" ca="1" si="146"/>
        <v>0</v>
      </c>
      <c r="O317" s="837">
        <f t="shared" ca="1" si="144"/>
        <v>0</v>
      </c>
      <c r="P317" s="837">
        <f t="shared" ca="1" si="145"/>
        <v>0</v>
      </c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</row>
    <row r="318" spans="1:26" ht="18.75" hidden="1">
      <c r="A318" s="942"/>
      <c r="B318" s="827"/>
      <c r="C318" s="943"/>
      <c r="D318" s="828" t="s">
        <v>20</v>
      </c>
      <c r="E318" s="827"/>
      <c r="F318" s="827"/>
      <c r="G318" s="829"/>
      <c r="H318" s="778" t="s">
        <v>12</v>
      </c>
      <c r="I318" s="944"/>
      <c r="J318" s="944"/>
      <c r="K318" s="945"/>
      <c r="L318" s="831">
        <f t="shared" ref="L318:N318" ca="1" si="147">L319+L320</f>
        <v>0</v>
      </c>
      <c r="M318" s="831">
        <f t="shared" ca="1" si="147"/>
        <v>0</v>
      </c>
      <c r="N318" s="831">
        <f t="shared" ca="1" si="147"/>
        <v>0</v>
      </c>
      <c r="O318" s="831">
        <f t="shared" ca="1" si="144"/>
        <v>0</v>
      </c>
      <c r="P318" s="831">
        <f t="shared" ca="1" si="145"/>
        <v>0</v>
      </c>
      <c r="Q318" s="818"/>
      <c r="R318" s="818"/>
      <c r="S318" s="818"/>
      <c r="T318" s="818"/>
      <c r="U318" s="818"/>
      <c r="V318" s="818"/>
      <c r="W318" s="818"/>
      <c r="X318" s="818"/>
      <c r="Y318" s="818"/>
      <c r="Z318" s="818"/>
    </row>
    <row r="319" spans="1:26" ht="19.5" hidden="1">
      <c r="A319" s="940"/>
      <c r="B319" s="833"/>
      <c r="C319" s="946"/>
      <c r="D319" s="833"/>
      <c r="E319" s="834" t="s">
        <v>36</v>
      </c>
      <c r="F319" s="833"/>
      <c r="G319" s="941"/>
      <c r="H319" s="165" t="s">
        <v>12</v>
      </c>
      <c r="I319" s="947"/>
      <c r="J319" s="947"/>
      <c r="K319" s="948"/>
      <c r="L319" s="837">
        <v>0</v>
      </c>
      <c r="M319" s="837">
        <v>0</v>
      </c>
      <c r="N319" s="837">
        <v>0</v>
      </c>
      <c r="O319" s="837">
        <f t="shared" si="144"/>
        <v>0</v>
      </c>
      <c r="P319" s="837">
        <f t="shared" si="145"/>
        <v>0</v>
      </c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</row>
    <row r="320" spans="1:26" ht="19.5" hidden="1">
      <c r="A320" s="940"/>
      <c r="B320" s="833"/>
      <c r="C320" s="946"/>
      <c r="D320" s="833"/>
      <c r="E320" s="834" t="s">
        <v>37</v>
      </c>
      <c r="F320" s="833"/>
      <c r="G320" s="941"/>
      <c r="H320" s="165" t="s">
        <v>12</v>
      </c>
      <c r="I320" s="947"/>
      <c r="J320" s="947"/>
      <c r="K320" s="948"/>
      <c r="L320" s="837">
        <f ca="1">IFERROR(__xludf.DUMMYFUNCTION("IMPORTRANGE(""https://docs.google.com/spreadsheets/d/1MeEWN-I1oV_STSDYn1IFDPWt_1FKiwhDph83XaGc0o0/edit?usp=sharing"",""งบพรบ!EC28"")"),0)</f>
        <v>0</v>
      </c>
      <c r="M320" s="837">
        <f ca="1">IFERROR(__xludf.DUMMYFUNCTION("IMPORTRANGE(""https://docs.google.com/spreadsheets/d/1MeEWN-I1oV_STSDYn1IFDPWt_1FKiwhDph83XaGc0o0/edit?usp=sharing"",""งบพรบ!EH28"")"),0)</f>
        <v>0</v>
      </c>
      <c r="N320" s="837">
        <f ca="1">IFERROR(__xludf.DUMMYFUNCTION("IMPORTRANGE(""https://docs.google.com/spreadsheets/d/1MeEWN-I1oV_STSDYn1IFDPWt_1FKiwhDph83XaGc0o0/edit?usp=sharing"",""งบพรบ!EJ28"")"),0)</f>
        <v>0</v>
      </c>
      <c r="O320" s="837">
        <f t="shared" ca="1" si="144"/>
        <v>0</v>
      </c>
      <c r="P320" s="837">
        <f t="shared" ca="1" si="145"/>
        <v>0</v>
      </c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</row>
    <row r="321" spans="1:26" ht="18.75" hidden="1">
      <c r="A321" s="942"/>
      <c r="B321" s="827"/>
      <c r="C321" s="943"/>
      <c r="D321" s="828" t="s">
        <v>21</v>
      </c>
      <c r="E321" s="827"/>
      <c r="F321" s="827"/>
      <c r="G321" s="829"/>
      <c r="H321" s="168" t="s">
        <v>12</v>
      </c>
      <c r="I321" s="944"/>
      <c r="J321" s="944"/>
      <c r="K321" s="945"/>
      <c r="L321" s="831">
        <f t="shared" ref="L321:N321" ca="1" si="148">L322+L323</f>
        <v>0</v>
      </c>
      <c r="M321" s="831">
        <f t="shared" ca="1" si="148"/>
        <v>0</v>
      </c>
      <c r="N321" s="831">
        <f t="shared" ca="1" si="148"/>
        <v>0</v>
      </c>
      <c r="O321" s="831">
        <f t="shared" ca="1" si="144"/>
        <v>0</v>
      </c>
      <c r="P321" s="831">
        <f t="shared" ca="1" si="145"/>
        <v>0</v>
      </c>
      <c r="Q321" s="818"/>
      <c r="R321" s="818"/>
      <c r="S321" s="818"/>
      <c r="T321" s="818"/>
      <c r="U321" s="818"/>
      <c r="V321" s="818"/>
      <c r="W321" s="818"/>
      <c r="X321" s="818"/>
      <c r="Y321" s="818"/>
      <c r="Z321" s="818"/>
    </row>
    <row r="322" spans="1:26" ht="19.5" hidden="1">
      <c r="A322" s="940"/>
      <c r="B322" s="833"/>
      <c r="C322" s="946"/>
      <c r="D322" s="833"/>
      <c r="E322" s="834" t="s">
        <v>18</v>
      </c>
      <c r="F322" s="833"/>
      <c r="G322" s="941"/>
      <c r="H322" s="165" t="s">
        <v>12</v>
      </c>
      <c r="I322" s="947"/>
      <c r="J322" s="947"/>
      <c r="K322" s="948"/>
      <c r="L322" s="837">
        <v>0</v>
      </c>
      <c r="M322" s="837">
        <v>0</v>
      </c>
      <c r="N322" s="837">
        <v>0</v>
      </c>
      <c r="O322" s="837">
        <f t="shared" si="144"/>
        <v>0</v>
      </c>
      <c r="P322" s="837">
        <f t="shared" si="145"/>
        <v>0</v>
      </c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</row>
    <row r="323" spans="1:26" ht="19.5" hidden="1">
      <c r="A323" s="940"/>
      <c r="B323" s="833"/>
      <c r="C323" s="946"/>
      <c r="D323" s="833"/>
      <c r="E323" s="834" t="s">
        <v>19</v>
      </c>
      <c r="F323" s="833"/>
      <c r="G323" s="941"/>
      <c r="H323" s="169" t="s">
        <v>12</v>
      </c>
      <c r="I323" s="947"/>
      <c r="J323" s="947"/>
      <c r="K323" s="948"/>
      <c r="L323" s="837">
        <f ca="1">IFERROR(__xludf.DUMMYFUNCTION("IMPORTRANGE(""https://docs.google.com/spreadsheets/d/1MeEWN-I1oV_STSDYn1IFDPWt_1FKiwhDph83XaGc0o0/edit?usp=sharing"",""งบพรบ!EF28"")"),0)</f>
        <v>0</v>
      </c>
      <c r="M323" s="837">
        <f ca="1">IFERROR(__xludf.DUMMYFUNCTION("IMPORTRANGE(""https://docs.google.com/spreadsheets/d/1MeEWN-I1oV_STSDYn1IFDPWt_1FKiwhDph83XaGc0o0/edit?usp=sharing"",""งบพรบ!EI28"")"),0)</f>
        <v>0</v>
      </c>
      <c r="N323" s="837">
        <f ca="1">IFERROR(__xludf.DUMMYFUNCTION("IMPORTRANGE(""https://docs.google.com/spreadsheets/d/1MeEWN-I1oV_STSDYn1IFDPWt_1FKiwhDph83XaGc0o0/edit?usp=sharing"",""งบพรบ!EK28"")"),0)</f>
        <v>0</v>
      </c>
      <c r="O323" s="837">
        <f t="shared" ca="1" si="144"/>
        <v>0</v>
      </c>
      <c r="P323" s="837">
        <f t="shared" ca="1" si="145"/>
        <v>0</v>
      </c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</row>
    <row r="324" spans="1:26" ht="19.5" hidden="1">
      <c r="A324" s="949"/>
      <c r="B324" s="950"/>
      <c r="C324" s="946" t="s">
        <v>16</v>
      </c>
      <c r="D324" s="951" t="s">
        <v>38</v>
      </c>
      <c r="E324" s="952"/>
      <c r="F324" s="952"/>
      <c r="G324" s="953"/>
      <c r="H324" s="954"/>
      <c r="I324" s="944"/>
      <c r="J324" s="830"/>
      <c r="K324" s="831"/>
      <c r="L324" s="831"/>
      <c r="M324" s="831"/>
      <c r="N324" s="831"/>
      <c r="O324" s="945"/>
      <c r="P324" s="945"/>
    </row>
    <row r="325" spans="1:26" ht="18.75" hidden="1">
      <c r="A325" s="949"/>
      <c r="B325" s="950"/>
      <c r="C325" s="950"/>
      <c r="D325" s="955" t="s">
        <v>147</v>
      </c>
      <c r="E325" s="957"/>
      <c r="F325" s="956"/>
      <c r="G325" s="958"/>
      <c r="H325" s="590" t="s">
        <v>146</v>
      </c>
      <c r="I325" s="830">
        <f ca="1">IFERROR(__xludf.DUMMYFUNCTION("IMPORTRANGE(""https://docs.google.com/spreadsheets/d/1QqKyyYR6Q21VydFLVH3TRQUabQu_ym0Zz7PgGX0-kHA/edit?usp=sharing"",""แผน!EF28"")"),0)</f>
        <v>0</v>
      </c>
      <c r="J325" s="959">
        <v>0</v>
      </c>
      <c r="K325" s="831">
        <f ca="1">IF(I325&gt;0,J325*100/I325,0)</f>
        <v>0</v>
      </c>
      <c r="L325" s="831"/>
      <c r="M325" s="831"/>
      <c r="N325" s="831"/>
      <c r="O325" s="945"/>
      <c r="P325" s="945"/>
    </row>
    <row r="326" spans="1:26" ht="19.5">
      <c r="A326" s="1126" t="s">
        <v>148</v>
      </c>
      <c r="B326" s="1127"/>
      <c r="C326" s="1127"/>
      <c r="D326" s="1128"/>
      <c r="E326" s="1127"/>
      <c r="F326" s="1127"/>
      <c r="G326" s="1127"/>
      <c r="H326" s="1140"/>
      <c r="I326" s="1131"/>
      <c r="J326" s="1131"/>
      <c r="K326" s="1132"/>
      <c r="L326" s="1132"/>
      <c r="M326" s="1132"/>
      <c r="N326" s="1132"/>
      <c r="O326" s="1132"/>
      <c r="P326" s="1132"/>
    </row>
    <row r="327" spans="1:26" ht="19.5">
      <c r="A327" s="1133"/>
      <c r="B327" s="1134" t="s">
        <v>149</v>
      </c>
      <c r="C327" s="1143"/>
      <c r="D327" s="1135"/>
      <c r="E327" s="1135"/>
      <c r="F327" s="1135"/>
      <c r="G327" s="1136"/>
      <c r="H327" s="412" t="s">
        <v>35</v>
      </c>
      <c r="I327" s="1137">
        <f ca="1">IFERROR(__xludf.DUMMYFUNCTION("IMPORTRANGE(""https://docs.google.com/spreadsheets/d/1QqKyyYR6Q21VydFLVH3TRQUabQu_ym0Zz7PgGX0-kHA/edit?usp=sharing"",""แผน!EG28"")"),5600)</f>
        <v>5600</v>
      </c>
      <c r="J327" s="1137">
        <f ca="1">J338+J341+J342+J343</f>
        <v>3577</v>
      </c>
      <c r="K327" s="1138">
        <f ca="1">IF(I327&gt;0,J327*100/I327,0)</f>
        <v>63.875</v>
      </c>
      <c r="L327" s="1139"/>
      <c r="M327" s="1139"/>
      <c r="N327" s="1139"/>
      <c r="O327" s="1139"/>
      <c r="P327" s="1139"/>
    </row>
    <row r="328" spans="1:26" ht="19.5">
      <c r="A328" s="932"/>
      <c r="B328" s="933"/>
      <c r="C328" s="934" t="s">
        <v>16</v>
      </c>
      <c r="D328" s="935" t="s">
        <v>17</v>
      </c>
      <c r="E328" s="933"/>
      <c r="F328" s="933"/>
      <c r="G328" s="936"/>
      <c r="H328" s="152" t="s">
        <v>12</v>
      </c>
      <c r="I328" s="937"/>
      <c r="J328" s="937"/>
      <c r="K328" s="938"/>
      <c r="L328" s="939">
        <f t="shared" ref="L328:N328" ca="1" si="149">L329+L330</f>
        <v>182000</v>
      </c>
      <c r="M328" s="939">
        <f t="shared" ca="1" si="149"/>
        <v>139000</v>
      </c>
      <c r="N328" s="939">
        <f t="shared" ca="1" si="149"/>
        <v>58506.67</v>
      </c>
      <c r="O328" s="939">
        <f t="shared" ref="O328:O336" ca="1" si="150">IF(L328&gt;0,N328*100/L328,0)</f>
        <v>32.14652197802198</v>
      </c>
      <c r="P328" s="939">
        <f t="shared" ref="P328:P336" ca="1" si="151">IF(M328&gt;0,N328*100/M328,0)</f>
        <v>42.091129496402878</v>
      </c>
      <c r="Q328" s="818"/>
      <c r="R328" s="818"/>
      <c r="S328" s="818"/>
      <c r="T328" s="818"/>
      <c r="U328" s="818"/>
      <c r="V328" s="818"/>
      <c r="W328" s="818"/>
      <c r="X328" s="818"/>
      <c r="Y328" s="818"/>
      <c r="Z328" s="818"/>
    </row>
    <row r="329" spans="1:26" ht="18.75" hidden="1">
      <c r="A329" s="940"/>
      <c r="B329" s="833"/>
      <c r="C329" s="833"/>
      <c r="D329" s="833"/>
      <c r="E329" s="834" t="s">
        <v>18</v>
      </c>
      <c r="F329" s="833"/>
      <c r="G329" s="941"/>
      <c r="H329" s="158" t="s">
        <v>12</v>
      </c>
      <c r="I329" s="836"/>
      <c r="J329" s="836"/>
      <c r="K329" s="837"/>
      <c r="L329" s="837">
        <f t="shared" ref="L329:N330" si="152">L332+L335</f>
        <v>0</v>
      </c>
      <c r="M329" s="837">
        <f t="shared" si="152"/>
        <v>0</v>
      </c>
      <c r="N329" s="837">
        <f t="shared" si="152"/>
        <v>0</v>
      </c>
      <c r="O329" s="837">
        <f t="shared" si="150"/>
        <v>0</v>
      </c>
      <c r="P329" s="837">
        <f t="shared" si="151"/>
        <v>0</v>
      </c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</row>
    <row r="330" spans="1:26" ht="18.75" hidden="1">
      <c r="A330" s="940"/>
      <c r="B330" s="833"/>
      <c r="C330" s="833"/>
      <c r="D330" s="833"/>
      <c r="E330" s="834" t="s">
        <v>19</v>
      </c>
      <c r="F330" s="833"/>
      <c r="G330" s="941"/>
      <c r="H330" s="158" t="s">
        <v>12</v>
      </c>
      <c r="I330" s="836"/>
      <c r="J330" s="836"/>
      <c r="K330" s="837"/>
      <c r="L330" s="837">
        <f t="shared" ca="1" si="152"/>
        <v>182000</v>
      </c>
      <c r="M330" s="837">
        <f t="shared" ca="1" si="152"/>
        <v>139000</v>
      </c>
      <c r="N330" s="837">
        <f t="shared" ca="1" si="152"/>
        <v>58506.67</v>
      </c>
      <c r="O330" s="837">
        <f t="shared" ca="1" si="150"/>
        <v>32.14652197802198</v>
      </c>
      <c r="P330" s="837">
        <f t="shared" ca="1" si="151"/>
        <v>42.091129496402878</v>
      </c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</row>
    <row r="331" spans="1:26" ht="18.75">
      <c r="A331" s="942"/>
      <c r="B331" s="827"/>
      <c r="C331" s="943"/>
      <c r="D331" s="828" t="s">
        <v>20</v>
      </c>
      <c r="E331" s="827"/>
      <c r="F331" s="827"/>
      <c r="G331" s="829"/>
      <c r="H331" s="778" t="s">
        <v>12</v>
      </c>
      <c r="I331" s="944"/>
      <c r="J331" s="944"/>
      <c r="K331" s="945"/>
      <c r="L331" s="831">
        <f t="shared" ref="L331:N331" ca="1" si="153">L332+L333</f>
        <v>182000</v>
      </c>
      <c r="M331" s="831">
        <f t="shared" ca="1" si="153"/>
        <v>139000</v>
      </c>
      <c r="N331" s="831">
        <f t="shared" ca="1" si="153"/>
        <v>58506.67</v>
      </c>
      <c r="O331" s="831">
        <f t="shared" ca="1" si="150"/>
        <v>32.14652197802198</v>
      </c>
      <c r="P331" s="831">
        <f t="shared" ca="1" si="151"/>
        <v>42.091129496402878</v>
      </c>
      <c r="Q331" s="818"/>
      <c r="R331" s="818"/>
      <c r="S331" s="818"/>
      <c r="T331" s="818"/>
      <c r="U331" s="818"/>
      <c r="V331" s="818"/>
      <c r="W331" s="818"/>
      <c r="X331" s="818"/>
      <c r="Y331" s="818"/>
      <c r="Z331" s="818"/>
    </row>
    <row r="332" spans="1:26" ht="19.5" hidden="1">
      <c r="A332" s="940"/>
      <c r="B332" s="833"/>
      <c r="C332" s="946"/>
      <c r="D332" s="833"/>
      <c r="E332" s="834" t="s">
        <v>36</v>
      </c>
      <c r="F332" s="833"/>
      <c r="G332" s="941"/>
      <c r="H332" s="165" t="s">
        <v>12</v>
      </c>
      <c r="I332" s="947"/>
      <c r="J332" s="947"/>
      <c r="K332" s="948"/>
      <c r="L332" s="837">
        <v>0</v>
      </c>
      <c r="M332" s="837">
        <v>0</v>
      </c>
      <c r="N332" s="837">
        <v>0</v>
      </c>
      <c r="O332" s="837">
        <f t="shared" si="150"/>
        <v>0</v>
      </c>
      <c r="P332" s="837">
        <f t="shared" si="151"/>
        <v>0</v>
      </c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</row>
    <row r="333" spans="1:26" ht="19.5" hidden="1">
      <c r="A333" s="940"/>
      <c r="B333" s="833"/>
      <c r="C333" s="946"/>
      <c r="D333" s="833"/>
      <c r="E333" s="834" t="s">
        <v>37</v>
      </c>
      <c r="F333" s="833"/>
      <c r="G333" s="941"/>
      <c r="H333" s="165" t="s">
        <v>12</v>
      </c>
      <c r="I333" s="947"/>
      <c r="J333" s="947"/>
      <c r="K333" s="948"/>
      <c r="L333" s="837">
        <f ca="1">IFERROR(__xludf.DUMMYFUNCTION("IMPORTRANGE(""https://docs.google.com/spreadsheets/d/1MeEWN-I1oV_STSDYn1IFDPWt_1FKiwhDph83XaGc0o0/edit?usp=sharing"",""งบพรบ!EM28"")"),182000)</f>
        <v>182000</v>
      </c>
      <c r="M333" s="837">
        <f ca="1">IFERROR(__xludf.DUMMYFUNCTION("IMPORTRANGE(""https://docs.google.com/spreadsheets/d/1MeEWN-I1oV_STSDYn1IFDPWt_1FKiwhDph83XaGc0o0/edit?usp=sharing"",""งบพรบ!ER28"")"),139000)</f>
        <v>139000</v>
      </c>
      <c r="N333" s="837">
        <f ca="1">IFERROR(__xludf.DUMMYFUNCTION("IMPORTRANGE(""https://docs.google.com/spreadsheets/d/1MeEWN-I1oV_STSDYn1IFDPWt_1FKiwhDph83XaGc0o0/edit?usp=sharing"",""งบพรบ!ET28"")"),58506.67)</f>
        <v>58506.67</v>
      </c>
      <c r="O333" s="837">
        <f t="shared" ca="1" si="150"/>
        <v>32.14652197802198</v>
      </c>
      <c r="P333" s="837">
        <f t="shared" ca="1" si="151"/>
        <v>42.091129496402878</v>
      </c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</row>
    <row r="334" spans="1:26" ht="18.75">
      <c r="A334" s="942"/>
      <c r="B334" s="827"/>
      <c r="C334" s="943"/>
      <c r="D334" s="828" t="s">
        <v>21</v>
      </c>
      <c r="E334" s="827"/>
      <c r="F334" s="827"/>
      <c r="G334" s="829"/>
      <c r="H334" s="168" t="s">
        <v>12</v>
      </c>
      <c r="I334" s="944"/>
      <c r="J334" s="944"/>
      <c r="K334" s="945"/>
      <c r="L334" s="831">
        <f t="shared" ref="L334:N334" ca="1" si="154">L335+L336</f>
        <v>0</v>
      </c>
      <c r="M334" s="831">
        <f t="shared" ca="1" si="154"/>
        <v>0</v>
      </c>
      <c r="N334" s="831">
        <f t="shared" ca="1" si="154"/>
        <v>0</v>
      </c>
      <c r="O334" s="831">
        <f t="shared" ca="1" si="150"/>
        <v>0</v>
      </c>
      <c r="P334" s="831">
        <f t="shared" ca="1" si="151"/>
        <v>0</v>
      </c>
      <c r="Q334" s="818"/>
      <c r="R334" s="818"/>
      <c r="S334" s="818"/>
      <c r="T334" s="818"/>
      <c r="U334" s="818"/>
      <c r="V334" s="818"/>
      <c r="W334" s="818"/>
      <c r="X334" s="818"/>
      <c r="Y334" s="818"/>
      <c r="Z334" s="818"/>
    </row>
    <row r="335" spans="1:26" ht="19.5" hidden="1">
      <c r="A335" s="940"/>
      <c r="B335" s="833"/>
      <c r="C335" s="946"/>
      <c r="D335" s="833"/>
      <c r="E335" s="834" t="s">
        <v>18</v>
      </c>
      <c r="F335" s="833"/>
      <c r="G335" s="941"/>
      <c r="H335" s="165" t="s">
        <v>12</v>
      </c>
      <c r="I335" s="947"/>
      <c r="J335" s="947"/>
      <c r="K335" s="948"/>
      <c r="L335" s="837">
        <v>0</v>
      </c>
      <c r="M335" s="837">
        <v>0</v>
      </c>
      <c r="N335" s="837">
        <v>0</v>
      </c>
      <c r="O335" s="837">
        <f t="shared" si="150"/>
        <v>0</v>
      </c>
      <c r="P335" s="837">
        <f t="shared" si="151"/>
        <v>0</v>
      </c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</row>
    <row r="336" spans="1:26" ht="19.5" hidden="1">
      <c r="A336" s="940"/>
      <c r="B336" s="833"/>
      <c r="C336" s="946"/>
      <c r="D336" s="833"/>
      <c r="E336" s="834" t="s">
        <v>19</v>
      </c>
      <c r="F336" s="833"/>
      <c r="G336" s="941"/>
      <c r="H336" s="169" t="s">
        <v>12</v>
      </c>
      <c r="I336" s="947"/>
      <c r="J336" s="947"/>
      <c r="K336" s="948"/>
      <c r="L336" s="837">
        <f ca="1">IFERROR(__xludf.DUMMYFUNCTION("IMPORTRANGE(""https://docs.google.com/spreadsheets/d/1MeEWN-I1oV_STSDYn1IFDPWt_1FKiwhDph83XaGc0o0/edit?usp=sharing"",""งบพรบ!EP28"")"),0)</f>
        <v>0</v>
      </c>
      <c r="M336" s="837">
        <f ca="1">IFERROR(__xludf.DUMMYFUNCTION("IMPORTRANGE(""https://docs.google.com/spreadsheets/d/1MeEWN-I1oV_STSDYn1IFDPWt_1FKiwhDph83XaGc0o0/edit?usp=sharing"",""งบพรบ!ES28"")"),0)</f>
        <v>0</v>
      </c>
      <c r="N336" s="837">
        <f ca="1">IFERROR(__xludf.DUMMYFUNCTION("IMPORTRANGE(""https://docs.google.com/spreadsheets/d/1MeEWN-I1oV_STSDYn1IFDPWt_1FKiwhDph83XaGc0o0/edit?usp=sharing"",""งบพรบ!EU28"")"),0)</f>
        <v>0</v>
      </c>
      <c r="O336" s="837">
        <f t="shared" ca="1" si="150"/>
        <v>0</v>
      </c>
      <c r="P336" s="837">
        <f t="shared" ca="1" si="151"/>
        <v>0</v>
      </c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</row>
    <row r="337" spans="1:26" ht="19.5">
      <c r="A337" s="949"/>
      <c r="B337" s="950"/>
      <c r="C337" s="946" t="s">
        <v>16</v>
      </c>
      <c r="D337" s="951" t="s">
        <v>38</v>
      </c>
      <c r="E337" s="952"/>
      <c r="F337" s="952"/>
      <c r="G337" s="953"/>
      <c r="H337" s="954"/>
      <c r="I337" s="944"/>
      <c r="J337" s="830"/>
      <c r="K337" s="831"/>
      <c r="L337" s="831"/>
      <c r="M337" s="831"/>
      <c r="N337" s="831"/>
      <c r="O337" s="945"/>
      <c r="P337" s="945"/>
    </row>
    <row r="338" spans="1:26" ht="18.75">
      <c r="A338" s="1032"/>
      <c r="B338" s="827"/>
      <c r="C338" s="1030"/>
      <c r="D338" s="956" t="s">
        <v>150</v>
      </c>
      <c r="E338" s="950"/>
      <c r="F338" s="827"/>
      <c r="G338" s="829"/>
      <c r="H338" s="277" t="s">
        <v>35</v>
      </c>
      <c r="I338" s="830">
        <f ca="1">IFERROR(__xludf.DUMMYFUNCTION("IMPORTRANGE(""https://docs.google.com/spreadsheets/d/1QqKyyYR6Q21VydFLVH3TRQUabQu_ym0Zz7PgGX0-kHA/edit?usp=sharing"",""แผน!EG28"")"),5600)</f>
        <v>5600</v>
      </c>
      <c r="J338" s="830">
        <f ca="1">IFERROR(__xludf.DUMMYFUNCTION("IMPORTRANGE(""https://docs.google.com/spreadsheets/d/1kVcqe37tkHyjCSG3S0O1AXqVkqjo8mSIZil3BcpIysc/edit?usp=sharing"",""ศูนย์!D28"")"),3377)</f>
        <v>3377</v>
      </c>
      <c r="K338" s="831">
        <f ca="1">IF(I338&gt;0,J338*100/I338,0)</f>
        <v>60.303571428571431</v>
      </c>
      <c r="L338" s="831"/>
      <c r="M338" s="831"/>
      <c r="N338" s="831"/>
      <c r="O338" s="831"/>
      <c r="P338" s="831"/>
    </row>
    <row r="339" spans="1:26" ht="18.75">
      <c r="A339" s="1032"/>
      <c r="B339" s="827"/>
      <c r="C339" s="1030"/>
      <c r="D339" s="956" t="s">
        <v>151</v>
      </c>
      <c r="E339" s="950"/>
      <c r="F339" s="827"/>
      <c r="G339" s="829"/>
      <c r="H339" s="277"/>
      <c r="I339" s="830"/>
      <c r="J339" s="830"/>
      <c r="K339" s="831"/>
      <c r="L339" s="831"/>
      <c r="M339" s="831"/>
      <c r="N339" s="831"/>
      <c r="O339" s="831"/>
      <c r="P339" s="831"/>
    </row>
    <row r="340" spans="1:26" ht="18.75">
      <c r="A340" s="1032"/>
      <c r="B340" s="827"/>
      <c r="C340" s="1030"/>
      <c r="D340" s="957"/>
      <c r="E340" s="956" t="s">
        <v>152</v>
      </c>
      <c r="F340" s="827"/>
      <c r="G340" s="829"/>
      <c r="H340" s="277" t="s">
        <v>153</v>
      </c>
      <c r="I340" s="830">
        <f ca="1">IFERROR(__xludf.DUMMYFUNCTION("IMPORTRANGE(""https://docs.google.com/spreadsheets/d/1QqKyyYR6Q21VydFLVH3TRQUabQu_ym0Zz7PgGX0-kHA/edit?usp=sharing"",""แผน!EH28"")"),7)</f>
        <v>7</v>
      </c>
      <c r="J340" s="830">
        <f ca="1">IFERROR(__xludf.DUMMYFUNCTION("IMPORTRANGE(""https://docs.google.com/spreadsheets/d/1kVcqe37tkHyjCSG3S0O1AXqVkqjo8mSIZil3BcpIysc/edit?usp=sharing"",""ศูนย์!E28"")"),5)</f>
        <v>5</v>
      </c>
      <c r="K340" s="831">
        <f ca="1">IF(I340&gt;0,J340*100/I340,0)</f>
        <v>71.428571428571431</v>
      </c>
      <c r="L340" s="831"/>
      <c r="M340" s="831"/>
      <c r="N340" s="831"/>
      <c r="O340" s="831"/>
      <c r="P340" s="831"/>
    </row>
    <row r="341" spans="1:26" ht="18.75">
      <c r="A341" s="1032"/>
      <c r="B341" s="827"/>
      <c r="C341" s="1030"/>
      <c r="D341" s="957"/>
      <c r="E341" s="956" t="s">
        <v>154</v>
      </c>
      <c r="F341" s="827"/>
      <c r="G341" s="829"/>
      <c r="H341" s="277" t="s">
        <v>35</v>
      </c>
      <c r="I341" s="830"/>
      <c r="J341" s="830">
        <f ca="1">IFERROR(__xludf.DUMMYFUNCTION("IMPORTRANGE(""https://docs.google.com/spreadsheets/d/1kVcqe37tkHyjCSG3S0O1AXqVkqjo8mSIZil3BcpIysc/edit?usp=sharing"",""ศูนย์!F28"")"),195)</f>
        <v>195</v>
      </c>
      <c r="K341" s="831"/>
      <c r="L341" s="831"/>
      <c r="M341" s="831"/>
      <c r="N341" s="831"/>
      <c r="O341" s="831"/>
      <c r="P341" s="831"/>
    </row>
    <row r="342" spans="1:26" ht="18.75">
      <c r="A342" s="1032"/>
      <c r="B342" s="827"/>
      <c r="C342" s="1030"/>
      <c r="D342" s="956" t="s">
        <v>155</v>
      </c>
      <c r="E342" s="957"/>
      <c r="F342" s="957"/>
      <c r="G342" s="829"/>
      <c r="H342" s="277" t="s">
        <v>35</v>
      </c>
      <c r="I342" s="830"/>
      <c r="J342" s="830">
        <f ca="1">IFERROR(__xludf.DUMMYFUNCTION("IMPORTRANGE(""https://docs.google.com/spreadsheets/d/1kVcqe37tkHyjCSG3S0O1AXqVkqjo8mSIZil3BcpIysc/edit?usp=sharing"",""ศูนย์!G28"")"),5)</f>
        <v>5</v>
      </c>
      <c r="K342" s="831"/>
      <c r="L342" s="831"/>
      <c r="M342" s="831"/>
      <c r="N342" s="831"/>
      <c r="O342" s="831"/>
      <c r="P342" s="831"/>
    </row>
    <row r="343" spans="1:26" ht="18.75">
      <c r="A343" s="1032"/>
      <c r="B343" s="827"/>
      <c r="C343" s="1030"/>
      <c r="D343" s="956" t="s">
        <v>156</v>
      </c>
      <c r="E343" s="957"/>
      <c r="F343" s="957"/>
      <c r="G343" s="829"/>
      <c r="H343" s="277" t="s">
        <v>35</v>
      </c>
      <c r="I343" s="830"/>
      <c r="J343" s="830">
        <f ca="1">IFERROR(__xludf.DUMMYFUNCTION("IMPORTRANGE(""https://docs.google.com/spreadsheets/d/1kVcqe37tkHyjCSG3S0O1AXqVkqjo8mSIZil3BcpIysc/edit?usp=sharing"",""ศูนย์!H28"")"),0)</f>
        <v>0</v>
      </c>
      <c r="K343" s="831"/>
      <c r="L343" s="831"/>
      <c r="M343" s="831"/>
      <c r="N343" s="831"/>
      <c r="O343" s="831"/>
      <c r="P343" s="831"/>
    </row>
    <row r="344" spans="1:26" ht="19.5">
      <c r="A344" s="1133"/>
      <c r="B344" s="1134" t="s">
        <v>157</v>
      </c>
      <c r="C344" s="1143"/>
      <c r="D344" s="1135"/>
      <c r="E344" s="1135"/>
      <c r="F344" s="1135"/>
      <c r="G344" s="1136"/>
      <c r="H344" s="412"/>
      <c r="I344" s="1144"/>
      <c r="J344" s="1144"/>
      <c r="K344" s="1139"/>
      <c r="L344" s="1139"/>
      <c r="M344" s="1139"/>
      <c r="N344" s="1139"/>
      <c r="O344" s="1139"/>
      <c r="P344" s="1139"/>
    </row>
    <row r="345" spans="1:26" ht="19.5">
      <c r="A345" s="932"/>
      <c r="B345" s="933"/>
      <c r="C345" s="934" t="s">
        <v>16</v>
      </c>
      <c r="D345" s="935" t="s">
        <v>17</v>
      </c>
      <c r="E345" s="933"/>
      <c r="F345" s="933"/>
      <c r="G345" s="936"/>
      <c r="H345" s="152" t="s">
        <v>12</v>
      </c>
      <c r="I345" s="937"/>
      <c r="J345" s="937"/>
      <c r="K345" s="938"/>
      <c r="L345" s="939">
        <f t="shared" ref="L345:N345" ca="1" si="155">L346+L347</f>
        <v>593930</v>
      </c>
      <c r="M345" s="939">
        <f t="shared" ca="1" si="155"/>
        <v>549510</v>
      </c>
      <c r="N345" s="939">
        <f t="shared" ca="1" si="155"/>
        <v>294560</v>
      </c>
      <c r="O345" s="939">
        <f t="shared" ref="O345:O353" ca="1" si="156">IF(L345&gt;0,N345*100/L345,0)</f>
        <v>49.595070126109135</v>
      </c>
      <c r="P345" s="939">
        <f t="shared" ref="P345:P353" ca="1" si="157">IF(M345&gt;0,N345*100/M345,0)</f>
        <v>53.604120034212301</v>
      </c>
      <c r="Q345" s="818"/>
      <c r="R345" s="818"/>
      <c r="S345" s="818"/>
      <c r="T345" s="818"/>
      <c r="U345" s="818"/>
      <c r="V345" s="818"/>
      <c r="W345" s="818"/>
      <c r="X345" s="818"/>
      <c r="Y345" s="818"/>
      <c r="Z345" s="818"/>
    </row>
    <row r="346" spans="1:26" ht="18.75" hidden="1">
      <c r="A346" s="940"/>
      <c r="B346" s="833"/>
      <c r="C346" s="833"/>
      <c r="D346" s="833"/>
      <c r="E346" s="834" t="s">
        <v>18</v>
      </c>
      <c r="F346" s="833"/>
      <c r="G346" s="941"/>
      <c r="H346" s="158" t="s">
        <v>12</v>
      </c>
      <c r="I346" s="836"/>
      <c r="J346" s="836"/>
      <c r="K346" s="837"/>
      <c r="L346" s="837">
        <f t="shared" ref="L346:N347" si="158">L349+L352</f>
        <v>0</v>
      </c>
      <c r="M346" s="837">
        <f t="shared" si="158"/>
        <v>0</v>
      </c>
      <c r="N346" s="837">
        <f t="shared" si="158"/>
        <v>0</v>
      </c>
      <c r="O346" s="837">
        <f t="shared" si="156"/>
        <v>0</v>
      </c>
      <c r="P346" s="837">
        <f t="shared" si="157"/>
        <v>0</v>
      </c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</row>
    <row r="347" spans="1:26" ht="18.75" hidden="1">
      <c r="A347" s="940"/>
      <c r="B347" s="833"/>
      <c r="C347" s="833"/>
      <c r="D347" s="833"/>
      <c r="E347" s="834" t="s">
        <v>19</v>
      </c>
      <c r="F347" s="833"/>
      <c r="G347" s="941"/>
      <c r="H347" s="158" t="s">
        <v>12</v>
      </c>
      <c r="I347" s="836"/>
      <c r="J347" s="836"/>
      <c r="K347" s="837"/>
      <c r="L347" s="837">
        <f t="shared" ca="1" si="158"/>
        <v>593930</v>
      </c>
      <c r="M347" s="837">
        <f t="shared" ca="1" si="158"/>
        <v>549510</v>
      </c>
      <c r="N347" s="837">
        <f t="shared" ca="1" si="158"/>
        <v>294560</v>
      </c>
      <c r="O347" s="837">
        <f t="shared" ca="1" si="156"/>
        <v>49.595070126109135</v>
      </c>
      <c r="P347" s="837">
        <f t="shared" ca="1" si="157"/>
        <v>53.604120034212301</v>
      </c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</row>
    <row r="348" spans="1:26" ht="18.75">
      <c r="A348" s="942"/>
      <c r="B348" s="827"/>
      <c r="C348" s="943"/>
      <c r="D348" s="828" t="s">
        <v>20</v>
      </c>
      <c r="E348" s="827"/>
      <c r="F348" s="827"/>
      <c r="G348" s="829"/>
      <c r="H348" s="778" t="s">
        <v>12</v>
      </c>
      <c r="I348" s="944"/>
      <c r="J348" s="944"/>
      <c r="K348" s="945"/>
      <c r="L348" s="831">
        <f t="shared" ref="L348:N348" ca="1" si="159">L349+L350</f>
        <v>496130</v>
      </c>
      <c r="M348" s="831">
        <f t="shared" ca="1" si="159"/>
        <v>451710</v>
      </c>
      <c r="N348" s="831">
        <f t="shared" ca="1" si="159"/>
        <v>196760</v>
      </c>
      <c r="O348" s="831">
        <f t="shared" ca="1" si="156"/>
        <v>39.658960353133253</v>
      </c>
      <c r="P348" s="831">
        <f t="shared" ca="1" si="157"/>
        <v>43.558920546368242</v>
      </c>
      <c r="Q348" s="818"/>
      <c r="R348" s="818"/>
      <c r="S348" s="818"/>
      <c r="T348" s="818"/>
      <c r="U348" s="818"/>
      <c r="V348" s="818"/>
      <c r="W348" s="818"/>
      <c r="X348" s="818"/>
      <c r="Y348" s="818"/>
      <c r="Z348" s="818"/>
    </row>
    <row r="349" spans="1:26" ht="19.5" hidden="1">
      <c r="A349" s="940"/>
      <c r="B349" s="833"/>
      <c r="C349" s="946"/>
      <c r="D349" s="833"/>
      <c r="E349" s="834" t="s">
        <v>36</v>
      </c>
      <c r="F349" s="833"/>
      <c r="G349" s="941"/>
      <c r="H349" s="165" t="s">
        <v>12</v>
      </c>
      <c r="I349" s="947"/>
      <c r="J349" s="947"/>
      <c r="K349" s="948"/>
      <c r="L349" s="837">
        <v>0</v>
      </c>
      <c r="M349" s="837">
        <v>0</v>
      </c>
      <c r="N349" s="837">
        <v>0</v>
      </c>
      <c r="O349" s="837">
        <f t="shared" si="156"/>
        <v>0</v>
      </c>
      <c r="P349" s="837">
        <f t="shared" si="157"/>
        <v>0</v>
      </c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</row>
    <row r="350" spans="1:26" ht="19.5" hidden="1">
      <c r="A350" s="940"/>
      <c r="B350" s="833"/>
      <c r="C350" s="946"/>
      <c r="D350" s="833"/>
      <c r="E350" s="834" t="s">
        <v>37</v>
      </c>
      <c r="F350" s="833"/>
      <c r="G350" s="941"/>
      <c r="H350" s="165" t="s">
        <v>12</v>
      </c>
      <c r="I350" s="947"/>
      <c r="J350" s="947"/>
      <c r="K350" s="948"/>
      <c r="L350" s="837">
        <f ca="1">IFERROR(__xludf.DUMMYFUNCTION("IMPORTRANGE(""https://docs.google.com/spreadsheets/d/1MeEWN-I1oV_STSDYn1IFDPWt_1FKiwhDph83XaGc0o0/edit?usp=sharing"",""งบพรบ!EW28"")"),496130)</f>
        <v>496130</v>
      </c>
      <c r="M350" s="837">
        <f ca="1">IFERROR(__xludf.DUMMYFUNCTION("IMPORTRANGE(""https://docs.google.com/spreadsheets/d/1MeEWN-I1oV_STSDYn1IFDPWt_1FKiwhDph83XaGc0o0/edit?usp=sharing"",""งบพรบ!FB28"")"),451710)</f>
        <v>451710</v>
      </c>
      <c r="N350" s="837">
        <f ca="1">IFERROR(__xludf.DUMMYFUNCTION("IMPORTRANGE(""https://docs.google.com/spreadsheets/d/1MeEWN-I1oV_STSDYn1IFDPWt_1FKiwhDph83XaGc0o0/edit?usp=sharing"",""งบพรบ!FD28"")"),196760)</f>
        <v>196760</v>
      </c>
      <c r="O350" s="837">
        <f t="shared" ca="1" si="156"/>
        <v>39.658960353133253</v>
      </c>
      <c r="P350" s="837">
        <f t="shared" ca="1" si="157"/>
        <v>43.558920546368242</v>
      </c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</row>
    <row r="351" spans="1:26" ht="18.75">
      <c r="A351" s="942"/>
      <c r="B351" s="827"/>
      <c r="C351" s="943"/>
      <c r="D351" s="828" t="s">
        <v>21</v>
      </c>
      <c r="E351" s="827"/>
      <c r="F351" s="827"/>
      <c r="G351" s="829"/>
      <c r="H351" s="168" t="s">
        <v>12</v>
      </c>
      <c r="I351" s="944"/>
      <c r="J351" s="944"/>
      <c r="K351" s="945"/>
      <c r="L351" s="831">
        <f t="shared" ref="L351:N351" ca="1" si="160">L352+L353</f>
        <v>97800</v>
      </c>
      <c r="M351" s="831">
        <f t="shared" ca="1" si="160"/>
        <v>97800</v>
      </c>
      <c r="N351" s="831">
        <f t="shared" ca="1" si="160"/>
        <v>97800</v>
      </c>
      <c r="O351" s="831">
        <f t="shared" ca="1" si="156"/>
        <v>100</v>
      </c>
      <c r="P351" s="831">
        <f t="shared" ca="1" si="157"/>
        <v>100</v>
      </c>
      <c r="Q351" s="818"/>
      <c r="R351" s="818"/>
      <c r="S351" s="818"/>
      <c r="T351" s="818"/>
      <c r="U351" s="818"/>
      <c r="V351" s="818"/>
      <c r="W351" s="818"/>
      <c r="X351" s="818"/>
      <c r="Y351" s="818"/>
      <c r="Z351" s="818"/>
    </row>
    <row r="352" spans="1:26" ht="19.5" hidden="1">
      <c r="A352" s="940"/>
      <c r="B352" s="833"/>
      <c r="C352" s="946"/>
      <c r="D352" s="833"/>
      <c r="E352" s="834" t="s">
        <v>18</v>
      </c>
      <c r="F352" s="833"/>
      <c r="G352" s="941"/>
      <c r="H352" s="165" t="s">
        <v>12</v>
      </c>
      <c r="I352" s="947"/>
      <c r="J352" s="947"/>
      <c r="K352" s="948"/>
      <c r="L352" s="837">
        <v>0</v>
      </c>
      <c r="M352" s="837">
        <v>0</v>
      </c>
      <c r="N352" s="837">
        <v>0</v>
      </c>
      <c r="O352" s="837">
        <f t="shared" si="156"/>
        <v>0</v>
      </c>
      <c r="P352" s="837">
        <f t="shared" si="157"/>
        <v>0</v>
      </c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</row>
    <row r="353" spans="1:26" ht="19.5" hidden="1">
      <c r="A353" s="940"/>
      <c r="B353" s="833"/>
      <c r="C353" s="946"/>
      <c r="D353" s="833"/>
      <c r="E353" s="834" t="s">
        <v>19</v>
      </c>
      <c r="F353" s="833"/>
      <c r="G353" s="941"/>
      <c r="H353" s="169" t="s">
        <v>12</v>
      </c>
      <c r="I353" s="947"/>
      <c r="J353" s="947"/>
      <c r="K353" s="948"/>
      <c r="L353" s="837">
        <f ca="1">IFERROR(__xludf.DUMMYFUNCTION("IMPORTRANGE(""https://docs.google.com/spreadsheets/d/1MeEWN-I1oV_STSDYn1IFDPWt_1FKiwhDph83XaGc0o0/edit?usp=sharing"",""งบพรบ!EZ28"")"),97800)</f>
        <v>97800</v>
      </c>
      <c r="M353" s="837">
        <f ca="1">IFERROR(__xludf.DUMMYFUNCTION("IMPORTRANGE(""https://docs.google.com/spreadsheets/d/1MeEWN-I1oV_STSDYn1IFDPWt_1FKiwhDph83XaGc0o0/edit?usp=sharing"",""งบพรบ!FC28"")"),97800)</f>
        <v>97800</v>
      </c>
      <c r="N353" s="837">
        <f ca="1">IFERROR(__xludf.DUMMYFUNCTION("IMPORTRANGE(""https://docs.google.com/spreadsheets/d/1MeEWN-I1oV_STSDYn1IFDPWt_1FKiwhDph83XaGc0o0/edit?usp=sharing"",""งบพรบ!FE28"")"),97800)</f>
        <v>97800</v>
      </c>
      <c r="O353" s="837">
        <f t="shared" ca="1" si="156"/>
        <v>100</v>
      </c>
      <c r="P353" s="837">
        <f t="shared" ca="1" si="157"/>
        <v>100</v>
      </c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</row>
    <row r="354" spans="1:26" ht="19.5">
      <c r="A354" s="1011"/>
      <c r="B354" s="1018"/>
      <c r="C354" s="1012"/>
      <c r="D354" s="1145" t="s">
        <v>158</v>
      </c>
      <c r="E354" s="1012"/>
      <c r="F354" s="1012"/>
      <c r="G354" s="1014"/>
      <c r="H354" s="1146"/>
      <c r="I354" s="1015"/>
      <c r="J354" s="1015"/>
      <c r="K354" s="1016"/>
      <c r="L354" s="1016"/>
      <c r="M354" s="1016"/>
      <c r="N354" s="1016"/>
      <c r="O354" s="1016"/>
      <c r="P354" s="1016"/>
    </row>
    <row r="355" spans="1:26" ht="19.5">
      <c r="A355" s="1147"/>
      <c r="B355" s="1148"/>
      <c r="C355" s="1149"/>
      <c r="D355" s="1150" t="s">
        <v>159</v>
      </c>
      <c r="E355" s="1151"/>
      <c r="F355" s="1151"/>
      <c r="G355" s="1152"/>
      <c r="H355" s="431" t="s">
        <v>35</v>
      </c>
      <c r="I355" s="1153">
        <f ca="1">IFERROR(__xludf.DUMMYFUNCTION("IMPORTRANGE(""https://docs.google.com/spreadsheets/d/1QqKyyYR6Q21VydFLVH3TRQUabQu_ym0Zz7PgGX0-kHA/edit?usp=sharing"",""แผน!EP28"")"),190)</f>
        <v>190</v>
      </c>
      <c r="J355" s="1153">
        <f ca="1">J362</f>
        <v>0</v>
      </c>
      <c r="K355" s="1154">
        <f ca="1">IF(I355&gt;0,J355*100/I355,0)</f>
        <v>0</v>
      </c>
      <c r="L355" s="1155"/>
      <c r="M355" s="1155"/>
      <c r="N355" s="1155"/>
      <c r="O355" s="1155"/>
      <c r="P355" s="1155"/>
    </row>
    <row r="356" spans="1:26" ht="19.5">
      <c r="A356" s="1147"/>
      <c r="B356" s="1148"/>
      <c r="C356" s="1149"/>
      <c r="D356" s="1156" t="s">
        <v>160</v>
      </c>
      <c r="E356" s="1151"/>
      <c r="F356" s="1151"/>
      <c r="G356" s="1152"/>
      <c r="H356" s="1157"/>
      <c r="I356" s="1158"/>
      <c r="J356" s="1158"/>
      <c r="K356" s="1155"/>
      <c r="L356" s="1155"/>
      <c r="M356" s="1155"/>
      <c r="N356" s="1155"/>
      <c r="O356" s="1155"/>
      <c r="P356" s="1155"/>
    </row>
    <row r="357" spans="1:26" ht="19.5">
      <c r="A357" s="949"/>
      <c r="B357" s="950"/>
      <c r="C357" s="946" t="s">
        <v>16</v>
      </c>
      <c r="D357" s="951" t="s">
        <v>38</v>
      </c>
      <c r="E357" s="952"/>
      <c r="F357" s="952"/>
      <c r="G357" s="953"/>
      <c r="H357" s="954"/>
      <c r="I357" s="830"/>
      <c r="J357" s="830"/>
      <c r="K357" s="831"/>
      <c r="L357" s="945"/>
      <c r="M357" s="945"/>
      <c r="N357" s="945"/>
      <c r="O357" s="945"/>
      <c r="P357" s="945"/>
    </row>
    <row r="358" spans="1:26" ht="18.75">
      <c r="A358" s="949"/>
      <c r="B358" s="957"/>
      <c r="C358" s="950"/>
      <c r="D358" s="957"/>
      <c r="E358" s="955" t="s">
        <v>161</v>
      </c>
      <c r="F358" s="957"/>
      <c r="G358" s="958"/>
      <c r="H358" s="777" t="s">
        <v>35</v>
      </c>
      <c r="I358" s="830">
        <v>0</v>
      </c>
      <c r="J358" s="830">
        <f ca="1">IFERROR(__xludf.DUMMYFUNCTION("IMPORTRANGE(""https://docs.google.com/spreadsheets/d/1XWAQStnk-4SwqDmLtmXYiTMKHgktTP8We1SCoS47DrQ/edit?usp=sharing"",""จัดที่ดิน!W28"")"),146)</f>
        <v>146</v>
      </c>
      <c r="K358" s="831">
        <f t="shared" ref="K358:K365" si="161">IF(I358&gt;0,J358*100/I358,0)</f>
        <v>0</v>
      </c>
      <c r="L358" s="945"/>
      <c r="M358" s="945"/>
      <c r="N358" s="945"/>
      <c r="O358" s="945"/>
      <c r="P358" s="945"/>
    </row>
    <row r="359" spans="1:26" ht="18.75">
      <c r="A359" s="949"/>
      <c r="B359" s="957"/>
      <c r="C359" s="950"/>
      <c r="D359" s="957"/>
      <c r="E359" s="957"/>
      <c r="F359" s="957"/>
      <c r="G359" s="958"/>
      <c r="H359" s="777" t="s">
        <v>46</v>
      </c>
      <c r="I359" s="830">
        <f ca="1">IFERROR(__xludf.DUMMYFUNCTION("IMPORTRANGE(""https://docs.google.com/spreadsheets/d/1QqKyyYR6Q21VydFLVH3TRQUabQu_ym0Zz7PgGX0-kHA/edit?usp=sharing"",""แผน!EO28"")"),1800)</f>
        <v>1800</v>
      </c>
      <c r="J359" s="830">
        <f ca="1">IFERROR(__xludf.DUMMYFUNCTION("IMPORTRANGE(""https://docs.google.com/spreadsheets/d/1XWAQStnk-4SwqDmLtmXYiTMKHgktTP8We1SCoS47DrQ/edit?usp=sharing"",""จัดที่ดิน!X28"")"),1209.56)</f>
        <v>1209.56</v>
      </c>
      <c r="K359" s="831">
        <f t="shared" ca="1" si="161"/>
        <v>67.197777777777773</v>
      </c>
      <c r="L359" s="945"/>
      <c r="M359" s="945"/>
      <c r="N359" s="945"/>
      <c r="O359" s="945"/>
      <c r="P359" s="945"/>
    </row>
    <row r="360" spans="1:26" ht="18.75">
      <c r="A360" s="949"/>
      <c r="B360" s="957"/>
      <c r="C360" s="950"/>
      <c r="D360" s="957"/>
      <c r="E360" s="955" t="s">
        <v>162</v>
      </c>
      <c r="F360" s="957"/>
      <c r="G360" s="958"/>
      <c r="H360" s="730" t="s">
        <v>35</v>
      </c>
      <c r="I360" s="830">
        <f ca="1">IFERROR(__xludf.DUMMYFUNCTION("IMPORTRANGE(""https://docs.google.com/spreadsheets/d/1QqKyyYR6Q21VydFLVH3TRQUabQu_ym0Zz7PgGX0-kHA/edit?usp=sharing"",""แผน!EP28"")"),190)</f>
        <v>190</v>
      </c>
      <c r="J360" s="830">
        <f ca="1">IFERROR(__xludf.DUMMYFUNCTION("IMPORTRANGE(""https://docs.google.com/spreadsheets/d/1XWAQStnk-4SwqDmLtmXYiTMKHgktTP8We1SCoS47DrQ/edit?usp=sharing"",""จัดที่ดิน!Y28"")"),116)</f>
        <v>116</v>
      </c>
      <c r="K360" s="831">
        <f t="shared" ca="1" si="161"/>
        <v>61.05263157894737</v>
      </c>
      <c r="L360" s="945"/>
      <c r="M360" s="945"/>
      <c r="N360" s="945"/>
      <c r="O360" s="945"/>
      <c r="P360" s="945"/>
    </row>
    <row r="361" spans="1:26" ht="18.75">
      <c r="A361" s="949"/>
      <c r="B361" s="957"/>
      <c r="C361" s="950"/>
      <c r="D361" s="957"/>
      <c r="E361" s="957"/>
      <c r="F361" s="957"/>
      <c r="G361" s="958"/>
      <c r="H361" s="730" t="s">
        <v>46</v>
      </c>
      <c r="I361" s="830">
        <v>0</v>
      </c>
      <c r="J361" s="830">
        <f ca="1">IFERROR(__xludf.DUMMYFUNCTION("IMPORTRANGE(""https://docs.google.com/spreadsheets/d/1XWAQStnk-4SwqDmLtmXYiTMKHgktTP8We1SCoS47DrQ/edit?usp=sharing"",""จัดที่ดิน!Z28"")"),896.62)</f>
        <v>896.62</v>
      </c>
      <c r="K361" s="831">
        <f t="shared" si="161"/>
        <v>0</v>
      </c>
      <c r="L361" s="945"/>
      <c r="M361" s="945"/>
      <c r="N361" s="945"/>
      <c r="O361" s="945"/>
      <c r="P361" s="945"/>
    </row>
    <row r="362" spans="1:26" ht="18.75">
      <c r="A362" s="949"/>
      <c r="B362" s="957"/>
      <c r="C362" s="950"/>
      <c r="D362" s="957"/>
      <c r="E362" s="955" t="s">
        <v>163</v>
      </c>
      <c r="F362" s="957"/>
      <c r="G362" s="958"/>
      <c r="H362" s="730" t="s">
        <v>35</v>
      </c>
      <c r="I362" s="830">
        <f ca="1">IFERROR(__xludf.DUMMYFUNCTION("IMPORTRANGE(""https://docs.google.com/spreadsheets/d/1QqKyyYR6Q21VydFLVH3TRQUabQu_ym0Zz7PgGX0-kHA/edit?usp=sharing"",""แผน!EP28"")"),190)</f>
        <v>190</v>
      </c>
      <c r="J362" s="830">
        <f ca="1">IFERROR(__xludf.DUMMYFUNCTION("IMPORTRANGE(""https://docs.google.com/spreadsheets/d/1XWAQStnk-4SwqDmLtmXYiTMKHgktTP8We1SCoS47DrQ/edit?usp=sharing"",""จัดที่ดิน!AA28"")"),0)</f>
        <v>0</v>
      </c>
      <c r="K362" s="831">
        <f t="shared" ca="1" si="161"/>
        <v>0</v>
      </c>
      <c r="L362" s="945"/>
      <c r="M362" s="945"/>
      <c r="N362" s="945"/>
      <c r="O362" s="945"/>
      <c r="P362" s="945"/>
    </row>
    <row r="363" spans="1:26" ht="18.75">
      <c r="A363" s="1159" t="s">
        <v>164</v>
      </c>
      <c r="B363" s="957"/>
      <c r="C363" s="950"/>
      <c r="D363" s="957"/>
      <c r="E363" s="956"/>
      <c r="F363" s="957"/>
      <c r="G363" s="958"/>
      <c r="H363" s="730" t="s">
        <v>46</v>
      </c>
      <c r="I363" s="830">
        <v>0</v>
      </c>
      <c r="J363" s="830">
        <f ca="1">IFERROR(__xludf.DUMMYFUNCTION("IMPORTRANGE(""https://docs.google.com/spreadsheets/d/1XWAQStnk-4SwqDmLtmXYiTMKHgktTP8We1SCoS47DrQ/edit?usp=sharing"",""จัดที่ดิน!AB28"")"),0)</f>
        <v>0</v>
      </c>
      <c r="K363" s="831">
        <f t="shared" si="161"/>
        <v>0</v>
      </c>
      <c r="L363" s="945"/>
      <c r="M363" s="945"/>
      <c r="N363" s="945"/>
      <c r="O363" s="945"/>
      <c r="P363" s="945"/>
    </row>
    <row r="364" spans="1:26" ht="19.5">
      <c r="A364" s="1160"/>
      <c r="B364" s="1161"/>
      <c r="C364" s="1162"/>
      <c r="D364" s="1163" t="s">
        <v>165</v>
      </c>
      <c r="E364" s="1164"/>
      <c r="F364" s="1164"/>
      <c r="G364" s="1165"/>
      <c r="H364" s="446" t="s">
        <v>35</v>
      </c>
      <c r="I364" s="1166">
        <f t="shared" ref="I364:J364" ca="1" si="162">I365+I374</f>
        <v>690</v>
      </c>
      <c r="J364" s="1166">
        <f t="shared" ca="1" si="162"/>
        <v>206</v>
      </c>
      <c r="K364" s="1167">
        <f t="shared" ca="1" si="161"/>
        <v>29.855072463768117</v>
      </c>
      <c r="L364" s="1168"/>
      <c r="M364" s="1168"/>
      <c r="N364" s="1168"/>
      <c r="O364" s="1168"/>
      <c r="P364" s="1168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69"/>
      <c r="B365" s="1170"/>
      <c r="C365" s="1171"/>
      <c r="D365" s="1171" t="s">
        <v>166</v>
      </c>
      <c r="E365" s="1172"/>
      <c r="F365" s="1172"/>
      <c r="G365" s="1173"/>
      <c r="H365" s="457" t="s">
        <v>35</v>
      </c>
      <c r="I365" s="1174">
        <f ca="1">IFERROR(__xludf.DUMMYFUNCTION("IMPORTRANGE(""https://docs.google.com/spreadsheets/d/1QqKyyYR6Q21VydFLVH3TRQUabQu_ym0Zz7PgGX0-kHA/edit?usp=sharing"",""แผน!EJ28"")"),40)</f>
        <v>40</v>
      </c>
      <c r="J365" s="1174">
        <f ca="1">J372</f>
        <v>0</v>
      </c>
      <c r="K365" s="1175">
        <f t="shared" ca="1" si="161"/>
        <v>0</v>
      </c>
      <c r="L365" s="1176"/>
      <c r="M365" s="1176"/>
      <c r="N365" s="1176"/>
      <c r="O365" s="1176"/>
      <c r="P365" s="1176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69"/>
      <c r="B366" s="1170"/>
      <c r="C366" s="1171"/>
      <c r="D366" s="1177" t="s">
        <v>167</v>
      </c>
      <c r="E366" s="1172"/>
      <c r="F366" s="1172"/>
      <c r="G366" s="1173"/>
      <c r="H366" s="1178"/>
      <c r="I366" s="1179"/>
      <c r="J366" s="1179"/>
      <c r="K366" s="1176"/>
      <c r="L366" s="1176"/>
      <c r="M366" s="1176"/>
      <c r="N366" s="1176"/>
      <c r="O366" s="1176"/>
      <c r="P366" s="1176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49"/>
      <c r="B367" s="950"/>
      <c r="C367" s="946" t="s">
        <v>16</v>
      </c>
      <c r="D367" s="951" t="s">
        <v>38</v>
      </c>
      <c r="E367" s="952"/>
      <c r="F367" s="952"/>
      <c r="G367" s="953"/>
      <c r="H367" s="954"/>
      <c r="I367" s="830"/>
      <c r="J367" s="830"/>
      <c r="K367" s="831"/>
      <c r="L367" s="945"/>
      <c r="M367" s="945"/>
      <c r="N367" s="945"/>
      <c r="O367" s="945"/>
      <c r="P367" s="945"/>
    </row>
    <row r="368" spans="1:26" ht="18.75">
      <c r="A368" s="949"/>
      <c r="B368" s="957"/>
      <c r="C368" s="950"/>
      <c r="D368" s="957"/>
      <c r="E368" s="955" t="s">
        <v>161</v>
      </c>
      <c r="F368" s="957"/>
      <c r="G368" s="958"/>
      <c r="H368" s="777" t="s">
        <v>35</v>
      </c>
      <c r="I368" s="830">
        <v>0</v>
      </c>
      <c r="J368" s="830">
        <f ca="1">IFERROR(__xludf.DUMMYFUNCTION("IMPORTRANGE(""https://docs.google.com/spreadsheets/d/1XWAQStnk-4SwqDmLtmXYiTMKHgktTP8We1SCoS47DrQ/edit?usp=sharing"",""จัดที่ดิน!E28"")"),41)</f>
        <v>41</v>
      </c>
      <c r="K368" s="831">
        <f t="shared" ref="K368:K374" si="163">IF(I368&gt;0,J368*100/I368,0)</f>
        <v>0</v>
      </c>
      <c r="L368" s="945"/>
      <c r="M368" s="945"/>
      <c r="N368" s="945"/>
      <c r="O368" s="945"/>
      <c r="P368" s="945"/>
    </row>
    <row r="369" spans="1:26" ht="18.75">
      <c r="A369" s="949"/>
      <c r="B369" s="957"/>
      <c r="C369" s="950"/>
      <c r="D369" s="957"/>
      <c r="E369" s="957"/>
      <c r="F369" s="957"/>
      <c r="G369" s="958"/>
      <c r="H369" s="777" t="s">
        <v>46</v>
      </c>
      <c r="I369" s="830">
        <f ca="1">IFERROR(__xludf.DUMMYFUNCTION("IMPORTRANGE(""https://docs.google.com/spreadsheets/d/1QqKyyYR6Q21VydFLVH3TRQUabQu_ym0Zz7PgGX0-kHA/edit?usp=sharing"",""แผน!EI28"")"),600)</f>
        <v>600</v>
      </c>
      <c r="J369" s="830">
        <f ca="1">IFERROR(__xludf.DUMMYFUNCTION("IMPORTRANGE(""https://docs.google.com/spreadsheets/d/1XWAQStnk-4SwqDmLtmXYiTMKHgktTP8We1SCoS47DrQ/edit?usp=sharing"",""จัดที่ดิน!F28"")"),394.12)</f>
        <v>394.12</v>
      </c>
      <c r="K369" s="831">
        <f t="shared" ca="1" si="163"/>
        <v>65.686666666666667</v>
      </c>
      <c r="L369" s="945"/>
      <c r="M369" s="945"/>
      <c r="N369" s="945"/>
      <c r="O369" s="945"/>
      <c r="P369" s="945"/>
    </row>
    <row r="370" spans="1:26" ht="18.75">
      <c r="A370" s="949"/>
      <c r="B370" s="957"/>
      <c r="C370" s="950"/>
      <c r="D370" s="957"/>
      <c r="E370" s="955" t="s">
        <v>162</v>
      </c>
      <c r="F370" s="957"/>
      <c r="G370" s="958"/>
      <c r="H370" s="730" t="s">
        <v>35</v>
      </c>
      <c r="I370" s="830">
        <f ca="1">IFERROR(__xludf.DUMMYFUNCTION("IMPORTRANGE(""https://docs.google.com/spreadsheets/d/1QqKyyYR6Q21VydFLVH3TRQUabQu_ym0Zz7PgGX0-kHA/edit?usp=sharing"",""แผน!EJ28"")"),40)</f>
        <v>40</v>
      </c>
      <c r="J370" s="830">
        <f ca="1">IFERROR(__xludf.DUMMYFUNCTION("IMPORTRANGE(""https://docs.google.com/spreadsheets/d/1XWAQStnk-4SwqDmLtmXYiTMKHgktTP8We1SCoS47DrQ/edit?usp=sharing"",""จัดที่ดิน!G28"")"),11)</f>
        <v>11</v>
      </c>
      <c r="K370" s="831">
        <f t="shared" ca="1" si="163"/>
        <v>27.5</v>
      </c>
      <c r="L370" s="945"/>
      <c r="M370" s="945"/>
      <c r="N370" s="945"/>
      <c r="O370" s="945"/>
      <c r="P370" s="945"/>
    </row>
    <row r="371" spans="1:26" ht="18.75">
      <c r="A371" s="949"/>
      <c r="B371" s="957"/>
      <c r="C371" s="950"/>
      <c r="D371" s="957"/>
      <c r="E371" s="957"/>
      <c r="F371" s="957"/>
      <c r="G371" s="958"/>
      <c r="H371" s="730" t="s">
        <v>46</v>
      </c>
      <c r="I371" s="830">
        <v>0</v>
      </c>
      <c r="J371" s="830">
        <f ca="1">IFERROR(__xludf.DUMMYFUNCTION("IMPORTRANGE(""https://docs.google.com/spreadsheets/d/1XWAQStnk-4SwqDmLtmXYiTMKHgktTP8We1SCoS47DrQ/edit?usp=sharing"",""จัดที่ดิน!H28"")"),81.18)</f>
        <v>81.180000000000007</v>
      </c>
      <c r="K371" s="831">
        <f t="shared" si="163"/>
        <v>0</v>
      </c>
      <c r="L371" s="945"/>
      <c r="M371" s="945"/>
      <c r="N371" s="945"/>
      <c r="O371" s="945"/>
      <c r="P371" s="945"/>
    </row>
    <row r="372" spans="1:26" ht="18.75">
      <c r="A372" s="949"/>
      <c r="B372" s="957"/>
      <c r="C372" s="950"/>
      <c r="D372" s="957"/>
      <c r="E372" s="955" t="s">
        <v>163</v>
      </c>
      <c r="F372" s="957"/>
      <c r="G372" s="958"/>
      <c r="H372" s="730" t="s">
        <v>35</v>
      </c>
      <c r="I372" s="830">
        <f ca="1">IFERROR(__xludf.DUMMYFUNCTION("IMPORTRANGE(""https://docs.google.com/spreadsheets/d/1QqKyyYR6Q21VydFLVH3TRQUabQu_ym0Zz7PgGX0-kHA/edit?usp=sharing"",""แผน!EJ28"")"),40)</f>
        <v>40</v>
      </c>
      <c r="J372" s="830">
        <f ca="1">IFERROR(__xludf.DUMMYFUNCTION("IMPORTRANGE(""https://docs.google.com/spreadsheets/d/1XWAQStnk-4SwqDmLtmXYiTMKHgktTP8We1SCoS47DrQ/edit?usp=sharing"",""จัดที่ดิน!I28"")"),0)</f>
        <v>0</v>
      </c>
      <c r="K372" s="831">
        <f t="shared" ca="1" si="163"/>
        <v>0</v>
      </c>
      <c r="L372" s="945"/>
      <c r="M372" s="945"/>
      <c r="N372" s="945"/>
      <c r="O372" s="945"/>
      <c r="P372" s="945"/>
    </row>
    <row r="373" spans="1:26" ht="18.75">
      <c r="A373" s="1159" t="s">
        <v>164</v>
      </c>
      <c r="B373" s="957"/>
      <c r="C373" s="950"/>
      <c r="D373" s="957"/>
      <c r="E373" s="956"/>
      <c r="F373" s="957"/>
      <c r="G373" s="958"/>
      <c r="H373" s="730" t="s">
        <v>46</v>
      </c>
      <c r="I373" s="830">
        <v>0</v>
      </c>
      <c r="J373" s="830">
        <f ca="1">IFERROR(__xludf.DUMMYFUNCTION("IMPORTRANGE(""https://docs.google.com/spreadsheets/d/1XWAQStnk-4SwqDmLtmXYiTMKHgktTP8We1SCoS47DrQ/edit?usp=sharing"",""จัดที่ดิน!J28"")"),0)</f>
        <v>0</v>
      </c>
      <c r="K373" s="831">
        <f t="shared" si="163"/>
        <v>0</v>
      </c>
      <c r="L373" s="945"/>
      <c r="M373" s="945"/>
      <c r="N373" s="945"/>
      <c r="O373" s="945"/>
      <c r="P373" s="945"/>
    </row>
    <row r="374" spans="1:26" ht="19.5">
      <c r="A374" s="1169"/>
      <c r="B374" s="1170"/>
      <c r="C374" s="1171"/>
      <c r="D374" s="1171" t="s">
        <v>168</v>
      </c>
      <c r="E374" s="1172"/>
      <c r="F374" s="1172"/>
      <c r="G374" s="1173"/>
      <c r="H374" s="457" t="s">
        <v>35</v>
      </c>
      <c r="I374" s="1180">
        <f ca="1">IFERROR(__xludf.DUMMYFUNCTION("IMPORTRANGE(""https://docs.google.com/spreadsheets/d/1QqKyyYR6Q21VydFLVH3TRQUabQu_ym0Zz7PgGX0-kHA/edit?usp=sharing"",""แผน!EU28"")"),650)</f>
        <v>650</v>
      </c>
      <c r="J374" s="1174">
        <f ca="1">J381</f>
        <v>206</v>
      </c>
      <c r="K374" s="1175">
        <f t="shared" ca="1" si="163"/>
        <v>31.692307692307693</v>
      </c>
      <c r="L374" s="1176"/>
      <c r="M374" s="1176"/>
      <c r="N374" s="1176"/>
      <c r="O374" s="1176"/>
      <c r="P374" s="1176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69"/>
      <c r="B375" s="1170"/>
      <c r="C375" s="1171"/>
      <c r="D375" s="1177" t="s">
        <v>169</v>
      </c>
      <c r="E375" s="1172"/>
      <c r="F375" s="1172"/>
      <c r="G375" s="1173"/>
      <c r="H375" s="1178"/>
      <c r="I375" s="1179"/>
      <c r="J375" s="1179"/>
      <c r="K375" s="1176"/>
      <c r="L375" s="1176"/>
      <c r="M375" s="1176"/>
      <c r="N375" s="1176"/>
      <c r="O375" s="1176"/>
      <c r="P375" s="1176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49"/>
      <c r="B376" s="950"/>
      <c r="C376" s="946" t="s">
        <v>16</v>
      </c>
      <c r="D376" s="951" t="s">
        <v>38</v>
      </c>
      <c r="E376" s="952"/>
      <c r="F376" s="952"/>
      <c r="G376" s="953"/>
      <c r="H376" s="954"/>
      <c r="I376" s="830"/>
      <c r="J376" s="830"/>
      <c r="K376" s="831"/>
      <c r="L376" s="945"/>
      <c r="M376" s="945"/>
      <c r="N376" s="945"/>
      <c r="O376" s="945"/>
      <c r="P376" s="945"/>
    </row>
    <row r="377" spans="1:26" ht="18.75">
      <c r="A377" s="949"/>
      <c r="B377" s="957"/>
      <c r="C377" s="950"/>
      <c r="D377" s="957"/>
      <c r="E377" s="955" t="s">
        <v>161</v>
      </c>
      <c r="F377" s="957"/>
      <c r="G377" s="958"/>
      <c r="H377" s="777" t="s">
        <v>35</v>
      </c>
      <c r="I377" s="830">
        <v>0</v>
      </c>
      <c r="J377" s="830">
        <f ca="1">IFERROR(__xludf.DUMMYFUNCTION("IMPORTRANGE(""https://docs.google.com/spreadsheets/d/1XWAQStnk-4SwqDmLtmXYiTMKHgktTP8We1SCoS47DrQ/edit?usp=sharing"",""จัดที่ดิน!AH28"")"),105)</f>
        <v>105</v>
      </c>
      <c r="K377" s="831">
        <f t="shared" ref="K377:K382" si="164">IF(I377&gt;0,J377*100/I377,0)</f>
        <v>0</v>
      </c>
      <c r="L377" s="945"/>
      <c r="M377" s="945"/>
      <c r="N377" s="945"/>
      <c r="O377" s="945"/>
      <c r="P377" s="945"/>
    </row>
    <row r="378" spans="1:26" ht="18.75">
      <c r="A378" s="949"/>
      <c r="B378" s="957"/>
      <c r="C378" s="950"/>
      <c r="D378" s="957"/>
      <c r="E378" s="957"/>
      <c r="F378" s="957"/>
      <c r="G378" s="958"/>
      <c r="H378" s="777" t="s">
        <v>46</v>
      </c>
      <c r="I378" s="830">
        <f ca="1">IFERROR(__xludf.DUMMYFUNCTION("IMPORTRANGE(""https://docs.google.com/spreadsheets/d/1QqKyyYR6Q21VydFLVH3TRQUabQu_ym0Zz7PgGX0-kHA/edit?usp=sharing"",""แผน!ET28"")"),1200)</f>
        <v>1200</v>
      </c>
      <c r="J378" s="830">
        <f ca="1">IFERROR(__xludf.DUMMYFUNCTION("IMPORTRANGE(""https://docs.google.com/spreadsheets/d/1XWAQStnk-4SwqDmLtmXYiTMKHgktTP8We1SCoS47DrQ/edit?usp=sharing"",""จัดที่ดิน!AI28"")"),815.44)</f>
        <v>815.44</v>
      </c>
      <c r="K378" s="831">
        <f t="shared" ca="1" si="164"/>
        <v>67.953333333333333</v>
      </c>
      <c r="L378" s="945"/>
      <c r="M378" s="945"/>
      <c r="N378" s="945"/>
      <c r="O378" s="945"/>
      <c r="P378" s="945"/>
    </row>
    <row r="379" spans="1:26" ht="18.75">
      <c r="A379" s="949"/>
      <c r="B379" s="957"/>
      <c r="C379" s="950"/>
      <c r="D379" s="957"/>
      <c r="E379" s="955" t="s">
        <v>162</v>
      </c>
      <c r="F379" s="957"/>
      <c r="G379" s="958"/>
      <c r="H379" s="730" t="s">
        <v>35</v>
      </c>
      <c r="I379" s="830">
        <f ca="1">IFERROR(__xludf.DUMMYFUNCTION("IMPORTRANGE(""https://docs.google.com/spreadsheets/d/1QqKyyYR6Q21VydFLVH3TRQUabQu_ym0Zz7PgGX0-kHA/edit?usp=sharing"",""แผน!EU28"")"),650)</f>
        <v>650</v>
      </c>
      <c r="J379" s="830">
        <f ca="1">IFERROR(__xludf.DUMMYFUNCTION("IMPORTRANGE(""https://docs.google.com/spreadsheets/d/1XWAQStnk-4SwqDmLtmXYiTMKHgktTP8We1SCoS47DrQ/edit?usp=sharing"",""จัดที่ดิน!AJ28"")"),309)</f>
        <v>309</v>
      </c>
      <c r="K379" s="831">
        <f t="shared" ca="1" si="164"/>
        <v>47.53846153846154</v>
      </c>
      <c r="L379" s="945"/>
      <c r="M379" s="945"/>
      <c r="N379" s="945"/>
      <c r="O379" s="945"/>
      <c r="P379" s="945"/>
    </row>
    <row r="380" spans="1:26" ht="18.75">
      <c r="A380" s="949"/>
      <c r="B380" s="957"/>
      <c r="C380" s="950"/>
      <c r="D380" s="957"/>
      <c r="E380" s="957"/>
      <c r="F380" s="957"/>
      <c r="G380" s="958"/>
      <c r="H380" s="730" t="s">
        <v>46</v>
      </c>
      <c r="I380" s="830">
        <v>0</v>
      </c>
      <c r="J380" s="830">
        <f ca="1">IFERROR(__xludf.DUMMYFUNCTION("IMPORTRANGE(""https://docs.google.com/spreadsheets/d/1XWAQStnk-4SwqDmLtmXYiTMKHgktTP8We1SCoS47DrQ/edit?usp=sharing"",""จัดที่ดิน!AK28"")"),3397.05)</f>
        <v>3397.05</v>
      </c>
      <c r="K380" s="831">
        <f t="shared" si="164"/>
        <v>0</v>
      </c>
      <c r="L380" s="945"/>
      <c r="M380" s="945"/>
      <c r="N380" s="945"/>
      <c r="O380" s="945"/>
      <c r="P380" s="945"/>
    </row>
    <row r="381" spans="1:26" ht="18.75">
      <c r="A381" s="949"/>
      <c r="B381" s="957"/>
      <c r="C381" s="950"/>
      <c r="D381" s="957"/>
      <c r="E381" s="955" t="s">
        <v>163</v>
      </c>
      <c r="F381" s="957"/>
      <c r="G381" s="958"/>
      <c r="H381" s="730" t="s">
        <v>35</v>
      </c>
      <c r="I381" s="830">
        <f ca="1">IFERROR(__xludf.DUMMYFUNCTION("IMPORTRANGE(""https://docs.google.com/spreadsheets/d/1QqKyyYR6Q21VydFLVH3TRQUabQu_ym0Zz7PgGX0-kHA/edit?usp=sharing"",""แผน!EU28"")"),650)</f>
        <v>650</v>
      </c>
      <c r="J381" s="830">
        <f ca="1">IFERROR(__xludf.DUMMYFUNCTION("IMPORTRANGE(""https://docs.google.com/spreadsheets/d/1XWAQStnk-4SwqDmLtmXYiTMKHgktTP8We1SCoS47DrQ/edit?usp=sharing"",""จัดที่ดิน!AL28"")"),206)</f>
        <v>206</v>
      </c>
      <c r="K381" s="831">
        <f t="shared" ca="1" si="164"/>
        <v>31.692307692307693</v>
      </c>
      <c r="L381" s="945"/>
      <c r="M381" s="945"/>
      <c r="N381" s="945"/>
      <c r="O381" s="945"/>
      <c r="P381" s="945"/>
    </row>
    <row r="382" spans="1:26" ht="18.75">
      <c r="A382" s="1159" t="s">
        <v>164</v>
      </c>
      <c r="B382" s="957"/>
      <c r="C382" s="950"/>
      <c r="D382" s="957"/>
      <c r="E382" s="956"/>
      <c r="F382" s="957"/>
      <c r="G382" s="958"/>
      <c r="H382" s="730" t="s">
        <v>46</v>
      </c>
      <c r="I382" s="830">
        <v>0</v>
      </c>
      <c r="J382" s="830">
        <f ca="1">IFERROR(__xludf.DUMMYFUNCTION("IMPORTRANGE(""https://docs.google.com/spreadsheets/d/1XWAQStnk-4SwqDmLtmXYiTMKHgktTP8We1SCoS47DrQ/edit?usp=sharing"",""จัดที่ดิน!AM28"")"),2656.32)</f>
        <v>2656.32</v>
      </c>
      <c r="K382" s="831">
        <f t="shared" si="164"/>
        <v>0</v>
      </c>
      <c r="L382" s="945"/>
      <c r="M382" s="945"/>
      <c r="N382" s="945"/>
      <c r="O382" s="945"/>
      <c r="P382" s="945"/>
    </row>
    <row r="383" spans="1:26" ht="19.5">
      <c r="A383" s="1011"/>
      <c r="B383" s="1018"/>
      <c r="C383" s="1012"/>
      <c r="D383" s="1145" t="s">
        <v>170</v>
      </c>
      <c r="E383" s="1012"/>
      <c r="F383" s="1012"/>
      <c r="G383" s="1014"/>
      <c r="H383" s="1146"/>
      <c r="I383" s="1015"/>
      <c r="J383" s="1015"/>
      <c r="K383" s="1016"/>
      <c r="L383" s="1016"/>
      <c r="M383" s="1016"/>
      <c r="N383" s="1016"/>
      <c r="O383" s="1016"/>
      <c r="P383" s="1016"/>
    </row>
    <row r="384" spans="1:26" ht="19.5">
      <c r="A384" s="949"/>
      <c r="B384" s="950"/>
      <c r="C384" s="827" t="s">
        <v>16</v>
      </c>
      <c r="D384" s="951" t="s">
        <v>38</v>
      </c>
      <c r="E384" s="952"/>
      <c r="F384" s="952"/>
      <c r="G384" s="953"/>
      <c r="H384" s="954"/>
      <c r="I384" s="830"/>
      <c r="J384" s="830"/>
      <c r="K384" s="831"/>
      <c r="L384" s="945"/>
      <c r="M384" s="945"/>
      <c r="N384" s="945"/>
      <c r="O384" s="945"/>
      <c r="P384" s="945"/>
    </row>
    <row r="385" spans="1:26" ht="18.75">
      <c r="A385" s="1080"/>
      <c r="B385" s="1083"/>
      <c r="C385" s="1081"/>
      <c r="D385" s="1083"/>
      <c r="E385" s="1181" t="s">
        <v>163</v>
      </c>
      <c r="F385" s="1083"/>
      <c r="G385" s="1084"/>
      <c r="H385" s="468" t="s">
        <v>35</v>
      </c>
      <c r="I385" s="1085">
        <f ca="1">IFERROR(__xludf.DUMMYFUNCTION("IMPORTRANGE(""https://docs.google.com/spreadsheets/d/1QqKyyYR6Q21VydFLVH3TRQUabQu_ym0Zz7PgGX0-kHA/edit?usp=sharing"",""แผน!EW28"")"),10)</f>
        <v>10</v>
      </c>
      <c r="J385" s="1085">
        <f ca="1">IFERROR(__xludf.DUMMYFUNCTION("IMPORTRANGE(""https://docs.google.com/spreadsheets/d/1XWAQStnk-4SwqDmLtmXYiTMKHgktTP8We1SCoS47DrQ/edit?usp=sharing"",""จัดที่ดิน!AP28"")"),0)</f>
        <v>0</v>
      </c>
      <c r="K385" s="1182">
        <f ca="1">IF(I385&gt;0,J385*100/I385,0)</f>
        <v>0</v>
      </c>
      <c r="L385" s="1086"/>
      <c r="M385" s="1086"/>
      <c r="N385" s="1086"/>
      <c r="O385" s="1086"/>
      <c r="P385" s="1086"/>
    </row>
    <row r="386" spans="1:26" ht="19.5" hidden="1">
      <c r="A386" s="1183" t="s">
        <v>171</v>
      </c>
      <c r="B386" s="1184"/>
      <c r="C386" s="1184"/>
      <c r="D386" s="1184"/>
      <c r="E386" s="1185"/>
      <c r="F386" s="1185"/>
      <c r="G386" s="1186"/>
      <c r="H386" s="1187"/>
      <c r="I386" s="1188"/>
      <c r="J386" s="1188"/>
      <c r="K386" s="1189"/>
      <c r="L386" s="1189"/>
      <c r="M386" s="1189"/>
      <c r="N386" s="1189"/>
      <c r="O386" s="1189"/>
      <c r="P386" s="1189"/>
    </row>
    <row r="387" spans="1:26" ht="19.5" hidden="1">
      <c r="A387" s="1190" t="s">
        <v>172</v>
      </c>
      <c r="B387" s="1191"/>
      <c r="C387" s="1191"/>
      <c r="D387" s="1192"/>
      <c r="E387" s="1191"/>
      <c r="F387" s="1191"/>
      <c r="G387" s="1191"/>
      <c r="H387" s="1193"/>
      <c r="I387" s="1194"/>
      <c r="J387" s="1194"/>
      <c r="K387" s="1195"/>
      <c r="L387" s="1195"/>
      <c r="M387" s="1195"/>
      <c r="N387" s="1195"/>
      <c r="O387" s="1195"/>
      <c r="P387" s="1195"/>
    </row>
    <row r="388" spans="1:26" ht="19.5" hidden="1">
      <c r="A388" s="1196"/>
      <c r="B388" s="1197" t="s">
        <v>173</v>
      </c>
      <c r="C388" s="1198"/>
      <c r="D388" s="1199"/>
      <c r="E388" s="1199"/>
      <c r="F388" s="1199"/>
      <c r="G388" s="1200"/>
      <c r="H388" s="489" t="s">
        <v>66</v>
      </c>
      <c r="I388" s="1201">
        <f t="shared" ref="I388:J388" si="165">I400</f>
        <v>0</v>
      </c>
      <c r="J388" s="1201">
        <f t="shared" si="165"/>
        <v>0</v>
      </c>
      <c r="K388" s="1202">
        <f>IF(I388&gt;0,J388*100/I388,0)</f>
        <v>0</v>
      </c>
      <c r="L388" s="1203"/>
      <c r="M388" s="1203"/>
      <c r="N388" s="1203"/>
      <c r="O388" s="1203"/>
      <c r="P388" s="1203"/>
    </row>
    <row r="389" spans="1:26" ht="19.5" hidden="1">
      <c r="A389" s="932"/>
      <c r="B389" s="933"/>
      <c r="C389" s="934" t="s">
        <v>16</v>
      </c>
      <c r="D389" s="935" t="s">
        <v>17</v>
      </c>
      <c r="E389" s="933"/>
      <c r="F389" s="933"/>
      <c r="G389" s="936"/>
      <c r="H389" s="152" t="s">
        <v>12</v>
      </c>
      <c r="I389" s="937"/>
      <c r="J389" s="937"/>
      <c r="K389" s="938"/>
      <c r="L389" s="939">
        <f t="shared" ref="L389:N389" ca="1" si="166">L390+L391</f>
        <v>0</v>
      </c>
      <c r="M389" s="939">
        <f t="shared" ca="1" si="166"/>
        <v>0</v>
      </c>
      <c r="N389" s="939">
        <f t="shared" ca="1" si="166"/>
        <v>0</v>
      </c>
      <c r="O389" s="939">
        <f t="shared" ref="O389:O397" ca="1" si="167">IF(L389&gt;0,N389*100/L389,0)</f>
        <v>0</v>
      </c>
      <c r="P389" s="939">
        <f t="shared" ref="P389:P397" ca="1" si="168">IF(M389&gt;0,N389*100/M389,0)</f>
        <v>0</v>
      </c>
      <c r="Q389" s="818"/>
      <c r="R389" s="818"/>
      <c r="S389" s="818"/>
      <c r="T389" s="818"/>
      <c r="U389" s="818"/>
      <c r="V389" s="818"/>
      <c r="W389" s="818"/>
      <c r="X389" s="818"/>
      <c r="Y389" s="818"/>
      <c r="Z389" s="818"/>
    </row>
    <row r="390" spans="1:26" ht="18.75" hidden="1">
      <c r="A390" s="940"/>
      <c r="B390" s="833"/>
      <c r="C390" s="833"/>
      <c r="D390" s="833"/>
      <c r="E390" s="834" t="s">
        <v>18</v>
      </c>
      <c r="F390" s="833"/>
      <c r="G390" s="941"/>
      <c r="H390" s="158" t="s">
        <v>12</v>
      </c>
      <c r="I390" s="836"/>
      <c r="J390" s="836"/>
      <c r="K390" s="837"/>
      <c r="L390" s="837">
        <f t="shared" ref="L390:N391" si="169">L393+L396</f>
        <v>0</v>
      </c>
      <c r="M390" s="837">
        <f t="shared" si="169"/>
        <v>0</v>
      </c>
      <c r="N390" s="837">
        <f t="shared" si="169"/>
        <v>0</v>
      </c>
      <c r="O390" s="837">
        <f t="shared" si="167"/>
        <v>0</v>
      </c>
      <c r="P390" s="837">
        <f t="shared" si="168"/>
        <v>0</v>
      </c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</row>
    <row r="391" spans="1:26" ht="18.75" hidden="1">
      <c r="A391" s="940"/>
      <c r="B391" s="833"/>
      <c r="C391" s="833"/>
      <c r="D391" s="833"/>
      <c r="E391" s="834" t="s">
        <v>19</v>
      </c>
      <c r="F391" s="833"/>
      <c r="G391" s="941"/>
      <c r="H391" s="158" t="s">
        <v>12</v>
      </c>
      <c r="I391" s="836"/>
      <c r="J391" s="836"/>
      <c r="K391" s="837"/>
      <c r="L391" s="837">
        <f t="shared" ca="1" si="169"/>
        <v>0</v>
      </c>
      <c r="M391" s="837">
        <f t="shared" ca="1" si="169"/>
        <v>0</v>
      </c>
      <c r="N391" s="837">
        <f t="shared" ca="1" si="169"/>
        <v>0</v>
      </c>
      <c r="O391" s="837">
        <f t="shared" ca="1" si="167"/>
        <v>0</v>
      </c>
      <c r="P391" s="837">
        <f t="shared" ca="1" si="168"/>
        <v>0</v>
      </c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</row>
    <row r="392" spans="1:26" ht="18.75" hidden="1">
      <c r="A392" s="942"/>
      <c r="B392" s="827"/>
      <c r="C392" s="943"/>
      <c r="D392" s="828" t="s">
        <v>20</v>
      </c>
      <c r="E392" s="827"/>
      <c r="F392" s="827"/>
      <c r="G392" s="829"/>
      <c r="H392" s="778" t="s">
        <v>12</v>
      </c>
      <c r="I392" s="944"/>
      <c r="J392" s="944"/>
      <c r="K392" s="945"/>
      <c r="L392" s="831">
        <f t="shared" ref="L392:N392" ca="1" si="170">L393+L394</f>
        <v>0</v>
      </c>
      <c r="M392" s="831">
        <f t="shared" ca="1" si="170"/>
        <v>0</v>
      </c>
      <c r="N392" s="831">
        <f t="shared" ca="1" si="170"/>
        <v>0</v>
      </c>
      <c r="O392" s="831">
        <f t="shared" ca="1" si="167"/>
        <v>0</v>
      </c>
      <c r="P392" s="831">
        <f t="shared" ca="1" si="168"/>
        <v>0</v>
      </c>
      <c r="Q392" s="818"/>
      <c r="R392" s="818"/>
      <c r="S392" s="818"/>
      <c r="T392" s="818"/>
      <c r="U392" s="818"/>
      <c r="V392" s="818"/>
      <c r="W392" s="818"/>
      <c r="X392" s="818"/>
      <c r="Y392" s="818"/>
      <c r="Z392" s="818"/>
    </row>
    <row r="393" spans="1:26" ht="19.5" hidden="1">
      <c r="A393" s="940"/>
      <c r="B393" s="833"/>
      <c r="C393" s="946"/>
      <c r="D393" s="833"/>
      <c r="E393" s="834" t="s">
        <v>36</v>
      </c>
      <c r="F393" s="833"/>
      <c r="G393" s="941"/>
      <c r="H393" s="165" t="s">
        <v>12</v>
      </c>
      <c r="I393" s="947"/>
      <c r="J393" s="947"/>
      <c r="K393" s="948"/>
      <c r="L393" s="837">
        <v>0</v>
      </c>
      <c r="M393" s="837">
        <v>0</v>
      </c>
      <c r="N393" s="837">
        <v>0</v>
      </c>
      <c r="O393" s="837">
        <f t="shared" si="167"/>
        <v>0</v>
      </c>
      <c r="P393" s="837">
        <f t="shared" si="168"/>
        <v>0</v>
      </c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</row>
    <row r="394" spans="1:26" ht="19.5" hidden="1">
      <c r="A394" s="940"/>
      <c r="B394" s="833"/>
      <c r="C394" s="946"/>
      <c r="D394" s="833"/>
      <c r="E394" s="834" t="s">
        <v>37</v>
      </c>
      <c r="F394" s="833"/>
      <c r="G394" s="941"/>
      <c r="H394" s="165" t="s">
        <v>12</v>
      </c>
      <c r="I394" s="947"/>
      <c r="J394" s="947"/>
      <c r="K394" s="948"/>
      <c r="L394" s="837">
        <f ca="1">IFERROR(__xludf.DUMMYFUNCTION("IMPORTRANGE(""https://docs.google.com/spreadsheets/d/1MeEWN-I1oV_STSDYn1IFDPWt_1FKiwhDph83XaGc0o0/edit?usp=sharing"",""งบพรบ!FG28"")"),0)</f>
        <v>0</v>
      </c>
      <c r="M394" s="837">
        <f ca="1">IFERROR(__xludf.DUMMYFUNCTION("IMPORTRANGE(""https://docs.google.com/spreadsheets/d/1MeEWN-I1oV_STSDYn1IFDPWt_1FKiwhDph83XaGc0o0/edit?usp=sharing"",""งบพรบ!FL28"")"),0)</f>
        <v>0</v>
      </c>
      <c r="N394" s="837">
        <f ca="1">IFERROR(__xludf.DUMMYFUNCTION("IMPORTRANGE(""https://docs.google.com/spreadsheets/d/1MeEWN-I1oV_STSDYn1IFDPWt_1FKiwhDph83XaGc0o0/edit?usp=sharing"",""งบพรบ!FN28"")"),0)</f>
        <v>0</v>
      </c>
      <c r="O394" s="837">
        <f t="shared" ca="1" si="167"/>
        <v>0</v>
      </c>
      <c r="P394" s="837">
        <f t="shared" ca="1" si="168"/>
        <v>0</v>
      </c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</row>
    <row r="395" spans="1:26" ht="18.75" hidden="1">
      <c r="A395" s="942"/>
      <c r="B395" s="827"/>
      <c r="C395" s="943"/>
      <c r="D395" s="828" t="s">
        <v>21</v>
      </c>
      <c r="E395" s="827"/>
      <c r="F395" s="827"/>
      <c r="G395" s="829"/>
      <c r="H395" s="168" t="s">
        <v>12</v>
      </c>
      <c r="I395" s="944"/>
      <c r="J395" s="944"/>
      <c r="K395" s="945"/>
      <c r="L395" s="831">
        <f t="shared" ref="L395:N395" ca="1" si="171">L396+L397</f>
        <v>0</v>
      </c>
      <c r="M395" s="831">
        <f t="shared" ca="1" si="171"/>
        <v>0</v>
      </c>
      <c r="N395" s="831">
        <f t="shared" ca="1" si="171"/>
        <v>0</v>
      </c>
      <c r="O395" s="831">
        <f t="shared" ca="1" si="167"/>
        <v>0</v>
      </c>
      <c r="P395" s="831">
        <f t="shared" ca="1" si="168"/>
        <v>0</v>
      </c>
      <c r="Q395" s="818"/>
      <c r="R395" s="818"/>
      <c r="S395" s="818"/>
      <c r="T395" s="818"/>
      <c r="U395" s="818"/>
      <c r="V395" s="818"/>
      <c r="W395" s="818"/>
      <c r="X395" s="818"/>
      <c r="Y395" s="818"/>
      <c r="Z395" s="818"/>
    </row>
    <row r="396" spans="1:26" ht="19.5" hidden="1">
      <c r="A396" s="940"/>
      <c r="B396" s="833"/>
      <c r="C396" s="946"/>
      <c r="D396" s="833"/>
      <c r="E396" s="834" t="s">
        <v>18</v>
      </c>
      <c r="F396" s="833"/>
      <c r="G396" s="941"/>
      <c r="H396" s="165" t="s">
        <v>12</v>
      </c>
      <c r="I396" s="947"/>
      <c r="J396" s="947"/>
      <c r="K396" s="948"/>
      <c r="L396" s="837">
        <v>0</v>
      </c>
      <c r="M396" s="837">
        <v>0</v>
      </c>
      <c r="N396" s="837">
        <v>0</v>
      </c>
      <c r="O396" s="837">
        <f t="shared" si="167"/>
        <v>0</v>
      </c>
      <c r="P396" s="837">
        <f t="shared" si="168"/>
        <v>0</v>
      </c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</row>
    <row r="397" spans="1:26" ht="19.5" hidden="1">
      <c r="A397" s="940"/>
      <c r="B397" s="833"/>
      <c r="C397" s="946"/>
      <c r="D397" s="833"/>
      <c r="E397" s="834" t="s">
        <v>19</v>
      </c>
      <c r="F397" s="833"/>
      <c r="G397" s="941"/>
      <c r="H397" s="169" t="s">
        <v>12</v>
      </c>
      <c r="I397" s="947"/>
      <c r="J397" s="947"/>
      <c r="K397" s="948"/>
      <c r="L397" s="837">
        <f ca="1">IFERROR(__xludf.DUMMYFUNCTION("IMPORTRANGE(""https://docs.google.com/spreadsheets/d/1MeEWN-I1oV_STSDYn1IFDPWt_1FKiwhDph83XaGc0o0/edit?usp=sharing"",""งบพรบ!FJ28"")"),0)</f>
        <v>0</v>
      </c>
      <c r="M397" s="837">
        <f ca="1">IFERROR(__xludf.DUMMYFUNCTION("IMPORTRANGE(""https://docs.google.com/spreadsheets/d/1MeEWN-I1oV_STSDYn1IFDPWt_1FKiwhDph83XaGc0o0/edit?usp=sharing"",""งบพรบ!FM28"")"),0)</f>
        <v>0</v>
      </c>
      <c r="N397" s="837">
        <f ca="1">IFERROR(__xludf.DUMMYFUNCTION("IMPORTRANGE(""https://docs.google.com/spreadsheets/d/1MeEWN-I1oV_STSDYn1IFDPWt_1FKiwhDph83XaGc0o0/edit?usp=sharing"",""งบพรบ!FO28"")"),0)</f>
        <v>0</v>
      </c>
      <c r="O397" s="837">
        <f t="shared" ca="1" si="167"/>
        <v>0</v>
      </c>
      <c r="P397" s="837">
        <f t="shared" ca="1" si="168"/>
        <v>0</v>
      </c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</row>
    <row r="398" spans="1:26" ht="19.5" hidden="1">
      <c r="A398" s="949"/>
      <c r="B398" s="950"/>
      <c r="C398" s="946" t="s">
        <v>16</v>
      </c>
      <c r="D398" s="951" t="s">
        <v>38</v>
      </c>
      <c r="E398" s="952"/>
      <c r="F398" s="952"/>
      <c r="G398" s="953"/>
      <c r="H398" s="954"/>
      <c r="I398" s="944"/>
      <c r="J398" s="830"/>
      <c r="K398" s="831"/>
      <c r="L398" s="831"/>
      <c r="M398" s="831"/>
      <c r="N398" s="831"/>
      <c r="O398" s="945"/>
      <c r="P398" s="945"/>
    </row>
    <row r="399" spans="1:26" ht="18.75" hidden="1">
      <c r="A399" s="1204"/>
      <c r="B399" s="933"/>
      <c r="C399" s="1205"/>
      <c r="D399" s="968" t="s">
        <v>174</v>
      </c>
      <c r="E399" s="1113"/>
      <c r="F399" s="933"/>
      <c r="G399" s="936"/>
      <c r="H399" s="496" t="s">
        <v>9</v>
      </c>
      <c r="I399" s="830">
        <v>0</v>
      </c>
      <c r="J399" s="959">
        <v>0</v>
      </c>
      <c r="K399" s="831">
        <f t="shared" ref="K399:K401" si="172">IF(I399&gt;0,J399*100/I399,0)</f>
        <v>0</v>
      </c>
      <c r="L399" s="1206"/>
      <c r="M399" s="1206"/>
      <c r="N399" s="1206"/>
      <c r="O399" s="1206"/>
      <c r="P399" s="1206"/>
      <c r="Q399" s="818"/>
      <c r="R399" s="818"/>
      <c r="S399" s="818"/>
      <c r="T399" s="818"/>
      <c r="U399" s="818"/>
      <c r="V399" s="818"/>
      <c r="W399" s="818"/>
      <c r="X399" s="818"/>
      <c r="Y399" s="818"/>
      <c r="Z399" s="818"/>
    </row>
    <row r="400" spans="1:26" ht="18.75" hidden="1">
      <c r="A400" s="1032"/>
      <c r="B400" s="827"/>
      <c r="C400" s="1030"/>
      <c r="D400" s="956" t="s">
        <v>175</v>
      </c>
      <c r="E400" s="950"/>
      <c r="F400" s="827"/>
      <c r="G400" s="829"/>
      <c r="H400" s="277" t="s">
        <v>66</v>
      </c>
      <c r="I400" s="830">
        <v>0</v>
      </c>
      <c r="J400" s="959">
        <v>0</v>
      </c>
      <c r="K400" s="831">
        <f t="shared" si="172"/>
        <v>0</v>
      </c>
      <c r="L400" s="831"/>
      <c r="M400" s="831"/>
      <c r="N400" s="831"/>
      <c r="O400" s="831"/>
      <c r="P400" s="831"/>
    </row>
    <row r="401" spans="1:26" ht="19.5" hidden="1">
      <c r="A401" s="1196"/>
      <c r="B401" s="1197" t="s">
        <v>176</v>
      </c>
      <c r="C401" s="1198"/>
      <c r="D401" s="1199"/>
      <c r="E401" s="1199"/>
      <c r="F401" s="1199"/>
      <c r="G401" s="1200"/>
      <c r="H401" s="489" t="s">
        <v>66</v>
      </c>
      <c r="I401" s="1201">
        <f t="shared" ref="I401:J401" si="173">I412</f>
        <v>0</v>
      </c>
      <c r="J401" s="1201">
        <f t="shared" si="173"/>
        <v>0</v>
      </c>
      <c r="K401" s="1202">
        <f t="shared" si="172"/>
        <v>0</v>
      </c>
      <c r="L401" s="1203"/>
      <c r="M401" s="1203"/>
      <c r="N401" s="1203"/>
      <c r="O401" s="1203"/>
      <c r="P401" s="1203"/>
    </row>
    <row r="402" spans="1:26" ht="19.5" hidden="1">
      <c r="A402" s="932"/>
      <c r="B402" s="933"/>
      <c r="C402" s="934" t="s">
        <v>16</v>
      </c>
      <c r="D402" s="935" t="s">
        <v>17</v>
      </c>
      <c r="E402" s="933"/>
      <c r="F402" s="933"/>
      <c r="G402" s="936"/>
      <c r="H402" s="152" t="s">
        <v>12</v>
      </c>
      <c r="I402" s="937"/>
      <c r="J402" s="937"/>
      <c r="K402" s="938"/>
      <c r="L402" s="939">
        <f t="shared" ref="L402:N402" ca="1" si="174">L403+L404</f>
        <v>0</v>
      </c>
      <c r="M402" s="939">
        <f t="shared" ca="1" si="174"/>
        <v>0</v>
      </c>
      <c r="N402" s="939">
        <f t="shared" ca="1" si="174"/>
        <v>0</v>
      </c>
      <c r="O402" s="939">
        <f t="shared" ref="O402:O410" ca="1" si="175">IF(L402&gt;0,N402*100/L402,0)</f>
        <v>0</v>
      </c>
      <c r="P402" s="939">
        <f t="shared" ref="P402:P410" ca="1" si="176">IF(M402&gt;0,N402*100/M402,0)</f>
        <v>0</v>
      </c>
      <c r="Q402" s="818"/>
      <c r="R402" s="818"/>
      <c r="S402" s="818"/>
      <c r="T402" s="818"/>
      <c r="U402" s="818"/>
      <c r="V402" s="818"/>
      <c r="W402" s="818"/>
      <c r="X402" s="818"/>
      <c r="Y402" s="818"/>
      <c r="Z402" s="818"/>
    </row>
    <row r="403" spans="1:26" ht="18.75" hidden="1">
      <c r="A403" s="940"/>
      <c r="B403" s="833"/>
      <c r="C403" s="833"/>
      <c r="D403" s="833"/>
      <c r="E403" s="834" t="s">
        <v>18</v>
      </c>
      <c r="F403" s="833"/>
      <c r="G403" s="941"/>
      <c r="H403" s="158" t="s">
        <v>12</v>
      </c>
      <c r="I403" s="836"/>
      <c r="J403" s="836"/>
      <c r="K403" s="837"/>
      <c r="L403" s="837">
        <f t="shared" ref="L403:N404" si="177">L406+L409</f>
        <v>0</v>
      </c>
      <c r="M403" s="837">
        <f t="shared" si="177"/>
        <v>0</v>
      </c>
      <c r="N403" s="837">
        <f t="shared" si="177"/>
        <v>0</v>
      </c>
      <c r="O403" s="837">
        <f t="shared" si="175"/>
        <v>0</v>
      </c>
      <c r="P403" s="837">
        <f t="shared" si="176"/>
        <v>0</v>
      </c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</row>
    <row r="404" spans="1:26" ht="18.75" hidden="1">
      <c r="A404" s="940"/>
      <c r="B404" s="833"/>
      <c r="C404" s="833"/>
      <c r="D404" s="833"/>
      <c r="E404" s="834" t="s">
        <v>19</v>
      </c>
      <c r="F404" s="833"/>
      <c r="G404" s="941"/>
      <c r="H404" s="158" t="s">
        <v>12</v>
      </c>
      <c r="I404" s="836"/>
      <c r="J404" s="836"/>
      <c r="K404" s="837"/>
      <c r="L404" s="837">
        <f t="shared" ca="1" si="177"/>
        <v>0</v>
      </c>
      <c r="M404" s="837">
        <f t="shared" ca="1" si="177"/>
        <v>0</v>
      </c>
      <c r="N404" s="837">
        <f t="shared" ca="1" si="177"/>
        <v>0</v>
      </c>
      <c r="O404" s="837">
        <f t="shared" ca="1" si="175"/>
        <v>0</v>
      </c>
      <c r="P404" s="837">
        <f t="shared" ca="1" si="176"/>
        <v>0</v>
      </c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</row>
    <row r="405" spans="1:26" ht="18.75" hidden="1">
      <c r="A405" s="942"/>
      <c r="B405" s="827"/>
      <c r="C405" s="943"/>
      <c r="D405" s="828" t="s">
        <v>20</v>
      </c>
      <c r="E405" s="827"/>
      <c r="F405" s="827"/>
      <c r="G405" s="829"/>
      <c r="H405" s="778" t="s">
        <v>12</v>
      </c>
      <c r="I405" s="944"/>
      <c r="J405" s="944"/>
      <c r="K405" s="945"/>
      <c r="L405" s="831">
        <f t="shared" ref="L405:N405" ca="1" si="178">L406+L407</f>
        <v>0</v>
      </c>
      <c r="M405" s="831">
        <f t="shared" ca="1" si="178"/>
        <v>0</v>
      </c>
      <c r="N405" s="831">
        <f t="shared" ca="1" si="178"/>
        <v>0</v>
      </c>
      <c r="O405" s="831">
        <f t="shared" ca="1" si="175"/>
        <v>0</v>
      </c>
      <c r="P405" s="831">
        <f t="shared" ca="1" si="176"/>
        <v>0</v>
      </c>
      <c r="Q405" s="818"/>
      <c r="R405" s="818"/>
      <c r="S405" s="818"/>
      <c r="T405" s="818"/>
      <c r="U405" s="818"/>
      <c r="V405" s="818"/>
      <c r="W405" s="818"/>
      <c r="X405" s="818"/>
      <c r="Y405" s="818"/>
      <c r="Z405" s="818"/>
    </row>
    <row r="406" spans="1:26" ht="19.5" hidden="1">
      <c r="A406" s="940"/>
      <c r="B406" s="833"/>
      <c r="C406" s="946"/>
      <c r="D406" s="833"/>
      <c r="E406" s="834" t="s">
        <v>36</v>
      </c>
      <c r="F406" s="833"/>
      <c r="G406" s="941"/>
      <c r="H406" s="165" t="s">
        <v>12</v>
      </c>
      <c r="I406" s="947"/>
      <c r="J406" s="947"/>
      <c r="K406" s="948"/>
      <c r="L406" s="837">
        <v>0</v>
      </c>
      <c r="M406" s="837">
        <v>0</v>
      </c>
      <c r="N406" s="837">
        <v>0</v>
      </c>
      <c r="O406" s="837">
        <f t="shared" si="175"/>
        <v>0</v>
      </c>
      <c r="P406" s="837">
        <f t="shared" si="176"/>
        <v>0</v>
      </c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</row>
    <row r="407" spans="1:26" ht="19.5" hidden="1">
      <c r="A407" s="940"/>
      <c r="B407" s="833"/>
      <c r="C407" s="946"/>
      <c r="D407" s="833"/>
      <c r="E407" s="834" t="s">
        <v>37</v>
      </c>
      <c r="F407" s="833"/>
      <c r="G407" s="941"/>
      <c r="H407" s="165" t="s">
        <v>12</v>
      </c>
      <c r="I407" s="947"/>
      <c r="J407" s="947"/>
      <c r="K407" s="948"/>
      <c r="L407" s="837">
        <f ca="1">IFERROR(__xludf.DUMMYFUNCTION("IMPORTRANGE(""https://docs.google.com/spreadsheets/d/1MeEWN-I1oV_STSDYn1IFDPWt_1FKiwhDph83XaGc0o0/edit?usp=sharing"",""งบพรบ!FQ28"")"),0)</f>
        <v>0</v>
      </c>
      <c r="M407" s="837">
        <f ca="1">IFERROR(__xludf.DUMMYFUNCTION("IMPORTRANGE(""https://docs.google.com/spreadsheets/d/1MeEWN-I1oV_STSDYn1IFDPWt_1FKiwhDph83XaGc0o0/edit?usp=sharing"",""งบพรบ!FV28"")"),0)</f>
        <v>0</v>
      </c>
      <c r="N407" s="837">
        <f ca="1">IFERROR(__xludf.DUMMYFUNCTION("IMPORTRANGE(""https://docs.google.com/spreadsheets/d/1MeEWN-I1oV_STSDYn1IFDPWt_1FKiwhDph83XaGc0o0/edit?usp=sharing"",""งบพรบ!FX28"")"),0)</f>
        <v>0</v>
      </c>
      <c r="O407" s="837">
        <f t="shared" ca="1" si="175"/>
        <v>0</v>
      </c>
      <c r="P407" s="837">
        <f t="shared" ca="1" si="176"/>
        <v>0</v>
      </c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</row>
    <row r="408" spans="1:26" ht="18.75" hidden="1">
      <c r="A408" s="942"/>
      <c r="B408" s="827"/>
      <c r="C408" s="943"/>
      <c r="D408" s="828" t="s">
        <v>21</v>
      </c>
      <c r="E408" s="827"/>
      <c r="F408" s="827"/>
      <c r="G408" s="829"/>
      <c r="H408" s="168" t="s">
        <v>12</v>
      </c>
      <c r="I408" s="944"/>
      <c r="J408" s="944"/>
      <c r="K408" s="945"/>
      <c r="L408" s="831">
        <f t="shared" ref="L408:N408" ca="1" si="179">L409+L410</f>
        <v>0</v>
      </c>
      <c r="M408" s="831">
        <f t="shared" ca="1" si="179"/>
        <v>0</v>
      </c>
      <c r="N408" s="831">
        <f t="shared" ca="1" si="179"/>
        <v>0</v>
      </c>
      <c r="O408" s="831">
        <f t="shared" ca="1" si="175"/>
        <v>0</v>
      </c>
      <c r="P408" s="831">
        <f t="shared" ca="1" si="176"/>
        <v>0</v>
      </c>
      <c r="Q408" s="818"/>
      <c r="R408" s="818"/>
      <c r="S408" s="818"/>
      <c r="T408" s="818"/>
      <c r="U408" s="818"/>
      <c r="V408" s="818"/>
      <c r="W408" s="818"/>
      <c r="X408" s="818"/>
      <c r="Y408" s="818"/>
      <c r="Z408" s="818"/>
    </row>
    <row r="409" spans="1:26" ht="19.5" hidden="1">
      <c r="A409" s="940"/>
      <c r="B409" s="833"/>
      <c r="C409" s="946"/>
      <c r="D409" s="833"/>
      <c r="E409" s="834" t="s">
        <v>18</v>
      </c>
      <c r="F409" s="833"/>
      <c r="G409" s="941"/>
      <c r="H409" s="165" t="s">
        <v>12</v>
      </c>
      <c r="I409" s="947"/>
      <c r="J409" s="947"/>
      <c r="K409" s="948"/>
      <c r="L409" s="837">
        <v>0</v>
      </c>
      <c r="M409" s="837">
        <v>0</v>
      </c>
      <c r="N409" s="837">
        <v>0</v>
      </c>
      <c r="O409" s="837">
        <f t="shared" si="175"/>
        <v>0</v>
      </c>
      <c r="P409" s="837">
        <f t="shared" si="176"/>
        <v>0</v>
      </c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</row>
    <row r="410" spans="1:26" ht="19.5" hidden="1">
      <c r="A410" s="940"/>
      <c r="B410" s="833"/>
      <c r="C410" s="946"/>
      <c r="D410" s="833"/>
      <c r="E410" s="834" t="s">
        <v>19</v>
      </c>
      <c r="F410" s="833"/>
      <c r="G410" s="941"/>
      <c r="H410" s="169" t="s">
        <v>12</v>
      </c>
      <c r="I410" s="947"/>
      <c r="J410" s="947"/>
      <c r="K410" s="948"/>
      <c r="L410" s="837">
        <f ca="1">IFERROR(__xludf.DUMMYFUNCTION("IMPORTRANGE(""https://docs.google.com/spreadsheets/d/1MeEWN-I1oV_STSDYn1IFDPWt_1FKiwhDph83XaGc0o0/edit?usp=sharing"",""งบพรบ!FT28"")"),0)</f>
        <v>0</v>
      </c>
      <c r="M410" s="837">
        <f ca="1">IFERROR(__xludf.DUMMYFUNCTION("IMPORTRANGE(""https://docs.google.com/spreadsheets/d/1MeEWN-I1oV_STSDYn1IFDPWt_1FKiwhDph83XaGc0o0/edit?usp=sharing"",""งบพรบ!FW28"")"),0)</f>
        <v>0</v>
      </c>
      <c r="N410" s="837">
        <f ca="1">IFERROR(__xludf.DUMMYFUNCTION("IMPORTRANGE(""https://docs.google.com/spreadsheets/d/1MeEWN-I1oV_STSDYn1IFDPWt_1FKiwhDph83XaGc0o0/edit?usp=sharing"",""งบพรบ!FY28"")"),0)</f>
        <v>0</v>
      </c>
      <c r="O410" s="837">
        <f t="shared" ca="1" si="175"/>
        <v>0</v>
      </c>
      <c r="P410" s="837">
        <f t="shared" ca="1" si="176"/>
        <v>0</v>
      </c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</row>
    <row r="411" spans="1:26" ht="19.5" hidden="1">
      <c r="A411" s="949"/>
      <c r="B411" s="950"/>
      <c r="C411" s="946" t="s">
        <v>16</v>
      </c>
      <c r="D411" s="1207" t="s">
        <v>38</v>
      </c>
      <c r="E411" s="1208"/>
      <c r="F411" s="1208"/>
      <c r="G411" s="1209"/>
      <c r="H411" s="954"/>
      <c r="I411" s="830"/>
      <c r="J411" s="830"/>
      <c r="K411" s="831"/>
      <c r="L411" s="945"/>
      <c r="M411" s="945"/>
      <c r="N411" s="945"/>
      <c r="O411" s="945"/>
      <c r="P411" s="945"/>
    </row>
    <row r="412" spans="1:26" ht="18.75" hidden="1">
      <c r="A412" s="949"/>
      <c r="B412" s="957"/>
      <c r="C412" s="957"/>
      <c r="D412" s="956" t="s">
        <v>177</v>
      </c>
      <c r="E412" s="957"/>
      <c r="F412" s="957"/>
      <c r="G412" s="958"/>
      <c r="H412" s="501" t="s">
        <v>66</v>
      </c>
      <c r="I412" s="830">
        <v>0</v>
      </c>
      <c r="J412" s="959">
        <v>0</v>
      </c>
      <c r="K412" s="831">
        <f t="shared" ref="K412:K413" si="180">IF(I412&gt;0,J412*100/I412,0)</f>
        <v>0</v>
      </c>
      <c r="L412" s="945"/>
      <c r="M412" s="945"/>
      <c r="N412" s="945"/>
      <c r="O412" s="945"/>
      <c r="P412" s="945"/>
    </row>
    <row r="413" spans="1:26" ht="19.5" hidden="1" thickBot="1">
      <c r="A413" s="1210"/>
      <c r="B413" s="1211"/>
      <c r="C413" s="1211"/>
      <c r="D413" s="1212" t="s">
        <v>178</v>
      </c>
      <c r="E413" s="1211"/>
      <c r="F413" s="1211"/>
      <c r="G413" s="1213"/>
      <c r="H413" s="506" t="s">
        <v>179</v>
      </c>
      <c r="I413" s="1214">
        <v>0</v>
      </c>
      <c r="J413" s="1215">
        <v>0</v>
      </c>
      <c r="K413" s="1216">
        <f t="shared" si="180"/>
        <v>0</v>
      </c>
      <c r="L413" s="1217"/>
      <c r="M413" s="1217"/>
      <c r="N413" s="1217"/>
      <c r="O413" s="1217"/>
      <c r="P413" s="1217"/>
    </row>
    <row r="414" spans="1:26" ht="19.5">
      <c r="A414" s="1218" t="s">
        <v>180</v>
      </c>
      <c r="B414" s="1219"/>
      <c r="C414" s="1219"/>
      <c r="D414" s="1219"/>
      <c r="E414" s="1219"/>
      <c r="F414" s="1219"/>
      <c r="G414" s="1220"/>
      <c r="H414" s="1221"/>
      <c r="I414" s="1222"/>
      <c r="J414" s="1222"/>
      <c r="K414" s="1223"/>
      <c r="L414" s="1224">
        <f t="shared" ref="L414:N414" ca="1" si="181">L419+L444+L467+L502+L523+L544+L629+L655+L685+L737+L754+L770+L786+L805</f>
        <v>2120493</v>
      </c>
      <c r="M414" s="1224">
        <f t="shared" si="181"/>
        <v>0</v>
      </c>
      <c r="N414" s="1224">
        <f t="shared" si="181"/>
        <v>371314.18</v>
      </c>
      <c r="O414" s="1224">
        <f ca="1">IF(L414&gt;0,N414*100/L414,0)</f>
        <v>17.510747736493354</v>
      </c>
      <c r="P414" s="1224">
        <f>IF(M414&gt;0,N414*100/M414,0)</f>
        <v>0</v>
      </c>
    </row>
    <row r="415" spans="1:26" ht="19.5">
      <c r="A415" s="1225" t="s">
        <v>181</v>
      </c>
      <c r="B415" s="1226"/>
      <c r="C415" s="1226"/>
      <c r="D415" s="1226"/>
      <c r="E415" s="1226"/>
      <c r="F415" s="1226"/>
      <c r="G415" s="1226"/>
      <c r="H415" s="1227"/>
      <c r="I415" s="1228"/>
      <c r="J415" s="1228"/>
      <c r="K415" s="1229"/>
      <c r="L415" s="1230"/>
      <c r="M415" s="1230"/>
      <c r="N415" s="1230"/>
      <c r="O415" s="1230"/>
      <c r="P415" s="1230"/>
    </row>
    <row r="416" spans="1:26" ht="19.5">
      <c r="A416" s="1225" t="s">
        <v>182</v>
      </c>
      <c r="B416" s="1226"/>
      <c r="C416" s="1226"/>
      <c r="D416" s="1226"/>
      <c r="E416" s="1226"/>
      <c r="F416" s="1226"/>
      <c r="G416" s="1231"/>
      <c r="H416" s="1232"/>
      <c r="I416" s="1233"/>
      <c r="J416" s="1233"/>
      <c r="K416" s="1230"/>
      <c r="L416" s="1230"/>
      <c r="M416" s="1230"/>
      <c r="N416" s="1230"/>
      <c r="O416" s="1230"/>
      <c r="P416" s="1230"/>
    </row>
    <row r="417" spans="1:26" ht="39">
      <c r="A417" s="527">
        <v>1</v>
      </c>
      <c r="B417" s="1234" t="s">
        <v>183</v>
      </c>
      <c r="C417" s="1234"/>
      <c r="D417" s="1235"/>
      <c r="E417" s="1235"/>
      <c r="F417" s="1235"/>
      <c r="G417" s="1236"/>
      <c r="H417" s="532" t="s">
        <v>35</v>
      </c>
      <c r="I417" s="1237">
        <f t="shared" ref="I417:J418" ca="1" si="182">I433</f>
        <v>65</v>
      </c>
      <c r="J417" s="1237">
        <f t="shared" ca="1" si="182"/>
        <v>0</v>
      </c>
      <c r="K417" s="1238">
        <f t="shared" ref="K417:K418" ca="1" si="183">IF(I417&gt;0,J417*100/I417,0)</f>
        <v>0</v>
      </c>
      <c r="L417" s="1239"/>
      <c r="M417" s="1239"/>
      <c r="N417" s="1239"/>
      <c r="O417" s="1239"/>
      <c r="P417" s="1239"/>
    </row>
    <row r="418" spans="1:26" ht="19.5">
      <c r="A418" s="1240"/>
      <c r="B418" s="527"/>
      <c r="C418" s="1234"/>
      <c r="D418" s="1235"/>
      <c r="E418" s="1235"/>
      <c r="F418" s="1235"/>
      <c r="G418" s="1236"/>
      <c r="H418" s="532" t="s">
        <v>49</v>
      </c>
      <c r="I418" s="1237">
        <f t="shared" ca="1" si="182"/>
        <v>2</v>
      </c>
      <c r="J418" s="1237">
        <f t="shared" si="182"/>
        <v>2</v>
      </c>
      <c r="K418" s="1238">
        <f t="shared" ca="1" si="183"/>
        <v>100</v>
      </c>
      <c r="L418" s="1239"/>
      <c r="M418" s="1239"/>
      <c r="N418" s="1239"/>
      <c r="O418" s="1239"/>
      <c r="P418" s="1239"/>
    </row>
    <row r="419" spans="1:26" ht="19.5">
      <c r="A419" s="932"/>
      <c r="B419" s="933"/>
      <c r="C419" s="933" t="s">
        <v>16</v>
      </c>
      <c r="D419" s="1510" t="s">
        <v>17</v>
      </c>
      <c r="E419" s="1487"/>
      <c r="F419" s="1487"/>
      <c r="G419" s="936"/>
      <c r="H419" s="275" t="s">
        <v>12</v>
      </c>
      <c r="I419" s="937"/>
      <c r="J419" s="937"/>
      <c r="K419" s="938"/>
      <c r="L419" s="939">
        <f t="shared" ref="L419:N419" ca="1" si="184">L420+L421</f>
        <v>226960</v>
      </c>
      <c r="M419" s="939">
        <f t="shared" si="184"/>
        <v>0</v>
      </c>
      <c r="N419" s="939">
        <f t="shared" si="184"/>
        <v>136460</v>
      </c>
      <c r="O419" s="939">
        <f t="shared" ref="O419:O424" ca="1" si="185">IF(L419&gt;0,N419*100/L419,0)</f>
        <v>60.125132181882272</v>
      </c>
      <c r="P419" s="939">
        <f t="shared" ref="P419:P424" si="186">IF(M419&gt;0,N419*100/M419,0)</f>
        <v>0</v>
      </c>
      <c r="Q419" s="818"/>
      <c r="R419" s="818"/>
      <c r="S419" s="818"/>
      <c r="T419" s="818"/>
      <c r="U419" s="818"/>
      <c r="V419" s="818"/>
      <c r="W419" s="818"/>
      <c r="X419" s="818"/>
      <c r="Y419" s="818"/>
      <c r="Z419" s="818"/>
    </row>
    <row r="420" spans="1:26" ht="18.75" hidden="1">
      <c r="A420" s="940"/>
      <c r="B420" s="833"/>
      <c r="C420" s="833"/>
      <c r="D420" s="1061"/>
      <c r="E420" s="834" t="s">
        <v>184</v>
      </c>
      <c r="F420" s="833"/>
      <c r="G420" s="941"/>
      <c r="H420" s="165" t="s">
        <v>12</v>
      </c>
      <c r="I420" s="836"/>
      <c r="J420" s="836"/>
      <c r="K420" s="837"/>
      <c r="L420" s="837">
        <f t="shared" ref="L420:N421" si="187">L423+L430</f>
        <v>0</v>
      </c>
      <c r="M420" s="837">
        <f t="shared" si="187"/>
        <v>0</v>
      </c>
      <c r="N420" s="837">
        <f t="shared" si="187"/>
        <v>0</v>
      </c>
      <c r="O420" s="837">
        <f t="shared" si="185"/>
        <v>0</v>
      </c>
      <c r="P420" s="837">
        <f t="shared" si="186"/>
        <v>0</v>
      </c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</row>
    <row r="421" spans="1:26" ht="18.75" hidden="1">
      <c r="A421" s="940"/>
      <c r="B421" s="833"/>
      <c r="C421" s="833"/>
      <c r="D421" s="1061"/>
      <c r="E421" s="834" t="s">
        <v>185</v>
      </c>
      <c r="F421" s="833"/>
      <c r="G421" s="941"/>
      <c r="H421" s="165" t="s">
        <v>12</v>
      </c>
      <c r="I421" s="836"/>
      <c r="J421" s="836"/>
      <c r="K421" s="837"/>
      <c r="L421" s="837">
        <f t="shared" ca="1" si="187"/>
        <v>226960</v>
      </c>
      <c r="M421" s="837">
        <f t="shared" si="187"/>
        <v>0</v>
      </c>
      <c r="N421" s="837">
        <f t="shared" si="187"/>
        <v>136460</v>
      </c>
      <c r="O421" s="837">
        <f t="shared" ca="1" si="185"/>
        <v>60.125132181882272</v>
      </c>
      <c r="P421" s="837">
        <f t="shared" si="186"/>
        <v>0</v>
      </c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</row>
    <row r="422" spans="1:26" ht="18.75">
      <c r="A422" s="942"/>
      <c r="B422" s="1030"/>
      <c r="C422" s="827"/>
      <c r="D422" s="828" t="s">
        <v>20</v>
      </c>
      <c r="E422" s="827"/>
      <c r="F422" s="827"/>
      <c r="G422" s="829"/>
      <c r="H422" s="778" t="s">
        <v>12</v>
      </c>
      <c r="I422" s="944"/>
      <c r="J422" s="944"/>
      <c r="K422" s="945"/>
      <c r="L422" s="831">
        <f t="shared" ref="L422:N422" ca="1" si="188">L423+L424</f>
        <v>226960</v>
      </c>
      <c r="M422" s="831">
        <f t="shared" si="188"/>
        <v>0</v>
      </c>
      <c r="N422" s="831">
        <f t="shared" si="188"/>
        <v>136460</v>
      </c>
      <c r="O422" s="831">
        <f t="shared" ca="1" si="185"/>
        <v>60.125132181882272</v>
      </c>
      <c r="P422" s="831">
        <f t="shared" si="186"/>
        <v>0</v>
      </c>
      <c r="Q422" s="818"/>
      <c r="R422" s="818"/>
      <c r="S422" s="818"/>
      <c r="T422" s="818"/>
      <c r="U422" s="818"/>
      <c r="V422" s="818"/>
      <c r="W422" s="818"/>
      <c r="X422" s="818"/>
      <c r="Y422" s="818"/>
      <c r="Z422" s="818"/>
    </row>
    <row r="423" spans="1:26" ht="18.75" hidden="1">
      <c r="A423" s="940"/>
      <c r="B423" s="833"/>
      <c r="C423" s="833"/>
      <c r="D423" s="1061"/>
      <c r="E423" s="834" t="s">
        <v>184</v>
      </c>
      <c r="F423" s="833"/>
      <c r="G423" s="941"/>
      <c r="H423" s="165" t="s">
        <v>12</v>
      </c>
      <c r="I423" s="836"/>
      <c r="J423" s="836"/>
      <c r="K423" s="837"/>
      <c r="L423" s="837">
        <v>0</v>
      </c>
      <c r="M423" s="837">
        <v>0</v>
      </c>
      <c r="N423" s="837">
        <v>0</v>
      </c>
      <c r="O423" s="837">
        <f t="shared" si="185"/>
        <v>0</v>
      </c>
      <c r="P423" s="837">
        <f t="shared" si="186"/>
        <v>0</v>
      </c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</row>
    <row r="424" spans="1:26" ht="18.75" hidden="1">
      <c r="A424" s="940"/>
      <c r="B424" s="833"/>
      <c r="C424" s="833"/>
      <c r="D424" s="1061"/>
      <c r="E424" s="834" t="s">
        <v>185</v>
      </c>
      <c r="F424" s="833"/>
      <c r="G424" s="941"/>
      <c r="H424" s="165" t="s">
        <v>12</v>
      </c>
      <c r="I424" s="836"/>
      <c r="J424" s="836"/>
      <c r="K424" s="837"/>
      <c r="L424" s="837">
        <f ca="1">IFERROR(__xludf.DUMMYFUNCTION("IMPORTRANGE(""https://docs.google.com/spreadsheets/d/1QqKyyYR6Q21VydFLVH3TRQUabQu_ym0Zz7PgGX0-kHA/edit?usp=sharing"",""แผน!EY28"")"),226960)</f>
        <v>226960</v>
      </c>
      <c r="M424" s="837">
        <v>0</v>
      </c>
      <c r="N424" s="837">
        <f>N425+N426+N427+N428</f>
        <v>136460</v>
      </c>
      <c r="O424" s="837">
        <f t="shared" ca="1" si="185"/>
        <v>60.125132181882272</v>
      </c>
      <c r="P424" s="837">
        <f t="shared" si="186"/>
        <v>0</v>
      </c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</row>
    <row r="425" spans="1:26" ht="18.75">
      <c r="A425" s="1241"/>
      <c r="B425" s="1242"/>
      <c r="C425" s="1243"/>
      <c r="D425" s="1243"/>
      <c r="E425" s="1243"/>
      <c r="F425" s="1243" t="s">
        <v>186</v>
      </c>
      <c r="G425" s="963"/>
      <c r="H425" s="778" t="s">
        <v>12</v>
      </c>
      <c r="I425" s="830"/>
      <c r="J425" s="830"/>
      <c r="K425" s="831"/>
      <c r="L425" s="831"/>
      <c r="M425" s="831"/>
      <c r="N425" s="1031">
        <v>102600</v>
      </c>
      <c r="O425" s="831"/>
      <c r="P425" s="831"/>
      <c r="Q425" s="1244"/>
      <c r="R425" s="1244"/>
      <c r="S425" s="1244"/>
      <c r="T425" s="1244"/>
      <c r="U425" s="1244"/>
      <c r="V425" s="1244"/>
      <c r="W425" s="1244"/>
      <c r="X425" s="1244"/>
      <c r="Y425" s="1244"/>
      <c r="Z425" s="1244"/>
    </row>
    <row r="426" spans="1:26" ht="18.75">
      <c r="A426" s="1241"/>
      <c r="B426" s="1242"/>
      <c r="C426" s="1243"/>
      <c r="D426" s="1243"/>
      <c r="E426" s="1243"/>
      <c r="F426" s="1243" t="s">
        <v>187</v>
      </c>
      <c r="G426" s="963"/>
      <c r="H426" s="778" t="s">
        <v>12</v>
      </c>
      <c r="I426" s="830"/>
      <c r="J426" s="830"/>
      <c r="K426" s="831"/>
      <c r="L426" s="831"/>
      <c r="M426" s="831"/>
      <c r="N426" s="1031">
        <v>0</v>
      </c>
      <c r="O426" s="831"/>
      <c r="P426" s="831"/>
      <c r="Q426" s="1244"/>
      <c r="R426" s="1244"/>
      <c r="S426" s="1244"/>
      <c r="T426" s="1244"/>
      <c r="U426" s="1244"/>
      <c r="V426" s="1244"/>
      <c r="W426" s="1244"/>
      <c r="X426" s="1244"/>
      <c r="Y426" s="1244"/>
      <c r="Z426" s="1244"/>
    </row>
    <row r="427" spans="1:26" ht="18.75">
      <c r="A427" s="1241"/>
      <c r="B427" s="1242"/>
      <c r="C427" s="1243"/>
      <c r="D427" s="1243"/>
      <c r="E427" s="1243"/>
      <c r="F427" s="1243" t="s">
        <v>188</v>
      </c>
      <c r="G427" s="963"/>
      <c r="H427" s="778" t="s">
        <v>12</v>
      </c>
      <c r="I427" s="830"/>
      <c r="J427" s="830"/>
      <c r="K427" s="831"/>
      <c r="L427" s="831"/>
      <c r="M427" s="831"/>
      <c r="N427" s="1031">
        <v>0</v>
      </c>
      <c r="O427" s="831"/>
      <c r="P427" s="831"/>
      <c r="Q427" s="1244"/>
      <c r="R427" s="1244"/>
      <c r="S427" s="1244"/>
      <c r="T427" s="1244"/>
      <c r="U427" s="1244"/>
      <c r="V427" s="1244"/>
      <c r="W427" s="1244"/>
      <c r="X427" s="1244"/>
      <c r="Y427" s="1244"/>
      <c r="Z427" s="1244"/>
    </row>
    <row r="428" spans="1:26" ht="18.75">
      <c r="A428" s="1032"/>
      <c r="B428" s="1030"/>
      <c r="C428" s="827"/>
      <c r="D428" s="827"/>
      <c r="E428" s="827"/>
      <c r="F428" s="943" t="s">
        <v>189</v>
      </c>
      <c r="G428" s="977"/>
      <c r="H428" s="778" t="s">
        <v>12</v>
      </c>
      <c r="I428" s="830"/>
      <c r="J428" s="830"/>
      <c r="K428" s="831"/>
      <c r="L428" s="831"/>
      <c r="M428" s="831"/>
      <c r="N428" s="1031">
        <v>33860</v>
      </c>
      <c r="O428" s="831"/>
      <c r="P428" s="831"/>
      <c r="Q428" s="818"/>
      <c r="R428" s="818"/>
      <c r="S428" s="818"/>
      <c r="T428" s="818"/>
      <c r="U428" s="818"/>
      <c r="V428" s="818"/>
      <c r="W428" s="818"/>
      <c r="X428" s="818"/>
      <c r="Y428" s="818"/>
      <c r="Z428" s="818"/>
    </row>
    <row r="429" spans="1:26" ht="18.75">
      <c r="A429" s="942"/>
      <c r="B429" s="1030"/>
      <c r="C429" s="827"/>
      <c r="D429" s="828" t="s">
        <v>21</v>
      </c>
      <c r="E429" s="827"/>
      <c r="F429" s="827"/>
      <c r="G429" s="829"/>
      <c r="H429" s="168" t="s">
        <v>12</v>
      </c>
      <c r="I429" s="944"/>
      <c r="J429" s="944"/>
      <c r="K429" s="945"/>
      <c r="L429" s="831">
        <f t="shared" ref="L429:N429" ca="1" si="189">L430+L431</f>
        <v>0</v>
      </c>
      <c r="M429" s="831">
        <f t="shared" si="189"/>
        <v>0</v>
      </c>
      <c r="N429" s="831">
        <f t="shared" si="189"/>
        <v>0</v>
      </c>
      <c r="O429" s="831">
        <f t="shared" ref="O429:O431" ca="1" si="190">IF(L429&gt;0,N429*100/L429,0)</f>
        <v>0</v>
      </c>
      <c r="P429" s="831">
        <f t="shared" ref="P429:P431" si="191">IF(M429&gt;0,N429*100/M429,0)</f>
        <v>0</v>
      </c>
      <c r="Q429" s="818"/>
      <c r="R429" s="818"/>
      <c r="S429" s="818"/>
      <c r="T429" s="818"/>
      <c r="U429" s="818"/>
      <c r="V429" s="818"/>
      <c r="W429" s="818"/>
      <c r="X429" s="818"/>
      <c r="Y429" s="818"/>
      <c r="Z429" s="818"/>
    </row>
    <row r="430" spans="1:26" ht="18.75" hidden="1">
      <c r="A430" s="940"/>
      <c r="B430" s="1052"/>
      <c r="C430" s="833"/>
      <c r="D430" s="833"/>
      <c r="E430" s="834" t="s">
        <v>18</v>
      </c>
      <c r="F430" s="833"/>
      <c r="G430" s="835"/>
      <c r="H430" s="165" t="s">
        <v>12</v>
      </c>
      <c r="I430" s="947"/>
      <c r="J430" s="947"/>
      <c r="K430" s="948"/>
      <c r="L430" s="837">
        <v>0</v>
      </c>
      <c r="M430" s="837">
        <v>0</v>
      </c>
      <c r="N430" s="837">
        <v>0</v>
      </c>
      <c r="O430" s="837">
        <f t="shared" si="190"/>
        <v>0</v>
      </c>
      <c r="P430" s="837">
        <f t="shared" si="191"/>
        <v>0</v>
      </c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</row>
    <row r="431" spans="1:26" ht="18.75" hidden="1">
      <c r="A431" s="940"/>
      <c r="B431" s="1052"/>
      <c r="C431" s="833"/>
      <c r="D431" s="833"/>
      <c r="E431" s="834" t="s">
        <v>19</v>
      </c>
      <c r="F431" s="833"/>
      <c r="G431" s="835"/>
      <c r="H431" s="169" t="s">
        <v>12</v>
      </c>
      <c r="I431" s="947"/>
      <c r="J431" s="947"/>
      <c r="K431" s="948"/>
      <c r="L431" s="837">
        <f ca="1">IFERROR(__xludf.DUMMYFUNCTION("IMPORTRANGE(""https://docs.google.com/spreadsheets/d/1QqKyyYR6Q21VydFLVH3TRQUabQu_ym0Zz7PgGX0-kHA/edit?usp=sharing"",""แผน!FB28"")"),0)</f>
        <v>0</v>
      </c>
      <c r="M431" s="837">
        <v>0</v>
      </c>
      <c r="N431" s="837">
        <v>0</v>
      </c>
      <c r="O431" s="837">
        <f t="shared" ca="1" si="190"/>
        <v>0</v>
      </c>
      <c r="P431" s="837">
        <f t="shared" si="191"/>
        <v>0</v>
      </c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</row>
    <row r="432" spans="1:26" ht="19.5">
      <c r="A432" s="1112"/>
      <c r="B432" s="1113"/>
      <c r="C432" s="933" t="s">
        <v>16</v>
      </c>
      <c r="D432" s="1245" t="s">
        <v>38</v>
      </c>
      <c r="E432" s="1246"/>
      <c r="F432" s="1246"/>
      <c r="G432" s="1247"/>
      <c r="H432" s="1248"/>
      <c r="I432" s="937"/>
      <c r="J432" s="937"/>
      <c r="K432" s="938"/>
      <c r="L432" s="938"/>
      <c r="M432" s="938"/>
      <c r="N432" s="938"/>
      <c r="O432" s="938"/>
      <c r="P432" s="938"/>
      <c r="Q432" s="818"/>
      <c r="R432" s="818"/>
      <c r="S432" s="818"/>
      <c r="T432" s="818"/>
      <c r="U432" s="818"/>
      <c r="V432" s="818"/>
      <c r="W432" s="818"/>
      <c r="X432" s="818"/>
      <c r="Y432" s="818"/>
      <c r="Z432" s="818"/>
    </row>
    <row r="433" spans="1:26" ht="19.5">
      <c r="A433" s="949"/>
      <c r="B433" s="950"/>
      <c r="C433" s="950"/>
      <c r="D433" s="960" t="s">
        <v>190</v>
      </c>
      <c r="E433" s="957"/>
      <c r="F433" s="957"/>
      <c r="G433" s="958"/>
      <c r="H433" s="196" t="s">
        <v>35</v>
      </c>
      <c r="I433" s="966">
        <f ca="1">I435</f>
        <v>65</v>
      </c>
      <c r="J433" s="966">
        <f ca="1">IF(AND(J435=I435,J437=I437,J439=I439),I437+I439,IF(AND(J435=I437,J437=I437),I437,IF(AND(J435=I439,J439=I439),I439,0)))</f>
        <v>0</v>
      </c>
      <c r="K433" s="967">
        <f t="shared" ref="K433:K435" ca="1" si="192">IF(I433&gt;0,J433*100/I433,0)</f>
        <v>0</v>
      </c>
      <c r="L433" s="831"/>
      <c r="M433" s="831"/>
      <c r="N433" s="831"/>
      <c r="O433" s="831"/>
      <c r="P433" s="831"/>
      <c r="Q433" s="818"/>
      <c r="R433" s="818"/>
      <c r="S433" s="818"/>
      <c r="T433" s="818"/>
      <c r="U433" s="818"/>
      <c r="V433" s="818"/>
      <c r="W433" s="818"/>
      <c r="X433" s="818"/>
      <c r="Y433" s="818"/>
      <c r="Z433" s="818"/>
    </row>
    <row r="434" spans="1:26" ht="19.5">
      <c r="A434" s="949"/>
      <c r="B434" s="950"/>
      <c r="C434" s="950"/>
      <c r="D434" s="960" t="s">
        <v>191</v>
      </c>
      <c r="E434" s="957"/>
      <c r="F434" s="957"/>
      <c r="G434" s="958"/>
      <c r="H434" s="196" t="s">
        <v>49</v>
      </c>
      <c r="I434" s="966">
        <f t="shared" ref="I434:J434" ca="1" si="193">I438+I440</f>
        <v>2</v>
      </c>
      <c r="J434" s="966">
        <f t="shared" si="193"/>
        <v>2</v>
      </c>
      <c r="K434" s="967">
        <f t="shared" ca="1" si="192"/>
        <v>100</v>
      </c>
      <c r="L434" s="831"/>
      <c r="M434" s="831"/>
      <c r="N434" s="831"/>
      <c r="O434" s="831"/>
      <c r="P434" s="831"/>
      <c r="Q434" s="818"/>
      <c r="R434" s="818"/>
      <c r="S434" s="818"/>
      <c r="T434" s="818"/>
      <c r="U434" s="818"/>
      <c r="V434" s="818"/>
      <c r="W434" s="818"/>
      <c r="X434" s="818"/>
      <c r="Y434" s="818"/>
      <c r="Z434" s="818"/>
    </row>
    <row r="435" spans="1:26" ht="18.75">
      <c r="A435" s="949"/>
      <c r="B435" s="950"/>
      <c r="C435" s="950"/>
      <c r="D435" s="956" t="s">
        <v>192</v>
      </c>
      <c r="E435" s="957"/>
      <c r="F435" s="957"/>
      <c r="G435" s="958"/>
      <c r="H435" s="590" t="s">
        <v>35</v>
      </c>
      <c r="I435" s="548">
        <f ca="1">IFERROR(__xludf.DUMMYFUNCTION("IMPORTRANGE(""https://docs.google.com/spreadsheets/d/1QqKyyYR6Q21VydFLVH3TRQUabQu_ym0Zz7PgGX0-kHA/edit?usp=sharing"",""แผน!FC28"")"),65)</f>
        <v>65</v>
      </c>
      <c r="J435" s="549">
        <v>0</v>
      </c>
      <c r="K435" s="831">
        <f t="shared" ca="1" si="192"/>
        <v>0</v>
      </c>
      <c r="L435" s="831"/>
      <c r="M435" s="831"/>
      <c r="N435" s="831"/>
      <c r="O435" s="831"/>
      <c r="P435" s="831"/>
      <c r="Q435" s="818"/>
      <c r="R435" s="818"/>
      <c r="S435" s="818"/>
      <c r="T435" s="818"/>
      <c r="U435" s="818"/>
      <c r="V435" s="818"/>
      <c r="W435" s="818"/>
      <c r="X435" s="818"/>
      <c r="Y435" s="818"/>
      <c r="Z435" s="818"/>
    </row>
    <row r="436" spans="1:26" ht="18.75">
      <c r="A436" s="949"/>
      <c r="B436" s="950"/>
      <c r="C436" s="950"/>
      <c r="D436" s="956" t="s">
        <v>193</v>
      </c>
      <c r="E436" s="957"/>
      <c r="F436" s="957"/>
      <c r="G436" s="958"/>
      <c r="H436" s="590"/>
      <c r="I436" s="830"/>
      <c r="J436" s="830"/>
      <c r="K436" s="831"/>
      <c r="L436" s="831"/>
      <c r="M436" s="831"/>
      <c r="N436" s="831"/>
      <c r="O436" s="831"/>
      <c r="P436" s="831"/>
      <c r="Q436" s="818"/>
      <c r="R436" s="818"/>
      <c r="S436" s="818"/>
      <c r="T436" s="818"/>
      <c r="U436" s="818"/>
      <c r="V436" s="818"/>
      <c r="W436" s="818"/>
      <c r="X436" s="818"/>
      <c r="Y436" s="818"/>
      <c r="Z436" s="818"/>
    </row>
    <row r="437" spans="1:26" ht="18.75">
      <c r="A437" s="949"/>
      <c r="B437" s="950"/>
      <c r="C437" s="950"/>
      <c r="D437" s="956" t="s">
        <v>194</v>
      </c>
      <c r="E437" s="957"/>
      <c r="F437" s="957"/>
      <c r="G437" s="958"/>
      <c r="H437" s="590" t="s">
        <v>35</v>
      </c>
      <c r="I437" s="548">
        <f ca="1">IFERROR(__xludf.DUMMYFUNCTION("IMPORTRANGE(""https://docs.google.com/spreadsheets/d/1QqKyyYR6Q21VydFLVH3TRQUabQu_ym0Zz7PgGX0-kHA/edit?usp=sharing"",""แผน!FD28"")"),50)</f>
        <v>50</v>
      </c>
      <c r="J437" s="549">
        <v>50</v>
      </c>
      <c r="K437" s="831">
        <f t="shared" ref="K437:K443" ca="1" si="194">IF(I437&gt;0,J437*100/I437,0)</f>
        <v>100</v>
      </c>
      <c r="L437" s="831"/>
      <c r="M437" s="831"/>
      <c r="N437" s="831"/>
      <c r="O437" s="831"/>
      <c r="P437" s="831"/>
      <c r="Q437" s="818"/>
      <c r="R437" s="818"/>
      <c r="S437" s="818"/>
      <c r="T437" s="818"/>
      <c r="U437" s="818"/>
      <c r="V437" s="818"/>
      <c r="W437" s="818"/>
      <c r="X437" s="818"/>
      <c r="Y437" s="818"/>
      <c r="Z437" s="818"/>
    </row>
    <row r="438" spans="1:26" ht="18.75">
      <c r="A438" s="949"/>
      <c r="B438" s="950"/>
      <c r="C438" s="950"/>
      <c r="D438" s="956" t="s">
        <v>195</v>
      </c>
      <c r="E438" s="957"/>
      <c r="F438" s="957"/>
      <c r="G438" s="958"/>
      <c r="H438" s="590" t="s">
        <v>49</v>
      </c>
      <c r="I438" s="830">
        <f ca="1">IFERROR(__xludf.DUMMYFUNCTION("IMPORTRANGE(""https://docs.google.com/spreadsheets/d/1QqKyyYR6Q21VydFLVH3TRQUabQu_ym0Zz7PgGX0-kHA/edit?usp=sharing"",""แผน!FE28"")"),1)</f>
        <v>1</v>
      </c>
      <c r="J438" s="959">
        <v>1</v>
      </c>
      <c r="K438" s="831">
        <f t="shared" ca="1" si="194"/>
        <v>100</v>
      </c>
      <c r="L438" s="831"/>
      <c r="M438" s="831"/>
      <c r="N438" s="831"/>
      <c r="O438" s="831"/>
      <c r="P438" s="831"/>
      <c r="Q438" s="818"/>
      <c r="R438" s="818"/>
      <c r="S438" s="818"/>
      <c r="T438" s="818"/>
      <c r="U438" s="818"/>
      <c r="V438" s="818"/>
      <c r="W438" s="818"/>
      <c r="X438" s="818"/>
      <c r="Y438" s="818"/>
      <c r="Z438" s="818"/>
    </row>
    <row r="439" spans="1:26" ht="18.75">
      <c r="A439" s="949"/>
      <c r="B439" s="950"/>
      <c r="C439" s="950"/>
      <c r="D439" s="956" t="s">
        <v>196</v>
      </c>
      <c r="E439" s="957"/>
      <c r="F439" s="957"/>
      <c r="G439" s="958"/>
      <c r="H439" s="590" t="s">
        <v>35</v>
      </c>
      <c r="I439" s="548">
        <f ca="1">IFERROR(__xludf.DUMMYFUNCTION("IMPORTRANGE(""https://docs.google.com/spreadsheets/d/1QqKyyYR6Q21VydFLVH3TRQUabQu_ym0Zz7PgGX0-kHA/edit?usp=sharing"",""แผน!FF28"")"),15)</f>
        <v>15</v>
      </c>
      <c r="J439" s="549">
        <v>15</v>
      </c>
      <c r="K439" s="831">
        <f t="shared" ca="1" si="194"/>
        <v>100</v>
      </c>
      <c r="L439" s="831"/>
      <c r="M439" s="831"/>
      <c r="N439" s="831"/>
      <c r="O439" s="831"/>
      <c r="P439" s="831"/>
      <c r="Q439" s="818"/>
      <c r="R439" s="818"/>
      <c r="S439" s="818"/>
      <c r="T439" s="818"/>
      <c r="U439" s="818"/>
      <c r="V439" s="818"/>
      <c r="W439" s="818"/>
      <c r="X439" s="818"/>
      <c r="Y439" s="818"/>
      <c r="Z439" s="818"/>
    </row>
    <row r="440" spans="1:26" ht="18.75">
      <c r="A440" s="949"/>
      <c r="B440" s="950"/>
      <c r="C440" s="950"/>
      <c r="D440" s="956" t="s">
        <v>197</v>
      </c>
      <c r="E440" s="957"/>
      <c r="F440" s="957"/>
      <c r="G440" s="958"/>
      <c r="H440" s="590" t="s">
        <v>49</v>
      </c>
      <c r="I440" s="830">
        <f ca="1">IFERROR(__xludf.DUMMYFUNCTION("IMPORTRANGE(""https://docs.google.com/spreadsheets/d/1QqKyyYR6Q21VydFLVH3TRQUabQu_ym0Zz7PgGX0-kHA/edit?usp=sharing"",""แผน!FG28"")"),1)</f>
        <v>1</v>
      </c>
      <c r="J440" s="959">
        <v>1</v>
      </c>
      <c r="K440" s="831">
        <f t="shared" ca="1" si="194"/>
        <v>100</v>
      </c>
      <c r="L440" s="831"/>
      <c r="M440" s="831"/>
      <c r="N440" s="831"/>
      <c r="O440" s="831"/>
      <c r="P440" s="831"/>
      <c r="Q440" s="818"/>
      <c r="R440" s="818"/>
      <c r="S440" s="818"/>
      <c r="T440" s="818"/>
      <c r="U440" s="818"/>
      <c r="V440" s="818"/>
      <c r="W440" s="818"/>
      <c r="X440" s="818"/>
      <c r="Y440" s="818"/>
      <c r="Z440" s="818"/>
    </row>
    <row r="441" spans="1:26" ht="18.75" hidden="1">
      <c r="A441" s="949"/>
      <c r="B441" s="950"/>
      <c r="C441" s="950"/>
      <c r="D441" s="956" t="s">
        <v>198</v>
      </c>
      <c r="E441" s="957"/>
      <c r="F441" s="957"/>
      <c r="G441" s="958"/>
      <c r="H441" s="590" t="s">
        <v>35</v>
      </c>
      <c r="I441" s="830">
        <f ca="1">IFERROR(__xludf.DUMMYFUNCTION("IMPORTRANGE(""https://docs.google.com/spreadsheets/d/1QqKyyYR6Q21VydFLVH3TRQUabQu_ym0Zz7PgGX0-kHA/edit?usp=sharing"",""แผน!FH28"")"),0)</f>
        <v>0</v>
      </c>
      <c r="J441" s="830">
        <v>0</v>
      </c>
      <c r="K441" s="831">
        <f t="shared" ca="1" si="194"/>
        <v>0</v>
      </c>
      <c r="L441" s="831"/>
      <c r="M441" s="831"/>
      <c r="N441" s="831"/>
      <c r="O441" s="831"/>
      <c r="P441" s="831"/>
      <c r="Q441" s="818"/>
      <c r="R441" s="818"/>
      <c r="S441" s="818"/>
      <c r="T441" s="818"/>
      <c r="U441" s="818"/>
      <c r="V441" s="818"/>
      <c r="W441" s="818"/>
      <c r="X441" s="818"/>
      <c r="Y441" s="818"/>
      <c r="Z441" s="818"/>
    </row>
    <row r="442" spans="1:26" ht="19.5">
      <c r="A442" s="550">
        <v>2</v>
      </c>
      <c r="B442" s="1249" t="s">
        <v>199</v>
      </c>
      <c r="C442" s="1250"/>
      <c r="D442" s="1250"/>
      <c r="E442" s="1250"/>
      <c r="F442" s="1250"/>
      <c r="G442" s="1251"/>
      <c r="H442" s="554" t="s">
        <v>35</v>
      </c>
      <c r="I442" s="1252">
        <f t="shared" ref="I442:J442" ca="1" si="195">I460</f>
        <v>115</v>
      </c>
      <c r="J442" s="1252">
        <f t="shared" si="195"/>
        <v>115</v>
      </c>
      <c r="K442" s="1253">
        <f t="shared" ca="1" si="194"/>
        <v>100</v>
      </c>
      <c r="L442" s="1254"/>
      <c r="M442" s="1254"/>
      <c r="N442" s="1254"/>
      <c r="O442" s="1254"/>
      <c r="P442" s="1254"/>
      <c r="Q442" s="1244"/>
      <c r="R442" s="1244"/>
      <c r="S442" s="1244"/>
      <c r="T442" s="1244"/>
      <c r="U442" s="1244"/>
      <c r="V442" s="1244"/>
      <c r="W442" s="1244"/>
      <c r="X442" s="1244"/>
      <c r="Y442" s="1244"/>
      <c r="Z442" s="1244"/>
    </row>
    <row r="443" spans="1:26" ht="19.5">
      <c r="A443" s="1255"/>
      <c r="B443" s="1256"/>
      <c r="C443" s="1257"/>
      <c r="D443" s="1257"/>
      <c r="E443" s="1257"/>
      <c r="F443" s="1257"/>
      <c r="G443" s="1258"/>
      <c r="H443" s="532" t="s">
        <v>46</v>
      </c>
      <c r="I443" s="1237">
        <f t="shared" ref="I443:J443" ca="1" si="196">I462</f>
        <v>360</v>
      </c>
      <c r="J443" s="1237">
        <f t="shared" si="196"/>
        <v>0</v>
      </c>
      <c r="K443" s="1238">
        <f t="shared" ca="1" si="194"/>
        <v>0</v>
      </c>
      <c r="L443" s="1239"/>
      <c r="M443" s="1239"/>
      <c r="N443" s="1239"/>
      <c r="O443" s="1239"/>
      <c r="P443" s="1239"/>
      <c r="Q443" s="1244"/>
      <c r="R443" s="1244"/>
      <c r="S443" s="1244"/>
      <c r="T443" s="1244"/>
      <c r="U443" s="1244"/>
      <c r="V443" s="1244"/>
      <c r="W443" s="1244"/>
      <c r="X443" s="1244"/>
      <c r="Y443" s="1244"/>
      <c r="Z443" s="1244"/>
    </row>
    <row r="444" spans="1:26" ht="19.5">
      <c r="A444" s="1259"/>
      <c r="B444" s="1243"/>
      <c r="C444" s="1243" t="s">
        <v>16</v>
      </c>
      <c r="D444" s="1507" t="s">
        <v>17</v>
      </c>
      <c r="E444" s="1485"/>
      <c r="F444" s="1485"/>
      <c r="G444" s="963"/>
      <c r="H444" s="563" t="s">
        <v>12</v>
      </c>
      <c r="I444" s="830"/>
      <c r="J444" s="830"/>
      <c r="K444" s="831"/>
      <c r="L444" s="967">
        <f t="shared" ref="L444:N444" ca="1" si="197">L445+L446</f>
        <v>757044</v>
      </c>
      <c r="M444" s="967">
        <f t="shared" si="197"/>
        <v>0</v>
      </c>
      <c r="N444" s="967">
        <f t="shared" si="197"/>
        <v>158934.64000000001</v>
      </c>
      <c r="O444" s="967">
        <f t="shared" ref="O444:O449" ca="1" si="198">IF(L444&gt;0,N444*100/L444,0)</f>
        <v>20.994108664753966</v>
      </c>
      <c r="P444" s="967">
        <f t="shared" ref="P444:P449" si="199">IF(M444&gt;0,N444*100/M444,0)</f>
        <v>0</v>
      </c>
      <c r="Q444" s="1244"/>
      <c r="R444" s="1244"/>
      <c r="S444" s="1244"/>
      <c r="T444" s="1244"/>
      <c r="U444" s="1244"/>
      <c r="V444" s="1244"/>
      <c r="W444" s="1244"/>
      <c r="X444" s="1244"/>
      <c r="Y444" s="1244"/>
      <c r="Z444" s="1244"/>
    </row>
    <row r="445" spans="1:26" ht="18.75" hidden="1">
      <c r="A445" s="1260"/>
      <c r="B445" s="1261"/>
      <c r="C445" s="1261"/>
      <c r="D445" s="1262"/>
      <c r="E445" s="1261" t="s">
        <v>184</v>
      </c>
      <c r="F445" s="1261"/>
      <c r="G445" s="1263"/>
      <c r="H445" s="165" t="s">
        <v>12</v>
      </c>
      <c r="I445" s="836"/>
      <c r="J445" s="836"/>
      <c r="K445" s="837"/>
      <c r="L445" s="837">
        <f t="shared" ref="L445:N446" si="200">L448+L455</f>
        <v>0</v>
      </c>
      <c r="M445" s="837">
        <f t="shared" si="200"/>
        <v>0</v>
      </c>
      <c r="N445" s="837">
        <f t="shared" si="200"/>
        <v>0</v>
      </c>
      <c r="O445" s="837">
        <f t="shared" si="198"/>
        <v>0</v>
      </c>
      <c r="P445" s="837">
        <f t="shared" si="199"/>
        <v>0</v>
      </c>
      <c r="Q445" s="1264"/>
      <c r="R445" s="1264"/>
      <c r="S445" s="1264"/>
      <c r="T445" s="1264"/>
      <c r="U445" s="1264"/>
      <c r="V445" s="1264"/>
      <c r="W445" s="1264"/>
      <c r="X445" s="1264"/>
      <c r="Y445" s="1264"/>
      <c r="Z445" s="1264"/>
    </row>
    <row r="446" spans="1:26" ht="18.75" hidden="1">
      <c r="A446" s="1260"/>
      <c r="B446" s="1265"/>
      <c r="C446" s="1261"/>
      <c r="D446" s="1262"/>
      <c r="E446" s="1261" t="s">
        <v>185</v>
      </c>
      <c r="F446" s="1261"/>
      <c r="G446" s="1263"/>
      <c r="H446" s="165" t="s">
        <v>12</v>
      </c>
      <c r="I446" s="836"/>
      <c r="J446" s="836"/>
      <c r="K446" s="837"/>
      <c r="L446" s="837">
        <f t="shared" ca="1" si="200"/>
        <v>757044</v>
      </c>
      <c r="M446" s="837">
        <f t="shared" si="200"/>
        <v>0</v>
      </c>
      <c r="N446" s="837">
        <f t="shared" si="200"/>
        <v>158934.64000000001</v>
      </c>
      <c r="O446" s="837">
        <f t="shared" ca="1" si="198"/>
        <v>20.994108664753966</v>
      </c>
      <c r="P446" s="837">
        <f t="shared" si="199"/>
        <v>0</v>
      </c>
      <c r="Q446" s="1264"/>
      <c r="R446" s="1264"/>
      <c r="S446" s="1264"/>
      <c r="T446" s="1264"/>
      <c r="U446" s="1264"/>
      <c r="V446" s="1264"/>
      <c r="W446" s="1264"/>
      <c r="X446" s="1264"/>
      <c r="Y446" s="1264"/>
      <c r="Z446" s="1264"/>
    </row>
    <row r="447" spans="1:26" ht="18.75">
      <c r="A447" s="1259"/>
      <c r="B447" s="1242"/>
      <c r="C447" s="1243"/>
      <c r="D447" s="1266" t="s">
        <v>20</v>
      </c>
      <c r="E447" s="1243"/>
      <c r="F447" s="1243"/>
      <c r="G447" s="963"/>
      <c r="H447" s="778" t="s">
        <v>12</v>
      </c>
      <c r="I447" s="944"/>
      <c r="J447" s="944"/>
      <c r="K447" s="945"/>
      <c r="L447" s="831">
        <f t="shared" ref="L447:N447" ca="1" si="201">L448+L449</f>
        <v>757044</v>
      </c>
      <c r="M447" s="831">
        <f t="shared" si="201"/>
        <v>0</v>
      </c>
      <c r="N447" s="831">
        <f t="shared" si="201"/>
        <v>158934.64000000001</v>
      </c>
      <c r="O447" s="831">
        <f t="shared" ca="1" si="198"/>
        <v>20.994108664753966</v>
      </c>
      <c r="P447" s="831">
        <f t="shared" si="199"/>
        <v>0</v>
      </c>
      <c r="Q447" s="1244"/>
      <c r="R447" s="1244"/>
      <c r="S447" s="1244"/>
      <c r="T447" s="1244"/>
      <c r="U447" s="1244"/>
      <c r="V447" s="1244"/>
      <c r="W447" s="1244"/>
      <c r="X447" s="1244"/>
      <c r="Y447" s="1244"/>
      <c r="Z447" s="1244"/>
    </row>
    <row r="448" spans="1:26" ht="18.75" hidden="1">
      <c r="A448" s="1260"/>
      <c r="B448" s="1265"/>
      <c r="C448" s="1261"/>
      <c r="D448" s="1262"/>
      <c r="E448" s="1261" t="s">
        <v>184</v>
      </c>
      <c r="F448" s="1261"/>
      <c r="G448" s="1263"/>
      <c r="H448" s="165" t="s">
        <v>12</v>
      </c>
      <c r="I448" s="836"/>
      <c r="J448" s="836"/>
      <c r="K448" s="837"/>
      <c r="L448" s="837">
        <v>0</v>
      </c>
      <c r="M448" s="837">
        <v>0</v>
      </c>
      <c r="N448" s="837">
        <v>0</v>
      </c>
      <c r="O448" s="837">
        <f t="shared" si="198"/>
        <v>0</v>
      </c>
      <c r="P448" s="837">
        <f t="shared" si="199"/>
        <v>0</v>
      </c>
      <c r="Q448" s="1264"/>
      <c r="R448" s="1264"/>
      <c r="S448" s="1264"/>
      <c r="T448" s="1264"/>
      <c r="U448" s="1264"/>
      <c r="V448" s="1264"/>
      <c r="W448" s="1264"/>
      <c r="X448" s="1264"/>
      <c r="Y448" s="1264"/>
      <c r="Z448" s="1264"/>
    </row>
    <row r="449" spans="1:26" ht="18.75" hidden="1">
      <c r="A449" s="1260"/>
      <c r="B449" s="1265"/>
      <c r="C449" s="1261"/>
      <c r="D449" s="1262"/>
      <c r="E449" s="1261" t="s">
        <v>185</v>
      </c>
      <c r="F449" s="1261"/>
      <c r="G449" s="1263"/>
      <c r="H449" s="165" t="s">
        <v>12</v>
      </c>
      <c r="I449" s="836"/>
      <c r="J449" s="836"/>
      <c r="K449" s="837"/>
      <c r="L449" s="837">
        <f ca="1">IFERROR(__xludf.DUMMYFUNCTION("IMPORTRANGE(""https://docs.google.com/spreadsheets/d/1QqKyyYR6Q21VydFLVH3TRQUabQu_ym0Zz7PgGX0-kHA/edit?usp=sharing"",""แผน!FJ28"")"),757044)</f>
        <v>757044</v>
      </c>
      <c r="M449" s="837">
        <v>0</v>
      </c>
      <c r="N449" s="837">
        <f>N450+N451+N452+N453</f>
        <v>158934.64000000001</v>
      </c>
      <c r="O449" s="837">
        <f t="shared" ca="1" si="198"/>
        <v>20.994108664753966</v>
      </c>
      <c r="P449" s="837">
        <f t="shared" si="199"/>
        <v>0</v>
      </c>
      <c r="Q449" s="1264"/>
      <c r="R449" s="1264"/>
      <c r="S449" s="1264"/>
      <c r="T449" s="1264"/>
      <c r="U449" s="1264"/>
      <c r="V449" s="1264"/>
      <c r="W449" s="1264"/>
      <c r="X449" s="1264"/>
      <c r="Y449" s="1264"/>
      <c r="Z449" s="1264"/>
    </row>
    <row r="450" spans="1:26" ht="18.75">
      <c r="A450" s="1241"/>
      <c r="B450" s="1242"/>
      <c r="C450" s="1243"/>
      <c r="D450" s="1243"/>
      <c r="E450" s="1243"/>
      <c r="F450" s="1243" t="s">
        <v>186</v>
      </c>
      <c r="G450" s="963"/>
      <c r="H450" s="778" t="s">
        <v>12</v>
      </c>
      <c r="I450" s="830"/>
      <c r="J450" s="830"/>
      <c r="K450" s="831"/>
      <c r="L450" s="831"/>
      <c r="M450" s="831"/>
      <c r="N450" s="1031">
        <v>109070</v>
      </c>
      <c r="O450" s="831"/>
      <c r="P450" s="831"/>
      <c r="Q450" s="1244"/>
      <c r="R450" s="1244"/>
      <c r="S450" s="1244"/>
      <c r="T450" s="1244"/>
      <c r="U450" s="1244"/>
      <c r="V450" s="1244"/>
      <c r="W450" s="1244"/>
      <c r="X450" s="1244"/>
      <c r="Y450" s="1244"/>
      <c r="Z450" s="1244"/>
    </row>
    <row r="451" spans="1:26" ht="18.75">
      <c r="A451" s="1241"/>
      <c r="B451" s="1242"/>
      <c r="C451" s="1243"/>
      <c r="D451" s="1243"/>
      <c r="E451" s="1243"/>
      <c r="F451" s="1243" t="s">
        <v>187</v>
      </c>
      <c r="G451" s="963"/>
      <c r="H451" s="778" t="s">
        <v>12</v>
      </c>
      <c r="I451" s="830"/>
      <c r="J451" s="830"/>
      <c r="K451" s="831"/>
      <c r="L451" s="831"/>
      <c r="M451" s="831"/>
      <c r="N451" s="1031">
        <v>0</v>
      </c>
      <c r="O451" s="831"/>
      <c r="P451" s="831"/>
      <c r="Q451" s="1244"/>
      <c r="R451" s="1244"/>
      <c r="S451" s="1244"/>
      <c r="T451" s="1244"/>
      <c r="U451" s="1244"/>
      <c r="V451" s="1244"/>
      <c r="W451" s="1244"/>
      <c r="X451" s="1244"/>
      <c r="Y451" s="1244"/>
      <c r="Z451" s="1244"/>
    </row>
    <row r="452" spans="1:26" ht="18.75">
      <c r="A452" s="1241"/>
      <c r="B452" s="1242"/>
      <c r="C452" s="1242"/>
      <c r="D452" s="1242"/>
      <c r="E452" s="1242"/>
      <c r="F452" s="1243" t="s">
        <v>188</v>
      </c>
      <c r="G452" s="963"/>
      <c r="H452" s="778" t="s">
        <v>12</v>
      </c>
      <c r="I452" s="830"/>
      <c r="J452" s="830"/>
      <c r="K452" s="831"/>
      <c r="L452" s="831"/>
      <c r="M452" s="831"/>
      <c r="N452" s="1031">
        <v>25580.639999999999</v>
      </c>
      <c r="O452" s="831"/>
      <c r="P452" s="831"/>
      <c r="Q452" s="1244"/>
      <c r="R452" s="1244"/>
      <c r="S452" s="1244"/>
      <c r="T452" s="1244"/>
      <c r="U452" s="1244"/>
      <c r="V452" s="1244"/>
      <c r="W452" s="1244"/>
      <c r="X452" s="1244"/>
      <c r="Y452" s="1244"/>
      <c r="Z452" s="1244"/>
    </row>
    <row r="453" spans="1:26" ht="18.75">
      <c r="A453" s="1241"/>
      <c r="B453" s="1242"/>
      <c r="C453" s="1242"/>
      <c r="D453" s="1242"/>
      <c r="E453" s="1242"/>
      <c r="F453" s="1243" t="s">
        <v>189</v>
      </c>
      <c r="G453" s="963"/>
      <c r="H453" s="778" t="s">
        <v>12</v>
      </c>
      <c r="I453" s="830"/>
      <c r="J453" s="830"/>
      <c r="K453" s="831"/>
      <c r="L453" s="831"/>
      <c r="M453" s="831"/>
      <c r="N453" s="1031">
        <v>24284</v>
      </c>
      <c r="O453" s="831"/>
      <c r="P453" s="831"/>
      <c r="Q453" s="1244"/>
      <c r="R453" s="1244"/>
      <c r="S453" s="1244"/>
      <c r="T453" s="1244"/>
      <c r="U453" s="1244"/>
      <c r="V453" s="1244"/>
      <c r="W453" s="1244"/>
      <c r="X453" s="1244"/>
      <c r="Y453" s="1244"/>
      <c r="Z453" s="1244"/>
    </row>
    <row r="454" spans="1:26" ht="18.75">
      <c r="A454" s="1259"/>
      <c r="B454" s="1242"/>
      <c r="C454" s="1242"/>
      <c r="D454" s="1266" t="s">
        <v>21</v>
      </c>
      <c r="E454" s="1242"/>
      <c r="F454" s="1243"/>
      <c r="G454" s="963"/>
      <c r="H454" s="168" t="s">
        <v>12</v>
      </c>
      <c r="I454" s="944"/>
      <c r="J454" s="944"/>
      <c r="K454" s="945"/>
      <c r="L454" s="831">
        <f t="shared" ref="L454:N454" ca="1" si="202">L455+L456</f>
        <v>0</v>
      </c>
      <c r="M454" s="831">
        <f t="shared" si="202"/>
        <v>0</v>
      </c>
      <c r="N454" s="831">
        <f t="shared" si="202"/>
        <v>0</v>
      </c>
      <c r="O454" s="831">
        <f t="shared" ref="O454:O456" ca="1" si="203">IF(L454&gt;0,N454*100/L454,0)</f>
        <v>0</v>
      </c>
      <c r="P454" s="831">
        <f t="shared" ref="P454:P456" si="204">IF(M454&gt;0,N454*100/M454,0)</f>
        <v>0</v>
      </c>
      <c r="Q454" s="1244"/>
      <c r="R454" s="1244"/>
      <c r="S454" s="1244"/>
      <c r="T454" s="1244"/>
      <c r="U454" s="1244"/>
      <c r="V454" s="1244"/>
      <c r="W454" s="1244"/>
      <c r="X454" s="1244"/>
      <c r="Y454" s="1244"/>
      <c r="Z454" s="1244"/>
    </row>
    <row r="455" spans="1:26" ht="18.75" hidden="1">
      <c r="A455" s="1260"/>
      <c r="B455" s="1265"/>
      <c r="C455" s="1265"/>
      <c r="D455" s="1265"/>
      <c r="E455" s="1265" t="s">
        <v>18</v>
      </c>
      <c r="F455" s="1261"/>
      <c r="G455" s="1263"/>
      <c r="H455" s="165" t="s">
        <v>12</v>
      </c>
      <c r="I455" s="947"/>
      <c r="J455" s="947"/>
      <c r="K455" s="948"/>
      <c r="L455" s="837">
        <v>0</v>
      </c>
      <c r="M455" s="837">
        <v>0</v>
      </c>
      <c r="N455" s="837">
        <v>0</v>
      </c>
      <c r="O455" s="837">
        <f t="shared" si="203"/>
        <v>0</v>
      </c>
      <c r="P455" s="837">
        <f t="shared" si="204"/>
        <v>0</v>
      </c>
      <c r="Q455" s="1264"/>
      <c r="R455" s="1264"/>
      <c r="S455" s="1264"/>
      <c r="T455" s="1264"/>
      <c r="U455" s="1264"/>
      <c r="V455" s="1264"/>
      <c r="W455" s="1264"/>
      <c r="X455" s="1264"/>
      <c r="Y455" s="1264"/>
      <c r="Z455" s="1264"/>
    </row>
    <row r="456" spans="1:26" ht="18.75" hidden="1">
      <c r="A456" s="1260"/>
      <c r="B456" s="1265"/>
      <c r="C456" s="1265"/>
      <c r="D456" s="1265"/>
      <c r="E456" s="1265" t="s">
        <v>19</v>
      </c>
      <c r="F456" s="1261"/>
      <c r="G456" s="1263"/>
      <c r="H456" s="169" t="s">
        <v>12</v>
      </c>
      <c r="I456" s="947"/>
      <c r="J456" s="947"/>
      <c r="K456" s="948"/>
      <c r="L456" s="837">
        <f ca="1">IFERROR(__xludf.DUMMYFUNCTION("IMPORTRANGE(""https://docs.google.com/spreadsheets/d/1QqKyyYR6Q21VydFLVH3TRQUabQu_ym0Zz7PgGX0-kHA/edit?usp=sharing"",""แผน!FM28"")"),0)</f>
        <v>0</v>
      </c>
      <c r="M456" s="837">
        <v>0</v>
      </c>
      <c r="N456" s="837">
        <v>0</v>
      </c>
      <c r="O456" s="837">
        <f t="shared" ca="1" si="203"/>
        <v>0</v>
      </c>
      <c r="P456" s="837">
        <f t="shared" si="204"/>
        <v>0</v>
      </c>
      <c r="Q456" s="1264"/>
      <c r="R456" s="1264"/>
      <c r="S456" s="1264"/>
      <c r="T456" s="1264"/>
      <c r="U456" s="1264"/>
      <c r="V456" s="1264"/>
      <c r="W456" s="1264"/>
      <c r="X456" s="1264"/>
      <c r="Y456" s="1264"/>
      <c r="Z456" s="1264"/>
    </row>
    <row r="457" spans="1:26" ht="19.5">
      <c r="A457" s="1267"/>
      <c r="B457" s="1268"/>
      <c r="C457" s="1242" t="s">
        <v>16</v>
      </c>
      <c r="D457" s="1269" t="s">
        <v>38</v>
      </c>
      <c r="E457" s="1270"/>
      <c r="F457" s="1271"/>
      <c r="G457" s="1272"/>
      <c r="H457" s="954"/>
      <c r="I457" s="830"/>
      <c r="J457" s="830"/>
      <c r="K457" s="831"/>
      <c r="L457" s="831"/>
      <c r="M457" s="831"/>
      <c r="N457" s="831"/>
      <c r="O457" s="831"/>
      <c r="P457" s="831"/>
      <c r="Q457" s="1244"/>
      <c r="R457" s="1244"/>
      <c r="S457" s="1244"/>
      <c r="T457" s="1244"/>
      <c r="U457" s="1244"/>
      <c r="V457" s="1244"/>
      <c r="W457" s="1244"/>
      <c r="X457" s="1244"/>
      <c r="Y457" s="1244"/>
      <c r="Z457" s="1244"/>
    </row>
    <row r="458" spans="1:26" ht="18.75" hidden="1">
      <c r="A458" s="1273"/>
      <c r="B458" s="1274"/>
      <c r="C458" s="1274"/>
      <c r="D458" s="1274" t="s">
        <v>200</v>
      </c>
      <c r="E458" s="1274"/>
      <c r="F458" s="1262"/>
      <c r="G458" s="1060"/>
      <c r="H458" s="583" t="s">
        <v>35</v>
      </c>
      <c r="I458" s="836">
        <v>0</v>
      </c>
      <c r="J458" s="836">
        <v>0</v>
      </c>
      <c r="K458" s="837">
        <f>IF(I458&gt;0,J458*100/I458,0)</f>
        <v>0</v>
      </c>
      <c r="L458" s="837"/>
      <c r="M458" s="837"/>
      <c r="N458" s="837"/>
      <c r="O458" s="837"/>
      <c r="P458" s="837"/>
      <c r="Q458" s="1264"/>
      <c r="R458" s="1264"/>
      <c r="S458" s="1264"/>
      <c r="T458" s="1264"/>
      <c r="U458" s="1264"/>
      <c r="V458" s="1264"/>
      <c r="W458" s="1264"/>
      <c r="X458" s="1264"/>
      <c r="Y458" s="1264"/>
      <c r="Z458" s="1264"/>
    </row>
    <row r="459" spans="1:26" ht="18.75" hidden="1">
      <c r="A459" s="1273"/>
      <c r="B459" s="1274"/>
      <c r="C459" s="1274"/>
      <c r="D459" s="1274" t="s">
        <v>201</v>
      </c>
      <c r="E459" s="1274"/>
      <c r="F459" s="1262"/>
      <c r="G459" s="1060"/>
      <c r="H459" s="583"/>
      <c r="I459" s="836"/>
      <c r="J459" s="836"/>
      <c r="K459" s="837"/>
      <c r="L459" s="837"/>
      <c r="M459" s="837"/>
      <c r="N459" s="837"/>
      <c r="O459" s="837"/>
      <c r="P459" s="837"/>
      <c r="Q459" s="1264"/>
      <c r="R459" s="1264"/>
      <c r="S459" s="1264"/>
      <c r="T459" s="1264"/>
      <c r="U459" s="1264"/>
      <c r="V459" s="1264"/>
      <c r="W459" s="1264"/>
      <c r="X459" s="1264"/>
      <c r="Y459" s="1264"/>
      <c r="Z459" s="1264"/>
    </row>
    <row r="460" spans="1:26" ht="18.75">
      <c r="A460" s="1267"/>
      <c r="B460" s="1268"/>
      <c r="C460" s="1268"/>
      <c r="D460" s="1268" t="s">
        <v>202</v>
      </c>
      <c r="E460" s="1268"/>
      <c r="F460" s="961"/>
      <c r="G460" s="954"/>
      <c r="H460" s="730" t="s">
        <v>35</v>
      </c>
      <c r="I460" s="830">
        <f ca="1">IFERROR(__xludf.DUMMYFUNCTION("IMPORTRANGE(""https://docs.google.com/spreadsheets/d/1QqKyyYR6Q21VydFLVH3TRQUabQu_ym0Zz7PgGX0-kHA/edit?usp=sharing"",""แผน!FN28"")"),115)</f>
        <v>115</v>
      </c>
      <c r="J460" s="959">
        <v>115</v>
      </c>
      <c r="K460" s="831">
        <f ca="1">IF(I460&gt;0,J460*100/I460,0)</f>
        <v>100</v>
      </c>
      <c r="L460" s="831"/>
      <c r="M460" s="831"/>
      <c r="N460" s="831"/>
      <c r="O460" s="831"/>
      <c r="P460" s="831"/>
      <c r="Q460" s="1244"/>
      <c r="R460" s="1244"/>
      <c r="S460" s="1244"/>
      <c r="T460" s="1244"/>
      <c r="U460" s="1244"/>
      <c r="V460" s="1244"/>
      <c r="W460" s="1244"/>
      <c r="X460" s="1244"/>
      <c r="Y460" s="1244"/>
      <c r="Z460" s="1244"/>
    </row>
    <row r="461" spans="1:26" ht="18.75">
      <c r="A461" s="1267"/>
      <c r="B461" s="1268"/>
      <c r="C461" s="1268"/>
      <c r="D461" s="1268" t="s">
        <v>203</v>
      </c>
      <c r="E461" s="961"/>
      <c r="F461" s="961"/>
      <c r="G461" s="954"/>
      <c r="H461" s="730"/>
      <c r="I461" s="830"/>
      <c r="J461" s="830"/>
      <c r="K461" s="831"/>
      <c r="L461" s="831"/>
      <c r="M461" s="831"/>
      <c r="N461" s="831"/>
      <c r="O461" s="831"/>
      <c r="P461" s="831"/>
      <c r="Q461" s="1244"/>
      <c r="R461" s="1244"/>
      <c r="S461" s="1244"/>
      <c r="T461" s="1244"/>
      <c r="U461" s="1244"/>
      <c r="V461" s="1244"/>
      <c r="W461" s="1244"/>
      <c r="X461" s="1244"/>
      <c r="Y461" s="1244"/>
      <c r="Z461" s="1244"/>
    </row>
    <row r="462" spans="1:26" ht="18.75">
      <c r="A462" s="1267"/>
      <c r="B462" s="1268"/>
      <c r="C462" s="1268"/>
      <c r="D462" s="1268" t="s">
        <v>204</v>
      </c>
      <c r="E462" s="961"/>
      <c r="F462" s="961"/>
      <c r="G462" s="954"/>
      <c r="H462" s="730" t="s">
        <v>46</v>
      </c>
      <c r="I462" s="830">
        <f ca="1">IFERROR(__xludf.DUMMYFUNCTION("IMPORTRANGE(""https://docs.google.com/spreadsheets/d/1QqKyyYR6Q21VydFLVH3TRQUabQu_ym0Zz7PgGX0-kHA/edit?usp=sharing"",""แผน!FO28"")"),360)</f>
        <v>360</v>
      </c>
      <c r="J462" s="959">
        <v>0</v>
      </c>
      <c r="K462" s="831">
        <f ca="1">IF(I462&gt;0,J462*100/I462,0)</f>
        <v>0</v>
      </c>
      <c r="L462" s="831"/>
      <c r="M462" s="831"/>
      <c r="N462" s="831"/>
      <c r="O462" s="831"/>
      <c r="P462" s="831"/>
      <c r="Q462" s="1244"/>
      <c r="R462" s="1244"/>
      <c r="S462" s="1244"/>
      <c r="T462" s="1244"/>
      <c r="U462" s="1244"/>
      <c r="V462" s="1244"/>
      <c r="W462" s="1244"/>
      <c r="X462" s="1244"/>
      <c r="Y462" s="1244"/>
      <c r="Z462" s="1244"/>
    </row>
    <row r="463" spans="1:26" ht="18.75">
      <c r="A463" s="1267"/>
      <c r="B463" s="1268"/>
      <c r="C463" s="1268"/>
      <c r="D463" s="1268" t="s">
        <v>59</v>
      </c>
      <c r="E463" s="961"/>
      <c r="F463" s="1243"/>
      <c r="G463" s="963"/>
      <c r="H463" s="730" t="s">
        <v>46</v>
      </c>
      <c r="I463" s="830">
        <f ca="1">IFERROR(__xludf.DUMMYFUNCTION("IMPORTRANGE(""https://docs.google.com/spreadsheets/d/1QqKyyYR6Q21VydFLVH3TRQUabQu_ym0Zz7PgGX0-kHA/edit?usp=sharing"",""แผน!FO28"")"),360)</f>
        <v>360</v>
      </c>
      <c r="J463" s="959">
        <v>0</v>
      </c>
      <c r="K463" s="831"/>
      <c r="L463" s="831"/>
      <c r="M463" s="831"/>
      <c r="N463" s="831"/>
      <c r="O463" s="831"/>
      <c r="P463" s="831"/>
      <c r="Q463" s="1244"/>
      <c r="R463" s="1244"/>
      <c r="S463" s="1244"/>
      <c r="T463" s="1244"/>
      <c r="U463" s="1244"/>
      <c r="V463" s="1244"/>
      <c r="W463" s="1244"/>
      <c r="X463" s="1244"/>
      <c r="Y463" s="1244"/>
      <c r="Z463" s="1244"/>
    </row>
    <row r="464" spans="1:26" ht="19.5">
      <c r="A464" s="1267"/>
      <c r="B464" s="1268"/>
      <c r="C464" s="1268"/>
      <c r="D464" s="1268"/>
      <c r="E464" s="961"/>
      <c r="F464" s="961"/>
      <c r="G464" s="1275"/>
      <c r="H464" s="730" t="s">
        <v>35</v>
      </c>
      <c r="I464" s="830">
        <f ca="1">IFERROR(__xludf.DUMMYFUNCTION("IMPORTRANGE(""https://docs.google.com/spreadsheets/d/1QqKyyYR6Q21VydFLVH3TRQUabQu_ym0Zz7PgGX0-kHA/edit?usp=sharing"",""แผน!FN28"")"),115)</f>
        <v>115</v>
      </c>
      <c r="J464" s="959">
        <v>0</v>
      </c>
      <c r="K464" s="831"/>
      <c r="L464" s="831"/>
      <c r="M464" s="831"/>
      <c r="N464" s="831"/>
      <c r="O464" s="831"/>
      <c r="P464" s="831"/>
      <c r="Q464" s="1244"/>
      <c r="R464" s="1244"/>
      <c r="S464" s="1244"/>
      <c r="T464" s="1244"/>
      <c r="U464" s="1244"/>
      <c r="V464" s="1244"/>
      <c r="W464" s="1244"/>
      <c r="X464" s="1244"/>
      <c r="Y464" s="1244"/>
      <c r="Z464" s="1244"/>
    </row>
    <row r="465" spans="1:26" ht="19.5">
      <c r="A465" s="550">
        <v>3</v>
      </c>
      <c r="B465" s="1249" t="s">
        <v>205</v>
      </c>
      <c r="C465" s="1250"/>
      <c r="D465" s="1250"/>
      <c r="E465" s="1250"/>
      <c r="F465" s="1250"/>
      <c r="G465" s="1251"/>
      <c r="H465" s="554" t="s">
        <v>35</v>
      </c>
      <c r="I465" s="1252">
        <f ca="1">IFERROR(__xludf.DUMMYFUNCTION("IMPORTRANGE(""https://docs.google.com/spreadsheets/d/1QqKyyYR6Q21VydFLVH3TRQUabQu_ym0Zz7PgGX0-kHA/edit?usp=sharing"",""แผน!FX28"")"),31)</f>
        <v>31</v>
      </c>
      <c r="J465" s="1252">
        <f>J485+J489+J492</f>
        <v>31</v>
      </c>
      <c r="K465" s="1253">
        <f t="shared" ref="K465:K466" ca="1" si="205">IF(I465&gt;0,J465*100/I465,0)</f>
        <v>100</v>
      </c>
      <c r="L465" s="1254"/>
      <c r="M465" s="1254"/>
      <c r="N465" s="1254"/>
      <c r="O465" s="1254"/>
      <c r="P465" s="1254"/>
      <c r="Q465" s="1244"/>
      <c r="R465" s="1244"/>
      <c r="S465" s="1244"/>
      <c r="T465" s="1244"/>
      <c r="U465" s="1244"/>
      <c r="V465" s="1244"/>
      <c r="W465" s="1244"/>
      <c r="X465" s="1244"/>
      <c r="Y465" s="1244"/>
      <c r="Z465" s="1244"/>
    </row>
    <row r="466" spans="1:26" ht="19.5">
      <c r="A466" s="1255"/>
      <c r="B466" s="1256"/>
      <c r="C466" s="1257"/>
      <c r="D466" s="1257"/>
      <c r="E466" s="1257"/>
      <c r="F466" s="1257"/>
      <c r="G466" s="1258"/>
      <c r="H466" s="532" t="s">
        <v>46</v>
      </c>
      <c r="I466" s="1237">
        <f ca="1">IFERROR(__xludf.DUMMYFUNCTION("IMPORTRANGE(""https://docs.google.com/spreadsheets/d/1QqKyyYR6Q21VydFLVH3TRQUabQu_ym0Zz7PgGX0-kHA/edit?usp=sharing"",""แผน!FW28"")"),300)</f>
        <v>300</v>
      </c>
      <c r="J466" s="1237">
        <f>J495+J498</f>
        <v>0</v>
      </c>
      <c r="K466" s="1238">
        <f t="shared" ca="1" si="205"/>
        <v>0</v>
      </c>
      <c r="L466" s="1239"/>
      <c r="M466" s="1239"/>
      <c r="N466" s="1239"/>
      <c r="O466" s="1239"/>
      <c r="P466" s="1239"/>
      <c r="Q466" s="1244"/>
      <c r="R466" s="1244"/>
      <c r="S466" s="1244"/>
      <c r="T466" s="1244"/>
      <c r="U466" s="1244"/>
      <c r="V466" s="1244"/>
      <c r="W466" s="1244"/>
      <c r="X466" s="1244"/>
      <c r="Y466" s="1244"/>
      <c r="Z466" s="1244"/>
    </row>
    <row r="467" spans="1:26" ht="19.5">
      <c r="A467" s="1259"/>
      <c r="B467" s="1243"/>
      <c r="C467" s="1243" t="s">
        <v>16</v>
      </c>
      <c r="D467" s="1507" t="s">
        <v>17</v>
      </c>
      <c r="E467" s="1485"/>
      <c r="F467" s="1485"/>
      <c r="G467" s="963"/>
      <c r="H467" s="563" t="s">
        <v>12</v>
      </c>
      <c r="I467" s="830"/>
      <c r="J467" s="830"/>
      <c r="K467" s="831"/>
      <c r="L467" s="967">
        <f t="shared" ref="L467:N467" ca="1" si="206">L468+L469</f>
        <v>257423</v>
      </c>
      <c r="M467" s="967">
        <f t="shared" si="206"/>
        <v>0</v>
      </c>
      <c r="N467" s="967">
        <f t="shared" si="206"/>
        <v>12050</v>
      </c>
      <c r="O467" s="967">
        <f t="shared" ref="O467:O472" ca="1" si="207">IF(L467&gt;0,N467*100/L467,0)</f>
        <v>4.6810114092369366</v>
      </c>
      <c r="P467" s="967">
        <f t="shared" ref="P467:P472" si="208">IF(M467&gt;0,N467*100/M467,0)</f>
        <v>0</v>
      </c>
      <c r="Q467" s="1244"/>
      <c r="R467" s="1244"/>
      <c r="S467" s="1244"/>
      <c r="T467" s="1244"/>
      <c r="U467" s="1244"/>
      <c r="V467" s="1244"/>
      <c r="W467" s="1244"/>
      <c r="X467" s="1244"/>
      <c r="Y467" s="1244"/>
      <c r="Z467" s="1244"/>
    </row>
    <row r="468" spans="1:26" ht="18.75" hidden="1">
      <c r="A468" s="1260"/>
      <c r="B468" s="1261"/>
      <c r="C468" s="1261"/>
      <c r="D468" s="1262"/>
      <c r="E468" s="1261" t="s">
        <v>184</v>
      </c>
      <c r="F468" s="1261"/>
      <c r="G468" s="1263"/>
      <c r="H468" s="165" t="s">
        <v>12</v>
      </c>
      <c r="I468" s="836"/>
      <c r="J468" s="836"/>
      <c r="K468" s="837"/>
      <c r="L468" s="837">
        <f t="shared" ref="L468:N469" si="209">L471+L478</f>
        <v>0</v>
      </c>
      <c r="M468" s="837">
        <f t="shared" si="209"/>
        <v>0</v>
      </c>
      <c r="N468" s="837">
        <f t="shared" si="209"/>
        <v>0</v>
      </c>
      <c r="O468" s="837">
        <f t="shared" si="207"/>
        <v>0</v>
      </c>
      <c r="P468" s="837">
        <f t="shared" si="208"/>
        <v>0</v>
      </c>
      <c r="Q468" s="1264"/>
      <c r="R468" s="1264"/>
      <c r="S468" s="1264"/>
      <c r="T468" s="1264"/>
      <c r="U468" s="1264"/>
      <c r="V468" s="1264"/>
      <c r="W468" s="1264"/>
      <c r="X468" s="1264"/>
      <c r="Y468" s="1264"/>
      <c r="Z468" s="1264"/>
    </row>
    <row r="469" spans="1:26" ht="18.75" hidden="1">
      <c r="A469" s="1260"/>
      <c r="B469" s="1265"/>
      <c r="C469" s="1261"/>
      <c r="D469" s="1262"/>
      <c r="E469" s="1261" t="s">
        <v>185</v>
      </c>
      <c r="F469" s="1261"/>
      <c r="G469" s="1263"/>
      <c r="H469" s="165" t="s">
        <v>12</v>
      </c>
      <c r="I469" s="836"/>
      <c r="J469" s="836"/>
      <c r="K469" s="837"/>
      <c r="L469" s="837">
        <f t="shared" ca="1" si="209"/>
        <v>257423</v>
      </c>
      <c r="M469" s="837">
        <f t="shared" si="209"/>
        <v>0</v>
      </c>
      <c r="N469" s="837">
        <f t="shared" si="209"/>
        <v>12050</v>
      </c>
      <c r="O469" s="837">
        <f t="shared" ca="1" si="207"/>
        <v>4.6810114092369366</v>
      </c>
      <c r="P469" s="837">
        <f t="shared" si="208"/>
        <v>0</v>
      </c>
      <c r="Q469" s="1264"/>
      <c r="R469" s="1264"/>
      <c r="S469" s="1264"/>
      <c r="T469" s="1264"/>
      <c r="U469" s="1264"/>
      <c r="V469" s="1264"/>
      <c r="W469" s="1264"/>
      <c r="X469" s="1264"/>
      <c r="Y469" s="1264"/>
      <c r="Z469" s="1264"/>
    </row>
    <row r="470" spans="1:26" ht="18.75">
      <c r="A470" s="1259"/>
      <c r="B470" s="1242"/>
      <c r="C470" s="1243"/>
      <c r="D470" s="1266" t="s">
        <v>20</v>
      </c>
      <c r="E470" s="1243"/>
      <c r="F470" s="1243"/>
      <c r="G470" s="963"/>
      <c r="H470" s="778" t="s">
        <v>12</v>
      </c>
      <c r="I470" s="944"/>
      <c r="J470" s="944"/>
      <c r="K470" s="945"/>
      <c r="L470" s="831">
        <f t="shared" ref="L470:N470" ca="1" si="210">L471+L472</f>
        <v>257423</v>
      </c>
      <c r="M470" s="831">
        <f t="shared" si="210"/>
        <v>0</v>
      </c>
      <c r="N470" s="831">
        <f t="shared" si="210"/>
        <v>12050</v>
      </c>
      <c r="O470" s="831">
        <f t="shared" ca="1" si="207"/>
        <v>4.6810114092369366</v>
      </c>
      <c r="P470" s="831">
        <f t="shared" si="208"/>
        <v>0</v>
      </c>
      <c r="Q470" s="1244"/>
      <c r="R470" s="1244"/>
      <c r="S470" s="1244"/>
      <c r="T470" s="1244"/>
      <c r="U470" s="1244"/>
      <c r="V470" s="1244"/>
      <c r="W470" s="1244"/>
      <c r="X470" s="1244"/>
      <c r="Y470" s="1244"/>
      <c r="Z470" s="1244"/>
    </row>
    <row r="471" spans="1:26" ht="18.75" hidden="1">
      <c r="A471" s="1260"/>
      <c r="B471" s="1265"/>
      <c r="C471" s="1261"/>
      <c r="D471" s="1262"/>
      <c r="E471" s="1261" t="s">
        <v>184</v>
      </c>
      <c r="F471" s="1261"/>
      <c r="G471" s="1263"/>
      <c r="H471" s="165" t="s">
        <v>12</v>
      </c>
      <c r="I471" s="836"/>
      <c r="J471" s="836"/>
      <c r="K471" s="837"/>
      <c r="L471" s="837">
        <v>0</v>
      </c>
      <c r="M471" s="837">
        <v>0</v>
      </c>
      <c r="N471" s="837">
        <v>0</v>
      </c>
      <c r="O471" s="837">
        <f t="shared" si="207"/>
        <v>0</v>
      </c>
      <c r="P471" s="837">
        <f t="shared" si="208"/>
        <v>0</v>
      </c>
      <c r="Q471" s="1264"/>
      <c r="R471" s="1264"/>
      <c r="S471" s="1264"/>
      <c r="T471" s="1264"/>
      <c r="U471" s="1264"/>
      <c r="V471" s="1264"/>
      <c r="W471" s="1264"/>
      <c r="X471" s="1264"/>
      <c r="Y471" s="1264"/>
      <c r="Z471" s="1264"/>
    </row>
    <row r="472" spans="1:26" ht="18.75" hidden="1">
      <c r="A472" s="1260"/>
      <c r="B472" s="1265"/>
      <c r="C472" s="1261"/>
      <c r="D472" s="1262"/>
      <c r="E472" s="1261" t="s">
        <v>185</v>
      </c>
      <c r="F472" s="1261"/>
      <c r="G472" s="1263"/>
      <c r="H472" s="165" t="s">
        <v>12</v>
      </c>
      <c r="I472" s="836"/>
      <c r="J472" s="836"/>
      <c r="K472" s="837"/>
      <c r="L472" s="837">
        <f ca="1">IFERROR(__xludf.DUMMYFUNCTION("IMPORTRANGE(""https://docs.google.com/spreadsheets/d/1QqKyyYR6Q21VydFLVH3TRQUabQu_ym0Zz7PgGX0-kHA/edit?usp=sharing"",""แผน!FS28"")"),257423)</f>
        <v>257423</v>
      </c>
      <c r="M472" s="837">
        <v>0</v>
      </c>
      <c r="N472" s="837">
        <f>N473+N474+N475+N476</f>
        <v>12050</v>
      </c>
      <c r="O472" s="837">
        <f t="shared" ca="1" si="207"/>
        <v>4.6810114092369366</v>
      </c>
      <c r="P472" s="837">
        <f t="shared" si="208"/>
        <v>0</v>
      </c>
      <c r="Q472" s="1264"/>
      <c r="R472" s="1264"/>
      <c r="S472" s="1264"/>
      <c r="T472" s="1264"/>
      <c r="U472" s="1264"/>
      <c r="V472" s="1264"/>
      <c r="W472" s="1264"/>
      <c r="X472" s="1264"/>
      <c r="Y472" s="1264"/>
      <c r="Z472" s="1264"/>
    </row>
    <row r="473" spans="1:26" ht="18.75">
      <c r="A473" s="1241"/>
      <c r="B473" s="1242"/>
      <c r="C473" s="1243"/>
      <c r="D473" s="1243"/>
      <c r="E473" s="1243"/>
      <c r="F473" s="1243" t="s">
        <v>186</v>
      </c>
      <c r="G473" s="963"/>
      <c r="H473" s="778" t="s">
        <v>12</v>
      </c>
      <c r="I473" s="830"/>
      <c r="J473" s="830"/>
      <c r="K473" s="831"/>
      <c r="L473" s="831"/>
      <c r="M473" s="831"/>
      <c r="N473" s="1031">
        <v>0</v>
      </c>
      <c r="O473" s="831"/>
      <c r="P473" s="831"/>
      <c r="Q473" s="1244"/>
      <c r="R473" s="1244"/>
      <c r="S473" s="1244"/>
      <c r="T473" s="1244"/>
      <c r="U473" s="1244"/>
      <c r="V473" s="1244"/>
      <c r="W473" s="1244"/>
      <c r="X473" s="1244"/>
      <c r="Y473" s="1244"/>
      <c r="Z473" s="1244"/>
    </row>
    <row r="474" spans="1:26" ht="18.75">
      <c r="A474" s="1241"/>
      <c r="B474" s="1242"/>
      <c r="C474" s="1243"/>
      <c r="D474" s="1243"/>
      <c r="E474" s="1243"/>
      <c r="F474" s="1243" t="s">
        <v>187</v>
      </c>
      <c r="G474" s="963"/>
      <c r="H474" s="778" t="s">
        <v>12</v>
      </c>
      <c r="I474" s="830"/>
      <c r="J474" s="830"/>
      <c r="K474" s="831"/>
      <c r="L474" s="831"/>
      <c r="M474" s="831"/>
      <c r="N474" s="1031">
        <v>0</v>
      </c>
      <c r="O474" s="831"/>
      <c r="P474" s="831"/>
      <c r="Q474" s="1244"/>
      <c r="R474" s="1244"/>
      <c r="S474" s="1244"/>
      <c r="T474" s="1244"/>
      <c r="U474" s="1244"/>
      <c r="V474" s="1244"/>
      <c r="W474" s="1244"/>
      <c r="X474" s="1244"/>
      <c r="Y474" s="1244"/>
      <c r="Z474" s="1244"/>
    </row>
    <row r="475" spans="1:26" ht="18.75">
      <c r="A475" s="1241"/>
      <c r="B475" s="1242"/>
      <c r="C475" s="1242"/>
      <c r="D475" s="1242"/>
      <c r="E475" s="1242"/>
      <c r="F475" s="1243" t="s">
        <v>188</v>
      </c>
      <c r="G475" s="963"/>
      <c r="H475" s="778" t="s">
        <v>12</v>
      </c>
      <c r="I475" s="830"/>
      <c r="J475" s="830"/>
      <c r="K475" s="831"/>
      <c r="L475" s="831"/>
      <c r="M475" s="831"/>
      <c r="N475" s="1031">
        <v>0</v>
      </c>
      <c r="O475" s="831"/>
      <c r="P475" s="831"/>
      <c r="Q475" s="1244"/>
      <c r="R475" s="1244"/>
      <c r="S475" s="1244"/>
      <c r="T475" s="1244"/>
      <c r="U475" s="1244"/>
      <c r="V475" s="1244"/>
      <c r="W475" s="1244"/>
      <c r="X475" s="1244"/>
      <c r="Y475" s="1244"/>
      <c r="Z475" s="1244"/>
    </row>
    <row r="476" spans="1:26" ht="18.75">
      <c r="A476" s="1241"/>
      <c r="B476" s="1242"/>
      <c r="C476" s="1242"/>
      <c r="D476" s="1242"/>
      <c r="E476" s="1242"/>
      <c r="F476" s="1243" t="s">
        <v>189</v>
      </c>
      <c r="G476" s="963"/>
      <c r="H476" s="778" t="s">
        <v>12</v>
      </c>
      <c r="I476" s="830"/>
      <c r="J476" s="830"/>
      <c r="K476" s="831"/>
      <c r="L476" s="831"/>
      <c r="M476" s="831"/>
      <c r="N476" s="1031">
        <v>12050</v>
      </c>
      <c r="O476" s="831"/>
      <c r="P476" s="831"/>
      <c r="Q476" s="1244"/>
      <c r="R476" s="1244"/>
      <c r="S476" s="1244"/>
      <c r="T476" s="1244"/>
      <c r="U476" s="1244"/>
      <c r="V476" s="1244"/>
      <c r="W476" s="1244"/>
      <c r="X476" s="1244"/>
      <c r="Y476" s="1244"/>
      <c r="Z476" s="1244"/>
    </row>
    <row r="477" spans="1:26" ht="18.75">
      <c r="A477" s="1259"/>
      <c r="B477" s="1242"/>
      <c r="C477" s="1242"/>
      <c r="D477" s="1266" t="s">
        <v>21</v>
      </c>
      <c r="E477" s="1242"/>
      <c r="F477" s="1242"/>
      <c r="G477" s="963"/>
      <c r="H477" s="168" t="s">
        <v>12</v>
      </c>
      <c r="I477" s="944"/>
      <c r="J477" s="944"/>
      <c r="K477" s="945"/>
      <c r="L477" s="831">
        <f t="shared" ref="L477:N477" ca="1" si="211">L478+L479</f>
        <v>0</v>
      </c>
      <c r="M477" s="831">
        <f t="shared" si="211"/>
        <v>0</v>
      </c>
      <c r="N477" s="831">
        <f t="shared" si="211"/>
        <v>0</v>
      </c>
      <c r="O477" s="831">
        <f t="shared" ref="O477:O479" ca="1" si="212">IF(L477&gt;0,N477*100/L477,0)</f>
        <v>0</v>
      </c>
      <c r="P477" s="831">
        <f t="shared" ref="P477:P479" si="213">IF(M477&gt;0,N477*100/M477,0)</f>
        <v>0</v>
      </c>
      <c r="Q477" s="1244"/>
      <c r="R477" s="1244"/>
      <c r="S477" s="1244"/>
      <c r="T477" s="1244"/>
      <c r="U477" s="1244"/>
      <c r="V477" s="1244"/>
      <c r="W477" s="1244"/>
      <c r="X477" s="1244"/>
      <c r="Y477" s="1244"/>
      <c r="Z477" s="1244"/>
    </row>
    <row r="478" spans="1:26" ht="18.75" hidden="1">
      <c r="A478" s="1260"/>
      <c r="B478" s="1265"/>
      <c r="C478" s="1265"/>
      <c r="D478" s="1265"/>
      <c r="E478" s="1265" t="s">
        <v>18</v>
      </c>
      <c r="F478" s="1265"/>
      <c r="G478" s="1263"/>
      <c r="H478" s="165" t="s">
        <v>12</v>
      </c>
      <c r="I478" s="947"/>
      <c r="J478" s="947"/>
      <c r="K478" s="948"/>
      <c r="L478" s="837">
        <v>0</v>
      </c>
      <c r="M478" s="837">
        <v>0</v>
      </c>
      <c r="N478" s="837">
        <v>0</v>
      </c>
      <c r="O478" s="837">
        <f t="shared" si="212"/>
        <v>0</v>
      </c>
      <c r="P478" s="837">
        <f t="shared" si="213"/>
        <v>0</v>
      </c>
      <c r="Q478" s="1264"/>
      <c r="R478" s="1264"/>
      <c r="S478" s="1264"/>
      <c r="T478" s="1264"/>
      <c r="U478" s="1264"/>
      <c r="V478" s="1264"/>
      <c r="W478" s="1264"/>
      <c r="X478" s="1264"/>
      <c r="Y478" s="1264"/>
      <c r="Z478" s="1264"/>
    </row>
    <row r="479" spans="1:26" ht="18.75" hidden="1">
      <c r="A479" s="1260"/>
      <c r="B479" s="1265"/>
      <c r="C479" s="1265"/>
      <c r="D479" s="1265"/>
      <c r="E479" s="1265" t="s">
        <v>19</v>
      </c>
      <c r="F479" s="1265"/>
      <c r="G479" s="1263"/>
      <c r="H479" s="169" t="s">
        <v>12</v>
      </c>
      <c r="I479" s="947"/>
      <c r="J479" s="947"/>
      <c r="K479" s="948"/>
      <c r="L479" s="837">
        <f ca="1">IFERROR(__xludf.DUMMYFUNCTION("IMPORTRANGE(""https://docs.google.com/spreadsheets/d/1QqKyyYR6Q21VydFLVH3TRQUabQu_ym0Zz7PgGX0-kHA/edit?usp=sharing"",""แผน!FV28"")"),0)</f>
        <v>0</v>
      </c>
      <c r="M479" s="837">
        <v>0</v>
      </c>
      <c r="N479" s="837">
        <v>0</v>
      </c>
      <c r="O479" s="837">
        <f t="shared" ca="1" si="212"/>
        <v>0</v>
      </c>
      <c r="P479" s="837">
        <f t="shared" si="213"/>
        <v>0</v>
      </c>
      <c r="Q479" s="1264"/>
      <c r="R479" s="1264"/>
      <c r="S479" s="1264"/>
      <c r="T479" s="1264"/>
      <c r="U479" s="1264"/>
      <c r="V479" s="1264"/>
      <c r="W479" s="1264"/>
      <c r="X479" s="1264"/>
      <c r="Y479" s="1264"/>
      <c r="Z479" s="1264"/>
    </row>
    <row r="480" spans="1:26" ht="19.5">
      <c r="A480" s="1267"/>
      <c r="B480" s="1268"/>
      <c r="C480" s="1242" t="s">
        <v>16</v>
      </c>
      <c r="D480" s="1276" t="s">
        <v>38</v>
      </c>
      <c r="E480" s="1270"/>
      <c r="F480" s="1271"/>
      <c r="G480" s="1272"/>
      <c r="H480" s="954"/>
      <c r="I480" s="830"/>
      <c r="J480" s="830"/>
      <c r="K480" s="831"/>
      <c r="L480" s="831"/>
      <c r="M480" s="831"/>
      <c r="N480" s="831"/>
      <c r="O480" s="831"/>
      <c r="P480" s="831"/>
      <c r="Q480" s="1244"/>
      <c r="R480" s="1244"/>
      <c r="S480" s="1244"/>
      <c r="T480" s="1244"/>
      <c r="U480" s="1244"/>
      <c r="V480" s="1244"/>
      <c r="W480" s="1244"/>
      <c r="X480" s="1244"/>
      <c r="Y480" s="1244"/>
      <c r="Z480" s="1244"/>
    </row>
    <row r="481" spans="1:26" ht="19.5">
      <c r="A481" s="1267"/>
      <c r="B481" s="1268"/>
      <c r="C481" s="1268"/>
      <c r="D481" s="1277" t="s">
        <v>206</v>
      </c>
      <c r="E481" s="1268"/>
      <c r="F481" s="1268"/>
      <c r="G481" s="954"/>
      <c r="H481" s="963"/>
      <c r="I481" s="830"/>
      <c r="J481" s="830"/>
      <c r="K481" s="831"/>
      <c r="L481" s="831"/>
      <c r="M481" s="831"/>
      <c r="N481" s="831"/>
      <c r="O481" s="831"/>
      <c r="P481" s="831"/>
      <c r="Q481" s="1244"/>
      <c r="R481" s="1244"/>
      <c r="S481" s="1244"/>
      <c r="T481" s="1244"/>
      <c r="U481" s="1244"/>
      <c r="V481" s="1244"/>
      <c r="W481" s="1244"/>
      <c r="X481" s="1244"/>
      <c r="Y481" s="1244"/>
      <c r="Z481" s="1244"/>
    </row>
    <row r="482" spans="1:26" ht="18.75">
      <c r="A482" s="1267"/>
      <c r="B482" s="1268"/>
      <c r="C482" s="1268"/>
      <c r="D482" s="1268"/>
      <c r="E482" s="1268" t="s">
        <v>207</v>
      </c>
      <c r="F482" s="1268"/>
      <c r="G482" s="954"/>
      <c r="H482" s="963"/>
      <c r="I482" s="830"/>
      <c r="J482" s="830"/>
      <c r="K482" s="831"/>
      <c r="L482" s="831"/>
      <c r="M482" s="831"/>
      <c r="N482" s="831"/>
      <c r="O482" s="831"/>
      <c r="P482" s="831"/>
      <c r="Q482" s="1244"/>
      <c r="R482" s="1244"/>
      <c r="S482" s="1244"/>
      <c r="T482" s="1244"/>
      <c r="U482" s="1244"/>
      <c r="V482" s="1244"/>
      <c r="W482" s="1244"/>
      <c r="X482" s="1244"/>
      <c r="Y482" s="1244"/>
      <c r="Z482" s="1244"/>
    </row>
    <row r="483" spans="1:26" ht="18.75">
      <c r="A483" s="1267"/>
      <c r="B483" s="1268"/>
      <c r="C483" s="1268"/>
      <c r="D483" s="1268"/>
      <c r="E483" s="1268"/>
      <c r="F483" s="1268" t="s">
        <v>208</v>
      </c>
      <c r="G483" s="954"/>
      <c r="H483" s="590" t="s">
        <v>46</v>
      </c>
      <c r="I483" s="830">
        <f ca="1">IFERROR(__xludf.DUMMYFUNCTION("IMPORTRANGE(""https://docs.google.com/spreadsheets/d/1QqKyyYR6Q21VydFLVH3TRQUabQu_ym0Zz7PgGX0-kHA/edit?usp=sharing"",""แผน!FY28"")"),270)</f>
        <v>270</v>
      </c>
      <c r="J483" s="959">
        <v>0</v>
      </c>
      <c r="K483" s="831">
        <f ca="1">IF(I483&gt;0,J483*100/I483,0)</f>
        <v>0</v>
      </c>
      <c r="L483" s="831"/>
      <c r="M483" s="831"/>
      <c r="N483" s="831"/>
      <c r="O483" s="831"/>
      <c r="P483" s="831"/>
      <c r="Q483" s="1244"/>
      <c r="R483" s="1244"/>
      <c r="S483" s="1244"/>
      <c r="T483" s="1244"/>
      <c r="U483" s="1244"/>
      <c r="V483" s="1244"/>
      <c r="W483" s="1244"/>
      <c r="X483" s="1244"/>
      <c r="Y483" s="1244"/>
      <c r="Z483" s="1244"/>
    </row>
    <row r="484" spans="1:26" ht="18.75">
      <c r="A484" s="1267"/>
      <c r="B484" s="1268"/>
      <c r="C484" s="1268"/>
      <c r="D484" s="1268"/>
      <c r="E484" s="1268"/>
      <c r="F484" s="1268" t="s">
        <v>209</v>
      </c>
      <c r="G484" s="954"/>
      <c r="H484" s="590" t="s">
        <v>35</v>
      </c>
      <c r="I484" s="830"/>
      <c r="J484" s="959">
        <v>0</v>
      </c>
      <c r="K484" s="831"/>
      <c r="L484" s="831"/>
      <c r="M484" s="831"/>
      <c r="N484" s="831"/>
      <c r="O484" s="831"/>
      <c r="P484" s="831"/>
      <c r="Q484" s="1244"/>
      <c r="R484" s="1244"/>
      <c r="S484" s="1244"/>
      <c r="T484" s="1244"/>
      <c r="U484" s="1244"/>
      <c r="V484" s="1244"/>
      <c r="W484" s="1244"/>
      <c r="X484" s="1244"/>
      <c r="Y484" s="1244"/>
      <c r="Z484" s="1244"/>
    </row>
    <row r="485" spans="1:26" ht="18.75">
      <c r="A485" s="1267"/>
      <c r="B485" s="1268"/>
      <c r="C485" s="1268"/>
      <c r="D485" s="1268"/>
      <c r="E485" s="1268"/>
      <c r="F485" s="1268" t="s">
        <v>210</v>
      </c>
      <c r="G485" s="954"/>
      <c r="H485" s="590" t="s">
        <v>35</v>
      </c>
      <c r="I485" s="830">
        <f ca="1">IFERROR(__xludf.DUMMYFUNCTION("IMPORTRANGE(""https://docs.google.com/spreadsheets/d/1QqKyyYR6Q21VydFLVH3TRQUabQu_ym0Zz7PgGX0-kHA/edit?usp=sharing"",""แผน!FZ28"")"),27)</f>
        <v>27</v>
      </c>
      <c r="J485" s="959">
        <v>27</v>
      </c>
      <c r="K485" s="831">
        <f ca="1">IF(I485&gt;0,J485*100/I485,0)</f>
        <v>100</v>
      </c>
      <c r="L485" s="831"/>
      <c r="M485" s="831"/>
      <c r="N485" s="831"/>
      <c r="O485" s="831"/>
      <c r="P485" s="831"/>
      <c r="Q485" s="1244"/>
      <c r="R485" s="1244"/>
      <c r="S485" s="1244"/>
      <c r="T485" s="1244"/>
      <c r="U485" s="1244"/>
      <c r="V485" s="1244"/>
      <c r="W485" s="1244"/>
      <c r="X485" s="1244"/>
      <c r="Y485" s="1244"/>
      <c r="Z485" s="1244"/>
    </row>
    <row r="486" spans="1:26" ht="18.75">
      <c r="A486" s="1267"/>
      <c r="B486" s="1268"/>
      <c r="C486" s="1268"/>
      <c r="D486" s="1268"/>
      <c r="E486" s="1268" t="s">
        <v>62</v>
      </c>
      <c r="F486" s="1268"/>
      <c r="G486" s="954"/>
      <c r="H486" s="590"/>
      <c r="I486" s="830"/>
      <c r="J486" s="830"/>
      <c r="K486" s="831"/>
      <c r="L486" s="831"/>
      <c r="M486" s="831"/>
      <c r="N486" s="831"/>
      <c r="O486" s="831"/>
      <c r="P486" s="831"/>
      <c r="Q486" s="1244"/>
      <c r="R486" s="1244"/>
      <c r="S486" s="1244"/>
      <c r="T486" s="1244"/>
      <c r="U486" s="1244"/>
      <c r="V486" s="1244"/>
      <c r="W486" s="1244"/>
      <c r="X486" s="1244"/>
      <c r="Y486" s="1244"/>
      <c r="Z486" s="1244"/>
    </row>
    <row r="487" spans="1:26" ht="18.75">
      <c r="A487" s="1267"/>
      <c r="B487" s="1268"/>
      <c r="C487" s="1268"/>
      <c r="D487" s="1268"/>
      <c r="E487" s="1268"/>
      <c r="F487" s="1268" t="s">
        <v>208</v>
      </c>
      <c r="G487" s="954"/>
      <c r="H487" s="590" t="s">
        <v>46</v>
      </c>
      <c r="I487" s="830">
        <f ca="1">IFERROR(__xludf.DUMMYFUNCTION("IMPORTRANGE(""https://docs.google.com/spreadsheets/d/1QqKyyYR6Q21VydFLVH3TRQUabQu_ym0Zz7PgGX0-kHA/edit?usp=sharing"",""แผน!GA28"")"),30)</f>
        <v>30</v>
      </c>
      <c r="J487" s="959">
        <v>0</v>
      </c>
      <c r="K487" s="831">
        <f ca="1">IF(I487&gt;0,J487*100/I487,0)</f>
        <v>0</v>
      </c>
      <c r="L487" s="831"/>
      <c r="M487" s="831"/>
      <c r="N487" s="831"/>
      <c r="O487" s="831"/>
      <c r="P487" s="831"/>
      <c r="Q487" s="1244"/>
      <c r="R487" s="1244"/>
      <c r="S487" s="1244"/>
      <c r="T487" s="1244"/>
      <c r="U487" s="1244"/>
      <c r="V487" s="1244"/>
      <c r="W487" s="1244"/>
      <c r="X487" s="1244"/>
      <c r="Y487" s="1244"/>
      <c r="Z487" s="1244"/>
    </row>
    <row r="488" spans="1:26" ht="18.75">
      <c r="A488" s="1267"/>
      <c r="B488" s="1268"/>
      <c r="C488" s="1268"/>
      <c r="D488" s="1268"/>
      <c r="E488" s="1268"/>
      <c r="F488" s="1268" t="s">
        <v>211</v>
      </c>
      <c r="G488" s="954"/>
      <c r="H488" s="590" t="s">
        <v>35</v>
      </c>
      <c r="I488" s="830"/>
      <c r="J488" s="959">
        <v>0</v>
      </c>
      <c r="K488" s="831"/>
      <c r="L488" s="831"/>
      <c r="M488" s="831"/>
      <c r="N488" s="831"/>
      <c r="O488" s="831"/>
      <c r="P488" s="831"/>
      <c r="Q488" s="1244"/>
      <c r="R488" s="1244"/>
      <c r="S488" s="1244"/>
      <c r="T488" s="1244"/>
      <c r="U488" s="1244"/>
      <c r="V488" s="1244"/>
      <c r="W488" s="1244"/>
      <c r="X488" s="1244"/>
      <c r="Y488" s="1244"/>
      <c r="Z488" s="1244"/>
    </row>
    <row r="489" spans="1:26" ht="18.75">
      <c r="A489" s="1267"/>
      <c r="B489" s="1268"/>
      <c r="C489" s="1268"/>
      <c r="D489" s="1268"/>
      <c r="E489" s="1268"/>
      <c r="F489" s="1268" t="s">
        <v>212</v>
      </c>
      <c r="G489" s="954"/>
      <c r="H489" s="590" t="s">
        <v>35</v>
      </c>
      <c r="I489" s="830">
        <f ca="1">IFERROR(__xludf.DUMMYFUNCTION("IMPORTRANGE(""https://docs.google.com/spreadsheets/d/1QqKyyYR6Q21VydFLVH3TRQUabQu_ym0Zz7PgGX0-kHA/edit?usp=sharing"",""แผน!GB28"")"),3)</f>
        <v>3</v>
      </c>
      <c r="J489" s="959">
        <v>3</v>
      </c>
      <c r="K489" s="831">
        <f ca="1">IF(I489&gt;0,J489*100/I489,0)</f>
        <v>100</v>
      </c>
      <c r="L489" s="831"/>
      <c r="M489" s="831"/>
      <c r="N489" s="831"/>
      <c r="O489" s="831"/>
      <c r="P489" s="831"/>
      <c r="Q489" s="1244"/>
      <c r="R489" s="1244"/>
      <c r="S489" s="1244"/>
      <c r="T489" s="1244"/>
      <c r="U489" s="1244"/>
      <c r="V489" s="1244"/>
      <c r="W489" s="1244"/>
      <c r="X489" s="1244"/>
      <c r="Y489" s="1244"/>
      <c r="Z489" s="1244"/>
    </row>
    <row r="490" spans="1:26" ht="18.75">
      <c r="A490" s="1267"/>
      <c r="B490" s="1268"/>
      <c r="C490" s="1268"/>
      <c r="D490" s="1268"/>
      <c r="E490" s="1268" t="s">
        <v>63</v>
      </c>
      <c r="F490" s="961"/>
      <c r="G490" s="954"/>
      <c r="H490" s="590"/>
      <c r="I490" s="830"/>
      <c r="J490" s="830"/>
      <c r="K490" s="831"/>
      <c r="L490" s="831"/>
      <c r="M490" s="831"/>
      <c r="N490" s="831"/>
      <c r="O490" s="831"/>
      <c r="P490" s="831"/>
      <c r="Q490" s="1244"/>
      <c r="R490" s="1244"/>
      <c r="S490" s="1244"/>
      <c r="T490" s="1244"/>
      <c r="U490" s="1244"/>
      <c r="V490" s="1244"/>
      <c r="W490" s="1244"/>
      <c r="X490" s="1244"/>
      <c r="Y490" s="1244"/>
      <c r="Z490" s="1244"/>
    </row>
    <row r="491" spans="1:26" ht="18.75">
      <c r="A491" s="1267"/>
      <c r="B491" s="1268"/>
      <c r="C491" s="1268"/>
      <c r="D491" s="1268"/>
      <c r="E491" s="1268"/>
      <c r="F491" s="1268" t="s">
        <v>213</v>
      </c>
      <c r="G491" s="954"/>
      <c r="H491" s="590" t="s">
        <v>35</v>
      </c>
      <c r="I491" s="830"/>
      <c r="J491" s="959">
        <v>0</v>
      </c>
      <c r="K491" s="831"/>
      <c r="L491" s="831"/>
      <c r="M491" s="831"/>
      <c r="N491" s="831"/>
      <c r="O491" s="831"/>
      <c r="P491" s="831"/>
      <c r="Q491" s="1244"/>
      <c r="R491" s="1244"/>
      <c r="S491" s="1244"/>
      <c r="T491" s="1244"/>
      <c r="U491" s="1244"/>
      <c r="V491" s="1244"/>
      <c r="W491" s="1244"/>
      <c r="X491" s="1244"/>
      <c r="Y491" s="1244"/>
      <c r="Z491" s="1244"/>
    </row>
    <row r="492" spans="1:26" ht="18.75">
      <c r="A492" s="1267"/>
      <c r="B492" s="1268"/>
      <c r="C492" s="1268"/>
      <c r="D492" s="1268"/>
      <c r="E492" s="1268"/>
      <c r="F492" s="1268" t="s">
        <v>214</v>
      </c>
      <c r="G492" s="954"/>
      <c r="H492" s="590" t="s">
        <v>35</v>
      </c>
      <c r="I492" s="830">
        <f ca="1">IFERROR(__xludf.DUMMYFUNCTION("IMPORTRANGE(""https://docs.google.com/spreadsheets/d/1QqKyyYR6Q21VydFLVH3TRQUabQu_ym0Zz7PgGX0-kHA/edit?usp=sharing"",""แผน!GC28"")"),1)</f>
        <v>1</v>
      </c>
      <c r="J492" s="959">
        <v>1</v>
      </c>
      <c r="K492" s="831">
        <f ca="1">IF(I492&gt;0,J492*100/I492,0)</f>
        <v>100</v>
      </c>
      <c r="L492" s="831"/>
      <c r="M492" s="831"/>
      <c r="N492" s="831"/>
      <c r="O492" s="831"/>
      <c r="P492" s="831"/>
      <c r="Q492" s="1244"/>
      <c r="R492" s="1244"/>
      <c r="S492" s="1244"/>
      <c r="T492" s="1244"/>
      <c r="U492" s="1244"/>
      <c r="V492" s="1244"/>
      <c r="W492" s="1244"/>
      <c r="X492" s="1244"/>
      <c r="Y492" s="1244"/>
      <c r="Z492" s="1244"/>
    </row>
    <row r="493" spans="1:26" ht="19.5">
      <c r="A493" s="1267"/>
      <c r="B493" s="1268"/>
      <c r="C493" s="1268"/>
      <c r="D493" s="1277" t="s">
        <v>59</v>
      </c>
      <c r="E493" s="1268"/>
      <c r="F493" s="961"/>
      <c r="G493" s="954"/>
      <c r="H493" s="963"/>
      <c r="I493" s="830"/>
      <c r="J493" s="830"/>
      <c r="K493" s="831"/>
      <c r="L493" s="831"/>
      <c r="M493" s="831"/>
      <c r="N493" s="831"/>
      <c r="O493" s="831"/>
      <c r="P493" s="831"/>
      <c r="Q493" s="1244"/>
      <c r="R493" s="1244"/>
      <c r="S493" s="1244"/>
      <c r="T493" s="1244"/>
      <c r="U493" s="1244"/>
      <c r="V493" s="1244"/>
      <c r="W493" s="1244"/>
      <c r="X493" s="1244"/>
      <c r="Y493" s="1244"/>
      <c r="Z493" s="1244"/>
    </row>
    <row r="494" spans="1:26" ht="18.75">
      <c r="A494" s="1267"/>
      <c r="B494" s="1268"/>
      <c r="C494" s="1268"/>
      <c r="D494" s="1268"/>
      <c r="E494" s="1268" t="s">
        <v>207</v>
      </c>
      <c r="F494" s="961"/>
      <c r="G494" s="954"/>
      <c r="H494" s="963"/>
      <c r="I494" s="830"/>
      <c r="J494" s="830"/>
      <c r="K494" s="831"/>
      <c r="L494" s="831"/>
      <c r="M494" s="831"/>
      <c r="N494" s="831"/>
      <c r="O494" s="831"/>
      <c r="P494" s="831"/>
      <c r="Q494" s="1244"/>
      <c r="R494" s="1244"/>
      <c r="S494" s="1244"/>
      <c r="T494" s="1244"/>
      <c r="U494" s="1244"/>
      <c r="V494" s="1244"/>
      <c r="W494" s="1244"/>
      <c r="X494" s="1244"/>
      <c r="Y494" s="1244"/>
      <c r="Z494" s="1244"/>
    </row>
    <row r="495" spans="1:26" ht="18.75">
      <c r="A495" s="1267"/>
      <c r="B495" s="1268"/>
      <c r="C495" s="1268"/>
      <c r="D495" s="1268"/>
      <c r="E495" s="1268"/>
      <c r="F495" s="961" t="s">
        <v>215</v>
      </c>
      <c r="G495" s="954"/>
      <c r="H495" s="590" t="s">
        <v>46</v>
      </c>
      <c r="I495" s="830">
        <f ca="1">IFERROR(__xludf.DUMMYFUNCTION("IMPORTRANGE(""https://docs.google.com/spreadsheets/d/1QqKyyYR6Q21VydFLVH3TRQUabQu_ym0Zz7PgGX0-kHA/edit?usp=sharing"",""แผน!FY28"")"),270)</f>
        <v>270</v>
      </c>
      <c r="J495" s="959">
        <v>0</v>
      </c>
      <c r="K495" s="831">
        <f ca="1">IF(I495&gt;0,J495*100/I495,0)</f>
        <v>0</v>
      </c>
      <c r="L495" s="831"/>
      <c r="M495" s="831"/>
      <c r="N495" s="831"/>
      <c r="O495" s="831"/>
      <c r="P495" s="831"/>
      <c r="Q495" s="1244"/>
      <c r="R495" s="1244"/>
      <c r="S495" s="1244"/>
      <c r="T495" s="1244"/>
      <c r="U495" s="1244"/>
      <c r="V495" s="1244"/>
      <c r="W495" s="1244"/>
      <c r="X495" s="1244"/>
      <c r="Y495" s="1244"/>
      <c r="Z495" s="1244"/>
    </row>
    <row r="496" spans="1:26" ht="18.75">
      <c r="A496" s="1267"/>
      <c r="B496" s="1268"/>
      <c r="C496" s="1268"/>
      <c r="D496" s="1268"/>
      <c r="E496" s="1268"/>
      <c r="F496" s="961" t="s">
        <v>216</v>
      </c>
      <c r="G496" s="954"/>
      <c r="H496" s="590" t="s">
        <v>46</v>
      </c>
      <c r="I496" s="830"/>
      <c r="J496" s="959">
        <v>0</v>
      </c>
      <c r="K496" s="831"/>
      <c r="L496" s="831"/>
      <c r="M496" s="831"/>
      <c r="N496" s="831"/>
      <c r="O496" s="831"/>
      <c r="P496" s="831"/>
      <c r="Q496" s="1244"/>
      <c r="R496" s="1244"/>
      <c r="S496" s="1244"/>
      <c r="T496" s="1244"/>
      <c r="U496" s="1244"/>
      <c r="V496" s="1244"/>
      <c r="W496" s="1244"/>
      <c r="X496" s="1244"/>
      <c r="Y496" s="1244"/>
      <c r="Z496" s="1244"/>
    </row>
    <row r="497" spans="1:26" ht="18.75">
      <c r="A497" s="1267"/>
      <c r="B497" s="1268"/>
      <c r="C497" s="1268"/>
      <c r="D497" s="1268"/>
      <c r="E497" s="1268" t="s">
        <v>62</v>
      </c>
      <c r="F497" s="961"/>
      <c r="G497" s="954"/>
      <c r="H497" s="963"/>
      <c r="I497" s="830"/>
      <c r="J497" s="830"/>
      <c r="K497" s="831"/>
      <c r="L497" s="831"/>
      <c r="M497" s="831"/>
      <c r="N497" s="831"/>
      <c r="O497" s="831"/>
      <c r="P497" s="831"/>
      <c r="Q497" s="1244"/>
      <c r="R497" s="1244"/>
      <c r="S497" s="1244"/>
      <c r="T497" s="1244"/>
      <c r="U497" s="1244"/>
      <c r="V497" s="1244"/>
      <c r="W497" s="1244"/>
      <c r="X497" s="1244"/>
      <c r="Y497" s="1244"/>
      <c r="Z497" s="1244"/>
    </row>
    <row r="498" spans="1:26" ht="18.75">
      <c r="A498" s="1267"/>
      <c r="B498" s="1268"/>
      <c r="C498" s="1268"/>
      <c r="D498" s="1268"/>
      <c r="E498" s="961"/>
      <c r="F498" s="961" t="s">
        <v>217</v>
      </c>
      <c r="G498" s="954"/>
      <c r="H498" s="590" t="s">
        <v>46</v>
      </c>
      <c r="I498" s="830">
        <f ca="1">IFERROR(__xludf.DUMMYFUNCTION("IMPORTRANGE(""https://docs.google.com/spreadsheets/d/1QqKyyYR6Q21VydFLVH3TRQUabQu_ym0Zz7PgGX0-kHA/edit?usp=sharing"",""แผน!GA28"")"),30)</f>
        <v>30</v>
      </c>
      <c r="J498" s="959">
        <v>0</v>
      </c>
      <c r="K498" s="831">
        <f ca="1">IF(I498&gt;0,J498*100/I498,0)</f>
        <v>0</v>
      </c>
      <c r="L498" s="831"/>
      <c r="M498" s="831"/>
      <c r="N498" s="831"/>
      <c r="O498" s="831"/>
      <c r="P498" s="831"/>
      <c r="Q498" s="1244"/>
      <c r="R498" s="1244"/>
      <c r="S498" s="1244"/>
      <c r="T498" s="1244"/>
      <c r="U498" s="1244"/>
      <c r="V498" s="1244"/>
      <c r="W498" s="1244"/>
      <c r="X498" s="1244"/>
      <c r="Y498" s="1244"/>
      <c r="Z498" s="1244"/>
    </row>
    <row r="499" spans="1:26" ht="18.75">
      <c r="A499" s="1267"/>
      <c r="B499" s="1268"/>
      <c r="C499" s="1268"/>
      <c r="D499" s="1268"/>
      <c r="E499" s="961"/>
      <c r="F499" s="961" t="s">
        <v>218</v>
      </c>
      <c r="G499" s="954"/>
      <c r="H499" s="590" t="s">
        <v>46</v>
      </c>
      <c r="I499" s="830"/>
      <c r="J499" s="959">
        <v>0</v>
      </c>
      <c r="K499" s="831"/>
      <c r="L499" s="831"/>
      <c r="M499" s="831"/>
      <c r="N499" s="831"/>
      <c r="O499" s="831"/>
      <c r="P499" s="831"/>
      <c r="Q499" s="1244"/>
      <c r="R499" s="1244"/>
      <c r="S499" s="1244"/>
      <c r="T499" s="1244"/>
      <c r="U499" s="1244"/>
      <c r="V499" s="1244"/>
      <c r="W499" s="1244"/>
      <c r="X499" s="1244"/>
      <c r="Y499" s="1244"/>
      <c r="Z499" s="1244"/>
    </row>
    <row r="500" spans="1:26" ht="19.5" hidden="1">
      <c r="A500" s="594">
        <v>4</v>
      </c>
      <c r="B500" s="1278" t="s">
        <v>219</v>
      </c>
      <c r="C500" s="1279"/>
      <c r="D500" s="1280"/>
      <c r="E500" s="1280"/>
      <c r="F500" s="1280"/>
      <c r="G500" s="1281"/>
      <c r="H500" s="599" t="s">
        <v>109</v>
      </c>
      <c r="I500" s="1282"/>
      <c r="J500" s="1282">
        <f t="shared" ref="J500:J501" si="214">J516</f>
        <v>0</v>
      </c>
      <c r="K500" s="1283">
        <f t="shared" ref="K500:K501" si="215">IF(I500&gt;0,J500*100/I500,0)</f>
        <v>0</v>
      </c>
      <c r="L500" s="1284"/>
      <c r="M500" s="1284"/>
      <c r="N500" s="1284"/>
      <c r="O500" s="1284"/>
      <c r="P500" s="1284"/>
      <c r="Q500" s="1264"/>
      <c r="R500" s="1264"/>
      <c r="S500" s="1264"/>
      <c r="T500" s="1264"/>
      <c r="U500" s="1264"/>
      <c r="V500" s="1264"/>
      <c r="W500" s="1264"/>
      <c r="X500" s="1264"/>
      <c r="Y500" s="1264"/>
      <c r="Z500" s="1264"/>
    </row>
    <row r="501" spans="1:26" ht="19.5" hidden="1">
      <c r="A501" s="1285"/>
      <c r="B501" s="1286" t="s">
        <v>220</v>
      </c>
      <c r="C501" s="1286"/>
      <c r="D501" s="1287"/>
      <c r="E501" s="1287"/>
      <c r="F501" s="1287"/>
      <c r="G501" s="1288"/>
      <c r="H501" s="608" t="s">
        <v>35</v>
      </c>
      <c r="I501" s="1289"/>
      <c r="J501" s="1289">
        <f t="shared" si="214"/>
        <v>0</v>
      </c>
      <c r="K501" s="1290">
        <f t="shared" si="215"/>
        <v>0</v>
      </c>
      <c r="L501" s="1291"/>
      <c r="M501" s="1291"/>
      <c r="N501" s="1291"/>
      <c r="O501" s="1291"/>
      <c r="P501" s="1291"/>
      <c r="Q501" s="1264"/>
      <c r="R501" s="1264"/>
      <c r="S501" s="1264"/>
      <c r="T501" s="1264"/>
      <c r="U501" s="1264"/>
      <c r="V501" s="1264"/>
      <c r="W501" s="1264"/>
      <c r="X501" s="1264"/>
      <c r="Y501" s="1264"/>
      <c r="Z501" s="1264"/>
    </row>
    <row r="502" spans="1:26" ht="19.5" hidden="1">
      <c r="A502" s="1260"/>
      <c r="B502" s="1261"/>
      <c r="C502" s="1261" t="s">
        <v>16</v>
      </c>
      <c r="D502" s="1508" t="s">
        <v>17</v>
      </c>
      <c r="E502" s="1485"/>
      <c r="F502" s="1485"/>
      <c r="G502" s="1263"/>
      <c r="H502" s="612" t="s">
        <v>12</v>
      </c>
      <c r="I502" s="836"/>
      <c r="J502" s="836"/>
      <c r="K502" s="837"/>
      <c r="L502" s="1292">
        <f t="shared" ref="L502:N502" si="216">L503+L504</f>
        <v>0</v>
      </c>
      <c r="M502" s="1292">
        <f t="shared" si="216"/>
        <v>0</v>
      </c>
      <c r="N502" s="1292">
        <f t="shared" si="216"/>
        <v>0</v>
      </c>
      <c r="O502" s="1292">
        <f t="shared" ref="O502:O507" si="217">IF(L502&gt;0,N502*100/L502,0)</f>
        <v>0</v>
      </c>
      <c r="P502" s="1292">
        <f t="shared" ref="P502:P507" si="218">IF(M502&gt;0,N502*100/M502,0)</f>
        <v>0</v>
      </c>
      <c r="Q502" s="1264"/>
      <c r="R502" s="1264"/>
      <c r="S502" s="1264"/>
      <c r="T502" s="1264"/>
      <c r="U502" s="1264"/>
      <c r="V502" s="1264"/>
      <c r="W502" s="1264"/>
      <c r="X502" s="1264"/>
      <c r="Y502" s="1264"/>
      <c r="Z502" s="1264"/>
    </row>
    <row r="503" spans="1:26" ht="18.75" hidden="1">
      <c r="A503" s="1260"/>
      <c r="B503" s="1261"/>
      <c r="C503" s="1261"/>
      <c r="D503" s="1262"/>
      <c r="E503" s="1261" t="s">
        <v>184</v>
      </c>
      <c r="F503" s="1261"/>
      <c r="G503" s="1263"/>
      <c r="H503" s="165" t="s">
        <v>12</v>
      </c>
      <c r="I503" s="836"/>
      <c r="J503" s="836"/>
      <c r="K503" s="837"/>
      <c r="L503" s="837">
        <f t="shared" ref="L503:N504" si="219">L506+L513</f>
        <v>0</v>
      </c>
      <c r="M503" s="837">
        <f t="shared" si="219"/>
        <v>0</v>
      </c>
      <c r="N503" s="837">
        <f t="shared" si="219"/>
        <v>0</v>
      </c>
      <c r="O503" s="837">
        <f t="shared" si="217"/>
        <v>0</v>
      </c>
      <c r="P503" s="837">
        <f t="shared" si="218"/>
        <v>0</v>
      </c>
      <c r="Q503" s="1264"/>
      <c r="R503" s="1264"/>
      <c r="S503" s="1264"/>
      <c r="T503" s="1264"/>
      <c r="U503" s="1264"/>
      <c r="V503" s="1264"/>
      <c r="W503" s="1264"/>
      <c r="X503" s="1264"/>
      <c r="Y503" s="1264"/>
      <c r="Z503" s="1264"/>
    </row>
    <row r="504" spans="1:26" ht="18.75" hidden="1">
      <c r="A504" s="1260"/>
      <c r="B504" s="1265"/>
      <c r="C504" s="1261"/>
      <c r="D504" s="1262"/>
      <c r="E504" s="1261" t="s">
        <v>185</v>
      </c>
      <c r="F504" s="1261"/>
      <c r="G504" s="1263"/>
      <c r="H504" s="165" t="s">
        <v>12</v>
      </c>
      <c r="I504" s="836"/>
      <c r="J504" s="836"/>
      <c r="K504" s="837"/>
      <c r="L504" s="837">
        <f t="shared" si="219"/>
        <v>0</v>
      </c>
      <c r="M504" s="837">
        <f t="shared" si="219"/>
        <v>0</v>
      </c>
      <c r="N504" s="837">
        <f t="shared" si="219"/>
        <v>0</v>
      </c>
      <c r="O504" s="837">
        <f t="shared" si="217"/>
        <v>0</v>
      </c>
      <c r="P504" s="837">
        <f t="shared" si="218"/>
        <v>0</v>
      </c>
      <c r="Q504" s="1264"/>
      <c r="R504" s="1264"/>
      <c r="S504" s="1264"/>
      <c r="T504" s="1264"/>
      <c r="U504" s="1264"/>
      <c r="V504" s="1264"/>
      <c r="W504" s="1264"/>
      <c r="X504" s="1264"/>
      <c r="Y504" s="1264"/>
      <c r="Z504" s="1264"/>
    </row>
    <row r="505" spans="1:26" ht="18.75" hidden="1">
      <c r="A505" s="1260"/>
      <c r="B505" s="1265"/>
      <c r="C505" s="1261"/>
      <c r="D505" s="1293" t="s">
        <v>20</v>
      </c>
      <c r="E505" s="1261"/>
      <c r="F505" s="1261"/>
      <c r="G505" s="1263"/>
      <c r="H505" s="165" t="s">
        <v>12</v>
      </c>
      <c r="I505" s="947"/>
      <c r="J505" s="947"/>
      <c r="K505" s="948"/>
      <c r="L505" s="837">
        <f t="shared" ref="L505:N505" si="220">L506+L507</f>
        <v>0</v>
      </c>
      <c r="M505" s="837">
        <f t="shared" si="220"/>
        <v>0</v>
      </c>
      <c r="N505" s="837">
        <f t="shared" si="220"/>
        <v>0</v>
      </c>
      <c r="O505" s="837">
        <f t="shared" si="217"/>
        <v>0</v>
      </c>
      <c r="P505" s="837">
        <f t="shared" si="218"/>
        <v>0</v>
      </c>
      <c r="Q505" s="1264"/>
      <c r="R505" s="1264"/>
      <c r="S505" s="1264"/>
      <c r="T505" s="1264"/>
      <c r="U505" s="1264"/>
      <c r="V505" s="1264"/>
      <c r="W505" s="1264"/>
      <c r="X505" s="1264"/>
      <c r="Y505" s="1264"/>
      <c r="Z505" s="1264"/>
    </row>
    <row r="506" spans="1:26" ht="18.75" hidden="1">
      <c r="A506" s="1260"/>
      <c r="B506" s="1265"/>
      <c r="C506" s="1261"/>
      <c r="D506" s="1262"/>
      <c r="E506" s="1261" t="s">
        <v>184</v>
      </c>
      <c r="F506" s="1261"/>
      <c r="G506" s="1263"/>
      <c r="H506" s="165" t="s">
        <v>12</v>
      </c>
      <c r="I506" s="836"/>
      <c r="J506" s="836"/>
      <c r="K506" s="837"/>
      <c r="L506" s="837">
        <v>0</v>
      </c>
      <c r="M506" s="837">
        <v>0</v>
      </c>
      <c r="N506" s="837">
        <v>0</v>
      </c>
      <c r="O506" s="837">
        <f t="shared" si="217"/>
        <v>0</v>
      </c>
      <c r="P506" s="837">
        <f t="shared" si="218"/>
        <v>0</v>
      </c>
      <c r="Q506" s="1264"/>
      <c r="R506" s="1264"/>
      <c r="S506" s="1264"/>
      <c r="T506" s="1264"/>
      <c r="U506" s="1264"/>
      <c r="V506" s="1264"/>
      <c r="W506" s="1264"/>
      <c r="X506" s="1264"/>
      <c r="Y506" s="1264"/>
      <c r="Z506" s="1264"/>
    </row>
    <row r="507" spans="1:26" ht="18.75" hidden="1">
      <c r="A507" s="1260"/>
      <c r="B507" s="1265"/>
      <c r="C507" s="1261"/>
      <c r="D507" s="1262"/>
      <c r="E507" s="1261" t="s">
        <v>185</v>
      </c>
      <c r="F507" s="1261"/>
      <c r="G507" s="1263"/>
      <c r="H507" s="165" t="s">
        <v>12</v>
      </c>
      <c r="I507" s="836"/>
      <c r="J507" s="836"/>
      <c r="K507" s="837"/>
      <c r="L507" s="837">
        <v>0</v>
      </c>
      <c r="M507" s="837">
        <v>0</v>
      </c>
      <c r="N507" s="837">
        <f>N508+N509+N510+N511</f>
        <v>0</v>
      </c>
      <c r="O507" s="837">
        <f t="shared" si="217"/>
        <v>0</v>
      </c>
      <c r="P507" s="837">
        <f t="shared" si="218"/>
        <v>0</v>
      </c>
      <c r="Q507" s="1264"/>
      <c r="R507" s="1264"/>
      <c r="S507" s="1264"/>
      <c r="T507" s="1264"/>
      <c r="U507" s="1264"/>
      <c r="V507" s="1264"/>
      <c r="W507" s="1264"/>
      <c r="X507" s="1264"/>
      <c r="Y507" s="1264"/>
      <c r="Z507" s="1264"/>
    </row>
    <row r="508" spans="1:26" ht="18.75" hidden="1">
      <c r="A508" s="1294"/>
      <c r="B508" s="1265"/>
      <c r="C508" s="1261"/>
      <c r="D508" s="1261"/>
      <c r="E508" s="1261"/>
      <c r="F508" s="1261" t="s">
        <v>186</v>
      </c>
      <c r="G508" s="1263"/>
      <c r="H508" s="165" t="s">
        <v>12</v>
      </c>
      <c r="I508" s="836"/>
      <c r="J508" s="836"/>
      <c r="K508" s="837"/>
      <c r="L508" s="837"/>
      <c r="M508" s="837"/>
      <c r="N508" s="837">
        <v>0</v>
      </c>
      <c r="O508" s="837"/>
      <c r="P508" s="837"/>
      <c r="Q508" s="1264"/>
      <c r="R508" s="1264"/>
      <c r="S508" s="1264"/>
      <c r="T508" s="1264"/>
      <c r="U508" s="1264"/>
      <c r="V508" s="1264"/>
      <c r="W508" s="1264"/>
      <c r="X508" s="1264"/>
      <c r="Y508" s="1264"/>
      <c r="Z508" s="1264"/>
    </row>
    <row r="509" spans="1:26" ht="18.75" hidden="1">
      <c r="A509" s="1294"/>
      <c r="B509" s="1265"/>
      <c r="C509" s="1261"/>
      <c r="D509" s="1261"/>
      <c r="E509" s="1261"/>
      <c r="F509" s="1261" t="s">
        <v>187</v>
      </c>
      <c r="G509" s="1263"/>
      <c r="H509" s="165" t="s">
        <v>12</v>
      </c>
      <c r="I509" s="836"/>
      <c r="J509" s="836"/>
      <c r="K509" s="837"/>
      <c r="L509" s="837"/>
      <c r="M509" s="837"/>
      <c r="N509" s="837">
        <v>0</v>
      </c>
      <c r="O509" s="837"/>
      <c r="P509" s="837"/>
      <c r="Q509" s="1264"/>
      <c r="R509" s="1264"/>
      <c r="S509" s="1264"/>
      <c r="T509" s="1264"/>
      <c r="U509" s="1264"/>
      <c r="V509" s="1264"/>
      <c r="W509" s="1264"/>
      <c r="X509" s="1264"/>
      <c r="Y509" s="1264"/>
      <c r="Z509" s="1264"/>
    </row>
    <row r="510" spans="1:26" ht="18.75" hidden="1">
      <c r="A510" s="1294"/>
      <c r="B510" s="1265"/>
      <c r="C510" s="1265"/>
      <c r="D510" s="1265"/>
      <c r="E510" s="1261"/>
      <c r="F510" s="1261" t="s">
        <v>188</v>
      </c>
      <c r="G510" s="1263"/>
      <c r="H510" s="165" t="s">
        <v>12</v>
      </c>
      <c r="I510" s="836"/>
      <c r="J510" s="836"/>
      <c r="K510" s="837"/>
      <c r="L510" s="837"/>
      <c r="M510" s="837"/>
      <c r="N510" s="837">
        <v>0</v>
      </c>
      <c r="O510" s="837"/>
      <c r="P510" s="837"/>
      <c r="Q510" s="1264"/>
      <c r="R510" s="1264"/>
      <c r="S510" s="1264"/>
      <c r="T510" s="1264"/>
      <c r="U510" s="1264"/>
      <c r="V510" s="1264"/>
      <c r="W510" s="1264"/>
      <c r="X510" s="1264"/>
      <c r="Y510" s="1264"/>
      <c r="Z510" s="1264"/>
    </row>
    <row r="511" spans="1:26" ht="18.75" hidden="1">
      <c r="A511" s="1294"/>
      <c r="B511" s="1265"/>
      <c r="C511" s="1265"/>
      <c r="D511" s="1265"/>
      <c r="E511" s="1261"/>
      <c r="F511" s="1261" t="s">
        <v>189</v>
      </c>
      <c r="G511" s="1263"/>
      <c r="H511" s="165" t="s">
        <v>12</v>
      </c>
      <c r="I511" s="836"/>
      <c r="J511" s="836"/>
      <c r="K511" s="837"/>
      <c r="L511" s="837"/>
      <c r="M511" s="837"/>
      <c r="N511" s="837">
        <v>0</v>
      </c>
      <c r="O511" s="837"/>
      <c r="P511" s="837"/>
      <c r="Q511" s="1264"/>
      <c r="R511" s="1264"/>
      <c r="S511" s="1264"/>
      <c r="T511" s="1264"/>
      <c r="U511" s="1264"/>
      <c r="V511" s="1264"/>
      <c r="W511" s="1264"/>
      <c r="X511" s="1264"/>
      <c r="Y511" s="1264"/>
      <c r="Z511" s="1264"/>
    </row>
    <row r="512" spans="1:26" ht="18.75" hidden="1">
      <c r="A512" s="1260"/>
      <c r="B512" s="1265"/>
      <c r="C512" s="1265"/>
      <c r="D512" s="1293" t="s">
        <v>21</v>
      </c>
      <c r="E512" s="1265"/>
      <c r="F512" s="1261"/>
      <c r="G512" s="1263"/>
      <c r="H512" s="169" t="s">
        <v>12</v>
      </c>
      <c r="I512" s="947"/>
      <c r="J512" s="947"/>
      <c r="K512" s="948"/>
      <c r="L512" s="837">
        <f t="shared" ref="L512:N512" si="221">L513+L514</f>
        <v>0</v>
      </c>
      <c r="M512" s="837">
        <f t="shared" si="221"/>
        <v>0</v>
      </c>
      <c r="N512" s="837">
        <f t="shared" si="221"/>
        <v>0</v>
      </c>
      <c r="O512" s="837">
        <f t="shared" ref="O512:O514" si="222">IF(L512&gt;0,N512*100/L512,0)</f>
        <v>0</v>
      </c>
      <c r="P512" s="837">
        <f t="shared" ref="P512:P514" si="223">IF(M512&gt;0,N512*100/M512,0)</f>
        <v>0</v>
      </c>
      <c r="Q512" s="1264"/>
      <c r="R512" s="1264"/>
      <c r="S512" s="1264"/>
      <c r="T512" s="1264"/>
      <c r="U512" s="1264"/>
      <c r="V512" s="1264"/>
      <c r="W512" s="1264"/>
      <c r="X512" s="1264"/>
      <c r="Y512" s="1264"/>
      <c r="Z512" s="1264"/>
    </row>
    <row r="513" spans="1:26" ht="18.75" hidden="1">
      <c r="A513" s="1260"/>
      <c r="B513" s="1265"/>
      <c r="C513" s="1265"/>
      <c r="D513" s="1265"/>
      <c r="E513" s="1265" t="s">
        <v>18</v>
      </c>
      <c r="F513" s="1261"/>
      <c r="G513" s="1263"/>
      <c r="H513" s="165" t="s">
        <v>12</v>
      </c>
      <c r="I513" s="947"/>
      <c r="J513" s="947"/>
      <c r="K513" s="948"/>
      <c r="L513" s="837">
        <v>0</v>
      </c>
      <c r="M513" s="837">
        <v>0</v>
      </c>
      <c r="N513" s="837">
        <v>0</v>
      </c>
      <c r="O513" s="837">
        <f t="shared" si="222"/>
        <v>0</v>
      </c>
      <c r="P513" s="837">
        <f t="shared" si="223"/>
        <v>0</v>
      </c>
      <c r="Q513" s="1264"/>
      <c r="R513" s="1264"/>
      <c r="S513" s="1264"/>
      <c r="T513" s="1264"/>
      <c r="U513" s="1264"/>
      <c r="V513" s="1264"/>
      <c r="W513" s="1264"/>
      <c r="X513" s="1264"/>
      <c r="Y513" s="1264"/>
      <c r="Z513" s="1264"/>
    </row>
    <row r="514" spans="1:26" ht="18.75" hidden="1">
      <c r="A514" s="1260"/>
      <c r="B514" s="1265"/>
      <c r="C514" s="1265"/>
      <c r="D514" s="1261"/>
      <c r="E514" s="1265" t="s">
        <v>19</v>
      </c>
      <c r="F514" s="1261"/>
      <c r="G514" s="1263"/>
      <c r="H514" s="169" t="s">
        <v>12</v>
      </c>
      <c r="I514" s="947"/>
      <c r="J514" s="947"/>
      <c r="K514" s="948"/>
      <c r="L514" s="837">
        <v>0</v>
      </c>
      <c r="M514" s="837">
        <v>0</v>
      </c>
      <c r="N514" s="837">
        <v>0</v>
      </c>
      <c r="O514" s="837">
        <f t="shared" si="222"/>
        <v>0</v>
      </c>
      <c r="P514" s="837">
        <f t="shared" si="223"/>
        <v>0</v>
      </c>
      <c r="Q514" s="1264"/>
      <c r="R514" s="1264"/>
      <c r="S514" s="1264"/>
      <c r="T514" s="1264"/>
      <c r="U514" s="1264"/>
      <c r="V514" s="1264"/>
      <c r="W514" s="1264"/>
      <c r="X514" s="1264"/>
      <c r="Y514" s="1264"/>
      <c r="Z514" s="1264"/>
    </row>
    <row r="515" spans="1:26" ht="19.5" hidden="1">
      <c r="A515" s="1273"/>
      <c r="B515" s="1274"/>
      <c r="C515" s="1265" t="s">
        <v>16</v>
      </c>
      <c r="D515" s="1295" t="s">
        <v>38</v>
      </c>
      <c r="E515" s="1296"/>
      <c r="F515" s="1296"/>
      <c r="G515" s="1297"/>
      <c r="H515" s="1060"/>
      <c r="I515" s="947"/>
      <c r="J515" s="947"/>
      <c r="K515" s="948"/>
      <c r="L515" s="948"/>
      <c r="M515" s="948"/>
      <c r="N515" s="948"/>
      <c r="O515" s="948"/>
      <c r="P515" s="948"/>
      <c r="Q515" s="1264"/>
      <c r="R515" s="1264"/>
      <c r="S515" s="1264"/>
      <c r="T515" s="1264"/>
      <c r="U515" s="1264"/>
      <c r="V515" s="1264"/>
      <c r="W515" s="1264"/>
      <c r="X515" s="1264"/>
      <c r="Y515" s="1264"/>
      <c r="Z515" s="1264"/>
    </row>
    <row r="516" spans="1:26" ht="18.75" hidden="1">
      <c r="A516" s="1273"/>
      <c r="B516" s="1274"/>
      <c r="C516" s="1274"/>
      <c r="D516" s="1274" t="s">
        <v>221</v>
      </c>
      <c r="E516" s="1262"/>
      <c r="F516" s="1262"/>
      <c r="G516" s="1060"/>
      <c r="H516" s="619" t="s">
        <v>109</v>
      </c>
      <c r="I516" s="836"/>
      <c r="J516" s="836">
        <v>0</v>
      </c>
      <c r="K516" s="948">
        <f t="shared" ref="K516:K517" si="224">IF(I516&gt;0,J516*100/I516,0)</f>
        <v>0</v>
      </c>
      <c r="L516" s="948"/>
      <c r="M516" s="948"/>
      <c r="N516" s="948"/>
      <c r="O516" s="948"/>
      <c r="P516" s="948"/>
      <c r="Q516" s="1264"/>
      <c r="R516" s="1264"/>
      <c r="S516" s="1264"/>
      <c r="T516" s="1264"/>
      <c r="U516" s="1264"/>
      <c r="V516" s="1264"/>
      <c r="W516" s="1264"/>
      <c r="X516" s="1264"/>
      <c r="Y516" s="1264"/>
      <c r="Z516" s="1264"/>
    </row>
    <row r="517" spans="1:26" ht="19.5" hidden="1">
      <c r="A517" s="1273"/>
      <c r="B517" s="1274"/>
      <c r="C517" s="1274"/>
      <c r="D517" s="1274" t="s">
        <v>222</v>
      </c>
      <c r="E517" s="1262"/>
      <c r="F517" s="1262"/>
      <c r="G517" s="1060"/>
      <c r="H517" s="620" t="s">
        <v>35</v>
      </c>
      <c r="I517" s="1298"/>
      <c r="J517" s="1298">
        <f>J518+J519</f>
        <v>0</v>
      </c>
      <c r="K517" s="1299">
        <f t="shared" si="224"/>
        <v>0</v>
      </c>
      <c r="L517" s="948"/>
      <c r="M517" s="948"/>
      <c r="N517" s="948"/>
      <c r="O517" s="948"/>
      <c r="P517" s="948"/>
      <c r="Q517" s="1264"/>
      <c r="R517" s="1264"/>
      <c r="S517" s="1264"/>
      <c r="T517" s="1264"/>
      <c r="U517" s="1264"/>
      <c r="V517" s="1264"/>
      <c r="W517" s="1264"/>
      <c r="X517" s="1264"/>
      <c r="Y517" s="1264"/>
      <c r="Z517" s="1264"/>
    </row>
    <row r="518" spans="1:26" ht="18.75" hidden="1">
      <c r="A518" s="1273"/>
      <c r="B518" s="1274"/>
      <c r="C518" s="1274"/>
      <c r="D518" s="1274"/>
      <c r="E518" s="1274" t="s">
        <v>223</v>
      </c>
      <c r="F518" s="1262"/>
      <c r="G518" s="1060"/>
      <c r="H518" s="583" t="s">
        <v>35</v>
      </c>
      <c r="I518" s="836"/>
      <c r="J518" s="836"/>
      <c r="K518" s="948"/>
      <c r="L518" s="948"/>
      <c r="M518" s="948"/>
      <c r="N518" s="948"/>
      <c r="O518" s="948"/>
      <c r="P518" s="948"/>
      <c r="Q518" s="1264"/>
      <c r="R518" s="1264"/>
      <c r="S518" s="1264"/>
      <c r="T518" s="1264"/>
      <c r="U518" s="1264"/>
      <c r="V518" s="1264"/>
      <c r="W518" s="1264"/>
      <c r="X518" s="1264"/>
      <c r="Y518" s="1264"/>
      <c r="Z518" s="1264"/>
    </row>
    <row r="519" spans="1:26" ht="18.75" hidden="1">
      <c r="A519" s="1273"/>
      <c r="B519" s="1274"/>
      <c r="C519" s="1274"/>
      <c r="D519" s="1274"/>
      <c r="E519" s="1274" t="s">
        <v>224</v>
      </c>
      <c r="F519" s="1262"/>
      <c r="G519" s="1060"/>
      <c r="H519" s="619" t="s">
        <v>35</v>
      </c>
      <c r="I519" s="836"/>
      <c r="J519" s="836"/>
      <c r="K519" s="948"/>
      <c r="L519" s="948"/>
      <c r="M519" s="948"/>
      <c r="N519" s="948"/>
      <c r="O519" s="948"/>
      <c r="P519" s="948"/>
      <c r="Q519" s="1264"/>
      <c r="R519" s="1264"/>
      <c r="S519" s="1264"/>
      <c r="T519" s="1264"/>
      <c r="U519" s="1264"/>
      <c r="V519" s="1264"/>
      <c r="W519" s="1264"/>
      <c r="X519" s="1264"/>
      <c r="Y519" s="1264"/>
      <c r="Z519" s="1264"/>
    </row>
    <row r="520" spans="1:26" ht="19.5">
      <c r="A520" s="1300" t="s">
        <v>137</v>
      </c>
      <c r="B520" s="1301"/>
      <c r="C520" s="1301"/>
      <c r="D520" s="1302"/>
      <c r="E520" s="1302"/>
      <c r="F520" s="1302"/>
      <c r="G520" s="1303"/>
      <c r="H520" s="1304"/>
      <c r="I520" s="1305"/>
      <c r="J520" s="1305"/>
      <c r="K520" s="1306"/>
      <c r="L520" s="1306"/>
      <c r="M520" s="1306"/>
      <c r="N520" s="1306"/>
      <c r="O520" s="1306"/>
      <c r="P520" s="1306"/>
    </row>
    <row r="521" spans="1:26" ht="19.5" hidden="1">
      <c r="A521" s="630">
        <v>5</v>
      </c>
      <c r="B521" s="1307" t="s">
        <v>225</v>
      </c>
      <c r="C521" s="1308"/>
      <c r="D521" s="1309"/>
      <c r="E521" s="1309"/>
      <c r="F521" s="1309"/>
      <c r="G521" s="1309"/>
      <c r="H521" s="1310"/>
      <c r="I521" s="1311"/>
      <c r="J521" s="1311"/>
      <c r="K521" s="1312"/>
      <c r="L521" s="1312"/>
      <c r="M521" s="1312"/>
      <c r="N521" s="1312"/>
      <c r="O521" s="1312"/>
      <c r="P521" s="1312"/>
      <c r="Q521" s="1244"/>
      <c r="R521" s="1244"/>
      <c r="S521" s="1244"/>
      <c r="T521" s="1244"/>
      <c r="U521" s="1244"/>
      <c r="V521" s="1244"/>
      <c r="W521" s="1244"/>
      <c r="X521" s="1244"/>
      <c r="Y521" s="1244"/>
      <c r="Z521" s="1244"/>
    </row>
    <row r="522" spans="1:26" ht="19.5" hidden="1">
      <c r="A522" s="1313"/>
      <c r="B522" s="1314" t="s">
        <v>226</v>
      </c>
      <c r="C522" s="1315"/>
      <c r="D522" s="1315"/>
      <c r="E522" s="1315"/>
      <c r="F522" s="1315"/>
      <c r="G522" s="1316"/>
      <c r="H522" s="641" t="s">
        <v>35</v>
      </c>
      <c r="I522" s="1317">
        <f t="shared" ref="I522:J522" ca="1" si="225">I537</f>
        <v>0</v>
      </c>
      <c r="J522" s="1317">
        <f t="shared" ca="1" si="225"/>
        <v>0</v>
      </c>
      <c r="K522" s="1318">
        <f ca="1">IF(I522&gt;0,J522*100/I522,0)</f>
        <v>0</v>
      </c>
      <c r="L522" s="1319"/>
      <c r="M522" s="1319"/>
      <c r="N522" s="1319"/>
      <c r="O522" s="1319"/>
      <c r="P522" s="1319"/>
      <c r="Q522" s="1244"/>
      <c r="R522" s="1244"/>
      <c r="S522" s="1244"/>
      <c r="T522" s="1244"/>
      <c r="U522" s="1244"/>
      <c r="V522" s="1244"/>
      <c r="W522" s="1244"/>
      <c r="X522" s="1244"/>
      <c r="Y522" s="1244"/>
      <c r="Z522" s="1244"/>
    </row>
    <row r="523" spans="1:26" ht="19.5" hidden="1">
      <c r="A523" s="1259"/>
      <c r="B523" s="1243"/>
      <c r="C523" s="1243" t="s">
        <v>16</v>
      </c>
      <c r="D523" s="1507" t="s">
        <v>17</v>
      </c>
      <c r="E523" s="1485"/>
      <c r="F523" s="1485"/>
      <c r="G523" s="963"/>
      <c r="H523" s="563" t="s">
        <v>12</v>
      </c>
      <c r="I523" s="830"/>
      <c r="J523" s="830"/>
      <c r="K523" s="831"/>
      <c r="L523" s="967">
        <f t="shared" ref="L523:N523" ca="1" si="226">L524+L525</f>
        <v>0</v>
      </c>
      <c r="M523" s="967">
        <f t="shared" si="226"/>
        <v>0</v>
      </c>
      <c r="N523" s="967">
        <f t="shared" si="226"/>
        <v>0</v>
      </c>
      <c r="O523" s="967">
        <f t="shared" ref="O523:O528" ca="1" si="227">IF(L523&gt;0,N523*100/L523,0)</f>
        <v>0</v>
      </c>
      <c r="P523" s="967">
        <f t="shared" ref="P523:P528" si="228">IF(M523&gt;0,N523*100/M523,0)</f>
        <v>0</v>
      </c>
      <c r="Q523" s="1244"/>
      <c r="R523" s="1244"/>
      <c r="S523" s="1244"/>
      <c r="T523" s="1244"/>
      <c r="U523" s="1244"/>
      <c r="V523" s="1244"/>
      <c r="W523" s="1244"/>
      <c r="X523" s="1244"/>
      <c r="Y523" s="1244"/>
      <c r="Z523" s="1244"/>
    </row>
    <row r="524" spans="1:26" ht="18.75" hidden="1">
      <c r="A524" s="1260"/>
      <c r="B524" s="1261"/>
      <c r="C524" s="1261"/>
      <c r="D524" s="1262"/>
      <c r="E524" s="1261" t="s">
        <v>184</v>
      </c>
      <c r="F524" s="1261"/>
      <c r="G524" s="1263"/>
      <c r="H524" s="165" t="s">
        <v>12</v>
      </c>
      <c r="I524" s="836"/>
      <c r="J524" s="836"/>
      <c r="K524" s="837"/>
      <c r="L524" s="837">
        <f t="shared" ref="L524:N525" si="229">L527+L534</f>
        <v>0</v>
      </c>
      <c r="M524" s="837">
        <f t="shared" si="229"/>
        <v>0</v>
      </c>
      <c r="N524" s="837">
        <f t="shared" si="229"/>
        <v>0</v>
      </c>
      <c r="O524" s="837">
        <f t="shared" si="227"/>
        <v>0</v>
      </c>
      <c r="P524" s="837">
        <f t="shared" si="228"/>
        <v>0</v>
      </c>
      <c r="Q524" s="1264"/>
      <c r="R524" s="1264"/>
      <c r="S524" s="1264"/>
      <c r="T524" s="1264"/>
      <c r="U524" s="1264"/>
      <c r="V524" s="1264"/>
      <c r="W524" s="1264"/>
      <c r="X524" s="1264"/>
      <c r="Y524" s="1264"/>
      <c r="Z524" s="1264"/>
    </row>
    <row r="525" spans="1:26" ht="18.75" hidden="1">
      <c r="A525" s="1260"/>
      <c r="B525" s="1265"/>
      <c r="C525" s="1261"/>
      <c r="D525" s="1262"/>
      <c r="E525" s="1261" t="s">
        <v>185</v>
      </c>
      <c r="F525" s="1261"/>
      <c r="G525" s="1263"/>
      <c r="H525" s="165" t="s">
        <v>12</v>
      </c>
      <c r="I525" s="836"/>
      <c r="J525" s="836"/>
      <c r="K525" s="837"/>
      <c r="L525" s="837">
        <f t="shared" ca="1" si="229"/>
        <v>0</v>
      </c>
      <c r="M525" s="837">
        <f t="shared" si="229"/>
        <v>0</v>
      </c>
      <c r="N525" s="837">
        <f t="shared" si="229"/>
        <v>0</v>
      </c>
      <c r="O525" s="837">
        <f t="shared" ca="1" si="227"/>
        <v>0</v>
      </c>
      <c r="P525" s="837">
        <f t="shared" si="228"/>
        <v>0</v>
      </c>
      <c r="Q525" s="1264"/>
      <c r="R525" s="1264"/>
      <c r="S525" s="1264"/>
      <c r="T525" s="1264"/>
      <c r="U525" s="1264"/>
      <c r="V525" s="1264"/>
      <c r="W525" s="1264"/>
      <c r="X525" s="1264"/>
      <c r="Y525" s="1264"/>
      <c r="Z525" s="1264"/>
    </row>
    <row r="526" spans="1:26" ht="18.75" hidden="1">
      <c r="A526" s="1259"/>
      <c r="B526" s="1242"/>
      <c r="C526" s="1243"/>
      <c r="D526" s="1266" t="s">
        <v>20</v>
      </c>
      <c r="E526" s="1243"/>
      <c r="F526" s="1243"/>
      <c r="G526" s="963"/>
      <c r="H526" s="778" t="s">
        <v>12</v>
      </c>
      <c r="I526" s="944"/>
      <c r="J526" s="944"/>
      <c r="K526" s="945"/>
      <c r="L526" s="831">
        <f t="shared" ref="L526:N526" ca="1" si="230">L527+L528</f>
        <v>0</v>
      </c>
      <c r="M526" s="831">
        <f t="shared" si="230"/>
        <v>0</v>
      </c>
      <c r="N526" s="831">
        <f t="shared" si="230"/>
        <v>0</v>
      </c>
      <c r="O526" s="831">
        <f t="shared" ca="1" si="227"/>
        <v>0</v>
      </c>
      <c r="P526" s="831">
        <f t="shared" si="228"/>
        <v>0</v>
      </c>
      <c r="Q526" s="1244"/>
      <c r="R526" s="1244"/>
      <c r="S526" s="1244"/>
      <c r="T526" s="1244"/>
      <c r="U526" s="1244"/>
      <c r="V526" s="1244"/>
      <c r="W526" s="1244"/>
      <c r="X526" s="1244"/>
      <c r="Y526" s="1244"/>
      <c r="Z526" s="1244"/>
    </row>
    <row r="527" spans="1:26" ht="18.75" hidden="1">
      <c r="A527" s="1260"/>
      <c r="B527" s="1265"/>
      <c r="C527" s="1261"/>
      <c r="D527" s="1262"/>
      <c r="E527" s="1261" t="s">
        <v>184</v>
      </c>
      <c r="F527" s="1261"/>
      <c r="G527" s="1263"/>
      <c r="H527" s="165" t="s">
        <v>12</v>
      </c>
      <c r="I527" s="836"/>
      <c r="J527" s="836"/>
      <c r="K527" s="837"/>
      <c r="L527" s="837">
        <v>0</v>
      </c>
      <c r="M527" s="837">
        <v>0</v>
      </c>
      <c r="N527" s="837">
        <v>0</v>
      </c>
      <c r="O527" s="837">
        <f t="shared" si="227"/>
        <v>0</v>
      </c>
      <c r="P527" s="837">
        <f t="shared" si="228"/>
        <v>0</v>
      </c>
      <c r="Q527" s="1264"/>
      <c r="R527" s="1264"/>
      <c r="S527" s="1264"/>
      <c r="T527" s="1264"/>
      <c r="U527" s="1264"/>
      <c r="V527" s="1264"/>
      <c r="W527" s="1264"/>
      <c r="X527" s="1264"/>
      <c r="Y527" s="1264"/>
      <c r="Z527" s="1264"/>
    </row>
    <row r="528" spans="1:26" ht="18.75" hidden="1">
      <c r="A528" s="1260"/>
      <c r="B528" s="1265"/>
      <c r="C528" s="1261"/>
      <c r="D528" s="1262"/>
      <c r="E528" s="1261" t="s">
        <v>185</v>
      </c>
      <c r="F528" s="1261"/>
      <c r="G528" s="1263"/>
      <c r="H528" s="165" t="s">
        <v>12</v>
      </c>
      <c r="I528" s="836"/>
      <c r="J528" s="836"/>
      <c r="K528" s="837"/>
      <c r="L528" s="837">
        <f ca="1">IFERROR(__xludf.DUMMYFUNCTION("IMPORTRANGE(""https://docs.google.com/spreadsheets/d/1QqKyyYR6Q21VydFLVH3TRQUabQu_ym0Zz7PgGX0-kHA/edit?usp=sharing"",""แผน!GQ28"")"),0)</f>
        <v>0</v>
      </c>
      <c r="M528" s="837">
        <v>0</v>
      </c>
      <c r="N528" s="837">
        <f>N529+N530+N531+N532</f>
        <v>0</v>
      </c>
      <c r="O528" s="837">
        <f t="shared" ca="1" si="227"/>
        <v>0</v>
      </c>
      <c r="P528" s="837">
        <f t="shared" si="228"/>
        <v>0</v>
      </c>
      <c r="Q528" s="1264"/>
      <c r="R528" s="1264"/>
      <c r="S528" s="1264"/>
      <c r="T528" s="1264"/>
      <c r="U528" s="1264"/>
      <c r="V528" s="1264"/>
      <c r="W528" s="1264"/>
      <c r="X528" s="1264"/>
      <c r="Y528" s="1264"/>
      <c r="Z528" s="1264"/>
    </row>
    <row r="529" spans="1:26" ht="18.75" hidden="1">
      <c r="A529" s="1241"/>
      <c r="B529" s="1242"/>
      <c r="C529" s="1243"/>
      <c r="D529" s="1243"/>
      <c r="E529" s="1243"/>
      <c r="F529" s="1243" t="s">
        <v>186</v>
      </c>
      <c r="G529" s="963"/>
      <c r="H529" s="778" t="s">
        <v>12</v>
      </c>
      <c r="I529" s="830"/>
      <c r="J529" s="830"/>
      <c r="K529" s="831"/>
      <c r="L529" s="831"/>
      <c r="M529" s="831"/>
      <c r="N529" s="1031">
        <v>0</v>
      </c>
      <c r="O529" s="831"/>
      <c r="P529" s="831"/>
      <c r="Q529" s="1244"/>
      <c r="R529" s="1244"/>
      <c r="S529" s="1244"/>
      <c r="T529" s="1244"/>
      <c r="U529" s="1244"/>
      <c r="V529" s="1244"/>
      <c r="W529" s="1244"/>
      <c r="X529" s="1244"/>
      <c r="Y529" s="1244"/>
      <c r="Z529" s="1244"/>
    </row>
    <row r="530" spans="1:26" ht="18.75" hidden="1">
      <c r="A530" s="1241"/>
      <c r="B530" s="1242"/>
      <c r="C530" s="1243"/>
      <c r="D530" s="1243"/>
      <c r="E530" s="1243"/>
      <c r="F530" s="1243" t="s">
        <v>187</v>
      </c>
      <c r="G530" s="963"/>
      <c r="H530" s="778" t="s">
        <v>12</v>
      </c>
      <c r="I530" s="830"/>
      <c r="J530" s="830"/>
      <c r="K530" s="831"/>
      <c r="L530" s="831"/>
      <c r="M530" s="831"/>
      <c r="N530" s="1031">
        <v>0</v>
      </c>
      <c r="O530" s="831"/>
      <c r="P530" s="831"/>
      <c r="Q530" s="1244"/>
      <c r="R530" s="1244"/>
      <c r="S530" s="1244"/>
      <c r="T530" s="1244"/>
      <c r="U530" s="1244"/>
      <c r="V530" s="1244"/>
      <c r="W530" s="1244"/>
      <c r="X530" s="1244"/>
      <c r="Y530" s="1244"/>
      <c r="Z530" s="1244"/>
    </row>
    <row r="531" spans="1:26" ht="18.75" hidden="1">
      <c r="A531" s="1241"/>
      <c r="B531" s="1242"/>
      <c r="C531" s="1243"/>
      <c r="D531" s="1243"/>
      <c r="E531" s="1243"/>
      <c r="F531" s="1243" t="s">
        <v>188</v>
      </c>
      <c r="G531" s="963"/>
      <c r="H531" s="778" t="s">
        <v>12</v>
      </c>
      <c r="I531" s="830"/>
      <c r="J531" s="830"/>
      <c r="K531" s="831"/>
      <c r="L531" s="831"/>
      <c r="M531" s="831"/>
      <c r="N531" s="1031">
        <v>0</v>
      </c>
      <c r="O531" s="831"/>
      <c r="P531" s="831"/>
      <c r="Q531" s="1244"/>
      <c r="R531" s="1244"/>
      <c r="S531" s="1244"/>
      <c r="T531" s="1244"/>
      <c r="U531" s="1244"/>
      <c r="V531" s="1244"/>
      <c r="W531" s="1244"/>
      <c r="X531" s="1244"/>
      <c r="Y531" s="1244"/>
      <c r="Z531" s="1244"/>
    </row>
    <row r="532" spans="1:26" ht="18.75" hidden="1">
      <c r="A532" s="1241"/>
      <c r="B532" s="1242"/>
      <c r="C532" s="1243"/>
      <c r="D532" s="1243"/>
      <c r="E532" s="1243"/>
      <c r="F532" s="1243" t="s">
        <v>189</v>
      </c>
      <c r="G532" s="963"/>
      <c r="H532" s="778" t="s">
        <v>12</v>
      </c>
      <c r="I532" s="830"/>
      <c r="J532" s="830"/>
      <c r="K532" s="831"/>
      <c r="L532" s="831"/>
      <c r="M532" s="831"/>
      <c r="N532" s="1031">
        <v>0</v>
      </c>
      <c r="O532" s="831"/>
      <c r="P532" s="831"/>
      <c r="Q532" s="1244"/>
      <c r="R532" s="1244"/>
      <c r="S532" s="1244"/>
      <c r="T532" s="1244"/>
      <c r="U532" s="1244"/>
      <c r="V532" s="1244"/>
      <c r="W532" s="1244"/>
      <c r="X532" s="1244"/>
      <c r="Y532" s="1244"/>
      <c r="Z532" s="1244"/>
    </row>
    <row r="533" spans="1:26" ht="18.75" hidden="1">
      <c r="A533" s="1259"/>
      <c r="B533" s="1242"/>
      <c r="C533" s="1243"/>
      <c r="D533" s="1266" t="s">
        <v>21</v>
      </c>
      <c r="E533" s="1243"/>
      <c r="F533" s="1243"/>
      <c r="G533" s="963"/>
      <c r="H533" s="168" t="s">
        <v>12</v>
      </c>
      <c r="I533" s="944"/>
      <c r="J533" s="944"/>
      <c r="K533" s="945"/>
      <c r="L533" s="831">
        <f t="shared" ref="L533:N533" ca="1" si="231">L534+L535</f>
        <v>0</v>
      </c>
      <c r="M533" s="831">
        <f t="shared" si="231"/>
        <v>0</v>
      </c>
      <c r="N533" s="831">
        <f t="shared" si="231"/>
        <v>0</v>
      </c>
      <c r="O533" s="831">
        <f t="shared" ref="O533:O535" ca="1" si="232">IF(L533&gt;0,N533*100/L533,0)</f>
        <v>0</v>
      </c>
      <c r="P533" s="831">
        <f t="shared" ref="P533:P535" si="233">IF(M533&gt;0,N533*100/M533,0)</f>
        <v>0</v>
      </c>
      <c r="Q533" s="1244"/>
      <c r="R533" s="1244"/>
      <c r="S533" s="1244"/>
      <c r="T533" s="1244"/>
      <c r="U533" s="1244"/>
      <c r="V533" s="1244"/>
      <c r="W533" s="1244"/>
      <c r="X533" s="1244"/>
      <c r="Y533" s="1244"/>
      <c r="Z533" s="1244"/>
    </row>
    <row r="534" spans="1:26" ht="18.75" hidden="1">
      <c r="A534" s="1260"/>
      <c r="B534" s="1265"/>
      <c r="C534" s="1261"/>
      <c r="D534" s="1261"/>
      <c r="E534" s="1261" t="s">
        <v>18</v>
      </c>
      <c r="F534" s="1261"/>
      <c r="G534" s="1263"/>
      <c r="H534" s="165" t="s">
        <v>12</v>
      </c>
      <c r="I534" s="947"/>
      <c r="J534" s="947"/>
      <c r="K534" s="948"/>
      <c r="L534" s="837">
        <v>0</v>
      </c>
      <c r="M534" s="837">
        <v>0</v>
      </c>
      <c r="N534" s="837">
        <v>0</v>
      </c>
      <c r="O534" s="837">
        <f t="shared" si="232"/>
        <v>0</v>
      </c>
      <c r="P534" s="837">
        <f t="shared" si="233"/>
        <v>0</v>
      </c>
      <c r="Q534" s="1264"/>
      <c r="R534" s="1264"/>
      <c r="S534" s="1264"/>
      <c r="T534" s="1264"/>
      <c r="U534" s="1264"/>
      <c r="V534" s="1264"/>
      <c r="W534" s="1264"/>
      <c r="X534" s="1264"/>
      <c r="Y534" s="1264"/>
      <c r="Z534" s="1264"/>
    </row>
    <row r="535" spans="1:26" ht="18.75" hidden="1">
      <c r="A535" s="1260"/>
      <c r="B535" s="1265"/>
      <c r="C535" s="1261"/>
      <c r="D535" s="1261"/>
      <c r="E535" s="1261" t="s">
        <v>19</v>
      </c>
      <c r="F535" s="1261"/>
      <c r="G535" s="1263"/>
      <c r="H535" s="169" t="s">
        <v>12</v>
      </c>
      <c r="I535" s="947"/>
      <c r="J535" s="947"/>
      <c r="K535" s="948"/>
      <c r="L535" s="837">
        <f ca="1">IFERROR(__xludf.DUMMYFUNCTION("IMPORTRANGE(""https://docs.google.com/spreadsheets/d/1QqKyyYR6Q21VydFLVH3TRQUabQu_ym0Zz7PgGX0-kHA/edit?usp=sharing"",""แผน!GT28"")"),0)</f>
        <v>0</v>
      </c>
      <c r="M535" s="837">
        <v>0</v>
      </c>
      <c r="N535" s="837">
        <v>0</v>
      </c>
      <c r="O535" s="837">
        <f t="shared" ca="1" si="232"/>
        <v>0</v>
      </c>
      <c r="P535" s="837">
        <f t="shared" si="233"/>
        <v>0</v>
      </c>
      <c r="Q535" s="1264"/>
      <c r="R535" s="1264"/>
      <c r="S535" s="1264"/>
      <c r="T535" s="1264"/>
      <c r="U535" s="1264"/>
      <c r="V535" s="1264"/>
      <c r="W535" s="1264"/>
      <c r="X535" s="1264"/>
      <c r="Y535" s="1264"/>
      <c r="Z535" s="1264"/>
    </row>
    <row r="536" spans="1:26" ht="19.5" hidden="1">
      <c r="A536" s="1267"/>
      <c r="B536" s="1268"/>
      <c r="C536" s="1243" t="s">
        <v>16</v>
      </c>
      <c r="D536" s="1320" t="s">
        <v>38</v>
      </c>
      <c r="E536" s="1271"/>
      <c r="F536" s="1271"/>
      <c r="G536" s="1272"/>
      <c r="H536" s="954"/>
      <c r="I536" s="944"/>
      <c r="J536" s="944"/>
      <c r="K536" s="945"/>
      <c r="L536" s="945"/>
      <c r="M536" s="945"/>
      <c r="N536" s="945"/>
      <c r="O536" s="945"/>
      <c r="P536" s="945"/>
      <c r="Q536" s="1244"/>
      <c r="R536" s="1244"/>
      <c r="S536" s="1244"/>
      <c r="T536" s="1244"/>
      <c r="U536" s="1244"/>
      <c r="V536" s="1244"/>
      <c r="W536" s="1244"/>
      <c r="X536" s="1244"/>
      <c r="Y536" s="1244"/>
      <c r="Z536" s="1244"/>
    </row>
    <row r="537" spans="1:26" ht="19.5" hidden="1">
      <c r="A537" s="1241"/>
      <c r="B537" s="1242"/>
      <c r="C537" s="1243"/>
      <c r="D537" s="1243" t="s">
        <v>227</v>
      </c>
      <c r="E537" s="1243"/>
      <c r="F537" s="1243"/>
      <c r="G537" s="963"/>
      <c r="H537" s="590" t="s">
        <v>35</v>
      </c>
      <c r="I537" s="966">
        <f ca="1">IFERROR(__xludf.DUMMYFUNCTION("IMPORTRANGE(""https://docs.google.com/spreadsheets/d/1QqKyyYR6Q21VydFLVH3TRQUabQu_ym0Zz7PgGX0-kHA/edit?usp=sharing"",""แผน!GU28"")"),0)</f>
        <v>0</v>
      </c>
      <c r="J537" s="966">
        <f ca="1">IF(AND(J538=I538,J539=I539,J540=I540,J541=I541),I537,0)</f>
        <v>0</v>
      </c>
      <c r="K537" s="831">
        <f t="shared" ref="K537:K543" ca="1" si="234">IF(I537&gt;0,J537*100/I537,0)</f>
        <v>0</v>
      </c>
      <c r="L537" s="831"/>
      <c r="M537" s="831"/>
      <c r="N537" s="831"/>
      <c r="O537" s="831"/>
      <c r="P537" s="831"/>
      <c r="Q537" s="1321"/>
      <c r="R537" s="1321"/>
      <c r="S537" s="1321"/>
      <c r="T537" s="1321"/>
      <c r="U537" s="1321"/>
      <c r="V537" s="1321"/>
      <c r="W537" s="1321"/>
      <c r="X537" s="1321"/>
      <c r="Y537" s="1321"/>
      <c r="Z537" s="1321"/>
    </row>
    <row r="538" spans="1:26" ht="18.75" hidden="1">
      <c r="A538" s="1241"/>
      <c r="B538" s="1242"/>
      <c r="C538" s="1243"/>
      <c r="D538" s="1243"/>
      <c r="E538" s="1243" t="s">
        <v>228</v>
      </c>
      <c r="F538" s="1243"/>
      <c r="G538" s="963"/>
      <c r="H538" s="590" t="s">
        <v>35</v>
      </c>
      <c r="I538" s="830">
        <f ca="1">IFERROR(__xludf.DUMMYFUNCTION("IMPORTRANGE(""https://docs.google.com/spreadsheets/d/1QqKyyYR6Q21VydFLVH3TRQUabQu_ym0Zz7PgGX0-kHA/edit?usp=sharing"",""แผน!GV28"")"),0)</f>
        <v>0</v>
      </c>
      <c r="J538" s="959">
        <v>0</v>
      </c>
      <c r="K538" s="831">
        <f t="shared" ca="1" si="234"/>
        <v>0</v>
      </c>
      <c r="L538" s="831"/>
      <c r="M538" s="831"/>
      <c r="N538" s="831"/>
      <c r="O538" s="831"/>
      <c r="P538" s="831"/>
      <c r="Q538" s="1321"/>
      <c r="R538" s="1321"/>
      <c r="S538" s="1321"/>
      <c r="T538" s="1321"/>
      <c r="U538" s="1321"/>
      <c r="V538" s="1321"/>
      <c r="W538" s="1321"/>
      <c r="X538" s="1321"/>
      <c r="Y538" s="1321"/>
      <c r="Z538" s="1321"/>
    </row>
    <row r="539" spans="1:26" ht="18.75" hidden="1">
      <c r="A539" s="1241"/>
      <c r="B539" s="1242"/>
      <c r="C539" s="1243"/>
      <c r="D539" s="1243"/>
      <c r="E539" s="1243" t="s">
        <v>229</v>
      </c>
      <c r="F539" s="1243"/>
      <c r="G539" s="963"/>
      <c r="H539" s="590" t="s">
        <v>35</v>
      </c>
      <c r="I539" s="830">
        <f ca="1">IFERROR(__xludf.DUMMYFUNCTION("IMPORTRANGE(""https://docs.google.com/spreadsheets/d/1QqKyyYR6Q21VydFLVH3TRQUabQu_ym0Zz7PgGX0-kHA/edit?usp=sharing"",""แผน!GW28"")"),0)</f>
        <v>0</v>
      </c>
      <c r="J539" s="959">
        <v>0</v>
      </c>
      <c r="K539" s="831">
        <f t="shared" ca="1" si="234"/>
        <v>0</v>
      </c>
      <c r="L539" s="831"/>
      <c r="M539" s="831"/>
      <c r="N539" s="831"/>
      <c r="O539" s="831"/>
      <c r="P539" s="831"/>
      <c r="Q539" s="1321"/>
      <c r="R539" s="1321"/>
      <c r="S539" s="1321"/>
      <c r="T539" s="1321"/>
      <c r="U539" s="1321"/>
      <c r="V539" s="1321"/>
      <c r="W539" s="1321"/>
      <c r="X539" s="1321"/>
      <c r="Y539" s="1321"/>
      <c r="Z539" s="1321"/>
    </row>
    <row r="540" spans="1:26" ht="18.75" hidden="1">
      <c r="A540" s="1241"/>
      <c r="B540" s="1242"/>
      <c r="C540" s="1243"/>
      <c r="D540" s="1243"/>
      <c r="E540" s="1243" t="s">
        <v>230</v>
      </c>
      <c r="F540" s="1243"/>
      <c r="G540" s="963"/>
      <c r="H540" s="590" t="s">
        <v>35</v>
      </c>
      <c r="I540" s="830">
        <f ca="1">IFERROR(__xludf.DUMMYFUNCTION("IMPORTRANGE(""https://docs.google.com/spreadsheets/d/1QqKyyYR6Q21VydFLVH3TRQUabQu_ym0Zz7PgGX0-kHA/edit?usp=sharing"",""แผน!GX28"")"),0)</f>
        <v>0</v>
      </c>
      <c r="J540" s="959">
        <v>0</v>
      </c>
      <c r="K540" s="831">
        <f t="shared" ca="1" si="234"/>
        <v>0</v>
      </c>
      <c r="L540" s="831"/>
      <c r="M540" s="831"/>
      <c r="N540" s="831"/>
      <c r="O540" s="831"/>
      <c r="P540" s="831"/>
      <c r="Q540" s="1321"/>
      <c r="R540" s="1321"/>
      <c r="S540" s="1321"/>
      <c r="T540" s="1321"/>
      <c r="U540" s="1321"/>
      <c r="V540" s="1321"/>
      <c r="W540" s="1321"/>
      <c r="X540" s="1321"/>
      <c r="Y540" s="1321"/>
      <c r="Z540" s="1321"/>
    </row>
    <row r="541" spans="1:26" ht="18.75" hidden="1">
      <c r="A541" s="1241"/>
      <c r="B541" s="1242"/>
      <c r="C541" s="1243"/>
      <c r="D541" s="1243"/>
      <c r="E541" s="1322" t="s">
        <v>231</v>
      </c>
      <c r="F541" s="1243"/>
      <c r="G541" s="963"/>
      <c r="H541" s="590" t="s">
        <v>35</v>
      </c>
      <c r="I541" s="830">
        <f ca="1">IFERROR(__xludf.DUMMYFUNCTION("IMPORTRANGE(""https://docs.google.com/spreadsheets/d/1QqKyyYR6Q21VydFLVH3TRQUabQu_ym0Zz7PgGX0-kHA/edit?usp=sharing"",""แผน!GY28"")"),0)</f>
        <v>0</v>
      </c>
      <c r="J541" s="959">
        <v>0</v>
      </c>
      <c r="K541" s="831">
        <f t="shared" ca="1" si="234"/>
        <v>0</v>
      </c>
      <c r="L541" s="831"/>
      <c r="M541" s="831"/>
      <c r="N541" s="831"/>
      <c r="O541" s="831"/>
      <c r="P541" s="831"/>
      <c r="Q541" s="1321"/>
      <c r="R541" s="1321"/>
      <c r="S541" s="1321"/>
      <c r="T541" s="1321"/>
      <c r="U541" s="1321"/>
      <c r="V541" s="1321"/>
      <c r="W541" s="1321"/>
      <c r="X541" s="1321"/>
      <c r="Y541" s="1321"/>
      <c r="Z541" s="1321"/>
    </row>
    <row r="542" spans="1:26" ht="18.75" hidden="1">
      <c r="A542" s="1241"/>
      <c r="B542" s="1242"/>
      <c r="C542" s="1243"/>
      <c r="D542" s="1243" t="s">
        <v>59</v>
      </c>
      <c r="E542" s="1243"/>
      <c r="F542" s="1243"/>
      <c r="G542" s="963"/>
      <c r="H542" s="590" t="s">
        <v>35</v>
      </c>
      <c r="I542" s="830">
        <f ca="1">IFERROR(__xludf.DUMMYFUNCTION("IMPORTRANGE(""https://docs.google.com/spreadsheets/d/1QqKyyYR6Q21VydFLVH3TRQUabQu_ym0Zz7PgGX0-kHA/edit?usp=sharing"",""แผน!GZ28"")"),0)</f>
        <v>0</v>
      </c>
      <c r="J542" s="959">
        <v>0</v>
      </c>
      <c r="K542" s="831">
        <f t="shared" ca="1" si="234"/>
        <v>0</v>
      </c>
      <c r="L542" s="831"/>
      <c r="M542" s="831"/>
      <c r="N542" s="831"/>
      <c r="O542" s="831"/>
      <c r="P542" s="831"/>
      <c r="Q542" s="1321"/>
      <c r="R542" s="1321"/>
      <c r="S542" s="1321"/>
      <c r="T542" s="1321"/>
      <c r="U542" s="1321"/>
      <c r="V542" s="1321"/>
      <c r="W542" s="1321"/>
      <c r="X542" s="1321"/>
      <c r="Y542" s="1321"/>
      <c r="Z542" s="1321"/>
    </row>
    <row r="543" spans="1:26" ht="19.5">
      <c r="A543" s="630">
        <v>6</v>
      </c>
      <c r="B543" s="1323" t="s">
        <v>232</v>
      </c>
      <c r="C543" s="1309"/>
      <c r="D543" s="1309"/>
      <c r="E543" s="1309"/>
      <c r="F543" s="1309"/>
      <c r="G543" s="1310"/>
      <c r="H543" s="652" t="s">
        <v>46</v>
      </c>
      <c r="I543" s="1324">
        <f t="shared" ref="I543:J543" ca="1" si="235">I559</f>
        <v>45451</v>
      </c>
      <c r="J543" s="1324">
        <f t="shared" si="235"/>
        <v>0</v>
      </c>
      <c r="K543" s="1325">
        <f t="shared" ca="1" si="234"/>
        <v>0</v>
      </c>
      <c r="L543" s="1312"/>
      <c r="M543" s="1312"/>
      <c r="N543" s="1312"/>
      <c r="O543" s="1312"/>
      <c r="P543" s="1312"/>
      <c r="Q543" s="1244"/>
      <c r="R543" s="1244"/>
      <c r="S543" s="1244"/>
      <c r="T543" s="1244"/>
      <c r="U543" s="1244"/>
      <c r="V543" s="1244"/>
      <c r="W543" s="1244"/>
      <c r="X543" s="1244"/>
      <c r="Y543" s="1244"/>
      <c r="Z543" s="1244"/>
    </row>
    <row r="544" spans="1:26" ht="19.5">
      <c r="A544" s="1326"/>
      <c r="B544" s="1327"/>
      <c r="C544" s="1327" t="s">
        <v>16</v>
      </c>
      <c r="D544" s="1511" t="s">
        <v>17</v>
      </c>
      <c r="E544" s="1487"/>
      <c r="F544" s="1487"/>
      <c r="G544" s="1328"/>
      <c r="H544" s="275" t="s">
        <v>12</v>
      </c>
      <c r="I544" s="937"/>
      <c r="J544" s="937"/>
      <c r="K544" s="938"/>
      <c r="L544" s="939">
        <f t="shared" ref="L544:N544" ca="1" si="236">L545+L546</f>
        <v>478301</v>
      </c>
      <c r="M544" s="939">
        <f t="shared" si="236"/>
        <v>0</v>
      </c>
      <c r="N544" s="939">
        <f t="shared" si="236"/>
        <v>37869.54</v>
      </c>
      <c r="O544" s="939">
        <f t="shared" ref="O544:O549" ca="1" si="237">IF(L544&gt;0,N544*100/L544,0)</f>
        <v>7.9175121942040683</v>
      </c>
      <c r="P544" s="939">
        <f t="shared" ref="P544:P549" si="238">IF(M544&gt;0,N544*100/M544,0)</f>
        <v>0</v>
      </c>
      <c r="Q544" s="1244"/>
      <c r="R544" s="1244"/>
      <c r="S544" s="1244"/>
      <c r="T544" s="1244"/>
      <c r="U544" s="1244"/>
      <c r="V544" s="1244"/>
      <c r="W544" s="1244"/>
      <c r="X544" s="1244"/>
      <c r="Y544" s="1244"/>
      <c r="Z544" s="1244"/>
    </row>
    <row r="545" spans="1:26" ht="18.75" hidden="1">
      <c r="A545" s="1260"/>
      <c r="B545" s="1261"/>
      <c r="C545" s="1261"/>
      <c r="D545" s="1261"/>
      <c r="E545" s="1261" t="s">
        <v>184</v>
      </c>
      <c r="F545" s="1261"/>
      <c r="G545" s="1263"/>
      <c r="H545" s="165" t="s">
        <v>12</v>
      </c>
      <c r="I545" s="836"/>
      <c r="J545" s="836"/>
      <c r="K545" s="837"/>
      <c r="L545" s="837">
        <f t="shared" ref="L545:L546" si="239">L548+L556</f>
        <v>0</v>
      </c>
      <c r="M545" s="837">
        <f t="shared" ref="M545:N546" si="240">M548+M555</f>
        <v>0</v>
      </c>
      <c r="N545" s="837">
        <f t="shared" si="240"/>
        <v>0</v>
      </c>
      <c r="O545" s="837">
        <f t="shared" si="237"/>
        <v>0</v>
      </c>
      <c r="P545" s="837">
        <f t="shared" si="238"/>
        <v>0</v>
      </c>
      <c r="Q545" s="1264"/>
      <c r="R545" s="1264"/>
      <c r="S545" s="1264"/>
      <c r="T545" s="1264"/>
      <c r="U545" s="1264"/>
      <c r="V545" s="1264"/>
      <c r="W545" s="1264"/>
      <c r="X545" s="1264"/>
      <c r="Y545" s="1264"/>
      <c r="Z545" s="1264"/>
    </row>
    <row r="546" spans="1:26" ht="18.75" hidden="1">
      <c r="A546" s="1260"/>
      <c r="B546" s="1265"/>
      <c r="C546" s="1261"/>
      <c r="D546" s="1261"/>
      <c r="E546" s="1261" t="s">
        <v>185</v>
      </c>
      <c r="F546" s="1261"/>
      <c r="G546" s="1263"/>
      <c r="H546" s="165" t="s">
        <v>12</v>
      </c>
      <c r="I546" s="836"/>
      <c r="J546" s="836"/>
      <c r="K546" s="837"/>
      <c r="L546" s="837">
        <f t="shared" ca="1" si="239"/>
        <v>478301</v>
      </c>
      <c r="M546" s="837">
        <f t="shared" si="240"/>
        <v>0</v>
      </c>
      <c r="N546" s="837">
        <f t="shared" si="240"/>
        <v>37869.54</v>
      </c>
      <c r="O546" s="837">
        <f t="shared" ca="1" si="237"/>
        <v>7.9175121942040683</v>
      </c>
      <c r="P546" s="837">
        <f t="shared" si="238"/>
        <v>0</v>
      </c>
      <c r="Q546" s="1264"/>
      <c r="R546" s="1264"/>
      <c r="S546" s="1264"/>
      <c r="T546" s="1264"/>
      <c r="U546" s="1264"/>
      <c r="V546" s="1264"/>
      <c r="W546" s="1264"/>
      <c r="X546" s="1264"/>
      <c r="Y546" s="1264"/>
      <c r="Z546" s="1264"/>
    </row>
    <row r="547" spans="1:26" ht="18.75">
      <c r="A547" s="1259"/>
      <c r="B547" s="1242"/>
      <c r="C547" s="1243"/>
      <c r="D547" s="1266" t="s">
        <v>20</v>
      </c>
      <c r="E547" s="1243"/>
      <c r="F547" s="1243"/>
      <c r="G547" s="963"/>
      <c r="H547" s="778" t="s">
        <v>12</v>
      </c>
      <c r="I547" s="944"/>
      <c r="J547" s="944"/>
      <c r="K547" s="945"/>
      <c r="L547" s="831">
        <f t="shared" ref="L547:N547" ca="1" si="241">L548+L549</f>
        <v>478301</v>
      </c>
      <c r="M547" s="831">
        <f t="shared" si="241"/>
        <v>0</v>
      </c>
      <c r="N547" s="831">
        <f t="shared" si="241"/>
        <v>37869.54</v>
      </c>
      <c r="O547" s="831">
        <f t="shared" ca="1" si="237"/>
        <v>7.9175121942040683</v>
      </c>
      <c r="P547" s="831">
        <f t="shared" si="238"/>
        <v>0</v>
      </c>
      <c r="Q547" s="1244"/>
      <c r="R547" s="1244"/>
      <c r="S547" s="1244"/>
      <c r="T547" s="1244"/>
      <c r="U547" s="1244"/>
      <c r="V547" s="1244"/>
      <c r="W547" s="1244"/>
      <c r="X547" s="1244"/>
      <c r="Y547" s="1244"/>
      <c r="Z547" s="1244"/>
    </row>
    <row r="548" spans="1:26" ht="18.75" hidden="1">
      <c r="A548" s="1260"/>
      <c r="B548" s="1265"/>
      <c r="C548" s="1261"/>
      <c r="D548" s="1262"/>
      <c r="E548" s="1261" t="s">
        <v>184</v>
      </c>
      <c r="F548" s="1261"/>
      <c r="G548" s="1263"/>
      <c r="H548" s="165" t="s">
        <v>12</v>
      </c>
      <c r="I548" s="836"/>
      <c r="J548" s="836"/>
      <c r="K548" s="837"/>
      <c r="L548" s="837">
        <v>0</v>
      </c>
      <c r="M548" s="837">
        <v>0</v>
      </c>
      <c r="N548" s="837">
        <v>0</v>
      </c>
      <c r="O548" s="837">
        <f t="shared" si="237"/>
        <v>0</v>
      </c>
      <c r="P548" s="837">
        <f t="shared" si="238"/>
        <v>0</v>
      </c>
      <c r="Q548" s="1264"/>
      <c r="R548" s="1264"/>
      <c r="S548" s="1264"/>
      <c r="T548" s="1264"/>
      <c r="U548" s="1264"/>
      <c r="V548" s="1264"/>
      <c r="W548" s="1264"/>
      <c r="X548" s="1264"/>
      <c r="Y548" s="1264"/>
      <c r="Z548" s="1264"/>
    </row>
    <row r="549" spans="1:26" ht="18.75" hidden="1">
      <c r="A549" s="1260"/>
      <c r="B549" s="1265"/>
      <c r="C549" s="1261"/>
      <c r="D549" s="1262"/>
      <c r="E549" s="1261" t="s">
        <v>185</v>
      </c>
      <c r="F549" s="1261"/>
      <c r="G549" s="1263"/>
      <c r="H549" s="165" t="s">
        <v>12</v>
      </c>
      <c r="I549" s="836"/>
      <c r="J549" s="836"/>
      <c r="K549" s="837"/>
      <c r="L549" s="837">
        <f ca="1">IFERROR(__xludf.DUMMYFUNCTION("IMPORTRANGE(""https://docs.google.com/spreadsheets/d/1QqKyyYR6Q21VydFLVH3TRQUabQu_ym0Zz7PgGX0-kHA/edit?usp=sharing"",""แผน!HB28"")"),478301)</f>
        <v>478301</v>
      </c>
      <c r="M549" s="837">
        <v>0</v>
      </c>
      <c r="N549" s="837">
        <f>N550+N551+N552+N553+N554</f>
        <v>37869.54</v>
      </c>
      <c r="O549" s="837">
        <f t="shared" ca="1" si="237"/>
        <v>7.9175121942040683</v>
      </c>
      <c r="P549" s="837">
        <f t="shared" si="238"/>
        <v>0</v>
      </c>
      <c r="Q549" s="1264"/>
      <c r="R549" s="1264"/>
      <c r="S549" s="1264"/>
      <c r="T549" s="1264"/>
      <c r="U549" s="1264"/>
      <c r="V549" s="1264"/>
      <c r="W549" s="1264"/>
      <c r="X549" s="1264"/>
      <c r="Y549" s="1264"/>
      <c r="Z549" s="1264"/>
    </row>
    <row r="550" spans="1:26" ht="18.75">
      <c r="A550" s="1241"/>
      <c r="B550" s="1242"/>
      <c r="C550" s="1243"/>
      <c r="D550" s="1243"/>
      <c r="E550" s="1243"/>
      <c r="F550" s="1243" t="s">
        <v>186</v>
      </c>
      <c r="G550" s="963"/>
      <c r="H550" s="778" t="s">
        <v>12</v>
      </c>
      <c r="I550" s="830"/>
      <c r="J550" s="830"/>
      <c r="K550" s="831"/>
      <c r="L550" s="831"/>
      <c r="M550" s="831"/>
      <c r="N550" s="1031">
        <v>0</v>
      </c>
      <c r="O550" s="831"/>
      <c r="P550" s="831"/>
      <c r="Q550" s="1244"/>
      <c r="R550" s="1244"/>
      <c r="S550" s="1244"/>
      <c r="T550" s="1244"/>
      <c r="U550" s="1244"/>
      <c r="V550" s="1244"/>
      <c r="W550" s="1244"/>
      <c r="X550" s="1244"/>
      <c r="Y550" s="1244"/>
      <c r="Z550" s="1244"/>
    </row>
    <row r="551" spans="1:26" ht="18.75">
      <c r="A551" s="1241"/>
      <c r="B551" s="1242"/>
      <c r="C551" s="1242"/>
      <c r="D551" s="1242"/>
      <c r="E551" s="1243"/>
      <c r="F551" s="1243" t="s">
        <v>187</v>
      </c>
      <c r="G551" s="963"/>
      <c r="H551" s="778" t="s">
        <v>12</v>
      </c>
      <c r="I551" s="830"/>
      <c r="J551" s="830"/>
      <c r="K551" s="831"/>
      <c r="L551" s="831"/>
      <c r="M551" s="831"/>
      <c r="N551" s="1031">
        <v>0</v>
      </c>
      <c r="O551" s="831"/>
      <c r="P551" s="831"/>
      <c r="Q551" s="1244"/>
      <c r="R551" s="1244"/>
      <c r="S551" s="1244"/>
      <c r="T551" s="1244"/>
      <c r="U551" s="1244"/>
      <c r="V551" s="1244"/>
      <c r="W551" s="1244"/>
      <c r="X551" s="1244"/>
      <c r="Y551" s="1244"/>
      <c r="Z551" s="1244"/>
    </row>
    <row r="552" spans="1:26" ht="18.75">
      <c r="A552" s="1241"/>
      <c r="B552" s="1242"/>
      <c r="C552" s="1243"/>
      <c r="D552" s="1243"/>
      <c r="E552" s="1243"/>
      <c r="F552" s="1243" t="s">
        <v>188</v>
      </c>
      <c r="G552" s="963"/>
      <c r="H552" s="778" t="s">
        <v>12</v>
      </c>
      <c r="I552" s="830"/>
      <c r="J552" s="830"/>
      <c r="K552" s="831"/>
      <c r="L552" s="831"/>
      <c r="M552" s="831"/>
      <c r="N552" s="1031">
        <v>26000</v>
      </c>
      <c r="O552" s="831"/>
      <c r="P552" s="831"/>
      <c r="Q552" s="1244"/>
      <c r="R552" s="1244"/>
      <c r="S552" s="1244"/>
      <c r="T552" s="1244"/>
      <c r="U552" s="1244"/>
      <c r="V552" s="1244"/>
      <c r="W552" s="1244"/>
      <c r="X552" s="1244"/>
      <c r="Y552" s="1244"/>
      <c r="Z552" s="1244"/>
    </row>
    <row r="553" spans="1:26" ht="18.75">
      <c r="A553" s="1241"/>
      <c r="B553" s="1242"/>
      <c r="C553" s="1242"/>
      <c r="D553" s="1242"/>
      <c r="E553" s="1243"/>
      <c r="F553" s="1243" t="s">
        <v>189</v>
      </c>
      <c r="G553" s="963"/>
      <c r="H553" s="778" t="s">
        <v>12</v>
      </c>
      <c r="I553" s="830"/>
      <c r="J553" s="830"/>
      <c r="K553" s="831"/>
      <c r="L553" s="831"/>
      <c r="M553" s="831"/>
      <c r="N553" s="1031">
        <v>11869.54</v>
      </c>
      <c r="O553" s="831"/>
      <c r="P553" s="831"/>
      <c r="Q553" s="1244"/>
      <c r="R553" s="1244"/>
      <c r="S553" s="1244"/>
      <c r="T553" s="1244"/>
      <c r="U553" s="1244"/>
      <c r="V553" s="1244"/>
      <c r="W553" s="1244"/>
      <c r="X553" s="1244"/>
      <c r="Y553" s="1244"/>
      <c r="Z553" s="1244"/>
    </row>
    <row r="554" spans="1:26" ht="18.75">
      <c r="A554" s="1241"/>
      <c r="B554" s="1242"/>
      <c r="C554" s="1242"/>
      <c r="D554" s="1242"/>
      <c r="E554" s="1243"/>
      <c r="F554" s="1243" t="s">
        <v>233</v>
      </c>
      <c r="G554" s="963"/>
      <c r="H554" s="778" t="s">
        <v>12</v>
      </c>
      <c r="I554" s="830"/>
      <c r="J554" s="830"/>
      <c r="K554" s="831"/>
      <c r="L554" s="831"/>
      <c r="M554" s="831"/>
      <c r="N554" s="1031">
        <v>0</v>
      </c>
      <c r="O554" s="831"/>
      <c r="P554" s="831"/>
      <c r="Q554" s="1244"/>
      <c r="R554" s="1244"/>
      <c r="S554" s="1244"/>
      <c r="T554" s="1244"/>
      <c r="U554" s="1244"/>
      <c r="V554" s="1244"/>
      <c r="W554" s="1244"/>
      <c r="X554" s="1244"/>
      <c r="Y554" s="1244"/>
      <c r="Z554" s="1244"/>
    </row>
    <row r="555" spans="1:26" ht="18.75">
      <c r="A555" s="1259"/>
      <c r="B555" s="1242"/>
      <c r="C555" s="1242"/>
      <c r="D555" s="1266" t="s">
        <v>21</v>
      </c>
      <c r="E555" s="1243"/>
      <c r="F555" s="1243"/>
      <c r="G555" s="963"/>
      <c r="H555" s="168" t="s">
        <v>12</v>
      </c>
      <c r="I555" s="944"/>
      <c r="J555" s="944"/>
      <c r="K555" s="945"/>
      <c r="L555" s="831">
        <f t="shared" ref="L555:N555" ca="1" si="242">L556+L557</f>
        <v>0</v>
      </c>
      <c r="M555" s="831">
        <f t="shared" si="242"/>
        <v>0</v>
      </c>
      <c r="N555" s="831">
        <f t="shared" si="242"/>
        <v>0</v>
      </c>
      <c r="O555" s="831">
        <f t="shared" ref="O555:O557" ca="1" si="243">IF(L555&gt;0,N555*100/L555,0)</f>
        <v>0</v>
      </c>
      <c r="P555" s="831">
        <f t="shared" ref="P555:P557" si="244">IF(M555&gt;0,N555*100/M555,0)</f>
        <v>0</v>
      </c>
      <c r="Q555" s="1244"/>
      <c r="R555" s="1244"/>
      <c r="S555" s="1244"/>
      <c r="T555" s="1244"/>
      <c r="U555" s="1244"/>
      <c r="V555" s="1244"/>
      <c r="W555" s="1244"/>
      <c r="X555" s="1244"/>
      <c r="Y555" s="1244"/>
      <c r="Z555" s="1244"/>
    </row>
    <row r="556" spans="1:26" ht="18.75" hidden="1">
      <c r="A556" s="1260"/>
      <c r="B556" s="1265"/>
      <c r="C556" s="1265"/>
      <c r="D556" s="1261"/>
      <c r="E556" s="1261" t="s">
        <v>18</v>
      </c>
      <c r="F556" s="1261"/>
      <c r="G556" s="1263"/>
      <c r="H556" s="165" t="s">
        <v>12</v>
      </c>
      <c r="I556" s="947"/>
      <c r="J556" s="947"/>
      <c r="K556" s="948"/>
      <c r="L556" s="837">
        <v>0</v>
      </c>
      <c r="M556" s="837">
        <v>0</v>
      </c>
      <c r="N556" s="837">
        <v>0</v>
      </c>
      <c r="O556" s="837">
        <f t="shared" si="243"/>
        <v>0</v>
      </c>
      <c r="P556" s="837">
        <f t="shared" si="244"/>
        <v>0</v>
      </c>
      <c r="Q556" s="1264"/>
      <c r="R556" s="1264"/>
      <c r="S556" s="1264"/>
      <c r="T556" s="1264"/>
      <c r="U556" s="1264"/>
      <c r="V556" s="1264"/>
      <c r="W556" s="1264"/>
      <c r="X556" s="1264"/>
      <c r="Y556" s="1264"/>
      <c r="Z556" s="1264"/>
    </row>
    <row r="557" spans="1:26" ht="18.75" hidden="1">
      <c r="A557" s="1260"/>
      <c r="B557" s="1265"/>
      <c r="C557" s="1265"/>
      <c r="D557" s="1261"/>
      <c r="E557" s="1261" t="s">
        <v>19</v>
      </c>
      <c r="F557" s="1261"/>
      <c r="G557" s="1263"/>
      <c r="H557" s="169" t="s">
        <v>12</v>
      </c>
      <c r="I557" s="947"/>
      <c r="J557" s="947"/>
      <c r="K557" s="948"/>
      <c r="L557" s="837">
        <f ca="1">IFERROR(__xludf.DUMMYFUNCTION("IMPORTRANGE(""https://docs.google.com/spreadsheets/d/1QqKyyYR6Q21VydFLVH3TRQUabQu_ym0Zz7PgGX0-kHA/edit?usp=sharing"",""แผน!HF28"")"),0)</f>
        <v>0</v>
      </c>
      <c r="M557" s="837">
        <v>0</v>
      </c>
      <c r="N557" s="837">
        <v>0</v>
      </c>
      <c r="O557" s="837">
        <f t="shared" ca="1" si="243"/>
        <v>0</v>
      </c>
      <c r="P557" s="837">
        <f t="shared" si="244"/>
        <v>0</v>
      </c>
      <c r="Q557" s="1264"/>
      <c r="R557" s="1264"/>
      <c r="S557" s="1264"/>
      <c r="T557" s="1264"/>
      <c r="U557" s="1264"/>
      <c r="V557" s="1264"/>
      <c r="W557" s="1264"/>
      <c r="X557" s="1264"/>
      <c r="Y557" s="1264"/>
      <c r="Z557" s="1264"/>
    </row>
    <row r="558" spans="1:26" ht="19.5">
      <c r="A558" s="1267"/>
      <c r="B558" s="1268"/>
      <c r="C558" s="1242" t="s">
        <v>16</v>
      </c>
      <c r="D558" s="1320" t="s">
        <v>38</v>
      </c>
      <c r="E558" s="1271"/>
      <c r="F558" s="1271"/>
      <c r="G558" s="1272"/>
      <c r="H558" s="954"/>
      <c r="I558" s="944"/>
      <c r="J558" s="944"/>
      <c r="K558" s="945"/>
      <c r="L558" s="945"/>
      <c r="M558" s="945"/>
      <c r="N558" s="945"/>
      <c r="O558" s="945"/>
      <c r="P558" s="945"/>
      <c r="Q558" s="1244"/>
      <c r="R558" s="1244"/>
      <c r="S558" s="1244"/>
      <c r="T558" s="1244"/>
      <c r="U558" s="1244"/>
      <c r="V558" s="1244"/>
      <c r="W558" s="1244"/>
      <c r="X558" s="1244"/>
      <c r="Y558" s="1244"/>
      <c r="Z558" s="1244"/>
    </row>
    <row r="559" spans="1:26" ht="19.5">
      <c r="A559" s="1329"/>
      <c r="B559" s="1330" t="s">
        <v>234</v>
      </c>
      <c r="C559" s="1331"/>
      <c r="D559" s="1331"/>
      <c r="E559" s="1315"/>
      <c r="F559" s="1315"/>
      <c r="G559" s="1316"/>
      <c r="H559" s="661" t="s">
        <v>46</v>
      </c>
      <c r="I559" s="1317">
        <f t="shared" ref="I559:J559" ca="1" si="245">I576</f>
        <v>45451</v>
      </c>
      <c r="J559" s="1317">
        <f t="shared" si="245"/>
        <v>0</v>
      </c>
      <c r="K559" s="1318">
        <f t="shared" ref="K559:K561" ca="1" si="246">IF(I559&gt;0,J559*100/I559,0)</f>
        <v>0</v>
      </c>
      <c r="L559" s="1319"/>
      <c r="M559" s="1319"/>
      <c r="N559" s="1319"/>
      <c r="O559" s="1319"/>
      <c r="P559" s="1319"/>
      <c r="Q559" s="1244"/>
      <c r="R559" s="1244"/>
      <c r="S559" s="1244"/>
      <c r="T559" s="1244"/>
      <c r="U559" s="1244"/>
      <c r="V559" s="1244"/>
      <c r="W559" s="1244"/>
      <c r="X559" s="1244"/>
      <c r="Y559" s="1244"/>
      <c r="Z559" s="1244"/>
    </row>
    <row r="560" spans="1:26" ht="19.5">
      <c r="A560" s="1267"/>
      <c r="B560" s="1268"/>
      <c r="C560" s="1277" t="s">
        <v>235</v>
      </c>
      <c r="D560" s="1268"/>
      <c r="E560" s="961"/>
      <c r="F560" s="961"/>
      <c r="G560" s="954"/>
      <c r="H560" s="733" t="s">
        <v>46</v>
      </c>
      <c r="I560" s="965">
        <f ca="1">IFERROR(__xludf.DUMMYFUNCTION("IMPORTRANGE(""https://docs.google.com/spreadsheets/d/1QqKyyYR6Q21VydFLVH3TRQUabQu_ym0Zz7PgGX0-kHA/edit?usp=sharing"",""แผน!HH28"")"),45451)</f>
        <v>45451</v>
      </c>
      <c r="J560" s="965">
        <f t="shared" ref="J560:J561" si="247">J562+J564+J566</f>
        <v>45451</v>
      </c>
      <c r="K560" s="1109">
        <f t="shared" ca="1" si="246"/>
        <v>100</v>
      </c>
      <c r="L560" s="945"/>
      <c r="M560" s="945"/>
      <c r="N560" s="945"/>
      <c r="O560" s="945"/>
      <c r="P560" s="945"/>
      <c r="Q560" s="1244"/>
      <c r="R560" s="1244"/>
      <c r="S560" s="1244"/>
      <c r="T560" s="1244"/>
      <c r="U560" s="1244"/>
      <c r="V560" s="1244"/>
      <c r="W560" s="1244"/>
      <c r="X560" s="1244"/>
      <c r="Y560" s="1244"/>
      <c r="Z560" s="1244"/>
    </row>
    <row r="561" spans="1:26" ht="19.5">
      <c r="A561" s="1267"/>
      <c r="B561" s="1268"/>
      <c r="C561" s="1268"/>
      <c r="D561" s="961"/>
      <c r="E561" s="961"/>
      <c r="F561" s="961"/>
      <c r="G561" s="954"/>
      <c r="H561" s="733" t="s">
        <v>34</v>
      </c>
      <c r="I561" s="965">
        <f ca="1">IFERROR(__xludf.DUMMYFUNCTION("IMPORTRANGE(""https://docs.google.com/spreadsheets/d/1QqKyyYR6Q21VydFLVH3TRQUabQu_ym0Zz7PgGX0-kHA/edit?usp=sharing"",""แผน!HG28"")"),5250)</f>
        <v>5250</v>
      </c>
      <c r="J561" s="965">
        <f t="shared" si="247"/>
        <v>5250</v>
      </c>
      <c r="K561" s="1109">
        <f t="shared" ca="1" si="246"/>
        <v>100</v>
      </c>
      <c r="L561" s="945"/>
      <c r="M561" s="945"/>
      <c r="N561" s="945"/>
      <c r="O561" s="945"/>
      <c r="P561" s="945"/>
      <c r="Q561" s="1244"/>
      <c r="R561" s="1244"/>
      <c r="S561" s="1244"/>
      <c r="T561" s="1244"/>
      <c r="U561" s="1244"/>
      <c r="V561" s="1244"/>
      <c r="W561" s="1244"/>
      <c r="X561" s="1244"/>
      <c r="Y561" s="1244"/>
      <c r="Z561" s="1244"/>
    </row>
    <row r="562" spans="1:26" ht="18.75">
      <c r="A562" s="1267"/>
      <c r="B562" s="1268"/>
      <c r="C562" s="1268"/>
      <c r="D562" s="961" t="s">
        <v>236</v>
      </c>
      <c r="E562" s="961"/>
      <c r="F562" s="961"/>
      <c r="G562" s="954"/>
      <c r="H562" s="730" t="s">
        <v>46</v>
      </c>
      <c r="I562" s="944"/>
      <c r="J562" s="959">
        <v>34053</v>
      </c>
      <c r="K562" s="945"/>
      <c r="L562" s="945"/>
      <c r="M562" s="945"/>
      <c r="N562" s="945"/>
      <c r="O562" s="945"/>
      <c r="P562" s="945"/>
      <c r="Q562" s="1244"/>
      <c r="R562" s="1244"/>
      <c r="S562" s="1244"/>
      <c r="T562" s="1244"/>
      <c r="U562" s="1244"/>
      <c r="V562" s="1244"/>
      <c r="W562" s="1244"/>
      <c r="X562" s="1244"/>
      <c r="Y562" s="1244"/>
      <c r="Z562" s="1244"/>
    </row>
    <row r="563" spans="1:26" ht="18.75">
      <c r="A563" s="1267"/>
      <c r="B563" s="1268"/>
      <c r="C563" s="1268"/>
      <c r="D563" s="1268"/>
      <c r="E563" s="961"/>
      <c r="F563" s="961"/>
      <c r="G563" s="954"/>
      <c r="H563" s="730" t="s">
        <v>34</v>
      </c>
      <c r="I563" s="944"/>
      <c r="J563" s="959">
        <v>4035</v>
      </c>
      <c r="K563" s="945"/>
      <c r="L563" s="945"/>
      <c r="M563" s="945"/>
      <c r="N563" s="945"/>
      <c r="O563" s="945"/>
      <c r="P563" s="945"/>
      <c r="Q563" s="1244"/>
      <c r="R563" s="1244"/>
      <c r="S563" s="1244"/>
      <c r="T563" s="1244"/>
      <c r="U563" s="1244"/>
      <c r="V563" s="1244"/>
      <c r="W563" s="1244"/>
      <c r="X563" s="1244"/>
      <c r="Y563" s="1244"/>
      <c r="Z563" s="1244"/>
    </row>
    <row r="564" spans="1:26" ht="18.75">
      <c r="A564" s="1267"/>
      <c r="B564" s="1268"/>
      <c r="C564" s="1268"/>
      <c r="D564" s="961" t="s">
        <v>237</v>
      </c>
      <c r="E564" s="961"/>
      <c r="F564" s="961"/>
      <c r="G564" s="954"/>
      <c r="H564" s="730" t="s">
        <v>46</v>
      </c>
      <c r="I564" s="944"/>
      <c r="J564" s="959">
        <v>10474</v>
      </c>
      <c r="K564" s="945"/>
      <c r="L564" s="945"/>
      <c r="M564" s="945"/>
      <c r="N564" s="945"/>
      <c r="O564" s="945"/>
      <c r="P564" s="945"/>
      <c r="Q564" s="1244"/>
      <c r="R564" s="1244"/>
      <c r="S564" s="1244"/>
      <c r="T564" s="1244"/>
      <c r="U564" s="1244"/>
      <c r="V564" s="1244"/>
      <c r="W564" s="1244"/>
      <c r="X564" s="1244"/>
      <c r="Y564" s="1244"/>
      <c r="Z564" s="1244"/>
    </row>
    <row r="565" spans="1:26" ht="18.75">
      <c r="A565" s="1267"/>
      <c r="B565" s="1268"/>
      <c r="C565" s="1268"/>
      <c r="D565" s="961"/>
      <c r="E565" s="961"/>
      <c r="F565" s="961"/>
      <c r="G565" s="954"/>
      <c r="H565" s="730" t="s">
        <v>34</v>
      </c>
      <c r="I565" s="944"/>
      <c r="J565" s="959">
        <v>1113</v>
      </c>
      <c r="K565" s="945"/>
      <c r="L565" s="945"/>
      <c r="M565" s="945"/>
      <c r="N565" s="945"/>
      <c r="O565" s="945"/>
      <c r="P565" s="945"/>
      <c r="Q565" s="1244"/>
      <c r="R565" s="1244"/>
      <c r="S565" s="1244"/>
      <c r="T565" s="1244"/>
      <c r="U565" s="1244"/>
      <c r="V565" s="1244"/>
      <c r="W565" s="1244"/>
      <c r="X565" s="1244"/>
      <c r="Y565" s="1244"/>
      <c r="Z565" s="1244"/>
    </row>
    <row r="566" spans="1:26" ht="18.75">
      <c r="A566" s="1267"/>
      <c r="B566" s="1268"/>
      <c r="C566" s="1268"/>
      <c r="D566" s="961" t="s">
        <v>238</v>
      </c>
      <c r="E566" s="961"/>
      <c r="F566" s="961"/>
      <c r="G566" s="954"/>
      <c r="H566" s="730" t="s">
        <v>46</v>
      </c>
      <c r="I566" s="944"/>
      <c r="J566" s="959">
        <v>924</v>
      </c>
      <c r="K566" s="945"/>
      <c r="L566" s="945"/>
      <c r="M566" s="945"/>
      <c r="N566" s="945"/>
      <c r="O566" s="945"/>
      <c r="P566" s="945"/>
      <c r="Q566" s="1244"/>
      <c r="R566" s="1244"/>
      <c r="S566" s="1244"/>
      <c r="T566" s="1244"/>
      <c r="U566" s="1244"/>
      <c r="V566" s="1244"/>
      <c r="W566" s="1244"/>
      <c r="X566" s="1244"/>
      <c r="Y566" s="1244"/>
      <c r="Z566" s="1244"/>
    </row>
    <row r="567" spans="1:26" ht="18.75">
      <c r="A567" s="1267"/>
      <c r="B567" s="1268"/>
      <c r="C567" s="1268"/>
      <c r="D567" s="961"/>
      <c r="E567" s="961"/>
      <c r="F567" s="961"/>
      <c r="G567" s="954"/>
      <c r="H567" s="730" t="s">
        <v>34</v>
      </c>
      <c r="I567" s="944"/>
      <c r="J567" s="959">
        <v>102</v>
      </c>
      <c r="K567" s="945"/>
      <c r="L567" s="945"/>
      <c r="M567" s="945"/>
      <c r="N567" s="945"/>
      <c r="O567" s="945"/>
      <c r="P567" s="945"/>
      <c r="Q567" s="1244"/>
      <c r="R567" s="1244"/>
      <c r="S567" s="1244"/>
      <c r="T567" s="1244"/>
      <c r="U567" s="1244"/>
      <c r="V567" s="1244"/>
      <c r="W567" s="1244"/>
      <c r="X567" s="1244"/>
      <c r="Y567" s="1244"/>
      <c r="Z567" s="1244"/>
    </row>
    <row r="568" spans="1:26" ht="19.5">
      <c r="A568" s="1267"/>
      <c r="B568" s="1268"/>
      <c r="C568" s="1277" t="s">
        <v>239</v>
      </c>
      <c r="D568" s="961"/>
      <c r="E568" s="961"/>
      <c r="F568" s="961"/>
      <c r="G568" s="954"/>
      <c r="H568" s="733" t="s">
        <v>46</v>
      </c>
      <c r="I568" s="965">
        <f ca="1">IFERROR(__xludf.DUMMYFUNCTION("IMPORTRANGE(""https://docs.google.com/spreadsheets/d/1QqKyyYR6Q21VydFLVH3TRQUabQu_ym0Zz7PgGX0-kHA/edit?usp=sharing"",""แผน!HH28"")"),45451)</f>
        <v>45451</v>
      </c>
      <c r="J568" s="966">
        <f t="shared" ref="J568:J569" si="248">J570+J572+J574</f>
        <v>0</v>
      </c>
      <c r="K568" s="1109">
        <f t="shared" ref="K568:K569" ca="1" si="249">IF(I568&gt;0,J568*100/I568,0)</f>
        <v>0</v>
      </c>
      <c r="L568" s="945"/>
      <c r="M568" s="945"/>
      <c r="N568" s="945"/>
      <c r="O568" s="945"/>
      <c r="P568" s="945"/>
      <c r="Q568" s="1244"/>
      <c r="R568" s="1244"/>
      <c r="S568" s="1244"/>
      <c r="T568" s="1244"/>
      <c r="U568" s="1244"/>
      <c r="V568" s="1244"/>
      <c r="W568" s="1244"/>
      <c r="X568" s="1244"/>
      <c r="Y568" s="1244"/>
      <c r="Z568" s="1244"/>
    </row>
    <row r="569" spans="1:26" ht="19.5">
      <c r="A569" s="1267"/>
      <c r="B569" s="1268"/>
      <c r="C569" s="1268"/>
      <c r="D569" s="1268"/>
      <c r="E569" s="961"/>
      <c r="F569" s="961"/>
      <c r="G569" s="954"/>
      <c r="H569" s="733" t="s">
        <v>34</v>
      </c>
      <c r="I569" s="965">
        <f ca="1">IFERROR(__xludf.DUMMYFUNCTION("IMPORTRANGE(""https://docs.google.com/spreadsheets/d/1QqKyyYR6Q21VydFLVH3TRQUabQu_ym0Zz7PgGX0-kHA/edit?usp=sharing"",""แผน!HG28"")"),5250)</f>
        <v>5250</v>
      </c>
      <c r="J569" s="966">
        <f t="shared" si="248"/>
        <v>0</v>
      </c>
      <c r="K569" s="1109">
        <f t="shared" ca="1" si="249"/>
        <v>0</v>
      </c>
      <c r="L569" s="945"/>
      <c r="M569" s="945"/>
      <c r="N569" s="945"/>
      <c r="O569" s="945"/>
      <c r="P569" s="945"/>
      <c r="Q569" s="1244"/>
      <c r="R569" s="1244"/>
      <c r="S569" s="1244"/>
      <c r="T569" s="1244"/>
      <c r="U569" s="1244"/>
      <c r="V569" s="1244"/>
      <c r="W569" s="1244"/>
      <c r="X569" s="1244"/>
      <c r="Y569" s="1244"/>
      <c r="Z569" s="1244"/>
    </row>
    <row r="570" spans="1:26" ht="18.75">
      <c r="A570" s="1267"/>
      <c r="B570" s="1268"/>
      <c r="C570" s="1268"/>
      <c r="D570" s="961" t="s">
        <v>240</v>
      </c>
      <c r="E570" s="1268"/>
      <c r="F570" s="961"/>
      <c r="G570" s="954"/>
      <c r="H570" s="730" t="s">
        <v>46</v>
      </c>
      <c r="I570" s="944"/>
      <c r="J570" s="959">
        <v>0</v>
      </c>
      <c r="K570" s="945"/>
      <c r="L570" s="945"/>
      <c r="M570" s="945"/>
      <c r="N570" s="945"/>
      <c r="O570" s="945"/>
      <c r="P570" s="945"/>
      <c r="Q570" s="1244"/>
      <c r="R570" s="1244"/>
      <c r="S570" s="1244"/>
      <c r="T570" s="1244"/>
      <c r="U570" s="1244"/>
      <c r="V570" s="1244"/>
      <c r="W570" s="1244"/>
      <c r="X570" s="1244"/>
      <c r="Y570" s="1244"/>
      <c r="Z570" s="1244"/>
    </row>
    <row r="571" spans="1:26" ht="18.75">
      <c r="A571" s="1267"/>
      <c r="B571" s="1268"/>
      <c r="C571" s="1268"/>
      <c r="D571" s="1268"/>
      <c r="E571" s="961"/>
      <c r="F571" s="961"/>
      <c r="G571" s="954"/>
      <c r="H571" s="730" t="s">
        <v>34</v>
      </c>
      <c r="I571" s="944"/>
      <c r="J571" s="959">
        <v>0</v>
      </c>
      <c r="K571" s="945"/>
      <c r="L571" s="945"/>
      <c r="M571" s="945"/>
      <c r="N571" s="945"/>
      <c r="O571" s="945"/>
      <c r="P571" s="945"/>
      <c r="Q571" s="1244"/>
      <c r="R571" s="1244"/>
      <c r="S571" s="1244"/>
      <c r="T571" s="1244"/>
      <c r="U571" s="1244"/>
      <c r="V571" s="1244"/>
      <c r="W571" s="1244"/>
      <c r="X571" s="1244"/>
      <c r="Y571" s="1244"/>
      <c r="Z571" s="1244"/>
    </row>
    <row r="572" spans="1:26" ht="18.75">
      <c r="A572" s="1267"/>
      <c r="B572" s="1268"/>
      <c r="C572" s="1268"/>
      <c r="D572" s="961" t="s">
        <v>241</v>
      </c>
      <c r="E572" s="961"/>
      <c r="F572" s="961"/>
      <c r="G572" s="954"/>
      <c r="H572" s="730" t="s">
        <v>46</v>
      </c>
      <c r="I572" s="944"/>
      <c r="J572" s="959">
        <v>0</v>
      </c>
      <c r="K572" s="945"/>
      <c r="L572" s="945"/>
      <c r="M572" s="945"/>
      <c r="N572" s="945"/>
      <c r="O572" s="945"/>
      <c r="P572" s="945"/>
      <c r="Q572" s="1244"/>
      <c r="R572" s="1244"/>
      <c r="S572" s="1244"/>
      <c r="T572" s="1244"/>
      <c r="U572" s="1244"/>
      <c r="V572" s="1244"/>
      <c r="W572" s="1244"/>
      <c r="X572" s="1244"/>
      <c r="Y572" s="1244"/>
      <c r="Z572" s="1244"/>
    </row>
    <row r="573" spans="1:26" ht="18.75">
      <c r="A573" s="1267"/>
      <c r="B573" s="1268"/>
      <c r="C573" s="1268"/>
      <c r="D573" s="961"/>
      <c r="E573" s="961"/>
      <c r="F573" s="961"/>
      <c r="G573" s="954"/>
      <c r="H573" s="730" t="s">
        <v>34</v>
      </c>
      <c r="I573" s="944"/>
      <c r="J573" s="959">
        <v>0</v>
      </c>
      <c r="K573" s="945"/>
      <c r="L573" s="945"/>
      <c r="M573" s="945"/>
      <c r="N573" s="945"/>
      <c r="O573" s="945"/>
      <c r="P573" s="945"/>
      <c r="Q573" s="1244"/>
      <c r="R573" s="1244"/>
      <c r="S573" s="1244"/>
      <c r="T573" s="1244"/>
      <c r="U573" s="1244"/>
      <c r="V573" s="1244"/>
      <c r="W573" s="1244"/>
      <c r="X573" s="1244"/>
      <c r="Y573" s="1244"/>
      <c r="Z573" s="1244"/>
    </row>
    <row r="574" spans="1:26" ht="18.75">
      <c r="A574" s="1267"/>
      <c r="B574" s="1268"/>
      <c r="C574" s="1268"/>
      <c r="D574" s="961" t="s">
        <v>242</v>
      </c>
      <c r="E574" s="961"/>
      <c r="F574" s="961"/>
      <c r="G574" s="954"/>
      <c r="H574" s="730" t="s">
        <v>46</v>
      </c>
      <c r="I574" s="944"/>
      <c r="J574" s="959">
        <v>0</v>
      </c>
      <c r="K574" s="945"/>
      <c r="L574" s="945"/>
      <c r="M574" s="945"/>
      <c r="N574" s="945"/>
      <c r="O574" s="945"/>
      <c r="P574" s="945"/>
      <c r="Q574" s="1244"/>
      <c r="R574" s="1244"/>
      <c r="S574" s="1244"/>
      <c r="T574" s="1244"/>
      <c r="U574" s="1244"/>
      <c r="V574" s="1244"/>
      <c r="W574" s="1244"/>
      <c r="X574" s="1244"/>
      <c r="Y574" s="1244"/>
      <c r="Z574" s="1244"/>
    </row>
    <row r="575" spans="1:26" ht="18.75">
      <c r="A575" s="1267"/>
      <c r="B575" s="1268"/>
      <c r="C575" s="1268"/>
      <c r="D575" s="1268"/>
      <c r="E575" s="961"/>
      <c r="F575" s="961"/>
      <c r="G575" s="954"/>
      <c r="H575" s="730" t="s">
        <v>34</v>
      </c>
      <c r="I575" s="944"/>
      <c r="J575" s="959">
        <v>0</v>
      </c>
      <c r="K575" s="945"/>
      <c r="L575" s="945"/>
      <c r="M575" s="945"/>
      <c r="N575" s="945"/>
      <c r="O575" s="945"/>
      <c r="P575" s="945"/>
      <c r="Q575" s="1244"/>
      <c r="R575" s="1244"/>
      <c r="S575" s="1244"/>
      <c r="T575" s="1244"/>
      <c r="U575" s="1244"/>
      <c r="V575" s="1244"/>
      <c r="W575" s="1244"/>
      <c r="X575" s="1244"/>
      <c r="Y575" s="1244"/>
      <c r="Z575" s="1244"/>
    </row>
    <row r="576" spans="1:26" ht="19.5">
      <c r="A576" s="1267"/>
      <c r="B576" s="1268"/>
      <c r="C576" s="1277" t="s">
        <v>243</v>
      </c>
      <c r="D576" s="1268"/>
      <c r="E576" s="1268"/>
      <c r="F576" s="961"/>
      <c r="G576" s="954"/>
      <c r="H576" s="733" t="s">
        <v>46</v>
      </c>
      <c r="I576" s="965">
        <f ca="1">IFERROR(__xludf.DUMMYFUNCTION("IMPORTRANGE(""https://docs.google.com/spreadsheets/d/1QqKyyYR6Q21VydFLVH3TRQUabQu_ym0Zz7PgGX0-kHA/edit?usp=sharing"",""แผน!HH28"")"),45451)</f>
        <v>45451</v>
      </c>
      <c r="J576" s="966">
        <f t="shared" ref="J576:J577" si="250">J578+J580+J582+J588+J590</f>
        <v>0</v>
      </c>
      <c r="K576" s="1109">
        <f t="shared" ref="K576:K577" ca="1" si="251">IF(I576&gt;0,J576*100/I576,0)</f>
        <v>0</v>
      </c>
      <c r="L576" s="945"/>
      <c r="M576" s="945"/>
      <c r="N576" s="945"/>
      <c r="O576" s="945"/>
      <c r="P576" s="945"/>
      <c r="Q576" s="1244"/>
      <c r="R576" s="1244"/>
      <c r="S576" s="1244"/>
      <c r="T576" s="1244"/>
      <c r="U576" s="1244"/>
      <c r="V576" s="1244"/>
      <c r="W576" s="1244"/>
      <c r="X576" s="1244"/>
      <c r="Y576" s="1244"/>
      <c r="Z576" s="1244"/>
    </row>
    <row r="577" spans="1:26" ht="19.5">
      <c r="A577" s="1267"/>
      <c r="B577" s="1268"/>
      <c r="C577" s="1268"/>
      <c r="D577" s="1268"/>
      <c r="E577" s="961"/>
      <c r="F577" s="961"/>
      <c r="G577" s="954"/>
      <c r="H577" s="733" t="s">
        <v>34</v>
      </c>
      <c r="I577" s="965">
        <f ca="1">IFERROR(__xludf.DUMMYFUNCTION("IMPORTRANGE(""https://docs.google.com/spreadsheets/d/1QqKyyYR6Q21VydFLVH3TRQUabQu_ym0Zz7PgGX0-kHA/edit?usp=sharing"",""แผน!HG28"")"),5250)</f>
        <v>5250</v>
      </c>
      <c r="J577" s="966">
        <f t="shared" si="250"/>
        <v>0</v>
      </c>
      <c r="K577" s="1109">
        <f t="shared" ca="1" si="251"/>
        <v>0</v>
      </c>
      <c r="L577" s="945"/>
      <c r="M577" s="945"/>
      <c r="N577" s="945"/>
      <c r="O577" s="945"/>
      <c r="P577" s="945"/>
      <c r="Q577" s="1244"/>
      <c r="R577" s="1244"/>
      <c r="S577" s="1244"/>
      <c r="T577" s="1244"/>
      <c r="U577" s="1244"/>
      <c r="V577" s="1244"/>
      <c r="W577" s="1244"/>
      <c r="X577" s="1244"/>
      <c r="Y577" s="1244"/>
      <c r="Z577" s="1244"/>
    </row>
    <row r="578" spans="1:26" ht="18.75">
      <c r="A578" s="1267"/>
      <c r="B578" s="1268"/>
      <c r="C578" s="1268"/>
      <c r="D578" s="961" t="s">
        <v>244</v>
      </c>
      <c r="E578" s="961"/>
      <c r="F578" s="961"/>
      <c r="G578" s="954"/>
      <c r="H578" s="730" t="s">
        <v>46</v>
      </c>
      <c r="I578" s="944"/>
      <c r="J578" s="959">
        <v>0</v>
      </c>
      <c r="K578" s="945"/>
      <c r="L578" s="945"/>
      <c r="M578" s="945"/>
      <c r="N578" s="945"/>
      <c r="O578" s="945"/>
      <c r="P578" s="945"/>
      <c r="Q578" s="1244"/>
      <c r="R578" s="1244"/>
      <c r="S578" s="1244"/>
      <c r="T578" s="1244"/>
      <c r="U578" s="1244"/>
      <c r="V578" s="1244"/>
      <c r="W578" s="1244"/>
      <c r="X578" s="1244"/>
      <c r="Y578" s="1244"/>
      <c r="Z578" s="1244"/>
    </row>
    <row r="579" spans="1:26" ht="18.75">
      <c r="A579" s="1267"/>
      <c r="B579" s="1268"/>
      <c r="C579" s="1268"/>
      <c r="D579" s="1268"/>
      <c r="E579" s="961"/>
      <c r="F579" s="961"/>
      <c r="G579" s="954"/>
      <c r="H579" s="730" t="s">
        <v>34</v>
      </c>
      <c r="I579" s="944"/>
      <c r="J579" s="959">
        <v>0</v>
      </c>
      <c r="K579" s="945"/>
      <c r="L579" s="945"/>
      <c r="M579" s="945"/>
      <c r="N579" s="945"/>
      <c r="O579" s="945"/>
      <c r="P579" s="945"/>
      <c r="Q579" s="1244"/>
      <c r="R579" s="1244"/>
      <c r="S579" s="1244"/>
      <c r="T579" s="1244"/>
      <c r="U579" s="1244"/>
      <c r="V579" s="1244"/>
      <c r="W579" s="1244"/>
      <c r="X579" s="1244"/>
      <c r="Y579" s="1244"/>
      <c r="Z579" s="1244"/>
    </row>
    <row r="580" spans="1:26" ht="18.75">
      <c r="A580" s="1267"/>
      <c r="B580" s="1268"/>
      <c r="C580" s="1268"/>
      <c r="D580" s="961" t="s">
        <v>245</v>
      </c>
      <c r="E580" s="961"/>
      <c r="F580" s="961"/>
      <c r="G580" s="954"/>
      <c r="H580" s="730" t="s">
        <v>46</v>
      </c>
      <c r="I580" s="944"/>
      <c r="J580" s="959">
        <v>0</v>
      </c>
      <c r="K580" s="945"/>
      <c r="L580" s="945"/>
      <c r="M580" s="945"/>
      <c r="N580" s="945"/>
      <c r="O580" s="945"/>
      <c r="P580" s="945"/>
      <c r="Q580" s="1244"/>
      <c r="R580" s="1244"/>
      <c r="S580" s="1244"/>
      <c r="T580" s="1244"/>
      <c r="U580" s="1244"/>
      <c r="V580" s="1244"/>
      <c r="W580" s="1244"/>
      <c r="X580" s="1244"/>
      <c r="Y580" s="1244"/>
      <c r="Z580" s="1244"/>
    </row>
    <row r="581" spans="1:26" ht="18.75">
      <c r="A581" s="1267"/>
      <c r="B581" s="1268"/>
      <c r="C581" s="1268"/>
      <c r="D581" s="1268"/>
      <c r="E581" s="961"/>
      <c r="F581" s="961"/>
      <c r="G581" s="954"/>
      <c r="H581" s="730" t="s">
        <v>34</v>
      </c>
      <c r="I581" s="944"/>
      <c r="J581" s="959">
        <v>0</v>
      </c>
      <c r="K581" s="945"/>
      <c r="L581" s="945"/>
      <c r="M581" s="945"/>
      <c r="N581" s="945"/>
      <c r="O581" s="945"/>
      <c r="P581" s="945"/>
      <c r="Q581" s="1244"/>
      <c r="R581" s="1244"/>
      <c r="S581" s="1244"/>
      <c r="T581" s="1244"/>
      <c r="U581" s="1244"/>
      <c r="V581" s="1244"/>
      <c r="W581" s="1244"/>
      <c r="X581" s="1244"/>
      <c r="Y581" s="1244"/>
      <c r="Z581" s="1244"/>
    </row>
    <row r="582" spans="1:26" ht="19.5">
      <c r="A582" s="1267"/>
      <c r="B582" s="1268"/>
      <c r="C582" s="1268"/>
      <c r="D582" s="961" t="s">
        <v>246</v>
      </c>
      <c r="E582" s="961"/>
      <c r="F582" s="961"/>
      <c r="G582" s="954"/>
      <c r="H582" s="730" t="s">
        <v>46</v>
      </c>
      <c r="I582" s="944"/>
      <c r="J582" s="966">
        <f t="shared" ref="J582:J583" si="252">J584+J586</f>
        <v>0</v>
      </c>
      <c r="K582" s="1109"/>
      <c r="L582" s="945"/>
      <c r="M582" s="945"/>
      <c r="N582" s="945"/>
      <c r="O582" s="945"/>
      <c r="P582" s="945"/>
      <c r="Q582" s="1244"/>
      <c r="R582" s="1244"/>
      <c r="S582" s="1244"/>
      <c r="T582" s="1244"/>
      <c r="U582" s="1244"/>
      <c r="V582" s="1244"/>
      <c r="W582" s="1244"/>
      <c r="X582" s="1244"/>
      <c r="Y582" s="1244"/>
      <c r="Z582" s="1244"/>
    </row>
    <row r="583" spans="1:26" ht="19.5">
      <c r="A583" s="1267"/>
      <c r="B583" s="1268"/>
      <c r="C583" s="1268"/>
      <c r="D583" s="1268"/>
      <c r="E583" s="961"/>
      <c r="F583" s="961"/>
      <c r="G583" s="954"/>
      <c r="H583" s="730" t="s">
        <v>34</v>
      </c>
      <c r="I583" s="944"/>
      <c r="J583" s="966">
        <f t="shared" si="252"/>
        <v>0</v>
      </c>
      <c r="K583" s="1109"/>
      <c r="L583" s="945"/>
      <c r="M583" s="945"/>
      <c r="N583" s="945"/>
      <c r="O583" s="945"/>
      <c r="P583" s="945"/>
      <c r="Q583" s="1244"/>
      <c r="R583" s="1244"/>
      <c r="S583" s="1244"/>
      <c r="T583" s="1244"/>
      <c r="U583" s="1244"/>
      <c r="V583" s="1244"/>
      <c r="W583" s="1244"/>
      <c r="X583" s="1244"/>
      <c r="Y583" s="1244"/>
      <c r="Z583" s="1244"/>
    </row>
    <row r="584" spans="1:26" ht="18.75">
      <c r="A584" s="1267"/>
      <c r="B584" s="1268"/>
      <c r="C584" s="1268"/>
      <c r="D584" s="1268"/>
      <c r="E584" s="961" t="s">
        <v>247</v>
      </c>
      <c r="F584" s="961"/>
      <c r="G584" s="954"/>
      <c r="H584" s="730" t="s">
        <v>46</v>
      </c>
      <c r="I584" s="944"/>
      <c r="J584" s="959">
        <v>0</v>
      </c>
      <c r="K584" s="945"/>
      <c r="L584" s="945"/>
      <c r="M584" s="945"/>
      <c r="N584" s="945"/>
      <c r="O584" s="945"/>
      <c r="P584" s="945"/>
      <c r="Q584" s="1244"/>
      <c r="R584" s="1244"/>
      <c r="S584" s="1244"/>
      <c r="T584" s="1244"/>
      <c r="U584" s="1244"/>
      <c r="V584" s="1244"/>
      <c r="W584" s="1244"/>
      <c r="X584" s="1244"/>
      <c r="Y584" s="1244"/>
      <c r="Z584" s="1244"/>
    </row>
    <row r="585" spans="1:26" ht="18.75">
      <c r="A585" s="1267"/>
      <c r="B585" s="1268"/>
      <c r="C585" s="1268"/>
      <c r="D585" s="1268"/>
      <c r="E585" s="961"/>
      <c r="F585" s="961"/>
      <c r="G585" s="954"/>
      <c r="H585" s="730" t="s">
        <v>34</v>
      </c>
      <c r="I585" s="944"/>
      <c r="J585" s="959">
        <v>0</v>
      </c>
      <c r="K585" s="945"/>
      <c r="L585" s="945"/>
      <c r="M585" s="945"/>
      <c r="N585" s="945"/>
      <c r="O585" s="945"/>
      <c r="P585" s="945"/>
      <c r="Q585" s="1244"/>
      <c r="R585" s="1244"/>
      <c r="S585" s="1244"/>
      <c r="T585" s="1244"/>
      <c r="U585" s="1244"/>
      <c r="V585" s="1244"/>
      <c r="W585" s="1244"/>
      <c r="X585" s="1244"/>
      <c r="Y585" s="1244"/>
      <c r="Z585" s="1244"/>
    </row>
    <row r="586" spans="1:26" ht="18.75">
      <c r="A586" s="1267"/>
      <c r="B586" s="1268"/>
      <c r="C586" s="1268"/>
      <c r="D586" s="1268"/>
      <c r="E586" s="961" t="s">
        <v>248</v>
      </c>
      <c r="F586" s="961"/>
      <c r="G586" s="954"/>
      <c r="H586" s="730" t="s">
        <v>46</v>
      </c>
      <c r="I586" s="944"/>
      <c r="J586" s="959">
        <v>0</v>
      </c>
      <c r="K586" s="945"/>
      <c r="L586" s="945"/>
      <c r="M586" s="945"/>
      <c r="N586" s="945"/>
      <c r="O586" s="945"/>
      <c r="P586" s="945"/>
      <c r="Q586" s="1244"/>
      <c r="R586" s="1244"/>
      <c r="S586" s="1244"/>
      <c r="T586" s="1244"/>
      <c r="U586" s="1244"/>
      <c r="V586" s="1244"/>
      <c r="W586" s="1244"/>
      <c r="X586" s="1244"/>
      <c r="Y586" s="1244"/>
      <c r="Z586" s="1244"/>
    </row>
    <row r="587" spans="1:26" ht="18.75">
      <c r="A587" s="1267"/>
      <c r="B587" s="1268"/>
      <c r="C587" s="1268"/>
      <c r="D587" s="1268"/>
      <c r="E587" s="1268"/>
      <c r="F587" s="961"/>
      <c r="G587" s="954"/>
      <c r="H587" s="730" t="s">
        <v>34</v>
      </c>
      <c r="I587" s="944"/>
      <c r="J587" s="959">
        <v>0</v>
      </c>
      <c r="K587" s="945"/>
      <c r="L587" s="945"/>
      <c r="M587" s="945"/>
      <c r="N587" s="945"/>
      <c r="O587" s="945"/>
      <c r="P587" s="945"/>
      <c r="Q587" s="1244"/>
      <c r="R587" s="1244"/>
      <c r="S587" s="1244"/>
      <c r="T587" s="1244"/>
      <c r="U587" s="1244"/>
      <c r="V587" s="1244"/>
      <c r="W587" s="1244"/>
      <c r="X587" s="1244"/>
      <c r="Y587" s="1244"/>
      <c r="Z587" s="1244"/>
    </row>
    <row r="588" spans="1:26" ht="18.75">
      <c r="A588" s="1267"/>
      <c r="B588" s="1268"/>
      <c r="C588" s="1268"/>
      <c r="D588" s="961" t="s">
        <v>249</v>
      </c>
      <c r="E588" s="961"/>
      <c r="F588" s="961"/>
      <c r="G588" s="954"/>
      <c r="H588" s="730" t="s">
        <v>46</v>
      </c>
      <c r="I588" s="944"/>
      <c r="J588" s="959">
        <v>0</v>
      </c>
      <c r="K588" s="945"/>
      <c r="L588" s="945"/>
      <c r="M588" s="945"/>
      <c r="N588" s="945"/>
      <c r="O588" s="945"/>
      <c r="P588" s="945"/>
      <c r="Q588" s="1244"/>
      <c r="R588" s="1244"/>
      <c r="S588" s="1244"/>
      <c r="T588" s="1244"/>
      <c r="U588" s="1244"/>
      <c r="V588" s="1244"/>
      <c r="W588" s="1244"/>
      <c r="X588" s="1244"/>
      <c r="Y588" s="1244"/>
      <c r="Z588" s="1244"/>
    </row>
    <row r="589" spans="1:26" ht="18.75">
      <c r="A589" s="1267"/>
      <c r="B589" s="1268"/>
      <c r="C589" s="1268"/>
      <c r="D589" s="1268"/>
      <c r="E589" s="1268"/>
      <c r="F589" s="961"/>
      <c r="G589" s="954"/>
      <c r="H589" s="730" t="s">
        <v>34</v>
      </c>
      <c r="I589" s="944"/>
      <c r="J589" s="959">
        <v>0</v>
      </c>
      <c r="K589" s="945"/>
      <c r="L589" s="945"/>
      <c r="M589" s="945"/>
      <c r="N589" s="945"/>
      <c r="O589" s="945"/>
      <c r="P589" s="945"/>
      <c r="Q589" s="1244"/>
      <c r="R589" s="1244"/>
      <c r="S589" s="1244"/>
      <c r="T589" s="1244"/>
      <c r="U589" s="1244"/>
      <c r="V589" s="1244"/>
      <c r="W589" s="1244"/>
      <c r="X589" s="1244"/>
      <c r="Y589" s="1244"/>
      <c r="Z589" s="1244"/>
    </row>
    <row r="590" spans="1:26" ht="18.75">
      <c r="A590" s="1267"/>
      <c r="B590" s="1268"/>
      <c r="C590" s="1268"/>
      <c r="D590" s="961" t="s">
        <v>250</v>
      </c>
      <c r="E590" s="961"/>
      <c r="F590" s="961"/>
      <c r="G590" s="954"/>
      <c r="H590" s="730" t="s">
        <v>46</v>
      </c>
      <c r="I590" s="944"/>
      <c r="J590" s="959">
        <v>0</v>
      </c>
      <c r="K590" s="945"/>
      <c r="L590" s="945"/>
      <c r="M590" s="945"/>
      <c r="N590" s="945"/>
      <c r="O590" s="945"/>
      <c r="P590" s="945"/>
      <c r="Q590" s="1244"/>
      <c r="R590" s="1244"/>
      <c r="S590" s="1244"/>
      <c r="T590" s="1244"/>
      <c r="U590" s="1244"/>
      <c r="V590" s="1244"/>
      <c r="W590" s="1244"/>
      <c r="X590" s="1244"/>
      <c r="Y590" s="1244"/>
      <c r="Z590" s="1244"/>
    </row>
    <row r="591" spans="1:26" ht="18.75">
      <c r="A591" s="1332"/>
      <c r="B591" s="1333"/>
      <c r="C591" s="1333"/>
      <c r="D591" s="1333"/>
      <c r="E591" s="1244"/>
      <c r="F591" s="1244"/>
      <c r="G591" s="1334"/>
      <c r="H591" s="665" t="s">
        <v>34</v>
      </c>
      <c r="I591" s="1335"/>
      <c r="J591" s="1336">
        <v>0</v>
      </c>
      <c r="K591" s="1337"/>
      <c r="L591" s="1337"/>
      <c r="M591" s="1337"/>
      <c r="N591" s="1337"/>
      <c r="O591" s="1337"/>
      <c r="P591" s="1337"/>
      <c r="Q591" s="1244"/>
      <c r="R591" s="1244"/>
      <c r="S591" s="1244"/>
      <c r="T591" s="1244"/>
      <c r="U591" s="1244"/>
      <c r="V591" s="1244"/>
      <c r="W591" s="1244"/>
      <c r="X591" s="1244"/>
      <c r="Y591" s="1244"/>
      <c r="Z591" s="1244"/>
    </row>
    <row r="592" spans="1:26" ht="19.5">
      <c r="A592" s="1329"/>
      <c r="B592" s="1330" t="s">
        <v>251</v>
      </c>
      <c r="C592" s="1331"/>
      <c r="D592" s="1331"/>
      <c r="E592" s="1315"/>
      <c r="F592" s="1315"/>
      <c r="G592" s="1316"/>
      <c r="H592" s="661" t="s">
        <v>46</v>
      </c>
      <c r="I592" s="1338">
        <f t="shared" ref="I592:J592" ca="1" si="253">I593</f>
        <v>4307.33</v>
      </c>
      <c r="J592" s="1317">
        <f t="shared" si="253"/>
        <v>1726</v>
      </c>
      <c r="K592" s="1318">
        <f t="shared" ref="K592:K594" ca="1" si="254">IF(I592&gt;0,J592*100/I592,0)</f>
        <v>40.071227419306162</v>
      </c>
      <c r="L592" s="1319"/>
      <c r="M592" s="1319"/>
      <c r="N592" s="1319"/>
      <c r="O592" s="1319"/>
      <c r="P592" s="1319"/>
      <c r="Q592" s="1244"/>
      <c r="R592" s="1244"/>
      <c r="S592" s="1244"/>
      <c r="T592" s="1244"/>
      <c r="U592" s="1244"/>
      <c r="V592" s="1244"/>
      <c r="W592" s="1244"/>
      <c r="X592" s="1244"/>
      <c r="Y592" s="1244"/>
      <c r="Z592" s="1244"/>
    </row>
    <row r="593" spans="1:26" ht="19.5">
      <c r="A593" s="1267"/>
      <c r="B593" s="1268"/>
      <c r="C593" s="1277" t="s">
        <v>252</v>
      </c>
      <c r="D593" s="1268"/>
      <c r="E593" s="1268"/>
      <c r="F593" s="961"/>
      <c r="G593" s="954"/>
      <c r="H593" s="733" t="s">
        <v>46</v>
      </c>
      <c r="I593" s="1339">
        <f ca="1">IFERROR(__xludf.DUMMYFUNCTION("IMPORTRANGE(""https://docs.google.com/spreadsheets/d/1QqKyyYR6Q21VydFLVH3TRQUabQu_ym0Zz7PgGX0-kHA/edit?usp=sharing"",""แผน!HJ28"")"),4307.33)</f>
        <v>4307.33</v>
      </c>
      <c r="J593" s="965">
        <f t="shared" ref="J593:J594" si="255">J595+J603+J609</f>
        <v>1726</v>
      </c>
      <c r="K593" s="1109">
        <f t="shared" ca="1" si="254"/>
        <v>40.071227419306162</v>
      </c>
      <c r="L593" s="945"/>
      <c r="M593" s="945"/>
      <c r="N593" s="945"/>
      <c r="O593" s="945"/>
      <c r="P593" s="945"/>
      <c r="Q593" s="1244"/>
      <c r="R593" s="1244"/>
      <c r="S593" s="1244"/>
      <c r="T593" s="1244"/>
      <c r="U593" s="1244"/>
      <c r="V593" s="1244"/>
      <c r="W593" s="1244"/>
      <c r="X593" s="1244"/>
      <c r="Y593" s="1244"/>
      <c r="Z593" s="1244"/>
    </row>
    <row r="594" spans="1:26" ht="19.5">
      <c r="A594" s="1267"/>
      <c r="B594" s="1268"/>
      <c r="C594" s="1268"/>
      <c r="D594" s="1268"/>
      <c r="E594" s="961"/>
      <c r="F594" s="961"/>
      <c r="G594" s="954"/>
      <c r="H594" s="733" t="s">
        <v>34</v>
      </c>
      <c r="I594" s="965">
        <f ca="1">IFERROR(__xludf.DUMMYFUNCTION("IMPORTRANGE(""https://docs.google.com/spreadsheets/d/1QqKyyYR6Q21VydFLVH3TRQUabQu_ym0Zz7PgGX0-kHA/edit?usp=sharing"",""แผน!HI28"")"),452)</f>
        <v>452</v>
      </c>
      <c r="J594" s="965">
        <f t="shared" si="255"/>
        <v>135</v>
      </c>
      <c r="K594" s="1109">
        <f t="shared" ca="1" si="254"/>
        <v>29.86725663716814</v>
      </c>
      <c r="L594" s="945"/>
      <c r="M594" s="945"/>
      <c r="N594" s="945"/>
      <c r="O594" s="945"/>
      <c r="P594" s="945"/>
      <c r="Q594" s="1244"/>
      <c r="R594" s="1244"/>
      <c r="S594" s="1244"/>
      <c r="T594" s="1244"/>
      <c r="U594" s="1244"/>
      <c r="V594" s="1244"/>
      <c r="W594" s="1244"/>
      <c r="X594" s="1244"/>
      <c r="Y594" s="1244"/>
      <c r="Z594" s="1244"/>
    </row>
    <row r="595" spans="1:26" ht="18.75">
      <c r="A595" s="1267"/>
      <c r="B595" s="1268"/>
      <c r="C595" s="1268" t="s">
        <v>253</v>
      </c>
      <c r="D595" s="1268"/>
      <c r="E595" s="1268"/>
      <c r="F595" s="961"/>
      <c r="G595" s="954"/>
      <c r="H595" s="730" t="s">
        <v>46</v>
      </c>
      <c r="I595" s="944"/>
      <c r="J595" s="944">
        <f t="shared" ref="J595:J596" si="256">J597+J599</f>
        <v>1627</v>
      </c>
      <c r="K595" s="945"/>
      <c r="L595" s="945"/>
      <c r="M595" s="945"/>
      <c r="N595" s="945"/>
      <c r="O595" s="945"/>
      <c r="P595" s="945"/>
      <c r="Q595" s="1244"/>
      <c r="R595" s="1244"/>
      <c r="S595" s="1244"/>
      <c r="T595" s="1244"/>
      <c r="U595" s="1244"/>
      <c r="V595" s="1244"/>
      <c r="W595" s="1244"/>
      <c r="X595" s="1244"/>
      <c r="Y595" s="1244"/>
      <c r="Z595" s="1244"/>
    </row>
    <row r="596" spans="1:26" ht="18.75">
      <c r="A596" s="1267"/>
      <c r="B596" s="1268"/>
      <c r="C596" s="1268"/>
      <c r="D596" s="1268"/>
      <c r="E596" s="961"/>
      <c r="F596" s="961"/>
      <c r="G596" s="954"/>
      <c r="H596" s="730" t="s">
        <v>34</v>
      </c>
      <c r="I596" s="944"/>
      <c r="J596" s="944">
        <f t="shared" si="256"/>
        <v>122</v>
      </c>
      <c r="K596" s="945"/>
      <c r="L596" s="945"/>
      <c r="M596" s="945"/>
      <c r="N596" s="945"/>
      <c r="O596" s="945"/>
      <c r="P596" s="945"/>
      <c r="Q596" s="1244"/>
      <c r="R596" s="1244"/>
      <c r="S596" s="1244"/>
      <c r="T596" s="1244"/>
      <c r="U596" s="1244"/>
      <c r="V596" s="1244"/>
      <c r="W596" s="1244"/>
      <c r="X596" s="1244"/>
      <c r="Y596" s="1244"/>
      <c r="Z596" s="1244"/>
    </row>
    <row r="597" spans="1:26" ht="18.75">
      <c r="A597" s="1267"/>
      <c r="B597" s="1268"/>
      <c r="C597" s="1268"/>
      <c r="D597" s="1017" t="s">
        <v>254</v>
      </c>
      <c r="E597" s="961"/>
      <c r="F597" s="961"/>
      <c r="G597" s="954"/>
      <c r="H597" s="730" t="s">
        <v>46</v>
      </c>
      <c r="I597" s="944"/>
      <c r="J597" s="959">
        <v>1627</v>
      </c>
      <c r="K597" s="945"/>
      <c r="L597" s="945"/>
      <c r="M597" s="945"/>
      <c r="N597" s="945"/>
      <c r="O597" s="945"/>
      <c r="P597" s="945"/>
      <c r="Q597" s="1244"/>
      <c r="R597" s="1244"/>
      <c r="S597" s="1244"/>
      <c r="T597" s="1244"/>
      <c r="U597" s="1244"/>
      <c r="V597" s="1244"/>
      <c r="W597" s="1244"/>
      <c r="X597" s="1244"/>
      <c r="Y597" s="1244"/>
      <c r="Z597" s="1244"/>
    </row>
    <row r="598" spans="1:26" ht="18.75">
      <c r="A598" s="1267"/>
      <c r="B598" s="1268"/>
      <c r="C598" s="1268"/>
      <c r="D598" s="1268"/>
      <c r="E598" s="961"/>
      <c r="F598" s="961"/>
      <c r="G598" s="954"/>
      <c r="H598" s="730" t="s">
        <v>34</v>
      </c>
      <c r="I598" s="830"/>
      <c r="J598" s="959">
        <v>122</v>
      </c>
      <c r="K598" s="945"/>
      <c r="L598" s="945"/>
      <c r="M598" s="945"/>
      <c r="N598" s="945"/>
      <c r="O598" s="945"/>
      <c r="P598" s="945"/>
      <c r="Q598" s="1244"/>
      <c r="R598" s="1244"/>
      <c r="S598" s="1244"/>
      <c r="T598" s="1244"/>
      <c r="U598" s="1244"/>
      <c r="V598" s="1244"/>
      <c r="W598" s="1244"/>
      <c r="X598" s="1244"/>
      <c r="Y598" s="1244"/>
      <c r="Z598" s="1244"/>
    </row>
    <row r="599" spans="1:26" ht="18.75">
      <c r="A599" s="1267"/>
      <c r="B599" s="1268"/>
      <c r="C599" s="1268"/>
      <c r="D599" s="1017" t="s">
        <v>255</v>
      </c>
      <c r="E599" s="961"/>
      <c r="F599" s="961"/>
      <c r="G599" s="954"/>
      <c r="H599" s="730" t="s">
        <v>46</v>
      </c>
      <c r="I599" s="830"/>
      <c r="J599" s="959">
        <v>0</v>
      </c>
      <c r="K599" s="945"/>
      <c r="L599" s="945"/>
      <c r="M599" s="945"/>
      <c r="N599" s="945"/>
      <c r="O599" s="945"/>
      <c r="P599" s="945"/>
      <c r="Q599" s="1244"/>
      <c r="R599" s="1244"/>
      <c r="S599" s="1244"/>
      <c r="T599" s="1244"/>
      <c r="U599" s="1244"/>
      <c r="V599" s="1244"/>
      <c r="W599" s="1244"/>
      <c r="X599" s="1244"/>
      <c r="Y599" s="1244"/>
      <c r="Z599" s="1244"/>
    </row>
    <row r="600" spans="1:26" ht="18.75">
      <c r="A600" s="1267"/>
      <c r="B600" s="1268"/>
      <c r="C600" s="1268"/>
      <c r="D600" s="1268"/>
      <c r="E600" s="961"/>
      <c r="F600" s="961"/>
      <c r="G600" s="954"/>
      <c r="H600" s="730" t="s">
        <v>34</v>
      </c>
      <c r="I600" s="830"/>
      <c r="J600" s="959">
        <v>0</v>
      </c>
      <c r="K600" s="945"/>
      <c r="L600" s="945"/>
      <c r="M600" s="945"/>
      <c r="N600" s="945"/>
      <c r="O600" s="945"/>
      <c r="P600" s="945"/>
      <c r="Q600" s="1244"/>
      <c r="R600" s="1244"/>
      <c r="S600" s="1244"/>
      <c r="T600" s="1244"/>
      <c r="U600" s="1244"/>
      <c r="V600" s="1244"/>
      <c r="W600" s="1244"/>
      <c r="X600" s="1244"/>
      <c r="Y600" s="1244"/>
      <c r="Z600" s="1244"/>
    </row>
    <row r="601" spans="1:26" ht="18.75">
      <c r="A601" s="1267"/>
      <c r="B601" s="1268"/>
      <c r="C601" s="1268"/>
      <c r="D601" s="1017" t="s">
        <v>256</v>
      </c>
      <c r="E601" s="961"/>
      <c r="F601" s="961"/>
      <c r="G601" s="954"/>
      <c r="H601" s="730" t="s">
        <v>46</v>
      </c>
      <c r="I601" s="830"/>
      <c r="J601" s="959">
        <v>0</v>
      </c>
      <c r="K601" s="945"/>
      <c r="L601" s="945"/>
      <c r="M601" s="945"/>
      <c r="N601" s="945"/>
      <c r="O601" s="945"/>
      <c r="P601" s="945"/>
      <c r="Q601" s="1244"/>
      <c r="R601" s="1244"/>
      <c r="S601" s="1244"/>
      <c r="T601" s="1244"/>
      <c r="U601" s="1244"/>
      <c r="V601" s="1244"/>
      <c r="W601" s="1244"/>
      <c r="X601" s="1244"/>
      <c r="Y601" s="1244"/>
      <c r="Z601" s="1244"/>
    </row>
    <row r="602" spans="1:26" ht="18.75">
      <c r="A602" s="1267"/>
      <c r="B602" s="1268"/>
      <c r="C602" s="1268"/>
      <c r="D602" s="1268"/>
      <c r="E602" s="961"/>
      <c r="F602" s="961"/>
      <c r="G602" s="954"/>
      <c r="H602" s="730" t="s">
        <v>34</v>
      </c>
      <c r="I602" s="830"/>
      <c r="J602" s="959">
        <v>0</v>
      </c>
      <c r="K602" s="945"/>
      <c r="L602" s="945"/>
      <c r="M602" s="945"/>
      <c r="N602" s="945"/>
      <c r="O602" s="945"/>
      <c r="P602" s="945"/>
      <c r="Q602" s="1244"/>
      <c r="R602" s="1244"/>
      <c r="S602" s="1244"/>
      <c r="T602" s="1244"/>
      <c r="U602" s="1244"/>
      <c r="V602" s="1244"/>
      <c r="W602" s="1244"/>
      <c r="X602" s="1244"/>
      <c r="Y602" s="1244"/>
      <c r="Z602" s="1244"/>
    </row>
    <row r="603" spans="1:26" ht="18.75">
      <c r="A603" s="1267"/>
      <c r="B603" s="1268"/>
      <c r="C603" s="1340" t="s">
        <v>257</v>
      </c>
      <c r="D603" s="1268"/>
      <c r="E603" s="1268"/>
      <c r="F603" s="961"/>
      <c r="G603" s="954"/>
      <c r="H603" s="730" t="s">
        <v>46</v>
      </c>
      <c r="I603" s="830"/>
      <c r="J603" s="830">
        <f t="shared" ref="J603:J604" si="257">J605+J607</f>
        <v>99</v>
      </c>
      <c r="K603" s="945"/>
      <c r="L603" s="945"/>
      <c r="M603" s="945"/>
      <c r="N603" s="945"/>
      <c r="O603" s="945"/>
      <c r="P603" s="945"/>
      <c r="Q603" s="1244"/>
      <c r="R603" s="1244"/>
      <c r="S603" s="1244"/>
      <c r="T603" s="1244"/>
      <c r="U603" s="1244"/>
      <c r="V603" s="1244"/>
      <c r="W603" s="1244"/>
      <c r="X603" s="1244"/>
      <c r="Y603" s="1244"/>
      <c r="Z603" s="1244"/>
    </row>
    <row r="604" spans="1:26" ht="18.75">
      <c r="A604" s="1267"/>
      <c r="B604" s="1268"/>
      <c r="C604" s="1268"/>
      <c r="D604" s="1268"/>
      <c r="E604" s="961"/>
      <c r="F604" s="961"/>
      <c r="G604" s="954"/>
      <c r="H604" s="730" t="s">
        <v>34</v>
      </c>
      <c r="I604" s="830"/>
      <c r="J604" s="830">
        <f t="shared" si="257"/>
        <v>13</v>
      </c>
      <c r="K604" s="945"/>
      <c r="L604" s="945"/>
      <c r="M604" s="945"/>
      <c r="N604" s="945"/>
      <c r="O604" s="945"/>
      <c r="P604" s="945"/>
      <c r="Q604" s="1244"/>
      <c r="R604" s="1244"/>
      <c r="S604" s="1244"/>
      <c r="T604" s="1244"/>
      <c r="U604" s="1244"/>
      <c r="V604" s="1244"/>
      <c r="W604" s="1244"/>
      <c r="X604" s="1244"/>
      <c r="Y604" s="1244"/>
      <c r="Z604" s="1244"/>
    </row>
    <row r="605" spans="1:26" ht="18.75">
      <c r="A605" s="1267"/>
      <c r="B605" s="1268"/>
      <c r="C605" s="1268"/>
      <c r="D605" s="1340" t="s">
        <v>258</v>
      </c>
      <c r="E605" s="961"/>
      <c r="F605" s="961"/>
      <c r="G605" s="954"/>
      <c r="H605" s="730" t="s">
        <v>46</v>
      </c>
      <c r="I605" s="830"/>
      <c r="J605" s="959">
        <v>99</v>
      </c>
      <c r="K605" s="945"/>
      <c r="L605" s="945"/>
      <c r="M605" s="945"/>
      <c r="N605" s="945"/>
      <c r="O605" s="945"/>
      <c r="P605" s="945"/>
      <c r="Q605" s="1244"/>
      <c r="R605" s="1244"/>
      <c r="S605" s="1244"/>
      <c r="T605" s="1244"/>
      <c r="U605" s="1244"/>
      <c r="V605" s="1244"/>
      <c r="W605" s="1244"/>
      <c r="X605" s="1244"/>
      <c r="Y605" s="1244"/>
      <c r="Z605" s="1244"/>
    </row>
    <row r="606" spans="1:26" ht="18.75">
      <c r="A606" s="1267"/>
      <c r="B606" s="1268"/>
      <c r="C606" s="1268"/>
      <c r="D606" s="1268"/>
      <c r="E606" s="1268"/>
      <c r="F606" s="961"/>
      <c r="G606" s="954"/>
      <c r="H606" s="730" t="s">
        <v>34</v>
      </c>
      <c r="I606" s="830"/>
      <c r="J606" s="959">
        <v>13</v>
      </c>
      <c r="K606" s="945"/>
      <c r="L606" s="945"/>
      <c r="M606" s="945"/>
      <c r="N606" s="945"/>
      <c r="O606" s="945"/>
      <c r="P606" s="945"/>
      <c r="Q606" s="1244"/>
      <c r="R606" s="1244"/>
      <c r="S606" s="1244"/>
      <c r="T606" s="1244"/>
      <c r="U606" s="1244"/>
      <c r="V606" s="1244"/>
      <c r="W606" s="1244"/>
      <c r="X606" s="1244"/>
      <c r="Y606" s="1244"/>
      <c r="Z606" s="1244"/>
    </row>
    <row r="607" spans="1:26" ht="18.75">
      <c r="A607" s="1267"/>
      <c r="B607" s="1268"/>
      <c r="C607" s="1268"/>
      <c r="D607" s="1340" t="s">
        <v>259</v>
      </c>
      <c r="E607" s="1268"/>
      <c r="F607" s="961"/>
      <c r="G607" s="954"/>
      <c r="H607" s="730" t="s">
        <v>46</v>
      </c>
      <c r="I607" s="830"/>
      <c r="J607" s="959">
        <v>0</v>
      </c>
      <c r="K607" s="945"/>
      <c r="L607" s="945"/>
      <c r="M607" s="945"/>
      <c r="N607" s="945"/>
      <c r="O607" s="945"/>
      <c r="P607" s="945"/>
      <c r="Q607" s="1244"/>
      <c r="R607" s="1244"/>
      <c r="S607" s="1244"/>
      <c r="T607" s="1244"/>
      <c r="U607" s="1244"/>
      <c r="V607" s="1244"/>
      <c r="W607" s="1244"/>
      <c r="X607" s="1244"/>
      <c r="Y607" s="1244"/>
      <c r="Z607" s="1244"/>
    </row>
    <row r="608" spans="1:26" ht="18.75">
      <c r="A608" s="1267"/>
      <c r="B608" s="1268"/>
      <c r="C608" s="1268"/>
      <c r="D608" s="1268"/>
      <c r="E608" s="961"/>
      <c r="F608" s="961"/>
      <c r="G608" s="954"/>
      <c r="H608" s="730" t="s">
        <v>34</v>
      </c>
      <c r="I608" s="830"/>
      <c r="J608" s="959">
        <v>0</v>
      </c>
      <c r="K608" s="945"/>
      <c r="L608" s="945"/>
      <c r="M608" s="945"/>
      <c r="N608" s="945"/>
      <c r="O608" s="945"/>
      <c r="P608" s="945"/>
      <c r="Q608" s="1244"/>
      <c r="R608" s="1244"/>
      <c r="S608" s="1244"/>
      <c r="T608" s="1244"/>
      <c r="U608" s="1244"/>
      <c r="V608" s="1244"/>
      <c r="W608" s="1244"/>
      <c r="X608" s="1244"/>
      <c r="Y608" s="1244"/>
      <c r="Z608" s="1244"/>
    </row>
    <row r="609" spans="1:26" ht="18.75">
      <c r="A609" s="1267"/>
      <c r="B609" s="1268"/>
      <c r="C609" s="1268" t="s">
        <v>260</v>
      </c>
      <c r="D609" s="1268"/>
      <c r="E609" s="1268"/>
      <c r="F609" s="961"/>
      <c r="G609" s="954"/>
      <c r="H609" s="730" t="s">
        <v>46</v>
      </c>
      <c r="I609" s="830"/>
      <c r="J609" s="959">
        <v>0</v>
      </c>
      <c r="K609" s="945"/>
      <c r="L609" s="945"/>
      <c r="M609" s="945"/>
      <c r="N609" s="945"/>
      <c r="O609" s="945"/>
      <c r="P609" s="945"/>
      <c r="Q609" s="1244"/>
      <c r="R609" s="1244"/>
      <c r="S609" s="1244"/>
      <c r="T609" s="1244"/>
      <c r="U609" s="1244"/>
      <c r="V609" s="1244"/>
      <c r="W609" s="1244"/>
      <c r="X609" s="1244"/>
      <c r="Y609" s="1244"/>
      <c r="Z609" s="1244"/>
    </row>
    <row r="610" spans="1:26" ht="18.75">
      <c r="A610" s="1267"/>
      <c r="B610" s="1268"/>
      <c r="C610" s="1268"/>
      <c r="D610" s="1268"/>
      <c r="E610" s="961"/>
      <c r="F610" s="961"/>
      <c r="G610" s="954"/>
      <c r="H610" s="730" t="s">
        <v>34</v>
      </c>
      <c r="I610" s="830"/>
      <c r="J610" s="959">
        <v>0</v>
      </c>
      <c r="K610" s="945"/>
      <c r="L610" s="945"/>
      <c r="M610" s="945"/>
      <c r="N610" s="945"/>
      <c r="O610" s="945"/>
      <c r="P610" s="945"/>
      <c r="Q610" s="1244"/>
      <c r="R610" s="1244"/>
      <c r="S610" s="1244"/>
      <c r="T610" s="1244"/>
      <c r="U610" s="1244"/>
      <c r="V610" s="1244"/>
      <c r="W610" s="1244"/>
      <c r="X610" s="1244"/>
      <c r="Y610" s="1244"/>
      <c r="Z610" s="1244"/>
    </row>
    <row r="611" spans="1:26" ht="19.5">
      <c r="A611" s="1329"/>
      <c r="B611" s="1341" t="s">
        <v>261</v>
      </c>
      <c r="C611" s="1331"/>
      <c r="D611" s="1331"/>
      <c r="E611" s="1315"/>
      <c r="F611" s="1315"/>
      <c r="G611" s="1316"/>
      <c r="H611" s="673" t="s">
        <v>46</v>
      </c>
      <c r="I611" s="1317">
        <v>0</v>
      </c>
      <c r="J611" s="1317">
        <f>J614+J616</f>
        <v>0</v>
      </c>
      <c r="K611" s="1318">
        <f t="shared" ref="K611:K613" si="258">IF(I611&gt;0,J611*100/I611,0)</f>
        <v>0</v>
      </c>
      <c r="L611" s="1319"/>
      <c r="M611" s="1319"/>
      <c r="N611" s="1319"/>
      <c r="O611" s="1319"/>
      <c r="P611" s="1319"/>
      <c r="Q611" s="1244"/>
      <c r="R611" s="1244"/>
      <c r="S611" s="1244"/>
      <c r="T611" s="1244"/>
      <c r="U611" s="1244"/>
      <c r="V611" s="1244"/>
      <c r="W611" s="1244"/>
      <c r="X611" s="1244"/>
      <c r="Y611" s="1244"/>
      <c r="Z611" s="1244"/>
    </row>
    <row r="612" spans="1:26" ht="19.5" hidden="1">
      <c r="A612" s="1342"/>
      <c r="B612" s="1343"/>
      <c r="C612" s="1344" t="s">
        <v>262</v>
      </c>
      <c r="D612" s="1343"/>
      <c r="E612" s="1343"/>
      <c r="F612" s="1345"/>
      <c r="G612" s="1346"/>
      <c r="H612" s="680" t="s">
        <v>46</v>
      </c>
      <c r="I612" s="1347">
        <v>0</v>
      </c>
      <c r="J612" s="1347">
        <f t="shared" ref="J612:J613" si="259">J614+J616</f>
        <v>0</v>
      </c>
      <c r="K612" s="1348">
        <f t="shared" si="258"/>
        <v>0</v>
      </c>
      <c r="L612" s="1349"/>
      <c r="M612" s="1349"/>
      <c r="N612" s="1349"/>
      <c r="O612" s="1349"/>
      <c r="P612" s="1349"/>
      <c r="Q612" s="1264"/>
      <c r="R612" s="1264"/>
      <c r="S612" s="1264"/>
      <c r="T612" s="1264"/>
      <c r="U612" s="1264"/>
      <c r="V612" s="1264"/>
      <c r="W612" s="1264"/>
      <c r="X612" s="1264"/>
      <c r="Y612" s="1264"/>
      <c r="Z612" s="1264"/>
    </row>
    <row r="613" spans="1:26" ht="19.5" hidden="1">
      <c r="A613" s="1342"/>
      <c r="B613" s="1343"/>
      <c r="C613" s="1343" t="s">
        <v>263</v>
      </c>
      <c r="D613" s="1343"/>
      <c r="E613" s="1343"/>
      <c r="F613" s="1345"/>
      <c r="G613" s="1346"/>
      <c r="H613" s="680" t="s">
        <v>34</v>
      </c>
      <c r="I613" s="1347">
        <v>0</v>
      </c>
      <c r="J613" s="1347">
        <f t="shared" si="259"/>
        <v>0</v>
      </c>
      <c r="K613" s="1348">
        <f t="shared" si="258"/>
        <v>0</v>
      </c>
      <c r="L613" s="1349"/>
      <c r="M613" s="1349"/>
      <c r="N613" s="1349"/>
      <c r="O613" s="1349"/>
      <c r="P613" s="1349"/>
      <c r="Q613" s="1264"/>
      <c r="R613" s="1264"/>
      <c r="S613" s="1264"/>
      <c r="T613" s="1264"/>
      <c r="U613" s="1264"/>
      <c r="V613" s="1264"/>
      <c r="W613" s="1264"/>
      <c r="X613" s="1264"/>
      <c r="Y613" s="1264"/>
      <c r="Z613" s="1264"/>
    </row>
    <row r="614" spans="1:26" ht="18.75" hidden="1">
      <c r="A614" s="1273"/>
      <c r="B614" s="1274"/>
      <c r="C614" s="1274"/>
      <c r="D614" s="1262" t="s">
        <v>264</v>
      </c>
      <c r="E614" s="1274"/>
      <c r="F614" s="1262"/>
      <c r="G614" s="1060"/>
      <c r="H614" s="583" t="s">
        <v>46</v>
      </c>
      <c r="I614" s="836"/>
      <c r="J614" s="836">
        <v>0</v>
      </c>
      <c r="K614" s="948"/>
      <c r="L614" s="948"/>
      <c r="M614" s="948"/>
      <c r="N614" s="948"/>
      <c r="O614" s="948"/>
      <c r="P614" s="948"/>
      <c r="Q614" s="1264"/>
      <c r="R614" s="1264"/>
      <c r="S614" s="1264"/>
      <c r="T614" s="1264"/>
      <c r="U614" s="1264"/>
      <c r="V614" s="1264"/>
      <c r="W614" s="1264"/>
      <c r="X614" s="1264"/>
      <c r="Y614" s="1264"/>
      <c r="Z614" s="1264"/>
    </row>
    <row r="615" spans="1:26" ht="18.75" hidden="1">
      <c r="A615" s="1273"/>
      <c r="B615" s="1274"/>
      <c r="C615" s="1274"/>
      <c r="D615" s="1274"/>
      <c r="E615" s="1274"/>
      <c r="F615" s="1262"/>
      <c r="G615" s="1060"/>
      <c r="H615" s="583" t="s">
        <v>34</v>
      </c>
      <c r="I615" s="836"/>
      <c r="J615" s="836">
        <v>0</v>
      </c>
      <c r="K615" s="948"/>
      <c r="L615" s="948"/>
      <c r="M615" s="948"/>
      <c r="N615" s="948"/>
      <c r="O615" s="948"/>
      <c r="P615" s="948"/>
      <c r="Q615" s="1264"/>
      <c r="R615" s="1264"/>
      <c r="S615" s="1264"/>
      <c r="T615" s="1264"/>
      <c r="U615" s="1264"/>
      <c r="V615" s="1264"/>
      <c r="W615" s="1264"/>
      <c r="X615" s="1264"/>
      <c r="Y615" s="1264"/>
      <c r="Z615" s="1264"/>
    </row>
    <row r="616" spans="1:26" ht="18.75" hidden="1">
      <c r="A616" s="1273"/>
      <c r="B616" s="1274"/>
      <c r="C616" s="1274"/>
      <c r="D616" s="1350" t="s">
        <v>264</v>
      </c>
      <c r="E616" s="1262"/>
      <c r="F616" s="1262"/>
      <c r="G616" s="1060"/>
      <c r="H616" s="583" t="s">
        <v>46</v>
      </c>
      <c r="I616" s="836"/>
      <c r="J616" s="836">
        <v>0</v>
      </c>
      <c r="K616" s="948"/>
      <c r="L616" s="948"/>
      <c r="M616" s="948"/>
      <c r="N616" s="948"/>
      <c r="O616" s="948"/>
      <c r="P616" s="948"/>
      <c r="Q616" s="1264"/>
      <c r="R616" s="1264"/>
      <c r="S616" s="1264"/>
      <c r="T616" s="1264"/>
      <c r="U616" s="1264"/>
      <c r="V616" s="1264"/>
      <c r="W616" s="1264"/>
      <c r="X616" s="1264"/>
      <c r="Y616" s="1264"/>
      <c r="Z616" s="1264"/>
    </row>
    <row r="617" spans="1:26" ht="18.75" hidden="1">
      <c r="A617" s="1273"/>
      <c r="B617" s="1274"/>
      <c r="C617" s="1274"/>
      <c r="D617" s="1274"/>
      <c r="E617" s="1262"/>
      <c r="F617" s="1262"/>
      <c r="G617" s="1060"/>
      <c r="H617" s="583" t="s">
        <v>34</v>
      </c>
      <c r="I617" s="836"/>
      <c r="J617" s="836">
        <v>0</v>
      </c>
      <c r="K617" s="948"/>
      <c r="L617" s="948"/>
      <c r="M617" s="948"/>
      <c r="N617" s="948"/>
      <c r="O617" s="948"/>
      <c r="P617" s="948"/>
      <c r="Q617" s="1264"/>
      <c r="R617" s="1264"/>
      <c r="S617" s="1264"/>
      <c r="T617" s="1264"/>
      <c r="U617" s="1264"/>
      <c r="V617" s="1264"/>
      <c r="W617" s="1264"/>
      <c r="X617" s="1264"/>
      <c r="Y617" s="1264"/>
      <c r="Z617" s="1264"/>
    </row>
    <row r="618" spans="1:26" ht="18.75" hidden="1">
      <c r="A618" s="1273"/>
      <c r="B618" s="1274"/>
      <c r="C618" s="1274"/>
      <c r="D618" s="1350" t="s">
        <v>265</v>
      </c>
      <c r="E618" s="1262"/>
      <c r="F618" s="1262"/>
      <c r="G618" s="1060"/>
      <c r="H618" s="583" t="s">
        <v>46</v>
      </c>
      <c r="I618" s="836"/>
      <c r="J618" s="836">
        <v>0</v>
      </c>
      <c r="K618" s="948"/>
      <c r="L618" s="948"/>
      <c r="M618" s="948"/>
      <c r="N618" s="948"/>
      <c r="O618" s="948"/>
      <c r="P618" s="948"/>
      <c r="Q618" s="1264"/>
      <c r="R618" s="1264"/>
      <c r="S618" s="1264"/>
      <c r="T618" s="1264"/>
      <c r="U618" s="1264"/>
      <c r="V618" s="1264"/>
      <c r="W618" s="1264"/>
      <c r="X618" s="1264"/>
      <c r="Y618" s="1264"/>
      <c r="Z618" s="1264"/>
    </row>
    <row r="619" spans="1:26" ht="18.75" hidden="1">
      <c r="A619" s="1273"/>
      <c r="B619" s="1274"/>
      <c r="C619" s="1274"/>
      <c r="D619" s="1274"/>
      <c r="E619" s="1262"/>
      <c r="F619" s="1262"/>
      <c r="G619" s="1060"/>
      <c r="H619" s="583" t="s">
        <v>34</v>
      </c>
      <c r="I619" s="836"/>
      <c r="J619" s="836">
        <v>0</v>
      </c>
      <c r="K619" s="948"/>
      <c r="L619" s="948"/>
      <c r="M619" s="948"/>
      <c r="N619" s="948"/>
      <c r="O619" s="948"/>
      <c r="P619" s="948"/>
      <c r="Q619" s="1264"/>
      <c r="R619" s="1264"/>
      <c r="S619" s="1264"/>
      <c r="T619" s="1264"/>
      <c r="U619" s="1264"/>
      <c r="V619" s="1264"/>
      <c r="W619" s="1264"/>
      <c r="X619" s="1264"/>
      <c r="Y619" s="1264"/>
      <c r="Z619" s="1264"/>
    </row>
    <row r="620" spans="1:26" ht="19.5">
      <c r="A620" s="1351"/>
      <c r="B620" s="1352"/>
      <c r="C620" s="1353" t="s">
        <v>266</v>
      </c>
      <c r="D620" s="1352"/>
      <c r="E620" s="1352"/>
      <c r="F620" s="1354"/>
      <c r="G620" s="1355"/>
      <c r="H620" s="693" t="s">
        <v>46</v>
      </c>
      <c r="I620" s="1356">
        <f ca="1">IFERROR(__xludf.DUMMYFUNCTION("IMPORTRANGE(""https://docs.google.com/spreadsheets/d/1QqKyyYR6Q21VydFLVH3TRQUabQu_ym0Zz7PgGX0-kHA/edit?usp=sharing"",""แผน!HL28"")"),51)</f>
        <v>51</v>
      </c>
      <c r="J620" s="1356">
        <f t="shared" ref="J620:J621" si="260">J622+J624+J626</f>
        <v>51</v>
      </c>
      <c r="K620" s="1357">
        <f t="shared" ref="K620:K621" ca="1" si="261">IF(I620&gt;0,J620*100/I620,0)</f>
        <v>100</v>
      </c>
      <c r="L620" s="1358"/>
      <c r="M620" s="1358"/>
      <c r="N620" s="1358"/>
      <c r="O620" s="1358"/>
      <c r="P620" s="1358"/>
      <c r="Q620" s="1244"/>
      <c r="R620" s="1244"/>
      <c r="S620" s="1244"/>
      <c r="T620" s="1244"/>
      <c r="U620" s="1244"/>
      <c r="V620" s="1244"/>
      <c r="W620" s="1244"/>
      <c r="X620" s="1244"/>
      <c r="Y620" s="1244"/>
      <c r="Z620" s="1244"/>
    </row>
    <row r="621" spans="1:26" ht="19.5">
      <c r="A621" s="1351"/>
      <c r="B621" s="1352"/>
      <c r="C621" s="1352" t="s">
        <v>267</v>
      </c>
      <c r="D621" s="1352"/>
      <c r="E621" s="1352"/>
      <c r="F621" s="1354"/>
      <c r="G621" s="1355"/>
      <c r="H621" s="693" t="s">
        <v>34</v>
      </c>
      <c r="I621" s="1356">
        <f ca="1">IFERROR(__xludf.DUMMYFUNCTION("IMPORTRANGE(""https://docs.google.com/spreadsheets/d/1QqKyyYR6Q21VydFLVH3TRQUabQu_ym0Zz7PgGX0-kHA/edit?usp=sharing"",""แผน!HK28"")"),3)</f>
        <v>3</v>
      </c>
      <c r="J621" s="1356">
        <f t="shared" si="260"/>
        <v>3</v>
      </c>
      <c r="K621" s="1357">
        <f t="shared" ca="1" si="261"/>
        <v>100</v>
      </c>
      <c r="L621" s="1358"/>
      <c r="M621" s="1358"/>
      <c r="N621" s="1358"/>
      <c r="O621" s="1358"/>
      <c r="P621" s="1358"/>
      <c r="Q621" s="1244"/>
      <c r="R621" s="1244"/>
      <c r="S621" s="1244"/>
      <c r="T621" s="1244"/>
      <c r="U621" s="1244"/>
      <c r="V621" s="1244"/>
      <c r="W621" s="1244"/>
      <c r="X621" s="1244"/>
      <c r="Y621" s="1244"/>
      <c r="Z621" s="1244"/>
    </row>
    <row r="622" spans="1:26" ht="18.75">
      <c r="A622" s="1267"/>
      <c r="B622" s="1268"/>
      <c r="C622" s="1268"/>
      <c r="D622" s="1017" t="s">
        <v>268</v>
      </c>
      <c r="E622" s="961"/>
      <c r="F622" s="961"/>
      <c r="G622" s="954"/>
      <c r="H622" s="730" t="s">
        <v>46</v>
      </c>
      <c r="I622" s="830"/>
      <c r="J622" s="959">
        <v>0</v>
      </c>
      <c r="K622" s="945"/>
      <c r="L622" s="945"/>
      <c r="M622" s="945"/>
      <c r="N622" s="945"/>
      <c r="O622" s="945"/>
      <c r="P622" s="945"/>
      <c r="Q622" s="1244"/>
      <c r="R622" s="1244"/>
      <c r="S622" s="1244"/>
      <c r="T622" s="1244"/>
      <c r="U622" s="1244"/>
      <c r="V622" s="1244"/>
      <c r="W622" s="1244"/>
      <c r="X622" s="1244"/>
      <c r="Y622" s="1244"/>
      <c r="Z622" s="1244"/>
    </row>
    <row r="623" spans="1:26" ht="18.75">
      <c r="A623" s="1267"/>
      <c r="B623" s="1268"/>
      <c r="C623" s="1268"/>
      <c r="D623" s="1268"/>
      <c r="E623" s="961"/>
      <c r="F623" s="961"/>
      <c r="G623" s="954"/>
      <c r="H623" s="730" t="s">
        <v>34</v>
      </c>
      <c r="I623" s="830"/>
      <c r="J623" s="959">
        <v>0</v>
      </c>
      <c r="K623" s="945"/>
      <c r="L623" s="945"/>
      <c r="M623" s="945"/>
      <c r="N623" s="945"/>
      <c r="O623" s="945"/>
      <c r="P623" s="945"/>
      <c r="Q623" s="1244"/>
      <c r="R623" s="1244"/>
      <c r="S623" s="1244"/>
      <c r="T623" s="1244"/>
      <c r="U623" s="1244"/>
      <c r="V623" s="1244"/>
      <c r="W623" s="1244"/>
      <c r="X623" s="1244"/>
      <c r="Y623" s="1244"/>
      <c r="Z623" s="1244"/>
    </row>
    <row r="624" spans="1:26" ht="18.75">
      <c r="A624" s="1267"/>
      <c r="B624" s="1268"/>
      <c r="C624" s="1268"/>
      <c r="D624" s="1017" t="s">
        <v>264</v>
      </c>
      <c r="E624" s="961"/>
      <c r="F624" s="961"/>
      <c r="G624" s="954"/>
      <c r="H624" s="730" t="s">
        <v>46</v>
      </c>
      <c r="I624" s="830"/>
      <c r="J624" s="959">
        <v>0</v>
      </c>
      <c r="K624" s="945"/>
      <c r="L624" s="945"/>
      <c r="M624" s="945"/>
      <c r="N624" s="945"/>
      <c r="O624" s="945"/>
      <c r="P624" s="945"/>
      <c r="Q624" s="1244"/>
      <c r="R624" s="1244"/>
      <c r="S624" s="1244"/>
      <c r="T624" s="1244"/>
      <c r="U624" s="1244"/>
      <c r="V624" s="1244"/>
      <c r="W624" s="1244"/>
      <c r="X624" s="1244"/>
      <c r="Y624" s="1244"/>
      <c r="Z624" s="1244"/>
    </row>
    <row r="625" spans="1:26" ht="18.75">
      <c r="A625" s="1267"/>
      <c r="B625" s="1268"/>
      <c r="C625" s="1268"/>
      <c r="D625" s="1268"/>
      <c r="E625" s="961"/>
      <c r="F625" s="961"/>
      <c r="G625" s="954"/>
      <c r="H625" s="730" t="s">
        <v>34</v>
      </c>
      <c r="I625" s="830"/>
      <c r="J625" s="959">
        <v>0</v>
      </c>
      <c r="K625" s="945"/>
      <c r="L625" s="945"/>
      <c r="M625" s="945"/>
      <c r="N625" s="945"/>
      <c r="O625" s="945"/>
      <c r="P625" s="945"/>
      <c r="Q625" s="1244"/>
      <c r="R625" s="1244"/>
      <c r="S625" s="1244"/>
      <c r="T625" s="1244"/>
      <c r="U625" s="1244"/>
      <c r="V625" s="1244"/>
      <c r="W625" s="1244"/>
      <c r="X625" s="1244"/>
      <c r="Y625" s="1244"/>
      <c r="Z625" s="1244"/>
    </row>
    <row r="626" spans="1:26" ht="18.75">
      <c r="A626" s="1267"/>
      <c r="B626" s="1268"/>
      <c r="C626" s="1268"/>
      <c r="D626" s="1017" t="s">
        <v>269</v>
      </c>
      <c r="E626" s="961"/>
      <c r="F626" s="961"/>
      <c r="G626" s="954"/>
      <c r="H626" s="730" t="s">
        <v>46</v>
      </c>
      <c r="I626" s="830"/>
      <c r="J626" s="959">
        <v>51</v>
      </c>
      <c r="K626" s="945"/>
      <c r="L626" s="945"/>
      <c r="M626" s="945"/>
      <c r="N626" s="945"/>
      <c r="O626" s="945"/>
      <c r="P626" s="945"/>
      <c r="Q626" s="1244"/>
      <c r="R626" s="1244"/>
      <c r="S626" s="1244"/>
      <c r="T626" s="1244"/>
      <c r="U626" s="1244"/>
      <c r="V626" s="1244"/>
      <c r="W626" s="1244"/>
      <c r="X626" s="1244"/>
      <c r="Y626" s="1244"/>
      <c r="Z626" s="1244"/>
    </row>
    <row r="627" spans="1:26" ht="18.75">
      <c r="A627" s="1359"/>
      <c r="B627" s="1360"/>
      <c r="C627" s="1360"/>
      <c r="D627" s="1360"/>
      <c r="E627" s="1116"/>
      <c r="F627" s="1116"/>
      <c r="G627" s="1361"/>
      <c r="H627" s="391" t="s">
        <v>34</v>
      </c>
      <c r="I627" s="1085"/>
      <c r="J627" s="1118">
        <v>3</v>
      </c>
      <c r="K627" s="1086"/>
      <c r="L627" s="1086"/>
      <c r="M627" s="1086"/>
      <c r="N627" s="1086"/>
      <c r="O627" s="1086"/>
      <c r="P627" s="1086"/>
      <c r="Q627" s="1244"/>
      <c r="R627" s="1244"/>
      <c r="S627" s="1244"/>
      <c r="T627" s="1244"/>
      <c r="U627" s="1244"/>
      <c r="V627" s="1244"/>
      <c r="W627" s="1244"/>
      <c r="X627" s="1244"/>
      <c r="Y627" s="1244"/>
      <c r="Z627" s="1244"/>
    </row>
    <row r="628" spans="1:26" ht="19.5">
      <c r="A628" s="702">
        <v>7</v>
      </c>
      <c r="B628" s="1362" t="s">
        <v>270</v>
      </c>
      <c r="C628" s="1363"/>
      <c r="D628" s="1363"/>
      <c r="E628" s="1363"/>
      <c r="F628" s="1363"/>
      <c r="G628" s="1364"/>
      <c r="H628" s="706" t="s">
        <v>35</v>
      </c>
      <c r="I628" s="1365">
        <f t="shared" ref="I628:J628" ca="1" si="262">I651</f>
        <v>155</v>
      </c>
      <c r="J628" s="1365">
        <f t="shared" ca="1" si="262"/>
        <v>0</v>
      </c>
      <c r="K628" s="1366">
        <f ca="1">IF(I628&gt;0,J628*100/I628,0)</f>
        <v>0</v>
      </c>
      <c r="L628" s="1367"/>
      <c r="M628" s="1367"/>
      <c r="N628" s="1367"/>
      <c r="O628" s="1367"/>
      <c r="P628" s="1367"/>
      <c r="Q628" s="1244"/>
      <c r="R628" s="1244"/>
      <c r="S628" s="1244"/>
      <c r="T628" s="1244"/>
      <c r="U628" s="1244"/>
      <c r="V628" s="1244"/>
      <c r="W628" s="1244"/>
      <c r="X628" s="1244"/>
      <c r="Y628" s="1244"/>
      <c r="Z628" s="1244"/>
    </row>
    <row r="629" spans="1:26" ht="19.5">
      <c r="A629" s="1259"/>
      <c r="B629" s="1243"/>
      <c r="C629" s="1243" t="s">
        <v>16</v>
      </c>
      <c r="D629" s="1507" t="s">
        <v>17</v>
      </c>
      <c r="E629" s="1485"/>
      <c r="F629" s="1485"/>
      <c r="G629" s="963"/>
      <c r="H629" s="563" t="s">
        <v>12</v>
      </c>
      <c r="I629" s="830"/>
      <c r="J629" s="830"/>
      <c r="K629" s="831"/>
      <c r="L629" s="967">
        <f t="shared" ref="L629:N629" ca="1" si="263">L630+L631</f>
        <v>385305</v>
      </c>
      <c r="M629" s="967">
        <f t="shared" si="263"/>
        <v>0</v>
      </c>
      <c r="N629" s="967">
        <f t="shared" si="263"/>
        <v>26000</v>
      </c>
      <c r="O629" s="967">
        <f t="shared" ref="O629:O634" ca="1" si="264">IF(L629&gt;0,N629*100/L629,0)</f>
        <v>6.7479010134828252</v>
      </c>
      <c r="P629" s="967">
        <f t="shared" ref="P629:P634" si="265">IF(M629&gt;0,N629*100/M629,0)</f>
        <v>0</v>
      </c>
      <c r="Q629" s="1244"/>
      <c r="R629" s="1244"/>
      <c r="S629" s="1244"/>
      <c r="T629" s="1244"/>
      <c r="U629" s="1244"/>
      <c r="V629" s="1244"/>
      <c r="W629" s="1244"/>
      <c r="X629" s="1244"/>
      <c r="Y629" s="1244"/>
      <c r="Z629" s="1244"/>
    </row>
    <row r="630" spans="1:26" ht="18.75" hidden="1">
      <c r="A630" s="1260"/>
      <c r="B630" s="1261"/>
      <c r="C630" s="1261"/>
      <c r="D630" s="1262"/>
      <c r="E630" s="1261" t="s">
        <v>184</v>
      </c>
      <c r="F630" s="1261"/>
      <c r="G630" s="1263"/>
      <c r="H630" s="165" t="s">
        <v>12</v>
      </c>
      <c r="I630" s="836"/>
      <c r="J630" s="836"/>
      <c r="K630" s="837"/>
      <c r="L630" s="837">
        <f t="shared" ref="L630:N631" si="266">L633+L640</f>
        <v>0</v>
      </c>
      <c r="M630" s="837">
        <f t="shared" si="266"/>
        <v>0</v>
      </c>
      <c r="N630" s="837">
        <f t="shared" si="266"/>
        <v>0</v>
      </c>
      <c r="O630" s="837">
        <f t="shared" si="264"/>
        <v>0</v>
      </c>
      <c r="P630" s="837">
        <f t="shared" si="265"/>
        <v>0</v>
      </c>
      <c r="Q630" s="1264"/>
      <c r="R630" s="1264"/>
      <c r="S630" s="1264"/>
      <c r="T630" s="1264"/>
      <c r="U630" s="1264"/>
      <c r="V630" s="1264"/>
      <c r="W630" s="1264"/>
      <c r="X630" s="1264"/>
      <c r="Y630" s="1264"/>
      <c r="Z630" s="1264"/>
    </row>
    <row r="631" spans="1:26" ht="18.75" hidden="1">
      <c r="A631" s="1260"/>
      <c r="B631" s="1265"/>
      <c r="C631" s="1261"/>
      <c r="D631" s="1262"/>
      <c r="E631" s="1261" t="s">
        <v>185</v>
      </c>
      <c r="F631" s="1261"/>
      <c r="G631" s="1263"/>
      <c r="H631" s="165" t="s">
        <v>12</v>
      </c>
      <c r="I631" s="836"/>
      <c r="J631" s="836"/>
      <c r="K631" s="837"/>
      <c r="L631" s="837">
        <f t="shared" ca="1" si="266"/>
        <v>385305</v>
      </c>
      <c r="M631" s="837">
        <f t="shared" si="266"/>
        <v>0</v>
      </c>
      <c r="N631" s="837">
        <f t="shared" si="266"/>
        <v>26000</v>
      </c>
      <c r="O631" s="837">
        <f t="shared" ca="1" si="264"/>
        <v>6.7479010134828252</v>
      </c>
      <c r="P631" s="837">
        <f t="shared" si="265"/>
        <v>0</v>
      </c>
      <c r="Q631" s="1264"/>
      <c r="R631" s="1264"/>
      <c r="S631" s="1264"/>
      <c r="T631" s="1264"/>
      <c r="U631" s="1264"/>
      <c r="V631" s="1264"/>
      <c r="W631" s="1264"/>
      <c r="X631" s="1264"/>
      <c r="Y631" s="1264"/>
      <c r="Z631" s="1264"/>
    </row>
    <row r="632" spans="1:26" ht="18.75">
      <c r="A632" s="1259"/>
      <c r="B632" s="1242"/>
      <c r="C632" s="1243"/>
      <c r="D632" s="1266" t="s">
        <v>20</v>
      </c>
      <c r="E632" s="1243"/>
      <c r="F632" s="1243"/>
      <c r="G632" s="963"/>
      <c r="H632" s="778" t="s">
        <v>12</v>
      </c>
      <c r="I632" s="944"/>
      <c r="J632" s="944"/>
      <c r="K632" s="945"/>
      <c r="L632" s="831">
        <f t="shared" ref="L632:N632" ca="1" si="267">L633+L634</f>
        <v>385305</v>
      </c>
      <c r="M632" s="831">
        <f t="shared" si="267"/>
        <v>0</v>
      </c>
      <c r="N632" s="831">
        <f t="shared" si="267"/>
        <v>26000</v>
      </c>
      <c r="O632" s="831">
        <f t="shared" ca="1" si="264"/>
        <v>6.7479010134828252</v>
      </c>
      <c r="P632" s="831">
        <f t="shared" si="265"/>
        <v>0</v>
      </c>
      <c r="Q632" s="1244"/>
      <c r="R632" s="1244"/>
      <c r="S632" s="1244"/>
      <c r="T632" s="1244"/>
      <c r="U632" s="1244"/>
      <c r="V632" s="1244"/>
      <c r="W632" s="1244"/>
      <c r="X632" s="1244"/>
      <c r="Y632" s="1244"/>
      <c r="Z632" s="1244"/>
    </row>
    <row r="633" spans="1:26" ht="18.75" hidden="1">
      <c r="A633" s="1260"/>
      <c r="B633" s="1265"/>
      <c r="C633" s="1261"/>
      <c r="D633" s="1262"/>
      <c r="E633" s="1261" t="s">
        <v>184</v>
      </c>
      <c r="F633" s="1261"/>
      <c r="G633" s="1263"/>
      <c r="H633" s="165" t="s">
        <v>12</v>
      </c>
      <c r="I633" s="836"/>
      <c r="J633" s="836"/>
      <c r="K633" s="837"/>
      <c r="L633" s="837">
        <v>0</v>
      </c>
      <c r="M633" s="837">
        <v>0</v>
      </c>
      <c r="N633" s="837">
        <v>0</v>
      </c>
      <c r="O633" s="837">
        <f t="shared" si="264"/>
        <v>0</v>
      </c>
      <c r="P633" s="837">
        <f t="shared" si="265"/>
        <v>0</v>
      </c>
      <c r="Q633" s="1264"/>
      <c r="R633" s="1264"/>
      <c r="S633" s="1264"/>
      <c r="T633" s="1264"/>
      <c r="U633" s="1264"/>
      <c r="V633" s="1264"/>
      <c r="W633" s="1264"/>
      <c r="X633" s="1264"/>
      <c r="Y633" s="1264"/>
      <c r="Z633" s="1264"/>
    </row>
    <row r="634" spans="1:26" ht="18.75" hidden="1">
      <c r="A634" s="1260"/>
      <c r="B634" s="1265"/>
      <c r="C634" s="1261"/>
      <c r="D634" s="1262"/>
      <c r="E634" s="1261" t="s">
        <v>185</v>
      </c>
      <c r="F634" s="1261"/>
      <c r="G634" s="1263"/>
      <c r="H634" s="165" t="s">
        <v>12</v>
      </c>
      <c r="I634" s="836"/>
      <c r="J634" s="836"/>
      <c r="K634" s="837"/>
      <c r="L634" s="837">
        <f ca="1">IFERROR(__xludf.DUMMYFUNCTION("IMPORTRANGE(""https://docs.google.com/spreadsheets/d/1QqKyyYR6Q21VydFLVH3TRQUabQu_ym0Zz7PgGX0-kHA/edit?usp=sharing"",""แผน!HN28"")"),385305)</f>
        <v>385305</v>
      </c>
      <c r="M634" s="837">
        <v>0</v>
      </c>
      <c r="N634" s="837">
        <f>N635+N636+N637+N638</f>
        <v>26000</v>
      </c>
      <c r="O634" s="837">
        <f t="shared" ca="1" si="264"/>
        <v>6.7479010134828252</v>
      </c>
      <c r="P634" s="837">
        <f t="shared" si="265"/>
        <v>0</v>
      </c>
      <c r="Q634" s="1264"/>
      <c r="R634" s="1264"/>
      <c r="S634" s="1264"/>
      <c r="T634" s="1264"/>
      <c r="U634" s="1264"/>
      <c r="V634" s="1264"/>
      <c r="W634" s="1264"/>
      <c r="X634" s="1264"/>
      <c r="Y634" s="1264"/>
      <c r="Z634" s="1264"/>
    </row>
    <row r="635" spans="1:26" ht="18.75">
      <c r="A635" s="1241"/>
      <c r="B635" s="1242"/>
      <c r="C635" s="1243"/>
      <c r="D635" s="1243"/>
      <c r="E635" s="1243"/>
      <c r="F635" s="1243" t="s">
        <v>186</v>
      </c>
      <c r="G635" s="963"/>
      <c r="H635" s="778" t="s">
        <v>12</v>
      </c>
      <c r="I635" s="830"/>
      <c r="J635" s="830"/>
      <c r="K635" s="831"/>
      <c r="L635" s="831"/>
      <c r="M635" s="831"/>
      <c r="N635" s="1031">
        <v>0</v>
      </c>
      <c r="O635" s="831"/>
      <c r="P635" s="831"/>
      <c r="Q635" s="1244"/>
      <c r="R635" s="1244"/>
      <c r="S635" s="1244"/>
      <c r="T635" s="1244"/>
      <c r="U635" s="1244"/>
      <c r="V635" s="1244"/>
      <c r="W635" s="1244"/>
      <c r="X635" s="1244"/>
      <c r="Y635" s="1244"/>
      <c r="Z635" s="1244"/>
    </row>
    <row r="636" spans="1:26" ht="18.75">
      <c r="A636" s="1241"/>
      <c r="B636" s="1242"/>
      <c r="C636" s="1243"/>
      <c r="D636" s="1243"/>
      <c r="E636" s="1243"/>
      <c r="F636" s="1243" t="s">
        <v>187</v>
      </c>
      <c r="G636" s="963"/>
      <c r="H636" s="778" t="s">
        <v>12</v>
      </c>
      <c r="I636" s="830"/>
      <c r="J636" s="830"/>
      <c r="K636" s="831"/>
      <c r="L636" s="831"/>
      <c r="M636" s="831"/>
      <c r="N636" s="1031">
        <v>0</v>
      </c>
      <c r="O636" s="831"/>
      <c r="P636" s="831"/>
      <c r="Q636" s="1244"/>
      <c r="R636" s="1244"/>
      <c r="S636" s="1244"/>
      <c r="T636" s="1244"/>
      <c r="U636" s="1244"/>
      <c r="V636" s="1244"/>
      <c r="W636" s="1244"/>
      <c r="X636" s="1244"/>
      <c r="Y636" s="1244"/>
      <c r="Z636" s="1244"/>
    </row>
    <row r="637" spans="1:26" ht="18.75">
      <c r="A637" s="1241"/>
      <c r="B637" s="1242"/>
      <c r="C637" s="1243"/>
      <c r="D637" s="1243"/>
      <c r="E637" s="1243"/>
      <c r="F637" s="1243" t="s">
        <v>188</v>
      </c>
      <c r="G637" s="963"/>
      <c r="H637" s="778" t="s">
        <v>12</v>
      </c>
      <c r="I637" s="830"/>
      <c r="J637" s="830"/>
      <c r="K637" s="831"/>
      <c r="L637" s="831"/>
      <c r="M637" s="831"/>
      <c r="N637" s="1031">
        <v>26000</v>
      </c>
      <c r="O637" s="831"/>
      <c r="P637" s="831"/>
      <c r="Q637" s="1244"/>
      <c r="R637" s="1244"/>
      <c r="S637" s="1244"/>
      <c r="T637" s="1244"/>
      <c r="U637" s="1244"/>
      <c r="V637" s="1244"/>
      <c r="W637" s="1244"/>
      <c r="X637" s="1244"/>
      <c r="Y637" s="1244"/>
      <c r="Z637" s="1244"/>
    </row>
    <row r="638" spans="1:26" ht="18.75">
      <c r="A638" s="1241"/>
      <c r="B638" s="1242"/>
      <c r="C638" s="1243"/>
      <c r="D638" s="1243"/>
      <c r="E638" s="1243"/>
      <c r="F638" s="1243" t="s">
        <v>189</v>
      </c>
      <c r="G638" s="963"/>
      <c r="H638" s="778" t="s">
        <v>12</v>
      </c>
      <c r="I638" s="830"/>
      <c r="J638" s="830"/>
      <c r="K638" s="831"/>
      <c r="L638" s="831"/>
      <c r="M638" s="831"/>
      <c r="N638" s="1031">
        <v>0</v>
      </c>
      <c r="O638" s="831"/>
      <c r="P638" s="831"/>
      <c r="Q638" s="1244"/>
      <c r="R638" s="1244"/>
      <c r="S638" s="1244"/>
      <c r="T638" s="1244"/>
      <c r="U638" s="1244"/>
      <c r="V638" s="1244"/>
      <c r="W638" s="1244"/>
      <c r="X638" s="1244"/>
      <c r="Y638" s="1244"/>
      <c r="Z638" s="1244"/>
    </row>
    <row r="639" spans="1:26" ht="18.75">
      <c r="A639" s="1259"/>
      <c r="B639" s="1242"/>
      <c r="C639" s="1243"/>
      <c r="D639" s="1266" t="s">
        <v>21</v>
      </c>
      <c r="E639" s="1243"/>
      <c r="F639" s="1243"/>
      <c r="G639" s="963"/>
      <c r="H639" s="168" t="s">
        <v>12</v>
      </c>
      <c r="I639" s="944"/>
      <c r="J639" s="944"/>
      <c r="K639" s="945"/>
      <c r="L639" s="831">
        <f t="shared" ref="L639:N639" ca="1" si="268">L640+L641</f>
        <v>0</v>
      </c>
      <c r="M639" s="831">
        <f t="shared" si="268"/>
        <v>0</v>
      </c>
      <c r="N639" s="831">
        <f t="shared" si="268"/>
        <v>0</v>
      </c>
      <c r="O639" s="831">
        <f t="shared" ref="O639:O641" ca="1" si="269">IF(L639&gt;0,N639*100/L639,0)</f>
        <v>0</v>
      </c>
      <c r="P639" s="831">
        <f t="shared" ref="P639:P641" si="270">IF(M639&gt;0,N639*100/M639,0)</f>
        <v>0</v>
      </c>
      <c r="Q639" s="1244"/>
      <c r="R639" s="1244"/>
      <c r="S639" s="1244"/>
      <c r="T639" s="1244"/>
      <c r="U639" s="1244"/>
      <c r="V639" s="1244"/>
      <c r="W639" s="1244"/>
      <c r="X639" s="1244"/>
      <c r="Y639" s="1244"/>
      <c r="Z639" s="1244"/>
    </row>
    <row r="640" spans="1:26" ht="18.75" hidden="1">
      <c r="A640" s="1260"/>
      <c r="B640" s="1265"/>
      <c r="C640" s="1261"/>
      <c r="D640" s="1261"/>
      <c r="E640" s="1261" t="s">
        <v>18</v>
      </c>
      <c r="F640" s="1261"/>
      <c r="G640" s="1263"/>
      <c r="H640" s="165" t="s">
        <v>12</v>
      </c>
      <c r="I640" s="947"/>
      <c r="J640" s="947"/>
      <c r="K640" s="948"/>
      <c r="L640" s="837">
        <v>0</v>
      </c>
      <c r="M640" s="837">
        <v>0</v>
      </c>
      <c r="N640" s="837">
        <v>0</v>
      </c>
      <c r="O640" s="837">
        <f t="shared" si="269"/>
        <v>0</v>
      </c>
      <c r="P640" s="837">
        <f t="shared" si="270"/>
        <v>0</v>
      </c>
      <c r="Q640" s="1264"/>
      <c r="R640" s="1264"/>
      <c r="S640" s="1264"/>
      <c r="T640" s="1264"/>
      <c r="U640" s="1264"/>
      <c r="V640" s="1264"/>
      <c r="W640" s="1264"/>
      <c r="X640" s="1264"/>
      <c r="Y640" s="1264"/>
      <c r="Z640" s="1264"/>
    </row>
    <row r="641" spans="1:26" ht="18.75" hidden="1">
      <c r="A641" s="1260"/>
      <c r="B641" s="1265"/>
      <c r="C641" s="1261"/>
      <c r="D641" s="1261"/>
      <c r="E641" s="1261" t="s">
        <v>19</v>
      </c>
      <c r="F641" s="1261"/>
      <c r="G641" s="1263"/>
      <c r="H641" s="169" t="s">
        <v>12</v>
      </c>
      <c r="I641" s="947"/>
      <c r="J641" s="947"/>
      <c r="K641" s="948"/>
      <c r="L641" s="837">
        <f ca="1">IFERROR(__xludf.DUMMYFUNCTION("IMPORTRANGE(""https://docs.google.com/spreadsheets/d/1QqKyyYR6Q21VydFLVH3TRQUabQu_ym0Zz7PgGX0-kHA/edit?usp=sharing"",""แผน!HQ28"")"),0)</f>
        <v>0</v>
      </c>
      <c r="M641" s="837">
        <v>0</v>
      </c>
      <c r="N641" s="837">
        <v>0</v>
      </c>
      <c r="O641" s="837">
        <f t="shared" ca="1" si="269"/>
        <v>0</v>
      </c>
      <c r="P641" s="837">
        <f t="shared" si="270"/>
        <v>0</v>
      </c>
      <c r="Q641" s="1264"/>
      <c r="R641" s="1264"/>
      <c r="S641" s="1264"/>
      <c r="T641" s="1264"/>
      <c r="U641" s="1264"/>
      <c r="V641" s="1264"/>
      <c r="W641" s="1264"/>
      <c r="X641" s="1264"/>
      <c r="Y641" s="1264"/>
      <c r="Z641" s="1264"/>
    </row>
    <row r="642" spans="1:26" ht="19.5">
      <c r="A642" s="1267"/>
      <c r="B642" s="1268"/>
      <c r="C642" s="1243" t="s">
        <v>16</v>
      </c>
      <c r="D642" s="1320" t="s">
        <v>38</v>
      </c>
      <c r="E642" s="1271"/>
      <c r="F642" s="1271"/>
      <c r="G642" s="1272"/>
      <c r="H642" s="954"/>
      <c r="I642" s="944"/>
      <c r="J642" s="944"/>
      <c r="K642" s="945"/>
      <c r="L642" s="945"/>
      <c r="M642" s="945"/>
      <c r="N642" s="945"/>
      <c r="O642" s="945"/>
      <c r="P642" s="945"/>
      <c r="Q642" s="1244"/>
      <c r="R642" s="1244"/>
      <c r="S642" s="1244"/>
      <c r="T642" s="1244"/>
      <c r="U642" s="1244"/>
      <c r="V642" s="1244"/>
      <c r="W642" s="1244"/>
      <c r="X642" s="1244"/>
      <c r="Y642" s="1244"/>
      <c r="Z642" s="1244"/>
    </row>
    <row r="643" spans="1:26" ht="18.75">
      <c r="A643" s="1368"/>
      <c r="B643" s="1242"/>
      <c r="C643" s="1243"/>
      <c r="D643" s="961"/>
      <c r="E643" s="1017" t="s">
        <v>271</v>
      </c>
      <c r="F643" s="961"/>
      <c r="G643" s="954"/>
      <c r="H643" s="730" t="s">
        <v>272</v>
      </c>
      <c r="I643" s="830">
        <f ca="1">IFERROR(__xludf.DUMMYFUNCTION("IMPORTRANGE(""https://docs.google.com/spreadsheets/d/1QqKyyYR6Q21VydFLVH3TRQUabQu_ym0Zz7PgGX0-kHA/edit?usp=sharing"",""แผน!HR28"")"),0)</f>
        <v>0</v>
      </c>
      <c r="J643" s="959">
        <v>0</v>
      </c>
      <c r="K643" s="945">
        <f t="shared" ref="K643:K652" ca="1" si="271">IF(I643&gt;0,J643*100/I643,0)</f>
        <v>0</v>
      </c>
      <c r="L643" s="945"/>
      <c r="M643" s="945"/>
      <c r="N643" s="831"/>
      <c r="O643" s="945"/>
      <c r="P643" s="945"/>
      <c r="Q643" s="1244"/>
      <c r="R643" s="1244"/>
      <c r="S643" s="1244"/>
      <c r="T643" s="1244"/>
      <c r="U643" s="1244"/>
      <c r="V643" s="1244"/>
      <c r="W643" s="1244"/>
      <c r="X643" s="1244"/>
      <c r="Y643" s="1244"/>
      <c r="Z643" s="1244"/>
    </row>
    <row r="644" spans="1:26" ht="18.75">
      <c r="A644" s="1368"/>
      <c r="B644" s="1242"/>
      <c r="C644" s="1243"/>
      <c r="D644" s="961"/>
      <c r="E644" s="1017" t="s">
        <v>273</v>
      </c>
      <c r="F644" s="961"/>
      <c r="G644" s="954"/>
      <c r="H644" s="730" t="s">
        <v>274</v>
      </c>
      <c r="I644" s="830">
        <f ca="1">IFERROR(__xludf.DUMMYFUNCTION("IMPORTRANGE(""https://docs.google.com/spreadsheets/d/1QqKyyYR6Q21VydFLVH3TRQUabQu_ym0Zz7PgGX0-kHA/edit?usp=sharing"",""แผน!HR28"")"),0)</f>
        <v>0</v>
      </c>
      <c r="J644" s="959">
        <v>0</v>
      </c>
      <c r="K644" s="945">
        <f t="shared" ca="1" si="271"/>
        <v>0</v>
      </c>
      <c r="L644" s="945"/>
      <c r="M644" s="945"/>
      <c r="N644" s="831"/>
      <c r="O644" s="945"/>
      <c r="P644" s="945"/>
      <c r="Q644" s="1244"/>
      <c r="R644" s="1244"/>
      <c r="S644" s="1244"/>
      <c r="T644" s="1244"/>
      <c r="U644" s="1244"/>
      <c r="V644" s="1244"/>
      <c r="W644" s="1244"/>
      <c r="X644" s="1244"/>
      <c r="Y644" s="1244"/>
      <c r="Z644" s="1244"/>
    </row>
    <row r="645" spans="1:26" ht="18.75">
      <c r="A645" s="1368"/>
      <c r="B645" s="1242"/>
      <c r="C645" s="1243"/>
      <c r="D645" s="961"/>
      <c r="E645" s="1017" t="s">
        <v>275</v>
      </c>
      <c r="F645" s="961"/>
      <c r="G645" s="954"/>
      <c r="H645" s="730" t="s">
        <v>34</v>
      </c>
      <c r="I645" s="830">
        <v>0</v>
      </c>
      <c r="J645" s="830">
        <f ca="1">IFERROR(__xludf.DUMMYFUNCTION("IMPORTRANGE(""https://docs.google.com/spreadsheets/d/1XWAQStnk-4SwqDmLtmXYiTMKHgktTP8We1SCoS47DrQ/edit?usp=sharing"",""จัดที่ดิน!AS28"")"),98)</f>
        <v>98</v>
      </c>
      <c r="K645" s="945">
        <f t="shared" si="271"/>
        <v>0</v>
      </c>
      <c r="L645" s="945"/>
      <c r="M645" s="945"/>
      <c r="N645" s="831"/>
      <c r="O645" s="945"/>
      <c r="P645" s="945"/>
      <c r="Q645" s="1244"/>
      <c r="R645" s="1244"/>
      <c r="S645" s="1244"/>
      <c r="T645" s="1244"/>
      <c r="U645" s="1244"/>
      <c r="V645" s="1244"/>
      <c r="W645" s="1244"/>
      <c r="X645" s="1244"/>
      <c r="Y645" s="1244"/>
      <c r="Z645" s="1244"/>
    </row>
    <row r="646" spans="1:26" ht="18.75">
      <c r="A646" s="1368"/>
      <c r="B646" s="1242"/>
      <c r="C646" s="1243"/>
      <c r="D646" s="961"/>
      <c r="E646" s="961"/>
      <c r="F646" s="961"/>
      <c r="G646" s="954"/>
      <c r="H646" s="730" t="s">
        <v>46</v>
      </c>
      <c r="I646" s="830">
        <v>0</v>
      </c>
      <c r="J646" s="830">
        <f ca="1">IFERROR(__xludf.DUMMYFUNCTION("IMPORTRANGE(""https://docs.google.com/spreadsheets/d/1XWAQStnk-4SwqDmLtmXYiTMKHgktTP8We1SCoS47DrQ/edit?usp=sharing"",""จัดที่ดิน!AT28"")"),102.31)</f>
        <v>102.31</v>
      </c>
      <c r="K646" s="831">
        <f t="shared" si="271"/>
        <v>0</v>
      </c>
      <c r="L646" s="945"/>
      <c r="M646" s="945"/>
      <c r="N646" s="831"/>
      <c r="O646" s="945"/>
      <c r="P646" s="945"/>
      <c r="Q646" s="1244"/>
      <c r="R646" s="1244"/>
      <c r="S646" s="1244"/>
      <c r="T646" s="1244"/>
      <c r="U646" s="1244"/>
      <c r="V646" s="1244"/>
      <c r="W646" s="1244"/>
      <c r="X646" s="1244"/>
      <c r="Y646" s="1244"/>
      <c r="Z646" s="1244"/>
    </row>
    <row r="647" spans="1:26" ht="18.75">
      <c r="A647" s="1368"/>
      <c r="B647" s="1242"/>
      <c r="C647" s="1243"/>
      <c r="D647" s="961"/>
      <c r="E647" s="1017" t="s">
        <v>162</v>
      </c>
      <c r="F647" s="961"/>
      <c r="G647" s="954"/>
      <c r="H647" s="730" t="s">
        <v>35</v>
      </c>
      <c r="I647" s="830">
        <f ca="1">IFERROR(__xludf.DUMMYFUNCTION("IMPORTRANGE(""https://docs.google.com/spreadsheets/d/1QqKyyYR6Q21VydFLVH3TRQUabQu_ym0Zz7PgGX0-kHA/edit?usp=sharing"",""แผน!HS28"")"),155)</f>
        <v>155</v>
      </c>
      <c r="J647" s="830">
        <f ca="1">IFERROR(__xludf.DUMMYFUNCTION("IMPORTRANGE(""https://docs.google.com/spreadsheets/d/1XWAQStnk-4SwqDmLtmXYiTMKHgktTP8We1SCoS47DrQ/edit?usp=sharing"",""จัดที่ดิน!AU28"")"),15)</f>
        <v>15</v>
      </c>
      <c r="K647" s="945">
        <f t="shared" ca="1" si="271"/>
        <v>9.67741935483871</v>
      </c>
      <c r="L647" s="945"/>
      <c r="M647" s="945"/>
      <c r="N647" s="945"/>
      <c r="O647" s="945"/>
      <c r="P647" s="945"/>
      <c r="Q647" s="1244"/>
      <c r="R647" s="1244"/>
      <c r="S647" s="1244"/>
      <c r="T647" s="1244"/>
      <c r="U647" s="1244"/>
      <c r="V647" s="1244"/>
      <c r="W647" s="1244"/>
      <c r="X647" s="1244"/>
      <c r="Y647" s="1244"/>
      <c r="Z647" s="1244"/>
    </row>
    <row r="648" spans="1:26" ht="18.75">
      <c r="A648" s="1368"/>
      <c r="B648" s="1242"/>
      <c r="C648" s="1243"/>
      <c r="D648" s="961"/>
      <c r="E648" s="961"/>
      <c r="F648" s="961"/>
      <c r="G648" s="954"/>
      <c r="H648" s="730" t="s">
        <v>46</v>
      </c>
      <c r="I648" s="830">
        <v>0</v>
      </c>
      <c r="J648" s="830">
        <f ca="1">IFERROR(__xludf.DUMMYFUNCTION("IMPORTRANGE(""https://docs.google.com/spreadsheets/d/1XWAQStnk-4SwqDmLtmXYiTMKHgktTP8We1SCoS47DrQ/edit?usp=sharing"",""จัดที่ดิน!AV28"")"),7.45)</f>
        <v>7.45</v>
      </c>
      <c r="K648" s="831">
        <f t="shared" si="271"/>
        <v>0</v>
      </c>
      <c r="L648" s="945"/>
      <c r="M648" s="945"/>
      <c r="N648" s="945"/>
      <c r="O648" s="945"/>
      <c r="P648" s="945"/>
      <c r="Q648" s="1244"/>
      <c r="R648" s="1244"/>
      <c r="S648" s="1244"/>
      <c r="T648" s="1244"/>
      <c r="U648" s="1244"/>
      <c r="V648" s="1244"/>
      <c r="W648" s="1244"/>
      <c r="X648" s="1244"/>
      <c r="Y648" s="1244"/>
      <c r="Z648" s="1244"/>
    </row>
    <row r="649" spans="1:26" ht="18.75">
      <c r="A649" s="1368"/>
      <c r="B649" s="1242"/>
      <c r="C649" s="1243"/>
      <c r="D649" s="961"/>
      <c r="E649" s="1017" t="s">
        <v>276</v>
      </c>
      <c r="F649" s="961"/>
      <c r="G649" s="954"/>
      <c r="H649" s="730" t="s">
        <v>35</v>
      </c>
      <c r="I649" s="830">
        <f ca="1">IFERROR(__xludf.DUMMYFUNCTION("IMPORTRANGE(""https://docs.google.com/spreadsheets/d/1QqKyyYR6Q21VydFLVH3TRQUabQu_ym0Zz7PgGX0-kHA/edit?usp=sharing"",""แผน!HS28"")"),155)</f>
        <v>155</v>
      </c>
      <c r="J649" s="830">
        <f ca="1">IFERROR(__xludf.DUMMYFUNCTION("IMPORTRANGE(""https://docs.google.com/spreadsheets/d/1XWAQStnk-4SwqDmLtmXYiTMKHgktTP8We1SCoS47DrQ/edit?usp=sharing"",""จัดที่ดิน!AW28"")"),0)</f>
        <v>0</v>
      </c>
      <c r="K649" s="945">
        <f t="shared" ca="1" si="271"/>
        <v>0</v>
      </c>
      <c r="L649" s="945"/>
      <c r="M649" s="945"/>
      <c r="N649" s="945"/>
      <c r="O649" s="945"/>
      <c r="P649" s="945"/>
      <c r="Q649" s="1244"/>
      <c r="R649" s="1244"/>
      <c r="S649" s="1244"/>
      <c r="T649" s="1244"/>
      <c r="U649" s="1244"/>
      <c r="V649" s="1244"/>
      <c r="W649" s="1244"/>
      <c r="X649" s="1244"/>
      <c r="Y649" s="1244"/>
      <c r="Z649" s="1244"/>
    </row>
    <row r="650" spans="1:26" ht="18.75">
      <c r="A650" s="1368"/>
      <c r="B650" s="1242"/>
      <c r="C650" s="1243"/>
      <c r="D650" s="961"/>
      <c r="E650" s="961"/>
      <c r="F650" s="961"/>
      <c r="G650" s="954"/>
      <c r="H650" s="730" t="s">
        <v>46</v>
      </c>
      <c r="I650" s="830">
        <v>0</v>
      </c>
      <c r="J650" s="830">
        <f ca="1">IFERROR(__xludf.DUMMYFUNCTION("IMPORTRANGE(""https://docs.google.com/spreadsheets/d/1XWAQStnk-4SwqDmLtmXYiTMKHgktTP8We1SCoS47DrQ/edit?usp=sharing"",""จัดที่ดิน!AX28"")"),0)</f>
        <v>0</v>
      </c>
      <c r="K650" s="831">
        <f t="shared" si="271"/>
        <v>0</v>
      </c>
      <c r="L650" s="945"/>
      <c r="M650" s="945"/>
      <c r="N650" s="945"/>
      <c r="O650" s="945"/>
      <c r="P650" s="945"/>
      <c r="Q650" s="1244"/>
      <c r="R650" s="1244"/>
      <c r="S650" s="1244"/>
      <c r="T650" s="1244"/>
      <c r="U650" s="1244"/>
      <c r="V650" s="1244"/>
      <c r="W650" s="1244"/>
      <c r="X650" s="1244"/>
      <c r="Y650" s="1244"/>
      <c r="Z650" s="1244"/>
    </row>
    <row r="651" spans="1:26" ht="18.75">
      <c r="A651" s="1368"/>
      <c r="B651" s="1242"/>
      <c r="C651" s="1243"/>
      <c r="D651" s="961"/>
      <c r="E651" s="1017" t="s">
        <v>277</v>
      </c>
      <c r="F651" s="961"/>
      <c r="G651" s="954"/>
      <c r="H651" s="730" t="s">
        <v>35</v>
      </c>
      <c r="I651" s="830">
        <f ca="1">IFERROR(__xludf.DUMMYFUNCTION("IMPORTRANGE(""https://docs.google.com/spreadsheets/d/1QqKyyYR6Q21VydFLVH3TRQUabQu_ym0Zz7PgGX0-kHA/edit?usp=sharing"",""แผน!HS28"")"),155)</f>
        <v>155</v>
      </c>
      <c r="J651" s="830">
        <f ca="1">IFERROR(__xludf.DUMMYFUNCTION("IMPORTRANGE(""https://docs.google.com/spreadsheets/d/1XWAQStnk-4SwqDmLtmXYiTMKHgktTP8We1SCoS47DrQ/edit?usp=sharing"",""จัดที่ดิน!AY28"")"),0)</f>
        <v>0</v>
      </c>
      <c r="K651" s="945">
        <f t="shared" ca="1" si="271"/>
        <v>0</v>
      </c>
      <c r="L651" s="945"/>
      <c r="M651" s="945"/>
      <c r="N651" s="945"/>
      <c r="O651" s="945"/>
      <c r="P651" s="945"/>
      <c r="Q651" s="1244"/>
      <c r="R651" s="1244"/>
      <c r="S651" s="1244"/>
      <c r="T651" s="1244"/>
      <c r="U651" s="1244"/>
      <c r="V651" s="1244"/>
      <c r="W651" s="1244"/>
      <c r="X651" s="1244"/>
      <c r="Y651" s="1244"/>
      <c r="Z651" s="1244"/>
    </row>
    <row r="652" spans="1:26" ht="18.75">
      <c r="A652" s="1369"/>
      <c r="B652" s="1370"/>
      <c r="C652" s="1371"/>
      <c r="D652" s="1116"/>
      <c r="E652" s="1116"/>
      <c r="F652" s="1116"/>
      <c r="G652" s="1361"/>
      <c r="H652" s="468" t="s">
        <v>46</v>
      </c>
      <c r="I652" s="1085">
        <v>0</v>
      </c>
      <c r="J652" s="1085">
        <f ca="1">IFERROR(__xludf.DUMMYFUNCTION("IMPORTRANGE(""https://docs.google.com/spreadsheets/d/1XWAQStnk-4SwqDmLtmXYiTMKHgktTP8We1SCoS47DrQ/edit?usp=sharing"",""จัดที่ดิน!AZ28"")"),0)</f>
        <v>0</v>
      </c>
      <c r="K652" s="1182">
        <f t="shared" si="271"/>
        <v>0</v>
      </c>
      <c r="L652" s="1086"/>
      <c r="M652" s="1086"/>
      <c r="N652" s="1086"/>
      <c r="O652" s="1086"/>
      <c r="P652" s="1086"/>
      <c r="Q652" s="1244"/>
      <c r="R652" s="1244"/>
      <c r="S652" s="1244"/>
      <c r="T652" s="1244"/>
      <c r="U652" s="1244"/>
      <c r="V652" s="1244"/>
      <c r="W652" s="1244"/>
      <c r="X652" s="1244"/>
      <c r="Y652" s="1244"/>
      <c r="Z652" s="1244"/>
    </row>
    <row r="653" spans="1:26" ht="19.5">
      <c r="A653" s="716">
        <v>8</v>
      </c>
      <c r="B653" s="1362" t="s">
        <v>278</v>
      </c>
      <c r="C653" s="1363"/>
      <c r="D653" s="1363"/>
      <c r="E653" s="1363"/>
      <c r="F653" s="1363"/>
      <c r="G653" s="1364"/>
      <c r="H653" s="1364"/>
      <c r="I653" s="1372"/>
      <c r="J653" s="1372"/>
      <c r="K653" s="1367"/>
      <c r="L653" s="1367"/>
      <c r="M653" s="1367"/>
      <c r="N653" s="1367"/>
      <c r="O653" s="1367"/>
      <c r="P653" s="1367"/>
      <c r="Q653" s="1244"/>
      <c r="R653" s="1244"/>
      <c r="S653" s="1244"/>
      <c r="T653" s="1244"/>
      <c r="U653" s="1244"/>
      <c r="V653" s="1244"/>
      <c r="W653" s="1244"/>
      <c r="X653" s="1244"/>
      <c r="Y653" s="1244"/>
      <c r="Z653" s="1244"/>
    </row>
    <row r="654" spans="1:26" ht="19.5">
      <c r="A654" s="1315"/>
      <c r="B654" s="1314" t="s">
        <v>279</v>
      </c>
      <c r="C654" s="1315"/>
      <c r="D654" s="1315"/>
      <c r="E654" s="1315"/>
      <c r="F654" s="1315"/>
      <c r="G654" s="1316"/>
      <c r="H654" s="673" t="s">
        <v>46</v>
      </c>
      <c r="I654" s="1317">
        <f t="shared" ref="I654:J654" ca="1" si="272">I669</f>
        <v>100</v>
      </c>
      <c r="J654" s="1317">
        <f t="shared" si="272"/>
        <v>0</v>
      </c>
      <c r="K654" s="1318">
        <f ca="1">IF(I654&gt;0,J654*100/I654,0)</f>
        <v>0</v>
      </c>
      <c r="L654" s="1319"/>
      <c r="M654" s="1319"/>
      <c r="N654" s="1319"/>
      <c r="O654" s="1319"/>
      <c r="P654" s="1319"/>
      <c r="Q654" s="1244"/>
      <c r="R654" s="1244"/>
      <c r="S654" s="1244"/>
      <c r="T654" s="1244"/>
      <c r="U654" s="1244"/>
      <c r="V654" s="1244"/>
      <c r="W654" s="1244"/>
      <c r="X654" s="1244"/>
      <c r="Y654" s="1244"/>
      <c r="Z654" s="1244"/>
    </row>
    <row r="655" spans="1:26" ht="19.5">
      <c r="A655" s="1259"/>
      <c r="B655" s="1243"/>
      <c r="C655" s="1243" t="s">
        <v>16</v>
      </c>
      <c r="D655" s="1507" t="s">
        <v>17</v>
      </c>
      <c r="E655" s="1485"/>
      <c r="F655" s="1485"/>
      <c r="G655" s="963"/>
      <c r="H655" s="563" t="s">
        <v>12</v>
      </c>
      <c r="I655" s="830"/>
      <c r="J655" s="830"/>
      <c r="K655" s="831"/>
      <c r="L655" s="967">
        <f t="shared" ref="L655:N655" ca="1" si="273">L656+L657</f>
        <v>12400</v>
      </c>
      <c r="M655" s="967">
        <f t="shared" si="273"/>
        <v>0</v>
      </c>
      <c r="N655" s="967">
        <f t="shared" si="273"/>
        <v>0</v>
      </c>
      <c r="O655" s="967">
        <f t="shared" ref="O655:O660" ca="1" si="274">IF(L655&gt;0,N655*100/L655,0)</f>
        <v>0</v>
      </c>
      <c r="P655" s="967">
        <f t="shared" ref="P655:P660" si="275">IF(M655&gt;0,N655*100/M655,0)</f>
        <v>0</v>
      </c>
      <c r="Q655" s="1244"/>
      <c r="R655" s="1244"/>
      <c r="S655" s="1244"/>
      <c r="T655" s="1244"/>
      <c r="U655" s="1244"/>
      <c r="V655" s="1244"/>
      <c r="W655" s="1244"/>
      <c r="X655" s="1244"/>
      <c r="Y655" s="1244"/>
      <c r="Z655" s="1244"/>
    </row>
    <row r="656" spans="1:26" ht="18.75" hidden="1">
      <c r="A656" s="1260"/>
      <c r="B656" s="1261"/>
      <c r="C656" s="1261"/>
      <c r="D656" s="1262"/>
      <c r="E656" s="1261" t="s">
        <v>184</v>
      </c>
      <c r="F656" s="1261"/>
      <c r="G656" s="1263"/>
      <c r="H656" s="165" t="s">
        <v>12</v>
      </c>
      <c r="I656" s="836"/>
      <c r="J656" s="836"/>
      <c r="K656" s="837"/>
      <c r="L656" s="837">
        <f t="shared" ref="L656:N657" si="276">L659+L666</f>
        <v>0</v>
      </c>
      <c r="M656" s="837">
        <f t="shared" si="276"/>
        <v>0</v>
      </c>
      <c r="N656" s="837">
        <f t="shared" si="276"/>
        <v>0</v>
      </c>
      <c r="O656" s="837">
        <f t="shared" si="274"/>
        <v>0</v>
      </c>
      <c r="P656" s="837">
        <f t="shared" si="275"/>
        <v>0</v>
      </c>
      <c r="Q656" s="1264"/>
      <c r="R656" s="1264"/>
      <c r="S656" s="1264"/>
      <c r="T656" s="1264"/>
      <c r="U656" s="1264"/>
      <c r="V656" s="1264"/>
      <c r="W656" s="1264"/>
      <c r="X656" s="1264"/>
      <c r="Y656" s="1264"/>
      <c r="Z656" s="1264"/>
    </row>
    <row r="657" spans="1:26" ht="18.75" hidden="1">
      <c r="A657" s="1260"/>
      <c r="B657" s="1265"/>
      <c r="C657" s="1261"/>
      <c r="D657" s="1262"/>
      <c r="E657" s="1261" t="s">
        <v>185</v>
      </c>
      <c r="F657" s="1261"/>
      <c r="G657" s="1263"/>
      <c r="H657" s="165" t="s">
        <v>12</v>
      </c>
      <c r="I657" s="836"/>
      <c r="J657" s="836"/>
      <c r="K657" s="837"/>
      <c r="L657" s="837">
        <f t="shared" ca="1" si="276"/>
        <v>12400</v>
      </c>
      <c r="M657" s="837">
        <f t="shared" si="276"/>
        <v>0</v>
      </c>
      <c r="N657" s="837">
        <f t="shared" si="276"/>
        <v>0</v>
      </c>
      <c r="O657" s="837">
        <f t="shared" ca="1" si="274"/>
        <v>0</v>
      </c>
      <c r="P657" s="837">
        <f t="shared" si="275"/>
        <v>0</v>
      </c>
      <c r="Q657" s="1264"/>
      <c r="R657" s="1264"/>
      <c r="S657" s="1264"/>
      <c r="T657" s="1264"/>
      <c r="U657" s="1264"/>
      <c r="V657" s="1264"/>
      <c r="W657" s="1264"/>
      <c r="X657" s="1264"/>
      <c r="Y657" s="1264"/>
      <c r="Z657" s="1264"/>
    </row>
    <row r="658" spans="1:26" ht="18.75">
      <c r="A658" s="1259"/>
      <c r="B658" s="1242"/>
      <c r="C658" s="1243"/>
      <c r="D658" s="1266" t="s">
        <v>20</v>
      </c>
      <c r="E658" s="1243"/>
      <c r="F658" s="1243"/>
      <c r="G658" s="963"/>
      <c r="H658" s="778" t="s">
        <v>12</v>
      </c>
      <c r="I658" s="944"/>
      <c r="J658" s="944"/>
      <c r="K658" s="945"/>
      <c r="L658" s="831">
        <f t="shared" ref="L658:N658" ca="1" si="277">L659+L660</f>
        <v>12400</v>
      </c>
      <c r="M658" s="831">
        <f t="shared" si="277"/>
        <v>0</v>
      </c>
      <c r="N658" s="831">
        <f t="shared" si="277"/>
        <v>0</v>
      </c>
      <c r="O658" s="831">
        <f t="shared" ca="1" si="274"/>
        <v>0</v>
      </c>
      <c r="P658" s="831">
        <f t="shared" si="275"/>
        <v>0</v>
      </c>
      <c r="Q658" s="1244"/>
      <c r="R658" s="1244"/>
      <c r="S658" s="1244"/>
      <c r="T658" s="1244"/>
      <c r="U658" s="1244"/>
      <c r="V658" s="1244"/>
      <c r="W658" s="1244"/>
      <c r="X658" s="1244"/>
      <c r="Y658" s="1244"/>
      <c r="Z658" s="1244"/>
    </row>
    <row r="659" spans="1:26" ht="18.75" hidden="1">
      <c r="A659" s="1260"/>
      <c r="B659" s="1265"/>
      <c r="C659" s="1261"/>
      <c r="D659" s="1262"/>
      <c r="E659" s="1261" t="s">
        <v>184</v>
      </c>
      <c r="F659" s="1261"/>
      <c r="G659" s="1263"/>
      <c r="H659" s="165" t="s">
        <v>12</v>
      </c>
      <c r="I659" s="836"/>
      <c r="J659" s="836"/>
      <c r="K659" s="837"/>
      <c r="L659" s="837">
        <v>0</v>
      </c>
      <c r="M659" s="837">
        <v>0</v>
      </c>
      <c r="N659" s="837">
        <v>0</v>
      </c>
      <c r="O659" s="837">
        <f t="shared" si="274"/>
        <v>0</v>
      </c>
      <c r="P659" s="837">
        <f t="shared" si="275"/>
        <v>0</v>
      </c>
      <c r="Q659" s="1264"/>
      <c r="R659" s="1264"/>
      <c r="S659" s="1264"/>
      <c r="T659" s="1264"/>
      <c r="U659" s="1264"/>
      <c r="V659" s="1264"/>
      <c r="W659" s="1264"/>
      <c r="X659" s="1264"/>
      <c r="Y659" s="1264"/>
      <c r="Z659" s="1264"/>
    </row>
    <row r="660" spans="1:26" ht="18.75" hidden="1">
      <c r="A660" s="1260"/>
      <c r="B660" s="1265"/>
      <c r="C660" s="1261"/>
      <c r="D660" s="1262"/>
      <c r="E660" s="1261" t="s">
        <v>185</v>
      </c>
      <c r="F660" s="1261"/>
      <c r="G660" s="1263"/>
      <c r="H660" s="165" t="s">
        <v>12</v>
      </c>
      <c r="I660" s="836"/>
      <c r="J660" s="836"/>
      <c r="K660" s="837"/>
      <c r="L660" s="837">
        <f ca="1">IFERROR(__xludf.DUMMYFUNCTION("IMPORTRANGE(""https://docs.google.com/spreadsheets/d/1QqKyyYR6Q21VydFLVH3TRQUabQu_ym0Zz7PgGX0-kHA/edit?usp=sharing"",""แผน!HV28"")"),12400)</f>
        <v>12400</v>
      </c>
      <c r="M660" s="837">
        <v>0</v>
      </c>
      <c r="N660" s="837">
        <f>N661+N662+N663+N664</f>
        <v>0</v>
      </c>
      <c r="O660" s="837">
        <f t="shared" ca="1" si="274"/>
        <v>0</v>
      </c>
      <c r="P660" s="837">
        <f t="shared" si="275"/>
        <v>0</v>
      </c>
      <c r="Q660" s="1264"/>
      <c r="R660" s="1264"/>
      <c r="S660" s="1264"/>
      <c r="T660" s="1264"/>
      <c r="U660" s="1264"/>
      <c r="V660" s="1264"/>
      <c r="W660" s="1264"/>
      <c r="X660" s="1264"/>
      <c r="Y660" s="1264"/>
      <c r="Z660" s="1264"/>
    </row>
    <row r="661" spans="1:26" ht="18.75">
      <c r="A661" s="1241"/>
      <c r="B661" s="1242"/>
      <c r="C661" s="1243"/>
      <c r="D661" s="1243"/>
      <c r="E661" s="1243"/>
      <c r="F661" s="1243" t="s">
        <v>186</v>
      </c>
      <c r="G661" s="963"/>
      <c r="H661" s="778" t="s">
        <v>12</v>
      </c>
      <c r="I661" s="830"/>
      <c r="J661" s="830"/>
      <c r="K661" s="831"/>
      <c r="L661" s="831"/>
      <c r="M661" s="831"/>
      <c r="N661" s="1031">
        <v>0</v>
      </c>
      <c r="O661" s="831"/>
      <c r="P661" s="831"/>
      <c r="Q661" s="1244"/>
      <c r="R661" s="1244"/>
      <c r="S661" s="1244"/>
      <c r="T661" s="1244"/>
      <c r="U661" s="1244"/>
      <c r="V661" s="1244"/>
      <c r="W661" s="1244"/>
      <c r="X661" s="1244"/>
      <c r="Y661" s="1244"/>
      <c r="Z661" s="1244"/>
    </row>
    <row r="662" spans="1:26" ht="18.75">
      <c r="A662" s="1241"/>
      <c r="B662" s="1242"/>
      <c r="C662" s="1243"/>
      <c r="D662" s="1243"/>
      <c r="E662" s="1243"/>
      <c r="F662" s="1243" t="s">
        <v>187</v>
      </c>
      <c r="G662" s="963"/>
      <c r="H662" s="778" t="s">
        <v>12</v>
      </c>
      <c r="I662" s="830"/>
      <c r="J662" s="830"/>
      <c r="K662" s="831"/>
      <c r="L662" s="831"/>
      <c r="M662" s="831"/>
      <c r="N662" s="1031">
        <v>0</v>
      </c>
      <c r="O662" s="831"/>
      <c r="P662" s="831"/>
      <c r="Q662" s="1244"/>
      <c r="R662" s="1244"/>
      <c r="S662" s="1244"/>
      <c r="T662" s="1244"/>
      <c r="U662" s="1244"/>
      <c r="V662" s="1244"/>
      <c r="W662" s="1244"/>
      <c r="X662" s="1244"/>
      <c r="Y662" s="1244"/>
      <c r="Z662" s="1244"/>
    </row>
    <row r="663" spans="1:26" ht="18.75">
      <c r="A663" s="1241"/>
      <c r="B663" s="1242"/>
      <c r="C663" s="1242"/>
      <c r="D663" s="1243"/>
      <c r="E663" s="1243"/>
      <c r="F663" s="1243" t="s">
        <v>188</v>
      </c>
      <c r="G663" s="963"/>
      <c r="H663" s="778" t="s">
        <v>12</v>
      </c>
      <c r="I663" s="830"/>
      <c r="J663" s="830"/>
      <c r="K663" s="831"/>
      <c r="L663" s="831"/>
      <c r="M663" s="831"/>
      <c r="N663" s="1031">
        <v>0</v>
      </c>
      <c r="O663" s="831"/>
      <c r="P663" s="831"/>
      <c r="Q663" s="1244"/>
      <c r="R663" s="1244"/>
      <c r="S663" s="1244"/>
      <c r="T663" s="1244"/>
      <c r="U663" s="1244"/>
      <c r="V663" s="1244"/>
      <c r="W663" s="1244"/>
      <c r="X663" s="1244"/>
      <c r="Y663" s="1244"/>
      <c r="Z663" s="1244"/>
    </row>
    <row r="664" spans="1:26" ht="18.75">
      <c r="A664" s="1241"/>
      <c r="B664" s="1242"/>
      <c r="C664" s="1242"/>
      <c r="D664" s="1242"/>
      <c r="E664" s="1243"/>
      <c r="F664" s="1243" t="s">
        <v>189</v>
      </c>
      <c r="G664" s="963"/>
      <c r="H664" s="778" t="s">
        <v>12</v>
      </c>
      <c r="I664" s="830"/>
      <c r="J664" s="830"/>
      <c r="K664" s="831"/>
      <c r="L664" s="831"/>
      <c r="M664" s="831"/>
      <c r="N664" s="1031">
        <v>0</v>
      </c>
      <c r="O664" s="831"/>
      <c r="P664" s="831"/>
      <c r="Q664" s="1244"/>
      <c r="R664" s="1244"/>
      <c r="S664" s="1244"/>
      <c r="T664" s="1244"/>
      <c r="U664" s="1244"/>
      <c r="V664" s="1244"/>
      <c r="W664" s="1244"/>
      <c r="X664" s="1244"/>
      <c r="Y664" s="1244"/>
      <c r="Z664" s="1244"/>
    </row>
    <row r="665" spans="1:26" ht="18.75">
      <c r="A665" s="1259"/>
      <c r="B665" s="1242"/>
      <c r="C665" s="1242"/>
      <c r="D665" s="1266" t="s">
        <v>21</v>
      </c>
      <c r="E665" s="1243"/>
      <c r="F665" s="1243"/>
      <c r="G665" s="963"/>
      <c r="H665" s="168" t="s">
        <v>12</v>
      </c>
      <c r="I665" s="944"/>
      <c r="J665" s="944"/>
      <c r="K665" s="945"/>
      <c r="L665" s="831">
        <f t="shared" ref="L665:N665" si="278">L666+L667</f>
        <v>0</v>
      </c>
      <c r="M665" s="831">
        <f t="shared" si="278"/>
        <v>0</v>
      </c>
      <c r="N665" s="831">
        <f t="shared" si="278"/>
        <v>0</v>
      </c>
      <c r="O665" s="831">
        <f t="shared" ref="O665:O667" si="279">IF(L665&gt;0,N665*100/L665,0)</f>
        <v>0</v>
      </c>
      <c r="P665" s="831">
        <f t="shared" ref="P665:P667" si="280">IF(M665&gt;0,N665*100/M665,0)</f>
        <v>0</v>
      </c>
      <c r="Q665" s="1244"/>
      <c r="R665" s="1244"/>
      <c r="S665" s="1244"/>
      <c r="T665" s="1244"/>
      <c r="U665" s="1244"/>
      <c r="V665" s="1244"/>
      <c r="W665" s="1244"/>
      <c r="X665" s="1244"/>
      <c r="Y665" s="1244"/>
      <c r="Z665" s="1244"/>
    </row>
    <row r="666" spans="1:26" ht="18.75" hidden="1">
      <c r="A666" s="1260"/>
      <c r="B666" s="1265"/>
      <c r="C666" s="1265"/>
      <c r="D666" s="1265"/>
      <c r="E666" s="1261" t="s">
        <v>18</v>
      </c>
      <c r="F666" s="1261"/>
      <c r="G666" s="1263"/>
      <c r="H666" s="165" t="s">
        <v>12</v>
      </c>
      <c r="I666" s="947"/>
      <c r="J666" s="947"/>
      <c r="K666" s="948"/>
      <c r="L666" s="837">
        <v>0</v>
      </c>
      <c r="M666" s="837">
        <v>0</v>
      </c>
      <c r="N666" s="837">
        <v>0</v>
      </c>
      <c r="O666" s="837">
        <f t="shared" si="279"/>
        <v>0</v>
      </c>
      <c r="P666" s="837">
        <f t="shared" si="280"/>
        <v>0</v>
      </c>
      <c r="Q666" s="1264"/>
      <c r="R666" s="1264"/>
      <c r="S666" s="1264"/>
      <c r="T666" s="1264"/>
      <c r="U666" s="1264"/>
      <c r="V666" s="1264"/>
      <c r="W666" s="1264"/>
      <c r="X666" s="1264"/>
      <c r="Y666" s="1264"/>
      <c r="Z666" s="1264"/>
    </row>
    <row r="667" spans="1:26" ht="18.75" hidden="1">
      <c r="A667" s="1260"/>
      <c r="B667" s="1265"/>
      <c r="C667" s="1265"/>
      <c r="D667" s="1265"/>
      <c r="E667" s="1261" t="s">
        <v>19</v>
      </c>
      <c r="F667" s="1261"/>
      <c r="G667" s="1263"/>
      <c r="H667" s="169" t="s">
        <v>12</v>
      </c>
      <c r="I667" s="947"/>
      <c r="J667" s="947"/>
      <c r="K667" s="948"/>
      <c r="L667" s="837">
        <v>0</v>
      </c>
      <c r="M667" s="837">
        <v>0</v>
      </c>
      <c r="N667" s="837">
        <v>0</v>
      </c>
      <c r="O667" s="837">
        <f t="shared" si="279"/>
        <v>0</v>
      </c>
      <c r="P667" s="837">
        <f t="shared" si="280"/>
        <v>0</v>
      </c>
      <c r="Q667" s="1264"/>
      <c r="R667" s="1264"/>
      <c r="S667" s="1264"/>
      <c r="T667" s="1264"/>
      <c r="U667" s="1264"/>
      <c r="V667" s="1264"/>
      <c r="W667" s="1264"/>
      <c r="X667" s="1264"/>
      <c r="Y667" s="1264"/>
      <c r="Z667" s="1264"/>
    </row>
    <row r="668" spans="1:26" ht="19.5">
      <c r="A668" s="1267"/>
      <c r="B668" s="1268"/>
      <c r="C668" s="1242" t="s">
        <v>16</v>
      </c>
      <c r="D668" s="1269" t="s">
        <v>38</v>
      </c>
      <c r="E668" s="1271"/>
      <c r="F668" s="1271"/>
      <c r="G668" s="1272"/>
      <c r="H668" s="954"/>
      <c r="I668" s="944"/>
      <c r="J668" s="944"/>
      <c r="K668" s="945"/>
      <c r="L668" s="945"/>
      <c r="M668" s="945"/>
      <c r="N668" s="945"/>
      <c r="O668" s="945"/>
      <c r="P668" s="945"/>
      <c r="Q668" s="1244"/>
      <c r="R668" s="1244"/>
      <c r="S668" s="1244"/>
      <c r="T668" s="1244"/>
      <c r="U668" s="1244"/>
      <c r="V668" s="1244"/>
      <c r="W668" s="1244"/>
      <c r="X668" s="1244"/>
      <c r="Y668" s="1244"/>
      <c r="Z668" s="1244"/>
    </row>
    <row r="669" spans="1:26" ht="19.5">
      <c r="A669" s="1267"/>
      <c r="B669" s="1268"/>
      <c r="C669" s="1268"/>
      <c r="D669" s="1268" t="s">
        <v>280</v>
      </c>
      <c r="E669" s="961"/>
      <c r="F669" s="961"/>
      <c r="G669" s="954"/>
      <c r="H669" s="733" t="s">
        <v>46</v>
      </c>
      <c r="I669" s="966">
        <f ca="1">IFERROR(__xludf.DUMMYFUNCTION("IMPORTRANGE(""https://docs.google.com/spreadsheets/d/1QqKyyYR6Q21VydFLVH3TRQUabQu_ym0Zz7PgGX0-kHA/edit?usp=sharing"",""แผน!IA28"")"),100)</f>
        <v>100</v>
      </c>
      <c r="J669" s="966">
        <f>J675</f>
        <v>0</v>
      </c>
      <c r="K669" s="967">
        <f ca="1">IF(I669&gt;0,J669*100/I669,0)</f>
        <v>0</v>
      </c>
      <c r="L669" s="945"/>
      <c r="M669" s="945"/>
      <c r="N669" s="945"/>
      <c r="O669" s="945"/>
      <c r="P669" s="945"/>
      <c r="Q669" s="1244"/>
      <c r="R669" s="1244"/>
      <c r="S669" s="1244"/>
      <c r="T669" s="1244"/>
      <c r="U669" s="1244"/>
      <c r="V669" s="1244"/>
      <c r="W669" s="1244"/>
      <c r="X669" s="1244"/>
      <c r="Y669" s="1244"/>
      <c r="Z669" s="1244"/>
    </row>
    <row r="670" spans="1:26" ht="18.75">
      <c r="A670" s="1267"/>
      <c r="B670" s="1268"/>
      <c r="C670" s="1268"/>
      <c r="D670" s="1268"/>
      <c r="E670" s="961" t="s">
        <v>281</v>
      </c>
      <c r="F670" s="961"/>
      <c r="G670" s="954"/>
      <c r="H670" s="730" t="s">
        <v>66</v>
      </c>
      <c r="I670" s="830">
        <f ca="1">IFERROR(__xludf.DUMMYFUNCTION("IMPORTRANGE(""https://docs.google.com/spreadsheets/d/1QqKyyYR6Q21VydFLVH3TRQUabQu_ym0Zz7PgGX0-kHA/edit?usp=sharing"",""แผน!HZ28"")"),4)</f>
        <v>4</v>
      </c>
      <c r="J670" s="959">
        <v>4</v>
      </c>
      <c r="K670" s="831">
        <f ca="1">IF(I670&gt;0,(J670*100)/I670,0)</f>
        <v>100</v>
      </c>
      <c r="L670" s="945"/>
      <c r="M670" s="945"/>
      <c r="N670" s="945"/>
      <c r="O670" s="945"/>
      <c r="P670" s="945"/>
      <c r="Q670" s="1244"/>
      <c r="R670" s="1244"/>
      <c r="S670" s="1244"/>
      <c r="T670" s="1244"/>
      <c r="U670" s="1244"/>
      <c r="V670" s="1244"/>
      <c r="W670" s="1244"/>
      <c r="X670" s="1244"/>
      <c r="Y670" s="1244"/>
      <c r="Z670" s="1244"/>
    </row>
    <row r="671" spans="1:26" ht="18.75">
      <c r="A671" s="1267"/>
      <c r="B671" s="1268"/>
      <c r="C671" s="1268"/>
      <c r="D671" s="1268"/>
      <c r="E671" s="961" t="s">
        <v>282</v>
      </c>
      <c r="F671" s="961"/>
      <c r="G671" s="954"/>
      <c r="H671" s="730" t="s">
        <v>66</v>
      </c>
      <c r="I671" s="830">
        <f ca="1">IFERROR(__xludf.DUMMYFUNCTION("IMPORTRANGE(""https://docs.google.com/spreadsheets/d/1QqKyyYR6Q21VydFLVH3TRQUabQu_ym0Zz7PgGX0-kHA/edit?usp=sharing"",""แผน!HZ28"")"),4)</f>
        <v>4</v>
      </c>
      <c r="J671" s="959">
        <v>7</v>
      </c>
      <c r="K671" s="831">
        <f ca="1">IF(I$671&gt;0,J671*100/I$671,0)</f>
        <v>175</v>
      </c>
      <c r="L671" s="945"/>
      <c r="M671" s="945"/>
      <c r="N671" s="945"/>
      <c r="O671" s="945"/>
      <c r="P671" s="945"/>
      <c r="Q671" s="1244"/>
      <c r="R671" s="1244"/>
      <c r="S671" s="1244"/>
      <c r="T671" s="1244"/>
      <c r="U671" s="1244"/>
      <c r="V671" s="1244"/>
      <c r="W671" s="1244"/>
      <c r="X671" s="1244"/>
      <c r="Y671" s="1244"/>
      <c r="Z671" s="1244"/>
    </row>
    <row r="672" spans="1:26" ht="18.75">
      <c r="A672" s="1267"/>
      <c r="B672" s="1268"/>
      <c r="C672" s="1268"/>
      <c r="D672" s="1268"/>
      <c r="E672" s="961" t="s">
        <v>283</v>
      </c>
      <c r="F672" s="961"/>
      <c r="G672" s="954"/>
      <c r="H672" s="730" t="s">
        <v>46</v>
      </c>
      <c r="I672" s="830"/>
      <c r="J672" s="959">
        <v>0</v>
      </c>
      <c r="K672" s="831">
        <f t="shared" ref="K672:K675" ca="1" si="281">IF(I$669&gt;0,J672*100/I$669,0)</f>
        <v>0</v>
      </c>
      <c r="L672" s="945"/>
      <c r="M672" s="945"/>
      <c r="N672" s="945"/>
      <c r="O672" s="945"/>
      <c r="P672" s="945"/>
      <c r="Q672" s="1244"/>
      <c r="R672" s="1244"/>
      <c r="S672" s="1244"/>
      <c r="T672" s="1244"/>
      <c r="U672" s="1244"/>
      <c r="V672" s="1244"/>
      <c r="W672" s="1244"/>
      <c r="X672" s="1244"/>
      <c r="Y672" s="1244"/>
      <c r="Z672" s="1244"/>
    </row>
    <row r="673" spans="1:26" ht="18.75">
      <c r="A673" s="1267"/>
      <c r="B673" s="1268"/>
      <c r="C673" s="1268"/>
      <c r="D673" s="1268"/>
      <c r="E673" s="961" t="s">
        <v>284</v>
      </c>
      <c r="F673" s="961"/>
      <c r="G673" s="954"/>
      <c r="H673" s="730" t="s">
        <v>46</v>
      </c>
      <c r="I673" s="830"/>
      <c r="J673" s="959">
        <v>0</v>
      </c>
      <c r="K673" s="831">
        <f t="shared" ca="1" si="281"/>
        <v>0</v>
      </c>
      <c r="L673" s="945"/>
      <c r="M673" s="945"/>
      <c r="N673" s="945"/>
      <c r="O673" s="945"/>
      <c r="P673" s="945"/>
      <c r="Q673" s="1244"/>
      <c r="R673" s="1244"/>
      <c r="S673" s="1244"/>
      <c r="T673" s="1244"/>
      <c r="U673" s="1244"/>
      <c r="V673" s="1244"/>
      <c r="W673" s="1244"/>
      <c r="X673" s="1244"/>
      <c r="Y673" s="1244"/>
      <c r="Z673" s="1244"/>
    </row>
    <row r="674" spans="1:26" ht="18.75">
      <c r="A674" s="1267"/>
      <c r="B674" s="1268"/>
      <c r="C674" s="1268"/>
      <c r="D674" s="1268"/>
      <c r="E674" s="961" t="s">
        <v>285</v>
      </c>
      <c r="F674" s="961"/>
      <c r="G674" s="954"/>
      <c r="H674" s="730" t="s">
        <v>46</v>
      </c>
      <c r="I674" s="830"/>
      <c r="J674" s="959">
        <v>0</v>
      </c>
      <c r="K674" s="831">
        <f t="shared" ca="1" si="281"/>
        <v>0</v>
      </c>
      <c r="L674" s="945"/>
      <c r="M674" s="945"/>
      <c r="N674" s="945"/>
      <c r="O674" s="945"/>
      <c r="P674" s="945"/>
      <c r="Q674" s="1244"/>
      <c r="R674" s="1244"/>
      <c r="S674" s="1244"/>
      <c r="T674" s="1244"/>
      <c r="U674" s="1244"/>
      <c r="V674" s="1244"/>
      <c r="W674" s="1244"/>
      <c r="X674" s="1244"/>
      <c r="Y674" s="1244"/>
      <c r="Z674" s="1244"/>
    </row>
    <row r="675" spans="1:26" ht="19.5">
      <c r="A675" s="1267"/>
      <c r="B675" s="1268"/>
      <c r="C675" s="1268"/>
      <c r="D675" s="1268"/>
      <c r="E675" s="961" t="s">
        <v>286</v>
      </c>
      <c r="F675" s="961"/>
      <c r="G675" s="954"/>
      <c r="H675" s="730" t="s">
        <v>46</v>
      </c>
      <c r="I675" s="830"/>
      <c r="J675" s="966">
        <f>J676+J677</f>
        <v>0</v>
      </c>
      <c r="K675" s="967">
        <f t="shared" ca="1" si="281"/>
        <v>0</v>
      </c>
      <c r="L675" s="945"/>
      <c r="M675" s="945"/>
      <c r="N675" s="945"/>
      <c r="O675" s="945"/>
      <c r="P675" s="945"/>
      <c r="Q675" s="1244"/>
      <c r="R675" s="1244"/>
      <c r="S675" s="1244"/>
      <c r="T675" s="1244"/>
      <c r="U675" s="1244"/>
      <c r="V675" s="1244"/>
      <c r="W675" s="1244"/>
      <c r="X675" s="1244"/>
      <c r="Y675" s="1244"/>
      <c r="Z675" s="1244"/>
    </row>
    <row r="676" spans="1:26" ht="18.75">
      <c r="A676" s="1267"/>
      <c r="B676" s="1268"/>
      <c r="C676" s="1268"/>
      <c r="D676" s="1268"/>
      <c r="E676" s="961"/>
      <c r="F676" s="961" t="s">
        <v>287</v>
      </c>
      <c r="G676" s="954"/>
      <c r="H676" s="730" t="s">
        <v>46</v>
      </c>
      <c r="I676" s="830"/>
      <c r="J676" s="959">
        <v>0</v>
      </c>
      <c r="K676" s="831"/>
      <c r="L676" s="945"/>
      <c r="M676" s="945"/>
      <c r="N676" s="945"/>
      <c r="O676" s="945"/>
      <c r="P676" s="945"/>
      <c r="Q676" s="1244"/>
      <c r="R676" s="1244"/>
      <c r="S676" s="1244"/>
      <c r="T676" s="1244"/>
      <c r="U676" s="1244"/>
      <c r="V676" s="1244"/>
      <c r="W676" s="1244"/>
      <c r="X676" s="1244"/>
      <c r="Y676" s="1244"/>
      <c r="Z676" s="1244"/>
    </row>
    <row r="677" spans="1:26" ht="18.75">
      <c r="A677" s="1267"/>
      <c r="B677" s="1268"/>
      <c r="C677" s="1268"/>
      <c r="D677" s="1268"/>
      <c r="E677" s="961"/>
      <c r="F677" s="961" t="s">
        <v>288</v>
      </c>
      <c r="G677" s="954"/>
      <c r="H677" s="730" t="s">
        <v>46</v>
      </c>
      <c r="I677" s="830"/>
      <c r="J677" s="959">
        <v>0</v>
      </c>
      <c r="K677" s="831"/>
      <c r="L677" s="945"/>
      <c r="M677" s="945"/>
      <c r="N677" s="945"/>
      <c r="O677" s="945"/>
      <c r="P677" s="945"/>
      <c r="Q677" s="1244"/>
      <c r="R677" s="1244"/>
      <c r="S677" s="1244"/>
      <c r="T677" s="1244"/>
      <c r="U677" s="1244"/>
      <c r="V677" s="1244"/>
      <c r="W677" s="1244"/>
      <c r="X677" s="1244"/>
      <c r="Y677" s="1244"/>
      <c r="Z677" s="1244"/>
    </row>
    <row r="678" spans="1:26" ht="19.5">
      <c r="A678" s="1267"/>
      <c r="B678" s="1268"/>
      <c r="C678" s="1268"/>
      <c r="D678" s="1268" t="s">
        <v>289</v>
      </c>
      <c r="E678" s="961"/>
      <c r="F678" s="961"/>
      <c r="G678" s="954"/>
      <c r="H678" s="730" t="s">
        <v>46</v>
      </c>
      <c r="I678" s="966">
        <f ca="1">IFERROR(__xludf.DUMMYFUNCTION("IMPORTRANGE(""https://docs.google.com/spreadsheets/d/1QqKyyYR6Q21VydFLVH3TRQUabQu_ym0Zz7PgGX0-kHA/edit?usp=sharing"",""แผน!IB28"")"),0)</f>
        <v>0</v>
      </c>
      <c r="J678" s="966">
        <f>J679</f>
        <v>0</v>
      </c>
      <c r="K678" s="967">
        <f ca="1">IF(I678&gt;0,J678*100/I678,0)</f>
        <v>0</v>
      </c>
      <c r="L678" s="945"/>
      <c r="M678" s="945"/>
      <c r="N678" s="945"/>
      <c r="O678" s="945"/>
      <c r="P678" s="945"/>
      <c r="Q678" s="1244"/>
      <c r="R678" s="1244"/>
      <c r="S678" s="1244"/>
      <c r="T678" s="1244"/>
      <c r="U678" s="1244"/>
      <c r="V678" s="1244"/>
      <c r="W678" s="1244"/>
      <c r="X678" s="1244"/>
      <c r="Y678" s="1244"/>
      <c r="Z678" s="1244"/>
    </row>
    <row r="679" spans="1:26" ht="18.75">
      <c r="A679" s="1267"/>
      <c r="B679" s="1268"/>
      <c r="C679" s="1268"/>
      <c r="D679" s="1268"/>
      <c r="E679" s="961" t="s">
        <v>290</v>
      </c>
      <c r="F679" s="961"/>
      <c r="G679" s="954"/>
      <c r="H679" s="730" t="s">
        <v>46</v>
      </c>
      <c r="I679" s="830"/>
      <c r="J679" s="830">
        <f>J680+J681</f>
        <v>0</v>
      </c>
      <c r="K679" s="831"/>
      <c r="L679" s="945"/>
      <c r="M679" s="945"/>
      <c r="N679" s="945"/>
      <c r="O679" s="945"/>
      <c r="P679" s="945"/>
      <c r="Q679" s="1244"/>
      <c r="R679" s="1244"/>
      <c r="S679" s="1244"/>
      <c r="T679" s="1244"/>
      <c r="U679" s="1244"/>
      <c r="V679" s="1244"/>
      <c r="W679" s="1244"/>
      <c r="X679" s="1244"/>
      <c r="Y679" s="1244"/>
      <c r="Z679" s="1244"/>
    </row>
    <row r="680" spans="1:26" ht="18.75">
      <c r="A680" s="1267"/>
      <c r="B680" s="1268"/>
      <c r="C680" s="1268"/>
      <c r="D680" s="1268"/>
      <c r="E680" s="961"/>
      <c r="F680" s="961" t="s">
        <v>287</v>
      </c>
      <c r="G680" s="954"/>
      <c r="H680" s="730" t="s">
        <v>46</v>
      </c>
      <c r="I680" s="830"/>
      <c r="J680" s="959">
        <v>0</v>
      </c>
      <c r="K680" s="831"/>
      <c r="L680" s="945"/>
      <c r="M680" s="945"/>
      <c r="N680" s="945"/>
      <c r="O680" s="945"/>
      <c r="P680" s="945"/>
      <c r="Q680" s="1244"/>
      <c r="R680" s="1244"/>
      <c r="S680" s="1244"/>
      <c r="T680" s="1244"/>
      <c r="U680" s="1244"/>
      <c r="V680" s="1244"/>
      <c r="W680" s="1244"/>
      <c r="X680" s="1244"/>
      <c r="Y680" s="1244"/>
      <c r="Z680" s="1244"/>
    </row>
    <row r="681" spans="1:26" ht="18.75">
      <c r="A681" s="1267"/>
      <c r="B681" s="1268"/>
      <c r="C681" s="1268"/>
      <c r="D681" s="1268"/>
      <c r="E681" s="961"/>
      <c r="F681" s="961" t="s">
        <v>288</v>
      </c>
      <c r="G681" s="954"/>
      <c r="H681" s="730" t="s">
        <v>46</v>
      </c>
      <c r="I681" s="830"/>
      <c r="J681" s="959">
        <v>0</v>
      </c>
      <c r="K681" s="831"/>
      <c r="L681" s="945"/>
      <c r="M681" s="945"/>
      <c r="N681" s="945"/>
      <c r="O681" s="945"/>
      <c r="P681" s="945"/>
      <c r="Q681" s="1244"/>
      <c r="R681" s="1244"/>
      <c r="S681" s="1244"/>
      <c r="T681" s="1244"/>
      <c r="U681" s="1244"/>
      <c r="V681" s="1244"/>
      <c r="W681" s="1244"/>
      <c r="X681" s="1244"/>
      <c r="Y681" s="1244"/>
      <c r="Z681" s="1244"/>
    </row>
    <row r="682" spans="1:26" ht="18.75">
      <c r="A682" s="1267"/>
      <c r="B682" s="1268"/>
      <c r="C682" s="1268"/>
      <c r="D682" s="1268"/>
      <c r="E682" s="961" t="s">
        <v>291</v>
      </c>
      <c r="F682" s="961"/>
      <c r="G682" s="954"/>
      <c r="H682" s="730" t="s">
        <v>46</v>
      </c>
      <c r="I682" s="830"/>
      <c r="J682" s="959">
        <v>0</v>
      </c>
      <c r="K682" s="831"/>
      <c r="L682" s="945"/>
      <c r="M682" s="945"/>
      <c r="N682" s="945"/>
      <c r="O682" s="945"/>
      <c r="P682" s="945"/>
      <c r="Q682" s="1244"/>
      <c r="R682" s="1244"/>
      <c r="S682" s="1244"/>
      <c r="T682" s="1244"/>
      <c r="U682" s="1244"/>
      <c r="V682" s="1244"/>
      <c r="W682" s="1244"/>
      <c r="X682" s="1244"/>
      <c r="Y682" s="1244"/>
      <c r="Z682" s="1244"/>
    </row>
    <row r="683" spans="1:26" ht="18.75">
      <c r="A683" s="1267"/>
      <c r="B683" s="1268"/>
      <c r="C683" s="1268"/>
      <c r="D683" s="1268"/>
      <c r="E683" s="961"/>
      <c r="F683" s="961" t="s">
        <v>292</v>
      </c>
      <c r="G683" s="954"/>
      <c r="H683" s="730" t="s">
        <v>46</v>
      </c>
      <c r="I683" s="830"/>
      <c r="J683" s="959">
        <v>0</v>
      </c>
      <c r="K683" s="831"/>
      <c r="L683" s="945"/>
      <c r="M683" s="945"/>
      <c r="N683" s="945"/>
      <c r="O683" s="945"/>
      <c r="P683" s="945"/>
      <c r="Q683" s="1244"/>
      <c r="R683" s="1244"/>
      <c r="S683" s="1244"/>
      <c r="T683" s="1244"/>
      <c r="U683" s="1244"/>
      <c r="V683" s="1244"/>
      <c r="W683" s="1244"/>
      <c r="X683" s="1244"/>
      <c r="Y683" s="1244"/>
      <c r="Z683" s="1244"/>
    </row>
    <row r="684" spans="1:26" ht="19.5">
      <c r="A684" s="1373"/>
      <c r="B684" s="1374" t="s">
        <v>293</v>
      </c>
      <c r="C684" s="1373"/>
      <c r="D684" s="1373"/>
      <c r="E684" s="1373"/>
      <c r="F684" s="1373"/>
      <c r="G684" s="1375"/>
      <c r="H684" s="1375"/>
      <c r="I684" s="1376"/>
      <c r="J684" s="1376"/>
      <c r="K684" s="1377"/>
      <c r="L684" s="1377"/>
      <c r="M684" s="1377"/>
      <c r="N684" s="1377"/>
      <c r="O684" s="1377"/>
      <c r="P684" s="1377"/>
      <c r="Q684" s="1244"/>
      <c r="R684" s="1244"/>
      <c r="S684" s="1244"/>
      <c r="T684" s="1244"/>
      <c r="U684" s="1244"/>
      <c r="V684" s="1244"/>
      <c r="W684" s="1244"/>
      <c r="X684" s="1244"/>
      <c r="Y684" s="1244"/>
      <c r="Z684" s="1244"/>
    </row>
    <row r="685" spans="1:26" ht="19.5">
      <c r="A685" s="1259"/>
      <c r="B685" s="1243"/>
      <c r="C685" s="1243" t="s">
        <v>16</v>
      </c>
      <c r="D685" s="1507" t="s">
        <v>17</v>
      </c>
      <c r="E685" s="1485"/>
      <c r="F685" s="1485"/>
      <c r="G685" s="963"/>
      <c r="H685" s="563" t="s">
        <v>12</v>
      </c>
      <c r="I685" s="830"/>
      <c r="J685" s="830"/>
      <c r="K685" s="831"/>
      <c r="L685" s="967">
        <f t="shared" ref="L685:N685" ca="1" si="282">L686+L687</f>
        <v>3060</v>
      </c>
      <c r="M685" s="967">
        <f t="shared" si="282"/>
        <v>0</v>
      </c>
      <c r="N685" s="967">
        <f t="shared" si="282"/>
        <v>0</v>
      </c>
      <c r="O685" s="967">
        <f t="shared" ref="O685:O688" ca="1" si="283">IF(L685&gt;0,N685*100/L685,0)</f>
        <v>0</v>
      </c>
      <c r="P685" s="967">
        <f t="shared" ref="P685:P688" si="284">IF(M685&gt;0,N685*100/M685,0)</f>
        <v>0</v>
      </c>
      <c r="Q685" s="1244"/>
      <c r="R685" s="1244"/>
      <c r="S685" s="1244"/>
      <c r="T685" s="1244"/>
      <c r="U685" s="1244"/>
      <c r="V685" s="1244"/>
      <c r="W685" s="1244"/>
      <c r="X685" s="1244"/>
      <c r="Y685" s="1244"/>
      <c r="Z685" s="1244"/>
    </row>
    <row r="686" spans="1:26" ht="18.75" hidden="1">
      <c r="A686" s="1260"/>
      <c r="B686" s="1261"/>
      <c r="C686" s="1261"/>
      <c r="D686" s="1262"/>
      <c r="E686" s="1261" t="s">
        <v>184</v>
      </c>
      <c r="F686" s="1261"/>
      <c r="G686" s="1263"/>
      <c r="H686" s="165" t="s">
        <v>12</v>
      </c>
      <c r="I686" s="836"/>
      <c r="J686" s="836"/>
      <c r="K686" s="837"/>
      <c r="L686" s="837">
        <f t="shared" ref="L686:N687" si="285">L689+L696</f>
        <v>0</v>
      </c>
      <c r="M686" s="837">
        <f t="shared" si="285"/>
        <v>0</v>
      </c>
      <c r="N686" s="837">
        <f t="shared" si="285"/>
        <v>0</v>
      </c>
      <c r="O686" s="837">
        <f t="shared" si="283"/>
        <v>0</v>
      </c>
      <c r="P686" s="837">
        <f t="shared" si="284"/>
        <v>0</v>
      </c>
      <c r="Q686" s="1264"/>
      <c r="R686" s="1264"/>
      <c r="S686" s="1264"/>
      <c r="T686" s="1264"/>
      <c r="U686" s="1264"/>
      <c r="V686" s="1264"/>
      <c r="W686" s="1264"/>
      <c r="X686" s="1264"/>
      <c r="Y686" s="1264"/>
      <c r="Z686" s="1264"/>
    </row>
    <row r="687" spans="1:26" ht="18.75" hidden="1">
      <c r="A687" s="1260"/>
      <c r="B687" s="1265"/>
      <c r="C687" s="1261"/>
      <c r="D687" s="1262"/>
      <c r="E687" s="1261" t="s">
        <v>185</v>
      </c>
      <c r="F687" s="1261"/>
      <c r="G687" s="1263"/>
      <c r="H687" s="165" t="s">
        <v>12</v>
      </c>
      <c r="I687" s="836"/>
      <c r="J687" s="836"/>
      <c r="K687" s="837"/>
      <c r="L687" s="837">
        <f t="shared" ca="1" si="285"/>
        <v>3060</v>
      </c>
      <c r="M687" s="837">
        <f t="shared" si="285"/>
        <v>0</v>
      </c>
      <c r="N687" s="837">
        <f t="shared" si="285"/>
        <v>0</v>
      </c>
      <c r="O687" s="837">
        <f t="shared" ca="1" si="283"/>
        <v>0</v>
      </c>
      <c r="P687" s="837">
        <f t="shared" si="284"/>
        <v>0</v>
      </c>
      <c r="Q687" s="1264"/>
      <c r="R687" s="1264"/>
      <c r="S687" s="1264"/>
      <c r="T687" s="1264"/>
      <c r="U687" s="1264"/>
      <c r="V687" s="1264"/>
      <c r="W687" s="1264"/>
      <c r="X687" s="1264"/>
      <c r="Y687" s="1264"/>
      <c r="Z687" s="1264"/>
    </row>
    <row r="688" spans="1:26" ht="18.75">
      <c r="A688" s="1259"/>
      <c r="B688" s="1242"/>
      <c r="C688" s="1243"/>
      <c r="D688" s="1266" t="s">
        <v>20</v>
      </c>
      <c r="E688" s="1243"/>
      <c r="F688" s="1243"/>
      <c r="G688" s="963"/>
      <c r="H688" s="778" t="s">
        <v>12</v>
      </c>
      <c r="I688" s="944"/>
      <c r="J688" s="944"/>
      <c r="K688" s="945"/>
      <c r="L688" s="831">
        <f t="shared" ref="L688:N688" ca="1" si="286">L689+L690</f>
        <v>3060</v>
      </c>
      <c r="M688" s="831">
        <f t="shared" si="286"/>
        <v>0</v>
      </c>
      <c r="N688" s="831">
        <f t="shared" si="286"/>
        <v>0</v>
      </c>
      <c r="O688" s="831">
        <f t="shared" ca="1" si="283"/>
        <v>0</v>
      </c>
      <c r="P688" s="831">
        <f t="shared" si="284"/>
        <v>0</v>
      </c>
      <c r="Q688" s="1244"/>
      <c r="R688" s="1244"/>
      <c r="S688" s="1244"/>
      <c r="T688" s="1244"/>
      <c r="U688" s="1244"/>
      <c r="V688" s="1244"/>
      <c r="W688" s="1244"/>
      <c r="X688" s="1244"/>
      <c r="Y688" s="1244"/>
      <c r="Z688" s="1244"/>
    </row>
    <row r="689" spans="1:26" ht="18.75" hidden="1">
      <c r="A689" s="1260"/>
      <c r="B689" s="1265"/>
      <c r="C689" s="1261"/>
      <c r="D689" s="1262"/>
      <c r="E689" s="1261" t="s">
        <v>184</v>
      </c>
      <c r="F689" s="1261"/>
      <c r="G689" s="1263"/>
      <c r="H689" s="165" t="s">
        <v>12</v>
      </c>
      <c r="I689" s="836"/>
      <c r="J689" s="836"/>
      <c r="K689" s="837"/>
      <c r="L689" s="837">
        <v>0</v>
      </c>
      <c r="M689" s="837">
        <v>0</v>
      </c>
      <c r="N689" s="837">
        <v>0</v>
      </c>
      <c r="O689" s="837"/>
      <c r="P689" s="837"/>
      <c r="Q689" s="1264"/>
      <c r="R689" s="1264"/>
      <c r="S689" s="1264"/>
      <c r="T689" s="1264"/>
      <c r="U689" s="1264"/>
      <c r="V689" s="1264"/>
      <c r="W689" s="1264"/>
      <c r="X689" s="1264"/>
      <c r="Y689" s="1264"/>
      <c r="Z689" s="1264"/>
    </row>
    <row r="690" spans="1:26" ht="18.75" hidden="1">
      <c r="A690" s="1260"/>
      <c r="B690" s="1265"/>
      <c r="C690" s="1261"/>
      <c r="D690" s="1262"/>
      <c r="E690" s="1261" t="s">
        <v>185</v>
      </c>
      <c r="F690" s="1261"/>
      <c r="G690" s="1263"/>
      <c r="H690" s="165" t="s">
        <v>12</v>
      </c>
      <c r="I690" s="836"/>
      <c r="J690" s="836"/>
      <c r="K690" s="837"/>
      <c r="L690" s="837">
        <f ca="1">IFERROR(__xludf.DUMMYFUNCTION("IMPORTRANGE(""https://docs.google.com/spreadsheets/d/1QqKyyYR6Q21VydFLVH3TRQUabQu_ym0Zz7PgGX0-kHA/edit?usp=sharing"",""แผน!HW28"")"),3060)</f>
        <v>3060</v>
      </c>
      <c r="M690" s="837">
        <v>0</v>
      </c>
      <c r="N690" s="837">
        <f>N691+N692+N693+N694</f>
        <v>0</v>
      </c>
      <c r="O690" s="837">
        <f ca="1">IF(L690&gt;0,N690*100/L690,0)</f>
        <v>0</v>
      </c>
      <c r="P690" s="837">
        <f>IF(M690&gt;0,N690*100/M690,0)</f>
        <v>0</v>
      </c>
      <c r="Q690" s="1264"/>
      <c r="R690" s="1264"/>
      <c r="S690" s="1264"/>
      <c r="T690" s="1264"/>
      <c r="U690" s="1264"/>
      <c r="V690" s="1264"/>
      <c r="W690" s="1264"/>
      <c r="X690" s="1264"/>
      <c r="Y690" s="1264"/>
      <c r="Z690" s="1264"/>
    </row>
    <row r="691" spans="1:26" ht="18.75">
      <c r="A691" s="1241"/>
      <c r="B691" s="1242"/>
      <c r="C691" s="1243"/>
      <c r="D691" s="1243"/>
      <c r="E691" s="1243"/>
      <c r="F691" s="1243" t="s">
        <v>186</v>
      </c>
      <c r="G691" s="963"/>
      <c r="H691" s="778" t="s">
        <v>12</v>
      </c>
      <c r="I691" s="830"/>
      <c r="J691" s="830"/>
      <c r="K691" s="831"/>
      <c r="L691" s="831"/>
      <c r="M691" s="831"/>
      <c r="N691" s="1031">
        <v>0</v>
      </c>
      <c r="O691" s="831"/>
      <c r="P691" s="831"/>
      <c r="Q691" s="1244"/>
      <c r="R691" s="1244"/>
      <c r="S691" s="1244"/>
      <c r="T691" s="1244"/>
      <c r="U691" s="1244"/>
      <c r="V691" s="1244"/>
      <c r="W691" s="1244"/>
      <c r="X691" s="1244"/>
      <c r="Y691" s="1244"/>
      <c r="Z691" s="1244"/>
    </row>
    <row r="692" spans="1:26" ht="18.75">
      <c r="A692" s="1241"/>
      <c r="B692" s="1242"/>
      <c r="C692" s="1243"/>
      <c r="D692" s="1243"/>
      <c r="E692" s="1243"/>
      <c r="F692" s="1243" t="s">
        <v>187</v>
      </c>
      <c r="G692" s="963"/>
      <c r="H692" s="778" t="s">
        <v>12</v>
      </c>
      <c r="I692" s="830"/>
      <c r="J692" s="830"/>
      <c r="K692" s="831"/>
      <c r="L692" s="831"/>
      <c r="M692" s="831"/>
      <c r="N692" s="1031">
        <v>0</v>
      </c>
      <c r="O692" s="831"/>
      <c r="P692" s="831"/>
      <c r="Q692" s="1244"/>
      <c r="R692" s="1244"/>
      <c r="S692" s="1244"/>
      <c r="T692" s="1244"/>
      <c r="U692" s="1244"/>
      <c r="V692" s="1244"/>
      <c r="W692" s="1244"/>
      <c r="X692" s="1244"/>
      <c r="Y692" s="1244"/>
      <c r="Z692" s="1244"/>
    </row>
    <row r="693" spans="1:26" ht="18.75">
      <c r="A693" s="1241"/>
      <c r="B693" s="1242"/>
      <c r="C693" s="1243"/>
      <c r="D693" s="1243"/>
      <c r="E693" s="1243"/>
      <c r="F693" s="1243" t="s">
        <v>188</v>
      </c>
      <c r="G693" s="963"/>
      <c r="H693" s="778" t="s">
        <v>12</v>
      </c>
      <c r="I693" s="830"/>
      <c r="J693" s="830"/>
      <c r="K693" s="831"/>
      <c r="L693" s="831"/>
      <c r="M693" s="831"/>
      <c r="N693" s="1031">
        <v>0</v>
      </c>
      <c r="O693" s="831"/>
      <c r="P693" s="831"/>
      <c r="Q693" s="1244"/>
      <c r="R693" s="1244"/>
      <c r="S693" s="1244"/>
      <c r="T693" s="1244"/>
      <c r="U693" s="1244"/>
      <c r="V693" s="1244"/>
      <c r="W693" s="1244"/>
      <c r="X693" s="1244"/>
      <c r="Y693" s="1244"/>
      <c r="Z693" s="1244"/>
    </row>
    <row r="694" spans="1:26" ht="18.75">
      <c r="A694" s="1241"/>
      <c r="B694" s="1242"/>
      <c r="C694" s="1243"/>
      <c r="D694" s="1243"/>
      <c r="E694" s="1243"/>
      <c r="F694" s="1243" t="s">
        <v>189</v>
      </c>
      <c r="G694" s="963"/>
      <c r="H694" s="778" t="s">
        <v>12</v>
      </c>
      <c r="I694" s="830"/>
      <c r="J694" s="830"/>
      <c r="K694" s="831"/>
      <c r="L694" s="831"/>
      <c r="M694" s="831"/>
      <c r="N694" s="1031">
        <v>0</v>
      </c>
      <c r="O694" s="831"/>
      <c r="P694" s="831"/>
      <c r="Q694" s="1244"/>
      <c r="R694" s="1244"/>
      <c r="S694" s="1244"/>
      <c r="T694" s="1244"/>
      <c r="U694" s="1244"/>
      <c r="V694" s="1244"/>
      <c r="W694" s="1244"/>
      <c r="X694" s="1244"/>
      <c r="Y694" s="1244"/>
      <c r="Z694" s="1244"/>
    </row>
    <row r="695" spans="1:26" ht="18.75">
      <c r="A695" s="1259"/>
      <c r="B695" s="1242"/>
      <c r="C695" s="1243"/>
      <c r="D695" s="1266" t="s">
        <v>21</v>
      </c>
      <c r="E695" s="1243"/>
      <c r="F695" s="1243"/>
      <c r="G695" s="963"/>
      <c r="H695" s="168" t="s">
        <v>12</v>
      </c>
      <c r="I695" s="944"/>
      <c r="J695" s="944"/>
      <c r="K695" s="945"/>
      <c r="L695" s="831">
        <f t="shared" ref="L695:N695" si="287">L696+L697</f>
        <v>0</v>
      </c>
      <c r="M695" s="831">
        <f t="shared" si="287"/>
        <v>0</v>
      </c>
      <c r="N695" s="831">
        <f t="shared" si="287"/>
        <v>0</v>
      </c>
      <c r="O695" s="831">
        <f t="shared" ref="O695:O697" si="288">IF(L695&gt;0,N695*100/L695,0)</f>
        <v>0</v>
      </c>
      <c r="P695" s="831">
        <f t="shared" ref="P695:P697" si="289">IF(M695&gt;0,N695*100/M695,0)</f>
        <v>0</v>
      </c>
      <c r="Q695" s="1244"/>
      <c r="R695" s="1244"/>
      <c r="S695" s="1244"/>
      <c r="T695" s="1244"/>
      <c r="U695" s="1244"/>
      <c r="V695" s="1244"/>
      <c r="W695" s="1244"/>
      <c r="X695" s="1244"/>
      <c r="Y695" s="1244"/>
      <c r="Z695" s="1244"/>
    </row>
    <row r="696" spans="1:26" ht="18.75" hidden="1">
      <c r="A696" s="1260"/>
      <c r="B696" s="1265"/>
      <c r="C696" s="1261"/>
      <c r="D696" s="1261"/>
      <c r="E696" s="1261" t="s">
        <v>18</v>
      </c>
      <c r="F696" s="1261"/>
      <c r="G696" s="1263"/>
      <c r="H696" s="165" t="s">
        <v>12</v>
      </c>
      <c r="I696" s="947"/>
      <c r="J696" s="947"/>
      <c r="K696" s="948"/>
      <c r="L696" s="837">
        <v>0</v>
      </c>
      <c r="M696" s="837">
        <v>0</v>
      </c>
      <c r="N696" s="837">
        <v>0</v>
      </c>
      <c r="O696" s="837">
        <f t="shared" si="288"/>
        <v>0</v>
      </c>
      <c r="P696" s="837">
        <f t="shared" si="289"/>
        <v>0</v>
      </c>
      <c r="Q696" s="1264"/>
      <c r="R696" s="1264"/>
      <c r="S696" s="1264"/>
      <c r="T696" s="1264"/>
      <c r="U696" s="1264"/>
      <c r="V696" s="1264"/>
      <c r="W696" s="1264"/>
      <c r="X696" s="1264"/>
      <c r="Y696" s="1264"/>
      <c r="Z696" s="1264"/>
    </row>
    <row r="697" spans="1:26" ht="18.75" hidden="1">
      <c r="A697" s="1260"/>
      <c r="B697" s="1265"/>
      <c r="C697" s="1261"/>
      <c r="D697" s="1261"/>
      <c r="E697" s="1261" t="s">
        <v>19</v>
      </c>
      <c r="F697" s="1261"/>
      <c r="G697" s="1263"/>
      <c r="H697" s="169" t="s">
        <v>12</v>
      </c>
      <c r="I697" s="947"/>
      <c r="J697" s="947"/>
      <c r="K697" s="948"/>
      <c r="L697" s="837">
        <v>0</v>
      </c>
      <c r="M697" s="837">
        <v>0</v>
      </c>
      <c r="N697" s="837">
        <v>0</v>
      </c>
      <c r="O697" s="837">
        <f t="shared" si="288"/>
        <v>0</v>
      </c>
      <c r="P697" s="837">
        <f t="shared" si="289"/>
        <v>0</v>
      </c>
      <c r="Q697" s="1264"/>
      <c r="R697" s="1264"/>
      <c r="S697" s="1264"/>
      <c r="T697" s="1264"/>
      <c r="U697" s="1264"/>
      <c r="V697" s="1264"/>
      <c r="W697" s="1264"/>
      <c r="X697" s="1264"/>
      <c r="Y697" s="1264"/>
      <c r="Z697" s="1264"/>
    </row>
    <row r="698" spans="1:26" ht="19.5">
      <c r="A698" s="1267"/>
      <c r="B698" s="1268"/>
      <c r="C698" s="1243" t="s">
        <v>16</v>
      </c>
      <c r="D698" s="1378" t="s">
        <v>38</v>
      </c>
      <c r="E698" s="1271"/>
      <c r="F698" s="1271"/>
      <c r="G698" s="1272"/>
      <c r="H698" s="954"/>
      <c r="I698" s="944"/>
      <c r="J698" s="944"/>
      <c r="K698" s="945"/>
      <c r="L698" s="945"/>
      <c r="M698" s="945"/>
      <c r="N698" s="945"/>
      <c r="O698" s="945"/>
      <c r="P698" s="945"/>
      <c r="Q698" s="1244"/>
      <c r="R698" s="1244"/>
      <c r="S698" s="1244"/>
      <c r="T698" s="1244"/>
      <c r="U698" s="1244"/>
      <c r="V698" s="1244"/>
      <c r="W698" s="1244"/>
      <c r="X698" s="1244"/>
      <c r="Y698" s="1244"/>
      <c r="Z698" s="1244"/>
    </row>
    <row r="699" spans="1:26" ht="18.75">
      <c r="A699" s="1368"/>
      <c r="B699" s="1243"/>
      <c r="C699" s="1243"/>
      <c r="D699" s="1243" t="s">
        <v>294</v>
      </c>
      <c r="E699" s="1243"/>
      <c r="F699" s="1243"/>
      <c r="G699" s="963"/>
      <c r="H699" s="730" t="s">
        <v>46</v>
      </c>
      <c r="I699" s="1379">
        <f ca="1">IFERROR(__xludf.DUMMYFUNCTION("IMPORTRANGE(""https://docs.google.com/spreadsheets/d/1QqKyyYR6Q21VydFLVH3TRQUabQu_ym0Zz7PgGX0-kHA/edit?usp=sharing"",""แผน!IC28"")"),0)</f>
        <v>0</v>
      </c>
      <c r="J699" s="830">
        <f ca="1">IFERROR(__xludf.DUMMYFUNCTION("IMPORTRANGE(""https://docs.google.com/spreadsheets/d/1XWAQStnk-4SwqDmLtmXYiTMKHgktTP8We1SCoS47DrQ/edit?usp=sharing"",""จัดที่ดิน!BB28"")"),0)</f>
        <v>0</v>
      </c>
      <c r="K699" s="831">
        <f t="shared" ref="K699:K701" ca="1" si="290">IF(I699&gt;0,J699*100/I699,0)</f>
        <v>0</v>
      </c>
      <c r="L699" s="831"/>
      <c r="M699" s="963"/>
      <c r="N699" s="1380"/>
      <c r="O699" s="831"/>
      <c r="P699" s="831"/>
      <c r="Q699" s="1244"/>
      <c r="R699" s="1244"/>
      <c r="S699" s="1244"/>
      <c r="T699" s="1244"/>
      <c r="U699" s="1244"/>
      <c r="V699" s="1244"/>
      <c r="W699" s="1244"/>
      <c r="X699" s="1244"/>
      <c r="Y699" s="1244"/>
      <c r="Z699" s="1244"/>
    </row>
    <row r="700" spans="1:26" ht="18.75">
      <c r="A700" s="1368"/>
      <c r="B700" s="1243"/>
      <c r="C700" s="1243"/>
      <c r="D700" s="1243" t="s">
        <v>295</v>
      </c>
      <c r="E700" s="1243"/>
      <c r="F700" s="1243"/>
      <c r="G700" s="963"/>
      <c r="H700" s="730" t="s">
        <v>35</v>
      </c>
      <c r="I700" s="1379">
        <f ca="1">IFERROR(__xludf.DUMMYFUNCTION("IMPORTRANGE(""https://docs.google.com/spreadsheets/d/1QqKyyYR6Q21VydFLVH3TRQUabQu_ym0Zz7PgGX0-kHA/edit?usp=sharing"",""แผน!ID28"")"),0)</f>
        <v>0</v>
      </c>
      <c r="J700" s="830">
        <f ca="1">IFERROR(__xludf.DUMMYFUNCTION("IMPORTRANGE(""https://docs.google.com/spreadsheets/d/1XWAQStnk-4SwqDmLtmXYiTMKHgktTP8We1SCoS47DrQ/edit?usp=sharing"",""จัดที่ดิน!BD28"")"),0)</f>
        <v>0</v>
      </c>
      <c r="K700" s="831">
        <f t="shared" ca="1" si="290"/>
        <v>0</v>
      </c>
      <c r="L700" s="831"/>
      <c r="M700" s="963"/>
      <c r="N700" s="1380"/>
      <c r="O700" s="831"/>
      <c r="P700" s="831"/>
      <c r="Q700" s="1244"/>
      <c r="R700" s="1244"/>
      <c r="S700" s="1244"/>
      <c r="T700" s="1244"/>
      <c r="U700" s="1244"/>
      <c r="V700" s="1244"/>
      <c r="W700" s="1244"/>
      <c r="X700" s="1244"/>
      <c r="Y700" s="1244"/>
      <c r="Z700" s="1244"/>
    </row>
    <row r="701" spans="1:26" ht="19.5">
      <c r="A701" s="1368"/>
      <c r="B701" s="1243"/>
      <c r="C701" s="1243"/>
      <c r="D701" s="1243" t="s">
        <v>296</v>
      </c>
      <c r="E701" s="1243"/>
      <c r="F701" s="1243"/>
      <c r="G701" s="963"/>
      <c r="H701" s="733" t="s">
        <v>46</v>
      </c>
      <c r="I701" s="1381">
        <f ca="1">IFERROR(__xludf.DUMMYFUNCTION("IMPORTRANGE(""https://docs.google.com/spreadsheets/d/1QqKyyYR6Q21VydFLVH3TRQUabQu_ym0Zz7PgGX0-kHA/edit?usp=sharing"",""แผน!IE28"")"),70)</f>
        <v>70</v>
      </c>
      <c r="J701" s="966">
        <f>J704+J707</f>
        <v>76</v>
      </c>
      <c r="K701" s="967">
        <f t="shared" ca="1" si="290"/>
        <v>108.57142857142857</v>
      </c>
      <c r="L701" s="831"/>
      <c r="M701" s="963"/>
      <c r="N701" s="1380"/>
      <c r="O701" s="831"/>
      <c r="P701" s="831"/>
      <c r="Q701" s="1244"/>
      <c r="R701" s="1244"/>
      <c r="S701" s="1244"/>
      <c r="T701" s="1244"/>
      <c r="U701" s="1244"/>
      <c r="V701" s="1244"/>
      <c r="W701" s="1244"/>
      <c r="X701" s="1244"/>
      <c r="Y701" s="1244"/>
      <c r="Z701" s="1244"/>
    </row>
    <row r="702" spans="1:26" ht="18.75">
      <c r="A702" s="1368"/>
      <c r="B702" s="1243"/>
      <c r="C702" s="1243"/>
      <c r="D702" s="1243"/>
      <c r="E702" s="1243" t="s">
        <v>297</v>
      </c>
      <c r="F702" s="1243"/>
      <c r="G702" s="963"/>
      <c r="H702" s="730" t="s">
        <v>35</v>
      </c>
      <c r="I702" s="1379"/>
      <c r="J702" s="959">
        <v>5</v>
      </c>
      <c r="K702" s="831"/>
      <c r="L702" s="831"/>
      <c r="M702" s="963"/>
      <c r="N702" s="1380"/>
      <c r="O702" s="831"/>
      <c r="P702" s="831"/>
      <c r="Q702" s="1244"/>
      <c r="R702" s="1244"/>
      <c r="S702" s="1244"/>
      <c r="T702" s="1244"/>
      <c r="U702" s="1244"/>
      <c r="V702" s="1244"/>
      <c r="W702" s="1244"/>
      <c r="X702" s="1244"/>
      <c r="Y702" s="1244"/>
      <c r="Z702" s="1244"/>
    </row>
    <row r="703" spans="1:26" ht="18.75">
      <c r="A703" s="1368"/>
      <c r="B703" s="1243"/>
      <c r="C703" s="1243"/>
      <c r="D703" s="1243"/>
      <c r="E703" s="1243"/>
      <c r="F703" s="1243"/>
      <c r="G703" s="963"/>
      <c r="H703" s="730" t="s">
        <v>34</v>
      </c>
      <c r="I703" s="1379"/>
      <c r="J703" s="959">
        <v>6</v>
      </c>
      <c r="K703" s="831"/>
      <c r="L703" s="831"/>
      <c r="M703" s="963"/>
      <c r="N703" s="1380"/>
      <c r="O703" s="831"/>
      <c r="P703" s="831"/>
      <c r="Q703" s="1244"/>
      <c r="R703" s="1244"/>
      <c r="S703" s="1244"/>
      <c r="T703" s="1244"/>
      <c r="U703" s="1244"/>
      <c r="V703" s="1244"/>
      <c r="W703" s="1244"/>
      <c r="X703" s="1244"/>
      <c r="Y703" s="1244"/>
      <c r="Z703" s="1244"/>
    </row>
    <row r="704" spans="1:26" ht="18.75">
      <c r="A704" s="1368"/>
      <c r="B704" s="1243"/>
      <c r="C704" s="1243"/>
      <c r="D704" s="1243"/>
      <c r="E704" s="1243"/>
      <c r="F704" s="1243"/>
      <c r="G704" s="963"/>
      <c r="H704" s="730" t="s">
        <v>46</v>
      </c>
      <c r="I704" s="1379">
        <f ca="1">IFERROR(__xludf.DUMMYFUNCTION("IMPORTRANGE(""https://docs.google.com/spreadsheets/d/1QqKyyYR6Q21VydFLVH3TRQUabQu_ym0Zz7PgGX0-kHA/edit?usp=sharing"",""แผน!IF28"")"),70)</f>
        <v>70</v>
      </c>
      <c r="J704" s="959">
        <v>76</v>
      </c>
      <c r="K704" s="831"/>
      <c r="L704" s="831"/>
      <c r="M704" s="963"/>
      <c r="N704" s="1380"/>
      <c r="O704" s="831"/>
      <c r="P704" s="831"/>
      <c r="Q704" s="1244"/>
      <c r="R704" s="1244"/>
      <c r="S704" s="1244"/>
      <c r="T704" s="1244"/>
      <c r="U704" s="1244"/>
      <c r="V704" s="1244"/>
      <c r="W704" s="1244"/>
      <c r="X704" s="1244"/>
      <c r="Y704" s="1244"/>
      <c r="Z704" s="1244"/>
    </row>
    <row r="705" spans="1:26" ht="18.75">
      <c r="A705" s="1368"/>
      <c r="B705" s="1243"/>
      <c r="C705" s="1243"/>
      <c r="D705" s="1243"/>
      <c r="E705" s="1243" t="s">
        <v>298</v>
      </c>
      <c r="F705" s="1243"/>
      <c r="G705" s="963"/>
      <c r="H705" s="730" t="s">
        <v>35</v>
      </c>
      <c r="I705" s="1379"/>
      <c r="J705" s="959">
        <v>0</v>
      </c>
      <c r="K705" s="831"/>
      <c r="L705" s="831"/>
      <c r="M705" s="963"/>
      <c r="N705" s="1380"/>
      <c r="O705" s="831"/>
      <c r="P705" s="831"/>
      <c r="Q705" s="1244"/>
      <c r="R705" s="1244"/>
      <c r="S705" s="1244"/>
      <c r="T705" s="1244"/>
      <c r="U705" s="1244"/>
      <c r="V705" s="1244"/>
      <c r="W705" s="1244"/>
      <c r="X705" s="1244"/>
      <c r="Y705" s="1244"/>
      <c r="Z705" s="1244"/>
    </row>
    <row r="706" spans="1:26" ht="18.75">
      <c r="A706" s="1368"/>
      <c r="B706" s="1243"/>
      <c r="C706" s="1243"/>
      <c r="D706" s="1243"/>
      <c r="E706" s="1243"/>
      <c r="F706" s="1243"/>
      <c r="G706" s="963"/>
      <c r="H706" s="730" t="s">
        <v>34</v>
      </c>
      <c r="I706" s="1379"/>
      <c r="J706" s="959">
        <v>0</v>
      </c>
      <c r="K706" s="831"/>
      <c r="L706" s="831"/>
      <c r="M706" s="963"/>
      <c r="N706" s="1380"/>
      <c r="O706" s="831"/>
      <c r="P706" s="831"/>
      <c r="Q706" s="1244"/>
      <c r="R706" s="1244"/>
      <c r="S706" s="1244"/>
      <c r="T706" s="1244"/>
      <c r="U706" s="1244"/>
      <c r="V706" s="1244"/>
      <c r="W706" s="1244"/>
      <c r="X706" s="1244"/>
      <c r="Y706" s="1244"/>
      <c r="Z706" s="1244"/>
    </row>
    <row r="707" spans="1:26" ht="18.75">
      <c r="A707" s="1368"/>
      <c r="B707" s="1243"/>
      <c r="C707" s="1243"/>
      <c r="D707" s="1243"/>
      <c r="E707" s="1243"/>
      <c r="F707" s="1243"/>
      <c r="G707" s="963"/>
      <c r="H707" s="730" t="s">
        <v>46</v>
      </c>
      <c r="I707" s="1379">
        <f ca="1">IFERROR(__xludf.DUMMYFUNCTION("IMPORTRANGE(""https://docs.google.com/spreadsheets/d/1QqKyyYR6Q21VydFLVH3TRQUabQu_ym0Zz7PgGX0-kHA/edit?usp=sharing"",""แผน!IG28"")"),0)</f>
        <v>0</v>
      </c>
      <c r="J707" s="959">
        <v>0</v>
      </c>
      <c r="K707" s="831"/>
      <c r="L707" s="831"/>
      <c r="M707" s="963"/>
      <c r="N707" s="1380"/>
      <c r="O707" s="831"/>
      <c r="P707" s="831"/>
      <c r="Q707" s="1244"/>
      <c r="R707" s="1244"/>
      <c r="S707" s="1244"/>
      <c r="T707" s="1244"/>
      <c r="U707" s="1244"/>
      <c r="V707" s="1244"/>
      <c r="W707" s="1244"/>
      <c r="X707" s="1244"/>
      <c r="Y707" s="1244"/>
      <c r="Z707" s="1244"/>
    </row>
    <row r="708" spans="1:26" ht="19.5">
      <c r="A708" s="1368"/>
      <c r="B708" s="1243"/>
      <c r="C708" s="1243"/>
      <c r="D708" s="1322" t="s">
        <v>299</v>
      </c>
      <c r="E708" s="1243"/>
      <c r="F708" s="1243"/>
      <c r="G708" s="963"/>
      <c r="H708" s="733" t="s">
        <v>46</v>
      </c>
      <c r="I708" s="1381">
        <f ca="1">IFERROR(__xludf.DUMMYFUNCTION("IMPORTRANGE(""https://docs.google.com/spreadsheets/d/1QqKyyYR6Q21VydFLVH3TRQUabQu_ym0Zz7PgGX0-kHA/edit?usp=sharing"",""แผน!IH28"")"),0)</f>
        <v>0</v>
      </c>
      <c r="J708" s="966">
        <f>J714+J717</f>
        <v>0</v>
      </c>
      <c r="K708" s="967">
        <f ca="1">IF(I708&gt;0,J708*100/I708,0)</f>
        <v>0</v>
      </c>
      <c r="L708" s="831"/>
      <c r="M708" s="963"/>
      <c r="N708" s="1380"/>
      <c r="O708" s="831"/>
      <c r="P708" s="831"/>
      <c r="Q708" s="1244"/>
      <c r="R708" s="1244"/>
      <c r="S708" s="1244"/>
      <c r="T708" s="1244"/>
      <c r="U708" s="1244"/>
      <c r="V708" s="1244"/>
      <c r="W708" s="1244"/>
      <c r="X708" s="1244"/>
      <c r="Y708" s="1244"/>
      <c r="Z708" s="1244"/>
    </row>
    <row r="709" spans="1:26" ht="18.75">
      <c r="A709" s="1368"/>
      <c r="B709" s="1243"/>
      <c r="C709" s="1243"/>
      <c r="D709" s="1243"/>
      <c r="E709" s="1243" t="s">
        <v>300</v>
      </c>
      <c r="F709" s="1243"/>
      <c r="G709" s="963"/>
      <c r="H709" s="730" t="s">
        <v>34</v>
      </c>
      <c r="I709" s="1379"/>
      <c r="J709" s="959">
        <v>0</v>
      </c>
      <c r="K709" s="831"/>
      <c r="L709" s="1380"/>
      <c r="M709" s="963"/>
      <c r="N709" s="1380"/>
      <c r="O709" s="831"/>
      <c r="P709" s="831"/>
      <c r="Q709" s="1244"/>
      <c r="R709" s="1244"/>
      <c r="S709" s="1244"/>
      <c r="T709" s="1244"/>
      <c r="U709" s="1244"/>
      <c r="V709" s="1244"/>
      <c r="W709" s="1244"/>
      <c r="X709" s="1244"/>
      <c r="Y709" s="1244"/>
      <c r="Z709" s="1244"/>
    </row>
    <row r="710" spans="1:26" ht="18.75">
      <c r="A710" s="1368"/>
      <c r="B710" s="1243"/>
      <c r="C710" s="1243"/>
      <c r="D710" s="1243"/>
      <c r="E710" s="1243"/>
      <c r="F710" s="1243"/>
      <c r="G710" s="963"/>
      <c r="H710" s="730" t="s">
        <v>46</v>
      </c>
      <c r="I710" s="1379"/>
      <c r="J710" s="959">
        <v>0</v>
      </c>
      <c r="K710" s="831"/>
      <c r="L710" s="1380"/>
      <c r="M710" s="963"/>
      <c r="N710" s="1380"/>
      <c r="O710" s="831"/>
      <c r="P710" s="831"/>
      <c r="Q710" s="1244"/>
      <c r="R710" s="1244"/>
      <c r="S710" s="1244"/>
      <c r="T710" s="1244"/>
      <c r="U710" s="1244"/>
      <c r="V710" s="1244"/>
      <c r="W710" s="1244"/>
      <c r="X710" s="1244"/>
      <c r="Y710" s="1244"/>
      <c r="Z710" s="1244"/>
    </row>
    <row r="711" spans="1:26" ht="18.75">
      <c r="A711" s="1368"/>
      <c r="B711" s="1243"/>
      <c r="C711" s="1243"/>
      <c r="D711" s="1243"/>
      <c r="E711" s="1243" t="s">
        <v>301</v>
      </c>
      <c r="F711" s="1243"/>
      <c r="G711" s="963"/>
      <c r="H711" s="954"/>
      <c r="I711" s="1379"/>
      <c r="J711" s="830"/>
      <c r="K711" s="831"/>
      <c r="L711" s="1380"/>
      <c r="M711" s="963"/>
      <c r="N711" s="1380"/>
      <c r="O711" s="831"/>
      <c r="P711" s="831"/>
      <c r="Q711" s="1244"/>
      <c r="R711" s="1244"/>
      <c r="S711" s="1244"/>
      <c r="T711" s="1244"/>
      <c r="U711" s="1244"/>
      <c r="V711" s="1244"/>
      <c r="W711" s="1244"/>
      <c r="X711" s="1244"/>
      <c r="Y711" s="1244"/>
      <c r="Z711" s="1244"/>
    </row>
    <row r="712" spans="1:26" ht="18.75">
      <c r="A712" s="1368"/>
      <c r="B712" s="1243"/>
      <c r="C712" s="1243"/>
      <c r="D712" s="1243"/>
      <c r="E712" s="1243"/>
      <c r="F712" s="1243" t="s">
        <v>302</v>
      </c>
      <c r="G712" s="963"/>
      <c r="H712" s="730" t="s">
        <v>35</v>
      </c>
      <c r="I712" s="1379"/>
      <c r="J712" s="959">
        <v>0</v>
      </c>
      <c r="K712" s="831"/>
      <c r="L712" s="1380"/>
      <c r="M712" s="963"/>
      <c r="N712" s="1380"/>
      <c r="O712" s="831"/>
      <c r="P712" s="831"/>
      <c r="Q712" s="1244"/>
      <c r="R712" s="1244"/>
      <c r="S712" s="1244"/>
      <c r="T712" s="1244"/>
      <c r="U712" s="1244"/>
      <c r="V712" s="1244"/>
      <c r="W712" s="1244"/>
      <c r="X712" s="1244"/>
      <c r="Y712" s="1244"/>
      <c r="Z712" s="1244"/>
    </row>
    <row r="713" spans="1:26" ht="18.75">
      <c r="A713" s="1368"/>
      <c r="B713" s="1243"/>
      <c r="C713" s="1243"/>
      <c r="D713" s="1243"/>
      <c r="E713" s="1243"/>
      <c r="F713" s="1243"/>
      <c r="G713" s="963"/>
      <c r="H713" s="730" t="s">
        <v>34</v>
      </c>
      <c r="I713" s="1379"/>
      <c r="J713" s="959">
        <v>0</v>
      </c>
      <c r="K713" s="831"/>
      <c r="L713" s="1380"/>
      <c r="M713" s="963"/>
      <c r="N713" s="1380"/>
      <c r="O713" s="831"/>
      <c r="P713" s="831"/>
      <c r="Q713" s="1244"/>
      <c r="R713" s="1244"/>
      <c r="S713" s="1244"/>
      <c r="T713" s="1244"/>
      <c r="U713" s="1244"/>
      <c r="V713" s="1244"/>
      <c r="W713" s="1244"/>
      <c r="X713" s="1244"/>
      <c r="Y713" s="1244"/>
      <c r="Z713" s="1244"/>
    </row>
    <row r="714" spans="1:26" ht="18.75">
      <c r="A714" s="1368"/>
      <c r="B714" s="1243"/>
      <c r="C714" s="1243"/>
      <c r="D714" s="1243"/>
      <c r="E714" s="1243"/>
      <c r="F714" s="1243"/>
      <c r="G714" s="963"/>
      <c r="H714" s="730" t="s">
        <v>46</v>
      </c>
      <c r="I714" s="1379"/>
      <c r="J714" s="959">
        <v>0</v>
      </c>
      <c r="K714" s="831"/>
      <c r="L714" s="1380"/>
      <c r="M714" s="963"/>
      <c r="N714" s="1380"/>
      <c r="O714" s="831"/>
      <c r="P714" s="831"/>
      <c r="Q714" s="1244"/>
      <c r="R714" s="1244"/>
      <c r="S714" s="1244"/>
      <c r="T714" s="1244"/>
      <c r="U714" s="1244"/>
      <c r="V714" s="1244"/>
      <c r="W714" s="1244"/>
      <c r="X714" s="1244"/>
      <c r="Y714" s="1244"/>
      <c r="Z714" s="1244"/>
    </row>
    <row r="715" spans="1:26" ht="18.75">
      <c r="A715" s="1368"/>
      <c r="B715" s="1243"/>
      <c r="C715" s="1243"/>
      <c r="D715" s="1243"/>
      <c r="E715" s="1243"/>
      <c r="F715" s="1243" t="s">
        <v>303</v>
      </c>
      <c r="G715" s="963"/>
      <c r="H715" s="730" t="s">
        <v>35</v>
      </c>
      <c r="I715" s="1379"/>
      <c r="J715" s="959">
        <v>0</v>
      </c>
      <c r="K715" s="831"/>
      <c r="L715" s="1380"/>
      <c r="M715" s="963"/>
      <c r="N715" s="1380"/>
      <c r="O715" s="831"/>
      <c r="P715" s="831"/>
      <c r="Q715" s="1244"/>
      <c r="R715" s="1244"/>
      <c r="S715" s="1244"/>
      <c r="T715" s="1244"/>
      <c r="U715" s="1244"/>
      <c r="V715" s="1244"/>
      <c r="W715" s="1244"/>
      <c r="X715" s="1244"/>
      <c r="Y715" s="1244"/>
      <c r="Z715" s="1244"/>
    </row>
    <row r="716" spans="1:26" ht="18.75">
      <c r="A716" s="1368"/>
      <c r="B716" s="1243"/>
      <c r="C716" s="1243"/>
      <c r="D716" s="1243"/>
      <c r="E716" s="1243"/>
      <c r="F716" s="1243"/>
      <c r="G716" s="963"/>
      <c r="H716" s="730" t="s">
        <v>34</v>
      </c>
      <c r="I716" s="1379"/>
      <c r="J716" s="959">
        <v>0</v>
      </c>
      <c r="K716" s="831"/>
      <c r="L716" s="1380"/>
      <c r="M716" s="963"/>
      <c r="N716" s="1380"/>
      <c r="O716" s="831"/>
      <c r="P716" s="831"/>
      <c r="Q716" s="1244"/>
      <c r="R716" s="1244"/>
      <c r="S716" s="1244"/>
      <c r="T716" s="1244"/>
      <c r="U716" s="1244"/>
      <c r="V716" s="1244"/>
      <c r="W716" s="1244"/>
      <c r="X716" s="1244"/>
      <c r="Y716" s="1244"/>
      <c r="Z716" s="1244"/>
    </row>
    <row r="717" spans="1:26" ht="18.75">
      <c r="A717" s="1368"/>
      <c r="B717" s="1243"/>
      <c r="C717" s="1243"/>
      <c r="D717" s="1243"/>
      <c r="E717" s="1243"/>
      <c r="F717" s="1243"/>
      <c r="G717" s="963"/>
      <c r="H717" s="730" t="s">
        <v>46</v>
      </c>
      <c r="I717" s="1379"/>
      <c r="J717" s="959">
        <v>0</v>
      </c>
      <c r="K717" s="831"/>
      <c r="L717" s="1380"/>
      <c r="M717" s="963"/>
      <c r="N717" s="1380"/>
      <c r="O717" s="831"/>
      <c r="P717" s="831"/>
      <c r="Q717" s="1244"/>
      <c r="R717" s="1244"/>
      <c r="S717" s="1244"/>
      <c r="T717" s="1244"/>
      <c r="U717" s="1244"/>
      <c r="V717" s="1244"/>
      <c r="W717" s="1244"/>
      <c r="X717" s="1244"/>
      <c r="Y717" s="1244"/>
      <c r="Z717" s="1244"/>
    </row>
    <row r="718" spans="1:26" ht="18.75">
      <c r="A718" s="1368"/>
      <c r="B718" s="1243"/>
      <c r="C718" s="1243"/>
      <c r="D718" s="1243" t="s">
        <v>304</v>
      </c>
      <c r="E718" s="1243"/>
      <c r="F718" s="1243"/>
      <c r="G718" s="963"/>
      <c r="H718" s="730" t="s">
        <v>35</v>
      </c>
      <c r="I718" s="1379"/>
      <c r="J718" s="830">
        <f ca="1">IFERROR(__xludf.DUMMYFUNCTION("IMPORTRANGE(""https://docs.google.com/spreadsheets/d/1XWAQStnk-4SwqDmLtmXYiTMKHgktTP8We1SCoS47DrQ/edit?usp=sharing"",""จัดที่ดิน!BF28"")"),0)</f>
        <v>0</v>
      </c>
      <c r="K718" s="831"/>
      <c r="L718" s="831"/>
      <c r="M718" s="963"/>
      <c r="N718" s="1380"/>
      <c r="O718" s="831"/>
      <c r="P718" s="831"/>
      <c r="Q718" s="1244"/>
      <c r="R718" s="1244"/>
      <c r="S718" s="1244"/>
      <c r="T718" s="1244"/>
      <c r="U718" s="1244"/>
      <c r="V718" s="1244"/>
      <c r="W718" s="1244"/>
      <c r="X718" s="1244"/>
      <c r="Y718" s="1244"/>
      <c r="Z718" s="1244"/>
    </row>
    <row r="719" spans="1:26" ht="18.75">
      <c r="A719" s="1368"/>
      <c r="B719" s="1243"/>
      <c r="C719" s="1243"/>
      <c r="D719" s="1243"/>
      <c r="E719" s="1243"/>
      <c r="F719" s="1243"/>
      <c r="G719" s="963"/>
      <c r="H719" s="730" t="s">
        <v>34</v>
      </c>
      <c r="I719" s="1379"/>
      <c r="J719" s="830">
        <f ca="1">IFERROR(__xludf.DUMMYFUNCTION("IMPORTRANGE(""https://docs.google.com/spreadsheets/d/1XWAQStnk-4SwqDmLtmXYiTMKHgktTP8We1SCoS47DrQ/edit?usp=sharing"",""จัดที่ดิน!BG28"")"),0)</f>
        <v>0</v>
      </c>
      <c r="K719" s="831"/>
      <c r="L719" s="1380"/>
      <c r="M719" s="963"/>
      <c r="N719" s="1380"/>
      <c r="O719" s="831"/>
      <c r="P719" s="831"/>
      <c r="Q719" s="1244"/>
      <c r="R719" s="1244"/>
      <c r="S719" s="1244"/>
      <c r="T719" s="1244"/>
      <c r="U719" s="1244"/>
      <c r="V719" s="1244"/>
      <c r="W719" s="1244"/>
      <c r="X719" s="1244"/>
      <c r="Y719" s="1244"/>
      <c r="Z719" s="1244"/>
    </row>
    <row r="720" spans="1:26" ht="18.75">
      <c r="A720" s="1368"/>
      <c r="B720" s="1243"/>
      <c r="C720" s="1243"/>
      <c r="D720" s="1243"/>
      <c r="E720" s="1243"/>
      <c r="F720" s="1243"/>
      <c r="G720" s="963"/>
      <c r="H720" s="730" t="s">
        <v>46</v>
      </c>
      <c r="I720" s="1379">
        <f ca="1">IFERROR(__xludf.DUMMYFUNCTION("IMPORTRANGE(""https://docs.google.com/spreadsheets/d/1QqKyyYR6Q21VydFLVH3TRQUabQu_ym0Zz7PgGX0-kHA/edit?usp=sharing"",""แผน!II28"")"),14)</f>
        <v>14</v>
      </c>
      <c r="J720" s="830">
        <f ca="1">IFERROR(__xludf.DUMMYFUNCTION("IMPORTRANGE(""https://docs.google.com/spreadsheets/d/1XWAQStnk-4SwqDmLtmXYiTMKHgktTP8We1SCoS47DrQ/edit?usp=sharing"",""จัดที่ดิน!BH28"")"),0)</f>
        <v>0</v>
      </c>
      <c r="K720" s="831">
        <f t="shared" ref="K720:K723" ca="1" si="291">IF(I720&gt;0,J720*100/I720,0)</f>
        <v>0</v>
      </c>
      <c r="L720" s="1380"/>
      <c r="M720" s="963"/>
      <c r="N720" s="1380"/>
      <c r="O720" s="831"/>
      <c r="P720" s="831"/>
      <c r="Q720" s="1244"/>
      <c r="R720" s="1244"/>
      <c r="S720" s="1244"/>
      <c r="T720" s="1244"/>
      <c r="U720" s="1244"/>
      <c r="V720" s="1244"/>
      <c r="W720" s="1244"/>
      <c r="X720" s="1244"/>
      <c r="Y720" s="1244"/>
      <c r="Z720" s="1244"/>
    </row>
    <row r="721" spans="1:26" ht="19.5">
      <c r="A721" s="1368"/>
      <c r="B721" s="1243"/>
      <c r="C721" s="1243"/>
      <c r="D721" s="1243" t="s">
        <v>305</v>
      </c>
      <c r="E721" s="1243"/>
      <c r="F721" s="1243"/>
      <c r="G721" s="963"/>
      <c r="H721" s="733" t="s">
        <v>35</v>
      </c>
      <c r="I721" s="1381">
        <f ca="1">IFERROR(__xludf.DUMMYFUNCTION("IMPORTRANGE(""https://docs.google.com/spreadsheets/d/1QqKyyYR6Q21VydFLVH3TRQUabQu_ym0Zz7PgGX0-kHA/edit?usp=sharing"",""แผน!IJ28"")"),2)</f>
        <v>2</v>
      </c>
      <c r="J721" s="966">
        <f ca="1">J723+J726</f>
        <v>0</v>
      </c>
      <c r="K721" s="967">
        <f t="shared" ca="1" si="291"/>
        <v>0</v>
      </c>
      <c r="L721" s="1380"/>
      <c r="M721" s="963"/>
      <c r="N721" s="1380"/>
      <c r="O721" s="831"/>
      <c r="P721" s="831"/>
      <c r="Q721" s="1244"/>
      <c r="R721" s="1244"/>
      <c r="S721" s="1244"/>
      <c r="T721" s="1244"/>
      <c r="U721" s="1244"/>
      <c r="V721" s="1244"/>
      <c r="W721" s="1244"/>
      <c r="X721" s="1244"/>
      <c r="Y721" s="1244"/>
      <c r="Z721" s="1244"/>
    </row>
    <row r="722" spans="1:26" ht="19.5">
      <c r="A722" s="1368"/>
      <c r="B722" s="1243"/>
      <c r="C722" s="1243"/>
      <c r="D722" s="1243"/>
      <c r="E722" s="1243"/>
      <c r="F722" s="1243"/>
      <c r="G722" s="963"/>
      <c r="H722" s="733" t="s">
        <v>46</v>
      </c>
      <c r="I722" s="1381">
        <f ca="1">IFERROR(__xludf.DUMMYFUNCTION("IMPORTRANGE(""https://docs.google.com/spreadsheets/d/1QqKyyYR6Q21VydFLVH3TRQUabQu_ym0Zz7PgGX0-kHA/edit?usp=sharing"",""แผน!IK28"")"),29)</f>
        <v>29</v>
      </c>
      <c r="J722" s="966">
        <f ca="1">J725+J728</f>
        <v>0</v>
      </c>
      <c r="K722" s="967">
        <f t="shared" ca="1" si="291"/>
        <v>0</v>
      </c>
      <c r="L722" s="831"/>
      <c r="M722" s="963"/>
      <c r="N722" s="1380"/>
      <c r="O722" s="831"/>
      <c r="P722" s="831"/>
      <c r="Q722" s="1244"/>
      <c r="R722" s="1244"/>
      <c r="S722" s="1244"/>
      <c r="T722" s="1244"/>
      <c r="U722" s="1244"/>
      <c r="V722" s="1244"/>
      <c r="W722" s="1244"/>
      <c r="X722" s="1244"/>
      <c r="Y722" s="1244"/>
      <c r="Z722" s="1244"/>
    </row>
    <row r="723" spans="1:26" ht="18.75">
      <c r="A723" s="1368"/>
      <c r="B723" s="1243"/>
      <c r="C723" s="1243"/>
      <c r="D723" s="1243"/>
      <c r="E723" s="1243" t="s">
        <v>306</v>
      </c>
      <c r="F723" s="1243"/>
      <c r="G723" s="963"/>
      <c r="H723" s="730" t="s">
        <v>35</v>
      </c>
      <c r="I723" s="1379">
        <f ca="1">IFERROR(__xludf.DUMMYFUNCTION("IMPORTRANGE(""https://docs.google.com/spreadsheets/d/1QqKyyYR6Q21VydFLVH3TRQUabQu_ym0Zz7PgGX0-kHA/edit?usp=sharing"",""แผน!IL28"")"),2)</f>
        <v>2</v>
      </c>
      <c r="J723" s="830">
        <f ca="1">IFERROR(__xludf.DUMMYFUNCTION("IMPORTRANGE(""https://docs.google.com/spreadsheets/d/1XWAQStnk-4SwqDmLtmXYiTMKHgktTP8We1SCoS47DrQ/edit?usp=sharing"",""จัดที่ดิน!BM28"")"),0)</f>
        <v>0</v>
      </c>
      <c r="K723" s="831">
        <f t="shared" ca="1" si="291"/>
        <v>0</v>
      </c>
      <c r="L723" s="831"/>
      <c r="M723" s="963"/>
      <c r="N723" s="1380"/>
      <c r="O723" s="831"/>
      <c r="P723" s="831"/>
      <c r="Q723" s="1244"/>
      <c r="R723" s="1244"/>
      <c r="S723" s="1244"/>
      <c r="T723" s="1244"/>
      <c r="U723" s="1244"/>
      <c r="V723" s="1244"/>
      <c r="W723" s="1244"/>
      <c r="X723" s="1244"/>
      <c r="Y723" s="1244"/>
      <c r="Z723" s="1244"/>
    </row>
    <row r="724" spans="1:26" ht="18.75">
      <c r="A724" s="1368"/>
      <c r="B724" s="1243"/>
      <c r="C724" s="1243"/>
      <c r="D724" s="1243"/>
      <c r="E724" s="1243"/>
      <c r="F724" s="1243"/>
      <c r="G724" s="963"/>
      <c r="H724" s="730" t="s">
        <v>34</v>
      </c>
      <c r="I724" s="1379"/>
      <c r="J724" s="830">
        <f ca="1">IFERROR(__xludf.DUMMYFUNCTION("IMPORTRANGE(""https://docs.google.com/spreadsheets/d/1XWAQStnk-4SwqDmLtmXYiTMKHgktTP8We1SCoS47DrQ/edit?usp=sharing"",""จัดที่ดิน!BN28"")"),0)</f>
        <v>0</v>
      </c>
      <c r="K724" s="831"/>
      <c r="L724" s="1380"/>
      <c r="M724" s="963"/>
      <c r="N724" s="1380"/>
      <c r="O724" s="831"/>
      <c r="P724" s="831"/>
      <c r="Q724" s="1244"/>
      <c r="R724" s="1244"/>
      <c r="S724" s="1244"/>
      <c r="T724" s="1244"/>
      <c r="U724" s="1244"/>
      <c r="V724" s="1244"/>
      <c r="W724" s="1244"/>
      <c r="X724" s="1244"/>
      <c r="Y724" s="1244"/>
      <c r="Z724" s="1244"/>
    </row>
    <row r="725" spans="1:26" ht="18.75">
      <c r="A725" s="1368"/>
      <c r="B725" s="1243"/>
      <c r="C725" s="1243"/>
      <c r="D725" s="1243"/>
      <c r="E725" s="1243"/>
      <c r="F725" s="1243"/>
      <c r="G725" s="963"/>
      <c r="H725" s="730" t="s">
        <v>46</v>
      </c>
      <c r="I725" s="1379">
        <f ca="1">IFERROR(__xludf.DUMMYFUNCTION("IMPORTRANGE(""https://docs.google.com/spreadsheets/d/1QqKyyYR6Q21VydFLVH3TRQUabQu_ym0Zz7PgGX0-kHA/edit?usp=sharing"",""แผน!IM28"")"),29)</f>
        <v>29</v>
      </c>
      <c r="J725" s="830">
        <f ca="1">IFERROR(__xludf.DUMMYFUNCTION("IMPORTRANGE(""https://docs.google.com/spreadsheets/d/1XWAQStnk-4SwqDmLtmXYiTMKHgktTP8We1SCoS47DrQ/edit?usp=sharing"",""จัดที่ดิน!BO28"")"),0)</f>
        <v>0</v>
      </c>
      <c r="K725" s="831">
        <f t="shared" ref="K725:K726" ca="1" si="292">IF(I725&gt;0,J725*100/I725,0)</f>
        <v>0</v>
      </c>
      <c r="L725" s="1380"/>
      <c r="M725" s="963"/>
      <c r="N725" s="1380"/>
      <c r="O725" s="831"/>
      <c r="P725" s="831"/>
      <c r="Q725" s="1244"/>
      <c r="R725" s="1244"/>
      <c r="S725" s="1244"/>
      <c r="T725" s="1244"/>
      <c r="U725" s="1244"/>
      <c r="V725" s="1244"/>
      <c r="W725" s="1244"/>
      <c r="X725" s="1244"/>
      <c r="Y725" s="1244"/>
      <c r="Z725" s="1244"/>
    </row>
    <row r="726" spans="1:26" ht="18.75">
      <c r="A726" s="1368"/>
      <c r="B726" s="1243"/>
      <c r="C726" s="1243"/>
      <c r="D726" s="1243"/>
      <c r="E726" s="1243" t="s">
        <v>307</v>
      </c>
      <c r="F726" s="1243"/>
      <c r="G726" s="963"/>
      <c r="H726" s="730" t="s">
        <v>35</v>
      </c>
      <c r="I726" s="1379">
        <f ca="1">IFERROR(__xludf.DUMMYFUNCTION("IMPORTRANGE(""https://docs.google.com/spreadsheets/d/1QqKyyYR6Q21VydFLVH3TRQUabQu_ym0Zz7PgGX0-kHA/edit?usp=sharing"",""แผน!IN28"")"),0)</f>
        <v>0</v>
      </c>
      <c r="J726" s="830">
        <f ca="1">IFERROR(__xludf.DUMMYFUNCTION("IMPORTRANGE(""https://docs.google.com/spreadsheets/d/1XWAQStnk-4SwqDmLtmXYiTMKHgktTP8We1SCoS47DrQ/edit?usp=sharing"",""จัดที่ดิน!BR28"")"),0)</f>
        <v>0</v>
      </c>
      <c r="K726" s="831">
        <f t="shared" ca="1" si="292"/>
        <v>0</v>
      </c>
      <c r="L726" s="831"/>
      <c r="M726" s="963"/>
      <c r="N726" s="1380"/>
      <c r="O726" s="831"/>
      <c r="P726" s="831"/>
      <c r="Q726" s="1244"/>
      <c r="R726" s="1244"/>
      <c r="S726" s="1244"/>
      <c r="T726" s="1244"/>
      <c r="U726" s="1244"/>
      <c r="V726" s="1244"/>
      <c r="W726" s="1244"/>
      <c r="X726" s="1244"/>
      <c r="Y726" s="1244"/>
      <c r="Z726" s="1244"/>
    </row>
    <row r="727" spans="1:26" ht="18.75">
      <c r="A727" s="1368"/>
      <c r="B727" s="1243"/>
      <c r="C727" s="1243"/>
      <c r="D727" s="1243"/>
      <c r="E727" s="1243"/>
      <c r="F727" s="1243"/>
      <c r="G727" s="963"/>
      <c r="H727" s="730" t="s">
        <v>34</v>
      </c>
      <c r="I727" s="1379"/>
      <c r="J727" s="830">
        <f ca="1">IFERROR(__xludf.DUMMYFUNCTION("IMPORTRANGE(""https://docs.google.com/spreadsheets/d/1XWAQStnk-4SwqDmLtmXYiTMKHgktTP8We1SCoS47DrQ/edit?usp=sharing"",""จัดที่ดิน!BS28"")"),0)</f>
        <v>0</v>
      </c>
      <c r="K727" s="831"/>
      <c r="L727" s="1380"/>
      <c r="M727" s="963"/>
      <c r="N727" s="1380"/>
      <c r="O727" s="831"/>
      <c r="P727" s="831"/>
      <c r="Q727" s="1244"/>
      <c r="R727" s="1244"/>
      <c r="S727" s="1244"/>
      <c r="T727" s="1244"/>
      <c r="U727" s="1244"/>
      <c r="V727" s="1244"/>
      <c r="W727" s="1244"/>
      <c r="X727" s="1244"/>
      <c r="Y727" s="1244"/>
      <c r="Z727" s="1244"/>
    </row>
    <row r="728" spans="1:26" ht="18.75">
      <c r="A728" s="1368"/>
      <c r="B728" s="1243"/>
      <c r="C728" s="1243"/>
      <c r="D728" s="1243"/>
      <c r="E728" s="1243"/>
      <c r="F728" s="1243"/>
      <c r="G728" s="963"/>
      <c r="H728" s="730" t="s">
        <v>46</v>
      </c>
      <c r="I728" s="1379">
        <f ca="1">IFERROR(__xludf.DUMMYFUNCTION("IMPORTRANGE(""https://docs.google.com/spreadsheets/d/1QqKyyYR6Q21VydFLVH3TRQUabQu_ym0Zz7PgGX0-kHA/edit?usp=sharing"",""แผน!IO28"")"),0)</f>
        <v>0</v>
      </c>
      <c r="J728" s="830">
        <f ca="1">IFERROR(__xludf.DUMMYFUNCTION("IMPORTRANGE(""https://docs.google.com/spreadsheets/d/1XWAQStnk-4SwqDmLtmXYiTMKHgktTP8We1SCoS47DrQ/edit?usp=sharing"",""จัดที่ดิน!BT28"")"),0)</f>
        <v>0</v>
      </c>
      <c r="K728" s="831">
        <f t="shared" ref="K728:K729" ca="1" si="293">IF(I728&gt;0,J728*100/I728,0)</f>
        <v>0</v>
      </c>
      <c r="L728" s="1380"/>
      <c r="M728" s="963"/>
      <c r="N728" s="1380"/>
      <c r="O728" s="831"/>
      <c r="P728" s="831"/>
      <c r="Q728" s="1244"/>
      <c r="R728" s="1244"/>
      <c r="S728" s="1244"/>
      <c r="T728" s="1244"/>
      <c r="U728" s="1244"/>
      <c r="V728" s="1244"/>
      <c r="W728" s="1244"/>
      <c r="X728" s="1244"/>
      <c r="Y728" s="1244"/>
      <c r="Z728" s="1244"/>
    </row>
    <row r="729" spans="1:26" ht="19.5">
      <c r="A729" s="1368"/>
      <c r="B729" s="1243"/>
      <c r="C729" s="1243"/>
      <c r="D729" s="1243" t="s">
        <v>308</v>
      </c>
      <c r="E729" s="1243"/>
      <c r="F729" s="1243"/>
      <c r="G729" s="963"/>
      <c r="H729" s="733" t="s">
        <v>46</v>
      </c>
      <c r="I729" s="1381">
        <f ca="1">IFERROR(__xludf.DUMMYFUNCTION("IMPORTRANGE(""https://docs.google.com/spreadsheets/d/1QqKyyYR6Q21VydFLVH3TRQUabQu_ym0Zz7PgGX0-kHA/edit?usp=sharing"",""แผน!IP28"")"),0)</f>
        <v>0</v>
      </c>
      <c r="J729" s="966">
        <f>J732+J735</f>
        <v>0</v>
      </c>
      <c r="K729" s="967">
        <f t="shared" ca="1" si="293"/>
        <v>0</v>
      </c>
      <c r="L729" s="831"/>
      <c r="M729" s="963"/>
      <c r="N729" s="1380"/>
      <c r="O729" s="831"/>
      <c r="P729" s="831"/>
      <c r="Q729" s="1244"/>
      <c r="R729" s="1244"/>
      <c r="S729" s="1244"/>
      <c r="T729" s="1244"/>
      <c r="U729" s="1244"/>
      <c r="V729" s="1244"/>
      <c r="W729" s="1244"/>
      <c r="X729" s="1244"/>
      <c r="Y729" s="1244"/>
      <c r="Z729" s="1244"/>
    </row>
    <row r="730" spans="1:26" ht="18.75">
      <c r="A730" s="1368"/>
      <c r="B730" s="1243"/>
      <c r="C730" s="1243"/>
      <c r="D730" s="1243"/>
      <c r="E730" s="1243" t="s">
        <v>309</v>
      </c>
      <c r="F730" s="1243"/>
      <c r="G730" s="963"/>
      <c r="H730" s="730" t="s">
        <v>35</v>
      </c>
      <c r="I730" s="1379"/>
      <c r="J730" s="959">
        <v>0</v>
      </c>
      <c r="K730" s="831"/>
      <c r="L730" s="1380"/>
      <c r="M730" s="831"/>
      <c r="N730" s="1380"/>
      <c r="O730" s="831"/>
      <c r="P730" s="831"/>
      <c r="Q730" s="1244"/>
      <c r="R730" s="1244"/>
      <c r="S730" s="1244"/>
      <c r="T730" s="1244"/>
      <c r="U730" s="1244"/>
      <c r="V730" s="1244"/>
      <c r="W730" s="1244"/>
      <c r="X730" s="1244"/>
      <c r="Y730" s="1244"/>
      <c r="Z730" s="1244"/>
    </row>
    <row r="731" spans="1:26" ht="18.75">
      <c r="A731" s="1368"/>
      <c r="B731" s="1243"/>
      <c r="C731" s="1243"/>
      <c r="D731" s="1243"/>
      <c r="E731" s="1243"/>
      <c r="F731" s="1243"/>
      <c r="G731" s="963"/>
      <c r="H731" s="730" t="s">
        <v>34</v>
      </c>
      <c r="I731" s="1379"/>
      <c r="J731" s="959">
        <v>0</v>
      </c>
      <c r="K731" s="831"/>
      <c r="L731" s="1380"/>
      <c r="M731" s="831"/>
      <c r="N731" s="1380"/>
      <c r="O731" s="831"/>
      <c r="P731" s="831"/>
      <c r="Q731" s="1244"/>
      <c r="R731" s="1244"/>
      <c r="S731" s="1244"/>
      <c r="T731" s="1244"/>
      <c r="U731" s="1244"/>
      <c r="V731" s="1244"/>
      <c r="W731" s="1244"/>
      <c r="X731" s="1244"/>
      <c r="Y731" s="1244"/>
      <c r="Z731" s="1244"/>
    </row>
    <row r="732" spans="1:26" ht="18.75">
      <c r="A732" s="1368"/>
      <c r="B732" s="1243"/>
      <c r="C732" s="1243"/>
      <c r="D732" s="1243"/>
      <c r="E732" s="1243"/>
      <c r="F732" s="1243"/>
      <c r="G732" s="963"/>
      <c r="H732" s="730" t="s">
        <v>46</v>
      </c>
      <c r="I732" s="1379"/>
      <c r="J732" s="959">
        <v>0</v>
      </c>
      <c r="K732" s="831"/>
      <c r="L732" s="1380"/>
      <c r="M732" s="831"/>
      <c r="N732" s="1380"/>
      <c r="O732" s="831"/>
      <c r="P732" s="831"/>
      <c r="Q732" s="1244"/>
      <c r="R732" s="1244"/>
      <c r="S732" s="1244"/>
      <c r="T732" s="1244"/>
      <c r="U732" s="1244"/>
      <c r="V732" s="1244"/>
      <c r="W732" s="1244"/>
      <c r="X732" s="1244"/>
      <c r="Y732" s="1244"/>
      <c r="Z732" s="1244"/>
    </row>
    <row r="733" spans="1:26" ht="18.75">
      <c r="A733" s="1368"/>
      <c r="B733" s="1243"/>
      <c r="C733" s="1243"/>
      <c r="D733" s="1243"/>
      <c r="E733" s="1243" t="s">
        <v>310</v>
      </c>
      <c r="F733" s="1243"/>
      <c r="G733" s="963"/>
      <c r="H733" s="730" t="s">
        <v>35</v>
      </c>
      <c r="I733" s="1379"/>
      <c r="J733" s="959">
        <v>0</v>
      </c>
      <c r="K733" s="831"/>
      <c r="L733" s="1380"/>
      <c r="M733" s="831"/>
      <c r="N733" s="1380"/>
      <c r="O733" s="831"/>
      <c r="P733" s="831"/>
      <c r="Q733" s="1244"/>
      <c r="R733" s="1244"/>
      <c r="S733" s="1244"/>
      <c r="T733" s="1244"/>
      <c r="U733" s="1244"/>
      <c r="V733" s="1244"/>
      <c r="W733" s="1244"/>
      <c r="X733" s="1244"/>
      <c r="Y733" s="1244"/>
      <c r="Z733" s="1244"/>
    </row>
    <row r="734" spans="1:26" ht="18.75">
      <c r="A734" s="1368"/>
      <c r="B734" s="1243"/>
      <c r="C734" s="1243"/>
      <c r="D734" s="1243"/>
      <c r="E734" s="1243"/>
      <c r="F734" s="1243"/>
      <c r="G734" s="963"/>
      <c r="H734" s="730" t="s">
        <v>34</v>
      </c>
      <c r="I734" s="1379"/>
      <c r="J734" s="959">
        <v>0</v>
      </c>
      <c r="K734" s="831"/>
      <c r="L734" s="1380"/>
      <c r="M734" s="831"/>
      <c r="N734" s="1380"/>
      <c r="O734" s="831"/>
      <c r="P734" s="831"/>
      <c r="Q734" s="1244"/>
      <c r="R734" s="1244"/>
      <c r="S734" s="1244"/>
      <c r="T734" s="1244"/>
      <c r="U734" s="1244"/>
      <c r="V734" s="1244"/>
      <c r="W734" s="1244"/>
      <c r="X734" s="1244"/>
      <c r="Y734" s="1244"/>
      <c r="Z734" s="1244"/>
    </row>
    <row r="735" spans="1:26" ht="19.5">
      <c r="A735" s="1382"/>
      <c r="B735" s="1383" t="s">
        <v>311</v>
      </c>
      <c r="C735" s="1116"/>
      <c r="D735" s="1116"/>
      <c r="E735" s="1116"/>
      <c r="F735" s="1116"/>
      <c r="G735" s="1361"/>
      <c r="H735" s="391" t="s">
        <v>46</v>
      </c>
      <c r="I735" s="1384"/>
      <c r="J735" s="1118">
        <v>0</v>
      </c>
      <c r="K735" s="1182"/>
      <c r="L735" s="1385"/>
      <c r="M735" s="1182"/>
      <c r="N735" s="1385"/>
      <c r="O735" s="1182"/>
      <c r="P735" s="1182"/>
      <c r="Q735" s="1244"/>
      <c r="R735" s="1244"/>
      <c r="S735" s="1244"/>
      <c r="T735" s="1244"/>
      <c r="U735" s="1244"/>
      <c r="V735" s="1244"/>
      <c r="W735" s="1244"/>
      <c r="X735" s="1244"/>
      <c r="Y735" s="1244"/>
      <c r="Z735" s="1244"/>
    </row>
    <row r="736" spans="1:26" ht="19.5" hidden="1">
      <c r="A736" s="740">
        <v>9</v>
      </c>
      <c r="B736" s="1386" t="s">
        <v>312</v>
      </c>
      <c r="C736" s="1387"/>
      <c r="D736" s="1387"/>
      <c r="E736" s="1387"/>
      <c r="F736" s="1387"/>
      <c r="G736" s="1388"/>
      <c r="H736" s="744" t="s">
        <v>46</v>
      </c>
      <c r="I736" s="1389"/>
      <c r="J736" s="1389">
        <f>J751</f>
        <v>0</v>
      </c>
      <c r="K736" s="1390">
        <f>IF(I736&gt;0,J736*100/I736,0)</f>
        <v>0</v>
      </c>
      <c r="L736" s="1391"/>
      <c r="M736" s="1391"/>
      <c r="N736" s="1391"/>
      <c r="O736" s="1391"/>
      <c r="P736" s="1391"/>
      <c r="Q736" s="1264"/>
      <c r="R736" s="1264"/>
      <c r="S736" s="1264"/>
      <c r="T736" s="1264"/>
      <c r="U736" s="1264"/>
      <c r="V736" s="1264"/>
      <c r="W736" s="1264"/>
      <c r="X736" s="1264"/>
      <c r="Y736" s="1264"/>
      <c r="Z736" s="1264"/>
    </row>
    <row r="737" spans="1:26" ht="19.5" hidden="1">
      <c r="A737" s="1260"/>
      <c r="B737" s="1261"/>
      <c r="C737" s="1261" t="s">
        <v>16</v>
      </c>
      <c r="D737" s="1508" t="s">
        <v>17</v>
      </c>
      <c r="E737" s="1485"/>
      <c r="F737" s="1485"/>
      <c r="G737" s="1263"/>
      <c r="H737" s="612" t="s">
        <v>12</v>
      </c>
      <c r="I737" s="836"/>
      <c r="J737" s="836"/>
      <c r="K737" s="837"/>
      <c r="L737" s="1292">
        <f t="shared" ref="L737:N737" si="294">L738+L739</f>
        <v>0</v>
      </c>
      <c r="M737" s="1292">
        <f t="shared" si="294"/>
        <v>0</v>
      </c>
      <c r="N737" s="1292">
        <f t="shared" si="294"/>
        <v>0</v>
      </c>
      <c r="O737" s="1292">
        <f t="shared" ref="O737:O742" si="295">IF(L737&gt;0,N737*100/L737,0)</f>
        <v>0</v>
      </c>
      <c r="P737" s="1292">
        <f t="shared" ref="P737:P742" si="296">IF(M737&gt;0,N737*100/M737,0)</f>
        <v>0</v>
      </c>
      <c r="Q737" s="1264"/>
      <c r="R737" s="1264"/>
      <c r="S737" s="1264"/>
      <c r="T737" s="1264"/>
      <c r="U737" s="1264"/>
      <c r="V737" s="1264"/>
      <c r="W737" s="1264"/>
      <c r="X737" s="1264"/>
      <c r="Y737" s="1264"/>
      <c r="Z737" s="1264"/>
    </row>
    <row r="738" spans="1:26" ht="18.75" hidden="1">
      <c r="A738" s="1260"/>
      <c r="B738" s="1261"/>
      <c r="C738" s="1261"/>
      <c r="D738" s="1262"/>
      <c r="E738" s="1261" t="s">
        <v>184</v>
      </c>
      <c r="F738" s="1261"/>
      <c r="G738" s="1263"/>
      <c r="H738" s="165" t="s">
        <v>12</v>
      </c>
      <c r="I738" s="836"/>
      <c r="J738" s="836"/>
      <c r="K738" s="837"/>
      <c r="L738" s="837">
        <f t="shared" ref="L738:N739" si="297">L741+L748</f>
        <v>0</v>
      </c>
      <c r="M738" s="837">
        <f t="shared" si="297"/>
        <v>0</v>
      </c>
      <c r="N738" s="837">
        <f t="shared" si="297"/>
        <v>0</v>
      </c>
      <c r="O738" s="837">
        <f t="shared" si="295"/>
        <v>0</v>
      </c>
      <c r="P738" s="837">
        <f t="shared" si="296"/>
        <v>0</v>
      </c>
      <c r="Q738" s="1264"/>
      <c r="R738" s="1264"/>
      <c r="S738" s="1264"/>
      <c r="T738" s="1264"/>
      <c r="U738" s="1264"/>
      <c r="V738" s="1264"/>
      <c r="W738" s="1264"/>
      <c r="X738" s="1264"/>
      <c r="Y738" s="1264"/>
      <c r="Z738" s="1264"/>
    </row>
    <row r="739" spans="1:26" ht="18.75" hidden="1">
      <c r="A739" s="1260"/>
      <c r="B739" s="1265"/>
      <c r="C739" s="1261"/>
      <c r="D739" s="1262"/>
      <c r="E739" s="1261" t="s">
        <v>185</v>
      </c>
      <c r="F739" s="1261"/>
      <c r="G739" s="1263"/>
      <c r="H739" s="165" t="s">
        <v>12</v>
      </c>
      <c r="I739" s="836"/>
      <c r="J739" s="836"/>
      <c r="K739" s="837"/>
      <c r="L739" s="837">
        <f t="shared" si="297"/>
        <v>0</v>
      </c>
      <c r="M739" s="837">
        <f t="shared" si="297"/>
        <v>0</v>
      </c>
      <c r="N739" s="837">
        <f t="shared" si="297"/>
        <v>0</v>
      </c>
      <c r="O739" s="837">
        <f t="shared" si="295"/>
        <v>0</v>
      </c>
      <c r="P739" s="837">
        <f t="shared" si="296"/>
        <v>0</v>
      </c>
      <c r="Q739" s="1264"/>
      <c r="R739" s="1264"/>
      <c r="S739" s="1264"/>
      <c r="T739" s="1264"/>
      <c r="U739" s="1264"/>
      <c r="V739" s="1264"/>
      <c r="W739" s="1264"/>
      <c r="X739" s="1264"/>
      <c r="Y739" s="1264"/>
      <c r="Z739" s="1264"/>
    </row>
    <row r="740" spans="1:26" ht="19.5" hidden="1">
      <c r="A740" s="1260"/>
      <c r="B740" s="1265"/>
      <c r="C740" s="1261"/>
      <c r="D740" s="1392" t="s">
        <v>20</v>
      </c>
      <c r="E740" s="1261"/>
      <c r="F740" s="1261"/>
      <c r="G740" s="1263"/>
      <c r="H740" s="612" t="s">
        <v>12</v>
      </c>
      <c r="I740" s="947"/>
      <c r="J740" s="947"/>
      <c r="K740" s="948"/>
      <c r="L740" s="1292">
        <f t="shared" ref="L740:N740" si="298">L741+L742</f>
        <v>0</v>
      </c>
      <c r="M740" s="1292">
        <f t="shared" si="298"/>
        <v>0</v>
      </c>
      <c r="N740" s="1292">
        <f t="shared" si="298"/>
        <v>0</v>
      </c>
      <c r="O740" s="1292">
        <f t="shared" si="295"/>
        <v>0</v>
      </c>
      <c r="P740" s="1292">
        <f t="shared" si="296"/>
        <v>0</v>
      </c>
      <c r="Q740" s="1264"/>
      <c r="R740" s="1264"/>
      <c r="S740" s="1264"/>
      <c r="T740" s="1264"/>
      <c r="U740" s="1264"/>
      <c r="V740" s="1264"/>
      <c r="W740" s="1264"/>
      <c r="X740" s="1264"/>
      <c r="Y740" s="1264"/>
      <c r="Z740" s="1264"/>
    </row>
    <row r="741" spans="1:26" ht="18.75" hidden="1">
      <c r="A741" s="1260"/>
      <c r="B741" s="1265"/>
      <c r="C741" s="1261"/>
      <c r="D741" s="1262"/>
      <c r="E741" s="1261" t="s">
        <v>184</v>
      </c>
      <c r="F741" s="1261"/>
      <c r="G741" s="1263"/>
      <c r="H741" s="165" t="s">
        <v>12</v>
      </c>
      <c r="I741" s="836"/>
      <c r="J741" s="836"/>
      <c r="K741" s="837"/>
      <c r="L741" s="837">
        <v>0</v>
      </c>
      <c r="M741" s="837">
        <v>0</v>
      </c>
      <c r="N741" s="837">
        <v>0</v>
      </c>
      <c r="O741" s="837">
        <f t="shared" si="295"/>
        <v>0</v>
      </c>
      <c r="P741" s="837">
        <f t="shared" si="296"/>
        <v>0</v>
      </c>
      <c r="Q741" s="1264"/>
      <c r="R741" s="1264"/>
      <c r="S741" s="1264"/>
      <c r="T741" s="1264"/>
      <c r="U741" s="1264"/>
      <c r="V741" s="1264"/>
      <c r="W741" s="1264"/>
      <c r="X741" s="1264"/>
      <c r="Y741" s="1264"/>
      <c r="Z741" s="1264"/>
    </row>
    <row r="742" spans="1:26" ht="18.75" hidden="1">
      <c r="A742" s="1260"/>
      <c r="B742" s="1265"/>
      <c r="C742" s="1261"/>
      <c r="D742" s="1262"/>
      <c r="E742" s="1261" t="s">
        <v>185</v>
      </c>
      <c r="F742" s="1261"/>
      <c r="G742" s="1263"/>
      <c r="H742" s="165" t="s">
        <v>12</v>
      </c>
      <c r="I742" s="836"/>
      <c r="J742" s="836"/>
      <c r="K742" s="837"/>
      <c r="L742" s="837">
        <v>0</v>
      </c>
      <c r="M742" s="837">
        <v>0</v>
      </c>
      <c r="N742" s="837">
        <f>N743+N744+N745+N746</f>
        <v>0</v>
      </c>
      <c r="O742" s="837">
        <f t="shared" si="295"/>
        <v>0</v>
      </c>
      <c r="P742" s="837">
        <f t="shared" si="296"/>
        <v>0</v>
      </c>
      <c r="Q742" s="1264"/>
      <c r="R742" s="1264"/>
      <c r="S742" s="1264"/>
      <c r="T742" s="1264"/>
      <c r="U742" s="1264"/>
      <c r="V742" s="1264"/>
      <c r="W742" s="1264"/>
      <c r="X742" s="1264"/>
      <c r="Y742" s="1264"/>
      <c r="Z742" s="1264"/>
    </row>
    <row r="743" spans="1:26" ht="18.75" hidden="1">
      <c r="A743" s="1294"/>
      <c r="B743" s="1265"/>
      <c r="C743" s="1261"/>
      <c r="D743" s="1261"/>
      <c r="E743" s="1261"/>
      <c r="F743" s="1261" t="s">
        <v>186</v>
      </c>
      <c r="G743" s="1263"/>
      <c r="H743" s="165" t="s">
        <v>12</v>
      </c>
      <c r="I743" s="836"/>
      <c r="J743" s="836"/>
      <c r="K743" s="837"/>
      <c r="L743" s="837"/>
      <c r="M743" s="837"/>
      <c r="N743" s="837"/>
      <c r="O743" s="837"/>
      <c r="P743" s="837"/>
      <c r="Q743" s="1264"/>
      <c r="R743" s="1264"/>
      <c r="S743" s="1264"/>
      <c r="T743" s="1264"/>
      <c r="U743" s="1264"/>
      <c r="V743" s="1264"/>
      <c r="W743" s="1264"/>
      <c r="X743" s="1264"/>
      <c r="Y743" s="1264"/>
      <c r="Z743" s="1264"/>
    </row>
    <row r="744" spans="1:26" ht="18.75" hidden="1">
      <c r="A744" s="1294"/>
      <c r="B744" s="1265"/>
      <c r="C744" s="1261"/>
      <c r="D744" s="1261"/>
      <c r="E744" s="1261"/>
      <c r="F744" s="1261" t="s">
        <v>187</v>
      </c>
      <c r="G744" s="1263"/>
      <c r="H744" s="165" t="s">
        <v>12</v>
      </c>
      <c r="I744" s="836"/>
      <c r="J744" s="836"/>
      <c r="K744" s="837"/>
      <c r="L744" s="837"/>
      <c r="M744" s="837"/>
      <c r="N744" s="837"/>
      <c r="O744" s="837"/>
      <c r="P744" s="837"/>
      <c r="Q744" s="1264"/>
      <c r="R744" s="1264"/>
      <c r="S744" s="1264"/>
      <c r="T744" s="1264"/>
      <c r="U744" s="1264"/>
      <c r="V744" s="1264"/>
      <c r="W744" s="1264"/>
      <c r="X744" s="1264"/>
      <c r="Y744" s="1264"/>
      <c r="Z744" s="1264"/>
    </row>
    <row r="745" spans="1:26" ht="18.75" hidden="1">
      <c r="A745" s="1294"/>
      <c r="B745" s="1265"/>
      <c r="C745" s="1261"/>
      <c r="D745" s="1261"/>
      <c r="E745" s="1261"/>
      <c r="F745" s="1261" t="s">
        <v>188</v>
      </c>
      <c r="G745" s="1263"/>
      <c r="H745" s="165" t="s">
        <v>12</v>
      </c>
      <c r="I745" s="836"/>
      <c r="J745" s="836"/>
      <c r="K745" s="837"/>
      <c r="L745" s="837"/>
      <c r="M745" s="837"/>
      <c r="N745" s="837"/>
      <c r="O745" s="837"/>
      <c r="P745" s="837"/>
      <c r="Q745" s="1264"/>
      <c r="R745" s="1264"/>
      <c r="S745" s="1264"/>
      <c r="T745" s="1264"/>
      <c r="U745" s="1264"/>
      <c r="V745" s="1264"/>
      <c r="W745" s="1264"/>
      <c r="X745" s="1264"/>
      <c r="Y745" s="1264"/>
      <c r="Z745" s="1264"/>
    </row>
    <row r="746" spans="1:26" ht="18.75" hidden="1">
      <c r="A746" s="1294"/>
      <c r="B746" s="1265"/>
      <c r="C746" s="1261"/>
      <c r="D746" s="1261"/>
      <c r="E746" s="1261"/>
      <c r="F746" s="1261" t="s">
        <v>189</v>
      </c>
      <c r="G746" s="1263"/>
      <c r="H746" s="165" t="s">
        <v>12</v>
      </c>
      <c r="I746" s="836"/>
      <c r="J746" s="836"/>
      <c r="K746" s="837"/>
      <c r="L746" s="837"/>
      <c r="M746" s="837"/>
      <c r="N746" s="837"/>
      <c r="O746" s="837"/>
      <c r="P746" s="837"/>
      <c r="Q746" s="1264"/>
      <c r="R746" s="1264"/>
      <c r="S746" s="1264"/>
      <c r="T746" s="1264"/>
      <c r="U746" s="1264"/>
      <c r="V746" s="1264"/>
      <c r="W746" s="1264"/>
      <c r="X746" s="1264"/>
      <c r="Y746" s="1264"/>
      <c r="Z746" s="1264"/>
    </row>
    <row r="747" spans="1:26" ht="19.5" hidden="1">
      <c r="A747" s="1260"/>
      <c r="B747" s="1265"/>
      <c r="C747" s="1261"/>
      <c r="D747" s="1392" t="s">
        <v>21</v>
      </c>
      <c r="E747" s="1261"/>
      <c r="F747" s="1261"/>
      <c r="G747" s="1263"/>
      <c r="H747" s="749" t="s">
        <v>12</v>
      </c>
      <c r="I747" s="947"/>
      <c r="J747" s="947"/>
      <c r="K747" s="948"/>
      <c r="L747" s="1292">
        <f t="shared" ref="L747:N747" si="299">L748+L749</f>
        <v>0</v>
      </c>
      <c r="M747" s="1292">
        <f t="shared" si="299"/>
        <v>0</v>
      </c>
      <c r="N747" s="1292">
        <f t="shared" si="299"/>
        <v>0</v>
      </c>
      <c r="O747" s="1292">
        <f t="shared" ref="O747:O749" si="300">IF(L747&gt;0,N747*100/L747,0)</f>
        <v>0</v>
      </c>
      <c r="P747" s="1292">
        <f t="shared" ref="P747:P749" si="301">IF(M747&gt;0,N747*100/M747,0)</f>
        <v>0</v>
      </c>
      <c r="Q747" s="1264"/>
      <c r="R747" s="1264"/>
      <c r="S747" s="1264"/>
      <c r="T747" s="1264"/>
      <c r="U747" s="1264"/>
      <c r="V747" s="1264"/>
      <c r="W747" s="1264"/>
      <c r="X747" s="1264"/>
      <c r="Y747" s="1264"/>
      <c r="Z747" s="1264"/>
    </row>
    <row r="748" spans="1:26" ht="18.75" hidden="1">
      <c r="A748" s="1260"/>
      <c r="B748" s="1265"/>
      <c r="C748" s="1261"/>
      <c r="D748" s="1261"/>
      <c r="E748" s="1261" t="s">
        <v>18</v>
      </c>
      <c r="F748" s="1261"/>
      <c r="G748" s="1263"/>
      <c r="H748" s="165" t="s">
        <v>12</v>
      </c>
      <c r="I748" s="947"/>
      <c r="J748" s="947"/>
      <c r="K748" s="948"/>
      <c r="L748" s="837">
        <v>0</v>
      </c>
      <c r="M748" s="837">
        <v>0</v>
      </c>
      <c r="N748" s="837">
        <v>0</v>
      </c>
      <c r="O748" s="837">
        <f t="shared" si="300"/>
        <v>0</v>
      </c>
      <c r="P748" s="837">
        <f t="shared" si="301"/>
        <v>0</v>
      </c>
      <c r="Q748" s="1264"/>
      <c r="R748" s="1264"/>
      <c r="S748" s="1264"/>
      <c r="T748" s="1264"/>
      <c r="U748" s="1264"/>
      <c r="V748" s="1264"/>
      <c r="W748" s="1264"/>
      <c r="X748" s="1264"/>
      <c r="Y748" s="1264"/>
      <c r="Z748" s="1264"/>
    </row>
    <row r="749" spans="1:26" ht="18.75" hidden="1">
      <c r="A749" s="1260"/>
      <c r="B749" s="1265"/>
      <c r="C749" s="1261"/>
      <c r="D749" s="1261"/>
      <c r="E749" s="1261" t="s">
        <v>19</v>
      </c>
      <c r="F749" s="1261"/>
      <c r="G749" s="1263"/>
      <c r="H749" s="169" t="s">
        <v>12</v>
      </c>
      <c r="I749" s="947"/>
      <c r="J749" s="947"/>
      <c r="K749" s="948"/>
      <c r="L749" s="837">
        <v>0</v>
      </c>
      <c r="M749" s="837">
        <v>0</v>
      </c>
      <c r="N749" s="837">
        <v>0</v>
      </c>
      <c r="O749" s="837">
        <f t="shared" si="300"/>
        <v>0</v>
      </c>
      <c r="P749" s="837">
        <f t="shared" si="301"/>
        <v>0</v>
      </c>
      <c r="Q749" s="1264"/>
      <c r="R749" s="1264"/>
      <c r="S749" s="1264"/>
      <c r="T749" s="1264"/>
      <c r="U749" s="1264"/>
      <c r="V749" s="1264"/>
      <c r="W749" s="1264"/>
      <c r="X749" s="1264"/>
      <c r="Y749" s="1264"/>
      <c r="Z749" s="1264"/>
    </row>
    <row r="750" spans="1:26" ht="19.5" hidden="1">
      <c r="A750" s="1273"/>
      <c r="B750" s="1274"/>
      <c r="C750" s="1261" t="s">
        <v>16</v>
      </c>
      <c r="D750" s="1393" t="s">
        <v>38</v>
      </c>
      <c r="E750" s="1296"/>
      <c r="F750" s="1296"/>
      <c r="G750" s="1297"/>
      <c r="H750" s="1060"/>
      <c r="I750" s="947"/>
      <c r="J750" s="947"/>
      <c r="K750" s="948"/>
      <c r="L750" s="948"/>
      <c r="M750" s="948"/>
      <c r="N750" s="948"/>
      <c r="O750" s="948"/>
      <c r="P750" s="948"/>
      <c r="Q750" s="1264"/>
      <c r="R750" s="1264"/>
      <c r="S750" s="1264"/>
      <c r="T750" s="1264"/>
      <c r="U750" s="1264"/>
      <c r="V750" s="1264"/>
      <c r="W750" s="1264"/>
      <c r="X750" s="1264"/>
      <c r="Y750" s="1264"/>
      <c r="Z750" s="1264"/>
    </row>
    <row r="751" spans="1:26" ht="18.75" hidden="1">
      <c r="A751" s="1294"/>
      <c r="B751" s="1265"/>
      <c r="C751" s="1261"/>
      <c r="D751" s="1261"/>
      <c r="E751" s="1261" t="s">
        <v>313</v>
      </c>
      <c r="F751" s="1261"/>
      <c r="G751" s="1263"/>
      <c r="H751" s="165" t="s">
        <v>46</v>
      </c>
      <c r="I751" s="836"/>
      <c r="J751" s="836"/>
      <c r="K751" s="837"/>
      <c r="L751" s="837"/>
      <c r="M751" s="837"/>
      <c r="N751" s="837"/>
      <c r="O751" s="837"/>
      <c r="P751" s="837"/>
      <c r="Q751" s="1264"/>
      <c r="R751" s="1264"/>
      <c r="S751" s="1264"/>
      <c r="T751" s="1264"/>
      <c r="U751" s="1264"/>
      <c r="V751" s="1264"/>
      <c r="W751" s="1264"/>
      <c r="X751" s="1264"/>
      <c r="Y751" s="1264"/>
      <c r="Z751" s="1264"/>
    </row>
    <row r="752" spans="1:26" ht="18.75" hidden="1">
      <c r="A752" s="1294"/>
      <c r="B752" s="1265"/>
      <c r="C752" s="1261"/>
      <c r="D752" s="1261"/>
      <c r="E752" s="1261"/>
      <c r="F752" s="1261"/>
      <c r="G752" s="1263"/>
      <c r="H752" s="165" t="s">
        <v>314</v>
      </c>
      <c r="I752" s="836"/>
      <c r="J752" s="836"/>
      <c r="K752" s="837"/>
      <c r="L752" s="837"/>
      <c r="M752" s="837"/>
      <c r="N752" s="837"/>
      <c r="O752" s="837"/>
      <c r="P752" s="837"/>
      <c r="Q752" s="1264"/>
      <c r="R752" s="1264"/>
      <c r="S752" s="1264"/>
      <c r="T752" s="1264"/>
      <c r="U752" s="1264"/>
      <c r="V752" s="1264"/>
      <c r="W752" s="1264"/>
      <c r="X752" s="1264"/>
      <c r="Y752" s="1264"/>
      <c r="Z752" s="1264"/>
    </row>
    <row r="753" spans="1:26" ht="19.5" hidden="1">
      <c r="A753" s="751">
        <v>10</v>
      </c>
      <c r="B753" s="1394" t="s">
        <v>315</v>
      </c>
      <c r="C753" s="1395"/>
      <c r="D753" s="1395"/>
      <c r="E753" s="1395"/>
      <c r="F753" s="1395"/>
      <c r="G753" s="1396"/>
      <c r="H753" s="755" t="s">
        <v>46</v>
      </c>
      <c r="I753" s="1397"/>
      <c r="J753" s="1397">
        <f>J768</f>
        <v>0</v>
      </c>
      <c r="K753" s="1398">
        <f>IF(I753&gt;0,J753*100/I753,0)</f>
        <v>0</v>
      </c>
      <c r="L753" s="1399"/>
      <c r="M753" s="1399"/>
      <c r="N753" s="1399"/>
      <c r="O753" s="1399"/>
      <c r="P753" s="1399"/>
      <c r="Q753" s="1264"/>
      <c r="R753" s="1264"/>
      <c r="S753" s="1264"/>
      <c r="T753" s="1264"/>
      <c r="U753" s="1264"/>
      <c r="V753" s="1264"/>
      <c r="W753" s="1264"/>
      <c r="X753" s="1264"/>
      <c r="Y753" s="1264"/>
      <c r="Z753" s="1264"/>
    </row>
    <row r="754" spans="1:26" ht="19.5" hidden="1">
      <c r="A754" s="1260"/>
      <c r="B754" s="1261"/>
      <c r="C754" s="1261" t="s">
        <v>16</v>
      </c>
      <c r="D754" s="1508" t="s">
        <v>17</v>
      </c>
      <c r="E754" s="1485"/>
      <c r="F754" s="1485"/>
      <c r="G754" s="1263"/>
      <c r="H754" s="612" t="s">
        <v>12</v>
      </c>
      <c r="I754" s="836"/>
      <c r="J754" s="836"/>
      <c r="K754" s="837"/>
      <c r="L754" s="1292">
        <f t="shared" ref="L754:N754" si="302">L755+L756</f>
        <v>0</v>
      </c>
      <c r="M754" s="1292">
        <f t="shared" si="302"/>
        <v>0</v>
      </c>
      <c r="N754" s="1292">
        <f t="shared" si="302"/>
        <v>0</v>
      </c>
      <c r="O754" s="1292">
        <f t="shared" ref="O754:O759" si="303">IF(L754&gt;0,N754*100/L754,0)</f>
        <v>0</v>
      </c>
      <c r="P754" s="1292">
        <f t="shared" ref="P754:P759" si="304">IF(M754&gt;0,N754*100/M754,0)</f>
        <v>0</v>
      </c>
      <c r="Q754" s="1264"/>
      <c r="R754" s="1264"/>
      <c r="S754" s="1264"/>
      <c r="T754" s="1264"/>
      <c r="U754" s="1264"/>
      <c r="V754" s="1264"/>
      <c r="W754" s="1264"/>
      <c r="X754" s="1264"/>
      <c r="Y754" s="1264"/>
      <c r="Z754" s="1264"/>
    </row>
    <row r="755" spans="1:26" ht="18.75" hidden="1">
      <c r="A755" s="1260"/>
      <c r="B755" s="1261"/>
      <c r="C755" s="1261"/>
      <c r="D755" s="1262"/>
      <c r="E755" s="1261" t="s">
        <v>184</v>
      </c>
      <c r="F755" s="1261"/>
      <c r="G755" s="1263"/>
      <c r="H755" s="165" t="s">
        <v>12</v>
      </c>
      <c r="I755" s="836"/>
      <c r="J755" s="836"/>
      <c r="K755" s="837"/>
      <c r="L755" s="837">
        <f t="shared" ref="L755:N756" si="305">L758+L765</f>
        <v>0</v>
      </c>
      <c r="M755" s="837">
        <f t="shared" si="305"/>
        <v>0</v>
      </c>
      <c r="N755" s="837">
        <f t="shared" si="305"/>
        <v>0</v>
      </c>
      <c r="O755" s="837">
        <f t="shared" si="303"/>
        <v>0</v>
      </c>
      <c r="P755" s="837">
        <f t="shared" si="304"/>
        <v>0</v>
      </c>
      <c r="Q755" s="1264"/>
      <c r="R755" s="1264"/>
      <c r="S755" s="1264"/>
      <c r="T755" s="1264"/>
      <c r="U755" s="1264"/>
      <c r="V755" s="1264"/>
      <c r="W755" s="1264"/>
      <c r="X755" s="1264"/>
      <c r="Y755" s="1264"/>
      <c r="Z755" s="1264"/>
    </row>
    <row r="756" spans="1:26" ht="18.75" hidden="1">
      <c r="A756" s="1260"/>
      <c r="B756" s="1265"/>
      <c r="C756" s="1261"/>
      <c r="D756" s="1262"/>
      <c r="E756" s="1261" t="s">
        <v>185</v>
      </c>
      <c r="F756" s="1261"/>
      <c r="G756" s="1263"/>
      <c r="H756" s="165" t="s">
        <v>12</v>
      </c>
      <c r="I756" s="836"/>
      <c r="J756" s="836"/>
      <c r="K756" s="837"/>
      <c r="L756" s="837">
        <f t="shared" si="305"/>
        <v>0</v>
      </c>
      <c r="M756" s="837">
        <f t="shared" si="305"/>
        <v>0</v>
      </c>
      <c r="N756" s="837">
        <f t="shared" si="305"/>
        <v>0</v>
      </c>
      <c r="O756" s="837">
        <f t="shared" si="303"/>
        <v>0</v>
      </c>
      <c r="P756" s="837">
        <f t="shared" si="304"/>
        <v>0</v>
      </c>
      <c r="Q756" s="1264"/>
      <c r="R756" s="1264"/>
      <c r="S756" s="1264"/>
      <c r="T756" s="1264"/>
      <c r="U756" s="1264"/>
      <c r="V756" s="1264"/>
      <c r="W756" s="1264"/>
      <c r="X756" s="1264"/>
      <c r="Y756" s="1264"/>
      <c r="Z756" s="1264"/>
    </row>
    <row r="757" spans="1:26" ht="19.5" hidden="1">
      <c r="A757" s="1260"/>
      <c r="B757" s="1265"/>
      <c r="C757" s="1261"/>
      <c r="D757" s="1392" t="s">
        <v>20</v>
      </c>
      <c r="E757" s="1261"/>
      <c r="F757" s="1261"/>
      <c r="G757" s="1263"/>
      <c r="H757" s="612" t="s">
        <v>12</v>
      </c>
      <c r="I757" s="947"/>
      <c r="J757" s="947"/>
      <c r="K757" s="948"/>
      <c r="L757" s="1292">
        <f t="shared" ref="L757:N757" si="306">L758+L759</f>
        <v>0</v>
      </c>
      <c r="M757" s="1292">
        <f t="shared" si="306"/>
        <v>0</v>
      </c>
      <c r="N757" s="1292">
        <f t="shared" si="306"/>
        <v>0</v>
      </c>
      <c r="O757" s="1292">
        <f t="shared" si="303"/>
        <v>0</v>
      </c>
      <c r="P757" s="1292">
        <f t="shared" si="304"/>
        <v>0</v>
      </c>
      <c r="Q757" s="1264"/>
      <c r="R757" s="1264"/>
      <c r="S757" s="1264"/>
      <c r="T757" s="1264"/>
      <c r="U757" s="1264"/>
      <c r="V757" s="1264"/>
      <c r="W757" s="1264"/>
      <c r="X757" s="1264"/>
      <c r="Y757" s="1264"/>
      <c r="Z757" s="1264"/>
    </row>
    <row r="758" spans="1:26" ht="18.75" hidden="1">
      <c r="A758" s="1260"/>
      <c r="B758" s="1265"/>
      <c r="C758" s="1261"/>
      <c r="D758" s="1262"/>
      <c r="E758" s="1261" t="s">
        <v>184</v>
      </c>
      <c r="F758" s="1261"/>
      <c r="G758" s="1263"/>
      <c r="H758" s="165" t="s">
        <v>12</v>
      </c>
      <c r="I758" s="836"/>
      <c r="J758" s="836"/>
      <c r="K758" s="837"/>
      <c r="L758" s="837">
        <v>0</v>
      </c>
      <c r="M758" s="837">
        <v>0</v>
      </c>
      <c r="N758" s="837">
        <v>0</v>
      </c>
      <c r="O758" s="837">
        <f t="shared" si="303"/>
        <v>0</v>
      </c>
      <c r="P758" s="837">
        <f t="shared" si="304"/>
        <v>0</v>
      </c>
      <c r="Q758" s="1264"/>
      <c r="R758" s="1264"/>
      <c r="S758" s="1264"/>
      <c r="T758" s="1264"/>
      <c r="U758" s="1264"/>
      <c r="V758" s="1264"/>
      <c r="W758" s="1264"/>
      <c r="X758" s="1264"/>
      <c r="Y758" s="1264"/>
      <c r="Z758" s="1264"/>
    </row>
    <row r="759" spans="1:26" ht="18.75" hidden="1">
      <c r="A759" s="1260"/>
      <c r="B759" s="1265"/>
      <c r="C759" s="1261"/>
      <c r="D759" s="1262"/>
      <c r="E759" s="1261" t="s">
        <v>185</v>
      </c>
      <c r="F759" s="1261"/>
      <c r="G759" s="1263"/>
      <c r="H759" s="165" t="s">
        <v>12</v>
      </c>
      <c r="I759" s="836"/>
      <c r="J759" s="836"/>
      <c r="K759" s="837"/>
      <c r="L759" s="837">
        <v>0</v>
      </c>
      <c r="M759" s="837">
        <v>0</v>
      </c>
      <c r="N759" s="837">
        <f>N760+N761+N762+N763</f>
        <v>0</v>
      </c>
      <c r="O759" s="837">
        <f t="shared" si="303"/>
        <v>0</v>
      </c>
      <c r="P759" s="837">
        <f t="shared" si="304"/>
        <v>0</v>
      </c>
      <c r="Q759" s="1264"/>
      <c r="R759" s="1264"/>
      <c r="S759" s="1264"/>
      <c r="T759" s="1264"/>
      <c r="U759" s="1264"/>
      <c r="V759" s="1264"/>
      <c r="W759" s="1264"/>
      <c r="X759" s="1264"/>
      <c r="Y759" s="1264"/>
      <c r="Z759" s="1264"/>
    </row>
    <row r="760" spans="1:26" ht="18.75" hidden="1">
      <c r="A760" s="1294"/>
      <c r="B760" s="1265"/>
      <c r="C760" s="1261"/>
      <c r="D760" s="1261"/>
      <c r="E760" s="1261"/>
      <c r="F760" s="1261" t="s">
        <v>186</v>
      </c>
      <c r="G760" s="1263"/>
      <c r="H760" s="165" t="s">
        <v>12</v>
      </c>
      <c r="I760" s="836"/>
      <c r="J760" s="836"/>
      <c r="K760" s="837"/>
      <c r="L760" s="837"/>
      <c r="M760" s="837"/>
      <c r="N760" s="837"/>
      <c r="O760" s="837"/>
      <c r="P760" s="837"/>
      <c r="Q760" s="1264"/>
      <c r="R760" s="1264"/>
      <c r="S760" s="1264"/>
      <c r="T760" s="1264"/>
      <c r="U760" s="1264"/>
      <c r="V760" s="1264"/>
      <c r="W760" s="1264"/>
      <c r="X760" s="1264"/>
      <c r="Y760" s="1264"/>
      <c r="Z760" s="1264"/>
    </row>
    <row r="761" spans="1:26" ht="18.75" hidden="1">
      <c r="A761" s="1294"/>
      <c r="B761" s="1265"/>
      <c r="C761" s="1261"/>
      <c r="D761" s="1261"/>
      <c r="E761" s="1261"/>
      <c r="F761" s="1261" t="s">
        <v>187</v>
      </c>
      <c r="G761" s="1263"/>
      <c r="H761" s="165" t="s">
        <v>12</v>
      </c>
      <c r="I761" s="836"/>
      <c r="J761" s="836"/>
      <c r="K761" s="837"/>
      <c r="L761" s="837"/>
      <c r="M761" s="837"/>
      <c r="N761" s="837"/>
      <c r="O761" s="837"/>
      <c r="P761" s="837"/>
      <c r="Q761" s="1264"/>
      <c r="R761" s="1264"/>
      <c r="S761" s="1264"/>
      <c r="T761" s="1264"/>
      <c r="U761" s="1264"/>
      <c r="V761" s="1264"/>
      <c r="W761" s="1264"/>
      <c r="X761" s="1264"/>
      <c r="Y761" s="1264"/>
      <c r="Z761" s="1264"/>
    </row>
    <row r="762" spans="1:26" ht="18.75" hidden="1">
      <c r="A762" s="1294"/>
      <c r="B762" s="1265"/>
      <c r="C762" s="1261"/>
      <c r="D762" s="1261"/>
      <c r="E762" s="1261"/>
      <c r="F762" s="1261" t="s">
        <v>188</v>
      </c>
      <c r="G762" s="1263"/>
      <c r="H762" s="165" t="s">
        <v>12</v>
      </c>
      <c r="I762" s="836"/>
      <c r="J762" s="836"/>
      <c r="K762" s="837"/>
      <c r="L762" s="837"/>
      <c r="M762" s="837"/>
      <c r="N762" s="837"/>
      <c r="O762" s="837"/>
      <c r="P762" s="837"/>
      <c r="Q762" s="1264"/>
      <c r="R762" s="1264"/>
      <c r="S762" s="1264"/>
      <c r="T762" s="1264"/>
      <c r="U762" s="1264"/>
      <c r="V762" s="1264"/>
      <c r="W762" s="1264"/>
      <c r="X762" s="1264"/>
      <c r="Y762" s="1264"/>
      <c r="Z762" s="1264"/>
    </row>
    <row r="763" spans="1:26" ht="18.75" hidden="1">
      <c r="A763" s="1294"/>
      <c r="B763" s="1265"/>
      <c r="C763" s="1261"/>
      <c r="D763" s="1261"/>
      <c r="E763" s="1261"/>
      <c r="F763" s="1261" t="s">
        <v>189</v>
      </c>
      <c r="G763" s="1263"/>
      <c r="H763" s="165" t="s">
        <v>12</v>
      </c>
      <c r="I763" s="836"/>
      <c r="J763" s="836"/>
      <c r="K763" s="837"/>
      <c r="L763" s="837"/>
      <c r="M763" s="837"/>
      <c r="N763" s="837"/>
      <c r="O763" s="837"/>
      <c r="P763" s="837"/>
      <c r="Q763" s="1264"/>
      <c r="R763" s="1264"/>
      <c r="S763" s="1264"/>
      <c r="T763" s="1264"/>
      <c r="U763" s="1264"/>
      <c r="V763" s="1264"/>
      <c r="W763" s="1264"/>
      <c r="X763" s="1264"/>
      <c r="Y763" s="1264"/>
      <c r="Z763" s="1264"/>
    </row>
    <row r="764" spans="1:26" ht="19.5" hidden="1">
      <c r="A764" s="1260"/>
      <c r="B764" s="1265"/>
      <c r="C764" s="1261"/>
      <c r="D764" s="1392" t="s">
        <v>21</v>
      </c>
      <c r="E764" s="1261"/>
      <c r="F764" s="1261"/>
      <c r="G764" s="1263"/>
      <c r="H764" s="749" t="s">
        <v>12</v>
      </c>
      <c r="I764" s="947"/>
      <c r="J764" s="947"/>
      <c r="K764" s="948"/>
      <c r="L764" s="1292">
        <f t="shared" ref="L764:N764" si="307">L765+L766</f>
        <v>0</v>
      </c>
      <c r="M764" s="1292">
        <f t="shared" si="307"/>
        <v>0</v>
      </c>
      <c r="N764" s="1292">
        <f t="shared" si="307"/>
        <v>0</v>
      </c>
      <c r="O764" s="1292">
        <f t="shared" ref="O764:O766" si="308">IF(L764&gt;0,N764*100/L764,0)</f>
        <v>0</v>
      </c>
      <c r="P764" s="1292">
        <f t="shared" ref="P764:P766" si="309">IF(M764&gt;0,N764*100/M764,0)</f>
        <v>0</v>
      </c>
      <c r="Q764" s="1264"/>
      <c r="R764" s="1264"/>
      <c r="S764" s="1264"/>
      <c r="T764" s="1264"/>
      <c r="U764" s="1264"/>
      <c r="V764" s="1264"/>
      <c r="W764" s="1264"/>
      <c r="X764" s="1264"/>
      <c r="Y764" s="1264"/>
      <c r="Z764" s="1264"/>
    </row>
    <row r="765" spans="1:26" ht="18.75" hidden="1">
      <c r="A765" s="1260"/>
      <c r="B765" s="1265"/>
      <c r="C765" s="1261"/>
      <c r="D765" s="1261"/>
      <c r="E765" s="1261" t="s">
        <v>18</v>
      </c>
      <c r="F765" s="1261"/>
      <c r="G765" s="1263"/>
      <c r="H765" s="165" t="s">
        <v>12</v>
      </c>
      <c r="I765" s="947"/>
      <c r="J765" s="947"/>
      <c r="K765" s="948"/>
      <c r="L765" s="837">
        <v>0</v>
      </c>
      <c r="M765" s="837">
        <v>0</v>
      </c>
      <c r="N765" s="837">
        <v>0</v>
      </c>
      <c r="O765" s="837">
        <f t="shared" si="308"/>
        <v>0</v>
      </c>
      <c r="P765" s="837">
        <f t="shared" si="309"/>
        <v>0</v>
      </c>
      <c r="Q765" s="1264"/>
      <c r="R765" s="1264"/>
      <c r="S765" s="1264"/>
      <c r="T765" s="1264"/>
      <c r="U765" s="1264"/>
      <c r="V765" s="1264"/>
      <c r="W765" s="1264"/>
      <c r="X765" s="1264"/>
      <c r="Y765" s="1264"/>
      <c r="Z765" s="1264"/>
    </row>
    <row r="766" spans="1:26" ht="18.75" hidden="1">
      <c r="A766" s="1260"/>
      <c r="B766" s="1265"/>
      <c r="C766" s="1261"/>
      <c r="D766" s="1261"/>
      <c r="E766" s="1261" t="s">
        <v>19</v>
      </c>
      <c r="F766" s="1261"/>
      <c r="G766" s="1263"/>
      <c r="H766" s="169" t="s">
        <v>12</v>
      </c>
      <c r="I766" s="947"/>
      <c r="J766" s="947"/>
      <c r="K766" s="948"/>
      <c r="L766" s="837">
        <v>0</v>
      </c>
      <c r="M766" s="837">
        <v>0</v>
      </c>
      <c r="N766" s="837">
        <v>0</v>
      </c>
      <c r="O766" s="837">
        <f t="shared" si="308"/>
        <v>0</v>
      </c>
      <c r="P766" s="837">
        <f t="shared" si="309"/>
        <v>0</v>
      </c>
      <c r="Q766" s="1264"/>
      <c r="R766" s="1264"/>
      <c r="S766" s="1264"/>
      <c r="T766" s="1264"/>
      <c r="U766" s="1264"/>
      <c r="V766" s="1264"/>
      <c r="W766" s="1264"/>
      <c r="X766" s="1264"/>
      <c r="Y766" s="1264"/>
      <c r="Z766" s="1264"/>
    </row>
    <row r="767" spans="1:26" ht="19.5" hidden="1">
      <c r="A767" s="1273"/>
      <c r="B767" s="1274"/>
      <c r="C767" s="1261" t="s">
        <v>16</v>
      </c>
      <c r="D767" s="1393" t="s">
        <v>38</v>
      </c>
      <c r="E767" s="1296"/>
      <c r="F767" s="1296"/>
      <c r="G767" s="1297"/>
      <c r="H767" s="1060"/>
      <c r="I767" s="947"/>
      <c r="J767" s="947"/>
      <c r="K767" s="948"/>
      <c r="L767" s="948"/>
      <c r="M767" s="948"/>
      <c r="N767" s="948"/>
      <c r="O767" s="948"/>
      <c r="P767" s="948"/>
      <c r="Q767" s="1264"/>
      <c r="R767" s="1264"/>
      <c r="S767" s="1264"/>
      <c r="T767" s="1264"/>
      <c r="U767" s="1264"/>
      <c r="V767" s="1264"/>
      <c r="W767" s="1264"/>
      <c r="X767" s="1264"/>
      <c r="Y767" s="1264"/>
      <c r="Z767" s="1264"/>
    </row>
    <row r="768" spans="1:26" ht="18.75" hidden="1">
      <c r="A768" s="1294"/>
      <c r="B768" s="1265"/>
      <c r="C768" s="1261"/>
      <c r="D768" s="1261"/>
      <c r="E768" s="1261" t="s">
        <v>316</v>
      </c>
      <c r="F768" s="1261"/>
      <c r="G768" s="1263"/>
      <c r="H768" s="165" t="s">
        <v>46</v>
      </c>
      <c r="I768" s="836"/>
      <c r="J768" s="836"/>
      <c r="K768" s="837"/>
      <c r="L768" s="837"/>
      <c r="M768" s="837"/>
      <c r="N768" s="837"/>
      <c r="O768" s="837"/>
      <c r="P768" s="837"/>
      <c r="Q768" s="1264"/>
      <c r="R768" s="1264"/>
      <c r="S768" s="1264"/>
      <c r="T768" s="1264"/>
      <c r="U768" s="1264"/>
      <c r="V768" s="1264"/>
      <c r="W768" s="1264"/>
      <c r="X768" s="1264"/>
      <c r="Y768" s="1264"/>
      <c r="Z768" s="1264"/>
    </row>
    <row r="769" spans="1:26" ht="19.5" hidden="1">
      <c r="A769" s="759">
        <v>11</v>
      </c>
      <c r="B769" s="1400" t="s">
        <v>317</v>
      </c>
      <c r="C769" s="1401"/>
      <c r="D769" s="1401"/>
      <c r="E769" s="1401"/>
      <c r="F769" s="1401"/>
      <c r="G769" s="1402"/>
      <c r="H769" s="763" t="s">
        <v>46</v>
      </c>
      <c r="I769" s="1403"/>
      <c r="J769" s="1403">
        <f>J784</f>
        <v>0</v>
      </c>
      <c r="K769" s="1404">
        <f>IF(I769&gt;0,J769*100/I769,0)</f>
        <v>0</v>
      </c>
      <c r="L769" s="1405"/>
      <c r="M769" s="1405"/>
      <c r="N769" s="1405"/>
      <c r="O769" s="1405"/>
      <c r="P769" s="1405"/>
      <c r="Q769" s="1264"/>
      <c r="R769" s="1264"/>
      <c r="S769" s="1264"/>
      <c r="T769" s="1264"/>
      <c r="U769" s="1264"/>
      <c r="V769" s="1264"/>
      <c r="W769" s="1264"/>
      <c r="X769" s="1264"/>
      <c r="Y769" s="1264"/>
      <c r="Z769" s="1264"/>
    </row>
    <row r="770" spans="1:26" ht="19.5" hidden="1">
      <c r="A770" s="1260"/>
      <c r="B770" s="1261"/>
      <c r="C770" s="1261" t="s">
        <v>16</v>
      </c>
      <c r="D770" s="1508" t="s">
        <v>17</v>
      </c>
      <c r="E770" s="1485"/>
      <c r="F770" s="1485"/>
      <c r="G770" s="1263"/>
      <c r="H770" s="612" t="s">
        <v>12</v>
      </c>
      <c r="I770" s="836"/>
      <c r="J770" s="836"/>
      <c r="K770" s="837"/>
      <c r="L770" s="1292">
        <f t="shared" ref="L770:N770" si="310">L771+L772</f>
        <v>0</v>
      </c>
      <c r="M770" s="1292">
        <f t="shared" si="310"/>
        <v>0</v>
      </c>
      <c r="N770" s="1292">
        <f t="shared" si="310"/>
        <v>0</v>
      </c>
      <c r="O770" s="1292">
        <f t="shared" ref="O770:O775" si="311">IF(L770&gt;0,N770*100/L770,0)</f>
        <v>0</v>
      </c>
      <c r="P770" s="1292">
        <f t="shared" ref="P770:P775" si="312">IF(M770&gt;0,N770*100/M770,0)</f>
        <v>0</v>
      </c>
      <c r="Q770" s="1264"/>
      <c r="R770" s="1264"/>
      <c r="S770" s="1264"/>
      <c r="T770" s="1264"/>
      <c r="U770" s="1264"/>
      <c r="V770" s="1264"/>
      <c r="W770" s="1264"/>
      <c r="X770" s="1264"/>
      <c r="Y770" s="1264"/>
      <c r="Z770" s="1264"/>
    </row>
    <row r="771" spans="1:26" ht="18.75" hidden="1">
      <c r="A771" s="1260"/>
      <c r="B771" s="1261"/>
      <c r="C771" s="1261"/>
      <c r="D771" s="1262"/>
      <c r="E771" s="1261" t="s">
        <v>184</v>
      </c>
      <c r="F771" s="1261"/>
      <c r="G771" s="1263"/>
      <c r="H771" s="165" t="s">
        <v>12</v>
      </c>
      <c r="I771" s="836"/>
      <c r="J771" s="836"/>
      <c r="K771" s="837"/>
      <c r="L771" s="837">
        <f t="shared" ref="L771:N772" si="313">L774+L781</f>
        <v>0</v>
      </c>
      <c r="M771" s="837">
        <f t="shared" si="313"/>
        <v>0</v>
      </c>
      <c r="N771" s="837">
        <f t="shared" si="313"/>
        <v>0</v>
      </c>
      <c r="O771" s="837">
        <f t="shared" si="311"/>
        <v>0</v>
      </c>
      <c r="P771" s="837">
        <f t="shared" si="312"/>
        <v>0</v>
      </c>
      <c r="Q771" s="1264"/>
      <c r="R771" s="1264"/>
      <c r="S771" s="1264"/>
      <c r="T771" s="1264"/>
      <c r="U771" s="1264"/>
      <c r="V771" s="1264"/>
      <c r="W771" s="1264"/>
      <c r="X771" s="1264"/>
      <c r="Y771" s="1264"/>
      <c r="Z771" s="1264"/>
    </row>
    <row r="772" spans="1:26" ht="18.75" hidden="1">
      <c r="A772" s="1260"/>
      <c r="B772" s="1265"/>
      <c r="C772" s="1261"/>
      <c r="D772" s="1262"/>
      <c r="E772" s="1261" t="s">
        <v>185</v>
      </c>
      <c r="F772" s="1261"/>
      <c r="G772" s="1263"/>
      <c r="H772" s="165" t="s">
        <v>12</v>
      </c>
      <c r="I772" s="836"/>
      <c r="J772" s="836"/>
      <c r="K772" s="837"/>
      <c r="L772" s="837">
        <f t="shared" si="313"/>
        <v>0</v>
      </c>
      <c r="M772" s="837">
        <f t="shared" si="313"/>
        <v>0</v>
      </c>
      <c r="N772" s="837">
        <f t="shared" si="313"/>
        <v>0</v>
      </c>
      <c r="O772" s="837">
        <f t="shared" si="311"/>
        <v>0</v>
      </c>
      <c r="P772" s="837">
        <f t="shared" si="312"/>
        <v>0</v>
      </c>
      <c r="Q772" s="1264"/>
      <c r="R772" s="1264"/>
      <c r="S772" s="1264"/>
      <c r="T772" s="1264"/>
      <c r="U772" s="1264"/>
      <c r="V772" s="1264"/>
      <c r="W772" s="1264"/>
      <c r="X772" s="1264"/>
      <c r="Y772" s="1264"/>
      <c r="Z772" s="1264"/>
    </row>
    <row r="773" spans="1:26" ht="19.5" hidden="1">
      <c r="A773" s="1260"/>
      <c r="B773" s="1265"/>
      <c r="C773" s="1261"/>
      <c r="D773" s="1392" t="s">
        <v>20</v>
      </c>
      <c r="E773" s="1261"/>
      <c r="F773" s="1261"/>
      <c r="G773" s="1263"/>
      <c r="H773" s="612" t="s">
        <v>12</v>
      </c>
      <c r="I773" s="947"/>
      <c r="J773" s="947"/>
      <c r="K773" s="948"/>
      <c r="L773" s="1292">
        <f t="shared" ref="L773:N773" si="314">L774+L775</f>
        <v>0</v>
      </c>
      <c r="M773" s="1292">
        <f t="shared" si="314"/>
        <v>0</v>
      </c>
      <c r="N773" s="1292">
        <f t="shared" si="314"/>
        <v>0</v>
      </c>
      <c r="O773" s="1292">
        <f t="shared" si="311"/>
        <v>0</v>
      </c>
      <c r="P773" s="1292">
        <f t="shared" si="312"/>
        <v>0</v>
      </c>
      <c r="Q773" s="1264"/>
      <c r="R773" s="1264"/>
      <c r="S773" s="1264"/>
      <c r="T773" s="1264"/>
      <c r="U773" s="1264"/>
      <c r="V773" s="1264"/>
      <c r="W773" s="1264"/>
      <c r="X773" s="1264"/>
      <c r="Y773" s="1264"/>
      <c r="Z773" s="1264"/>
    </row>
    <row r="774" spans="1:26" ht="18.75" hidden="1">
      <c r="A774" s="1260"/>
      <c r="B774" s="1265"/>
      <c r="C774" s="1261"/>
      <c r="D774" s="1262"/>
      <c r="E774" s="1261" t="s">
        <v>184</v>
      </c>
      <c r="F774" s="1261"/>
      <c r="G774" s="1263"/>
      <c r="H774" s="165" t="s">
        <v>12</v>
      </c>
      <c r="I774" s="836"/>
      <c r="J774" s="836"/>
      <c r="K774" s="837"/>
      <c r="L774" s="837">
        <v>0</v>
      </c>
      <c r="M774" s="837">
        <v>0</v>
      </c>
      <c r="N774" s="837">
        <v>0</v>
      </c>
      <c r="O774" s="837">
        <f t="shared" si="311"/>
        <v>0</v>
      </c>
      <c r="P774" s="837">
        <f t="shared" si="312"/>
        <v>0</v>
      </c>
      <c r="Q774" s="1264"/>
      <c r="R774" s="1264"/>
      <c r="S774" s="1264"/>
      <c r="T774" s="1264"/>
      <c r="U774" s="1264"/>
      <c r="V774" s="1264"/>
      <c r="W774" s="1264"/>
      <c r="X774" s="1264"/>
      <c r="Y774" s="1264"/>
      <c r="Z774" s="1264"/>
    </row>
    <row r="775" spans="1:26" ht="18.75" hidden="1">
      <c r="A775" s="1260"/>
      <c r="B775" s="1265"/>
      <c r="C775" s="1261"/>
      <c r="D775" s="1262"/>
      <c r="E775" s="1261" t="s">
        <v>185</v>
      </c>
      <c r="F775" s="1261"/>
      <c r="G775" s="1263"/>
      <c r="H775" s="165" t="s">
        <v>12</v>
      </c>
      <c r="I775" s="836"/>
      <c r="J775" s="836"/>
      <c r="K775" s="837"/>
      <c r="L775" s="837">
        <v>0</v>
      </c>
      <c r="M775" s="837">
        <v>0</v>
      </c>
      <c r="N775" s="837">
        <f>N776+N777+N778+N779</f>
        <v>0</v>
      </c>
      <c r="O775" s="837">
        <f t="shared" si="311"/>
        <v>0</v>
      </c>
      <c r="P775" s="837">
        <f t="shared" si="312"/>
        <v>0</v>
      </c>
      <c r="Q775" s="1264"/>
      <c r="R775" s="1264"/>
      <c r="S775" s="1264"/>
      <c r="T775" s="1264"/>
      <c r="U775" s="1264"/>
      <c r="V775" s="1264"/>
      <c r="W775" s="1264"/>
      <c r="X775" s="1264"/>
      <c r="Y775" s="1264"/>
      <c r="Z775" s="1264"/>
    </row>
    <row r="776" spans="1:26" ht="18.75" hidden="1">
      <c r="A776" s="1294"/>
      <c r="B776" s="1265"/>
      <c r="C776" s="1261"/>
      <c r="D776" s="1261"/>
      <c r="E776" s="1261"/>
      <c r="F776" s="1261" t="s">
        <v>186</v>
      </c>
      <c r="G776" s="1263"/>
      <c r="H776" s="165" t="s">
        <v>12</v>
      </c>
      <c r="I776" s="836"/>
      <c r="J776" s="836"/>
      <c r="K776" s="837"/>
      <c r="L776" s="837"/>
      <c r="M776" s="837"/>
      <c r="N776" s="837"/>
      <c r="O776" s="837"/>
      <c r="P776" s="837"/>
      <c r="Q776" s="1264"/>
      <c r="R776" s="1264"/>
      <c r="S776" s="1264"/>
      <c r="T776" s="1264"/>
      <c r="U776" s="1264"/>
      <c r="V776" s="1264"/>
      <c r="W776" s="1264"/>
      <c r="X776" s="1264"/>
      <c r="Y776" s="1264"/>
      <c r="Z776" s="1264"/>
    </row>
    <row r="777" spans="1:26" ht="18.75" hidden="1">
      <c r="A777" s="1294"/>
      <c r="B777" s="1265"/>
      <c r="C777" s="1261"/>
      <c r="D777" s="1261"/>
      <c r="E777" s="1261"/>
      <c r="F777" s="1261" t="s">
        <v>187</v>
      </c>
      <c r="G777" s="1263"/>
      <c r="H777" s="165" t="s">
        <v>12</v>
      </c>
      <c r="I777" s="836"/>
      <c r="J777" s="836"/>
      <c r="K777" s="837"/>
      <c r="L777" s="837"/>
      <c r="M777" s="837"/>
      <c r="N777" s="837"/>
      <c r="O777" s="837"/>
      <c r="P777" s="837"/>
      <c r="Q777" s="1264"/>
      <c r="R777" s="1264"/>
      <c r="S777" s="1264"/>
      <c r="T777" s="1264"/>
      <c r="U777" s="1264"/>
      <c r="V777" s="1264"/>
      <c r="W777" s="1264"/>
      <c r="X777" s="1264"/>
      <c r="Y777" s="1264"/>
      <c r="Z777" s="1264"/>
    </row>
    <row r="778" spans="1:26" ht="18.75" hidden="1">
      <c r="A778" s="1294"/>
      <c r="B778" s="1265"/>
      <c r="C778" s="1261"/>
      <c r="D778" s="1261"/>
      <c r="E778" s="1261"/>
      <c r="F778" s="1261" t="s">
        <v>188</v>
      </c>
      <c r="G778" s="1263"/>
      <c r="H778" s="165" t="s">
        <v>12</v>
      </c>
      <c r="I778" s="836"/>
      <c r="J778" s="836"/>
      <c r="K778" s="837"/>
      <c r="L778" s="837"/>
      <c r="M778" s="837"/>
      <c r="N778" s="837"/>
      <c r="O778" s="837"/>
      <c r="P778" s="837"/>
      <c r="Q778" s="1264"/>
      <c r="R778" s="1264"/>
      <c r="S778" s="1264"/>
      <c r="T778" s="1264"/>
      <c r="U778" s="1264"/>
      <c r="V778" s="1264"/>
      <c r="W778" s="1264"/>
      <c r="X778" s="1264"/>
      <c r="Y778" s="1264"/>
      <c r="Z778" s="1264"/>
    </row>
    <row r="779" spans="1:26" ht="18.75" hidden="1">
      <c r="A779" s="1294"/>
      <c r="B779" s="1265"/>
      <c r="C779" s="1261"/>
      <c r="D779" s="1261"/>
      <c r="E779" s="1261"/>
      <c r="F779" s="1261" t="s">
        <v>189</v>
      </c>
      <c r="G779" s="1263"/>
      <c r="H779" s="165" t="s">
        <v>12</v>
      </c>
      <c r="I779" s="836"/>
      <c r="J779" s="836"/>
      <c r="K779" s="837"/>
      <c r="L779" s="837"/>
      <c r="M779" s="837"/>
      <c r="N779" s="837"/>
      <c r="O779" s="837"/>
      <c r="P779" s="837"/>
      <c r="Q779" s="1264"/>
      <c r="R779" s="1264"/>
      <c r="S779" s="1264"/>
      <c r="T779" s="1264"/>
      <c r="U779" s="1264"/>
      <c r="V779" s="1264"/>
      <c r="W779" s="1264"/>
      <c r="X779" s="1264"/>
      <c r="Y779" s="1264"/>
      <c r="Z779" s="1264"/>
    </row>
    <row r="780" spans="1:26" ht="19.5" hidden="1">
      <c r="A780" s="1260"/>
      <c r="B780" s="1265"/>
      <c r="C780" s="1261"/>
      <c r="D780" s="1392" t="s">
        <v>21</v>
      </c>
      <c r="E780" s="1261"/>
      <c r="F780" s="1261"/>
      <c r="G780" s="1263"/>
      <c r="H780" s="749" t="s">
        <v>12</v>
      </c>
      <c r="I780" s="947"/>
      <c r="J780" s="947"/>
      <c r="K780" s="948"/>
      <c r="L780" s="1292">
        <f t="shared" ref="L780:N780" si="315">L781+L782</f>
        <v>0</v>
      </c>
      <c r="M780" s="1292">
        <f t="shared" si="315"/>
        <v>0</v>
      </c>
      <c r="N780" s="1292">
        <f t="shared" si="315"/>
        <v>0</v>
      </c>
      <c r="O780" s="1292">
        <f t="shared" ref="O780:O782" si="316">IF(L780&gt;0,N780*100/L780,0)</f>
        <v>0</v>
      </c>
      <c r="P780" s="1292">
        <f t="shared" ref="P780:P782" si="317">IF(M780&gt;0,N780*100/M780,0)</f>
        <v>0</v>
      </c>
      <c r="Q780" s="1264"/>
      <c r="R780" s="1264"/>
      <c r="S780" s="1264"/>
      <c r="T780" s="1264"/>
      <c r="U780" s="1264"/>
      <c r="V780" s="1264"/>
      <c r="W780" s="1264"/>
      <c r="X780" s="1264"/>
      <c r="Y780" s="1264"/>
      <c r="Z780" s="1264"/>
    </row>
    <row r="781" spans="1:26" ht="18.75" hidden="1">
      <c r="A781" s="1260"/>
      <c r="B781" s="1265"/>
      <c r="C781" s="1261"/>
      <c r="D781" s="1261"/>
      <c r="E781" s="1261" t="s">
        <v>18</v>
      </c>
      <c r="F781" s="1261"/>
      <c r="G781" s="1263"/>
      <c r="H781" s="165" t="s">
        <v>12</v>
      </c>
      <c r="I781" s="947"/>
      <c r="J781" s="947"/>
      <c r="K781" s="948"/>
      <c r="L781" s="837">
        <v>0</v>
      </c>
      <c r="M781" s="837">
        <v>0</v>
      </c>
      <c r="N781" s="837">
        <v>0</v>
      </c>
      <c r="O781" s="837">
        <f t="shared" si="316"/>
        <v>0</v>
      </c>
      <c r="P781" s="837">
        <f t="shared" si="317"/>
        <v>0</v>
      </c>
      <c r="Q781" s="1264"/>
      <c r="R781" s="1264"/>
      <c r="S781" s="1264"/>
      <c r="T781" s="1264"/>
      <c r="U781" s="1264"/>
      <c r="V781" s="1264"/>
      <c r="W781" s="1264"/>
      <c r="X781" s="1264"/>
      <c r="Y781" s="1264"/>
      <c r="Z781" s="1264"/>
    </row>
    <row r="782" spans="1:26" ht="18.75" hidden="1">
      <c r="A782" s="1260"/>
      <c r="B782" s="1265"/>
      <c r="C782" s="1261"/>
      <c r="D782" s="1261"/>
      <c r="E782" s="1261" t="s">
        <v>19</v>
      </c>
      <c r="F782" s="1261"/>
      <c r="G782" s="1263"/>
      <c r="H782" s="169" t="s">
        <v>12</v>
      </c>
      <c r="I782" s="947"/>
      <c r="J782" s="947"/>
      <c r="K782" s="948"/>
      <c r="L782" s="837">
        <v>0</v>
      </c>
      <c r="M782" s="837">
        <v>0</v>
      </c>
      <c r="N782" s="837">
        <v>0</v>
      </c>
      <c r="O782" s="837">
        <f t="shared" si="316"/>
        <v>0</v>
      </c>
      <c r="P782" s="837">
        <f t="shared" si="317"/>
        <v>0</v>
      </c>
      <c r="Q782" s="1264"/>
      <c r="R782" s="1264"/>
      <c r="S782" s="1264"/>
      <c r="T782" s="1264"/>
      <c r="U782" s="1264"/>
      <c r="V782" s="1264"/>
      <c r="W782" s="1264"/>
      <c r="X782" s="1264"/>
      <c r="Y782" s="1264"/>
      <c r="Z782" s="1264"/>
    </row>
    <row r="783" spans="1:26" ht="19.5" hidden="1">
      <c r="A783" s="1273"/>
      <c r="B783" s="1274"/>
      <c r="C783" s="1261" t="s">
        <v>16</v>
      </c>
      <c r="D783" s="1393" t="s">
        <v>38</v>
      </c>
      <c r="E783" s="1296"/>
      <c r="F783" s="1296"/>
      <c r="G783" s="1297"/>
      <c r="H783" s="1406"/>
      <c r="I783" s="947"/>
      <c r="J783" s="947"/>
      <c r="K783" s="948"/>
      <c r="L783" s="948"/>
      <c r="M783" s="948"/>
      <c r="N783" s="948"/>
      <c r="O783" s="948"/>
      <c r="P783" s="948"/>
      <c r="Q783" s="1264"/>
      <c r="R783" s="1264"/>
      <c r="S783" s="1264"/>
      <c r="T783" s="1264"/>
      <c r="U783" s="1264"/>
      <c r="V783" s="1264"/>
      <c r="W783" s="1264"/>
      <c r="X783" s="1264"/>
      <c r="Y783" s="1264"/>
      <c r="Z783" s="1264"/>
    </row>
    <row r="784" spans="1:26" ht="18.75" hidden="1">
      <c r="A784" s="1294"/>
      <c r="B784" s="1265"/>
      <c r="C784" s="1261"/>
      <c r="D784" s="1261"/>
      <c r="E784" s="1261" t="s">
        <v>318</v>
      </c>
      <c r="F784" s="1261"/>
      <c r="G784" s="1263"/>
      <c r="H784" s="165" t="s">
        <v>46</v>
      </c>
      <c r="I784" s="836"/>
      <c r="J784" s="836"/>
      <c r="K784" s="837"/>
      <c r="L784" s="837"/>
      <c r="M784" s="837"/>
      <c r="N784" s="837"/>
      <c r="O784" s="837"/>
      <c r="P784" s="837"/>
      <c r="Q784" s="1264"/>
      <c r="R784" s="1264"/>
      <c r="S784" s="1264"/>
      <c r="T784" s="1264"/>
      <c r="U784" s="1264"/>
      <c r="V784" s="1264"/>
      <c r="W784" s="1264"/>
      <c r="X784" s="1264"/>
      <c r="Y784" s="1264"/>
      <c r="Z784" s="1264"/>
    </row>
    <row r="785" spans="1:26" ht="19.5" hidden="1">
      <c r="A785" s="768">
        <v>12</v>
      </c>
      <c r="B785" s="1407" t="s">
        <v>319</v>
      </c>
      <c r="C785" s="1408"/>
      <c r="D785" s="1408"/>
      <c r="E785" s="1408"/>
      <c r="F785" s="1408"/>
      <c r="G785" s="1409"/>
      <c r="H785" s="772" t="s">
        <v>46</v>
      </c>
      <c r="I785" s="1436">
        <f t="shared" ref="I785:J785" ca="1" si="318">I800</f>
        <v>0</v>
      </c>
      <c r="J785" s="1410">
        <f t="shared" ca="1" si="318"/>
        <v>0</v>
      </c>
      <c r="K785" s="1411">
        <f ca="1">IF(I785&gt;0,J785*100/I785,0)</f>
        <v>0</v>
      </c>
      <c r="L785" s="1412"/>
      <c r="M785" s="1412"/>
      <c r="N785" s="1412"/>
      <c r="O785" s="1412"/>
      <c r="P785" s="1412"/>
      <c r="Q785" s="1244"/>
      <c r="R785" s="1244"/>
      <c r="S785" s="1244"/>
      <c r="T785" s="1244"/>
      <c r="U785" s="1244"/>
      <c r="V785" s="1244"/>
      <c r="W785" s="1244"/>
      <c r="X785" s="1244"/>
      <c r="Y785" s="1244"/>
      <c r="Z785" s="1244"/>
    </row>
    <row r="786" spans="1:26" ht="19.5" hidden="1">
      <c r="A786" s="1259"/>
      <c r="B786" s="1242"/>
      <c r="C786" s="1243" t="s">
        <v>16</v>
      </c>
      <c r="D786" s="1507" t="s">
        <v>17</v>
      </c>
      <c r="E786" s="1485"/>
      <c r="F786" s="1485"/>
      <c r="G786" s="963"/>
      <c r="H786" s="563" t="s">
        <v>12</v>
      </c>
      <c r="I786" s="830"/>
      <c r="J786" s="830"/>
      <c r="K786" s="831"/>
      <c r="L786" s="967">
        <f t="shared" ref="L786:N786" ca="1" si="319">L787+L788</f>
        <v>0</v>
      </c>
      <c r="M786" s="967">
        <f t="shared" si="319"/>
        <v>0</v>
      </c>
      <c r="N786" s="967">
        <f t="shared" si="319"/>
        <v>0</v>
      </c>
      <c r="O786" s="967">
        <f t="shared" ref="O786:O791" ca="1" si="320">IF(L786&gt;0,N786*100/L786,0)</f>
        <v>0</v>
      </c>
      <c r="P786" s="967">
        <f t="shared" ref="P786:P791" si="321">IF(M786&gt;0,N786*100/M786,0)</f>
        <v>0</v>
      </c>
      <c r="Q786" s="1244"/>
      <c r="R786" s="1244"/>
      <c r="S786" s="1244"/>
      <c r="T786" s="1244"/>
      <c r="U786" s="1244"/>
      <c r="V786" s="1244"/>
      <c r="W786" s="1244"/>
      <c r="X786" s="1244"/>
      <c r="Y786" s="1244"/>
      <c r="Z786" s="1244"/>
    </row>
    <row r="787" spans="1:26" ht="18.75" hidden="1">
      <c r="A787" s="1260"/>
      <c r="B787" s="1265"/>
      <c r="C787" s="1261"/>
      <c r="D787" s="1262"/>
      <c r="E787" s="1261" t="s">
        <v>184</v>
      </c>
      <c r="F787" s="1261"/>
      <c r="G787" s="1263"/>
      <c r="H787" s="165" t="s">
        <v>12</v>
      </c>
      <c r="I787" s="836"/>
      <c r="J787" s="836"/>
      <c r="K787" s="837"/>
      <c r="L787" s="837">
        <f t="shared" ref="L787:N788" si="322">L790+L797</f>
        <v>0</v>
      </c>
      <c r="M787" s="837">
        <f t="shared" si="322"/>
        <v>0</v>
      </c>
      <c r="N787" s="837">
        <f t="shared" si="322"/>
        <v>0</v>
      </c>
      <c r="O787" s="837">
        <f t="shared" si="320"/>
        <v>0</v>
      </c>
      <c r="P787" s="837">
        <f t="shared" si="321"/>
        <v>0</v>
      </c>
      <c r="Q787" s="1264"/>
      <c r="R787" s="1264"/>
      <c r="S787" s="1264"/>
      <c r="T787" s="1264"/>
      <c r="U787" s="1264"/>
      <c r="V787" s="1264"/>
      <c r="W787" s="1264"/>
      <c r="X787" s="1264"/>
      <c r="Y787" s="1264"/>
      <c r="Z787" s="1264"/>
    </row>
    <row r="788" spans="1:26" ht="18.75" hidden="1">
      <c r="A788" s="1260"/>
      <c r="B788" s="1265"/>
      <c r="C788" s="1265"/>
      <c r="D788" s="1274"/>
      <c r="E788" s="1261" t="s">
        <v>185</v>
      </c>
      <c r="F788" s="1261"/>
      <c r="G788" s="1263"/>
      <c r="H788" s="165" t="s">
        <v>12</v>
      </c>
      <c r="I788" s="836"/>
      <c r="J788" s="836"/>
      <c r="K788" s="837"/>
      <c r="L788" s="837">
        <f t="shared" ca="1" si="322"/>
        <v>0</v>
      </c>
      <c r="M788" s="837">
        <f t="shared" si="322"/>
        <v>0</v>
      </c>
      <c r="N788" s="837">
        <f t="shared" si="322"/>
        <v>0</v>
      </c>
      <c r="O788" s="837">
        <f t="shared" ca="1" si="320"/>
        <v>0</v>
      </c>
      <c r="P788" s="837">
        <f t="shared" si="321"/>
        <v>0</v>
      </c>
      <c r="Q788" s="1264"/>
      <c r="R788" s="1264"/>
      <c r="S788" s="1264"/>
      <c r="T788" s="1264"/>
      <c r="U788" s="1264"/>
      <c r="V788" s="1264"/>
      <c r="W788" s="1264"/>
      <c r="X788" s="1264"/>
      <c r="Y788" s="1264"/>
      <c r="Z788" s="1264"/>
    </row>
    <row r="789" spans="1:26" ht="18.75" hidden="1">
      <c r="A789" s="1259"/>
      <c r="B789" s="1242"/>
      <c r="C789" s="1242"/>
      <c r="D789" s="1266" t="s">
        <v>20</v>
      </c>
      <c r="E789" s="1243"/>
      <c r="F789" s="1243"/>
      <c r="G789" s="963"/>
      <c r="H789" s="778" t="s">
        <v>12</v>
      </c>
      <c r="I789" s="944"/>
      <c r="J789" s="944"/>
      <c r="K789" s="945"/>
      <c r="L789" s="831">
        <f t="shared" ref="L789:N789" ca="1" si="323">L790+L791</f>
        <v>0</v>
      </c>
      <c r="M789" s="831">
        <f t="shared" si="323"/>
        <v>0</v>
      </c>
      <c r="N789" s="831">
        <f t="shared" si="323"/>
        <v>0</v>
      </c>
      <c r="O789" s="831">
        <f t="shared" ca="1" si="320"/>
        <v>0</v>
      </c>
      <c r="P789" s="831">
        <f t="shared" si="321"/>
        <v>0</v>
      </c>
      <c r="Q789" s="1244"/>
      <c r="R789" s="1244"/>
      <c r="S789" s="1244"/>
      <c r="T789" s="1244"/>
      <c r="U789" s="1244"/>
      <c r="V789" s="1244"/>
      <c r="W789" s="1244"/>
      <c r="X789" s="1244"/>
      <c r="Y789" s="1244"/>
      <c r="Z789" s="1244"/>
    </row>
    <row r="790" spans="1:26" ht="18.75" hidden="1">
      <c r="A790" s="1260"/>
      <c r="B790" s="1265"/>
      <c r="C790" s="1265"/>
      <c r="D790" s="1274"/>
      <c r="E790" s="1261" t="s">
        <v>184</v>
      </c>
      <c r="F790" s="1261"/>
      <c r="G790" s="1263"/>
      <c r="H790" s="165" t="s">
        <v>12</v>
      </c>
      <c r="I790" s="836"/>
      <c r="J790" s="836"/>
      <c r="K790" s="837"/>
      <c r="L790" s="837">
        <v>0</v>
      </c>
      <c r="M790" s="837">
        <v>0</v>
      </c>
      <c r="N790" s="837">
        <v>0</v>
      </c>
      <c r="O790" s="837">
        <f t="shared" si="320"/>
        <v>0</v>
      </c>
      <c r="P790" s="837">
        <f t="shared" si="321"/>
        <v>0</v>
      </c>
      <c r="Q790" s="1264"/>
      <c r="R790" s="1264"/>
      <c r="S790" s="1264"/>
      <c r="T790" s="1264"/>
      <c r="U790" s="1264"/>
      <c r="V790" s="1264"/>
      <c r="W790" s="1264"/>
      <c r="X790" s="1264"/>
      <c r="Y790" s="1264"/>
      <c r="Z790" s="1264"/>
    </row>
    <row r="791" spans="1:26" ht="18.75" hidden="1">
      <c r="A791" s="1260"/>
      <c r="B791" s="1265"/>
      <c r="C791" s="1265"/>
      <c r="D791" s="1274"/>
      <c r="E791" s="1261" t="s">
        <v>185</v>
      </c>
      <c r="F791" s="1261"/>
      <c r="G791" s="1263"/>
      <c r="H791" s="165" t="s">
        <v>12</v>
      </c>
      <c r="I791" s="836"/>
      <c r="J791" s="836"/>
      <c r="K791" s="837"/>
      <c r="L791" s="837">
        <f ca="1">IFERROR(__xludf.DUMMYFUNCTION("IMPORTRANGE(""https://docs.google.com/spreadsheets/d/1QqKyyYR6Q21VydFLVH3TRQUabQu_ym0Zz7PgGX0-kHA/edit?usp=sharing"",""แผน!JJ28"")"),0)</f>
        <v>0</v>
      </c>
      <c r="M791" s="837">
        <v>0</v>
      </c>
      <c r="N791" s="837">
        <f>N792+N793+N794+N795</f>
        <v>0</v>
      </c>
      <c r="O791" s="837">
        <f t="shared" ca="1" si="320"/>
        <v>0</v>
      </c>
      <c r="P791" s="837">
        <f t="shared" si="321"/>
        <v>0</v>
      </c>
      <c r="Q791" s="1264"/>
      <c r="R791" s="1264"/>
      <c r="S791" s="1264"/>
      <c r="T791" s="1264"/>
      <c r="U791" s="1264"/>
      <c r="V791" s="1264"/>
      <c r="W791" s="1264"/>
      <c r="X791" s="1264"/>
      <c r="Y791" s="1264"/>
      <c r="Z791" s="1264"/>
    </row>
    <row r="792" spans="1:26" ht="18.75" hidden="1">
      <c r="A792" s="1241"/>
      <c r="B792" s="1242"/>
      <c r="C792" s="1243"/>
      <c r="D792" s="1243"/>
      <c r="E792" s="1243"/>
      <c r="F792" s="1243" t="s">
        <v>186</v>
      </c>
      <c r="G792" s="963"/>
      <c r="H792" s="778" t="s">
        <v>12</v>
      </c>
      <c r="I792" s="830"/>
      <c r="J792" s="830"/>
      <c r="K792" s="831"/>
      <c r="L792" s="831"/>
      <c r="M792" s="831"/>
      <c r="N792" s="1031">
        <v>0</v>
      </c>
      <c r="O792" s="831"/>
      <c r="P792" s="831"/>
      <c r="Q792" s="1244"/>
      <c r="R792" s="1244"/>
      <c r="S792" s="1244"/>
      <c r="T792" s="1244"/>
      <c r="U792" s="1244"/>
      <c r="V792" s="1244"/>
      <c r="W792" s="1244"/>
      <c r="X792" s="1244"/>
      <c r="Y792" s="1244"/>
      <c r="Z792" s="1244"/>
    </row>
    <row r="793" spans="1:26" ht="18.75" hidden="1">
      <c r="A793" s="1241"/>
      <c r="B793" s="1242"/>
      <c r="C793" s="1243"/>
      <c r="D793" s="1243"/>
      <c r="E793" s="1243"/>
      <c r="F793" s="1243" t="s">
        <v>187</v>
      </c>
      <c r="G793" s="963"/>
      <c r="H793" s="778" t="s">
        <v>12</v>
      </c>
      <c r="I793" s="830"/>
      <c r="J793" s="830"/>
      <c r="K793" s="831"/>
      <c r="L793" s="831"/>
      <c r="M793" s="831"/>
      <c r="N793" s="1031">
        <v>0</v>
      </c>
      <c r="O793" s="831"/>
      <c r="P793" s="831"/>
      <c r="Q793" s="1244"/>
      <c r="R793" s="1244"/>
      <c r="S793" s="1244"/>
      <c r="T793" s="1244"/>
      <c r="U793" s="1244"/>
      <c r="V793" s="1244"/>
      <c r="W793" s="1244"/>
      <c r="X793" s="1244"/>
      <c r="Y793" s="1244"/>
      <c r="Z793" s="1244"/>
    </row>
    <row r="794" spans="1:26" ht="18.75" hidden="1">
      <c r="A794" s="1241"/>
      <c r="B794" s="1242"/>
      <c r="C794" s="1243"/>
      <c r="D794" s="1243"/>
      <c r="E794" s="1243"/>
      <c r="F794" s="1243" t="s">
        <v>188</v>
      </c>
      <c r="G794" s="963"/>
      <c r="H794" s="778" t="s">
        <v>12</v>
      </c>
      <c r="I794" s="830"/>
      <c r="J794" s="830"/>
      <c r="K794" s="831"/>
      <c r="L794" s="831"/>
      <c r="M794" s="831"/>
      <c r="N794" s="1031">
        <v>0</v>
      </c>
      <c r="O794" s="831"/>
      <c r="P794" s="831"/>
      <c r="Q794" s="1244"/>
      <c r="R794" s="1244"/>
      <c r="S794" s="1244"/>
      <c r="T794" s="1244"/>
      <c r="U794" s="1244"/>
      <c r="V794" s="1244"/>
      <c r="W794" s="1244"/>
      <c r="X794" s="1244"/>
      <c r="Y794" s="1244"/>
      <c r="Z794" s="1244"/>
    </row>
    <row r="795" spans="1:26" ht="18.75" hidden="1">
      <c r="A795" s="1241"/>
      <c r="B795" s="1242"/>
      <c r="C795" s="1243"/>
      <c r="D795" s="1243"/>
      <c r="E795" s="1243"/>
      <c r="F795" s="1243" t="s">
        <v>189</v>
      </c>
      <c r="G795" s="963"/>
      <c r="H795" s="778" t="s">
        <v>12</v>
      </c>
      <c r="I795" s="830"/>
      <c r="J795" s="830"/>
      <c r="K795" s="831"/>
      <c r="L795" s="831"/>
      <c r="M795" s="831"/>
      <c r="N795" s="1031">
        <v>0</v>
      </c>
      <c r="O795" s="831"/>
      <c r="P795" s="831"/>
      <c r="Q795" s="1244"/>
      <c r="R795" s="1244"/>
      <c r="S795" s="1244"/>
      <c r="T795" s="1244"/>
      <c r="U795" s="1244"/>
      <c r="V795" s="1244"/>
      <c r="W795" s="1244"/>
      <c r="X795" s="1244"/>
      <c r="Y795" s="1244"/>
      <c r="Z795" s="1244"/>
    </row>
    <row r="796" spans="1:26" ht="18.75" hidden="1">
      <c r="A796" s="1259"/>
      <c r="B796" s="1242"/>
      <c r="C796" s="1243"/>
      <c r="D796" s="1266" t="s">
        <v>21</v>
      </c>
      <c r="E796" s="1243"/>
      <c r="F796" s="1243"/>
      <c r="G796" s="963"/>
      <c r="H796" s="168" t="s">
        <v>12</v>
      </c>
      <c r="I796" s="944"/>
      <c r="J796" s="944"/>
      <c r="K796" s="945"/>
      <c r="L796" s="831">
        <f t="shared" ref="L796:N796" si="324">L797+L798</f>
        <v>0</v>
      </c>
      <c r="M796" s="831">
        <f t="shared" si="324"/>
        <v>0</v>
      </c>
      <c r="N796" s="831">
        <f t="shared" si="324"/>
        <v>0</v>
      </c>
      <c r="O796" s="831">
        <f t="shared" ref="O796:O798" si="325">IF(L796&gt;0,N796*100/L796,0)</f>
        <v>0</v>
      </c>
      <c r="P796" s="831">
        <f t="shared" ref="P796:P798" si="326">IF(M796&gt;0,N796*100/M796,0)</f>
        <v>0</v>
      </c>
      <c r="Q796" s="1244"/>
      <c r="R796" s="1244"/>
      <c r="S796" s="1244"/>
      <c r="T796" s="1244"/>
      <c r="U796" s="1244"/>
      <c r="V796" s="1244"/>
      <c r="W796" s="1244"/>
      <c r="X796" s="1244"/>
      <c r="Y796" s="1244"/>
      <c r="Z796" s="1244"/>
    </row>
    <row r="797" spans="1:26" ht="18.75" hidden="1">
      <c r="A797" s="1260"/>
      <c r="B797" s="1265"/>
      <c r="C797" s="1261"/>
      <c r="D797" s="1261"/>
      <c r="E797" s="1261" t="s">
        <v>18</v>
      </c>
      <c r="F797" s="1261"/>
      <c r="G797" s="1263"/>
      <c r="H797" s="165" t="s">
        <v>12</v>
      </c>
      <c r="I797" s="947"/>
      <c r="J797" s="947"/>
      <c r="K797" s="948"/>
      <c r="L797" s="837">
        <v>0</v>
      </c>
      <c r="M797" s="837">
        <v>0</v>
      </c>
      <c r="N797" s="837">
        <v>0</v>
      </c>
      <c r="O797" s="837">
        <f t="shared" si="325"/>
        <v>0</v>
      </c>
      <c r="P797" s="837">
        <f t="shared" si="326"/>
        <v>0</v>
      </c>
      <c r="Q797" s="1264"/>
      <c r="R797" s="1264"/>
      <c r="S797" s="1264"/>
      <c r="T797" s="1264"/>
      <c r="U797" s="1264"/>
      <c r="V797" s="1264"/>
      <c r="W797" s="1264"/>
      <c r="X797" s="1264"/>
      <c r="Y797" s="1264"/>
      <c r="Z797" s="1264"/>
    </row>
    <row r="798" spans="1:26" ht="18.75" hidden="1">
      <c r="A798" s="1260"/>
      <c r="B798" s="1265"/>
      <c r="C798" s="1261"/>
      <c r="D798" s="1261"/>
      <c r="E798" s="1261" t="s">
        <v>19</v>
      </c>
      <c r="F798" s="1261"/>
      <c r="G798" s="1263"/>
      <c r="H798" s="169" t="s">
        <v>12</v>
      </c>
      <c r="I798" s="947"/>
      <c r="J798" s="947"/>
      <c r="K798" s="948"/>
      <c r="L798" s="837">
        <v>0</v>
      </c>
      <c r="M798" s="837">
        <v>0</v>
      </c>
      <c r="N798" s="837">
        <v>0</v>
      </c>
      <c r="O798" s="837">
        <f t="shared" si="325"/>
        <v>0</v>
      </c>
      <c r="P798" s="837">
        <f t="shared" si="326"/>
        <v>0</v>
      </c>
      <c r="Q798" s="1264"/>
      <c r="R798" s="1264"/>
      <c r="S798" s="1264"/>
      <c r="T798" s="1264"/>
      <c r="U798" s="1264"/>
      <c r="V798" s="1264"/>
      <c r="W798" s="1264"/>
      <c r="X798" s="1264"/>
      <c r="Y798" s="1264"/>
      <c r="Z798" s="1264"/>
    </row>
    <row r="799" spans="1:26" ht="19.5" hidden="1">
      <c r="A799" s="1267"/>
      <c r="B799" s="1268"/>
      <c r="C799" s="1243" t="s">
        <v>16</v>
      </c>
      <c r="D799" s="1378" t="s">
        <v>38</v>
      </c>
      <c r="E799" s="1271"/>
      <c r="F799" s="1271"/>
      <c r="G799" s="1272"/>
      <c r="H799" s="1413"/>
      <c r="I799" s="944"/>
      <c r="J799" s="944"/>
      <c r="K799" s="945"/>
      <c r="L799" s="945"/>
      <c r="M799" s="945"/>
      <c r="N799" s="945"/>
      <c r="O799" s="945"/>
      <c r="P799" s="945"/>
      <c r="Q799" s="1244"/>
      <c r="R799" s="1244"/>
      <c r="S799" s="1244"/>
      <c r="T799" s="1244"/>
      <c r="U799" s="1244"/>
      <c r="V799" s="1244"/>
      <c r="W799" s="1244"/>
      <c r="X799" s="1244"/>
      <c r="Y799" s="1244"/>
      <c r="Z799" s="1244"/>
    </row>
    <row r="800" spans="1:26" ht="18.75" hidden="1">
      <c r="A800" s="1267"/>
      <c r="B800" s="1268"/>
      <c r="C800" s="1268"/>
      <c r="D800" s="1268"/>
      <c r="E800" s="961"/>
      <c r="F800" s="961" t="s">
        <v>320</v>
      </c>
      <c r="G800" s="954"/>
      <c r="H800" s="777" t="s">
        <v>46</v>
      </c>
      <c r="I800" s="944">
        <f ca="1">IFERROR(__xludf.DUMMYFUNCTION("IMPORTRANGE(""https://docs.google.com/spreadsheets/d/1QqKyyYR6Q21VydFLVH3TRQUabQu_ym0Zz7PgGX0-kHA/edit?usp=sharing"",""แผน!JN28"")"),0)</f>
        <v>0</v>
      </c>
      <c r="J800" s="944">
        <f ca="1">IFERROR(__xludf.DUMMYFUNCTION("IMPORTRANGE(""https://docs.google.com/spreadsheets/d/1MaWodYyGHDf7siQLGxnXhG4mBNTNIuy296niS2xXulU/edit?usp=sharing"",""RTK!H28"")"),0)</f>
        <v>0</v>
      </c>
      <c r="K800" s="831">
        <f ca="1">IF(I800&gt;0,J800*100/I800,0)</f>
        <v>0</v>
      </c>
      <c r="L800" s="831"/>
      <c r="M800" s="831"/>
      <c r="N800" s="831"/>
      <c r="O800" s="945"/>
      <c r="P800" s="945"/>
      <c r="Q800" s="1244"/>
      <c r="R800" s="1244"/>
      <c r="S800" s="1244"/>
      <c r="T800" s="1244"/>
      <c r="U800" s="1244"/>
      <c r="V800" s="1244"/>
      <c r="W800" s="1244"/>
      <c r="X800" s="1244"/>
      <c r="Y800" s="1244"/>
      <c r="Z800" s="1244"/>
    </row>
    <row r="801" spans="1:26" ht="18.75" hidden="1">
      <c r="A801" s="1267"/>
      <c r="B801" s="1268"/>
      <c r="C801" s="1268"/>
      <c r="D801" s="1268"/>
      <c r="E801" s="961"/>
      <c r="F801" s="961"/>
      <c r="G801" s="954"/>
      <c r="H801" s="778" t="s">
        <v>34</v>
      </c>
      <c r="I801" s="944"/>
      <c r="J801" s="830">
        <f ca="1">IFERROR(__xludf.DUMMYFUNCTION("IMPORTRANGE(""https://docs.google.com/spreadsheets/d/1MaWodYyGHDf7siQLGxnXhG4mBNTNIuy296niS2xXulU/edit?usp=sharing"",""RTK!I28"")"),0)</f>
        <v>0</v>
      </c>
      <c r="K801" s="831"/>
      <c r="L801" s="831"/>
      <c r="M801" s="831"/>
      <c r="N801" s="831"/>
      <c r="O801" s="945"/>
      <c r="P801" s="945"/>
      <c r="Q801" s="1244"/>
      <c r="R801" s="1244"/>
      <c r="S801" s="1244"/>
      <c r="T801" s="1244"/>
      <c r="U801" s="1244"/>
      <c r="V801" s="1244"/>
      <c r="W801" s="1244"/>
      <c r="X801" s="1244"/>
      <c r="Y801" s="1244"/>
      <c r="Z801" s="1244"/>
    </row>
    <row r="802" spans="1:26" ht="18.75" hidden="1">
      <c r="A802" s="1273"/>
      <c r="B802" s="1274"/>
      <c r="C802" s="1274"/>
      <c r="D802" s="1274"/>
      <c r="E802" s="1262"/>
      <c r="F802" s="1262" t="s">
        <v>321</v>
      </c>
      <c r="G802" s="1060"/>
      <c r="H802" s="619" t="s">
        <v>46</v>
      </c>
      <c r="I802" s="947"/>
      <c r="J802" s="836"/>
      <c r="K802" s="948">
        <f>IF(I802&gt;0,J802*100/I802,0)</f>
        <v>0</v>
      </c>
      <c r="L802" s="948"/>
      <c r="M802" s="948"/>
      <c r="N802" s="948"/>
      <c r="O802" s="948"/>
      <c r="P802" s="948"/>
      <c r="Q802" s="1264"/>
      <c r="R802" s="1264"/>
      <c r="S802" s="1264"/>
      <c r="T802" s="1264"/>
      <c r="U802" s="1264"/>
      <c r="V802" s="1264"/>
      <c r="W802" s="1264"/>
      <c r="X802" s="1264"/>
      <c r="Y802" s="1264"/>
      <c r="Z802" s="1264"/>
    </row>
    <row r="803" spans="1:26" ht="18.75" hidden="1">
      <c r="A803" s="1273"/>
      <c r="B803" s="1274"/>
      <c r="C803" s="1274"/>
      <c r="D803" s="1274"/>
      <c r="E803" s="1262"/>
      <c r="F803" s="1262"/>
      <c r="G803" s="1060"/>
      <c r="H803" s="619" t="s">
        <v>34</v>
      </c>
      <c r="I803" s="947"/>
      <c r="J803" s="836"/>
      <c r="K803" s="948"/>
      <c r="L803" s="948"/>
      <c r="M803" s="948"/>
      <c r="N803" s="948"/>
      <c r="O803" s="948"/>
      <c r="P803" s="948"/>
      <c r="Q803" s="1264"/>
      <c r="R803" s="1264"/>
      <c r="S803" s="1264"/>
      <c r="T803" s="1264"/>
      <c r="U803" s="1264"/>
      <c r="V803" s="1264"/>
      <c r="W803" s="1264"/>
      <c r="X803" s="1264"/>
      <c r="Y803" s="1264"/>
      <c r="Z803" s="1264"/>
    </row>
    <row r="804" spans="1:26" ht="19.5" hidden="1">
      <c r="A804" s="759">
        <v>13</v>
      </c>
      <c r="B804" s="1400" t="s">
        <v>322</v>
      </c>
      <c r="C804" s="1401"/>
      <c r="D804" s="1419"/>
      <c r="E804" s="1401"/>
      <c r="F804" s="1401"/>
      <c r="G804" s="1402"/>
      <c r="H804" s="763" t="s">
        <v>46</v>
      </c>
      <c r="I804" s="1403"/>
      <c r="J804" s="1403">
        <f>J819</f>
        <v>0</v>
      </c>
      <c r="K804" s="1404">
        <f>IF(I804&gt;0,J804*100/I804,0)</f>
        <v>0</v>
      </c>
      <c r="L804" s="1405"/>
      <c r="M804" s="1405"/>
      <c r="N804" s="1405"/>
      <c r="O804" s="1405"/>
      <c r="P804" s="1405"/>
      <c r="Q804" s="1264"/>
      <c r="R804" s="1264"/>
      <c r="S804" s="1264"/>
      <c r="T804" s="1264"/>
      <c r="U804" s="1264"/>
      <c r="V804" s="1264"/>
      <c r="W804" s="1264"/>
      <c r="X804" s="1264"/>
      <c r="Y804" s="1264"/>
      <c r="Z804" s="1264"/>
    </row>
    <row r="805" spans="1:26" ht="19.5" hidden="1">
      <c r="A805" s="1260"/>
      <c r="B805" s="1261"/>
      <c r="C805" s="1261" t="s">
        <v>16</v>
      </c>
      <c r="D805" s="1508" t="s">
        <v>17</v>
      </c>
      <c r="E805" s="1485"/>
      <c r="F805" s="1485"/>
      <c r="G805" s="1263"/>
      <c r="H805" s="612" t="s">
        <v>12</v>
      </c>
      <c r="I805" s="836"/>
      <c r="J805" s="836"/>
      <c r="K805" s="837"/>
      <c r="L805" s="1292">
        <f t="shared" ref="L805:N805" si="327">L806+L807</f>
        <v>0</v>
      </c>
      <c r="M805" s="1292">
        <f t="shared" si="327"/>
        <v>0</v>
      </c>
      <c r="N805" s="1292">
        <f t="shared" si="327"/>
        <v>0</v>
      </c>
      <c r="O805" s="1292">
        <f t="shared" ref="O805:O810" si="328">IF(L805&gt;0,N805*100/L805,0)</f>
        <v>0</v>
      </c>
      <c r="P805" s="1292">
        <f t="shared" ref="P805:P810" si="329">IF(M805&gt;0,N805*100/M805,0)</f>
        <v>0</v>
      </c>
      <c r="Q805" s="1264"/>
      <c r="R805" s="1264"/>
      <c r="S805" s="1264"/>
      <c r="T805" s="1264"/>
      <c r="U805" s="1264"/>
      <c r="V805" s="1264"/>
      <c r="W805" s="1264"/>
      <c r="X805" s="1264"/>
      <c r="Y805" s="1264"/>
      <c r="Z805" s="1264"/>
    </row>
    <row r="806" spans="1:26" ht="18.75" hidden="1">
      <c r="A806" s="1260"/>
      <c r="B806" s="1261"/>
      <c r="C806" s="1261"/>
      <c r="D806" s="1274"/>
      <c r="E806" s="1261" t="s">
        <v>184</v>
      </c>
      <c r="F806" s="1261"/>
      <c r="G806" s="1263"/>
      <c r="H806" s="165" t="s">
        <v>12</v>
      </c>
      <c r="I806" s="836"/>
      <c r="J806" s="836"/>
      <c r="K806" s="837"/>
      <c r="L806" s="837">
        <f t="shared" ref="L806:N807" si="330">L809+L816</f>
        <v>0</v>
      </c>
      <c r="M806" s="837">
        <f t="shared" si="330"/>
        <v>0</v>
      </c>
      <c r="N806" s="837">
        <f t="shared" si="330"/>
        <v>0</v>
      </c>
      <c r="O806" s="837">
        <f t="shared" si="328"/>
        <v>0</v>
      </c>
      <c r="P806" s="837">
        <f t="shared" si="329"/>
        <v>0</v>
      </c>
      <c r="Q806" s="1264"/>
      <c r="R806" s="1264"/>
      <c r="S806" s="1264"/>
      <c r="T806" s="1264"/>
      <c r="U806" s="1264"/>
      <c r="V806" s="1264"/>
      <c r="W806" s="1264"/>
      <c r="X806" s="1264"/>
      <c r="Y806" s="1264"/>
      <c r="Z806" s="1264"/>
    </row>
    <row r="807" spans="1:26" ht="18.75" hidden="1">
      <c r="A807" s="1260"/>
      <c r="B807" s="1261"/>
      <c r="C807" s="1261"/>
      <c r="D807" s="1274"/>
      <c r="E807" s="1261" t="s">
        <v>185</v>
      </c>
      <c r="F807" s="1261"/>
      <c r="G807" s="1263"/>
      <c r="H807" s="165" t="s">
        <v>12</v>
      </c>
      <c r="I807" s="836"/>
      <c r="J807" s="836"/>
      <c r="K807" s="837"/>
      <c r="L807" s="837">
        <f t="shared" si="330"/>
        <v>0</v>
      </c>
      <c r="M807" s="837">
        <f t="shared" si="330"/>
        <v>0</v>
      </c>
      <c r="N807" s="837">
        <f t="shared" si="330"/>
        <v>0</v>
      </c>
      <c r="O807" s="837">
        <f t="shared" si="328"/>
        <v>0</v>
      </c>
      <c r="P807" s="837">
        <f t="shared" si="329"/>
        <v>0</v>
      </c>
      <c r="Q807" s="1264"/>
      <c r="R807" s="1264"/>
      <c r="S807" s="1264"/>
      <c r="T807" s="1264"/>
      <c r="U807" s="1264"/>
      <c r="V807" s="1264"/>
      <c r="W807" s="1264"/>
      <c r="X807" s="1264"/>
      <c r="Y807" s="1264"/>
      <c r="Z807" s="1264"/>
    </row>
    <row r="808" spans="1:26" ht="19.5" hidden="1">
      <c r="A808" s="1260"/>
      <c r="B808" s="1265"/>
      <c r="C808" s="1261"/>
      <c r="D808" s="1509" t="s">
        <v>20</v>
      </c>
      <c r="E808" s="1485"/>
      <c r="F808" s="1485"/>
      <c r="G808" s="1263"/>
      <c r="H808" s="612" t="s">
        <v>12</v>
      </c>
      <c r="I808" s="947"/>
      <c r="J808" s="947"/>
      <c r="K808" s="948"/>
      <c r="L808" s="1292">
        <f t="shared" ref="L808:N808" si="331">L809+L810</f>
        <v>0</v>
      </c>
      <c r="M808" s="1292">
        <f t="shared" si="331"/>
        <v>0</v>
      </c>
      <c r="N808" s="1292">
        <f t="shared" si="331"/>
        <v>0</v>
      </c>
      <c r="O808" s="1292">
        <f t="shared" si="328"/>
        <v>0</v>
      </c>
      <c r="P808" s="1292">
        <f t="shared" si="329"/>
        <v>0</v>
      </c>
      <c r="Q808" s="1264"/>
      <c r="R808" s="1264"/>
      <c r="S808" s="1264"/>
      <c r="T808" s="1264"/>
      <c r="U808" s="1264"/>
      <c r="V808" s="1264"/>
      <c r="W808" s="1264"/>
      <c r="X808" s="1264"/>
      <c r="Y808" s="1264"/>
      <c r="Z808" s="1264"/>
    </row>
    <row r="809" spans="1:26" ht="18.75" hidden="1">
      <c r="A809" s="1260"/>
      <c r="B809" s="1261"/>
      <c r="C809" s="1261"/>
      <c r="D809" s="1274"/>
      <c r="E809" s="1261" t="s">
        <v>184</v>
      </c>
      <c r="F809" s="1261"/>
      <c r="G809" s="1263"/>
      <c r="H809" s="165" t="s">
        <v>12</v>
      </c>
      <c r="I809" s="836"/>
      <c r="J809" s="836"/>
      <c r="K809" s="837"/>
      <c r="L809" s="837">
        <v>0</v>
      </c>
      <c r="M809" s="837">
        <v>0</v>
      </c>
      <c r="N809" s="837">
        <v>0</v>
      </c>
      <c r="O809" s="837">
        <f t="shared" si="328"/>
        <v>0</v>
      </c>
      <c r="P809" s="837">
        <f t="shared" si="329"/>
        <v>0</v>
      </c>
      <c r="Q809" s="1264"/>
      <c r="R809" s="1264"/>
      <c r="S809" s="1264"/>
      <c r="T809" s="1264"/>
      <c r="U809" s="1264"/>
      <c r="V809" s="1264"/>
      <c r="W809" s="1264"/>
      <c r="X809" s="1264"/>
      <c r="Y809" s="1264"/>
      <c r="Z809" s="1264"/>
    </row>
    <row r="810" spans="1:26" ht="18.75" hidden="1">
      <c r="A810" s="1260"/>
      <c r="B810" s="1261"/>
      <c r="C810" s="1261"/>
      <c r="D810" s="1274"/>
      <c r="E810" s="1261" t="s">
        <v>185</v>
      </c>
      <c r="F810" s="1261"/>
      <c r="G810" s="1263"/>
      <c r="H810" s="165" t="s">
        <v>12</v>
      </c>
      <c r="I810" s="836"/>
      <c r="J810" s="836"/>
      <c r="K810" s="837"/>
      <c r="L810" s="837">
        <v>0</v>
      </c>
      <c r="M810" s="837">
        <v>0</v>
      </c>
      <c r="N810" s="837">
        <f>N811+N812+N813+N814</f>
        <v>0</v>
      </c>
      <c r="O810" s="837">
        <f t="shared" si="328"/>
        <v>0</v>
      </c>
      <c r="P810" s="837">
        <f t="shared" si="329"/>
        <v>0</v>
      </c>
      <c r="Q810" s="1264"/>
      <c r="R810" s="1264"/>
      <c r="S810" s="1264"/>
      <c r="T810" s="1264"/>
      <c r="U810" s="1264"/>
      <c r="V810" s="1264"/>
      <c r="W810" s="1264"/>
      <c r="X810" s="1264"/>
      <c r="Y810" s="1264"/>
      <c r="Z810" s="1264"/>
    </row>
    <row r="811" spans="1:26" ht="18.75" hidden="1">
      <c r="A811" s="1294"/>
      <c r="B811" s="1265"/>
      <c r="C811" s="1261"/>
      <c r="D811" s="1265"/>
      <c r="E811" s="1261"/>
      <c r="F811" s="1261" t="s">
        <v>186</v>
      </c>
      <c r="G811" s="1263"/>
      <c r="H811" s="165" t="s">
        <v>12</v>
      </c>
      <c r="I811" s="836"/>
      <c r="J811" s="836"/>
      <c r="K811" s="837"/>
      <c r="L811" s="837"/>
      <c r="M811" s="837"/>
      <c r="N811" s="837"/>
      <c r="O811" s="837"/>
      <c r="P811" s="837"/>
      <c r="Q811" s="1264"/>
      <c r="R811" s="1264"/>
      <c r="S811" s="1264"/>
      <c r="T811" s="1264"/>
      <c r="U811" s="1264"/>
      <c r="V811" s="1264"/>
      <c r="W811" s="1264"/>
      <c r="X811" s="1264"/>
      <c r="Y811" s="1264"/>
      <c r="Z811" s="1264"/>
    </row>
    <row r="812" spans="1:26" ht="18.75" hidden="1">
      <c r="A812" s="1294"/>
      <c r="B812" s="1265"/>
      <c r="C812" s="1261"/>
      <c r="D812" s="1265"/>
      <c r="E812" s="1261"/>
      <c r="F812" s="1261" t="s">
        <v>187</v>
      </c>
      <c r="G812" s="1263"/>
      <c r="H812" s="165" t="s">
        <v>12</v>
      </c>
      <c r="I812" s="836"/>
      <c r="J812" s="836"/>
      <c r="K812" s="837"/>
      <c r="L812" s="837"/>
      <c r="M812" s="837"/>
      <c r="N812" s="837"/>
      <c r="O812" s="837"/>
      <c r="P812" s="837"/>
      <c r="Q812" s="1264"/>
      <c r="R812" s="1264"/>
      <c r="S812" s="1264"/>
      <c r="T812" s="1264"/>
      <c r="U812" s="1264"/>
      <c r="V812" s="1264"/>
      <c r="W812" s="1264"/>
      <c r="X812" s="1264"/>
      <c r="Y812" s="1264"/>
      <c r="Z812" s="1264"/>
    </row>
    <row r="813" spans="1:26" ht="18.75" hidden="1">
      <c r="A813" s="1294"/>
      <c r="B813" s="1265"/>
      <c r="C813" s="1261"/>
      <c r="D813" s="1265"/>
      <c r="E813" s="1261"/>
      <c r="F813" s="1261" t="s">
        <v>188</v>
      </c>
      <c r="G813" s="1263"/>
      <c r="H813" s="165" t="s">
        <v>12</v>
      </c>
      <c r="I813" s="836"/>
      <c r="J813" s="836"/>
      <c r="K813" s="837"/>
      <c r="L813" s="837"/>
      <c r="M813" s="837"/>
      <c r="N813" s="837"/>
      <c r="O813" s="837"/>
      <c r="P813" s="837"/>
      <c r="Q813" s="1264"/>
      <c r="R813" s="1264"/>
      <c r="S813" s="1264"/>
      <c r="T813" s="1264"/>
      <c r="U813" s="1264"/>
      <c r="V813" s="1264"/>
      <c r="W813" s="1264"/>
      <c r="X813" s="1264"/>
      <c r="Y813" s="1264"/>
      <c r="Z813" s="1264"/>
    </row>
    <row r="814" spans="1:26" ht="18.75" hidden="1">
      <c r="A814" s="1294"/>
      <c r="B814" s="1265"/>
      <c r="C814" s="1261"/>
      <c r="D814" s="1265"/>
      <c r="E814" s="1261"/>
      <c r="F814" s="1261" t="s">
        <v>189</v>
      </c>
      <c r="G814" s="1263"/>
      <c r="H814" s="165" t="s">
        <v>12</v>
      </c>
      <c r="I814" s="836"/>
      <c r="J814" s="836"/>
      <c r="K814" s="837"/>
      <c r="L814" s="837"/>
      <c r="M814" s="837"/>
      <c r="N814" s="837"/>
      <c r="O814" s="837"/>
      <c r="P814" s="837"/>
      <c r="Q814" s="1264"/>
      <c r="R814" s="1264"/>
      <c r="S814" s="1264"/>
      <c r="T814" s="1264"/>
      <c r="U814" s="1264"/>
      <c r="V814" s="1264"/>
      <c r="W814" s="1264"/>
      <c r="X814" s="1264"/>
      <c r="Y814" s="1264"/>
      <c r="Z814" s="1264"/>
    </row>
    <row r="815" spans="1:26" ht="19.5" hidden="1">
      <c r="A815" s="1260"/>
      <c r="B815" s="1265"/>
      <c r="C815" s="1261"/>
      <c r="D815" s="1509" t="s">
        <v>21</v>
      </c>
      <c r="E815" s="1485"/>
      <c r="F815" s="1485"/>
      <c r="G815" s="1263"/>
      <c r="H815" s="749" t="s">
        <v>12</v>
      </c>
      <c r="I815" s="947"/>
      <c r="J815" s="947"/>
      <c r="K815" s="948"/>
      <c r="L815" s="1292">
        <f t="shared" ref="L815:N815" si="332">L816+L817</f>
        <v>0</v>
      </c>
      <c r="M815" s="1292">
        <f t="shared" si="332"/>
        <v>0</v>
      </c>
      <c r="N815" s="1292">
        <f t="shared" si="332"/>
        <v>0</v>
      </c>
      <c r="O815" s="1292">
        <f t="shared" ref="O815:O817" si="333">IF(L815&gt;0,N815*100/L815,0)</f>
        <v>0</v>
      </c>
      <c r="P815" s="1292">
        <f t="shared" ref="P815:P817" si="334">IF(M815&gt;0,N815*100/M815,0)</f>
        <v>0</v>
      </c>
      <c r="Q815" s="1264"/>
      <c r="R815" s="1264"/>
      <c r="S815" s="1264"/>
      <c r="T815" s="1264"/>
      <c r="U815" s="1264"/>
      <c r="V815" s="1264"/>
      <c r="W815" s="1264"/>
      <c r="X815" s="1264"/>
      <c r="Y815" s="1264"/>
      <c r="Z815" s="1264"/>
    </row>
    <row r="816" spans="1:26" ht="18.75" hidden="1">
      <c r="A816" s="1260"/>
      <c r="B816" s="1265"/>
      <c r="C816" s="1261"/>
      <c r="D816" s="1265"/>
      <c r="E816" s="1261" t="s">
        <v>18</v>
      </c>
      <c r="F816" s="1261"/>
      <c r="G816" s="1263"/>
      <c r="H816" s="165" t="s">
        <v>12</v>
      </c>
      <c r="I816" s="947"/>
      <c r="J816" s="947"/>
      <c r="K816" s="948"/>
      <c r="L816" s="837">
        <v>0</v>
      </c>
      <c r="M816" s="837">
        <v>0</v>
      </c>
      <c r="N816" s="837">
        <v>0</v>
      </c>
      <c r="O816" s="837">
        <f t="shared" si="333"/>
        <v>0</v>
      </c>
      <c r="P816" s="837">
        <f t="shared" si="334"/>
        <v>0</v>
      </c>
      <c r="Q816" s="1264"/>
      <c r="R816" s="1264"/>
      <c r="S816" s="1264"/>
      <c r="T816" s="1264"/>
      <c r="U816" s="1264"/>
      <c r="V816" s="1264"/>
      <c r="W816" s="1264"/>
      <c r="X816" s="1264"/>
      <c r="Y816" s="1264"/>
      <c r="Z816" s="1264"/>
    </row>
    <row r="817" spans="1:26" ht="18.75" hidden="1">
      <c r="A817" s="1260"/>
      <c r="B817" s="1265"/>
      <c r="C817" s="1261"/>
      <c r="D817" s="1265"/>
      <c r="E817" s="1261" t="s">
        <v>19</v>
      </c>
      <c r="F817" s="1261"/>
      <c r="G817" s="1263"/>
      <c r="H817" s="169" t="s">
        <v>12</v>
      </c>
      <c r="I817" s="947"/>
      <c r="J817" s="947"/>
      <c r="K817" s="948"/>
      <c r="L817" s="837">
        <v>0</v>
      </c>
      <c r="M817" s="837">
        <v>0</v>
      </c>
      <c r="N817" s="837">
        <v>0</v>
      </c>
      <c r="O817" s="837">
        <f t="shared" si="333"/>
        <v>0</v>
      </c>
      <c r="P817" s="837">
        <f t="shared" si="334"/>
        <v>0</v>
      </c>
      <c r="Q817" s="1264"/>
      <c r="R817" s="1264"/>
      <c r="S817" s="1264"/>
      <c r="T817" s="1264"/>
      <c r="U817" s="1264"/>
      <c r="V817" s="1264"/>
      <c r="W817" s="1264"/>
      <c r="X817" s="1264"/>
      <c r="Y817" s="1264"/>
      <c r="Z817" s="1264"/>
    </row>
    <row r="818" spans="1:26" ht="19.5" hidden="1">
      <c r="A818" s="1273"/>
      <c r="B818" s="1274"/>
      <c r="C818" s="1261" t="s">
        <v>16</v>
      </c>
      <c r="D818" s="1420" t="s">
        <v>38</v>
      </c>
      <c r="E818" s="1296"/>
      <c r="F818" s="1296"/>
      <c r="G818" s="1297"/>
      <c r="H818" s="1060"/>
      <c r="I818" s="947"/>
      <c r="J818" s="947"/>
      <c r="K818" s="948"/>
      <c r="L818" s="948"/>
      <c r="M818" s="948"/>
      <c r="N818" s="948"/>
      <c r="O818" s="948"/>
      <c r="P818" s="948"/>
      <c r="Q818" s="1264"/>
      <c r="R818" s="1264"/>
      <c r="S818" s="1264"/>
      <c r="T818" s="1264"/>
      <c r="U818" s="1264"/>
      <c r="V818" s="1264"/>
      <c r="W818" s="1264"/>
      <c r="X818" s="1264"/>
      <c r="Y818" s="1264"/>
      <c r="Z818" s="1264"/>
    </row>
    <row r="819" spans="1:26" ht="19.5" hidden="1" thickBot="1">
      <c r="A819" s="1421"/>
      <c r="B819" s="1422"/>
      <c r="C819" s="1423"/>
      <c r="D819" s="1422"/>
      <c r="E819" s="1423" t="s">
        <v>323</v>
      </c>
      <c r="F819" s="1423"/>
      <c r="G819" s="1424"/>
      <c r="H819" s="792" t="s">
        <v>46</v>
      </c>
      <c r="I819" s="1425"/>
      <c r="J819" s="1425"/>
      <c r="K819" s="1426"/>
      <c r="L819" s="1426"/>
      <c r="M819" s="1426"/>
      <c r="N819" s="1426"/>
      <c r="O819" s="1426"/>
      <c r="P819" s="1426"/>
      <c r="Q819" s="1264"/>
      <c r="R819" s="1264"/>
      <c r="S819" s="1264"/>
      <c r="T819" s="1264"/>
      <c r="U819" s="1264"/>
      <c r="V819" s="1264"/>
      <c r="W819" s="1264"/>
      <c r="X819" s="1264"/>
      <c r="Y819" s="1264"/>
      <c r="Z819" s="1264"/>
    </row>
    <row r="820" spans="1:26" ht="19.5">
      <c r="A820" s="1427" t="s">
        <v>333</v>
      </c>
      <c r="B820" s="1428"/>
      <c r="C820" s="1428"/>
      <c r="D820" s="1429"/>
      <c r="E820" s="1428"/>
      <c r="F820" s="1428"/>
      <c r="G820" s="1430"/>
      <c r="H820" s="143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32"/>
      <c r="J820" s="1432"/>
      <c r="K820" s="1433"/>
      <c r="L820" s="1433"/>
      <c r="M820" s="1433"/>
      <c r="N820" s="1433"/>
      <c r="O820" s="1433"/>
      <c r="P820" s="1433"/>
      <c r="Q820" s="1244"/>
      <c r="R820" s="1244"/>
      <c r="S820" s="1244"/>
      <c r="T820" s="1244"/>
      <c r="U820" s="1244"/>
      <c r="V820" s="1244"/>
      <c r="W820" s="1244"/>
      <c r="X820" s="1244"/>
      <c r="Y820" s="1244"/>
      <c r="Z820" s="1244"/>
    </row>
    <row r="821" spans="1:26" ht="18.75">
      <c r="A821" s="1368"/>
      <c r="B821" s="1243" t="s">
        <v>325</v>
      </c>
      <c r="C821" s="1243"/>
      <c r="D821" s="1242"/>
      <c r="E821" s="1243"/>
      <c r="F821" s="1243"/>
      <c r="G821" s="963"/>
      <c r="H821" s="590" t="s">
        <v>12</v>
      </c>
      <c r="I821" s="830">
        <f ca="1">IFERROR(__xludf.DUMMYFUNCTION("IMPORTRANGE(""https://docs.google.com/spreadsheets/d/19vJNZY_5yjcGF2XGBMNZRCAIB0Kwfpjp8YEOfu-bneM/edit?usp=sharing"",""งานกองทุน!D28"")"),7046532.4)</f>
        <v>7046532.4000000004</v>
      </c>
      <c r="J821" s="830">
        <f ca="1">IFERROR(__xludf.DUMMYFUNCTION("IMPORTRANGE(""https://docs.google.com/spreadsheets/d/19vJNZY_5yjcGF2XGBMNZRCAIB0Kwfpjp8YEOfu-bneM/edit?usp=sharing"",""งานกองทุน!F28"")"),3113200.28)</f>
        <v>3113200.28</v>
      </c>
      <c r="K821" s="831">
        <f t="shared" ref="K821:K828" ca="1" si="335">IF(I821&gt;0,J821*100/I821,0)</f>
        <v>44.180599808212051</v>
      </c>
      <c r="L821" s="831"/>
      <c r="M821" s="831"/>
      <c r="N821" s="831"/>
      <c r="O821" s="831"/>
      <c r="P821" s="831"/>
      <c r="Q821" s="1244"/>
      <c r="R821" s="1244"/>
      <c r="S821" s="1244"/>
      <c r="T821" s="1244"/>
      <c r="U821" s="1244"/>
      <c r="V821" s="1244"/>
      <c r="W821" s="1244"/>
      <c r="X821" s="1244"/>
      <c r="Y821" s="1244"/>
      <c r="Z821" s="1244"/>
    </row>
    <row r="822" spans="1:26" ht="18.75">
      <c r="A822" s="1368"/>
      <c r="B822" s="1243"/>
      <c r="C822" s="1243"/>
      <c r="D822" s="1242"/>
      <c r="E822" s="1243"/>
      <c r="F822" s="1243"/>
      <c r="G822" s="963"/>
      <c r="H822" s="590" t="s">
        <v>35</v>
      </c>
      <c r="I822" s="830">
        <f ca="1">IFERROR(__xludf.DUMMYFUNCTION("IMPORTRANGE(""https://docs.google.com/spreadsheets/d/19vJNZY_5yjcGF2XGBMNZRCAIB0Kwfpjp8YEOfu-bneM/edit?usp=sharing"",""งานกองทุน!C28"")"),356)</f>
        <v>356</v>
      </c>
      <c r="J822" s="830">
        <f ca="1">IFERROR(__xludf.DUMMYFUNCTION("IMPORTRANGE(""https://docs.google.com/spreadsheets/d/19vJNZY_5yjcGF2XGBMNZRCAIB0Kwfpjp8YEOfu-bneM/edit?usp=sharing"",""งานกองทุน!E28"")"),252)</f>
        <v>252</v>
      </c>
      <c r="K822" s="831">
        <f t="shared" ca="1" si="335"/>
        <v>70.786516853932582</v>
      </c>
      <c r="L822" s="831"/>
      <c r="M822" s="831"/>
      <c r="N822" s="831"/>
      <c r="O822" s="831"/>
      <c r="P822" s="831"/>
      <c r="Q822" s="1244"/>
      <c r="R822" s="1244"/>
      <c r="S822" s="1244"/>
      <c r="T822" s="1244"/>
      <c r="U822" s="1244"/>
      <c r="V822" s="1244"/>
      <c r="W822" s="1244"/>
      <c r="X822" s="1244"/>
      <c r="Y822" s="1244"/>
      <c r="Z822" s="1244"/>
    </row>
    <row r="823" spans="1:26" ht="18.75">
      <c r="A823" s="1368"/>
      <c r="B823" s="1243" t="s">
        <v>326</v>
      </c>
      <c r="C823" s="1243"/>
      <c r="D823" s="1242"/>
      <c r="E823" s="1243"/>
      <c r="F823" s="1243"/>
      <c r="G823" s="963"/>
      <c r="H823" s="590" t="s">
        <v>12</v>
      </c>
      <c r="I823" s="830">
        <f ca="1">IFERROR(__xludf.DUMMYFUNCTION("IMPORTRANGE(""https://docs.google.com/spreadsheets/d/19vJNZY_5yjcGF2XGBMNZRCAIB0Kwfpjp8YEOfu-bneM/edit?usp=sharing"",""งานกองทุน!I28"")"),6666111.12)</f>
        <v>6666111.1200000001</v>
      </c>
      <c r="J823" s="830">
        <f ca="1">IFERROR(__xludf.DUMMYFUNCTION("IMPORTRANGE(""https://docs.google.com/spreadsheets/d/19vJNZY_5yjcGF2XGBMNZRCAIB0Kwfpjp8YEOfu-bneM/edit?usp=sharing"",""งานกองทุน!K28"")"),832955.93)</f>
        <v>832955.93</v>
      </c>
      <c r="K823" s="831">
        <f t="shared" ca="1" si="335"/>
        <v>12.495380215024078</v>
      </c>
      <c r="L823" s="831"/>
      <c r="M823" s="831"/>
      <c r="N823" s="831"/>
      <c r="O823" s="831"/>
      <c r="P823" s="831"/>
      <c r="Q823" s="1244"/>
      <c r="R823" s="1244"/>
      <c r="S823" s="1244"/>
      <c r="T823" s="1244"/>
      <c r="U823" s="1244"/>
      <c r="V823" s="1244"/>
      <c r="W823" s="1244"/>
      <c r="X823" s="1244"/>
      <c r="Y823" s="1244"/>
      <c r="Z823" s="1244"/>
    </row>
    <row r="824" spans="1:26" ht="18.75">
      <c r="A824" s="1368"/>
      <c r="B824" s="1243"/>
      <c r="C824" s="1243"/>
      <c r="D824" s="1242"/>
      <c r="E824" s="1243"/>
      <c r="F824" s="1243"/>
      <c r="G824" s="963"/>
      <c r="H824" s="590" t="s">
        <v>35</v>
      </c>
      <c r="I824" s="830">
        <f ca="1">IFERROR(__xludf.DUMMYFUNCTION("IMPORTRANGE(""https://docs.google.com/spreadsheets/d/19vJNZY_5yjcGF2XGBMNZRCAIB0Kwfpjp8YEOfu-bneM/edit?usp=sharing"",""งานกองทุน!H28"")"),246)</f>
        <v>246</v>
      </c>
      <c r="J824" s="830">
        <f ca="1">IFERROR(__xludf.DUMMYFUNCTION("IMPORTRANGE(""https://docs.google.com/spreadsheets/d/19vJNZY_5yjcGF2XGBMNZRCAIB0Kwfpjp8YEOfu-bneM/edit?usp=sharing"",""งานกองทุน!J28"")"),167)</f>
        <v>167</v>
      </c>
      <c r="K824" s="831">
        <f t="shared" ca="1" si="335"/>
        <v>67.886178861788622</v>
      </c>
      <c r="L824" s="831"/>
      <c r="M824" s="831"/>
      <c r="N824" s="831"/>
      <c r="O824" s="831"/>
      <c r="P824" s="831"/>
      <c r="Q824" s="1244"/>
      <c r="R824" s="1244"/>
      <c r="S824" s="1244"/>
      <c r="T824" s="1244"/>
      <c r="U824" s="1244"/>
      <c r="V824" s="1244"/>
      <c r="W824" s="1244"/>
      <c r="X824" s="1244"/>
      <c r="Y824" s="1244"/>
      <c r="Z824" s="1244"/>
    </row>
    <row r="825" spans="1:26" ht="18.75">
      <c r="A825" s="1368"/>
      <c r="B825" s="1243" t="s">
        <v>327</v>
      </c>
      <c r="C825" s="1243"/>
      <c r="D825" s="1242"/>
      <c r="E825" s="1243"/>
      <c r="F825" s="1243"/>
      <c r="G825" s="963"/>
      <c r="H825" s="590" t="s">
        <v>12</v>
      </c>
      <c r="I825" s="830">
        <f ca="1">IFERROR(__xludf.DUMMYFUNCTION("IMPORTRANGE(""https://docs.google.com/spreadsheets/d/19vJNZY_5yjcGF2XGBMNZRCAIB0Kwfpjp8YEOfu-bneM/edit?usp=sharing"",""งานกองทุน!N28"")"),2460883.33)</f>
        <v>2460883.33</v>
      </c>
      <c r="J825" s="830">
        <f ca="1">IFERROR(__xludf.DUMMYFUNCTION("IMPORTRANGE(""https://docs.google.com/spreadsheets/d/19vJNZY_5yjcGF2XGBMNZRCAIB0Kwfpjp8YEOfu-bneM/edit?usp=sharing"",""งานกองทุน!P28"")"),645933.85)</f>
        <v>645933.85</v>
      </c>
      <c r="K825" s="831">
        <f t="shared" ca="1" si="335"/>
        <v>26.248048500535781</v>
      </c>
      <c r="L825" s="831"/>
      <c r="M825" s="831"/>
      <c r="N825" s="831"/>
      <c r="O825" s="831"/>
      <c r="P825" s="831"/>
      <c r="Q825" s="1244"/>
      <c r="R825" s="1244"/>
      <c r="S825" s="1244"/>
      <c r="T825" s="1244"/>
      <c r="U825" s="1244"/>
      <c r="V825" s="1244"/>
      <c r="W825" s="1244"/>
      <c r="X825" s="1244"/>
      <c r="Y825" s="1244"/>
      <c r="Z825" s="1244"/>
    </row>
    <row r="826" spans="1:26" ht="18.75">
      <c r="A826" s="1368"/>
      <c r="B826" s="1243"/>
      <c r="C826" s="1243"/>
      <c r="D826" s="1242"/>
      <c r="E826" s="1243"/>
      <c r="F826" s="1243"/>
      <c r="G826" s="963"/>
      <c r="H826" s="590" t="s">
        <v>35</v>
      </c>
      <c r="I826" s="830">
        <f ca="1">IFERROR(__xludf.DUMMYFUNCTION("IMPORTRANGE(""https://docs.google.com/spreadsheets/d/19vJNZY_5yjcGF2XGBMNZRCAIB0Kwfpjp8YEOfu-bneM/edit?usp=sharing"",""งานกองทุน!M28"")"),181)</f>
        <v>181</v>
      </c>
      <c r="J826" s="830">
        <f ca="1">IFERROR(__xludf.DUMMYFUNCTION("IMPORTRANGE(""https://docs.google.com/spreadsheets/d/19vJNZY_5yjcGF2XGBMNZRCAIB0Kwfpjp8YEOfu-bneM/edit?usp=sharing"",""งานกองทุน!O28"")"),52)</f>
        <v>52</v>
      </c>
      <c r="K826" s="831">
        <f t="shared" ca="1" si="335"/>
        <v>28.729281767955801</v>
      </c>
      <c r="L826" s="831"/>
      <c r="M826" s="831"/>
      <c r="N826" s="831"/>
      <c r="O826" s="831"/>
      <c r="P826" s="831"/>
      <c r="Q826" s="1244"/>
      <c r="R826" s="1244"/>
      <c r="S826" s="1244"/>
      <c r="T826" s="1244"/>
      <c r="U826" s="1244"/>
      <c r="V826" s="1244"/>
      <c r="W826" s="1244"/>
      <c r="X826" s="1244"/>
      <c r="Y826" s="1244"/>
      <c r="Z826" s="1244"/>
    </row>
    <row r="827" spans="1:26" ht="18.75">
      <c r="A827" s="1368"/>
      <c r="B827" s="1243" t="s">
        <v>328</v>
      </c>
      <c r="C827" s="1243"/>
      <c r="D827" s="1242"/>
      <c r="E827" s="1243"/>
      <c r="F827" s="1243"/>
      <c r="G827" s="963"/>
      <c r="H827" s="590" t="s">
        <v>12</v>
      </c>
      <c r="I827" s="830">
        <f ca="1">IFERROR(__xludf.DUMMYFUNCTION("IMPORTRANGE(""https://docs.google.com/spreadsheets/d/19vJNZY_5yjcGF2XGBMNZRCAIB0Kwfpjp8YEOfu-bneM/edit?usp=sharing"",""งานกองทุน!S28"")"),5000000)</f>
        <v>5000000</v>
      </c>
      <c r="J827" s="830">
        <f ca="1">IFERROR(__xludf.DUMMYFUNCTION("IMPORTRANGE(""https://docs.google.com/spreadsheets/d/19vJNZY_5yjcGF2XGBMNZRCAIB0Kwfpjp8YEOfu-bneM/edit?usp=sharing"",""งานกองทุน!U28"")"),3670000)</f>
        <v>3670000</v>
      </c>
      <c r="K827" s="831">
        <f t="shared" ca="1" si="335"/>
        <v>73.400000000000006</v>
      </c>
      <c r="L827" s="831"/>
      <c r="M827" s="831"/>
      <c r="N827" s="831"/>
      <c r="O827" s="831"/>
      <c r="P827" s="831"/>
      <c r="Q827" s="1244"/>
      <c r="R827" s="1244"/>
      <c r="S827" s="1244"/>
      <c r="T827" s="1244"/>
      <c r="U827" s="1244"/>
      <c r="V827" s="1244"/>
      <c r="W827" s="1244"/>
      <c r="X827" s="1244"/>
      <c r="Y827" s="1244"/>
      <c r="Z827" s="1244"/>
    </row>
    <row r="828" spans="1:26" ht="18.75">
      <c r="A828" s="1369"/>
      <c r="B828" s="1371"/>
      <c r="C828" s="1371"/>
      <c r="D828" s="1370"/>
      <c r="E828" s="1371"/>
      <c r="F828" s="1371"/>
      <c r="G828" s="1434"/>
      <c r="H828" s="802" t="s">
        <v>35</v>
      </c>
      <c r="I828" s="1085">
        <f ca="1">IFERROR(__xludf.DUMMYFUNCTION("IMPORTRANGE(""https://docs.google.com/spreadsheets/d/19vJNZY_5yjcGF2XGBMNZRCAIB0Kwfpjp8YEOfu-bneM/edit?usp=sharing"",""งานกองทุน!R28"")"),179)</f>
        <v>179</v>
      </c>
      <c r="J828" s="1085">
        <f ca="1">IFERROR(__xludf.DUMMYFUNCTION("IMPORTRANGE(""https://docs.google.com/spreadsheets/d/19vJNZY_5yjcGF2XGBMNZRCAIB0Kwfpjp8YEOfu-bneM/edit?usp=sharing"",""งานกองทุน!T28"")"),79)</f>
        <v>79</v>
      </c>
      <c r="K828" s="1182">
        <f t="shared" ca="1" si="335"/>
        <v>44.134078212290504</v>
      </c>
      <c r="L828" s="1182"/>
      <c r="M828" s="1182"/>
      <c r="N828" s="1182"/>
      <c r="O828" s="1182"/>
      <c r="P828" s="1182"/>
      <c r="Q828" s="1244"/>
      <c r="R828" s="1244"/>
      <c r="S828" s="1244"/>
      <c r="T828" s="1244"/>
      <c r="U828" s="1244"/>
      <c r="V828" s="1244"/>
      <c r="W828" s="1244"/>
      <c r="X828" s="1244"/>
      <c r="Y828" s="1244"/>
      <c r="Z828" s="124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C443A-8C3E-4096-8E76-ED8F1A92B3CE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Q24" sqref="Q24"/>
      <selection pane="bottomLeft" activeCell="Q24" sqref="Q24"/>
    </sheetView>
  </sheetViews>
  <sheetFormatPr defaultColWidth="12.5703125" defaultRowHeight="15.75" customHeight="1"/>
  <cols>
    <col min="1" max="3" width="3.28515625" style="803" customWidth="1"/>
    <col min="4" max="6" width="5.85546875" style="803" customWidth="1"/>
    <col min="7" max="7" width="56.42578125" style="803" customWidth="1"/>
    <col min="8" max="8" width="9.42578125" style="803" customWidth="1"/>
    <col min="9" max="9" width="18.7109375" style="803" bestFit="1" customWidth="1"/>
    <col min="10" max="10" width="16.85546875" style="803" bestFit="1" customWidth="1"/>
    <col min="11" max="11" width="12.5703125" style="803" bestFit="1" customWidth="1"/>
    <col min="12" max="14" width="21.28515625" style="803" bestFit="1" customWidth="1"/>
    <col min="15" max="15" width="20.140625" style="803" bestFit="1" customWidth="1"/>
    <col min="16" max="16" width="22" style="803" bestFit="1" customWidth="1"/>
    <col min="17" max="16384" width="12.5703125" style="803"/>
  </cols>
  <sheetData>
    <row r="1" spans="1:26" ht="19.5">
      <c r="A1" s="1498" t="s">
        <v>0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</row>
    <row r="2" spans="1:26" ht="19.5">
      <c r="A2" s="1498" t="s">
        <v>354</v>
      </c>
      <c r="B2" s="1516"/>
      <c r="C2" s="1516"/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  <c r="O2" s="1516"/>
      <c r="P2" s="1516"/>
    </row>
    <row r="3" spans="1:26" ht="19.5">
      <c r="A3" s="1498" t="s">
        <v>329</v>
      </c>
      <c r="B3" s="1516"/>
      <c r="C3" s="1516"/>
      <c r="D3" s="1516"/>
      <c r="E3" s="1516"/>
      <c r="F3" s="1516"/>
      <c r="G3" s="1516"/>
      <c r="H3" s="1516"/>
      <c r="I3" s="1516"/>
      <c r="J3" s="1516"/>
      <c r="K3" s="1516"/>
      <c r="L3" s="1516"/>
      <c r="M3" s="1516"/>
      <c r="N3" s="1516"/>
      <c r="O3" s="1516"/>
      <c r="P3" s="1516"/>
    </row>
    <row r="4" spans="1:26" ht="12.75">
      <c r="A4" s="804"/>
      <c r="B4" s="804"/>
      <c r="C4" s="804"/>
      <c r="D4" s="804"/>
      <c r="E4" s="804"/>
      <c r="F4" s="804"/>
      <c r="G4" s="804"/>
      <c r="H4" s="804"/>
      <c r="I4" s="804"/>
      <c r="J4" s="805"/>
      <c r="K4" s="806"/>
      <c r="L4" s="805"/>
      <c r="M4" s="805"/>
      <c r="N4" s="805"/>
      <c r="O4" s="804"/>
      <c r="P4" s="804"/>
    </row>
    <row r="5" spans="1:26" ht="19.5">
      <c r="A5" s="1504" t="s">
        <v>2</v>
      </c>
      <c r="B5" s="1516"/>
      <c r="C5" s="1516"/>
      <c r="D5" s="1516"/>
      <c r="E5" s="1516"/>
      <c r="F5" s="1516"/>
      <c r="G5" s="1505"/>
      <c r="H5" s="1500" t="s">
        <v>3</v>
      </c>
      <c r="I5" s="1501" t="s">
        <v>4</v>
      </c>
      <c r="J5" s="1494"/>
      <c r="K5" s="1495"/>
      <c r="L5" s="1502" t="s">
        <v>5</v>
      </c>
      <c r="M5" s="1495"/>
      <c r="N5" s="1503" t="s">
        <v>6</v>
      </c>
      <c r="O5" s="1494"/>
      <c r="P5" s="1495"/>
    </row>
    <row r="6" spans="1:26" ht="19.5">
      <c r="A6" s="1506"/>
      <c r="B6" s="1494"/>
      <c r="C6" s="1494"/>
      <c r="D6" s="1494"/>
      <c r="E6" s="1494"/>
      <c r="F6" s="1494"/>
      <c r="G6" s="1495"/>
      <c r="H6" s="14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12" t="s">
        <v>15</v>
      </c>
      <c r="B7" s="1494"/>
      <c r="C7" s="1494"/>
      <c r="D7" s="1494"/>
      <c r="E7" s="1494"/>
      <c r="F7" s="1494"/>
      <c r="G7" s="1495"/>
      <c r="H7" s="807"/>
      <c r="I7" s="808"/>
      <c r="J7" s="808"/>
      <c r="K7" s="809"/>
      <c r="L7" s="809"/>
      <c r="M7" s="809"/>
      <c r="N7" s="809"/>
      <c r="O7" s="809"/>
      <c r="P7" s="809"/>
    </row>
    <row r="8" spans="1:26" ht="19.5">
      <c r="A8" s="810"/>
      <c r="B8" s="811"/>
      <c r="C8" s="812" t="s">
        <v>16</v>
      </c>
      <c r="D8" s="813" t="s">
        <v>17</v>
      </c>
      <c r="E8" s="811"/>
      <c r="F8" s="811"/>
      <c r="G8" s="814"/>
      <c r="H8" s="19" t="s">
        <v>12</v>
      </c>
      <c r="I8" s="815"/>
      <c r="J8" s="815"/>
      <c r="K8" s="816"/>
      <c r="L8" s="817">
        <f t="shared" ref="L8:N8" ca="1" si="0">L9+L10</f>
        <v>4997777</v>
      </c>
      <c r="M8" s="817">
        <f t="shared" ca="1" si="0"/>
        <v>2837581</v>
      </c>
      <c r="N8" s="817">
        <f t="shared" ca="1" si="0"/>
        <v>2256361.5300000003</v>
      </c>
      <c r="O8" s="817">
        <f t="shared" ref="O8:O16" ca="1" si="1">IF(L8&gt;0,N8*100/L8,0)</f>
        <v>45.147303090954246</v>
      </c>
      <c r="P8" s="817">
        <f t="shared" ref="P8:P16" ca="1" si="2">IF(M8&gt;0,N8*100/M8,0)</f>
        <v>79.517079160031031</v>
      </c>
      <c r="Q8" s="818"/>
      <c r="R8" s="818"/>
      <c r="S8" s="818"/>
      <c r="T8" s="818"/>
      <c r="U8" s="818"/>
      <c r="V8" s="818"/>
      <c r="W8" s="818"/>
      <c r="X8" s="818"/>
      <c r="Y8" s="818"/>
      <c r="Z8" s="818"/>
    </row>
    <row r="9" spans="1:26" ht="18.75" hidden="1">
      <c r="A9" s="819"/>
      <c r="B9" s="820"/>
      <c r="C9" s="820"/>
      <c r="D9" s="820"/>
      <c r="E9" s="821" t="s">
        <v>18</v>
      </c>
      <c r="F9" s="820"/>
      <c r="G9" s="822"/>
      <c r="H9" s="28" t="s">
        <v>12</v>
      </c>
      <c r="I9" s="823"/>
      <c r="J9" s="823"/>
      <c r="K9" s="824"/>
      <c r="L9" s="824">
        <f t="shared" ref="L9:N10" si="3">L12+L15</f>
        <v>0</v>
      </c>
      <c r="M9" s="824">
        <f t="shared" si="3"/>
        <v>0</v>
      </c>
      <c r="N9" s="824">
        <f t="shared" si="3"/>
        <v>0</v>
      </c>
      <c r="O9" s="824">
        <f t="shared" si="1"/>
        <v>0</v>
      </c>
      <c r="P9" s="824">
        <f t="shared" si="2"/>
        <v>0</v>
      </c>
      <c r="Q9" s="825"/>
      <c r="R9" s="825"/>
      <c r="S9" s="825"/>
      <c r="T9" s="825"/>
      <c r="U9" s="825"/>
      <c r="V9" s="825"/>
      <c r="W9" s="825"/>
      <c r="X9" s="825"/>
      <c r="Y9" s="825"/>
      <c r="Z9" s="825"/>
    </row>
    <row r="10" spans="1:26" ht="18.75" hidden="1">
      <c r="A10" s="819"/>
      <c r="B10" s="820"/>
      <c r="C10" s="820"/>
      <c r="D10" s="820"/>
      <c r="E10" s="821" t="s">
        <v>19</v>
      </c>
      <c r="F10" s="820"/>
      <c r="G10" s="822"/>
      <c r="H10" s="28" t="s">
        <v>12</v>
      </c>
      <c r="I10" s="823"/>
      <c r="J10" s="823"/>
      <c r="K10" s="824"/>
      <c r="L10" s="824">
        <f t="shared" ca="1" si="3"/>
        <v>4997777</v>
      </c>
      <c r="M10" s="824">
        <f t="shared" ca="1" si="3"/>
        <v>2837581</v>
      </c>
      <c r="N10" s="824">
        <f t="shared" ca="1" si="3"/>
        <v>2256361.5300000003</v>
      </c>
      <c r="O10" s="824">
        <f t="shared" ca="1" si="1"/>
        <v>45.147303090954246</v>
      </c>
      <c r="P10" s="824">
        <f t="shared" ca="1" si="2"/>
        <v>79.517079160031031</v>
      </c>
      <c r="Q10" s="825"/>
      <c r="R10" s="825"/>
      <c r="S10" s="825"/>
      <c r="T10" s="825"/>
      <c r="U10" s="825"/>
      <c r="V10" s="825"/>
      <c r="W10" s="825"/>
      <c r="X10" s="825"/>
      <c r="Y10" s="825"/>
      <c r="Z10" s="825"/>
    </row>
    <row r="11" spans="1:26" ht="18.75">
      <c r="A11" s="826"/>
      <c r="B11" s="827"/>
      <c r="C11" s="827"/>
      <c r="D11" s="828" t="s">
        <v>20</v>
      </c>
      <c r="E11" s="827"/>
      <c r="F11" s="827"/>
      <c r="G11" s="829"/>
      <c r="H11" s="590" t="s">
        <v>12</v>
      </c>
      <c r="I11" s="830"/>
      <c r="J11" s="830"/>
      <c r="K11" s="831"/>
      <c r="L11" s="831">
        <f t="shared" ref="L11:N11" ca="1" si="4">L12+L13</f>
        <v>4578977</v>
      </c>
      <c r="M11" s="831">
        <f t="shared" ca="1" si="4"/>
        <v>2427115</v>
      </c>
      <c r="N11" s="831">
        <f t="shared" ca="1" si="4"/>
        <v>1845895.53</v>
      </c>
      <c r="O11" s="831">
        <f t="shared" ca="1" si="1"/>
        <v>40.312400127801475</v>
      </c>
      <c r="P11" s="831">
        <f t="shared" ca="1" si="2"/>
        <v>76.053072474934226</v>
      </c>
      <c r="Q11" s="818"/>
      <c r="R11" s="818"/>
      <c r="S11" s="818"/>
      <c r="T11" s="818"/>
      <c r="U11" s="818"/>
      <c r="V11" s="818"/>
      <c r="W11" s="818"/>
      <c r="X11" s="818"/>
      <c r="Y11" s="818"/>
      <c r="Z11" s="818"/>
    </row>
    <row r="12" spans="1:26" ht="18.75" hidden="1">
      <c r="A12" s="832"/>
      <c r="B12" s="833"/>
      <c r="C12" s="833"/>
      <c r="D12" s="833"/>
      <c r="E12" s="834" t="s">
        <v>18</v>
      </c>
      <c r="F12" s="833"/>
      <c r="G12" s="835"/>
      <c r="H12" s="43" t="s">
        <v>12</v>
      </c>
      <c r="I12" s="836"/>
      <c r="J12" s="836"/>
      <c r="K12" s="837"/>
      <c r="L12" s="837">
        <f t="shared" ref="L12:N13" si="5">L22+L32</f>
        <v>0</v>
      </c>
      <c r="M12" s="837">
        <f t="shared" si="5"/>
        <v>0</v>
      </c>
      <c r="N12" s="837">
        <f t="shared" si="5"/>
        <v>0</v>
      </c>
      <c r="O12" s="837">
        <f t="shared" si="1"/>
        <v>0</v>
      </c>
      <c r="P12" s="837">
        <f t="shared" si="2"/>
        <v>0</v>
      </c>
      <c r="Q12" s="825"/>
      <c r="R12" s="825"/>
      <c r="S12" s="825"/>
      <c r="T12" s="825"/>
      <c r="U12" s="825"/>
      <c r="V12" s="825"/>
      <c r="W12" s="825"/>
      <c r="X12" s="825"/>
      <c r="Y12" s="825"/>
      <c r="Z12" s="825"/>
    </row>
    <row r="13" spans="1:26" ht="18.75" hidden="1">
      <c r="A13" s="832"/>
      <c r="B13" s="833"/>
      <c r="C13" s="833"/>
      <c r="D13" s="833"/>
      <c r="E13" s="834" t="s">
        <v>19</v>
      </c>
      <c r="F13" s="833"/>
      <c r="G13" s="835"/>
      <c r="H13" s="43" t="s">
        <v>12</v>
      </c>
      <c r="I13" s="836"/>
      <c r="J13" s="836"/>
      <c r="K13" s="837"/>
      <c r="L13" s="837">
        <f t="shared" ca="1" si="5"/>
        <v>4578977</v>
      </c>
      <c r="M13" s="837">
        <f t="shared" ca="1" si="5"/>
        <v>2427115</v>
      </c>
      <c r="N13" s="837">
        <f t="shared" ca="1" si="5"/>
        <v>1845895.53</v>
      </c>
      <c r="O13" s="837">
        <f t="shared" ca="1" si="1"/>
        <v>40.312400127801475</v>
      </c>
      <c r="P13" s="837">
        <f t="shared" ca="1" si="2"/>
        <v>76.053072474934226</v>
      </c>
      <c r="Q13" s="825"/>
      <c r="R13" s="825"/>
      <c r="S13" s="825"/>
      <c r="T13" s="825"/>
      <c r="U13" s="825"/>
      <c r="V13" s="825"/>
      <c r="W13" s="825"/>
      <c r="X13" s="825"/>
      <c r="Y13" s="825"/>
      <c r="Z13" s="825"/>
    </row>
    <row r="14" spans="1:26" ht="18.75">
      <c r="A14" s="826"/>
      <c r="B14" s="827"/>
      <c r="C14" s="827"/>
      <c r="D14" s="828" t="s">
        <v>21</v>
      </c>
      <c r="E14" s="827"/>
      <c r="F14" s="827"/>
      <c r="G14" s="829"/>
      <c r="H14" s="590" t="s">
        <v>12</v>
      </c>
      <c r="I14" s="830"/>
      <c r="J14" s="830"/>
      <c r="K14" s="831"/>
      <c r="L14" s="831">
        <f t="shared" ref="L14:N14" ca="1" si="6">L15+L16</f>
        <v>418800</v>
      </c>
      <c r="M14" s="831">
        <f t="shared" ca="1" si="6"/>
        <v>410466</v>
      </c>
      <c r="N14" s="831">
        <f t="shared" ca="1" si="6"/>
        <v>410466</v>
      </c>
      <c r="O14" s="831">
        <f t="shared" ca="1" si="1"/>
        <v>98.010028653295123</v>
      </c>
      <c r="P14" s="831">
        <f t="shared" ca="1" si="2"/>
        <v>100</v>
      </c>
      <c r="Q14" s="818"/>
      <c r="R14" s="818"/>
      <c r="S14" s="818"/>
      <c r="T14" s="818"/>
      <c r="U14" s="818"/>
      <c r="V14" s="818"/>
      <c r="W14" s="818"/>
      <c r="X14" s="818"/>
      <c r="Y14" s="818"/>
      <c r="Z14" s="818"/>
    </row>
    <row r="15" spans="1:26" ht="18.75" hidden="1">
      <c r="A15" s="832"/>
      <c r="B15" s="833"/>
      <c r="C15" s="833"/>
      <c r="D15" s="833"/>
      <c r="E15" s="834" t="s">
        <v>18</v>
      </c>
      <c r="F15" s="833"/>
      <c r="G15" s="835"/>
      <c r="H15" s="43" t="s">
        <v>12</v>
      </c>
      <c r="I15" s="836"/>
      <c r="J15" s="836"/>
      <c r="K15" s="837"/>
      <c r="L15" s="837">
        <f t="shared" ref="L15:N16" si="7">L25+L35</f>
        <v>0</v>
      </c>
      <c r="M15" s="837">
        <f t="shared" si="7"/>
        <v>0</v>
      </c>
      <c r="N15" s="837">
        <f t="shared" si="7"/>
        <v>0</v>
      </c>
      <c r="O15" s="837">
        <f t="shared" si="1"/>
        <v>0</v>
      </c>
      <c r="P15" s="837">
        <f t="shared" si="2"/>
        <v>0</v>
      </c>
      <c r="Q15" s="825"/>
      <c r="R15" s="825"/>
      <c r="S15" s="825"/>
      <c r="T15" s="825"/>
      <c r="U15" s="825"/>
      <c r="V15" s="825"/>
      <c r="W15" s="825"/>
      <c r="X15" s="825"/>
      <c r="Y15" s="825"/>
      <c r="Z15" s="825"/>
    </row>
    <row r="16" spans="1:26" ht="18.75" hidden="1">
      <c r="A16" s="838"/>
      <c r="B16" s="839"/>
      <c r="C16" s="839"/>
      <c r="D16" s="839"/>
      <c r="E16" s="840" t="s">
        <v>19</v>
      </c>
      <c r="F16" s="839"/>
      <c r="G16" s="841"/>
      <c r="H16" s="50" t="s">
        <v>12</v>
      </c>
      <c r="I16" s="842"/>
      <c r="J16" s="842"/>
      <c r="K16" s="843"/>
      <c r="L16" s="843">
        <f t="shared" ca="1" si="7"/>
        <v>418800</v>
      </c>
      <c r="M16" s="843">
        <f t="shared" ca="1" si="7"/>
        <v>410466</v>
      </c>
      <c r="N16" s="843">
        <f t="shared" ca="1" si="7"/>
        <v>410466</v>
      </c>
      <c r="O16" s="843">
        <f t="shared" ca="1" si="1"/>
        <v>98.010028653295123</v>
      </c>
      <c r="P16" s="843">
        <f t="shared" ca="1" si="2"/>
        <v>100</v>
      </c>
      <c r="Q16" s="825"/>
      <c r="R16" s="825"/>
      <c r="S16" s="825"/>
      <c r="T16" s="825"/>
      <c r="U16" s="825"/>
      <c r="V16" s="825"/>
      <c r="W16" s="825"/>
      <c r="X16" s="825"/>
      <c r="Y16" s="825"/>
      <c r="Z16" s="825"/>
    </row>
    <row r="17" spans="1:26" ht="19.5">
      <c r="A17" s="1512" t="s">
        <v>22</v>
      </c>
      <c r="B17" s="1494"/>
      <c r="C17" s="1494"/>
      <c r="D17" s="1494"/>
      <c r="E17" s="1494"/>
      <c r="F17" s="1494"/>
      <c r="G17" s="1495"/>
      <c r="H17" s="807"/>
      <c r="I17" s="808"/>
      <c r="J17" s="808"/>
      <c r="K17" s="809"/>
      <c r="L17" s="809"/>
      <c r="M17" s="809"/>
      <c r="N17" s="809"/>
      <c r="O17" s="809"/>
      <c r="P17" s="809"/>
    </row>
    <row r="18" spans="1:26" ht="19.5">
      <c r="A18" s="810"/>
      <c r="B18" s="811"/>
      <c r="C18" s="812" t="s">
        <v>16</v>
      </c>
      <c r="D18" s="813" t="s">
        <v>17</v>
      </c>
      <c r="E18" s="811"/>
      <c r="F18" s="811"/>
      <c r="G18" s="814"/>
      <c r="H18" s="19" t="s">
        <v>12</v>
      </c>
      <c r="I18" s="815"/>
      <c r="J18" s="815"/>
      <c r="K18" s="816"/>
      <c r="L18" s="817">
        <f t="shared" ref="L18:N18" ca="1" si="8">L19+L20</f>
        <v>3408865</v>
      </c>
      <c r="M18" s="817">
        <f t="shared" ca="1" si="8"/>
        <v>2837581</v>
      </c>
      <c r="N18" s="817">
        <f t="shared" ca="1" si="8"/>
        <v>1735018.53</v>
      </c>
      <c r="O18" s="817">
        <f t="shared" ref="O18:O26" ca="1" si="9">IF(L18&gt;0,N18*100/L18,0)</f>
        <v>50.897249671078207</v>
      </c>
      <c r="P18" s="817">
        <f t="shared" ref="P18:P26" ca="1" si="10">IF(M18&gt;0,N18*100/M18,0)</f>
        <v>61.144282048688652</v>
      </c>
      <c r="Q18" s="818"/>
      <c r="R18" s="818"/>
      <c r="S18" s="818"/>
      <c r="T18" s="818"/>
      <c r="U18" s="818"/>
      <c r="V18" s="818"/>
      <c r="W18" s="818"/>
      <c r="X18" s="818"/>
      <c r="Y18" s="818"/>
      <c r="Z18" s="818"/>
    </row>
    <row r="19" spans="1:26" ht="18.75" hidden="1">
      <c r="A19" s="819"/>
      <c r="B19" s="820"/>
      <c r="C19" s="820"/>
      <c r="D19" s="820"/>
      <c r="E19" s="821" t="s">
        <v>18</v>
      </c>
      <c r="F19" s="820"/>
      <c r="G19" s="822"/>
      <c r="H19" s="28" t="s">
        <v>12</v>
      </c>
      <c r="I19" s="823"/>
      <c r="J19" s="823"/>
      <c r="K19" s="824"/>
      <c r="L19" s="824">
        <f t="shared" ref="L19:N20" si="11">L22+L25</f>
        <v>0</v>
      </c>
      <c r="M19" s="824">
        <f t="shared" si="11"/>
        <v>0</v>
      </c>
      <c r="N19" s="824">
        <f t="shared" si="11"/>
        <v>0</v>
      </c>
      <c r="O19" s="824">
        <f t="shared" si="9"/>
        <v>0</v>
      </c>
      <c r="P19" s="824">
        <f t="shared" si="10"/>
        <v>0</v>
      </c>
      <c r="Q19" s="825"/>
      <c r="R19" s="825"/>
      <c r="S19" s="825"/>
      <c r="T19" s="825"/>
      <c r="U19" s="825"/>
      <c r="V19" s="825"/>
      <c r="W19" s="825"/>
      <c r="X19" s="825"/>
      <c r="Y19" s="825"/>
      <c r="Z19" s="825"/>
    </row>
    <row r="20" spans="1:26" ht="18.75" hidden="1">
      <c r="A20" s="819"/>
      <c r="B20" s="820"/>
      <c r="C20" s="820"/>
      <c r="D20" s="820"/>
      <c r="E20" s="821" t="s">
        <v>19</v>
      </c>
      <c r="F20" s="820"/>
      <c r="G20" s="822"/>
      <c r="H20" s="28" t="s">
        <v>12</v>
      </c>
      <c r="I20" s="823"/>
      <c r="J20" s="823"/>
      <c r="K20" s="824"/>
      <c r="L20" s="824">
        <f t="shared" ca="1" si="11"/>
        <v>3408865</v>
      </c>
      <c r="M20" s="824">
        <f t="shared" ca="1" si="11"/>
        <v>2837581</v>
      </c>
      <c r="N20" s="824">
        <f t="shared" ca="1" si="11"/>
        <v>1735018.53</v>
      </c>
      <c r="O20" s="824">
        <f t="shared" ca="1" si="9"/>
        <v>50.897249671078207</v>
      </c>
      <c r="P20" s="824">
        <f t="shared" ca="1" si="10"/>
        <v>61.144282048688652</v>
      </c>
      <c r="Q20" s="825"/>
      <c r="R20" s="825"/>
      <c r="S20" s="825"/>
      <c r="T20" s="825"/>
      <c r="U20" s="825"/>
      <c r="V20" s="825"/>
      <c r="W20" s="825"/>
      <c r="X20" s="825"/>
      <c r="Y20" s="825"/>
      <c r="Z20" s="825"/>
    </row>
    <row r="21" spans="1:26" ht="18.75">
      <c r="A21" s="826"/>
      <c r="B21" s="827"/>
      <c r="C21" s="827"/>
      <c r="D21" s="828" t="s">
        <v>20</v>
      </c>
      <c r="E21" s="827"/>
      <c r="F21" s="827"/>
      <c r="G21" s="829"/>
      <c r="H21" s="590" t="s">
        <v>12</v>
      </c>
      <c r="I21" s="830"/>
      <c r="J21" s="830"/>
      <c r="K21" s="831"/>
      <c r="L21" s="831">
        <f t="shared" ref="L21:N21" ca="1" si="12">L22+L23</f>
        <v>2990065</v>
      </c>
      <c r="M21" s="831">
        <f t="shared" ca="1" si="12"/>
        <v>2427115</v>
      </c>
      <c r="N21" s="831">
        <f t="shared" ca="1" si="12"/>
        <v>1324552.53</v>
      </c>
      <c r="O21" s="831">
        <f t="shared" ca="1" si="9"/>
        <v>44.29845270922204</v>
      </c>
      <c r="P21" s="831">
        <f t="shared" ca="1" si="10"/>
        <v>54.573126118869524</v>
      </c>
      <c r="Q21" s="818"/>
      <c r="R21" s="818"/>
      <c r="S21" s="818"/>
      <c r="T21" s="818"/>
      <c r="U21" s="818"/>
      <c r="V21" s="818"/>
      <c r="W21" s="818"/>
      <c r="X21" s="818"/>
      <c r="Y21" s="818"/>
      <c r="Z21" s="818"/>
    </row>
    <row r="22" spans="1:26" ht="18.75" hidden="1">
      <c r="A22" s="832"/>
      <c r="B22" s="833"/>
      <c r="C22" s="833"/>
      <c r="D22" s="833"/>
      <c r="E22" s="834" t="s">
        <v>18</v>
      </c>
      <c r="F22" s="833"/>
      <c r="G22" s="835"/>
      <c r="H22" s="43" t="s">
        <v>12</v>
      </c>
      <c r="I22" s="836"/>
      <c r="J22" s="836"/>
      <c r="K22" s="837"/>
      <c r="L22" s="837">
        <f t="shared" ref="L22:N23" si="13">L45+L57+L70+L92+L123+L136+L153+L185+L169+L265+L281+L302+L319+L332+L349+L393+L406</f>
        <v>0</v>
      </c>
      <c r="M22" s="837">
        <f t="shared" si="13"/>
        <v>0</v>
      </c>
      <c r="N22" s="837">
        <f t="shared" si="13"/>
        <v>0</v>
      </c>
      <c r="O22" s="837">
        <f t="shared" si="9"/>
        <v>0</v>
      </c>
      <c r="P22" s="837">
        <f t="shared" si="10"/>
        <v>0</v>
      </c>
      <c r="Q22" s="825"/>
      <c r="R22" s="825"/>
      <c r="S22" s="825"/>
      <c r="T22" s="825"/>
      <c r="U22" s="825"/>
      <c r="V22" s="825"/>
      <c r="W22" s="825"/>
      <c r="X22" s="825"/>
      <c r="Y22" s="825"/>
      <c r="Z22" s="825"/>
    </row>
    <row r="23" spans="1:26" ht="18.75" hidden="1">
      <c r="A23" s="832"/>
      <c r="B23" s="833"/>
      <c r="C23" s="833"/>
      <c r="D23" s="833"/>
      <c r="E23" s="834" t="s">
        <v>19</v>
      </c>
      <c r="F23" s="833"/>
      <c r="G23" s="835"/>
      <c r="H23" s="43" t="s">
        <v>12</v>
      </c>
      <c r="I23" s="836"/>
      <c r="J23" s="836"/>
      <c r="K23" s="837"/>
      <c r="L23" s="837">
        <f t="shared" ca="1" si="13"/>
        <v>2990065</v>
      </c>
      <c r="M23" s="837">
        <f t="shared" ca="1" si="13"/>
        <v>2427115</v>
      </c>
      <c r="N23" s="837">
        <f t="shared" ca="1" si="13"/>
        <v>1324552.53</v>
      </c>
      <c r="O23" s="837">
        <f t="shared" ca="1" si="9"/>
        <v>44.29845270922204</v>
      </c>
      <c r="P23" s="837">
        <f t="shared" ca="1" si="10"/>
        <v>54.573126118869524</v>
      </c>
      <c r="Q23" s="825"/>
      <c r="R23" s="825"/>
      <c r="S23" s="825"/>
      <c r="T23" s="825"/>
      <c r="U23" s="825"/>
      <c r="V23" s="825"/>
      <c r="W23" s="825"/>
      <c r="X23" s="825"/>
      <c r="Y23" s="825"/>
      <c r="Z23" s="825"/>
    </row>
    <row r="24" spans="1:26" ht="18.75">
      <c r="A24" s="826"/>
      <c r="B24" s="827"/>
      <c r="C24" s="827"/>
      <c r="D24" s="828" t="s">
        <v>21</v>
      </c>
      <c r="E24" s="827"/>
      <c r="F24" s="827"/>
      <c r="G24" s="829"/>
      <c r="H24" s="590" t="s">
        <v>12</v>
      </c>
      <c r="I24" s="830"/>
      <c r="J24" s="830"/>
      <c r="K24" s="831"/>
      <c r="L24" s="831">
        <f t="shared" ref="L24:N24" ca="1" si="14">L25+L26</f>
        <v>418800</v>
      </c>
      <c r="M24" s="831">
        <f t="shared" ca="1" si="14"/>
        <v>410466</v>
      </c>
      <c r="N24" s="831">
        <f t="shared" ca="1" si="14"/>
        <v>410466</v>
      </c>
      <c r="O24" s="831">
        <f t="shared" ca="1" si="9"/>
        <v>98.010028653295123</v>
      </c>
      <c r="P24" s="831">
        <f t="shared" ca="1" si="10"/>
        <v>100</v>
      </c>
      <c r="Q24" s="818"/>
      <c r="R24" s="818"/>
      <c r="S24" s="818"/>
      <c r="T24" s="818"/>
      <c r="U24" s="818"/>
      <c r="V24" s="818"/>
      <c r="W24" s="818"/>
      <c r="X24" s="818"/>
      <c r="Y24" s="818"/>
      <c r="Z24" s="818"/>
    </row>
    <row r="25" spans="1:26" ht="18.75" hidden="1">
      <c r="A25" s="832"/>
      <c r="B25" s="833"/>
      <c r="C25" s="833"/>
      <c r="D25" s="833"/>
      <c r="E25" s="834" t="s">
        <v>18</v>
      </c>
      <c r="F25" s="833"/>
      <c r="G25" s="835"/>
      <c r="H25" s="43" t="s">
        <v>12</v>
      </c>
      <c r="I25" s="836"/>
      <c r="J25" s="836"/>
      <c r="K25" s="837"/>
      <c r="L25" s="837">
        <f t="shared" ref="L25:N26" si="15">L48+L60+L73+L95+L126+L139+L156+L188+L172+L268+L284+L305+L322+L335+L352+L396+L409</f>
        <v>0</v>
      </c>
      <c r="M25" s="837">
        <f t="shared" si="15"/>
        <v>0</v>
      </c>
      <c r="N25" s="837">
        <f t="shared" si="15"/>
        <v>0</v>
      </c>
      <c r="O25" s="837">
        <f t="shared" si="9"/>
        <v>0</v>
      </c>
      <c r="P25" s="837">
        <f t="shared" si="10"/>
        <v>0</v>
      </c>
      <c r="Q25" s="825"/>
      <c r="R25" s="825"/>
      <c r="S25" s="825"/>
      <c r="T25" s="825"/>
      <c r="U25" s="825"/>
      <c r="V25" s="825"/>
      <c r="W25" s="825"/>
      <c r="X25" s="825"/>
      <c r="Y25" s="825"/>
      <c r="Z25" s="825"/>
    </row>
    <row r="26" spans="1:26" ht="18.75" hidden="1">
      <c r="A26" s="838"/>
      <c r="B26" s="839"/>
      <c r="C26" s="839"/>
      <c r="D26" s="839"/>
      <c r="E26" s="840" t="s">
        <v>19</v>
      </c>
      <c r="F26" s="839"/>
      <c r="G26" s="841"/>
      <c r="H26" s="50" t="s">
        <v>12</v>
      </c>
      <c r="I26" s="842"/>
      <c r="J26" s="842"/>
      <c r="K26" s="843"/>
      <c r="L26" s="843">
        <f t="shared" ca="1" si="15"/>
        <v>418800</v>
      </c>
      <c r="M26" s="843">
        <f t="shared" ca="1" si="15"/>
        <v>410466</v>
      </c>
      <c r="N26" s="843">
        <f t="shared" ca="1" si="15"/>
        <v>410466</v>
      </c>
      <c r="O26" s="843">
        <f t="shared" ca="1" si="9"/>
        <v>98.010028653295123</v>
      </c>
      <c r="P26" s="843">
        <f t="shared" ca="1" si="10"/>
        <v>100</v>
      </c>
      <c r="Q26" s="825"/>
      <c r="R26" s="825"/>
      <c r="S26" s="825"/>
      <c r="T26" s="825"/>
      <c r="U26" s="825"/>
      <c r="V26" s="825"/>
      <c r="W26" s="825"/>
      <c r="X26" s="825"/>
      <c r="Y26" s="825"/>
      <c r="Z26" s="825"/>
    </row>
    <row r="27" spans="1:26" ht="19.5">
      <c r="A27" s="1512" t="s">
        <v>23</v>
      </c>
      <c r="B27" s="1494"/>
      <c r="C27" s="1494"/>
      <c r="D27" s="1494"/>
      <c r="E27" s="1494"/>
      <c r="F27" s="1494"/>
      <c r="G27" s="1495"/>
      <c r="H27" s="807"/>
      <c r="I27" s="808"/>
      <c r="J27" s="808"/>
      <c r="K27" s="809"/>
      <c r="L27" s="809"/>
      <c r="M27" s="809"/>
      <c r="N27" s="809"/>
      <c r="O27" s="809"/>
      <c r="P27" s="809"/>
    </row>
    <row r="28" spans="1:26" ht="19.5">
      <c r="A28" s="810"/>
      <c r="B28" s="811"/>
      <c r="C28" s="812" t="s">
        <v>16</v>
      </c>
      <c r="D28" s="813" t="s">
        <v>17</v>
      </c>
      <c r="E28" s="811"/>
      <c r="F28" s="811"/>
      <c r="G28" s="814"/>
      <c r="H28" s="19" t="s">
        <v>12</v>
      </c>
      <c r="I28" s="815"/>
      <c r="J28" s="815"/>
      <c r="K28" s="816"/>
      <c r="L28" s="817">
        <f t="shared" ref="L28:N28" ca="1" si="16">L29+L30</f>
        <v>1588912</v>
      </c>
      <c r="M28" s="817">
        <f t="shared" si="16"/>
        <v>0</v>
      </c>
      <c r="N28" s="817">
        <f t="shared" si="16"/>
        <v>521343</v>
      </c>
      <c r="O28" s="817">
        <f t="shared" ref="O28:O37" ca="1" si="17">IF(L28&gt;0,N28*100/L28,0)</f>
        <v>32.811319947234331</v>
      </c>
      <c r="P28" s="817">
        <f t="shared" ref="P28:P37" si="18">IF(M28&gt;0,N28*100/M28,0)</f>
        <v>0</v>
      </c>
      <c r="Q28" s="818"/>
      <c r="R28" s="818"/>
      <c r="S28" s="818"/>
      <c r="T28" s="818"/>
      <c r="U28" s="818"/>
      <c r="V28" s="818"/>
      <c r="W28" s="818"/>
      <c r="X28" s="818"/>
      <c r="Y28" s="818"/>
      <c r="Z28" s="818"/>
    </row>
    <row r="29" spans="1:26" ht="18.75" hidden="1">
      <c r="A29" s="819"/>
      <c r="B29" s="820"/>
      <c r="C29" s="820"/>
      <c r="D29" s="820"/>
      <c r="E29" s="821" t="s">
        <v>18</v>
      </c>
      <c r="F29" s="820"/>
      <c r="G29" s="822"/>
      <c r="H29" s="28" t="s">
        <v>12</v>
      </c>
      <c r="I29" s="823"/>
      <c r="J29" s="823"/>
      <c r="K29" s="824"/>
      <c r="L29" s="824">
        <f t="shared" ref="L29:N30" si="19">L32+L35</f>
        <v>0</v>
      </c>
      <c r="M29" s="824">
        <f t="shared" si="19"/>
        <v>0</v>
      </c>
      <c r="N29" s="824">
        <f t="shared" si="19"/>
        <v>0</v>
      </c>
      <c r="O29" s="824">
        <f t="shared" si="17"/>
        <v>0</v>
      </c>
      <c r="P29" s="824">
        <f t="shared" si="18"/>
        <v>0</v>
      </c>
      <c r="Q29" s="825"/>
      <c r="R29" s="825"/>
      <c r="S29" s="825"/>
      <c r="T29" s="825"/>
      <c r="U29" s="825"/>
      <c r="V29" s="825"/>
      <c r="W29" s="825"/>
      <c r="X29" s="825"/>
      <c r="Y29" s="825"/>
      <c r="Z29" s="825"/>
    </row>
    <row r="30" spans="1:26" ht="18.75" hidden="1">
      <c r="A30" s="819"/>
      <c r="B30" s="820"/>
      <c r="C30" s="820"/>
      <c r="D30" s="820"/>
      <c r="E30" s="821" t="s">
        <v>19</v>
      </c>
      <c r="F30" s="820"/>
      <c r="G30" s="822"/>
      <c r="H30" s="28" t="s">
        <v>12</v>
      </c>
      <c r="I30" s="823"/>
      <c r="J30" s="823"/>
      <c r="K30" s="824"/>
      <c r="L30" s="824">
        <f t="shared" ca="1" si="19"/>
        <v>1588912</v>
      </c>
      <c r="M30" s="824">
        <f t="shared" si="19"/>
        <v>0</v>
      </c>
      <c r="N30" s="824">
        <f t="shared" si="19"/>
        <v>521343</v>
      </c>
      <c r="O30" s="824">
        <f t="shared" ca="1" si="17"/>
        <v>32.811319947234331</v>
      </c>
      <c r="P30" s="824">
        <f t="shared" si="18"/>
        <v>0</v>
      </c>
      <c r="Q30" s="825"/>
      <c r="R30" s="825"/>
      <c r="S30" s="825"/>
      <c r="T30" s="825"/>
      <c r="U30" s="825"/>
      <c r="V30" s="825"/>
      <c r="W30" s="825"/>
      <c r="X30" s="825"/>
      <c r="Y30" s="825"/>
      <c r="Z30" s="825"/>
    </row>
    <row r="31" spans="1:26" ht="18.75">
      <c r="A31" s="826"/>
      <c r="B31" s="827"/>
      <c r="C31" s="827"/>
      <c r="D31" s="828" t="s">
        <v>20</v>
      </c>
      <c r="E31" s="827"/>
      <c r="F31" s="827"/>
      <c r="G31" s="829"/>
      <c r="H31" s="590" t="s">
        <v>12</v>
      </c>
      <c r="I31" s="830"/>
      <c r="J31" s="830"/>
      <c r="K31" s="831"/>
      <c r="L31" s="831">
        <f t="shared" ref="L31:N31" ca="1" si="20">L32+L33</f>
        <v>1588912</v>
      </c>
      <c r="M31" s="831">
        <f t="shared" si="20"/>
        <v>0</v>
      </c>
      <c r="N31" s="831">
        <f t="shared" si="20"/>
        <v>521343</v>
      </c>
      <c r="O31" s="831">
        <f t="shared" ca="1" si="17"/>
        <v>32.811319947234331</v>
      </c>
      <c r="P31" s="831">
        <f t="shared" si="18"/>
        <v>0</v>
      </c>
      <c r="Q31" s="818"/>
      <c r="R31" s="818"/>
      <c r="S31" s="818"/>
      <c r="T31" s="818"/>
      <c r="U31" s="818"/>
      <c r="V31" s="818"/>
      <c r="W31" s="818"/>
      <c r="X31" s="818"/>
      <c r="Y31" s="818"/>
      <c r="Z31" s="818"/>
    </row>
    <row r="32" spans="1:26" ht="18.75" hidden="1">
      <c r="A32" s="832"/>
      <c r="B32" s="833"/>
      <c r="C32" s="833"/>
      <c r="D32" s="833"/>
      <c r="E32" s="834" t="s">
        <v>18</v>
      </c>
      <c r="F32" s="833"/>
      <c r="G32" s="835"/>
      <c r="H32" s="43" t="s">
        <v>12</v>
      </c>
      <c r="I32" s="836"/>
      <c r="J32" s="836"/>
      <c r="K32" s="837"/>
      <c r="L32" s="837">
        <f t="shared" ref="L32:N33" si="21">L423+L448+L471+L506+L527+L548+L633+L659+L689+L741+L758+L774+L790+L809</f>
        <v>0</v>
      </c>
      <c r="M32" s="837">
        <f t="shared" si="21"/>
        <v>0</v>
      </c>
      <c r="N32" s="837">
        <f t="shared" si="21"/>
        <v>0</v>
      </c>
      <c r="O32" s="837">
        <f t="shared" si="17"/>
        <v>0</v>
      </c>
      <c r="P32" s="837">
        <f t="shared" si="18"/>
        <v>0</v>
      </c>
      <c r="Q32" s="825"/>
      <c r="R32" s="825"/>
      <c r="S32" s="825"/>
      <c r="T32" s="825"/>
      <c r="U32" s="825"/>
      <c r="V32" s="825"/>
      <c r="W32" s="825"/>
      <c r="X32" s="825"/>
      <c r="Y32" s="825"/>
      <c r="Z32" s="825"/>
    </row>
    <row r="33" spans="1:26" ht="18.75" hidden="1">
      <c r="A33" s="832"/>
      <c r="B33" s="833"/>
      <c r="C33" s="833"/>
      <c r="D33" s="833"/>
      <c r="E33" s="834" t="s">
        <v>19</v>
      </c>
      <c r="F33" s="833"/>
      <c r="G33" s="835"/>
      <c r="H33" s="43" t="s">
        <v>12</v>
      </c>
      <c r="I33" s="836"/>
      <c r="J33" s="836"/>
      <c r="K33" s="837"/>
      <c r="L33" s="837">
        <f t="shared" ca="1" si="21"/>
        <v>1588912</v>
      </c>
      <c r="M33" s="837">
        <f t="shared" si="21"/>
        <v>0</v>
      </c>
      <c r="N33" s="837">
        <f t="shared" si="21"/>
        <v>521343</v>
      </c>
      <c r="O33" s="837">
        <f t="shared" ca="1" si="17"/>
        <v>32.811319947234331</v>
      </c>
      <c r="P33" s="837">
        <f t="shared" si="18"/>
        <v>0</v>
      </c>
      <c r="Q33" s="825"/>
      <c r="R33" s="825"/>
      <c r="S33" s="825"/>
      <c r="T33" s="825"/>
      <c r="U33" s="825"/>
      <c r="V33" s="825"/>
      <c r="W33" s="825"/>
      <c r="X33" s="825"/>
      <c r="Y33" s="825"/>
      <c r="Z33" s="825"/>
    </row>
    <row r="34" spans="1:26" ht="18.75">
      <c r="A34" s="826"/>
      <c r="B34" s="827"/>
      <c r="C34" s="827"/>
      <c r="D34" s="828" t="s">
        <v>21</v>
      </c>
      <c r="E34" s="827"/>
      <c r="F34" s="827"/>
      <c r="G34" s="829"/>
      <c r="H34" s="590" t="s">
        <v>12</v>
      </c>
      <c r="I34" s="830"/>
      <c r="J34" s="830"/>
      <c r="K34" s="831"/>
      <c r="L34" s="831">
        <f t="shared" ref="L34:N34" ca="1" si="22">L35+L36</f>
        <v>0</v>
      </c>
      <c r="M34" s="831">
        <f t="shared" si="22"/>
        <v>0</v>
      </c>
      <c r="N34" s="831">
        <f t="shared" si="22"/>
        <v>0</v>
      </c>
      <c r="O34" s="831">
        <f t="shared" ca="1" si="17"/>
        <v>0</v>
      </c>
      <c r="P34" s="831">
        <f t="shared" si="18"/>
        <v>0</v>
      </c>
      <c r="Q34" s="818"/>
      <c r="R34" s="818"/>
      <c r="S34" s="818"/>
      <c r="T34" s="818"/>
      <c r="U34" s="818"/>
      <c r="V34" s="818"/>
      <c r="W34" s="818"/>
      <c r="X34" s="818"/>
      <c r="Y34" s="818"/>
      <c r="Z34" s="818"/>
    </row>
    <row r="35" spans="1:26" ht="18.75" hidden="1">
      <c r="A35" s="832"/>
      <c r="B35" s="833"/>
      <c r="C35" s="833"/>
      <c r="D35" s="833"/>
      <c r="E35" s="834" t="s">
        <v>18</v>
      </c>
      <c r="F35" s="833"/>
      <c r="G35" s="835"/>
      <c r="H35" s="43" t="s">
        <v>12</v>
      </c>
      <c r="I35" s="836"/>
      <c r="J35" s="836"/>
      <c r="K35" s="837"/>
      <c r="L35" s="837">
        <f t="shared" ref="L35:N36" si="23">L430+L455+L478+L513+L534+L556+L640+L666+L696+L748+L765+L781+L797+L816</f>
        <v>0</v>
      </c>
      <c r="M35" s="837">
        <f t="shared" si="23"/>
        <v>0</v>
      </c>
      <c r="N35" s="837">
        <f t="shared" si="23"/>
        <v>0</v>
      </c>
      <c r="O35" s="837">
        <f t="shared" si="17"/>
        <v>0</v>
      </c>
      <c r="P35" s="837">
        <f t="shared" si="18"/>
        <v>0</v>
      </c>
      <c r="Q35" s="825"/>
      <c r="R35" s="825"/>
      <c r="S35" s="825"/>
      <c r="T35" s="825"/>
      <c r="U35" s="825"/>
      <c r="V35" s="825"/>
      <c r="W35" s="825"/>
      <c r="X35" s="825"/>
      <c r="Y35" s="825"/>
      <c r="Z35" s="825"/>
    </row>
    <row r="36" spans="1:26" ht="18.75" hidden="1">
      <c r="A36" s="838"/>
      <c r="B36" s="839"/>
      <c r="C36" s="839"/>
      <c r="D36" s="839"/>
      <c r="E36" s="840" t="s">
        <v>19</v>
      </c>
      <c r="F36" s="839"/>
      <c r="G36" s="841"/>
      <c r="H36" s="50" t="s">
        <v>12</v>
      </c>
      <c r="I36" s="842"/>
      <c r="J36" s="842"/>
      <c r="K36" s="843"/>
      <c r="L36" s="843">
        <f t="shared" ca="1" si="23"/>
        <v>0</v>
      </c>
      <c r="M36" s="843">
        <f t="shared" si="23"/>
        <v>0</v>
      </c>
      <c r="N36" s="843">
        <f t="shared" si="23"/>
        <v>0</v>
      </c>
      <c r="O36" s="843">
        <f t="shared" ca="1" si="17"/>
        <v>0</v>
      </c>
      <c r="P36" s="843">
        <f t="shared" si="18"/>
        <v>0</v>
      </c>
      <c r="Q36" s="825"/>
      <c r="R36" s="825"/>
      <c r="S36" s="825"/>
      <c r="T36" s="825"/>
      <c r="U36" s="825"/>
      <c r="V36" s="825"/>
      <c r="W36" s="825"/>
      <c r="X36" s="825"/>
      <c r="Y36" s="825"/>
      <c r="Z36" s="825"/>
    </row>
    <row r="37" spans="1:26" ht="19.5">
      <c r="A37" s="844" t="s">
        <v>24</v>
      </c>
      <c r="B37" s="845"/>
      <c r="C37" s="845"/>
      <c r="D37" s="845"/>
      <c r="E37" s="845"/>
      <c r="F37" s="845"/>
      <c r="G37" s="846"/>
      <c r="H37" s="847"/>
      <c r="I37" s="848"/>
      <c r="J37" s="848"/>
      <c r="K37" s="849"/>
      <c r="L37" s="850">
        <f t="shared" ref="L37:N37" ca="1" si="24">L41+L53+L66+L88+L119+L132+L149+L165+L181+L261+L277+L298+L315+L328+L345+L389+L402</f>
        <v>3408865</v>
      </c>
      <c r="M37" s="850">
        <f t="shared" ca="1" si="24"/>
        <v>2837581</v>
      </c>
      <c r="N37" s="850">
        <f t="shared" ca="1" si="24"/>
        <v>1735018.53</v>
      </c>
      <c r="O37" s="850">
        <f t="shared" ca="1" si="17"/>
        <v>50.897249671078207</v>
      </c>
      <c r="P37" s="850">
        <f t="shared" ca="1" si="18"/>
        <v>61.144282048688652</v>
      </c>
    </row>
    <row r="38" spans="1:26" ht="19.5">
      <c r="A38" s="851" t="s">
        <v>25</v>
      </c>
      <c r="B38" s="852"/>
      <c r="C38" s="852"/>
      <c r="D38" s="852"/>
      <c r="E38" s="852"/>
      <c r="F38" s="852"/>
      <c r="G38" s="853"/>
      <c r="H38" s="854"/>
      <c r="I38" s="855"/>
      <c r="J38" s="855"/>
      <c r="K38" s="856"/>
      <c r="L38" s="856"/>
      <c r="M38" s="856"/>
      <c r="N38" s="856"/>
      <c r="O38" s="856"/>
      <c r="P38" s="856"/>
    </row>
    <row r="39" spans="1:26" ht="19.5">
      <c r="A39" s="857"/>
      <c r="B39" s="858" t="s">
        <v>26</v>
      </c>
      <c r="C39" s="859"/>
      <c r="D39" s="859"/>
      <c r="E39" s="859"/>
      <c r="F39" s="859"/>
      <c r="G39" s="860"/>
      <c r="H39" s="861"/>
      <c r="I39" s="862"/>
      <c r="J39" s="862"/>
      <c r="K39" s="863"/>
      <c r="L39" s="863"/>
      <c r="M39" s="863"/>
      <c r="N39" s="863"/>
      <c r="O39" s="863"/>
      <c r="P39" s="863"/>
    </row>
    <row r="40" spans="1:26" ht="19.5">
      <c r="A40" s="864"/>
      <c r="B40" s="1513" t="s">
        <v>27</v>
      </c>
      <c r="C40" s="1485"/>
      <c r="D40" s="1485"/>
      <c r="E40" s="1485"/>
      <c r="F40" s="1485"/>
      <c r="G40" s="1491"/>
      <c r="H40" s="865"/>
      <c r="I40" s="866"/>
      <c r="J40" s="866"/>
      <c r="K40" s="867"/>
      <c r="L40" s="867"/>
      <c r="M40" s="867"/>
      <c r="N40" s="867"/>
      <c r="O40" s="867"/>
      <c r="P40" s="867"/>
    </row>
    <row r="41" spans="1:26" ht="19.5">
      <c r="A41" s="868"/>
      <c r="B41" s="869"/>
      <c r="C41" s="870" t="s">
        <v>16</v>
      </c>
      <c r="D41" s="871" t="s">
        <v>17</v>
      </c>
      <c r="E41" s="869"/>
      <c r="F41" s="869"/>
      <c r="G41" s="872"/>
      <c r="H41" s="82" t="s">
        <v>12</v>
      </c>
      <c r="I41" s="873"/>
      <c r="J41" s="873"/>
      <c r="K41" s="874"/>
      <c r="L41" s="875">
        <f t="shared" ref="L41:N41" ca="1" si="25">L42+L43</f>
        <v>493450</v>
      </c>
      <c r="M41" s="875">
        <f t="shared" ca="1" si="25"/>
        <v>500890</v>
      </c>
      <c r="N41" s="875">
        <f t="shared" ca="1" si="25"/>
        <v>222497</v>
      </c>
      <c r="O41" s="875">
        <f t="shared" ref="O41:O49" ca="1" si="26">IF(L41&gt;0,N41*100/L41,0)</f>
        <v>45.090080048637148</v>
      </c>
      <c r="P41" s="875">
        <f t="shared" ref="P41:P49" ca="1" si="27">IF(M41&gt;0,N41*100/M41,0)</f>
        <v>44.420331809379306</v>
      </c>
      <c r="Q41" s="818"/>
      <c r="R41" s="818"/>
      <c r="S41" s="818"/>
      <c r="T41" s="818"/>
      <c r="U41" s="818"/>
      <c r="V41" s="818"/>
      <c r="W41" s="818"/>
      <c r="X41" s="818"/>
      <c r="Y41" s="818"/>
      <c r="Z41" s="818"/>
    </row>
    <row r="42" spans="1:26" ht="18.75" hidden="1">
      <c r="A42" s="876"/>
      <c r="B42" s="877"/>
      <c r="C42" s="877"/>
      <c r="D42" s="877"/>
      <c r="E42" s="878" t="s">
        <v>18</v>
      </c>
      <c r="F42" s="877"/>
      <c r="G42" s="879"/>
      <c r="H42" s="90" t="s">
        <v>12</v>
      </c>
      <c r="I42" s="880"/>
      <c r="J42" s="880"/>
      <c r="K42" s="881"/>
      <c r="L42" s="881">
        <f t="shared" ref="L42:N43" si="28">L45+L48</f>
        <v>0</v>
      </c>
      <c r="M42" s="881">
        <f t="shared" si="28"/>
        <v>0</v>
      </c>
      <c r="N42" s="881">
        <f t="shared" si="28"/>
        <v>0</v>
      </c>
      <c r="O42" s="881">
        <f t="shared" si="26"/>
        <v>0</v>
      </c>
      <c r="P42" s="881">
        <f t="shared" si="27"/>
        <v>0</v>
      </c>
      <c r="Q42" s="825"/>
      <c r="R42" s="825"/>
      <c r="S42" s="825"/>
      <c r="T42" s="825"/>
      <c r="U42" s="825"/>
      <c r="V42" s="825"/>
      <c r="W42" s="825"/>
      <c r="X42" s="825"/>
      <c r="Y42" s="825"/>
      <c r="Z42" s="825"/>
    </row>
    <row r="43" spans="1:26" ht="18.75" hidden="1">
      <c r="A43" s="876"/>
      <c r="B43" s="877"/>
      <c r="C43" s="877"/>
      <c r="D43" s="877"/>
      <c r="E43" s="878" t="s">
        <v>19</v>
      </c>
      <c r="F43" s="877"/>
      <c r="G43" s="879"/>
      <c r="H43" s="90" t="s">
        <v>12</v>
      </c>
      <c r="I43" s="880"/>
      <c r="J43" s="880"/>
      <c r="K43" s="881"/>
      <c r="L43" s="881">
        <f t="shared" ca="1" si="28"/>
        <v>493450</v>
      </c>
      <c r="M43" s="881">
        <f t="shared" ca="1" si="28"/>
        <v>500890</v>
      </c>
      <c r="N43" s="881">
        <f t="shared" ca="1" si="28"/>
        <v>222497</v>
      </c>
      <c r="O43" s="881">
        <f t="shared" ca="1" si="26"/>
        <v>45.090080048637148</v>
      </c>
      <c r="P43" s="881">
        <f t="shared" ca="1" si="27"/>
        <v>44.420331809379306</v>
      </c>
      <c r="Q43" s="825"/>
      <c r="R43" s="825"/>
      <c r="S43" s="825"/>
      <c r="T43" s="825"/>
      <c r="U43" s="825"/>
      <c r="V43" s="825"/>
      <c r="W43" s="825"/>
      <c r="X43" s="825"/>
      <c r="Y43" s="825"/>
      <c r="Z43" s="825"/>
    </row>
    <row r="44" spans="1:26" ht="18.75">
      <c r="A44" s="826"/>
      <c r="B44" s="827"/>
      <c r="C44" s="827"/>
      <c r="D44" s="828" t="s">
        <v>20</v>
      </c>
      <c r="E44" s="827"/>
      <c r="F44" s="827"/>
      <c r="G44" s="829"/>
      <c r="H44" s="590" t="s">
        <v>12</v>
      </c>
      <c r="I44" s="830"/>
      <c r="J44" s="830"/>
      <c r="K44" s="831"/>
      <c r="L44" s="831">
        <f t="shared" ref="L44:N44" ca="1" si="29">L45+L46</f>
        <v>493450</v>
      </c>
      <c r="M44" s="831">
        <f t="shared" ca="1" si="29"/>
        <v>500890</v>
      </c>
      <c r="N44" s="831">
        <f t="shared" ca="1" si="29"/>
        <v>222497</v>
      </c>
      <c r="O44" s="831">
        <f t="shared" ca="1" si="26"/>
        <v>45.090080048637148</v>
      </c>
      <c r="P44" s="831">
        <f t="shared" ca="1" si="27"/>
        <v>44.420331809379306</v>
      </c>
      <c r="Q44" s="818"/>
      <c r="R44" s="818"/>
      <c r="S44" s="818"/>
      <c r="T44" s="818"/>
      <c r="U44" s="818"/>
      <c r="V44" s="818"/>
      <c r="W44" s="818"/>
      <c r="X44" s="818"/>
      <c r="Y44" s="818"/>
      <c r="Z44" s="818"/>
    </row>
    <row r="45" spans="1:26" ht="18.75" hidden="1">
      <c r="A45" s="832"/>
      <c r="B45" s="833"/>
      <c r="C45" s="833"/>
      <c r="D45" s="833"/>
      <c r="E45" s="834" t="s">
        <v>18</v>
      </c>
      <c r="F45" s="833"/>
      <c r="G45" s="835"/>
      <c r="H45" s="43" t="s">
        <v>12</v>
      </c>
      <c r="I45" s="836"/>
      <c r="J45" s="836"/>
      <c r="K45" s="837"/>
      <c r="L45" s="837">
        <v>0</v>
      </c>
      <c r="M45" s="837">
        <v>0</v>
      </c>
      <c r="N45" s="837">
        <v>0</v>
      </c>
      <c r="O45" s="837">
        <f t="shared" si="26"/>
        <v>0</v>
      </c>
      <c r="P45" s="837">
        <f t="shared" si="27"/>
        <v>0</v>
      </c>
      <c r="Q45" s="825"/>
      <c r="R45" s="825"/>
      <c r="S45" s="825"/>
      <c r="T45" s="825"/>
      <c r="U45" s="825"/>
      <c r="V45" s="825"/>
      <c r="W45" s="825"/>
      <c r="X45" s="825"/>
      <c r="Y45" s="825"/>
      <c r="Z45" s="825"/>
    </row>
    <row r="46" spans="1:26" ht="18.75" hidden="1">
      <c r="A46" s="832"/>
      <c r="B46" s="833"/>
      <c r="C46" s="833"/>
      <c r="D46" s="833"/>
      <c r="E46" s="834" t="s">
        <v>19</v>
      </c>
      <c r="F46" s="833"/>
      <c r="G46" s="835"/>
      <c r="H46" s="43" t="s">
        <v>12</v>
      </c>
      <c r="I46" s="836"/>
      <c r="J46" s="836"/>
      <c r="K46" s="837"/>
      <c r="L46" s="837">
        <f ca="1">IFERROR(__xludf.DUMMYFUNCTION("IMPORTRANGE(""https://docs.google.com/spreadsheets/d/1MeEWN-I1oV_STSDYn1IFDPWt_1FKiwhDph83XaGc0o0/edit?usp=sharing"",""งบพรบ!M29"")"),493450)</f>
        <v>493450</v>
      </c>
      <c r="M46" s="837">
        <f ca="1">IFERROR(__xludf.DUMMYFUNCTION("IMPORTRANGE(""https://docs.google.com/spreadsheets/d/1MeEWN-I1oV_STSDYn1IFDPWt_1FKiwhDph83XaGc0o0/edit?usp=sharing"",""งบพรบ!R29"")"),500890)</f>
        <v>500890</v>
      </c>
      <c r="N46" s="837">
        <f ca="1">IFERROR(__xludf.DUMMYFUNCTION("IMPORTRANGE(""https://docs.google.com/spreadsheets/d/1MeEWN-I1oV_STSDYn1IFDPWt_1FKiwhDph83XaGc0o0/edit?usp=sharing"",""งบพรบ!T29"")"),222497)</f>
        <v>222497</v>
      </c>
      <c r="O46" s="837">
        <f t="shared" ca="1" si="26"/>
        <v>45.090080048637148</v>
      </c>
      <c r="P46" s="837">
        <f t="shared" ca="1" si="27"/>
        <v>44.420331809379306</v>
      </c>
      <c r="Q46" s="825"/>
      <c r="R46" s="825"/>
      <c r="S46" s="825"/>
      <c r="T46" s="825"/>
      <c r="U46" s="825"/>
      <c r="V46" s="825"/>
      <c r="W46" s="825"/>
      <c r="X46" s="825"/>
      <c r="Y46" s="825"/>
      <c r="Z46" s="825"/>
    </row>
    <row r="47" spans="1:26" ht="18.75">
      <c r="A47" s="826"/>
      <c r="B47" s="827"/>
      <c r="C47" s="827"/>
      <c r="D47" s="828" t="s">
        <v>21</v>
      </c>
      <c r="E47" s="827"/>
      <c r="F47" s="827"/>
      <c r="G47" s="829"/>
      <c r="H47" s="590" t="s">
        <v>12</v>
      </c>
      <c r="I47" s="830"/>
      <c r="J47" s="830"/>
      <c r="K47" s="831"/>
      <c r="L47" s="831">
        <f t="shared" ref="L47:N47" ca="1" si="30">L48+L49</f>
        <v>0</v>
      </c>
      <c r="M47" s="831">
        <f t="shared" ca="1" si="30"/>
        <v>0</v>
      </c>
      <c r="N47" s="831">
        <f t="shared" ca="1" si="30"/>
        <v>0</v>
      </c>
      <c r="O47" s="831">
        <f t="shared" ca="1" si="26"/>
        <v>0</v>
      </c>
      <c r="P47" s="831">
        <f t="shared" ca="1" si="27"/>
        <v>0</v>
      </c>
      <c r="Q47" s="818"/>
      <c r="R47" s="818"/>
      <c r="S47" s="818"/>
      <c r="T47" s="818"/>
      <c r="U47" s="818"/>
      <c r="V47" s="818"/>
      <c r="W47" s="818"/>
      <c r="X47" s="818"/>
      <c r="Y47" s="818"/>
      <c r="Z47" s="818"/>
    </row>
    <row r="48" spans="1:26" ht="18.75" hidden="1">
      <c r="A48" s="832"/>
      <c r="B48" s="833"/>
      <c r="C48" s="833"/>
      <c r="D48" s="833"/>
      <c r="E48" s="834" t="s">
        <v>18</v>
      </c>
      <c r="F48" s="833"/>
      <c r="G48" s="835"/>
      <c r="H48" s="43" t="s">
        <v>12</v>
      </c>
      <c r="I48" s="836"/>
      <c r="J48" s="836"/>
      <c r="K48" s="837"/>
      <c r="L48" s="837">
        <v>0</v>
      </c>
      <c r="M48" s="837">
        <v>0</v>
      </c>
      <c r="N48" s="837">
        <v>0</v>
      </c>
      <c r="O48" s="837">
        <f t="shared" si="26"/>
        <v>0</v>
      </c>
      <c r="P48" s="837">
        <f t="shared" si="27"/>
        <v>0</v>
      </c>
      <c r="Q48" s="825"/>
      <c r="R48" s="825"/>
      <c r="S48" s="825"/>
      <c r="T48" s="825"/>
      <c r="U48" s="825"/>
      <c r="V48" s="825"/>
      <c r="W48" s="825"/>
      <c r="X48" s="825"/>
      <c r="Y48" s="825"/>
      <c r="Z48" s="825"/>
    </row>
    <row r="49" spans="1:26" ht="18.75" hidden="1">
      <c r="A49" s="838"/>
      <c r="B49" s="839"/>
      <c r="C49" s="839"/>
      <c r="D49" s="839"/>
      <c r="E49" s="840" t="s">
        <v>19</v>
      </c>
      <c r="F49" s="839"/>
      <c r="G49" s="841"/>
      <c r="H49" s="50" t="s">
        <v>12</v>
      </c>
      <c r="I49" s="842"/>
      <c r="J49" s="842"/>
      <c r="K49" s="843"/>
      <c r="L49" s="843">
        <f ca="1">IFERROR(__xludf.DUMMYFUNCTION("IMPORTRANGE(""https://docs.google.com/spreadsheets/d/1MeEWN-I1oV_STSDYn1IFDPWt_1FKiwhDph83XaGc0o0/edit?usp=sharing"",""งบพรบ!P29"")"),0)</f>
        <v>0</v>
      </c>
      <c r="M49" s="843">
        <f ca="1">IFERROR(__xludf.DUMMYFUNCTION("IMPORTRANGE(""https://docs.google.com/spreadsheets/d/1MeEWN-I1oV_STSDYn1IFDPWt_1FKiwhDph83XaGc0o0/edit?usp=sharing"",""งบพรบ!S29"")"),0)</f>
        <v>0</v>
      </c>
      <c r="N49" s="843">
        <f ca="1">IFERROR(__xludf.DUMMYFUNCTION("IMPORTRANGE(""https://docs.google.com/spreadsheets/d/1MeEWN-I1oV_STSDYn1IFDPWt_1FKiwhDph83XaGc0o0/edit?usp=sharing"",""งบพรบ!U29"")"),0)</f>
        <v>0</v>
      </c>
      <c r="O49" s="843">
        <f t="shared" ca="1" si="26"/>
        <v>0</v>
      </c>
      <c r="P49" s="843">
        <f t="shared" ca="1" si="27"/>
        <v>0</v>
      </c>
      <c r="Q49" s="825"/>
      <c r="R49" s="825"/>
      <c r="S49" s="825"/>
      <c r="T49" s="825"/>
      <c r="U49" s="825"/>
      <c r="V49" s="825"/>
      <c r="W49" s="825"/>
      <c r="X49" s="825"/>
      <c r="Y49" s="825"/>
      <c r="Z49" s="825"/>
    </row>
    <row r="50" spans="1:26" ht="19.5">
      <c r="A50" s="1514" t="s">
        <v>28</v>
      </c>
      <c r="B50" s="1494"/>
      <c r="C50" s="1494"/>
      <c r="D50" s="1494"/>
      <c r="E50" s="1494"/>
      <c r="F50" s="1494"/>
      <c r="G50" s="1495"/>
      <c r="H50" s="882"/>
      <c r="I50" s="883"/>
      <c r="J50" s="883"/>
      <c r="K50" s="884"/>
      <c r="L50" s="884"/>
      <c r="M50" s="884"/>
      <c r="N50" s="884"/>
      <c r="O50" s="884"/>
      <c r="P50" s="884"/>
    </row>
    <row r="51" spans="1:26" ht="19.5">
      <c r="A51" s="885"/>
      <c r="B51" s="1515" t="s">
        <v>29</v>
      </c>
      <c r="C51" s="1485"/>
      <c r="D51" s="1485"/>
      <c r="E51" s="1485"/>
      <c r="F51" s="1485"/>
      <c r="G51" s="1491"/>
      <c r="H51" s="886"/>
      <c r="I51" s="887"/>
      <c r="J51" s="887"/>
      <c r="K51" s="888"/>
      <c r="L51" s="888"/>
      <c r="M51" s="888"/>
      <c r="N51" s="888"/>
      <c r="O51" s="888"/>
      <c r="P51" s="888"/>
    </row>
    <row r="52" spans="1:26" ht="19.5">
      <c r="A52" s="889"/>
      <c r="B52" s="890" t="s">
        <v>30</v>
      </c>
      <c r="C52" s="891"/>
      <c r="D52" s="891"/>
      <c r="E52" s="891"/>
      <c r="F52" s="891"/>
      <c r="G52" s="892"/>
      <c r="H52" s="893"/>
      <c r="I52" s="894"/>
      <c r="J52" s="894"/>
      <c r="K52" s="895"/>
      <c r="L52" s="895"/>
      <c r="M52" s="895"/>
      <c r="N52" s="895"/>
      <c r="O52" s="895"/>
      <c r="P52" s="895"/>
    </row>
    <row r="53" spans="1:26" ht="19.5">
      <c r="A53" s="896"/>
      <c r="B53" s="897"/>
      <c r="C53" s="898" t="s">
        <v>16</v>
      </c>
      <c r="D53" s="899" t="s">
        <v>17</v>
      </c>
      <c r="E53" s="897"/>
      <c r="F53" s="897"/>
      <c r="G53" s="900"/>
      <c r="H53" s="113" t="s">
        <v>12</v>
      </c>
      <c r="I53" s="901"/>
      <c r="J53" s="901"/>
      <c r="K53" s="902"/>
      <c r="L53" s="903">
        <f t="shared" ref="L53:N53" ca="1" si="31">L54+L55</f>
        <v>1086200</v>
      </c>
      <c r="M53" s="903">
        <f t="shared" ca="1" si="31"/>
        <v>894316</v>
      </c>
      <c r="N53" s="903">
        <f t="shared" ca="1" si="31"/>
        <v>682206.38</v>
      </c>
      <c r="O53" s="903">
        <f t="shared" ref="O53:O61" ca="1" si="32">IF(L53&gt;0,N53*100/L53,0)</f>
        <v>62.806700423494753</v>
      </c>
      <c r="P53" s="903">
        <f t="shared" ref="P53:P61" ca="1" si="33">IF(M53&gt;0,N53*100/M53,0)</f>
        <v>76.282475098287406</v>
      </c>
      <c r="Q53" s="818"/>
      <c r="R53" s="818"/>
      <c r="S53" s="818"/>
      <c r="T53" s="818"/>
      <c r="U53" s="818"/>
      <c r="V53" s="818"/>
      <c r="W53" s="818"/>
      <c r="X53" s="818"/>
      <c r="Y53" s="818"/>
      <c r="Z53" s="818"/>
    </row>
    <row r="54" spans="1:26" ht="18.75" hidden="1">
      <c r="A54" s="904"/>
      <c r="B54" s="905"/>
      <c r="C54" s="905"/>
      <c r="D54" s="905"/>
      <c r="E54" s="906" t="s">
        <v>18</v>
      </c>
      <c r="F54" s="905"/>
      <c r="G54" s="907"/>
      <c r="H54" s="121" t="s">
        <v>12</v>
      </c>
      <c r="I54" s="908"/>
      <c r="J54" s="908"/>
      <c r="K54" s="909"/>
      <c r="L54" s="909">
        <f t="shared" ref="L54:N55" si="34">L57+L60</f>
        <v>0</v>
      </c>
      <c r="M54" s="909">
        <f t="shared" si="34"/>
        <v>0</v>
      </c>
      <c r="N54" s="909">
        <f t="shared" si="34"/>
        <v>0</v>
      </c>
      <c r="O54" s="909">
        <f t="shared" si="32"/>
        <v>0</v>
      </c>
      <c r="P54" s="909">
        <f t="shared" si="33"/>
        <v>0</v>
      </c>
      <c r="Q54" s="825"/>
      <c r="R54" s="825"/>
      <c r="S54" s="825"/>
      <c r="T54" s="825"/>
      <c r="U54" s="825"/>
      <c r="V54" s="825"/>
      <c r="W54" s="825"/>
      <c r="X54" s="825"/>
      <c r="Y54" s="825"/>
      <c r="Z54" s="825"/>
    </row>
    <row r="55" spans="1:26" ht="18.75" hidden="1">
      <c r="A55" s="904"/>
      <c r="B55" s="905"/>
      <c r="C55" s="905"/>
      <c r="D55" s="905"/>
      <c r="E55" s="906" t="s">
        <v>19</v>
      </c>
      <c r="F55" s="905"/>
      <c r="G55" s="907"/>
      <c r="H55" s="121" t="s">
        <v>12</v>
      </c>
      <c r="I55" s="908"/>
      <c r="J55" s="908"/>
      <c r="K55" s="909"/>
      <c r="L55" s="909">
        <f t="shared" ca="1" si="34"/>
        <v>1086200</v>
      </c>
      <c r="M55" s="909">
        <f t="shared" ca="1" si="34"/>
        <v>894316</v>
      </c>
      <c r="N55" s="909">
        <f t="shared" ca="1" si="34"/>
        <v>682206.38</v>
      </c>
      <c r="O55" s="909">
        <f t="shared" ca="1" si="32"/>
        <v>62.806700423494753</v>
      </c>
      <c r="P55" s="909">
        <f t="shared" ca="1" si="33"/>
        <v>76.282475098287406</v>
      </c>
      <c r="Q55" s="825"/>
      <c r="R55" s="825"/>
      <c r="S55" s="825"/>
      <c r="T55" s="825"/>
      <c r="U55" s="825"/>
      <c r="V55" s="825"/>
      <c r="W55" s="825"/>
      <c r="X55" s="825"/>
      <c r="Y55" s="825"/>
      <c r="Z55" s="825"/>
    </row>
    <row r="56" spans="1:26" ht="18.75">
      <c r="A56" s="826"/>
      <c r="B56" s="827"/>
      <c r="C56" s="827"/>
      <c r="D56" s="828" t="s">
        <v>20</v>
      </c>
      <c r="E56" s="827"/>
      <c r="F56" s="827"/>
      <c r="G56" s="829"/>
      <c r="H56" s="590" t="s">
        <v>12</v>
      </c>
      <c r="I56" s="830"/>
      <c r="J56" s="830"/>
      <c r="K56" s="831"/>
      <c r="L56" s="831">
        <f t="shared" ref="L56:N56" ca="1" si="35">L57+L58</f>
        <v>736200</v>
      </c>
      <c r="M56" s="831">
        <f t="shared" ca="1" si="35"/>
        <v>552150</v>
      </c>
      <c r="N56" s="831">
        <f t="shared" ca="1" si="35"/>
        <v>340040.38</v>
      </c>
      <c r="O56" s="831">
        <f t="shared" ca="1" si="32"/>
        <v>46.18858734039663</v>
      </c>
      <c r="P56" s="831">
        <f t="shared" ca="1" si="33"/>
        <v>61.58478312052884</v>
      </c>
      <c r="Q56" s="818"/>
      <c r="R56" s="818"/>
      <c r="S56" s="818"/>
      <c r="T56" s="818"/>
      <c r="U56" s="818"/>
      <c r="V56" s="818"/>
      <c r="W56" s="818"/>
      <c r="X56" s="818"/>
      <c r="Y56" s="818"/>
      <c r="Z56" s="818"/>
    </row>
    <row r="57" spans="1:26" ht="18.75" hidden="1">
      <c r="A57" s="832"/>
      <c r="B57" s="833"/>
      <c r="C57" s="833"/>
      <c r="D57" s="833"/>
      <c r="E57" s="834" t="s">
        <v>18</v>
      </c>
      <c r="F57" s="833"/>
      <c r="G57" s="835"/>
      <c r="H57" s="43" t="s">
        <v>12</v>
      </c>
      <c r="I57" s="836"/>
      <c r="J57" s="836"/>
      <c r="K57" s="837"/>
      <c r="L57" s="837">
        <v>0</v>
      </c>
      <c r="M57" s="837">
        <v>0</v>
      </c>
      <c r="N57" s="837">
        <v>0</v>
      </c>
      <c r="O57" s="837">
        <f t="shared" si="32"/>
        <v>0</v>
      </c>
      <c r="P57" s="837">
        <f t="shared" si="33"/>
        <v>0</v>
      </c>
      <c r="Q57" s="825"/>
      <c r="R57" s="825"/>
      <c r="S57" s="825"/>
      <c r="T57" s="825"/>
      <c r="U57" s="825"/>
      <c r="V57" s="825"/>
      <c r="W57" s="825"/>
      <c r="X57" s="825"/>
      <c r="Y57" s="825"/>
      <c r="Z57" s="825"/>
    </row>
    <row r="58" spans="1:26" ht="18.75" hidden="1">
      <c r="A58" s="832"/>
      <c r="B58" s="833"/>
      <c r="C58" s="833"/>
      <c r="D58" s="833"/>
      <c r="E58" s="834" t="s">
        <v>19</v>
      </c>
      <c r="F58" s="833"/>
      <c r="G58" s="835"/>
      <c r="H58" s="43" t="s">
        <v>12</v>
      </c>
      <c r="I58" s="836"/>
      <c r="J58" s="836"/>
      <c r="K58" s="837"/>
      <c r="L58" s="837">
        <f ca="1">IFERROR(__xludf.DUMMYFUNCTION("IMPORTRANGE(""https://docs.google.com/spreadsheets/d/1MeEWN-I1oV_STSDYn1IFDPWt_1FKiwhDph83XaGc0o0/edit?usp=sharing"",""งบพรบ!W29"")"),736200)</f>
        <v>736200</v>
      </c>
      <c r="M58" s="837">
        <f ca="1">IFERROR(__xludf.DUMMYFUNCTION("IMPORTRANGE(""https://docs.google.com/spreadsheets/d/1MeEWN-I1oV_STSDYn1IFDPWt_1FKiwhDph83XaGc0o0/edit?usp=sharing"",""งบพรบ!AB29"")"),552150)</f>
        <v>552150</v>
      </c>
      <c r="N58" s="837">
        <f ca="1">IFERROR(__xludf.DUMMYFUNCTION("IMPORTRANGE(""https://docs.google.com/spreadsheets/d/1MeEWN-I1oV_STSDYn1IFDPWt_1FKiwhDph83XaGc0o0/edit?usp=sharing"",""งบพรบ!AD29"")"),340040.38)</f>
        <v>340040.38</v>
      </c>
      <c r="O58" s="837">
        <f t="shared" ca="1" si="32"/>
        <v>46.18858734039663</v>
      </c>
      <c r="P58" s="837">
        <f t="shared" ca="1" si="33"/>
        <v>61.58478312052884</v>
      </c>
      <c r="Q58" s="825"/>
      <c r="R58" s="825"/>
      <c r="S58" s="825"/>
      <c r="T58" s="825"/>
      <c r="U58" s="825"/>
      <c r="V58" s="825"/>
      <c r="W58" s="825"/>
      <c r="X58" s="825"/>
      <c r="Y58" s="825"/>
      <c r="Z58" s="825"/>
    </row>
    <row r="59" spans="1:26" ht="18.75">
      <c r="A59" s="826"/>
      <c r="B59" s="827"/>
      <c r="C59" s="827"/>
      <c r="D59" s="828" t="s">
        <v>21</v>
      </c>
      <c r="E59" s="827"/>
      <c r="F59" s="827"/>
      <c r="G59" s="829"/>
      <c r="H59" s="590" t="s">
        <v>12</v>
      </c>
      <c r="I59" s="830"/>
      <c r="J59" s="830"/>
      <c r="K59" s="831"/>
      <c r="L59" s="831">
        <f t="shared" ref="L59:N59" ca="1" si="36">L60+L61</f>
        <v>350000</v>
      </c>
      <c r="M59" s="831">
        <f t="shared" ca="1" si="36"/>
        <v>342166</v>
      </c>
      <c r="N59" s="831">
        <f t="shared" ca="1" si="36"/>
        <v>342166</v>
      </c>
      <c r="O59" s="831">
        <f t="shared" ca="1" si="32"/>
        <v>97.761714285714291</v>
      </c>
      <c r="P59" s="831">
        <f t="shared" ca="1" si="33"/>
        <v>100</v>
      </c>
      <c r="Q59" s="818"/>
      <c r="R59" s="818"/>
      <c r="S59" s="818"/>
      <c r="T59" s="818"/>
      <c r="U59" s="818"/>
      <c r="V59" s="818"/>
      <c r="W59" s="818"/>
      <c r="X59" s="818"/>
      <c r="Y59" s="818"/>
      <c r="Z59" s="818"/>
    </row>
    <row r="60" spans="1:26" ht="18.75" hidden="1">
      <c r="A60" s="832"/>
      <c r="B60" s="833"/>
      <c r="C60" s="833"/>
      <c r="D60" s="833"/>
      <c r="E60" s="834" t="s">
        <v>18</v>
      </c>
      <c r="F60" s="833"/>
      <c r="G60" s="835"/>
      <c r="H60" s="43" t="s">
        <v>12</v>
      </c>
      <c r="I60" s="836"/>
      <c r="J60" s="836"/>
      <c r="K60" s="837"/>
      <c r="L60" s="837">
        <v>0</v>
      </c>
      <c r="M60" s="837">
        <v>0</v>
      </c>
      <c r="N60" s="837">
        <v>0</v>
      </c>
      <c r="O60" s="837">
        <f t="shared" si="32"/>
        <v>0</v>
      </c>
      <c r="P60" s="837">
        <f t="shared" si="33"/>
        <v>0</v>
      </c>
      <c r="Q60" s="825"/>
      <c r="R60" s="825"/>
      <c r="S60" s="825"/>
      <c r="T60" s="825"/>
      <c r="U60" s="825"/>
      <c r="V60" s="825"/>
      <c r="W60" s="825"/>
      <c r="X60" s="825"/>
      <c r="Y60" s="825"/>
      <c r="Z60" s="825"/>
    </row>
    <row r="61" spans="1:26" ht="18.75" hidden="1">
      <c r="A61" s="838"/>
      <c r="B61" s="839"/>
      <c r="C61" s="839"/>
      <c r="D61" s="839"/>
      <c r="E61" s="840" t="s">
        <v>19</v>
      </c>
      <c r="F61" s="839"/>
      <c r="G61" s="841"/>
      <c r="H61" s="50" t="s">
        <v>12</v>
      </c>
      <c r="I61" s="842"/>
      <c r="J61" s="842"/>
      <c r="K61" s="843"/>
      <c r="L61" s="843">
        <f ca="1">IFERROR(__xludf.DUMMYFUNCTION("IMPORTRANGE(""https://docs.google.com/spreadsheets/d/1MeEWN-I1oV_STSDYn1IFDPWt_1FKiwhDph83XaGc0o0/edit?usp=sharing"",""งบพรบ!Z29"")"),350000)</f>
        <v>350000</v>
      </c>
      <c r="M61" s="843">
        <f ca="1">IFERROR(__xludf.DUMMYFUNCTION("IMPORTRANGE(""https://docs.google.com/spreadsheets/d/1MeEWN-I1oV_STSDYn1IFDPWt_1FKiwhDph83XaGc0o0/edit?usp=sharing"",""งบพรบ!AC29"")"),342166)</f>
        <v>342166</v>
      </c>
      <c r="N61" s="843">
        <f ca="1">IFERROR(__xludf.DUMMYFUNCTION("IMPORTRANGE(""https://docs.google.com/spreadsheets/d/1MeEWN-I1oV_STSDYn1IFDPWt_1FKiwhDph83XaGc0o0/edit?usp=sharing"",""งบพรบ!AE29"")"),342166)</f>
        <v>342166</v>
      </c>
      <c r="O61" s="843">
        <f t="shared" ca="1" si="32"/>
        <v>97.761714285714291</v>
      </c>
      <c r="P61" s="843">
        <f t="shared" ca="1" si="33"/>
        <v>100</v>
      </c>
      <c r="Q61" s="825"/>
      <c r="R61" s="825"/>
      <c r="S61" s="825"/>
      <c r="T61" s="825"/>
      <c r="U61" s="825"/>
      <c r="V61" s="825"/>
      <c r="W61" s="825"/>
      <c r="X61" s="825"/>
      <c r="Y61" s="825"/>
      <c r="Z61" s="825"/>
    </row>
    <row r="62" spans="1:26" ht="19.5">
      <c r="A62" s="910" t="s">
        <v>31</v>
      </c>
      <c r="B62" s="911"/>
      <c r="C62" s="911"/>
      <c r="D62" s="911"/>
      <c r="E62" s="912"/>
      <c r="F62" s="912"/>
      <c r="G62" s="913"/>
      <c r="H62" s="914"/>
      <c r="I62" s="915"/>
      <c r="J62" s="915"/>
      <c r="K62" s="916"/>
      <c r="L62" s="916"/>
      <c r="M62" s="916"/>
      <c r="N62" s="916"/>
      <c r="O62" s="916"/>
      <c r="P62" s="916"/>
    </row>
    <row r="63" spans="1:26" ht="19.5" hidden="1">
      <c r="A63" s="917" t="s">
        <v>32</v>
      </c>
      <c r="B63" s="918"/>
      <c r="C63" s="919"/>
      <c r="D63" s="918"/>
      <c r="E63" s="918"/>
      <c r="F63" s="918"/>
      <c r="G63" s="920"/>
      <c r="H63" s="921"/>
      <c r="I63" s="922"/>
      <c r="J63" s="922"/>
      <c r="K63" s="923"/>
      <c r="L63" s="923"/>
      <c r="M63" s="923"/>
      <c r="N63" s="923"/>
      <c r="O63" s="923"/>
      <c r="P63" s="923"/>
    </row>
    <row r="64" spans="1:26" ht="19.5" hidden="1">
      <c r="A64" s="924"/>
      <c r="B64" s="925" t="s">
        <v>33</v>
      </c>
      <c r="C64" s="926"/>
      <c r="D64" s="927"/>
      <c r="E64" s="926"/>
      <c r="F64" s="926"/>
      <c r="G64" s="928"/>
      <c r="H64" s="205" t="s">
        <v>34</v>
      </c>
      <c r="I64" s="929">
        <f t="shared" ref="I64:J65" ca="1" si="37">I76</f>
        <v>0</v>
      </c>
      <c r="J64" s="929">
        <f t="shared" si="37"/>
        <v>0</v>
      </c>
      <c r="K64" s="930">
        <f t="shared" ref="K64:K65" ca="1" si="38">IF(I64&gt;0,J64*100/I64,0)</f>
        <v>0</v>
      </c>
      <c r="L64" s="931"/>
      <c r="M64" s="931"/>
      <c r="N64" s="931"/>
      <c r="O64" s="931"/>
      <c r="P64" s="931"/>
    </row>
    <row r="65" spans="1:26" ht="19.5" hidden="1">
      <c r="A65" s="924"/>
      <c r="B65" s="926"/>
      <c r="C65" s="926"/>
      <c r="D65" s="927"/>
      <c r="E65" s="926"/>
      <c r="F65" s="926"/>
      <c r="G65" s="928"/>
      <c r="H65" s="205" t="s">
        <v>35</v>
      </c>
      <c r="I65" s="929">
        <f t="shared" ca="1" si="37"/>
        <v>0</v>
      </c>
      <c r="J65" s="929">
        <f t="shared" si="37"/>
        <v>0</v>
      </c>
      <c r="K65" s="930">
        <f t="shared" ca="1" si="38"/>
        <v>0</v>
      </c>
      <c r="L65" s="931"/>
      <c r="M65" s="931"/>
      <c r="N65" s="931"/>
      <c r="O65" s="931"/>
      <c r="P65" s="931"/>
    </row>
    <row r="66" spans="1:26" ht="19.5" hidden="1">
      <c r="A66" s="932"/>
      <c r="B66" s="933"/>
      <c r="C66" s="934" t="s">
        <v>16</v>
      </c>
      <c r="D66" s="935" t="s">
        <v>17</v>
      </c>
      <c r="E66" s="933"/>
      <c r="F66" s="933"/>
      <c r="G66" s="936"/>
      <c r="H66" s="152" t="s">
        <v>12</v>
      </c>
      <c r="I66" s="937"/>
      <c r="J66" s="937"/>
      <c r="K66" s="938"/>
      <c r="L66" s="939">
        <f t="shared" ref="L66:N66" ca="1" si="39">L67+L68</f>
        <v>0</v>
      </c>
      <c r="M66" s="939">
        <f t="shared" ca="1" si="39"/>
        <v>0</v>
      </c>
      <c r="N66" s="939">
        <f t="shared" ca="1" si="39"/>
        <v>0</v>
      </c>
      <c r="O66" s="939">
        <f t="shared" ref="O66:O74" ca="1" si="40">IF(L66&gt;0,N66*100/L66,0)</f>
        <v>0</v>
      </c>
      <c r="P66" s="939">
        <f t="shared" ref="P66:P74" ca="1" si="41">IF(M66&gt;0,N66*100/M66,0)</f>
        <v>0</v>
      </c>
      <c r="Q66" s="818"/>
      <c r="R66" s="818"/>
      <c r="S66" s="818"/>
      <c r="T66" s="818"/>
      <c r="U66" s="818"/>
      <c r="V66" s="818"/>
      <c r="W66" s="818"/>
      <c r="X66" s="818"/>
      <c r="Y66" s="818"/>
      <c r="Z66" s="818"/>
    </row>
    <row r="67" spans="1:26" ht="18.75" hidden="1">
      <c r="A67" s="940"/>
      <c r="B67" s="833"/>
      <c r="C67" s="833"/>
      <c r="D67" s="833"/>
      <c r="E67" s="834" t="s">
        <v>18</v>
      </c>
      <c r="F67" s="833"/>
      <c r="G67" s="941"/>
      <c r="H67" s="158" t="s">
        <v>12</v>
      </c>
      <c r="I67" s="836"/>
      <c r="J67" s="836"/>
      <c r="K67" s="837"/>
      <c r="L67" s="837">
        <f t="shared" ref="L67:N68" si="42">L70+L73</f>
        <v>0</v>
      </c>
      <c r="M67" s="837">
        <f t="shared" si="42"/>
        <v>0</v>
      </c>
      <c r="N67" s="837">
        <f t="shared" si="42"/>
        <v>0</v>
      </c>
      <c r="O67" s="837">
        <f t="shared" si="40"/>
        <v>0</v>
      </c>
      <c r="P67" s="837">
        <f t="shared" si="41"/>
        <v>0</v>
      </c>
      <c r="Q67" s="825"/>
      <c r="R67" s="825"/>
      <c r="S67" s="825"/>
      <c r="T67" s="825"/>
      <c r="U67" s="825"/>
      <c r="V67" s="825"/>
      <c r="W67" s="825"/>
      <c r="X67" s="825"/>
      <c r="Y67" s="825"/>
      <c r="Z67" s="825"/>
    </row>
    <row r="68" spans="1:26" ht="18.75" hidden="1">
      <c r="A68" s="940"/>
      <c r="B68" s="833"/>
      <c r="C68" s="833"/>
      <c r="D68" s="833"/>
      <c r="E68" s="834" t="s">
        <v>19</v>
      </c>
      <c r="F68" s="833"/>
      <c r="G68" s="941"/>
      <c r="H68" s="158" t="s">
        <v>12</v>
      </c>
      <c r="I68" s="836"/>
      <c r="J68" s="836"/>
      <c r="K68" s="837"/>
      <c r="L68" s="837">
        <f t="shared" ca="1" si="42"/>
        <v>0</v>
      </c>
      <c r="M68" s="837">
        <f t="shared" ca="1" si="42"/>
        <v>0</v>
      </c>
      <c r="N68" s="837">
        <f t="shared" ca="1" si="42"/>
        <v>0</v>
      </c>
      <c r="O68" s="837">
        <f t="shared" ca="1" si="40"/>
        <v>0</v>
      </c>
      <c r="P68" s="837">
        <f t="shared" ca="1" si="41"/>
        <v>0</v>
      </c>
      <c r="Q68" s="825"/>
      <c r="R68" s="825"/>
      <c r="S68" s="825"/>
      <c r="T68" s="825"/>
      <c r="U68" s="825"/>
      <c r="V68" s="825"/>
      <c r="W68" s="825"/>
      <c r="X68" s="825"/>
      <c r="Y68" s="825"/>
      <c r="Z68" s="825"/>
    </row>
    <row r="69" spans="1:26" ht="18.75" hidden="1">
      <c r="A69" s="942"/>
      <c r="B69" s="827"/>
      <c r="C69" s="943"/>
      <c r="D69" s="828" t="s">
        <v>20</v>
      </c>
      <c r="E69" s="827"/>
      <c r="F69" s="827"/>
      <c r="G69" s="829"/>
      <c r="H69" s="778" t="s">
        <v>12</v>
      </c>
      <c r="I69" s="944"/>
      <c r="J69" s="944"/>
      <c r="K69" s="945"/>
      <c r="L69" s="831">
        <f t="shared" ref="L69:N69" ca="1" si="43">L70+L71</f>
        <v>0</v>
      </c>
      <c r="M69" s="831">
        <f t="shared" ca="1" si="43"/>
        <v>0</v>
      </c>
      <c r="N69" s="831">
        <f t="shared" ca="1" si="43"/>
        <v>0</v>
      </c>
      <c r="O69" s="831">
        <f t="shared" ca="1" si="40"/>
        <v>0</v>
      </c>
      <c r="P69" s="831">
        <f t="shared" ca="1" si="41"/>
        <v>0</v>
      </c>
      <c r="Q69" s="818"/>
      <c r="R69" s="818"/>
      <c r="S69" s="818"/>
      <c r="T69" s="818"/>
      <c r="U69" s="818"/>
      <c r="V69" s="818"/>
      <c r="W69" s="818"/>
      <c r="X69" s="818"/>
      <c r="Y69" s="818"/>
      <c r="Z69" s="818"/>
    </row>
    <row r="70" spans="1:26" ht="19.5" hidden="1">
      <c r="A70" s="940"/>
      <c r="B70" s="833"/>
      <c r="C70" s="946"/>
      <c r="D70" s="833"/>
      <c r="E70" s="834" t="s">
        <v>36</v>
      </c>
      <c r="F70" s="833"/>
      <c r="G70" s="941"/>
      <c r="H70" s="165" t="s">
        <v>12</v>
      </c>
      <c r="I70" s="947"/>
      <c r="J70" s="947"/>
      <c r="K70" s="948"/>
      <c r="L70" s="837">
        <v>0</v>
      </c>
      <c r="M70" s="837">
        <v>0</v>
      </c>
      <c r="N70" s="837">
        <v>0</v>
      </c>
      <c r="O70" s="837">
        <f t="shared" si="40"/>
        <v>0</v>
      </c>
      <c r="P70" s="837">
        <f t="shared" si="41"/>
        <v>0</v>
      </c>
      <c r="Q70" s="825"/>
      <c r="R70" s="825"/>
      <c r="S70" s="825"/>
      <c r="T70" s="825"/>
      <c r="U70" s="825"/>
      <c r="V70" s="825"/>
      <c r="W70" s="825"/>
      <c r="X70" s="825"/>
      <c r="Y70" s="825"/>
      <c r="Z70" s="825"/>
    </row>
    <row r="71" spans="1:26" ht="19.5" hidden="1">
      <c r="A71" s="940"/>
      <c r="B71" s="833"/>
      <c r="C71" s="946"/>
      <c r="D71" s="833"/>
      <c r="E71" s="834" t="s">
        <v>37</v>
      </c>
      <c r="F71" s="833"/>
      <c r="G71" s="941"/>
      <c r="H71" s="165" t="s">
        <v>12</v>
      </c>
      <c r="I71" s="947"/>
      <c r="J71" s="947"/>
      <c r="K71" s="948"/>
      <c r="L71" s="837">
        <f ca="1">IFERROR(__xludf.DUMMYFUNCTION("IMPORTRANGE(""https://docs.google.com/spreadsheets/d/1MeEWN-I1oV_STSDYn1IFDPWt_1FKiwhDph83XaGc0o0/edit?usp=sharing"",""งบพรบ!AG29"")"),0)</f>
        <v>0</v>
      </c>
      <c r="M71" s="837">
        <f ca="1">IFERROR(__xludf.DUMMYFUNCTION("IMPORTRANGE(""https://docs.google.com/spreadsheets/d/1MeEWN-I1oV_STSDYn1IFDPWt_1FKiwhDph83XaGc0o0/edit?usp=sharing"",""งบพรบ!AL29"")"),0)</f>
        <v>0</v>
      </c>
      <c r="N71" s="837">
        <f ca="1">IFERROR(__xludf.DUMMYFUNCTION("IMPORTRANGE(""https://docs.google.com/spreadsheets/d/1MeEWN-I1oV_STSDYn1IFDPWt_1FKiwhDph83XaGc0o0/edit?usp=sharing"",""งบพรบ!AN29"")"),0)</f>
        <v>0</v>
      </c>
      <c r="O71" s="837">
        <f t="shared" ca="1" si="40"/>
        <v>0</v>
      </c>
      <c r="P71" s="837">
        <f t="shared" ca="1" si="41"/>
        <v>0</v>
      </c>
      <c r="Q71" s="825"/>
      <c r="R71" s="825"/>
      <c r="S71" s="825"/>
      <c r="T71" s="825"/>
      <c r="U71" s="825"/>
      <c r="V71" s="825"/>
      <c r="W71" s="825"/>
      <c r="X71" s="825"/>
      <c r="Y71" s="825"/>
      <c r="Z71" s="825"/>
    </row>
    <row r="72" spans="1:26" ht="18.75" hidden="1">
      <c r="A72" s="942"/>
      <c r="B72" s="827"/>
      <c r="C72" s="943"/>
      <c r="D72" s="828" t="s">
        <v>21</v>
      </c>
      <c r="E72" s="827"/>
      <c r="F72" s="827"/>
      <c r="G72" s="829"/>
      <c r="H72" s="168" t="s">
        <v>12</v>
      </c>
      <c r="I72" s="944"/>
      <c r="J72" s="944"/>
      <c r="K72" s="945"/>
      <c r="L72" s="831">
        <f t="shared" ref="L72:N72" ca="1" si="44">L73+L74</f>
        <v>0</v>
      </c>
      <c r="M72" s="831">
        <f t="shared" ca="1" si="44"/>
        <v>0</v>
      </c>
      <c r="N72" s="831">
        <f t="shared" ca="1" si="44"/>
        <v>0</v>
      </c>
      <c r="O72" s="831">
        <f t="shared" ca="1" si="40"/>
        <v>0</v>
      </c>
      <c r="P72" s="831">
        <f t="shared" ca="1" si="41"/>
        <v>0</v>
      </c>
      <c r="Q72" s="818"/>
      <c r="R72" s="818"/>
      <c r="S72" s="818"/>
      <c r="T72" s="818"/>
      <c r="U72" s="818"/>
      <c r="V72" s="818"/>
      <c r="W72" s="818"/>
      <c r="X72" s="818"/>
      <c r="Y72" s="818"/>
      <c r="Z72" s="818"/>
    </row>
    <row r="73" spans="1:26" ht="19.5" hidden="1">
      <c r="A73" s="940"/>
      <c r="B73" s="833"/>
      <c r="C73" s="946"/>
      <c r="D73" s="833"/>
      <c r="E73" s="834" t="s">
        <v>18</v>
      </c>
      <c r="F73" s="833"/>
      <c r="G73" s="941"/>
      <c r="H73" s="165" t="s">
        <v>12</v>
      </c>
      <c r="I73" s="947"/>
      <c r="J73" s="947"/>
      <c r="K73" s="948"/>
      <c r="L73" s="837">
        <v>0</v>
      </c>
      <c r="M73" s="837"/>
      <c r="N73" s="837"/>
      <c r="O73" s="837">
        <f t="shared" si="40"/>
        <v>0</v>
      </c>
      <c r="P73" s="837">
        <f t="shared" si="41"/>
        <v>0</v>
      </c>
      <c r="Q73" s="825"/>
      <c r="R73" s="825"/>
      <c r="S73" s="825"/>
      <c r="T73" s="825"/>
      <c r="U73" s="825"/>
      <c r="V73" s="825"/>
      <c r="W73" s="825"/>
      <c r="X73" s="825"/>
      <c r="Y73" s="825"/>
      <c r="Z73" s="825"/>
    </row>
    <row r="74" spans="1:26" ht="19.5" hidden="1">
      <c r="A74" s="940"/>
      <c r="B74" s="833"/>
      <c r="C74" s="946"/>
      <c r="D74" s="833"/>
      <c r="E74" s="834" t="s">
        <v>19</v>
      </c>
      <c r="F74" s="833"/>
      <c r="G74" s="941"/>
      <c r="H74" s="169" t="s">
        <v>12</v>
      </c>
      <c r="I74" s="947"/>
      <c r="J74" s="947"/>
      <c r="K74" s="948"/>
      <c r="L74" s="837">
        <f ca="1">IFERROR(__xludf.DUMMYFUNCTION("IMPORTRANGE(""https://docs.google.com/spreadsheets/d/1MeEWN-I1oV_STSDYn1IFDPWt_1FKiwhDph83XaGc0o0/edit?usp=sharing"",""งบพรบ!AJ29"")"),0)</f>
        <v>0</v>
      </c>
      <c r="M74" s="837">
        <f ca="1">IFERROR(__xludf.DUMMYFUNCTION("IMPORTRANGE(""https://docs.google.com/spreadsheets/d/1MeEWN-I1oV_STSDYn1IFDPWt_1FKiwhDph83XaGc0o0/edit?usp=sharing"",""งบพรบ!AM29"")"),0)</f>
        <v>0</v>
      </c>
      <c r="N74" s="837">
        <f ca="1">IFERROR(__xludf.DUMMYFUNCTION("IMPORTRANGE(""https://docs.google.com/spreadsheets/d/1MeEWN-I1oV_STSDYn1IFDPWt_1FKiwhDph83XaGc0o0/edit?usp=sharing"",""งบพรบ!AO29"")"),0)</f>
        <v>0</v>
      </c>
      <c r="O74" s="837">
        <f t="shared" ca="1" si="40"/>
        <v>0</v>
      </c>
      <c r="P74" s="837">
        <f t="shared" ca="1" si="41"/>
        <v>0</v>
      </c>
      <c r="Q74" s="825"/>
      <c r="R74" s="825"/>
      <c r="S74" s="825"/>
      <c r="T74" s="825"/>
      <c r="U74" s="825"/>
      <c r="V74" s="825"/>
      <c r="W74" s="825"/>
      <c r="X74" s="825"/>
      <c r="Y74" s="825"/>
      <c r="Z74" s="825"/>
    </row>
    <row r="75" spans="1:26" ht="19.5" hidden="1">
      <c r="A75" s="949"/>
      <c r="B75" s="950"/>
      <c r="C75" s="946" t="s">
        <v>16</v>
      </c>
      <c r="D75" s="951" t="s">
        <v>38</v>
      </c>
      <c r="E75" s="952"/>
      <c r="F75" s="952"/>
      <c r="G75" s="953"/>
      <c r="H75" s="954"/>
      <c r="I75" s="944"/>
      <c r="J75" s="944"/>
      <c r="K75" s="945"/>
      <c r="L75" s="945"/>
      <c r="M75" s="945"/>
      <c r="N75" s="945"/>
      <c r="O75" s="945"/>
      <c r="P75" s="945"/>
    </row>
    <row r="76" spans="1:26" ht="19.5" hidden="1">
      <c r="A76" s="949"/>
      <c r="B76" s="950"/>
      <c r="C76" s="950"/>
      <c r="D76" s="955" t="s">
        <v>39</v>
      </c>
      <c r="E76" s="956"/>
      <c r="F76" s="957"/>
      <c r="G76" s="958"/>
      <c r="H76" s="180" t="s">
        <v>34</v>
      </c>
      <c r="I76" s="830">
        <f t="shared" ref="I76:J77" ca="1" si="45">I78+I80+I82</f>
        <v>0</v>
      </c>
      <c r="J76" s="830">
        <f t="shared" si="45"/>
        <v>0</v>
      </c>
      <c r="K76" s="945">
        <f t="shared" ref="K76:K84" ca="1" si="46">IF(I76&gt;0,J76*100/I76,0)</f>
        <v>0</v>
      </c>
      <c r="L76" s="945"/>
      <c r="M76" s="945"/>
      <c r="N76" s="945"/>
      <c r="O76" s="945"/>
      <c r="P76" s="945"/>
    </row>
    <row r="77" spans="1:26" ht="19.5" hidden="1">
      <c r="A77" s="949"/>
      <c r="B77" s="950"/>
      <c r="C77" s="950"/>
      <c r="D77" s="950"/>
      <c r="E77" s="957"/>
      <c r="F77" s="957"/>
      <c r="G77" s="958"/>
      <c r="H77" s="180" t="s">
        <v>35</v>
      </c>
      <c r="I77" s="830">
        <f t="shared" ca="1" si="45"/>
        <v>0</v>
      </c>
      <c r="J77" s="830">
        <f t="shared" si="45"/>
        <v>0</v>
      </c>
      <c r="K77" s="945">
        <f t="shared" ca="1" si="46"/>
        <v>0</v>
      </c>
      <c r="L77" s="945"/>
      <c r="M77" s="945"/>
      <c r="N77" s="945"/>
      <c r="O77" s="945"/>
      <c r="P77" s="945"/>
    </row>
    <row r="78" spans="1:26" ht="18.75" hidden="1">
      <c r="A78" s="949"/>
      <c r="B78" s="950"/>
      <c r="C78" s="950"/>
      <c r="D78" s="950"/>
      <c r="E78" s="956" t="s">
        <v>40</v>
      </c>
      <c r="F78" s="956"/>
      <c r="G78" s="958"/>
      <c r="H78" s="730" t="s">
        <v>34</v>
      </c>
      <c r="I78" s="944">
        <f ca="1">IFERROR(__xludf.DUMMYFUNCTION("IMPORTRANGE(""https://docs.google.com/spreadsheets/d/1QqKyyYR6Q21VydFLVH3TRQUabQu_ym0Zz7PgGX0-kHA/edit?usp=sharing"",""แผน!H29"")"),0)</f>
        <v>0</v>
      </c>
      <c r="J78" s="959">
        <v>0</v>
      </c>
      <c r="K78" s="945">
        <f t="shared" ca="1" si="46"/>
        <v>0</v>
      </c>
      <c r="L78" s="945"/>
      <c r="M78" s="945"/>
      <c r="N78" s="945"/>
      <c r="O78" s="945"/>
      <c r="P78" s="945"/>
    </row>
    <row r="79" spans="1:26" ht="18.75" hidden="1">
      <c r="A79" s="949"/>
      <c r="B79" s="950"/>
      <c r="C79" s="950"/>
      <c r="D79" s="950"/>
      <c r="E79" s="957"/>
      <c r="F79" s="957"/>
      <c r="G79" s="958"/>
      <c r="H79" s="730" t="s">
        <v>35</v>
      </c>
      <c r="I79" s="944">
        <f ca="1">IFERROR(__xludf.DUMMYFUNCTION("IMPORTRANGE(""https://docs.google.com/spreadsheets/d/1QqKyyYR6Q21VydFLVH3TRQUabQu_ym0Zz7PgGX0-kHA/edit?usp=sharing"",""แผน!I29"")"),0)</f>
        <v>0</v>
      </c>
      <c r="J79" s="959">
        <v>0</v>
      </c>
      <c r="K79" s="945">
        <f t="shared" ca="1" si="46"/>
        <v>0</v>
      </c>
      <c r="L79" s="945"/>
      <c r="M79" s="945"/>
      <c r="N79" s="945"/>
      <c r="O79" s="945"/>
      <c r="P79" s="945"/>
    </row>
    <row r="80" spans="1:26" ht="18.75" hidden="1">
      <c r="A80" s="949"/>
      <c r="B80" s="950"/>
      <c r="C80" s="950"/>
      <c r="D80" s="950"/>
      <c r="E80" s="956" t="s">
        <v>41</v>
      </c>
      <c r="F80" s="956"/>
      <c r="G80" s="958"/>
      <c r="H80" s="730" t="s">
        <v>34</v>
      </c>
      <c r="I80" s="944">
        <f ca="1">IFERROR(__xludf.DUMMYFUNCTION("IMPORTRANGE(""https://docs.google.com/spreadsheets/d/1QqKyyYR6Q21VydFLVH3TRQUabQu_ym0Zz7PgGX0-kHA/edit?usp=sharing"",""แผน!F29"")"),0)</f>
        <v>0</v>
      </c>
      <c r="J80" s="959">
        <v>0</v>
      </c>
      <c r="K80" s="945">
        <f t="shared" ca="1" si="46"/>
        <v>0</v>
      </c>
      <c r="L80" s="945"/>
      <c r="M80" s="945"/>
      <c r="N80" s="945"/>
      <c r="O80" s="945"/>
      <c r="P80" s="945"/>
    </row>
    <row r="81" spans="1:26" ht="18.75" hidden="1">
      <c r="A81" s="949"/>
      <c r="B81" s="950"/>
      <c r="C81" s="950"/>
      <c r="D81" s="950"/>
      <c r="E81" s="957"/>
      <c r="F81" s="957"/>
      <c r="G81" s="958"/>
      <c r="H81" s="730" t="s">
        <v>35</v>
      </c>
      <c r="I81" s="944">
        <f ca="1">IFERROR(__xludf.DUMMYFUNCTION("IMPORTRANGE(""https://docs.google.com/spreadsheets/d/1QqKyyYR6Q21VydFLVH3TRQUabQu_ym0Zz7PgGX0-kHA/edit?usp=sharing"",""แผน!G29"")"),0)</f>
        <v>0</v>
      </c>
      <c r="J81" s="959">
        <v>0</v>
      </c>
      <c r="K81" s="945">
        <f t="shared" ca="1" si="46"/>
        <v>0</v>
      </c>
      <c r="L81" s="945"/>
      <c r="M81" s="945"/>
      <c r="N81" s="945"/>
      <c r="O81" s="945"/>
      <c r="P81" s="945"/>
    </row>
    <row r="82" spans="1:26" ht="18.75" hidden="1">
      <c r="A82" s="949"/>
      <c r="B82" s="950"/>
      <c r="C82" s="950"/>
      <c r="D82" s="950"/>
      <c r="E82" s="956" t="s">
        <v>42</v>
      </c>
      <c r="F82" s="956"/>
      <c r="G82" s="958"/>
      <c r="H82" s="730" t="s">
        <v>34</v>
      </c>
      <c r="I82" s="944">
        <f ca="1">IFERROR(__xludf.DUMMYFUNCTION("IMPORTRANGE(""https://docs.google.com/spreadsheets/d/1QqKyyYR6Q21VydFLVH3TRQUabQu_ym0Zz7PgGX0-kHA/edit?usp=sharing"",""แผน!D29"")"),0)</f>
        <v>0</v>
      </c>
      <c r="J82" s="959">
        <v>0</v>
      </c>
      <c r="K82" s="945">
        <f t="shared" ca="1" si="46"/>
        <v>0</v>
      </c>
      <c r="L82" s="945"/>
      <c r="M82" s="945"/>
      <c r="N82" s="945"/>
      <c r="O82" s="945"/>
      <c r="P82" s="945"/>
    </row>
    <row r="83" spans="1:26" ht="18.75" hidden="1">
      <c r="A83" s="949"/>
      <c r="B83" s="950"/>
      <c r="C83" s="950"/>
      <c r="D83" s="950"/>
      <c r="E83" s="957"/>
      <c r="F83" s="957"/>
      <c r="G83" s="958"/>
      <c r="H83" s="730" t="s">
        <v>35</v>
      </c>
      <c r="I83" s="944">
        <f ca="1">IFERROR(__xludf.DUMMYFUNCTION("IMPORTRANGE(""https://docs.google.com/spreadsheets/d/1QqKyyYR6Q21VydFLVH3TRQUabQu_ym0Zz7PgGX0-kHA/edit?usp=sharing"",""แผน!E29"")"),0)</f>
        <v>0</v>
      </c>
      <c r="J83" s="959">
        <v>0</v>
      </c>
      <c r="K83" s="945">
        <f t="shared" ca="1" si="46"/>
        <v>0</v>
      </c>
      <c r="L83" s="945"/>
      <c r="M83" s="945"/>
      <c r="N83" s="945"/>
      <c r="O83" s="945"/>
      <c r="P83" s="945"/>
    </row>
    <row r="84" spans="1:26" ht="18.75" hidden="1">
      <c r="A84" s="949"/>
      <c r="B84" s="950"/>
      <c r="C84" s="950"/>
      <c r="D84" s="955" t="s">
        <v>43</v>
      </c>
      <c r="E84" s="956"/>
      <c r="F84" s="957"/>
      <c r="G84" s="958"/>
      <c r="H84" s="777" t="s">
        <v>34</v>
      </c>
      <c r="I84" s="944">
        <f ca="1">IFERROR(__xludf.DUMMYFUNCTION("IMPORTRANGE(""https://docs.google.com/spreadsheets/d/1QqKyyYR6Q21VydFLVH3TRQUabQu_ym0Zz7PgGX0-kHA/edit?usp=sharing"",""แผน!J29"")"),0)</f>
        <v>0</v>
      </c>
      <c r="J84" s="959">
        <v>0</v>
      </c>
      <c r="K84" s="945">
        <f t="shared" ca="1" si="46"/>
        <v>0</v>
      </c>
      <c r="L84" s="945"/>
      <c r="M84" s="945"/>
      <c r="N84" s="945"/>
      <c r="O84" s="945"/>
      <c r="P84" s="945"/>
    </row>
    <row r="85" spans="1:26" ht="19.5">
      <c r="A85" s="917" t="s">
        <v>44</v>
      </c>
      <c r="B85" s="918"/>
      <c r="C85" s="919"/>
      <c r="D85" s="918"/>
      <c r="E85" s="918"/>
      <c r="F85" s="918"/>
      <c r="G85" s="920"/>
      <c r="H85" s="921"/>
      <c r="I85" s="922"/>
      <c r="J85" s="922"/>
      <c r="K85" s="923"/>
      <c r="L85" s="923"/>
      <c r="M85" s="923"/>
      <c r="N85" s="923"/>
      <c r="O85" s="923"/>
      <c r="P85" s="923"/>
    </row>
    <row r="86" spans="1:26" ht="19.5">
      <c r="A86" s="924"/>
      <c r="B86" s="925" t="s">
        <v>45</v>
      </c>
      <c r="C86" s="926"/>
      <c r="D86" s="927"/>
      <c r="E86" s="926"/>
      <c r="F86" s="926"/>
      <c r="G86" s="928"/>
      <c r="H86" s="205" t="s">
        <v>46</v>
      </c>
      <c r="I86" s="929">
        <f t="shared" ref="I86:J87" ca="1" si="47">I98</f>
        <v>30</v>
      </c>
      <c r="J86" s="929">
        <f t="shared" si="47"/>
        <v>30</v>
      </c>
      <c r="K86" s="930">
        <f t="shared" ref="K86:K87" ca="1" si="48">IF(I86&gt;0,J86*100/I86,0)</f>
        <v>100</v>
      </c>
      <c r="L86" s="931"/>
      <c r="M86" s="931"/>
      <c r="N86" s="931"/>
      <c r="O86" s="931"/>
      <c r="P86" s="931"/>
    </row>
    <row r="87" spans="1:26" ht="19.5">
      <c r="A87" s="924"/>
      <c r="B87" s="926"/>
      <c r="C87" s="926"/>
      <c r="D87" s="927"/>
      <c r="E87" s="926"/>
      <c r="F87" s="926"/>
      <c r="G87" s="928"/>
      <c r="H87" s="205" t="s">
        <v>35</v>
      </c>
      <c r="I87" s="929">
        <f t="shared" ca="1" si="47"/>
        <v>10</v>
      </c>
      <c r="J87" s="929">
        <f t="shared" si="47"/>
        <v>10</v>
      </c>
      <c r="K87" s="930">
        <f t="shared" ca="1" si="48"/>
        <v>100</v>
      </c>
      <c r="L87" s="931"/>
      <c r="M87" s="931"/>
      <c r="N87" s="931"/>
      <c r="O87" s="931"/>
      <c r="P87" s="931"/>
    </row>
    <row r="88" spans="1:26" ht="19.5">
      <c r="A88" s="932"/>
      <c r="B88" s="933"/>
      <c r="C88" s="934" t="s">
        <v>16</v>
      </c>
      <c r="D88" s="935" t="s">
        <v>17</v>
      </c>
      <c r="E88" s="933"/>
      <c r="F88" s="933"/>
      <c r="G88" s="936"/>
      <c r="H88" s="152" t="s">
        <v>12</v>
      </c>
      <c r="I88" s="937"/>
      <c r="J88" s="937"/>
      <c r="K88" s="938"/>
      <c r="L88" s="939">
        <f t="shared" ref="L88:N88" ca="1" si="49">L89+L90</f>
        <v>86040</v>
      </c>
      <c r="M88" s="939">
        <f t="shared" ca="1" si="49"/>
        <v>51590</v>
      </c>
      <c r="N88" s="939">
        <f t="shared" ca="1" si="49"/>
        <v>22800</v>
      </c>
      <c r="O88" s="939">
        <f t="shared" ref="O88:O96" ca="1" si="50">IF(L88&gt;0,N88*100/L88,0)</f>
        <v>26.499302649930264</v>
      </c>
      <c r="P88" s="939">
        <f t="shared" ref="P88:P96" ca="1" si="51">IF(M88&gt;0,N88*100/M88,0)</f>
        <v>44.194611358790461</v>
      </c>
      <c r="Q88" s="818"/>
      <c r="R88" s="818"/>
      <c r="S88" s="818"/>
      <c r="T88" s="818"/>
      <c r="U88" s="818"/>
      <c r="V88" s="818"/>
      <c r="W88" s="818"/>
      <c r="X88" s="818"/>
      <c r="Y88" s="818"/>
      <c r="Z88" s="818"/>
    </row>
    <row r="89" spans="1:26" ht="18.75" hidden="1">
      <c r="A89" s="940"/>
      <c r="B89" s="833"/>
      <c r="C89" s="833"/>
      <c r="D89" s="833"/>
      <c r="E89" s="834" t="s">
        <v>18</v>
      </c>
      <c r="F89" s="833"/>
      <c r="G89" s="941"/>
      <c r="H89" s="158" t="s">
        <v>12</v>
      </c>
      <c r="I89" s="836"/>
      <c r="J89" s="836"/>
      <c r="K89" s="837"/>
      <c r="L89" s="837">
        <f t="shared" ref="L89:N90" si="52">L92+L95</f>
        <v>0</v>
      </c>
      <c r="M89" s="837">
        <f t="shared" si="52"/>
        <v>0</v>
      </c>
      <c r="N89" s="837">
        <f t="shared" si="52"/>
        <v>0</v>
      </c>
      <c r="O89" s="837">
        <f t="shared" si="50"/>
        <v>0</v>
      </c>
      <c r="P89" s="837">
        <f t="shared" si="51"/>
        <v>0</v>
      </c>
      <c r="Q89" s="825"/>
      <c r="R89" s="825"/>
      <c r="S89" s="825"/>
      <c r="T89" s="825"/>
      <c r="U89" s="825"/>
      <c r="V89" s="825"/>
      <c r="W89" s="825"/>
      <c r="X89" s="825"/>
      <c r="Y89" s="825"/>
      <c r="Z89" s="825"/>
    </row>
    <row r="90" spans="1:26" ht="18.75" hidden="1">
      <c r="A90" s="940"/>
      <c r="B90" s="833"/>
      <c r="C90" s="833"/>
      <c r="D90" s="833"/>
      <c r="E90" s="834" t="s">
        <v>19</v>
      </c>
      <c r="F90" s="833"/>
      <c r="G90" s="941"/>
      <c r="H90" s="158" t="s">
        <v>12</v>
      </c>
      <c r="I90" s="836"/>
      <c r="J90" s="836"/>
      <c r="K90" s="837"/>
      <c r="L90" s="837">
        <f t="shared" ca="1" si="52"/>
        <v>86040</v>
      </c>
      <c r="M90" s="837">
        <f t="shared" ca="1" si="52"/>
        <v>51590</v>
      </c>
      <c r="N90" s="837">
        <f t="shared" ca="1" si="52"/>
        <v>22800</v>
      </c>
      <c r="O90" s="837">
        <f t="shared" ca="1" si="50"/>
        <v>26.499302649930264</v>
      </c>
      <c r="P90" s="837">
        <f t="shared" ca="1" si="51"/>
        <v>44.194611358790461</v>
      </c>
      <c r="Q90" s="825"/>
      <c r="R90" s="825"/>
      <c r="S90" s="825"/>
      <c r="T90" s="825"/>
      <c r="U90" s="825"/>
      <c r="V90" s="825"/>
      <c r="W90" s="825"/>
      <c r="X90" s="825"/>
      <c r="Y90" s="825"/>
      <c r="Z90" s="825"/>
    </row>
    <row r="91" spans="1:26" ht="18.75">
      <c r="A91" s="942"/>
      <c r="B91" s="827"/>
      <c r="C91" s="943"/>
      <c r="D91" s="828" t="s">
        <v>20</v>
      </c>
      <c r="E91" s="827"/>
      <c r="F91" s="827"/>
      <c r="G91" s="829"/>
      <c r="H91" s="778" t="s">
        <v>12</v>
      </c>
      <c r="I91" s="944"/>
      <c r="J91" s="944"/>
      <c r="K91" s="945"/>
      <c r="L91" s="831">
        <f t="shared" ref="L91:N91" ca="1" si="53">L92+L93</f>
        <v>86040</v>
      </c>
      <c r="M91" s="831">
        <f t="shared" ca="1" si="53"/>
        <v>51590</v>
      </c>
      <c r="N91" s="831">
        <f t="shared" ca="1" si="53"/>
        <v>22800</v>
      </c>
      <c r="O91" s="831">
        <f t="shared" ca="1" si="50"/>
        <v>26.499302649930264</v>
      </c>
      <c r="P91" s="831">
        <f t="shared" ca="1" si="51"/>
        <v>44.194611358790461</v>
      </c>
      <c r="Q91" s="818"/>
      <c r="R91" s="818"/>
      <c r="S91" s="818"/>
      <c r="T91" s="818"/>
      <c r="U91" s="818"/>
      <c r="V91" s="818"/>
      <c r="W91" s="818"/>
      <c r="X91" s="818"/>
      <c r="Y91" s="818"/>
      <c r="Z91" s="818"/>
    </row>
    <row r="92" spans="1:26" ht="19.5" hidden="1">
      <c r="A92" s="940"/>
      <c r="B92" s="833"/>
      <c r="C92" s="946"/>
      <c r="D92" s="833"/>
      <c r="E92" s="834" t="s">
        <v>36</v>
      </c>
      <c r="F92" s="833"/>
      <c r="G92" s="941"/>
      <c r="H92" s="165" t="s">
        <v>12</v>
      </c>
      <c r="I92" s="947"/>
      <c r="J92" s="947"/>
      <c r="K92" s="948"/>
      <c r="L92" s="837">
        <v>0</v>
      </c>
      <c r="M92" s="837">
        <v>0</v>
      </c>
      <c r="N92" s="837">
        <v>0</v>
      </c>
      <c r="O92" s="837">
        <f t="shared" si="50"/>
        <v>0</v>
      </c>
      <c r="P92" s="837">
        <f t="shared" si="51"/>
        <v>0</v>
      </c>
      <c r="Q92" s="825"/>
      <c r="R92" s="825"/>
      <c r="S92" s="825"/>
      <c r="T92" s="825"/>
      <c r="U92" s="825"/>
      <c r="V92" s="825"/>
      <c r="W92" s="825"/>
      <c r="X92" s="825"/>
      <c r="Y92" s="825"/>
      <c r="Z92" s="825"/>
    </row>
    <row r="93" spans="1:26" ht="19.5" hidden="1">
      <c r="A93" s="940"/>
      <c r="B93" s="833"/>
      <c r="C93" s="946"/>
      <c r="D93" s="833"/>
      <c r="E93" s="834" t="s">
        <v>37</v>
      </c>
      <c r="F93" s="833"/>
      <c r="G93" s="941"/>
      <c r="H93" s="165" t="s">
        <v>12</v>
      </c>
      <c r="I93" s="947"/>
      <c r="J93" s="947"/>
      <c r="K93" s="948"/>
      <c r="L93" s="837">
        <f ca="1">IFERROR(__xludf.DUMMYFUNCTION("IMPORTRANGE(""https://docs.google.com/spreadsheets/d/1MeEWN-I1oV_STSDYn1IFDPWt_1FKiwhDph83XaGc0o0/edit?usp=sharing"",""งบพรบ!AQ29"")"),86040)</f>
        <v>86040</v>
      </c>
      <c r="M93" s="837">
        <f ca="1">IFERROR(__xludf.DUMMYFUNCTION("IMPORTRANGE(""https://docs.google.com/spreadsheets/d/1MeEWN-I1oV_STSDYn1IFDPWt_1FKiwhDph83XaGc0o0/edit?usp=sharing"",""งบพรบ!AV29"")"),51590)</f>
        <v>51590</v>
      </c>
      <c r="N93" s="837">
        <f ca="1">IFERROR(__xludf.DUMMYFUNCTION("IMPORTRANGE(""https://docs.google.com/spreadsheets/d/1MeEWN-I1oV_STSDYn1IFDPWt_1FKiwhDph83XaGc0o0/edit?usp=sharing"",""งบพรบ!AX29"")"),22800)</f>
        <v>22800</v>
      </c>
      <c r="O93" s="837">
        <f t="shared" ca="1" si="50"/>
        <v>26.499302649930264</v>
      </c>
      <c r="P93" s="837">
        <f t="shared" ca="1" si="51"/>
        <v>44.194611358790461</v>
      </c>
      <c r="Q93" s="825"/>
      <c r="R93" s="825"/>
      <c r="S93" s="825"/>
      <c r="T93" s="825"/>
      <c r="U93" s="825"/>
      <c r="V93" s="825"/>
      <c r="W93" s="825"/>
      <c r="X93" s="825"/>
      <c r="Y93" s="825"/>
      <c r="Z93" s="825"/>
    </row>
    <row r="94" spans="1:26" ht="18.75">
      <c r="A94" s="942"/>
      <c r="B94" s="827"/>
      <c r="C94" s="943"/>
      <c r="D94" s="828" t="s">
        <v>21</v>
      </c>
      <c r="E94" s="827"/>
      <c r="F94" s="827"/>
      <c r="G94" s="829"/>
      <c r="H94" s="168" t="s">
        <v>12</v>
      </c>
      <c r="I94" s="944"/>
      <c r="J94" s="944"/>
      <c r="K94" s="945"/>
      <c r="L94" s="831">
        <f t="shared" ref="L94:N94" ca="1" si="54">L95+L96</f>
        <v>0</v>
      </c>
      <c r="M94" s="831">
        <f t="shared" ca="1" si="54"/>
        <v>0</v>
      </c>
      <c r="N94" s="831">
        <f t="shared" ca="1" si="54"/>
        <v>0</v>
      </c>
      <c r="O94" s="831">
        <f t="shared" ca="1" si="50"/>
        <v>0</v>
      </c>
      <c r="P94" s="831">
        <f t="shared" ca="1" si="51"/>
        <v>0</v>
      </c>
      <c r="Q94" s="818"/>
      <c r="R94" s="818"/>
      <c r="S94" s="818"/>
      <c r="T94" s="818"/>
      <c r="U94" s="818"/>
      <c r="V94" s="818"/>
      <c r="W94" s="818"/>
      <c r="X94" s="818"/>
      <c r="Y94" s="818"/>
      <c r="Z94" s="818"/>
    </row>
    <row r="95" spans="1:26" ht="19.5" hidden="1">
      <c r="A95" s="940"/>
      <c r="B95" s="833"/>
      <c r="C95" s="946"/>
      <c r="D95" s="833"/>
      <c r="E95" s="834" t="s">
        <v>18</v>
      </c>
      <c r="F95" s="833"/>
      <c r="G95" s="941"/>
      <c r="H95" s="165" t="s">
        <v>12</v>
      </c>
      <c r="I95" s="947"/>
      <c r="J95" s="947"/>
      <c r="K95" s="948"/>
      <c r="L95" s="837">
        <v>0</v>
      </c>
      <c r="M95" s="837">
        <v>0</v>
      </c>
      <c r="N95" s="837">
        <v>0</v>
      </c>
      <c r="O95" s="837">
        <f t="shared" si="50"/>
        <v>0</v>
      </c>
      <c r="P95" s="837">
        <f t="shared" si="51"/>
        <v>0</v>
      </c>
      <c r="Q95" s="825"/>
      <c r="R95" s="825"/>
      <c r="S95" s="825"/>
      <c r="T95" s="825"/>
      <c r="U95" s="825"/>
      <c r="V95" s="825"/>
      <c r="W95" s="825"/>
      <c r="X95" s="825"/>
      <c r="Y95" s="825"/>
      <c r="Z95" s="825"/>
    </row>
    <row r="96" spans="1:26" ht="19.5" hidden="1">
      <c r="A96" s="940"/>
      <c r="B96" s="833"/>
      <c r="C96" s="946"/>
      <c r="D96" s="833"/>
      <c r="E96" s="834" t="s">
        <v>19</v>
      </c>
      <c r="F96" s="833"/>
      <c r="G96" s="941"/>
      <c r="H96" s="169" t="s">
        <v>12</v>
      </c>
      <c r="I96" s="947"/>
      <c r="J96" s="947"/>
      <c r="K96" s="948"/>
      <c r="L96" s="837">
        <f ca="1">IFERROR(__xludf.DUMMYFUNCTION("IMPORTRANGE(""https://docs.google.com/spreadsheets/d/1MeEWN-I1oV_STSDYn1IFDPWt_1FKiwhDph83XaGc0o0/edit?usp=sharing"",""งบพรบ!AT29"")"),0)</f>
        <v>0</v>
      </c>
      <c r="M96" s="837">
        <f ca="1">IFERROR(__xludf.DUMMYFUNCTION("IMPORTRANGE(""https://docs.google.com/spreadsheets/d/1MeEWN-I1oV_STSDYn1IFDPWt_1FKiwhDph83XaGc0o0/edit?usp=sharing"",""งบพรบ!AW29"")"),0)</f>
        <v>0</v>
      </c>
      <c r="N96" s="837">
        <f ca="1">IFERROR(__xludf.DUMMYFUNCTION("IMPORTRANGE(""https://docs.google.com/spreadsheets/d/1MeEWN-I1oV_STSDYn1IFDPWt_1FKiwhDph83XaGc0o0/edit?usp=sharing"",""งบพรบ!AY29"")"),0)</f>
        <v>0</v>
      </c>
      <c r="O96" s="837">
        <f t="shared" ca="1" si="50"/>
        <v>0</v>
      </c>
      <c r="P96" s="837">
        <f t="shared" ca="1" si="51"/>
        <v>0</v>
      </c>
      <c r="Q96" s="825"/>
      <c r="R96" s="825"/>
      <c r="S96" s="825"/>
      <c r="T96" s="825"/>
      <c r="U96" s="825"/>
      <c r="V96" s="825"/>
      <c r="W96" s="825"/>
      <c r="X96" s="825"/>
      <c r="Y96" s="825"/>
      <c r="Z96" s="825"/>
    </row>
    <row r="97" spans="1:16" ht="19.5">
      <c r="A97" s="949"/>
      <c r="B97" s="950"/>
      <c r="C97" s="946" t="s">
        <v>16</v>
      </c>
      <c r="D97" s="951" t="s">
        <v>38</v>
      </c>
      <c r="E97" s="952"/>
      <c r="F97" s="952"/>
      <c r="G97" s="953"/>
      <c r="H97" s="954"/>
      <c r="I97" s="944"/>
      <c r="J97" s="830"/>
      <c r="K97" s="831"/>
      <c r="L97" s="831"/>
      <c r="M97" s="831"/>
      <c r="N97" s="831"/>
      <c r="O97" s="945"/>
      <c r="P97" s="945"/>
    </row>
    <row r="98" spans="1:16" ht="18.75">
      <c r="A98" s="949"/>
      <c r="B98" s="950"/>
      <c r="C98" s="950"/>
      <c r="D98" s="956" t="s">
        <v>47</v>
      </c>
      <c r="E98" s="956"/>
      <c r="F98" s="957"/>
      <c r="G98" s="958"/>
      <c r="H98" s="590" t="s">
        <v>46</v>
      </c>
      <c r="I98" s="830">
        <f ca="1">IFERROR(__xludf.DUMMYFUNCTION("IMPORTRANGE(""https://docs.google.com/spreadsheets/d/1QqKyyYR6Q21VydFLVH3TRQUabQu_ym0Zz7PgGX0-kHA/edit?usp=sharing"",""แผน!K29"")"),30)</f>
        <v>30</v>
      </c>
      <c r="J98" s="830">
        <f>J102</f>
        <v>30</v>
      </c>
      <c r="K98" s="831">
        <f t="shared" ref="K98:K100" ca="1" si="55">IF(I98&gt;0,J98*100/I98,0)</f>
        <v>100</v>
      </c>
      <c r="L98" s="831"/>
      <c r="M98" s="831"/>
      <c r="N98" s="831"/>
      <c r="O98" s="945"/>
      <c r="P98" s="945"/>
    </row>
    <row r="99" spans="1:16" ht="18.75">
      <c r="A99" s="949"/>
      <c r="B99" s="950"/>
      <c r="C99" s="950"/>
      <c r="D99" s="956" t="s">
        <v>48</v>
      </c>
      <c r="E99" s="956"/>
      <c r="F99" s="957"/>
      <c r="G99" s="958"/>
      <c r="H99" s="590" t="s">
        <v>35</v>
      </c>
      <c r="I99" s="830">
        <f ca="1">IFERROR(__xludf.DUMMYFUNCTION("IMPORTRANGE(""https://docs.google.com/spreadsheets/d/1QqKyyYR6Q21VydFLVH3TRQUabQu_ym0Zz7PgGX0-kHA/edit?usp=sharing"",""แผน!L29"")"),10)</f>
        <v>10</v>
      </c>
      <c r="J99" s="830">
        <f>J104</f>
        <v>10</v>
      </c>
      <c r="K99" s="831">
        <f t="shared" ca="1" si="55"/>
        <v>100</v>
      </c>
      <c r="L99" s="831"/>
      <c r="M99" s="831"/>
      <c r="N99" s="831"/>
      <c r="O99" s="945"/>
      <c r="P99" s="945"/>
    </row>
    <row r="100" spans="1:16" ht="18.75">
      <c r="A100" s="949"/>
      <c r="B100" s="950"/>
      <c r="C100" s="950"/>
      <c r="D100" s="950"/>
      <c r="E100" s="957"/>
      <c r="F100" s="957"/>
      <c r="G100" s="958"/>
      <c r="H100" s="590" t="s">
        <v>49</v>
      </c>
      <c r="I100" s="830">
        <f ca="1">IFERROR(__xludf.DUMMYFUNCTION("IMPORTRANGE(""https://docs.google.com/spreadsheets/d/1QqKyyYR6Q21VydFLVH3TRQUabQu_ym0Zz7PgGX0-kHA/edit?usp=sharing"",""แผน!M29"")"),2)</f>
        <v>2</v>
      </c>
      <c r="J100" s="830">
        <f>J107+J110</f>
        <v>0</v>
      </c>
      <c r="K100" s="831">
        <f t="shared" ca="1" si="55"/>
        <v>0</v>
      </c>
      <c r="L100" s="831"/>
      <c r="M100" s="831"/>
      <c r="N100" s="831"/>
      <c r="O100" s="945"/>
      <c r="P100" s="945"/>
    </row>
    <row r="101" spans="1:16" ht="19.5">
      <c r="A101" s="949"/>
      <c r="B101" s="950"/>
      <c r="C101" s="950"/>
      <c r="D101" s="957"/>
      <c r="E101" s="960" t="s">
        <v>50</v>
      </c>
      <c r="F101" s="957"/>
      <c r="G101" s="958"/>
      <c r="H101" s="590"/>
      <c r="I101" s="830"/>
      <c r="J101" s="830"/>
      <c r="K101" s="831"/>
      <c r="L101" s="831"/>
      <c r="M101" s="831"/>
      <c r="N101" s="831"/>
      <c r="O101" s="945"/>
      <c r="P101" s="945"/>
    </row>
    <row r="102" spans="1:16" ht="18.75">
      <c r="A102" s="949"/>
      <c r="B102" s="950"/>
      <c r="C102" s="950"/>
      <c r="D102" s="957"/>
      <c r="E102" s="961" t="s">
        <v>47</v>
      </c>
      <c r="F102" s="957"/>
      <c r="G102" s="958"/>
      <c r="H102" s="590" t="s">
        <v>46</v>
      </c>
      <c r="I102" s="830">
        <f ca="1">IFERROR(__xludf.DUMMYFUNCTION("IMPORTRANGE(""https://docs.google.com/spreadsheets/d/1QqKyyYR6Q21VydFLVH3TRQUabQu_ym0Zz7PgGX0-kHA/edit?usp=sharing"",""แผน!N29"")"),30)</f>
        <v>30</v>
      </c>
      <c r="J102" s="959">
        <v>30</v>
      </c>
      <c r="K102" s="831">
        <f t="shared" ref="K102:K104" ca="1" si="56">IF(I102&gt;0,J102*100/I102,0)</f>
        <v>100</v>
      </c>
      <c r="L102" s="831"/>
      <c r="M102" s="831"/>
      <c r="N102" s="831"/>
      <c r="O102" s="945"/>
      <c r="P102" s="945"/>
    </row>
    <row r="103" spans="1:16" ht="19.5">
      <c r="A103" s="949"/>
      <c r="B103" s="950"/>
      <c r="C103" s="950"/>
      <c r="D103" s="957"/>
      <c r="E103" s="956" t="s">
        <v>51</v>
      </c>
      <c r="F103" s="957"/>
      <c r="G103" s="958"/>
      <c r="H103" s="590" t="s">
        <v>35</v>
      </c>
      <c r="I103" s="830">
        <f ca="1">IFERROR(__xludf.DUMMYFUNCTION("IMPORTRANGE(""https://docs.google.com/spreadsheets/d/1QqKyyYR6Q21VydFLVH3TRQUabQu_ym0Zz7PgGX0-kHA/edit?usp=sharing"",""แผน!O29"")"),10)</f>
        <v>10</v>
      </c>
      <c r="J103" s="959">
        <v>10</v>
      </c>
      <c r="K103" s="831">
        <f t="shared" ca="1" si="56"/>
        <v>100</v>
      </c>
      <c r="L103" s="831"/>
      <c r="M103" s="831"/>
      <c r="N103" s="831"/>
      <c r="O103" s="945"/>
      <c r="P103" s="945"/>
    </row>
    <row r="104" spans="1:16" ht="18.75">
      <c r="A104" s="949"/>
      <c r="B104" s="950"/>
      <c r="C104" s="950"/>
      <c r="D104" s="957"/>
      <c r="E104" s="962" t="s">
        <v>52</v>
      </c>
      <c r="F104" s="957"/>
      <c r="G104" s="958"/>
      <c r="H104" s="590" t="s">
        <v>35</v>
      </c>
      <c r="I104" s="830">
        <f ca="1">IFERROR(__xludf.DUMMYFUNCTION("IMPORTRANGE(""https://docs.google.com/spreadsheets/d/1QqKyyYR6Q21VydFLVH3TRQUabQu_ym0Zz7PgGX0-kHA/edit?usp=sharing"",""แผน!O29"")"),10)</f>
        <v>10</v>
      </c>
      <c r="J104" s="959">
        <v>10</v>
      </c>
      <c r="K104" s="831">
        <f t="shared" ca="1" si="56"/>
        <v>100</v>
      </c>
      <c r="L104" s="831"/>
      <c r="M104" s="831"/>
      <c r="N104" s="831"/>
      <c r="O104" s="945"/>
      <c r="P104" s="945"/>
    </row>
    <row r="105" spans="1:16" ht="19.5">
      <c r="A105" s="949"/>
      <c r="B105" s="950"/>
      <c r="C105" s="950"/>
      <c r="D105" s="957"/>
      <c r="E105" s="960" t="s">
        <v>53</v>
      </c>
      <c r="F105" s="957"/>
      <c r="G105" s="958"/>
      <c r="H105" s="963"/>
      <c r="I105" s="830"/>
      <c r="J105" s="830"/>
      <c r="K105" s="831"/>
      <c r="L105" s="831"/>
      <c r="M105" s="831"/>
      <c r="N105" s="831"/>
      <c r="O105" s="945"/>
      <c r="P105" s="945"/>
    </row>
    <row r="106" spans="1:16" ht="19.5">
      <c r="A106" s="949"/>
      <c r="B106" s="950"/>
      <c r="C106" s="950"/>
      <c r="D106" s="957"/>
      <c r="E106" s="956" t="s">
        <v>54</v>
      </c>
      <c r="F106" s="957"/>
      <c r="G106" s="958"/>
      <c r="H106" s="590" t="s">
        <v>49</v>
      </c>
      <c r="I106" s="830">
        <f ca="1">IFERROR(__xludf.DUMMYFUNCTION("IMPORTRANGE(""https://docs.google.com/spreadsheets/d/1QqKyyYR6Q21VydFLVH3TRQUabQu_ym0Zz7PgGX0-kHA/edit?usp=sharing"",""แผน!P29"")"),1)</f>
        <v>1</v>
      </c>
      <c r="J106" s="959">
        <v>0</v>
      </c>
      <c r="K106" s="831">
        <f t="shared" ref="K106:K107" ca="1" si="57">IF(I106&gt;0,J106*100/I106,0)</f>
        <v>0</v>
      </c>
      <c r="L106" s="831"/>
      <c r="M106" s="831"/>
      <c r="N106" s="831"/>
      <c r="O106" s="945"/>
      <c r="P106" s="945"/>
    </row>
    <row r="107" spans="1:16" ht="18.75">
      <c r="A107" s="949"/>
      <c r="B107" s="950"/>
      <c r="C107" s="950"/>
      <c r="D107" s="957"/>
      <c r="E107" s="962" t="s">
        <v>55</v>
      </c>
      <c r="F107" s="957"/>
      <c r="G107" s="958"/>
      <c r="H107" s="590" t="s">
        <v>49</v>
      </c>
      <c r="I107" s="830">
        <f ca="1">IFERROR(__xludf.DUMMYFUNCTION("IMPORTRANGE(""https://docs.google.com/spreadsheets/d/1QqKyyYR6Q21VydFLVH3TRQUabQu_ym0Zz7PgGX0-kHA/edit?usp=sharing"",""แผน!P29"")"),1)</f>
        <v>1</v>
      </c>
      <c r="J107" s="959">
        <v>0</v>
      </c>
      <c r="K107" s="831">
        <f t="shared" ca="1" si="57"/>
        <v>0</v>
      </c>
      <c r="L107" s="831"/>
      <c r="M107" s="831"/>
      <c r="N107" s="831"/>
      <c r="O107" s="945"/>
      <c r="P107" s="945"/>
    </row>
    <row r="108" spans="1:16" ht="19.5">
      <c r="A108" s="949"/>
      <c r="B108" s="950"/>
      <c r="C108" s="950"/>
      <c r="D108" s="957"/>
      <c r="E108" s="960" t="s">
        <v>56</v>
      </c>
      <c r="F108" s="957"/>
      <c r="G108" s="958"/>
      <c r="H108" s="963"/>
      <c r="I108" s="830"/>
      <c r="J108" s="830"/>
      <c r="K108" s="831"/>
      <c r="L108" s="831"/>
      <c r="M108" s="831"/>
      <c r="N108" s="831"/>
      <c r="O108" s="945"/>
      <c r="P108" s="945"/>
    </row>
    <row r="109" spans="1:16" ht="19.5">
      <c r="A109" s="949"/>
      <c r="B109" s="950"/>
      <c r="C109" s="950"/>
      <c r="D109" s="957"/>
      <c r="E109" s="956" t="s">
        <v>57</v>
      </c>
      <c r="F109" s="957"/>
      <c r="G109" s="958"/>
      <c r="H109" s="590" t="s">
        <v>49</v>
      </c>
      <c r="I109" s="830">
        <f ca="1">IFERROR(__xludf.DUMMYFUNCTION("IMPORTRANGE(""https://docs.google.com/spreadsheets/d/1QqKyyYR6Q21VydFLVH3TRQUabQu_ym0Zz7PgGX0-kHA/edit?usp=sharing"",""แผน!Q29"")"),1)</f>
        <v>1</v>
      </c>
      <c r="J109" s="959">
        <v>0</v>
      </c>
      <c r="K109" s="831">
        <f t="shared" ref="K109:K116" ca="1" si="58">IF(I109&gt;0,J109*100/I109,0)</f>
        <v>0</v>
      </c>
      <c r="L109" s="831"/>
      <c r="M109" s="831"/>
      <c r="N109" s="831"/>
      <c r="O109" s="945"/>
      <c r="P109" s="945"/>
    </row>
    <row r="110" spans="1:16" ht="18.75">
      <c r="A110" s="949"/>
      <c r="B110" s="950"/>
      <c r="C110" s="950"/>
      <c r="D110" s="957"/>
      <c r="E110" s="964" t="s">
        <v>58</v>
      </c>
      <c r="F110" s="957"/>
      <c r="G110" s="958"/>
      <c r="H110" s="590" t="s">
        <v>49</v>
      </c>
      <c r="I110" s="830">
        <f ca="1">IFERROR(__xludf.DUMMYFUNCTION("IMPORTRANGE(""https://docs.google.com/spreadsheets/d/1QqKyyYR6Q21VydFLVH3TRQUabQu_ym0Zz7PgGX0-kHA/edit?usp=sharing"",""แผน!Q29"")"),1)</f>
        <v>1</v>
      </c>
      <c r="J110" s="959">
        <v>0</v>
      </c>
      <c r="K110" s="831">
        <f t="shared" ca="1" si="58"/>
        <v>0</v>
      </c>
      <c r="L110" s="831"/>
      <c r="M110" s="831"/>
      <c r="N110" s="831"/>
      <c r="O110" s="945"/>
      <c r="P110" s="945"/>
    </row>
    <row r="111" spans="1:16" ht="19.5">
      <c r="A111" s="949"/>
      <c r="B111" s="950"/>
      <c r="C111" s="950"/>
      <c r="D111" s="960" t="s">
        <v>59</v>
      </c>
      <c r="E111" s="960"/>
      <c r="F111" s="957"/>
      <c r="G111" s="958"/>
      <c r="H111" s="733" t="s">
        <v>35</v>
      </c>
      <c r="I111" s="965">
        <f ca="1">IFERROR(__xludf.DUMMYFUNCTION("IMPORTRANGE(""https://docs.google.com/spreadsheets/d/1QqKyyYR6Q21VydFLVH3TRQUabQu_ym0Zz7PgGX0-kHA/edit?usp=sharing"",""แผน!R29"")"),10)</f>
        <v>10</v>
      </c>
      <c r="J111" s="966">
        <f>J114</f>
        <v>0</v>
      </c>
      <c r="K111" s="967">
        <f t="shared" ca="1" si="58"/>
        <v>0</v>
      </c>
      <c r="L111" s="831"/>
      <c r="M111" s="831"/>
      <c r="N111" s="831"/>
      <c r="O111" s="945"/>
      <c r="P111" s="945"/>
    </row>
    <row r="112" spans="1:16" ht="19.5">
      <c r="A112" s="949"/>
      <c r="B112" s="950"/>
      <c r="C112" s="950"/>
      <c r="D112" s="950"/>
      <c r="E112" s="957"/>
      <c r="F112" s="957"/>
      <c r="G112" s="958"/>
      <c r="H112" s="196" t="s">
        <v>49</v>
      </c>
      <c r="I112" s="965">
        <f t="shared" ref="I112:J112" ca="1" si="59">I115+I116</f>
        <v>2</v>
      </c>
      <c r="J112" s="966">
        <f t="shared" si="59"/>
        <v>0</v>
      </c>
      <c r="K112" s="967">
        <f t="shared" ca="1" si="58"/>
        <v>0</v>
      </c>
      <c r="L112" s="831"/>
      <c r="M112" s="831"/>
      <c r="N112" s="831"/>
      <c r="O112" s="945"/>
      <c r="P112" s="945"/>
    </row>
    <row r="113" spans="1:26" ht="19.5">
      <c r="A113" s="949"/>
      <c r="B113" s="950"/>
      <c r="C113" s="950"/>
      <c r="D113" s="950"/>
      <c r="E113" s="968" t="s">
        <v>60</v>
      </c>
      <c r="F113" s="957"/>
      <c r="G113" s="958"/>
      <c r="H113" s="198" t="s">
        <v>35</v>
      </c>
      <c r="I113" s="944">
        <f ca="1">IFERROR(__xludf.DUMMYFUNCTION("IMPORTRANGE(""https://docs.google.com/spreadsheets/d/1QqKyyYR6Q21VydFLVH3TRQUabQu_ym0Zz7PgGX0-kHA/edit?usp=sharing"",""แผน!R29"")"),10)</f>
        <v>10</v>
      </c>
      <c r="J113" s="959">
        <v>0</v>
      </c>
      <c r="K113" s="831">
        <f t="shared" ca="1" si="58"/>
        <v>0</v>
      </c>
      <c r="L113" s="831"/>
      <c r="M113" s="831"/>
      <c r="N113" s="831"/>
      <c r="O113" s="945"/>
      <c r="P113" s="945"/>
    </row>
    <row r="114" spans="1:26" ht="19.5">
      <c r="A114" s="949"/>
      <c r="B114" s="950"/>
      <c r="C114" s="950"/>
      <c r="D114" s="950"/>
      <c r="E114" s="956" t="s">
        <v>61</v>
      </c>
      <c r="F114" s="957"/>
      <c r="G114" s="958"/>
      <c r="H114" s="199" t="s">
        <v>35</v>
      </c>
      <c r="I114" s="944">
        <f ca="1">IFERROR(__xludf.DUMMYFUNCTION("IMPORTRANGE(""https://docs.google.com/spreadsheets/d/1QqKyyYR6Q21VydFLVH3TRQUabQu_ym0Zz7PgGX0-kHA/edit?usp=sharing"",""แผน!R29"")"),10)</f>
        <v>10</v>
      </c>
      <c r="J114" s="959">
        <v>0</v>
      </c>
      <c r="K114" s="831">
        <f t="shared" ca="1" si="58"/>
        <v>0</v>
      </c>
      <c r="L114" s="831"/>
      <c r="M114" s="831"/>
      <c r="N114" s="831"/>
      <c r="O114" s="945"/>
      <c r="P114" s="945"/>
    </row>
    <row r="115" spans="1:26" ht="18.75">
      <c r="A115" s="949"/>
      <c r="B115" s="950"/>
      <c r="C115" s="950"/>
      <c r="D115" s="950"/>
      <c r="E115" s="956" t="s">
        <v>62</v>
      </c>
      <c r="F115" s="957"/>
      <c r="G115" s="958"/>
      <c r="H115" s="199" t="s">
        <v>49</v>
      </c>
      <c r="I115" s="944">
        <f ca="1">IFERROR(__xludf.DUMMYFUNCTION("IMPORTRANGE(""https://docs.google.com/spreadsheets/d/1QqKyyYR6Q21VydFLVH3TRQUabQu_ym0Zz7PgGX0-kHA/edit?usp=sharing"",""แผน!S29"")"),1)</f>
        <v>1</v>
      </c>
      <c r="J115" s="959">
        <v>0</v>
      </c>
      <c r="K115" s="831">
        <f t="shared" ca="1" si="58"/>
        <v>0</v>
      </c>
      <c r="L115" s="831"/>
      <c r="M115" s="831"/>
      <c r="N115" s="831"/>
      <c r="O115" s="945"/>
      <c r="P115" s="945"/>
    </row>
    <row r="116" spans="1:26" ht="18.75">
      <c r="A116" s="949"/>
      <c r="B116" s="950"/>
      <c r="C116" s="950"/>
      <c r="D116" s="950"/>
      <c r="E116" s="956" t="s">
        <v>63</v>
      </c>
      <c r="F116" s="957"/>
      <c r="G116" s="958"/>
      <c r="H116" s="199" t="s">
        <v>49</v>
      </c>
      <c r="I116" s="944">
        <f ca="1">IFERROR(__xludf.DUMMYFUNCTION("IMPORTRANGE(""https://docs.google.com/spreadsheets/d/1QqKyyYR6Q21VydFLVH3TRQUabQu_ym0Zz7PgGX0-kHA/edit?usp=sharing"",""แผน!T29"")"),1)</f>
        <v>1</v>
      </c>
      <c r="J116" s="959">
        <v>0</v>
      </c>
      <c r="K116" s="831">
        <f t="shared" ca="1" si="58"/>
        <v>0</v>
      </c>
      <c r="L116" s="831"/>
      <c r="M116" s="831"/>
      <c r="N116" s="831"/>
      <c r="O116" s="945"/>
      <c r="P116" s="945"/>
    </row>
    <row r="117" spans="1:26" ht="19.5" hidden="1">
      <c r="A117" s="917" t="s">
        <v>64</v>
      </c>
      <c r="B117" s="918"/>
      <c r="C117" s="969"/>
      <c r="D117" s="918"/>
      <c r="E117" s="918"/>
      <c r="F117" s="918"/>
      <c r="G117" s="918"/>
      <c r="H117" s="970"/>
      <c r="I117" s="971"/>
      <c r="J117" s="971"/>
      <c r="K117" s="972"/>
      <c r="L117" s="923"/>
      <c r="M117" s="923"/>
      <c r="N117" s="923"/>
      <c r="O117" s="923"/>
      <c r="P117" s="923"/>
    </row>
    <row r="118" spans="1:26" ht="19.5" hidden="1">
      <c r="A118" s="924"/>
      <c r="B118" s="925" t="s">
        <v>65</v>
      </c>
      <c r="C118" s="973"/>
      <c r="D118" s="927"/>
      <c r="E118" s="926"/>
      <c r="F118" s="926"/>
      <c r="G118" s="928"/>
      <c r="H118" s="205"/>
      <c r="I118" s="974"/>
      <c r="J118" s="974"/>
      <c r="K118" s="931"/>
      <c r="L118" s="931"/>
      <c r="M118" s="931"/>
      <c r="N118" s="931"/>
      <c r="O118" s="931"/>
      <c r="P118" s="931"/>
    </row>
    <row r="119" spans="1:26" ht="19.5" hidden="1">
      <c r="A119" s="932"/>
      <c r="B119" s="933"/>
      <c r="C119" s="934" t="s">
        <v>16</v>
      </c>
      <c r="D119" s="935" t="s">
        <v>17</v>
      </c>
      <c r="E119" s="933"/>
      <c r="F119" s="933"/>
      <c r="G119" s="936"/>
      <c r="H119" s="152" t="s">
        <v>12</v>
      </c>
      <c r="I119" s="937"/>
      <c r="J119" s="937"/>
      <c r="K119" s="938"/>
      <c r="L119" s="939">
        <f t="shared" ref="L119:N119" ca="1" si="60">L120+L121</f>
        <v>0</v>
      </c>
      <c r="M119" s="939">
        <f t="shared" ca="1" si="60"/>
        <v>0</v>
      </c>
      <c r="N119" s="939">
        <f t="shared" ca="1" si="60"/>
        <v>0</v>
      </c>
      <c r="O119" s="939">
        <f t="shared" ref="O119:O127" ca="1" si="61">IF(L119&gt;0,N119*100/L119,0)</f>
        <v>0</v>
      </c>
      <c r="P119" s="939">
        <f t="shared" ref="P119:P127" ca="1" si="62">IF(M119&gt;0,N119*100/M119,0)</f>
        <v>0</v>
      </c>
      <c r="Q119" s="818"/>
      <c r="R119" s="818"/>
      <c r="S119" s="818"/>
      <c r="T119" s="818"/>
      <c r="U119" s="818"/>
      <c r="V119" s="818"/>
      <c r="W119" s="818"/>
      <c r="X119" s="818"/>
      <c r="Y119" s="818"/>
      <c r="Z119" s="818"/>
    </row>
    <row r="120" spans="1:26" ht="18.75" hidden="1">
      <c r="A120" s="940"/>
      <c r="B120" s="833"/>
      <c r="C120" s="833"/>
      <c r="D120" s="833"/>
      <c r="E120" s="834" t="s">
        <v>18</v>
      </c>
      <c r="F120" s="833"/>
      <c r="G120" s="941"/>
      <c r="H120" s="158" t="s">
        <v>12</v>
      </c>
      <c r="I120" s="836"/>
      <c r="J120" s="836"/>
      <c r="K120" s="837"/>
      <c r="L120" s="837">
        <f t="shared" ref="L120:N121" si="63">L123+L126</f>
        <v>0</v>
      </c>
      <c r="M120" s="837">
        <f t="shared" si="63"/>
        <v>0</v>
      </c>
      <c r="N120" s="837">
        <f t="shared" si="63"/>
        <v>0</v>
      </c>
      <c r="O120" s="837">
        <f t="shared" si="61"/>
        <v>0</v>
      </c>
      <c r="P120" s="837">
        <f t="shared" si="62"/>
        <v>0</v>
      </c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</row>
    <row r="121" spans="1:26" ht="18.75" hidden="1">
      <c r="A121" s="940"/>
      <c r="B121" s="833"/>
      <c r="C121" s="833"/>
      <c r="D121" s="833"/>
      <c r="E121" s="834" t="s">
        <v>19</v>
      </c>
      <c r="F121" s="833"/>
      <c r="G121" s="941"/>
      <c r="H121" s="158" t="s">
        <v>12</v>
      </c>
      <c r="I121" s="836"/>
      <c r="J121" s="836"/>
      <c r="K121" s="837"/>
      <c r="L121" s="837">
        <f t="shared" ca="1" si="63"/>
        <v>0</v>
      </c>
      <c r="M121" s="837">
        <f t="shared" ca="1" si="63"/>
        <v>0</v>
      </c>
      <c r="N121" s="837">
        <f t="shared" ca="1" si="63"/>
        <v>0</v>
      </c>
      <c r="O121" s="837">
        <f t="shared" ca="1" si="61"/>
        <v>0</v>
      </c>
      <c r="P121" s="837">
        <f t="shared" ca="1" si="62"/>
        <v>0</v>
      </c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</row>
    <row r="122" spans="1:26" ht="18.75" hidden="1">
      <c r="A122" s="942"/>
      <c r="B122" s="827"/>
      <c r="C122" s="943"/>
      <c r="D122" s="828" t="s">
        <v>20</v>
      </c>
      <c r="E122" s="827"/>
      <c r="F122" s="827"/>
      <c r="G122" s="829"/>
      <c r="H122" s="778" t="s">
        <v>12</v>
      </c>
      <c r="I122" s="944"/>
      <c r="J122" s="944"/>
      <c r="K122" s="945"/>
      <c r="L122" s="831">
        <f t="shared" ref="L122:N122" ca="1" si="64">L123+L124</f>
        <v>0</v>
      </c>
      <c r="M122" s="831">
        <f t="shared" ca="1" si="64"/>
        <v>0</v>
      </c>
      <c r="N122" s="831">
        <f t="shared" ca="1" si="64"/>
        <v>0</v>
      </c>
      <c r="O122" s="831">
        <f t="shared" ca="1" si="61"/>
        <v>0</v>
      </c>
      <c r="P122" s="831">
        <f t="shared" ca="1" si="62"/>
        <v>0</v>
      </c>
      <c r="Q122" s="818"/>
      <c r="R122" s="818"/>
      <c r="S122" s="818"/>
      <c r="T122" s="818"/>
      <c r="U122" s="818"/>
      <c r="V122" s="818"/>
      <c r="W122" s="818"/>
      <c r="X122" s="818"/>
      <c r="Y122" s="818"/>
      <c r="Z122" s="818"/>
    </row>
    <row r="123" spans="1:26" ht="18.75" hidden="1">
      <c r="A123" s="940"/>
      <c r="B123" s="833"/>
      <c r="C123" s="834"/>
      <c r="D123" s="833"/>
      <c r="E123" s="834" t="s">
        <v>36</v>
      </c>
      <c r="F123" s="833"/>
      <c r="G123" s="941"/>
      <c r="H123" s="165" t="s">
        <v>12</v>
      </c>
      <c r="I123" s="947"/>
      <c r="J123" s="947"/>
      <c r="K123" s="948"/>
      <c r="L123" s="837">
        <v>0</v>
      </c>
      <c r="M123" s="837">
        <v>0</v>
      </c>
      <c r="N123" s="837">
        <v>0</v>
      </c>
      <c r="O123" s="837">
        <f t="shared" si="61"/>
        <v>0</v>
      </c>
      <c r="P123" s="837">
        <f t="shared" si="62"/>
        <v>0</v>
      </c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</row>
    <row r="124" spans="1:26" ht="18.75" hidden="1">
      <c r="A124" s="940"/>
      <c r="B124" s="833"/>
      <c r="C124" s="834"/>
      <c r="D124" s="833"/>
      <c r="E124" s="834" t="s">
        <v>37</v>
      </c>
      <c r="F124" s="833"/>
      <c r="G124" s="941"/>
      <c r="H124" s="165" t="s">
        <v>12</v>
      </c>
      <c r="I124" s="947"/>
      <c r="J124" s="947"/>
      <c r="K124" s="948"/>
      <c r="L124" s="837">
        <f ca="1">IFERROR(__xludf.DUMMYFUNCTION("IMPORTRANGE(""https://docs.google.com/spreadsheets/d/1MeEWN-I1oV_STSDYn1IFDPWt_1FKiwhDph83XaGc0o0/edit?usp=sharing"",""งบพรบ!BA29"")"),0)</f>
        <v>0</v>
      </c>
      <c r="M124" s="837">
        <f ca="1">IFERROR(__xludf.DUMMYFUNCTION("IMPORTRANGE(""https://docs.google.com/spreadsheets/d/1MeEWN-I1oV_STSDYn1IFDPWt_1FKiwhDph83XaGc0o0/edit?usp=sharing"",""งบพรบ!BF29"")"),0)</f>
        <v>0</v>
      </c>
      <c r="N124" s="837">
        <f ca="1">IFERROR(__xludf.DUMMYFUNCTION("IMPORTRANGE(""https://docs.google.com/spreadsheets/d/1MeEWN-I1oV_STSDYn1IFDPWt_1FKiwhDph83XaGc0o0/edit?usp=sharing"",""งบพรบ!BH29"")"),0)</f>
        <v>0</v>
      </c>
      <c r="O124" s="837">
        <f t="shared" ca="1" si="61"/>
        <v>0</v>
      </c>
      <c r="P124" s="837">
        <f t="shared" ca="1" si="62"/>
        <v>0</v>
      </c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</row>
    <row r="125" spans="1:26" ht="18.75" hidden="1">
      <c r="A125" s="942"/>
      <c r="B125" s="827"/>
      <c r="C125" s="943"/>
      <c r="D125" s="828" t="s">
        <v>21</v>
      </c>
      <c r="E125" s="827"/>
      <c r="F125" s="827"/>
      <c r="G125" s="829"/>
      <c r="H125" s="168" t="s">
        <v>12</v>
      </c>
      <c r="I125" s="944"/>
      <c r="J125" s="944"/>
      <c r="K125" s="945"/>
      <c r="L125" s="831">
        <f t="shared" ref="L125:N125" ca="1" si="65">L126+L127</f>
        <v>0</v>
      </c>
      <c r="M125" s="831">
        <f t="shared" ca="1" si="65"/>
        <v>0</v>
      </c>
      <c r="N125" s="831">
        <f t="shared" ca="1" si="65"/>
        <v>0</v>
      </c>
      <c r="O125" s="831">
        <f t="shared" ca="1" si="61"/>
        <v>0</v>
      </c>
      <c r="P125" s="831">
        <f t="shared" ca="1" si="62"/>
        <v>0</v>
      </c>
      <c r="Q125" s="818"/>
      <c r="R125" s="818"/>
      <c r="S125" s="818"/>
      <c r="T125" s="818"/>
      <c r="U125" s="818"/>
      <c r="V125" s="818"/>
      <c r="W125" s="818"/>
      <c r="X125" s="818"/>
      <c r="Y125" s="818"/>
      <c r="Z125" s="818"/>
    </row>
    <row r="126" spans="1:26" ht="19.5" hidden="1">
      <c r="A126" s="940"/>
      <c r="B126" s="833"/>
      <c r="C126" s="946"/>
      <c r="D126" s="833"/>
      <c r="E126" s="834" t="s">
        <v>18</v>
      </c>
      <c r="F126" s="833"/>
      <c r="G126" s="941"/>
      <c r="H126" s="165" t="s">
        <v>12</v>
      </c>
      <c r="I126" s="947"/>
      <c r="J126" s="947"/>
      <c r="K126" s="948"/>
      <c r="L126" s="837">
        <v>0</v>
      </c>
      <c r="M126" s="837">
        <v>0</v>
      </c>
      <c r="N126" s="837">
        <v>0</v>
      </c>
      <c r="O126" s="837">
        <f t="shared" si="61"/>
        <v>0</v>
      </c>
      <c r="P126" s="837">
        <f t="shared" si="62"/>
        <v>0</v>
      </c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</row>
    <row r="127" spans="1:26" ht="19.5" hidden="1">
      <c r="A127" s="940"/>
      <c r="B127" s="833"/>
      <c r="C127" s="946"/>
      <c r="D127" s="833"/>
      <c r="E127" s="834" t="s">
        <v>19</v>
      </c>
      <c r="F127" s="833"/>
      <c r="G127" s="941"/>
      <c r="H127" s="169" t="s">
        <v>12</v>
      </c>
      <c r="I127" s="947"/>
      <c r="J127" s="947"/>
      <c r="K127" s="948"/>
      <c r="L127" s="837">
        <f ca="1">IFERROR(__xludf.DUMMYFUNCTION("IMPORTRANGE(""https://docs.google.com/spreadsheets/d/1MeEWN-I1oV_STSDYn1IFDPWt_1FKiwhDph83XaGc0o0/edit?usp=sharing"",""งบพรบ!BD29"")"),0)</f>
        <v>0</v>
      </c>
      <c r="M127" s="837">
        <f ca="1">IFERROR(__xludf.DUMMYFUNCTION("IMPORTRANGE(""https://docs.google.com/spreadsheets/d/1MeEWN-I1oV_STSDYn1IFDPWt_1FKiwhDph83XaGc0o0/edit?usp=sharing"",""งบพรบ!BG29"")"),0)</f>
        <v>0</v>
      </c>
      <c r="N127" s="837">
        <f ca="1">IFERROR(__xludf.DUMMYFUNCTION("IMPORTRANGE(""https://docs.google.com/spreadsheets/d/1MeEWN-I1oV_STSDYn1IFDPWt_1FKiwhDph83XaGc0o0/edit?usp=sharing"",""งบพรบ!BI29"")"),0)</f>
        <v>0</v>
      </c>
      <c r="O127" s="837">
        <f t="shared" ca="1" si="61"/>
        <v>0</v>
      </c>
      <c r="P127" s="837">
        <f t="shared" ca="1" si="62"/>
        <v>0</v>
      </c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</row>
    <row r="128" spans="1:26" ht="19.5" hidden="1">
      <c r="A128" s="917" t="s">
        <v>67</v>
      </c>
      <c r="B128" s="918"/>
      <c r="C128" s="969"/>
      <c r="D128" s="918"/>
      <c r="E128" s="918"/>
      <c r="F128" s="918"/>
      <c r="G128" s="918"/>
      <c r="H128" s="970"/>
      <c r="I128" s="971"/>
      <c r="J128" s="971"/>
      <c r="K128" s="972"/>
      <c r="L128" s="923"/>
      <c r="M128" s="923"/>
      <c r="N128" s="923"/>
      <c r="O128" s="923"/>
      <c r="P128" s="923"/>
    </row>
    <row r="129" spans="1:26" ht="19.5" hidden="1">
      <c r="A129" s="924"/>
      <c r="B129" s="925" t="s">
        <v>68</v>
      </c>
      <c r="C129" s="973"/>
      <c r="D129" s="927"/>
      <c r="E129" s="926"/>
      <c r="F129" s="926"/>
      <c r="G129" s="926"/>
      <c r="H129" s="207"/>
      <c r="I129" s="974"/>
      <c r="J129" s="974"/>
      <c r="K129" s="931"/>
      <c r="L129" s="931"/>
      <c r="M129" s="931"/>
      <c r="N129" s="931"/>
      <c r="O129" s="931"/>
      <c r="P129" s="931"/>
    </row>
    <row r="130" spans="1:26" ht="19.5" hidden="1">
      <c r="A130" s="924"/>
      <c r="B130" s="925"/>
      <c r="C130" s="975" t="s">
        <v>69</v>
      </c>
      <c r="D130" s="927"/>
      <c r="E130" s="926"/>
      <c r="F130" s="926"/>
      <c r="G130" s="928"/>
      <c r="H130" s="205" t="s">
        <v>66</v>
      </c>
      <c r="I130" s="929">
        <f t="shared" ref="I130:J130" ca="1" si="66">I146</f>
        <v>0</v>
      </c>
      <c r="J130" s="929">
        <f t="shared" si="66"/>
        <v>0</v>
      </c>
      <c r="K130" s="930">
        <f t="shared" ref="K130:K131" ca="1" si="67">IF(I130&gt;0,J130*100/I130,0)</f>
        <v>0</v>
      </c>
      <c r="L130" s="931"/>
      <c r="M130" s="931"/>
      <c r="N130" s="931"/>
      <c r="O130" s="931"/>
      <c r="P130" s="931"/>
    </row>
    <row r="131" spans="1:26" ht="19.5" hidden="1">
      <c r="A131" s="924"/>
      <c r="B131" s="925"/>
      <c r="C131" s="975" t="s">
        <v>70</v>
      </c>
      <c r="D131" s="927"/>
      <c r="E131" s="926"/>
      <c r="F131" s="926"/>
      <c r="G131" s="928"/>
      <c r="H131" s="205" t="s">
        <v>35</v>
      </c>
      <c r="I131" s="929">
        <f t="shared" ref="I131:J131" ca="1" si="68">I143</f>
        <v>0</v>
      </c>
      <c r="J131" s="929">
        <f t="shared" ca="1" si="68"/>
        <v>0</v>
      </c>
      <c r="K131" s="930">
        <f t="shared" ca="1" si="67"/>
        <v>0</v>
      </c>
      <c r="L131" s="931"/>
      <c r="M131" s="931"/>
      <c r="N131" s="931"/>
      <c r="O131" s="931"/>
      <c r="P131" s="931"/>
    </row>
    <row r="132" spans="1:26" ht="19.5" hidden="1">
      <c r="A132" s="932"/>
      <c r="B132" s="933"/>
      <c r="C132" s="934" t="s">
        <v>16</v>
      </c>
      <c r="D132" s="935" t="s">
        <v>17</v>
      </c>
      <c r="E132" s="933"/>
      <c r="F132" s="933"/>
      <c r="G132" s="936"/>
      <c r="H132" s="152" t="s">
        <v>12</v>
      </c>
      <c r="I132" s="937"/>
      <c r="J132" s="937"/>
      <c r="K132" s="938"/>
      <c r="L132" s="939">
        <f t="shared" ref="L132:N132" ca="1" si="69">L133+L134</f>
        <v>0</v>
      </c>
      <c r="M132" s="939">
        <f t="shared" ca="1" si="69"/>
        <v>0</v>
      </c>
      <c r="N132" s="939">
        <f t="shared" ca="1" si="69"/>
        <v>0</v>
      </c>
      <c r="O132" s="939">
        <f t="shared" ref="O132:O140" ca="1" si="70">IF(L132&gt;0,N132*100/L132,0)</f>
        <v>0</v>
      </c>
      <c r="P132" s="939">
        <f t="shared" ref="P132:P140" ca="1" si="71">IF(M132&gt;0,N132*100/M132,0)</f>
        <v>0</v>
      </c>
      <c r="Q132" s="818"/>
      <c r="R132" s="818"/>
      <c r="S132" s="818"/>
      <c r="T132" s="818"/>
      <c r="U132" s="818"/>
      <c r="V132" s="818"/>
      <c r="W132" s="818"/>
      <c r="X132" s="818"/>
      <c r="Y132" s="818"/>
      <c r="Z132" s="818"/>
    </row>
    <row r="133" spans="1:26" ht="18.75" hidden="1">
      <c r="A133" s="940"/>
      <c r="B133" s="833"/>
      <c r="C133" s="833"/>
      <c r="D133" s="833"/>
      <c r="E133" s="834" t="s">
        <v>18</v>
      </c>
      <c r="F133" s="833"/>
      <c r="G133" s="941"/>
      <c r="H133" s="158" t="s">
        <v>12</v>
      </c>
      <c r="I133" s="836"/>
      <c r="J133" s="836"/>
      <c r="K133" s="837"/>
      <c r="L133" s="837">
        <f t="shared" ref="L133:N134" si="72">L136+L139</f>
        <v>0</v>
      </c>
      <c r="M133" s="837">
        <f t="shared" si="72"/>
        <v>0</v>
      </c>
      <c r="N133" s="837">
        <f t="shared" si="72"/>
        <v>0</v>
      </c>
      <c r="O133" s="837">
        <f t="shared" si="70"/>
        <v>0</v>
      </c>
      <c r="P133" s="837">
        <f t="shared" si="71"/>
        <v>0</v>
      </c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</row>
    <row r="134" spans="1:26" ht="18.75" hidden="1">
      <c r="A134" s="940"/>
      <c r="B134" s="833"/>
      <c r="C134" s="833"/>
      <c r="D134" s="833"/>
      <c r="E134" s="834" t="s">
        <v>19</v>
      </c>
      <c r="F134" s="833"/>
      <c r="G134" s="941"/>
      <c r="H134" s="158" t="s">
        <v>12</v>
      </c>
      <c r="I134" s="836"/>
      <c r="J134" s="836"/>
      <c r="K134" s="837"/>
      <c r="L134" s="837">
        <f t="shared" ca="1" si="72"/>
        <v>0</v>
      </c>
      <c r="M134" s="837">
        <f t="shared" ca="1" si="72"/>
        <v>0</v>
      </c>
      <c r="N134" s="837">
        <f t="shared" ca="1" si="72"/>
        <v>0</v>
      </c>
      <c r="O134" s="837">
        <f t="shared" ca="1" si="70"/>
        <v>0</v>
      </c>
      <c r="P134" s="837">
        <f t="shared" ca="1" si="71"/>
        <v>0</v>
      </c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</row>
    <row r="135" spans="1:26" ht="18.75" hidden="1">
      <c r="A135" s="942"/>
      <c r="B135" s="827"/>
      <c r="C135" s="943"/>
      <c r="D135" s="828" t="s">
        <v>20</v>
      </c>
      <c r="E135" s="827"/>
      <c r="F135" s="827"/>
      <c r="G135" s="829"/>
      <c r="H135" s="778" t="s">
        <v>12</v>
      </c>
      <c r="I135" s="944"/>
      <c r="J135" s="944"/>
      <c r="K135" s="945"/>
      <c r="L135" s="831">
        <f t="shared" ref="L135:N135" ca="1" si="73">L136+L137</f>
        <v>0</v>
      </c>
      <c r="M135" s="831">
        <f t="shared" ca="1" si="73"/>
        <v>0</v>
      </c>
      <c r="N135" s="831">
        <f t="shared" ca="1" si="73"/>
        <v>0</v>
      </c>
      <c r="O135" s="831">
        <f t="shared" ca="1" si="70"/>
        <v>0</v>
      </c>
      <c r="P135" s="831">
        <f t="shared" ca="1" si="71"/>
        <v>0</v>
      </c>
      <c r="Q135" s="818"/>
      <c r="R135" s="818"/>
      <c r="S135" s="818"/>
      <c r="T135" s="818"/>
      <c r="U135" s="818"/>
      <c r="V135" s="818"/>
      <c r="W135" s="818"/>
      <c r="X135" s="818"/>
      <c r="Y135" s="818"/>
      <c r="Z135" s="818"/>
    </row>
    <row r="136" spans="1:26" ht="19.5" hidden="1">
      <c r="A136" s="940"/>
      <c r="B136" s="833"/>
      <c r="C136" s="946"/>
      <c r="D136" s="833"/>
      <c r="E136" s="834" t="s">
        <v>36</v>
      </c>
      <c r="F136" s="833"/>
      <c r="G136" s="941"/>
      <c r="H136" s="165" t="s">
        <v>12</v>
      </c>
      <c r="I136" s="947"/>
      <c r="J136" s="947"/>
      <c r="K136" s="948"/>
      <c r="L136" s="837">
        <v>0</v>
      </c>
      <c r="M136" s="837">
        <v>0</v>
      </c>
      <c r="N136" s="837">
        <v>0</v>
      </c>
      <c r="O136" s="837">
        <f t="shared" si="70"/>
        <v>0</v>
      </c>
      <c r="P136" s="837">
        <f t="shared" si="71"/>
        <v>0</v>
      </c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</row>
    <row r="137" spans="1:26" ht="19.5" hidden="1">
      <c r="A137" s="940"/>
      <c r="B137" s="833"/>
      <c r="C137" s="946"/>
      <c r="D137" s="833"/>
      <c r="E137" s="834" t="s">
        <v>37</v>
      </c>
      <c r="F137" s="833"/>
      <c r="G137" s="941"/>
      <c r="H137" s="165" t="s">
        <v>12</v>
      </c>
      <c r="I137" s="947"/>
      <c r="J137" s="947"/>
      <c r="K137" s="948"/>
      <c r="L137" s="837">
        <f ca="1">IFERROR(__xludf.DUMMYFUNCTION("IMPORTRANGE(""https://docs.google.com/spreadsheets/d/1MeEWN-I1oV_STSDYn1IFDPWt_1FKiwhDph83XaGc0o0/edit?usp=sharing"",""งบพรบ!BK29"")"),0)</f>
        <v>0</v>
      </c>
      <c r="M137" s="837">
        <f ca="1">IFERROR(__xludf.DUMMYFUNCTION("IMPORTRANGE(""https://docs.google.com/spreadsheets/d/1MeEWN-I1oV_STSDYn1IFDPWt_1FKiwhDph83XaGc0o0/edit?usp=sharing"",""งบพรบ!BP29"")"),0)</f>
        <v>0</v>
      </c>
      <c r="N137" s="837">
        <f ca="1">IFERROR(__xludf.DUMMYFUNCTION("IMPORTRANGE(""https://docs.google.com/spreadsheets/d/1MeEWN-I1oV_STSDYn1IFDPWt_1FKiwhDph83XaGc0o0/edit?usp=sharing"",""งบพรบ!BR29"")"),0)</f>
        <v>0</v>
      </c>
      <c r="O137" s="837">
        <f t="shared" ca="1" si="70"/>
        <v>0</v>
      </c>
      <c r="P137" s="837">
        <f t="shared" ca="1" si="71"/>
        <v>0</v>
      </c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</row>
    <row r="138" spans="1:26" ht="18.75" hidden="1">
      <c r="A138" s="942"/>
      <c r="B138" s="827"/>
      <c r="C138" s="943"/>
      <c r="D138" s="828" t="s">
        <v>21</v>
      </c>
      <c r="E138" s="827"/>
      <c r="F138" s="827"/>
      <c r="G138" s="829"/>
      <c r="H138" s="168" t="s">
        <v>12</v>
      </c>
      <c r="I138" s="944"/>
      <c r="J138" s="944"/>
      <c r="K138" s="945"/>
      <c r="L138" s="831">
        <f t="shared" ref="L138:N138" ca="1" si="74">L139+L140</f>
        <v>0</v>
      </c>
      <c r="M138" s="831">
        <f t="shared" ca="1" si="74"/>
        <v>0</v>
      </c>
      <c r="N138" s="831">
        <f t="shared" ca="1" si="74"/>
        <v>0</v>
      </c>
      <c r="O138" s="831">
        <f t="shared" ca="1" si="70"/>
        <v>0</v>
      </c>
      <c r="P138" s="831">
        <f t="shared" ca="1" si="71"/>
        <v>0</v>
      </c>
      <c r="Q138" s="818"/>
      <c r="R138" s="818"/>
      <c r="S138" s="818"/>
      <c r="T138" s="818"/>
      <c r="U138" s="818"/>
      <c r="V138" s="818"/>
      <c r="W138" s="818"/>
      <c r="X138" s="818"/>
      <c r="Y138" s="818"/>
      <c r="Z138" s="818"/>
    </row>
    <row r="139" spans="1:26" ht="19.5" hidden="1">
      <c r="A139" s="940"/>
      <c r="B139" s="833"/>
      <c r="C139" s="946"/>
      <c r="D139" s="833"/>
      <c r="E139" s="834" t="s">
        <v>18</v>
      </c>
      <c r="F139" s="833"/>
      <c r="G139" s="941"/>
      <c r="H139" s="165" t="s">
        <v>12</v>
      </c>
      <c r="I139" s="947"/>
      <c r="J139" s="947"/>
      <c r="K139" s="948"/>
      <c r="L139" s="837">
        <v>0</v>
      </c>
      <c r="M139" s="837">
        <v>0</v>
      </c>
      <c r="N139" s="837">
        <v>0</v>
      </c>
      <c r="O139" s="837">
        <f t="shared" si="70"/>
        <v>0</v>
      </c>
      <c r="P139" s="837">
        <f t="shared" si="71"/>
        <v>0</v>
      </c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</row>
    <row r="140" spans="1:26" ht="19.5" hidden="1">
      <c r="A140" s="940"/>
      <c r="B140" s="833"/>
      <c r="C140" s="946"/>
      <c r="D140" s="833"/>
      <c r="E140" s="834" t="s">
        <v>19</v>
      </c>
      <c r="F140" s="833"/>
      <c r="G140" s="941"/>
      <c r="H140" s="169" t="s">
        <v>12</v>
      </c>
      <c r="I140" s="947"/>
      <c r="J140" s="947"/>
      <c r="K140" s="948"/>
      <c r="L140" s="837">
        <f ca="1">IFERROR(__xludf.DUMMYFUNCTION("IMPORTRANGE(""https://docs.google.com/spreadsheets/d/1MeEWN-I1oV_STSDYn1IFDPWt_1FKiwhDph83XaGc0o0/edit?usp=sharing"",""งบพรบ!BN29"")"),0)</f>
        <v>0</v>
      </c>
      <c r="M140" s="837">
        <f ca="1">IFERROR(__xludf.DUMMYFUNCTION("IMPORTRANGE(""https://docs.google.com/spreadsheets/d/1MeEWN-I1oV_STSDYn1IFDPWt_1FKiwhDph83XaGc0o0/edit?usp=sharing"",""งบพรบ!BQ29"")"),0)</f>
        <v>0</v>
      </c>
      <c r="N140" s="837">
        <f ca="1">IFERROR(__xludf.DUMMYFUNCTION("IMPORTRANGE(""https://docs.google.com/spreadsheets/d/1MeEWN-I1oV_STSDYn1IFDPWt_1FKiwhDph83XaGc0o0/edit?usp=sharing"",""งบพรบ!BS29"")"),0)</f>
        <v>0</v>
      </c>
      <c r="O140" s="837">
        <f t="shared" ca="1" si="70"/>
        <v>0</v>
      </c>
      <c r="P140" s="837">
        <f t="shared" ca="1" si="71"/>
        <v>0</v>
      </c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</row>
    <row r="141" spans="1:26" ht="19.5" hidden="1">
      <c r="A141" s="949"/>
      <c r="B141" s="950"/>
      <c r="C141" s="934" t="s">
        <v>16</v>
      </c>
      <c r="D141" s="951" t="s">
        <v>38</v>
      </c>
      <c r="E141" s="952"/>
      <c r="F141" s="952"/>
      <c r="G141" s="953"/>
      <c r="H141" s="168"/>
      <c r="I141" s="830"/>
      <c r="J141" s="830"/>
      <c r="K141" s="831"/>
      <c r="L141" s="831"/>
      <c r="M141" s="831"/>
      <c r="N141" s="831"/>
      <c r="O141" s="831"/>
      <c r="P141" s="831"/>
    </row>
    <row r="142" spans="1:26" ht="19.5" hidden="1">
      <c r="A142" s="942"/>
      <c r="B142" s="827"/>
      <c r="C142" s="976"/>
      <c r="D142" s="943" t="s">
        <v>71</v>
      </c>
      <c r="E142" s="828"/>
      <c r="F142" s="827"/>
      <c r="G142" s="977"/>
      <c r="H142" s="168"/>
      <c r="I142" s="830"/>
      <c r="J142" s="959">
        <v>0</v>
      </c>
      <c r="K142" s="831"/>
      <c r="L142" s="831"/>
      <c r="M142" s="831"/>
      <c r="N142" s="831"/>
      <c r="O142" s="831"/>
      <c r="P142" s="831"/>
    </row>
    <row r="143" spans="1:26" ht="19.5" hidden="1">
      <c r="A143" s="942"/>
      <c r="B143" s="827"/>
      <c r="C143" s="976"/>
      <c r="D143" s="943" t="s">
        <v>72</v>
      </c>
      <c r="E143" s="828"/>
      <c r="F143" s="827"/>
      <c r="G143" s="977"/>
      <c r="H143" s="168" t="s">
        <v>35</v>
      </c>
      <c r="I143" s="830">
        <f ca="1">I145</f>
        <v>0</v>
      </c>
      <c r="J143" s="830">
        <f ca="1">IF(AND(J144&gt;=I144,J145&gt;=I145),J145,0)</f>
        <v>0</v>
      </c>
      <c r="K143" s="831">
        <f t="shared" ref="K143:K146" ca="1" si="75">IF(I143&gt;0,J143*100/I143,0)</f>
        <v>0</v>
      </c>
      <c r="L143" s="831"/>
      <c r="M143" s="831"/>
      <c r="N143" s="831"/>
      <c r="O143" s="831"/>
      <c r="P143" s="831"/>
    </row>
    <row r="144" spans="1:26" ht="19.5" hidden="1">
      <c r="A144" s="942"/>
      <c r="B144" s="827"/>
      <c r="C144" s="976"/>
      <c r="D144" s="957"/>
      <c r="E144" s="943" t="s">
        <v>73</v>
      </c>
      <c r="F144" s="827"/>
      <c r="G144" s="977"/>
      <c r="H144" s="168" t="s">
        <v>35</v>
      </c>
      <c r="I144" s="830">
        <f ca="1">IFERROR(__xludf.DUMMYFUNCTION("IMPORTRANGE(""https://docs.google.com/spreadsheets/d/1QqKyyYR6Q21VydFLVH3TRQUabQu_ym0Zz7PgGX0-kHA/edit?usp=sharing"",""แผน!U29"")"),0)</f>
        <v>0</v>
      </c>
      <c r="J144" s="959">
        <v>0</v>
      </c>
      <c r="K144" s="831">
        <f t="shared" ca="1" si="75"/>
        <v>0</v>
      </c>
      <c r="L144" s="831"/>
      <c r="M144" s="831"/>
      <c r="N144" s="831"/>
      <c r="O144" s="831"/>
      <c r="P144" s="831"/>
    </row>
    <row r="145" spans="1:26" ht="19.5" hidden="1">
      <c r="A145" s="942"/>
      <c r="B145" s="827"/>
      <c r="C145" s="976"/>
      <c r="D145" s="957"/>
      <c r="E145" s="943" t="s">
        <v>74</v>
      </c>
      <c r="F145" s="827"/>
      <c r="G145" s="977"/>
      <c r="H145" s="168" t="s">
        <v>35</v>
      </c>
      <c r="I145" s="830">
        <f ca="1">IFERROR(__xludf.DUMMYFUNCTION("IMPORTRANGE(""https://docs.google.com/spreadsheets/d/1QqKyyYR6Q21VydFLVH3TRQUabQu_ym0Zz7PgGX0-kHA/edit?usp=sharing"",""แผน!V29"")"),0)</f>
        <v>0</v>
      </c>
      <c r="J145" s="959">
        <v>0</v>
      </c>
      <c r="K145" s="831">
        <f t="shared" ca="1" si="75"/>
        <v>0</v>
      </c>
      <c r="L145" s="831"/>
      <c r="M145" s="831"/>
      <c r="N145" s="831"/>
      <c r="O145" s="831"/>
      <c r="P145" s="831"/>
    </row>
    <row r="146" spans="1:26" ht="19.5" hidden="1">
      <c r="A146" s="942"/>
      <c r="B146" s="827"/>
      <c r="C146" s="976"/>
      <c r="D146" s="943" t="s">
        <v>75</v>
      </c>
      <c r="E146" s="828"/>
      <c r="F146" s="827"/>
      <c r="G146" s="977"/>
      <c r="H146" s="168" t="s">
        <v>66</v>
      </c>
      <c r="I146" s="830">
        <f ca="1">IFERROR(__xludf.DUMMYFUNCTION("IMPORTRANGE(""https://docs.google.com/spreadsheets/d/1QqKyyYR6Q21VydFLVH3TRQUabQu_ym0Zz7PgGX0-kHA/edit?usp=sharing"",""แผน!W29"")"),0)</f>
        <v>0</v>
      </c>
      <c r="J146" s="959">
        <v>0</v>
      </c>
      <c r="K146" s="831">
        <f t="shared" ca="1" si="75"/>
        <v>0</v>
      </c>
      <c r="L146" s="831"/>
      <c r="M146" s="831"/>
      <c r="N146" s="831"/>
      <c r="O146" s="831"/>
      <c r="P146" s="831"/>
    </row>
    <row r="147" spans="1:26" ht="19.5" hidden="1">
      <c r="A147" s="917" t="s">
        <v>76</v>
      </c>
      <c r="B147" s="918"/>
      <c r="C147" s="969"/>
      <c r="D147" s="918"/>
      <c r="E147" s="918"/>
      <c r="F147" s="918"/>
      <c r="G147" s="918"/>
      <c r="H147" s="970"/>
      <c r="I147" s="971"/>
      <c r="J147" s="971"/>
      <c r="K147" s="972"/>
      <c r="L147" s="923"/>
      <c r="M147" s="923"/>
      <c r="N147" s="923"/>
      <c r="O147" s="923"/>
      <c r="P147" s="923"/>
    </row>
    <row r="148" spans="1:26" ht="19.5" hidden="1">
      <c r="A148" s="978"/>
      <c r="B148" s="925" t="s">
        <v>77</v>
      </c>
      <c r="C148" s="925"/>
      <c r="D148" s="925"/>
      <c r="E148" s="979"/>
      <c r="F148" s="980"/>
      <c r="G148" s="981"/>
      <c r="H148" s="221" t="s">
        <v>35</v>
      </c>
      <c r="I148" s="929">
        <f t="shared" ref="I148:J148" ca="1" si="76">I159</f>
        <v>0</v>
      </c>
      <c r="J148" s="929">
        <f t="shared" si="76"/>
        <v>0</v>
      </c>
      <c r="K148" s="930">
        <f ca="1">IF(I148&gt;0,J148*100/I148,0)</f>
        <v>0</v>
      </c>
      <c r="L148" s="930"/>
      <c r="M148" s="930"/>
      <c r="N148" s="930"/>
      <c r="O148" s="930"/>
      <c r="P148" s="930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32"/>
      <c r="B149" s="933"/>
      <c r="C149" s="934" t="s">
        <v>16</v>
      </c>
      <c r="D149" s="935" t="s">
        <v>17</v>
      </c>
      <c r="E149" s="933"/>
      <c r="F149" s="933"/>
      <c r="G149" s="936"/>
      <c r="H149" s="152" t="s">
        <v>12</v>
      </c>
      <c r="I149" s="937"/>
      <c r="J149" s="937"/>
      <c r="K149" s="938"/>
      <c r="L149" s="939">
        <f t="shared" ref="L149:N149" ca="1" si="77">L150+L151</f>
        <v>0</v>
      </c>
      <c r="M149" s="939">
        <f t="shared" ca="1" si="77"/>
        <v>0</v>
      </c>
      <c r="N149" s="939">
        <f t="shared" ca="1" si="77"/>
        <v>0</v>
      </c>
      <c r="O149" s="939">
        <f t="shared" ref="O149:O157" ca="1" si="78">IF(L149&gt;0,N149*100/L149,0)</f>
        <v>0</v>
      </c>
      <c r="P149" s="939">
        <f t="shared" ref="P149:P157" ca="1" si="79">IF(M149&gt;0,N149*100/M149,0)</f>
        <v>0</v>
      </c>
      <c r="Q149" s="818"/>
      <c r="R149" s="818"/>
      <c r="S149" s="818"/>
      <c r="T149" s="818"/>
      <c r="U149" s="818"/>
      <c r="V149" s="818"/>
      <c r="W149" s="818"/>
      <c r="X149" s="818"/>
      <c r="Y149" s="818"/>
      <c r="Z149" s="818"/>
    </row>
    <row r="150" spans="1:26" ht="18.75" hidden="1">
      <c r="A150" s="940"/>
      <c r="B150" s="833"/>
      <c r="C150" s="833"/>
      <c r="D150" s="833"/>
      <c r="E150" s="834" t="s">
        <v>18</v>
      </c>
      <c r="F150" s="833"/>
      <c r="G150" s="941"/>
      <c r="H150" s="158" t="s">
        <v>12</v>
      </c>
      <c r="I150" s="836"/>
      <c r="J150" s="836"/>
      <c r="K150" s="837"/>
      <c r="L150" s="837">
        <f t="shared" ref="L150:N151" si="80">L153+L156</f>
        <v>0</v>
      </c>
      <c r="M150" s="837">
        <f t="shared" si="80"/>
        <v>0</v>
      </c>
      <c r="N150" s="837">
        <f t="shared" si="80"/>
        <v>0</v>
      </c>
      <c r="O150" s="837">
        <f t="shared" si="78"/>
        <v>0</v>
      </c>
      <c r="P150" s="837">
        <f t="shared" si="79"/>
        <v>0</v>
      </c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</row>
    <row r="151" spans="1:26" ht="18.75" hidden="1">
      <c r="A151" s="940"/>
      <c r="B151" s="833"/>
      <c r="C151" s="833"/>
      <c r="D151" s="833"/>
      <c r="E151" s="834" t="s">
        <v>19</v>
      </c>
      <c r="F151" s="833"/>
      <c r="G151" s="941"/>
      <c r="H151" s="158" t="s">
        <v>12</v>
      </c>
      <c r="I151" s="836"/>
      <c r="J151" s="836"/>
      <c r="K151" s="837"/>
      <c r="L151" s="837">
        <f t="shared" ca="1" si="80"/>
        <v>0</v>
      </c>
      <c r="M151" s="837">
        <f t="shared" ca="1" si="80"/>
        <v>0</v>
      </c>
      <c r="N151" s="837">
        <f t="shared" ca="1" si="80"/>
        <v>0</v>
      </c>
      <c r="O151" s="837">
        <f t="shared" ca="1" si="78"/>
        <v>0</v>
      </c>
      <c r="P151" s="837">
        <f t="shared" ca="1" si="79"/>
        <v>0</v>
      </c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</row>
    <row r="152" spans="1:26" ht="18.75" hidden="1">
      <c r="A152" s="942"/>
      <c r="B152" s="827"/>
      <c r="C152" s="943"/>
      <c r="D152" s="828" t="s">
        <v>20</v>
      </c>
      <c r="E152" s="827"/>
      <c r="F152" s="827"/>
      <c r="G152" s="829"/>
      <c r="H152" s="778" t="s">
        <v>12</v>
      </c>
      <c r="I152" s="944"/>
      <c r="J152" s="944"/>
      <c r="K152" s="945"/>
      <c r="L152" s="831">
        <f t="shared" ref="L152:N152" ca="1" si="81">L153+L154</f>
        <v>0</v>
      </c>
      <c r="M152" s="831">
        <f t="shared" ca="1" si="81"/>
        <v>0</v>
      </c>
      <c r="N152" s="831">
        <f t="shared" ca="1" si="81"/>
        <v>0</v>
      </c>
      <c r="O152" s="831">
        <f t="shared" ca="1" si="78"/>
        <v>0</v>
      </c>
      <c r="P152" s="831">
        <f t="shared" ca="1" si="79"/>
        <v>0</v>
      </c>
      <c r="Q152" s="818"/>
      <c r="R152" s="818"/>
      <c r="S152" s="818"/>
      <c r="T152" s="818"/>
      <c r="U152" s="818"/>
      <c r="V152" s="818"/>
      <c r="W152" s="818"/>
      <c r="X152" s="818"/>
      <c r="Y152" s="818"/>
      <c r="Z152" s="818"/>
    </row>
    <row r="153" spans="1:26" ht="19.5" hidden="1">
      <c r="A153" s="940"/>
      <c r="B153" s="833"/>
      <c r="C153" s="946"/>
      <c r="D153" s="833"/>
      <c r="E153" s="834" t="s">
        <v>36</v>
      </c>
      <c r="F153" s="833"/>
      <c r="G153" s="941"/>
      <c r="H153" s="165" t="s">
        <v>12</v>
      </c>
      <c r="I153" s="947"/>
      <c r="J153" s="947"/>
      <c r="K153" s="948"/>
      <c r="L153" s="837">
        <v>0</v>
      </c>
      <c r="M153" s="837">
        <v>0</v>
      </c>
      <c r="N153" s="837">
        <v>0</v>
      </c>
      <c r="O153" s="837">
        <f t="shared" si="78"/>
        <v>0</v>
      </c>
      <c r="P153" s="837">
        <f t="shared" si="79"/>
        <v>0</v>
      </c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</row>
    <row r="154" spans="1:26" ht="19.5" hidden="1">
      <c r="A154" s="940"/>
      <c r="B154" s="833"/>
      <c r="C154" s="946"/>
      <c r="D154" s="833"/>
      <c r="E154" s="834" t="s">
        <v>37</v>
      </c>
      <c r="F154" s="833"/>
      <c r="G154" s="941"/>
      <c r="H154" s="165" t="s">
        <v>12</v>
      </c>
      <c r="I154" s="947"/>
      <c r="J154" s="947"/>
      <c r="K154" s="948"/>
      <c r="L154" s="837">
        <f ca="1">IFERROR(__xludf.DUMMYFUNCTION("IMPORTRANGE(""https://docs.google.com/spreadsheets/d/1MeEWN-I1oV_STSDYn1IFDPWt_1FKiwhDph83XaGc0o0/edit?usp=sharing"",""งบพรบ!BU29"")"),0)</f>
        <v>0</v>
      </c>
      <c r="M154" s="837">
        <f ca="1">IFERROR(__xludf.DUMMYFUNCTION("IMPORTRANGE(""https://docs.google.com/spreadsheets/d/1MeEWN-I1oV_STSDYn1IFDPWt_1FKiwhDph83XaGc0o0/edit?usp=sharing"",""งบพรบ!BZ29"")"),0)</f>
        <v>0</v>
      </c>
      <c r="N154" s="837">
        <f ca="1">IFERROR(__xludf.DUMMYFUNCTION("IMPORTRANGE(""https://docs.google.com/spreadsheets/d/1MeEWN-I1oV_STSDYn1IFDPWt_1FKiwhDph83XaGc0o0/edit?usp=sharing"",""งบพรบ!CB29"")"),0)</f>
        <v>0</v>
      </c>
      <c r="O154" s="837">
        <f t="shared" ca="1" si="78"/>
        <v>0</v>
      </c>
      <c r="P154" s="837">
        <f t="shared" ca="1" si="79"/>
        <v>0</v>
      </c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</row>
    <row r="155" spans="1:26" ht="18.75" hidden="1">
      <c r="A155" s="942"/>
      <c r="B155" s="827"/>
      <c r="C155" s="943"/>
      <c r="D155" s="828" t="s">
        <v>21</v>
      </c>
      <c r="E155" s="827"/>
      <c r="F155" s="827"/>
      <c r="G155" s="829"/>
      <c r="H155" s="168" t="s">
        <v>12</v>
      </c>
      <c r="I155" s="944"/>
      <c r="J155" s="944"/>
      <c r="K155" s="945"/>
      <c r="L155" s="831">
        <f t="shared" ref="L155:N155" ca="1" si="82">L156+L157</f>
        <v>0</v>
      </c>
      <c r="M155" s="831">
        <f t="shared" ca="1" si="82"/>
        <v>0</v>
      </c>
      <c r="N155" s="831">
        <f t="shared" ca="1" si="82"/>
        <v>0</v>
      </c>
      <c r="O155" s="831">
        <f t="shared" ca="1" si="78"/>
        <v>0</v>
      </c>
      <c r="P155" s="831">
        <f t="shared" ca="1" si="79"/>
        <v>0</v>
      </c>
      <c r="Q155" s="818"/>
      <c r="R155" s="818"/>
      <c r="S155" s="818"/>
      <c r="T155" s="818"/>
      <c r="U155" s="818"/>
      <c r="V155" s="818"/>
      <c r="W155" s="818"/>
      <c r="X155" s="818"/>
      <c r="Y155" s="818"/>
      <c r="Z155" s="818"/>
    </row>
    <row r="156" spans="1:26" ht="19.5" hidden="1">
      <c r="A156" s="940"/>
      <c r="B156" s="833"/>
      <c r="C156" s="946"/>
      <c r="D156" s="833"/>
      <c r="E156" s="834" t="s">
        <v>18</v>
      </c>
      <c r="F156" s="833"/>
      <c r="G156" s="941"/>
      <c r="H156" s="165" t="s">
        <v>12</v>
      </c>
      <c r="I156" s="947"/>
      <c r="J156" s="947"/>
      <c r="K156" s="948"/>
      <c r="L156" s="837">
        <v>0</v>
      </c>
      <c r="M156" s="837">
        <v>0</v>
      </c>
      <c r="N156" s="837">
        <v>0</v>
      </c>
      <c r="O156" s="837">
        <f t="shared" si="78"/>
        <v>0</v>
      </c>
      <c r="P156" s="837">
        <f t="shared" si="79"/>
        <v>0</v>
      </c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</row>
    <row r="157" spans="1:26" ht="19.5" hidden="1">
      <c r="A157" s="940"/>
      <c r="B157" s="833"/>
      <c r="C157" s="946"/>
      <c r="D157" s="833"/>
      <c r="E157" s="834" t="s">
        <v>19</v>
      </c>
      <c r="F157" s="833"/>
      <c r="G157" s="941"/>
      <c r="H157" s="169" t="s">
        <v>12</v>
      </c>
      <c r="I157" s="947"/>
      <c r="J157" s="947"/>
      <c r="K157" s="948"/>
      <c r="L157" s="837">
        <f ca="1">IFERROR(__xludf.DUMMYFUNCTION("IMPORTRANGE(""https://docs.google.com/spreadsheets/d/1MeEWN-I1oV_STSDYn1IFDPWt_1FKiwhDph83XaGc0o0/edit?usp=sharing"",""งบพรบ!BX29"")"),0)</f>
        <v>0</v>
      </c>
      <c r="M157" s="837">
        <f ca="1">IFERROR(__xludf.DUMMYFUNCTION("IMPORTRANGE(""https://docs.google.com/spreadsheets/d/1MeEWN-I1oV_STSDYn1IFDPWt_1FKiwhDph83XaGc0o0/edit?usp=sharing"",""งบพรบ!CA29"")"),0)</f>
        <v>0</v>
      </c>
      <c r="N157" s="837">
        <f ca="1">IFERROR(__xludf.DUMMYFUNCTION("IMPORTRANGE(""https://docs.google.com/spreadsheets/d/1MeEWN-I1oV_STSDYn1IFDPWt_1FKiwhDph83XaGc0o0/edit?usp=sharing"",""งบพรบ!CC29"")"),0)</f>
        <v>0</v>
      </c>
      <c r="O157" s="837">
        <f t="shared" ca="1" si="78"/>
        <v>0</v>
      </c>
      <c r="P157" s="837">
        <f t="shared" ca="1" si="79"/>
        <v>0</v>
      </c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</row>
    <row r="158" spans="1:26" ht="19.5" hidden="1">
      <c r="A158" s="949"/>
      <c r="B158" s="950"/>
      <c r="C158" s="946" t="s">
        <v>16</v>
      </c>
      <c r="D158" s="951" t="s">
        <v>38</v>
      </c>
      <c r="E158" s="952"/>
      <c r="F158" s="952"/>
      <c r="G158" s="953"/>
      <c r="H158" s="168"/>
      <c r="I158" s="830"/>
      <c r="J158" s="830"/>
      <c r="K158" s="831"/>
      <c r="L158" s="831"/>
      <c r="M158" s="831"/>
      <c r="N158" s="831"/>
      <c r="O158" s="831"/>
      <c r="P158" s="831"/>
    </row>
    <row r="159" spans="1:26" ht="19.5" hidden="1">
      <c r="A159" s="942"/>
      <c r="B159" s="827"/>
      <c r="C159" s="976"/>
      <c r="D159" s="943" t="s">
        <v>78</v>
      </c>
      <c r="E159" s="828"/>
      <c r="F159" s="827"/>
      <c r="G159" s="977"/>
      <c r="H159" s="168" t="s">
        <v>35</v>
      </c>
      <c r="I159" s="830">
        <f ca="1">IFERROR(__xludf.DUMMYFUNCTION("IMPORTRANGE(""https://docs.google.com/spreadsheets/d/1QqKyyYR6Q21VydFLVH3TRQUabQu_ym0Zz7PgGX0-kHA/edit?usp=sharing"",""แผน!X29"")"),0)</f>
        <v>0</v>
      </c>
      <c r="J159" s="959">
        <v>0</v>
      </c>
      <c r="K159" s="831">
        <f ca="1">IF(I159&gt;0,J159*100/I159,0)</f>
        <v>0</v>
      </c>
      <c r="L159" s="831"/>
      <c r="M159" s="831"/>
      <c r="N159" s="831"/>
      <c r="O159" s="831"/>
      <c r="P159" s="831"/>
    </row>
    <row r="160" spans="1:26" ht="19.5" hidden="1">
      <c r="A160" s="940"/>
      <c r="B160" s="833"/>
      <c r="C160" s="946"/>
      <c r="D160" s="834" t="s">
        <v>79</v>
      </c>
      <c r="E160" s="982"/>
      <c r="F160" s="833"/>
      <c r="G160" s="941"/>
      <c r="H160" s="169" t="s">
        <v>35</v>
      </c>
      <c r="I160" s="836"/>
      <c r="J160" s="836"/>
      <c r="K160" s="837"/>
      <c r="L160" s="837"/>
      <c r="M160" s="837"/>
      <c r="N160" s="837"/>
      <c r="O160" s="837"/>
      <c r="P160" s="83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983"/>
      <c r="B161" s="984"/>
      <c r="C161" s="985"/>
      <c r="D161" s="986" t="s">
        <v>80</v>
      </c>
      <c r="E161" s="987"/>
      <c r="F161" s="984"/>
      <c r="G161" s="988"/>
      <c r="H161" s="232" t="s">
        <v>35</v>
      </c>
      <c r="I161" s="989"/>
      <c r="J161" s="989"/>
      <c r="K161" s="990"/>
      <c r="L161" s="990"/>
      <c r="M161" s="990"/>
      <c r="N161" s="990"/>
      <c r="O161" s="990"/>
      <c r="P161" s="990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991" t="s">
        <v>81</v>
      </c>
      <c r="B162" s="992"/>
      <c r="C162" s="992"/>
      <c r="D162" s="992"/>
      <c r="E162" s="993"/>
      <c r="F162" s="993"/>
      <c r="G162" s="994"/>
      <c r="H162" s="995"/>
      <c r="I162" s="996"/>
      <c r="J162" s="996"/>
      <c r="K162" s="997"/>
      <c r="L162" s="997"/>
      <c r="M162" s="997"/>
      <c r="N162" s="997"/>
      <c r="O162" s="997"/>
      <c r="P162" s="997"/>
    </row>
    <row r="163" spans="1:26" ht="19.5">
      <c r="A163" s="998" t="s">
        <v>82</v>
      </c>
      <c r="B163" s="999"/>
      <c r="C163" s="999"/>
      <c r="D163" s="1000"/>
      <c r="E163" s="1000"/>
      <c r="F163" s="1000"/>
      <c r="G163" s="1001"/>
      <c r="H163" s="1002"/>
      <c r="I163" s="1003"/>
      <c r="J163" s="1003"/>
      <c r="K163" s="1004"/>
      <c r="L163" s="1004"/>
      <c r="M163" s="1004"/>
      <c r="N163" s="1004"/>
      <c r="O163" s="1004"/>
      <c r="P163" s="1004"/>
    </row>
    <row r="164" spans="1:26" ht="19.5">
      <c r="A164" s="1005"/>
      <c r="B164" s="1006" t="s">
        <v>83</v>
      </c>
      <c r="C164" s="1007"/>
      <c r="D164" s="952"/>
      <c r="E164" s="952"/>
      <c r="F164" s="952"/>
      <c r="G164" s="953"/>
      <c r="H164" s="252" t="s">
        <v>35</v>
      </c>
      <c r="I164" s="1008">
        <f t="shared" ref="I164:J164" ca="1" si="83">I174+I177</f>
        <v>11</v>
      </c>
      <c r="J164" s="1008">
        <f t="shared" si="83"/>
        <v>11</v>
      </c>
      <c r="K164" s="1009">
        <f ca="1">IF(I164&gt;0,J164*100/I164,0)</f>
        <v>100</v>
      </c>
      <c r="L164" s="1010"/>
      <c r="M164" s="1010"/>
      <c r="N164" s="1010"/>
      <c r="O164" s="1010"/>
      <c r="P164" s="1010"/>
    </row>
    <row r="165" spans="1:26" ht="19.5">
      <c r="A165" s="932"/>
      <c r="B165" s="933"/>
      <c r="C165" s="934" t="s">
        <v>16</v>
      </c>
      <c r="D165" s="935" t="s">
        <v>17</v>
      </c>
      <c r="E165" s="933"/>
      <c r="F165" s="933"/>
      <c r="G165" s="936"/>
      <c r="H165" s="152" t="s">
        <v>12</v>
      </c>
      <c r="I165" s="937"/>
      <c r="J165" s="937"/>
      <c r="K165" s="938"/>
      <c r="L165" s="939">
        <f t="shared" ref="L165:N165" ca="1" si="84">L166+L167</f>
        <v>22055</v>
      </c>
      <c r="M165" s="939">
        <f t="shared" ca="1" si="84"/>
        <v>41115</v>
      </c>
      <c r="N165" s="939">
        <f t="shared" ca="1" si="84"/>
        <v>41115</v>
      </c>
      <c r="O165" s="939">
        <f t="shared" ref="O165:O173" ca="1" si="85">IF(L165&gt;0,N165*100/L165,0)</f>
        <v>186.42031285422806</v>
      </c>
      <c r="P165" s="939">
        <f t="shared" ref="P165:P173" ca="1" si="86">IF(M165&gt;0,N165*100/M165,0)</f>
        <v>100</v>
      </c>
      <c r="Q165" s="818"/>
      <c r="R165" s="818"/>
      <c r="S165" s="818"/>
      <c r="T165" s="818"/>
      <c r="U165" s="818"/>
      <c r="V165" s="818"/>
      <c r="W165" s="818"/>
      <c r="X165" s="818"/>
      <c r="Y165" s="818"/>
      <c r="Z165" s="818"/>
    </row>
    <row r="166" spans="1:26" ht="18.75" hidden="1">
      <c r="A166" s="940"/>
      <c r="B166" s="833"/>
      <c r="C166" s="833"/>
      <c r="D166" s="833"/>
      <c r="E166" s="834" t="s">
        <v>18</v>
      </c>
      <c r="F166" s="833"/>
      <c r="G166" s="941"/>
      <c r="H166" s="158" t="s">
        <v>12</v>
      </c>
      <c r="I166" s="836"/>
      <c r="J166" s="836"/>
      <c r="K166" s="837"/>
      <c r="L166" s="837">
        <f t="shared" ref="L166:N167" si="87">L169+L172</f>
        <v>0</v>
      </c>
      <c r="M166" s="837">
        <f t="shared" si="87"/>
        <v>0</v>
      </c>
      <c r="N166" s="837">
        <f t="shared" si="87"/>
        <v>0</v>
      </c>
      <c r="O166" s="837">
        <f t="shared" si="85"/>
        <v>0</v>
      </c>
      <c r="P166" s="837">
        <f t="shared" si="86"/>
        <v>0</v>
      </c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</row>
    <row r="167" spans="1:26" ht="18.75" hidden="1">
      <c r="A167" s="940"/>
      <c r="B167" s="833"/>
      <c r="C167" s="833"/>
      <c r="D167" s="833"/>
      <c r="E167" s="834" t="s">
        <v>19</v>
      </c>
      <c r="F167" s="833"/>
      <c r="G167" s="941"/>
      <c r="H167" s="158" t="s">
        <v>12</v>
      </c>
      <c r="I167" s="836"/>
      <c r="J167" s="836"/>
      <c r="K167" s="837"/>
      <c r="L167" s="837">
        <f t="shared" ca="1" si="87"/>
        <v>22055</v>
      </c>
      <c r="M167" s="837">
        <f t="shared" ca="1" si="87"/>
        <v>41115</v>
      </c>
      <c r="N167" s="837">
        <f t="shared" ca="1" si="87"/>
        <v>41115</v>
      </c>
      <c r="O167" s="837">
        <f t="shared" ca="1" si="85"/>
        <v>186.42031285422806</v>
      </c>
      <c r="P167" s="837">
        <f t="shared" ca="1" si="86"/>
        <v>100</v>
      </c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</row>
    <row r="168" spans="1:26" ht="18.75">
      <c r="A168" s="942"/>
      <c r="B168" s="827"/>
      <c r="C168" s="943"/>
      <c r="D168" s="828" t="s">
        <v>20</v>
      </c>
      <c r="E168" s="827"/>
      <c r="F168" s="827"/>
      <c r="G168" s="829"/>
      <c r="H168" s="778" t="s">
        <v>12</v>
      </c>
      <c r="I168" s="944"/>
      <c r="J168" s="944"/>
      <c r="K168" s="945"/>
      <c r="L168" s="831">
        <f t="shared" ref="L168:N168" ca="1" si="88">L169+L170</f>
        <v>22055</v>
      </c>
      <c r="M168" s="831">
        <f t="shared" ca="1" si="88"/>
        <v>41115</v>
      </c>
      <c r="N168" s="831">
        <f t="shared" ca="1" si="88"/>
        <v>41115</v>
      </c>
      <c r="O168" s="831">
        <f t="shared" ca="1" si="85"/>
        <v>186.42031285422806</v>
      </c>
      <c r="P168" s="831">
        <f t="shared" ca="1" si="86"/>
        <v>100</v>
      </c>
      <c r="Q168" s="818"/>
      <c r="R168" s="818"/>
      <c r="S168" s="818"/>
      <c r="T168" s="818"/>
      <c r="U168" s="818"/>
      <c r="V168" s="818"/>
      <c r="W168" s="818"/>
      <c r="X168" s="818"/>
      <c r="Y168" s="818"/>
      <c r="Z168" s="818"/>
    </row>
    <row r="169" spans="1:26" ht="19.5" hidden="1">
      <c r="A169" s="940"/>
      <c r="B169" s="833"/>
      <c r="C169" s="946"/>
      <c r="D169" s="833"/>
      <c r="E169" s="834" t="s">
        <v>36</v>
      </c>
      <c r="F169" s="833"/>
      <c r="G169" s="941"/>
      <c r="H169" s="165" t="s">
        <v>12</v>
      </c>
      <c r="I169" s="947"/>
      <c r="J169" s="947"/>
      <c r="K169" s="948"/>
      <c r="L169" s="837">
        <v>0</v>
      </c>
      <c r="M169" s="837">
        <v>0</v>
      </c>
      <c r="N169" s="837">
        <v>0</v>
      </c>
      <c r="O169" s="837">
        <f t="shared" si="85"/>
        <v>0</v>
      </c>
      <c r="P169" s="837">
        <f t="shared" si="86"/>
        <v>0</v>
      </c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</row>
    <row r="170" spans="1:26" ht="19.5" hidden="1">
      <c r="A170" s="940"/>
      <c r="B170" s="833"/>
      <c r="C170" s="946"/>
      <c r="D170" s="833"/>
      <c r="E170" s="834" t="s">
        <v>37</v>
      </c>
      <c r="F170" s="833"/>
      <c r="G170" s="941"/>
      <c r="H170" s="165" t="s">
        <v>12</v>
      </c>
      <c r="I170" s="947"/>
      <c r="J170" s="947"/>
      <c r="K170" s="948"/>
      <c r="L170" s="837">
        <f ca="1">IFERROR(__xludf.DUMMYFUNCTION("IMPORTRANGE(""https://docs.google.com/spreadsheets/d/1MeEWN-I1oV_STSDYn1IFDPWt_1FKiwhDph83XaGc0o0/edit?usp=sharing"",""งบพรบ!CE29"")"),22055)</f>
        <v>22055</v>
      </c>
      <c r="M170" s="837">
        <f ca="1">IFERROR(__xludf.DUMMYFUNCTION("IMPORTRANGE(""https://docs.google.com/spreadsheets/d/1MeEWN-I1oV_STSDYn1IFDPWt_1FKiwhDph83XaGc0o0/edit?usp=sharing"",""งบพรบ!CJ29"")"),41115)</f>
        <v>41115</v>
      </c>
      <c r="N170" s="837">
        <f ca="1">IFERROR(__xludf.DUMMYFUNCTION("IMPORTRANGE(""https://docs.google.com/spreadsheets/d/1MeEWN-I1oV_STSDYn1IFDPWt_1FKiwhDph83XaGc0o0/edit?usp=sharing"",""งบพรบ!CL29"")"),41115)</f>
        <v>41115</v>
      </c>
      <c r="O170" s="837">
        <f t="shared" ca="1" si="85"/>
        <v>186.42031285422806</v>
      </c>
      <c r="P170" s="837">
        <f t="shared" ca="1" si="86"/>
        <v>100</v>
      </c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</row>
    <row r="171" spans="1:26" ht="18.75">
      <c r="A171" s="942"/>
      <c r="B171" s="827"/>
      <c r="C171" s="943"/>
      <c r="D171" s="828" t="s">
        <v>21</v>
      </c>
      <c r="E171" s="827"/>
      <c r="F171" s="827"/>
      <c r="G171" s="829"/>
      <c r="H171" s="168" t="s">
        <v>12</v>
      </c>
      <c r="I171" s="944"/>
      <c r="J171" s="944"/>
      <c r="K171" s="945"/>
      <c r="L171" s="831">
        <f t="shared" ref="L171:N171" ca="1" si="89">L172+L173</f>
        <v>0</v>
      </c>
      <c r="M171" s="831">
        <f t="shared" ca="1" si="89"/>
        <v>0</v>
      </c>
      <c r="N171" s="831">
        <f t="shared" ca="1" si="89"/>
        <v>0</v>
      </c>
      <c r="O171" s="831">
        <f t="shared" ca="1" si="85"/>
        <v>0</v>
      </c>
      <c r="P171" s="831">
        <f t="shared" ca="1" si="86"/>
        <v>0</v>
      </c>
      <c r="Q171" s="818"/>
      <c r="R171" s="818"/>
      <c r="S171" s="818"/>
      <c r="T171" s="818"/>
      <c r="U171" s="818"/>
      <c r="V171" s="818"/>
      <c r="W171" s="818"/>
      <c r="X171" s="818"/>
      <c r="Y171" s="818"/>
      <c r="Z171" s="818"/>
    </row>
    <row r="172" spans="1:26" ht="19.5" hidden="1">
      <c r="A172" s="940"/>
      <c r="B172" s="833"/>
      <c r="C172" s="946"/>
      <c r="D172" s="833"/>
      <c r="E172" s="834" t="s">
        <v>18</v>
      </c>
      <c r="F172" s="833"/>
      <c r="G172" s="941"/>
      <c r="H172" s="165" t="s">
        <v>12</v>
      </c>
      <c r="I172" s="947"/>
      <c r="J172" s="947"/>
      <c r="K172" s="948"/>
      <c r="L172" s="837">
        <v>0</v>
      </c>
      <c r="M172" s="837">
        <v>0</v>
      </c>
      <c r="N172" s="837">
        <v>0</v>
      </c>
      <c r="O172" s="837">
        <f t="shared" si="85"/>
        <v>0</v>
      </c>
      <c r="P172" s="837">
        <f t="shared" si="86"/>
        <v>0</v>
      </c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</row>
    <row r="173" spans="1:26" ht="19.5" hidden="1">
      <c r="A173" s="940"/>
      <c r="B173" s="833"/>
      <c r="C173" s="946"/>
      <c r="D173" s="833"/>
      <c r="E173" s="834" t="s">
        <v>19</v>
      </c>
      <c r="F173" s="833"/>
      <c r="G173" s="941"/>
      <c r="H173" s="169" t="s">
        <v>12</v>
      </c>
      <c r="I173" s="947"/>
      <c r="J173" s="947"/>
      <c r="K173" s="948"/>
      <c r="L173" s="837">
        <f ca="1">IFERROR(__xludf.DUMMYFUNCTION("IMPORTRANGE(""https://docs.google.com/spreadsheets/d/1MeEWN-I1oV_STSDYn1IFDPWt_1FKiwhDph83XaGc0o0/edit?usp=sharing"",""งบพรบ!CH29"")"),0)</f>
        <v>0</v>
      </c>
      <c r="M173" s="837">
        <f ca="1">IFERROR(__xludf.DUMMYFUNCTION("IMPORTRANGE(""https://docs.google.com/spreadsheets/d/1MeEWN-I1oV_STSDYn1IFDPWt_1FKiwhDph83XaGc0o0/edit?usp=sharing"",""งบพรบ!CK29"")"),0)</f>
        <v>0</v>
      </c>
      <c r="N173" s="837">
        <f ca="1">IFERROR(__xludf.DUMMYFUNCTION("IMPORTRANGE(""https://docs.google.com/spreadsheets/d/1MeEWN-I1oV_STSDYn1IFDPWt_1FKiwhDph83XaGc0o0/edit?usp=sharing"",""งบพรบ!CM29"")"),0)</f>
        <v>0</v>
      </c>
      <c r="O173" s="837">
        <f t="shared" ca="1" si="85"/>
        <v>0</v>
      </c>
      <c r="P173" s="837">
        <f t="shared" ca="1" si="86"/>
        <v>0</v>
      </c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</row>
    <row r="174" spans="1:26" ht="19.5">
      <c r="A174" s="1011"/>
      <c r="B174" s="1012"/>
      <c r="C174" s="1013" t="s">
        <v>84</v>
      </c>
      <c r="D174" s="1012"/>
      <c r="E174" s="1012"/>
      <c r="F174" s="1012"/>
      <c r="G174" s="1014"/>
      <c r="H174" s="260" t="s">
        <v>35</v>
      </c>
      <c r="I174" s="1015">
        <f t="shared" ref="I174:J174" ca="1" si="90">I176</f>
        <v>11</v>
      </c>
      <c r="J174" s="1015">
        <f t="shared" si="90"/>
        <v>11</v>
      </c>
      <c r="K174" s="1016">
        <f ca="1">IF(I174&gt;0,J174*100/I174,0)</f>
        <v>100</v>
      </c>
      <c r="L174" s="1016"/>
      <c r="M174" s="1016"/>
      <c r="N174" s="1016"/>
      <c r="O174" s="1016"/>
      <c r="P174" s="1016"/>
    </row>
    <row r="175" spans="1:26" ht="19.5">
      <c r="A175" s="949"/>
      <c r="B175" s="950"/>
      <c r="C175" s="946" t="s">
        <v>16</v>
      </c>
      <c r="D175" s="951" t="s">
        <v>38</v>
      </c>
      <c r="E175" s="952"/>
      <c r="F175" s="952"/>
      <c r="G175" s="953"/>
      <c r="H175" s="954"/>
      <c r="I175" s="944"/>
      <c r="J175" s="944"/>
      <c r="K175" s="945"/>
      <c r="L175" s="945"/>
      <c r="M175" s="945"/>
      <c r="N175" s="945"/>
      <c r="O175" s="945"/>
      <c r="P175" s="945"/>
    </row>
    <row r="176" spans="1:26" ht="18.75">
      <c r="A176" s="949"/>
      <c r="B176" s="950"/>
      <c r="C176" s="950"/>
      <c r="D176" s="1017" t="s">
        <v>85</v>
      </c>
      <c r="E176" s="957"/>
      <c r="F176" s="957"/>
      <c r="G176" s="958"/>
      <c r="H176" s="590" t="s">
        <v>35</v>
      </c>
      <c r="I176" s="830">
        <f ca="1">IFERROR(__xludf.DUMMYFUNCTION("IMPORTRANGE(""https://docs.google.com/spreadsheets/d/1QqKyyYR6Q21VydFLVH3TRQUabQu_ym0Zz7PgGX0-kHA/edit?usp=sharing"",""แผน!Y29"")"),11)</f>
        <v>11</v>
      </c>
      <c r="J176" s="959">
        <v>11</v>
      </c>
      <c r="K176" s="945">
        <f ca="1">IF(I176&gt;0,J176*100/I176,0)</f>
        <v>100</v>
      </c>
      <c r="L176" s="945"/>
      <c r="M176" s="945"/>
      <c r="N176" s="945"/>
      <c r="O176" s="945"/>
      <c r="P176" s="945"/>
    </row>
    <row r="177" spans="1:26" ht="19.5" hidden="1">
      <c r="A177" s="1011"/>
      <c r="B177" s="1018"/>
      <c r="C177" s="1019" t="s">
        <v>86</v>
      </c>
      <c r="D177" s="1018"/>
      <c r="E177" s="1012"/>
      <c r="F177" s="1012"/>
      <c r="G177" s="1014"/>
      <c r="H177" s="266" t="s">
        <v>35</v>
      </c>
      <c r="I177" s="1015"/>
      <c r="J177" s="1015">
        <f>J179</f>
        <v>0</v>
      </c>
      <c r="K177" s="1016"/>
      <c r="L177" s="1016"/>
      <c r="M177" s="1016"/>
      <c r="N177" s="1016"/>
      <c r="O177" s="1016"/>
      <c r="P177" s="1016"/>
    </row>
    <row r="178" spans="1:26" ht="19.5" hidden="1">
      <c r="A178" s="949"/>
      <c r="B178" s="950"/>
      <c r="C178" s="946" t="s">
        <v>16</v>
      </c>
      <c r="D178" s="1020" t="s">
        <v>38</v>
      </c>
      <c r="E178" s="952"/>
      <c r="F178" s="952"/>
      <c r="G178" s="953"/>
      <c r="H178" s="954"/>
      <c r="I178" s="944"/>
      <c r="J178" s="944"/>
      <c r="K178" s="945"/>
      <c r="L178" s="945"/>
      <c r="M178" s="945"/>
      <c r="N178" s="945"/>
      <c r="O178" s="945"/>
      <c r="P178" s="945"/>
    </row>
    <row r="179" spans="1:26" ht="18.75" hidden="1">
      <c r="A179" s="949"/>
      <c r="B179" s="950"/>
      <c r="C179" s="950"/>
      <c r="D179" s="1021" t="s">
        <v>87</v>
      </c>
      <c r="E179" s="957"/>
      <c r="F179" s="1022"/>
      <c r="G179" s="958"/>
      <c r="H179" s="43" t="s">
        <v>35</v>
      </c>
      <c r="I179" s="830"/>
      <c r="J179" s="830"/>
      <c r="K179" s="945"/>
      <c r="L179" s="945"/>
      <c r="M179" s="945"/>
      <c r="N179" s="945"/>
      <c r="O179" s="945"/>
      <c r="P179" s="945"/>
    </row>
    <row r="180" spans="1:26" ht="19.5">
      <c r="A180" s="1005"/>
      <c r="B180" s="1006" t="s">
        <v>88</v>
      </c>
      <c r="C180" s="1007"/>
      <c r="D180" s="952"/>
      <c r="E180" s="952"/>
      <c r="F180" s="952"/>
      <c r="G180" s="953"/>
      <c r="H180" s="252" t="s">
        <v>35</v>
      </c>
      <c r="I180" s="1008">
        <f t="shared" ref="I180:J180" ca="1" si="91">I225+I226</f>
        <v>0</v>
      </c>
      <c r="J180" s="1008">
        <f t="shared" si="91"/>
        <v>0</v>
      </c>
      <c r="K180" s="1009">
        <f ca="1">IF(I180&gt;0,J180*100/I180,0)</f>
        <v>0</v>
      </c>
      <c r="L180" s="1010"/>
      <c r="M180" s="1010"/>
      <c r="N180" s="1010"/>
      <c r="O180" s="1010"/>
      <c r="P180" s="1010"/>
    </row>
    <row r="181" spans="1:26" ht="19.5">
      <c r="A181" s="932"/>
      <c r="B181" s="933"/>
      <c r="C181" s="934" t="s">
        <v>16</v>
      </c>
      <c r="D181" s="935" t="s">
        <v>17</v>
      </c>
      <c r="E181" s="933"/>
      <c r="F181" s="933"/>
      <c r="G181" s="936"/>
      <c r="H181" s="152" t="s">
        <v>12</v>
      </c>
      <c r="I181" s="937"/>
      <c r="J181" s="937"/>
      <c r="K181" s="938"/>
      <c r="L181" s="939">
        <f t="shared" ref="L181:N181" ca="1" si="92">L182+L183</f>
        <v>72500</v>
      </c>
      <c r="M181" s="939">
        <f t="shared" ca="1" si="92"/>
        <v>62500</v>
      </c>
      <c r="N181" s="939">
        <f t="shared" ca="1" si="92"/>
        <v>52582.9</v>
      </c>
      <c r="O181" s="939">
        <f t="shared" ref="O181:O189" ca="1" si="93">IF(L181&gt;0,N181*100/L181,0)</f>
        <v>72.528137931034479</v>
      </c>
      <c r="P181" s="939">
        <f t="shared" ref="P181:P189" ca="1" si="94">IF(M181&gt;0,N181*100/M181,0)</f>
        <v>84.132639999999995</v>
      </c>
      <c r="Q181" s="818"/>
      <c r="R181" s="818"/>
      <c r="S181" s="818"/>
      <c r="T181" s="818"/>
      <c r="U181" s="818"/>
      <c r="V181" s="818"/>
      <c r="W181" s="818"/>
      <c r="X181" s="818"/>
      <c r="Y181" s="818"/>
      <c r="Z181" s="818"/>
    </row>
    <row r="182" spans="1:26" ht="18.75" hidden="1">
      <c r="A182" s="940"/>
      <c r="B182" s="833"/>
      <c r="C182" s="833"/>
      <c r="D182" s="833"/>
      <c r="E182" s="834" t="s">
        <v>18</v>
      </c>
      <c r="F182" s="833"/>
      <c r="G182" s="941"/>
      <c r="H182" s="158" t="s">
        <v>12</v>
      </c>
      <c r="I182" s="836"/>
      <c r="J182" s="836"/>
      <c r="K182" s="837"/>
      <c r="L182" s="837">
        <f t="shared" ref="L182:N183" si="95">L185+L188</f>
        <v>0</v>
      </c>
      <c r="M182" s="837">
        <f t="shared" si="95"/>
        <v>0</v>
      </c>
      <c r="N182" s="837">
        <f t="shared" si="95"/>
        <v>0</v>
      </c>
      <c r="O182" s="837">
        <f t="shared" si="93"/>
        <v>0</v>
      </c>
      <c r="P182" s="837">
        <f t="shared" si="94"/>
        <v>0</v>
      </c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</row>
    <row r="183" spans="1:26" ht="18.75" hidden="1">
      <c r="A183" s="940"/>
      <c r="B183" s="833"/>
      <c r="C183" s="833"/>
      <c r="D183" s="833"/>
      <c r="E183" s="834" t="s">
        <v>19</v>
      </c>
      <c r="F183" s="833"/>
      <c r="G183" s="941"/>
      <c r="H183" s="158" t="s">
        <v>12</v>
      </c>
      <c r="I183" s="836"/>
      <c r="J183" s="836"/>
      <c r="K183" s="837"/>
      <c r="L183" s="837">
        <f t="shared" ca="1" si="95"/>
        <v>72500</v>
      </c>
      <c r="M183" s="837">
        <f t="shared" ca="1" si="95"/>
        <v>62500</v>
      </c>
      <c r="N183" s="837">
        <f t="shared" ca="1" si="95"/>
        <v>52582.9</v>
      </c>
      <c r="O183" s="837">
        <f t="shared" ca="1" si="93"/>
        <v>72.528137931034479</v>
      </c>
      <c r="P183" s="837">
        <f t="shared" ca="1" si="94"/>
        <v>84.132639999999995</v>
      </c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</row>
    <row r="184" spans="1:26" ht="18.75">
      <c r="A184" s="942"/>
      <c r="B184" s="827"/>
      <c r="C184" s="943"/>
      <c r="D184" s="828" t="s">
        <v>20</v>
      </c>
      <c r="E184" s="827"/>
      <c r="F184" s="827"/>
      <c r="G184" s="829"/>
      <c r="H184" s="778" t="s">
        <v>12</v>
      </c>
      <c r="I184" s="944"/>
      <c r="J184" s="944"/>
      <c r="K184" s="945"/>
      <c r="L184" s="831">
        <f t="shared" ref="L184:N184" ca="1" si="96">L185+L186</f>
        <v>72500</v>
      </c>
      <c r="M184" s="831">
        <f t="shared" ca="1" si="96"/>
        <v>62500</v>
      </c>
      <c r="N184" s="831">
        <f t="shared" ca="1" si="96"/>
        <v>52582.9</v>
      </c>
      <c r="O184" s="831">
        <f t="shared" ca="1" si="93"/>
        <v>72.528137931034479</v>
      </c>
      <c r="P184" s="831">
        <f t="shared" ca="1" si="94"/>
        <v>84.132639999999995</v>
      </c>
      <c r="Q184" s="818"/>
      <c r="R184" s="818"/>
      <c r="S184" s="818"/>
      <c r="T184" s="818"/>
      <c r="U184" s="818"/>
      <c r="V184" s="818"/>
      <c r="W184" s="818"/>
      <c r="X184" s="818"/>
      <c r="Y184" s="818"/>
      <c r="Z184" s="818"/>
    </row>
    <row r="185" spans="1:26" ht="19.5" hidden="1">
      <c r="A185" s="940"/>
      <c r="B185" s="833"/>
      <c r="C185" s="946"/>
      <c r="D185" s="833"/>
      <c r="E185" s="834" t="s">
        <v>36</v>
      </c>
      <c r="F185" s="833"/>
      <c r="G185" s="941"/>
      <c r="H185" s="165" t="s">
        <v>12</v>
      </c>
      <c r="I185" s="947"/>
      <c r="J185" s="947"/>
      <c r="K185" s="948"/>
      <c r="L185" s="837">
        <v>0</v>
      </c>
      <c r="M185" s="837">
        <v>0</v>
      </c>
      <c r="N185" s="837">
        <v>0</v>
      </c>
      <c r="O185" s="837">
        <f t="shared" si="93"/>
        <v>0</v>
      </c>
      <c r="P185" s="837">
        <f t="shared" si="94"/>
        <v>0</v>
      </c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</row>
    <row r="186" spans="1:26" ht="19.5" hidden="1">
      <c r="A186" s="940"/>
      <c r="B186" s="833"/>
      <c r="C186" s="946"/>
      <c r="D186" s="833"/>
      <c r="E186" s="834" t="s">
        <v>37</v>
      </c>
      <c r="F186" s="833"/>
      <c r="G186" s="941"/>
      <c r="H186" s="165" t="s">
        <v>12</v>
      </c>
      <c r="I186" s="947"/>
      <c r="J186" s="947"/>
      <c r="K186" s="948"/>
      <c r="L186" s="837">
        <f ca="1">IFERROR(__xludf.DUMMYFUNCTION("IMPORTRANGE(""https://docs.google.com/spreadsheets/d/1MeEWN-I1oV_STSDYn1IFDPWt_1FKiwhDph83XaGc0o0/edit?usp=sharing"",""งบพรบ!CO29"")"),72500)</f>
        <v>72500</v>
      </c>
      <c r="M186" s="837">
        <f ca="1">IFERROR(__xludf.DUMMYFUNCTION("IMPORTRANGE(""https://docs.google.com/spreadsheets/d/1MeEWN-I1oV_STSDYn1IFDPWt_1FKiwhDph83XaGc0o0/edit?usp=sharing"",""งบพรบ!CT29"")"),62500)</f>
        <v>62500</v>
      </c>
      <c r="N186" s="837">
        <f ca="1">IFERROR(__xludf.DUMMYFUNCTION("IMPORTRANGE(""https://docs.google.com/spreadsheets/d/1MeEWN-I1oV_STSDYn1IFDPWt_1FKiwhDph83XaGc0o0/edit?usp=sharing"",""งบพรบ!CV29"")"),52582.9)</f>
        <v>52582.9</v>
      </c>
      <c r="O186" s="837">
        <f t="shared" ca="1" si="93"/>
        <v>72.528137931034479</v>
      </c>
      <c r="P186" s="837">
        <f t="shared" ca="1" si="94"/>
        <v>84.132639999999995</v>
      </c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</row>
    <row r="187" spans="1:26" ht="18.75">
      <c r="A187" s="942"/>
      <c r="B187" s="827"/>
      <c r="C187" s="943"/>
      <c r="D187" s="828" t="s">
        <v>21</v>
      </c>
      <c r="E187" s="827"/>
      <c r="F187" s="827"/>
      <c r="G187" s="829"/>
      <c r="H187" s="168" t="s">
        <v>12</v>
      </c>
      <c r="I187" s="944"/>
      <c r="J187" s="944"/>
      <c r="K187" s="945"/>
      <c r="L187" s="831">
        <f t="shared" ref="L187:N187" ca="1" si="97">L188+L189</f>
        <v>0</v>
      </c>
      <c r="M187" s="831">
        <f t="shared" ca="1" si="97"/>
        <v>0</v>
      </c>
      <c r="N187" s="831">
        <f t="shared" ca="1" si="97"/>
        <v>0</v>
      </c>
      <c r="O187" s="831">
        <f t="shared" ca="1" si="93"/>
        <v>0</v>
      </c>
      <c r="P187" s="831">
        <f t="shared" ca="1" si="94"/>
        <v>0</v>
      </c>
      <c r="Q187" s="818"/>
      <c r="R187" s="818"/>
      <c r="S187" s="818"/>
      <c r="T187" s="818"/>
      <c r="U187" s="818"/>
      <c r="V187" s="818"/>
      <c r="W187" s="818"/>
      <c r="X187" s="818"/>
      <c r="Y187" s="818"/>
      <c r="Z187" s="818"/>
    </row>
    <row r="188" spans="1:26" ht="19.5" hidden="1">
      <c r="A188" s="940"/>
      <c r="B188" s="833"/>
      <c r="C188" s="946"/>
      <c r="D188" s="833"/>
      <c r="E188" s="834" t="s">
        <v>18</v>
      </c>
      <c r="F188" s="833"/>
      <c r="G188" s="941"/>
      <c r="H188" s="165" t="s">
        <v>12</v>
      </c>
      <c r="I188" s="947"/>
      <c r="J188" s="947"/>
      <c r="K188" s="948"/>
      <c r="L188" s="837">
        <v>0</v>
      </c>
      <c r="M188" s="837">
        <v>0</v>
      </c>
      <c r="N188" s="837">
        <v>0</v>
      </c>
      <c r="O188" s="837">
        <f t="shared" si="93"/>
        <v>0</v>
      </c>
      <c r="P188" s="837">
        <f t="shared" si="94"/>
        <v>0</v>
      </c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</row>
    <row r="189" spans="1:26" ht="19.5" hidden="1">
      <c r="A189" s="940"/>
      <c r="B189" s="833"/>
      <c r="C189" s="946"/>
      <c r="D189" s="833"/>
      <c r="E189" s="834" t="s">
        <v>19</v>
      </c>
      <c r="F189" s="833"/>
      <c r="G189" s="941"/>
      <c r="H189" s="169" t="s">
        <v>12</v>
      </c>
      <c r="I189" s="947"/>
      <c r="J189" s="947"/>
      <c r="K189" s="948"/>
      <c r="L189" s="837">
        <f ca="1">IFERROR(__xludf.DUMMYFUNCTION("IMPORTRANGE(""https://docs.google.com/spreadsheets/d/1MeEWN-I1oV_STSDYn1IFDPWt_1FKiwhDph83XaGc0o0/edit?usp=sharing"",""งบพรบ!CR29"")"),0)</f>
        <v>0</v>
      </c>
      <c r="M189" s="837">
        <f ca="1">IFERROR(__xludf.DUMMYFUNCTION("IMPORTRANGE(""https://docs.google.com/spreadsheets/d/1MeEWN-I1oV_STSDYn1IFDPWt_1FKiwhDph83XaGc0o0/edit?usp=sharing"",""งบพรบ!CU29"")"),0)</f>
        <v>0</v>
      </c>
      <c r="N189" s="837">
        <f ca="1">IFERROR(__xludf.DUMMYFUNCTION("IMPORTRANGE(""https://docs.google.com/spreadsheets/d/1MeEWN-I1oV_STSDYn1IFDPWt_1FKiwhDph83XaGc0o0/edit?usp=sharing"",""งบพรบ!CW29"")"),0)</f>
        <v>0</v>
      </c>
      <c r="O189" s="837">
        <f t="shared" ca="1" si="93"/>
        <v>0</v>
      </c>
      <c r="P189" s="837">
        <f t="shared" ca="1" si="94"/>
        <v>0</v>
      </c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</row>
    <row r="190" spans="1:26" ht="19.5">
      <c r="A190" s="1011"/>
      <c r="B190" s="1018"/>
      <c r="C190" s="1023" t="s">
        <v>89</v>
      </c>
      <c r="D190" s="1012"/>
      <c r="E190" s="1012"/>
      <c r="F190" s="1012"/>
      <c r="G190" s="1014"/>
      <c r="H190" s="260" t="s">
        <v>90</v>
      </c>
      <c r="I190" s="1024">
        <f t="shared" ref="I190:J190" ca="1" si="98">I193</f>
        <v>4</v>
      </c>
      <c r="J190" s="1024">
        <f t="shared" si="98"/>
        <v>2</v>
      </c>
      <c r="K190" s="1025">
        <f ca="1">IF(I190&gt;0,J190*100/I190,0)</f>
        <v>50</v>
      </c>
      <c r="L190" s="1016"/>
      <c r="M190" s="1016"/>
      <c r="N190" s="1016"/>
      <c r="O190" s="1016"/>
      <c r="P190" s="1016"/>
    </row>
    <row r="191" spans="1:26" ht="19.5">
      <c r="A191" s="932"/>
      <c r="B191" s="933"/>
      <c r="C191" s="934" t="s">
        <v>16</v>
      </c>
      <c r="D191" s="1026" t="s">
        <v>17</v>
      </c>
      <c r="E191" s="933"/>
      <c r="F191" s="933"/>
      <c r="G191" s="936"/>
      <c r="H191" s="275" t="s">
        <v>12</v>
      </c>
      <c r="I191" s="937"/>
      <c r="J191" s="937"/>
      <c r="K191" s="938"/>
      <c r="L191" s="939">
        <f ca="1">IFERROR(__xludf.DUMMYFUNCTION("IMPORTRANGE(""https://docs.google.com/spreadsheets/d/1QqKyyYR6Q21VydFLVH3TRQUabQu_ym0Zz7PgGX0-kHA/edit?usp=sharing"",""แผน!Z29"")"),6000)</f>
        <v>6000</v>
      </c>
      <c r="M191" s="939"/>
      <c r="N191" s="1027">
        <v>1855</v>
      </c>
      <c r="O191" s="939">
        <f ca="1">IF(L191&gt;0,N191*100/L191,0)</f>
        <v>30.916666666666668</v>
      </c>
      <c r="P191" s="939">
        <f>IF(M191&gt;0,N191*100/M191,0)</f>
        <v>0</v>
      </c>
      <c r="Q191" s="818"/>
      <c r="R191" s="818"/>
      <c r="S191" s="818"/>
      <c r="T191" s="818"/>
      <c r="U191" s="818"/>
      <c r="V191" s="818"/>
      <c r="W191" s="818"/>
      <c r="X191" s="818"/>
      <c r="Y191" s="818"/>
      <c r="Z191" s="818"/>
    </row>
    <row r="192" spans="1:26" ht="19.5">
      <c r="A192" s="949"/>
      <c r="B192" s="950"/>
      <c r="C192" s="976" t="s">
        <v>16</v>
      </c>
      <c r="D192" s="951" t="s">
        <v>38</v>
      </c>
      <c r="E192" s="952"/>
      <c r="F192" s="952"/>
      <c r="G192" s="953"/>
      <c r="H192" s="954"/>
      <c r="I192" s="830"/>
      <c r="J192" s="830"/>
      <c r="K192" s="831"/>
      <c r="L192" s="831"/>
      <c r="M192" s="831"/>
      <c r="N192" s="831"/>
      <c r="O192" s="831"/>
      <c r="P192" s="831"/>
      <c r="Q192" s="818"/>
      <c r="R192" s="818"/>
      <c r="S192" s="818"/>
      <c r="T192" s="818"/>
      <c r="U192" s="818"/>
      <c r="V192" s="818"/>
      <c r="W192" s="818"/>
      <c r="X192" s="818"/>
      <c r="Y192" s="818"/>
      <c r="Z192" s="818"/>
    </row>
    <row r="193" spans="1:26" ht="18.75">
      <c r="A193" s="949"/>
      <c r="B193" s="950"/>
      <c r="C193" s="950"/>
      <c r="D193" s="956" t="s">
        <v>91</v>
      </c>
      <c r="E193" s="957"/>
      <c r="F193" s="957"/>
      <c r="G193" s="958"/>
      <c r="H193" s="730" t="s">
        <v>90</v>
      </c>
      <c r="I193" s="830">
        <f ca="1">IFERROR(__xludf.DUMMYFUNCTION("IMPORTRANGE(""https://docs.google.com/spreadsheets/d/1QqKyyYR6Q21VydFLVH3TRQUabQu_ym0Zz7PgGX0-kHA/edit?usp=sharing"",""แผน!AC29"")"),4)</f>
        <v>4</v>
      </c>
      <c r="J193" s="959">
        <v>2</v>
      </c>
      <c r="K193" s="831">
        <f ca="1">IF(I193&gt;0,J193*100/I193,0)</f>
        <v>50</v>
      </c>
      <c r="L193" s="831"/>
      <c r="M193" s="831"/>
      <c r="N193" s="831"/>
      <c r="O193" s="831"/>
      <c r="P193" s="831"/>
      <c r="Q193" s="818"/>
      <c r="R193" s="818"/>
      <c r="S193" s="818"/>
      <c r="T193" s="818"/>
      <c r="U193" s="818"/>
      <c r="V193" s="818"/>
      <c r="W193" s="818"/>
      <c r="X193" s="818"/>
      <c r="Y193" s="818"/>
      <c r="Z193" s="818"/>
    </row>
    <row r="194" spans="1:26" ht="18.75">
      <c r="A194" s="949"/>
      <c r="B194" s="950"/>
      <c r="C194" s="950"/>
      <c r="D194" s="956" t="s">
        <v>92</v>
      </c>
      <c r="E194" s="957"/>
      <c r="F194" s="957"/>
      <c r="G194" s="958"/>
      <c r="H194" s="277" t="s">
        <v>35</v>
      </c>
      <c r="I194" s="830"/>
      <c r="J194" s="830">
        <f>J195+J196</f>
        <v>46</v>
      </c>
      <c r="K194" s="831"/>
      <c r="L194" s="831"/>
      <c r="M194" s="831"/>
      <c r="N194" s="831"/>
      <c r="O194" s="831"/>
      <c r="P194" s="831"/>
      <c r="Q194" s="818"/>
      <c r="R194" s="818"/>
      <c r="S194" s="818"/>
      <c r="T194" s="818"/>
      <c r="U194" s="818"/>
      <c r="V194" s="818"/>
      <c r="W194" s="818"/>
      <c r="X194" s="818"/>
      <c r="Y194" s="818"/>
      <c r="Z194" s="818"/>
    </row>
    <row r="195" spans="1:26" ht="18.75">
      <c r="A195" s="949"/>
      <c r="B195" s="950"/>
      <c r="C195" s="950"/>
      <c r="D195" s="950"/>
      <c r="E195" s="956" t="s">
        <v>93</v>
      </c>
      <c r="F195" s="957"/>
      <c r="G195" s="958"/>
      <c r="H195" s="277" t="s">
        <v>35</v>
      </c>
      <c r="I195" s="830"/>
      <c r="J195" s="959">
        <v>46</v>
      </c>
      <c r="K195" s="831"/>
      <c r="L195" s="831"/>
      <c r="M195" s="831"/>
      <c r="N195" s="831"/>
      <c r="O195" s="831"/>
      <c r="P195" s="831"/>
      <c r="Q195" s="818"/>
      <c r="R195" s="818"/>
      <c r="S195" s="818"/>
      <c r="T195" s="818"/>
      <c r="U195" s="818"/>
      <c r="V195" s="818"/>
      <c r="W195" s="818"/>
      <c r="X195" s="818"/>
      <c r="Y195" s="818"/>
      <c r="Z195" s="818"/>
    </row>
    <row r="196" spans="1:26" ht="18.75">
      <c r="A196" s="949"/>
      <c r="B196" s="950"/>
      <c r="C196" s="950"/>
      <c r="D196" s="950"/>
      <c r="E196" s="956" t="s">
        <v>94</v>
      </c>
      <c r="F196" s="957"/>
      <c r="G196" s="958"/>
      <c r="H196" s="277" t="s">
        <v>35</v>
      </c>
      <c r="I196" s="830"/>
      <c r="J196" s="959">
        <v>0</v>
      </c>
      <c r="K196" s="831"/>
      <c r="L196" s="831"/>
      <c r="M196" s="831"/>
      <c r="N196" s="831"/>
      <c r="O196" s="831"/>
      <c r="P196" s="831"/>
      <c r="Q196" s="818"/>
      <c r="R196" s="818"/>
      <c r="S196" s="818"/>
      <c r="T196" s="818"/>
      <c r="U196" s="818"/>
      <c r="V196" s="818"/>
      <c r="W196" s="818"/>
      <c r="X196" s="818"/>
      <c r="Y196" s="818"/>
      <c r="Z196" s="818"/>
    </row>
    <row r="197" spans="1:26" ht="19.5">
      <c r="A197" s="1011"/>
      <c r="B197" s="1018"/>
      <c r="C197" s="1023" t="s">
        <v>95</v>
      </c>
      <c r="D197" s="1012"/>
      <c r="E197" s="1012"/>
      <c r="F197" s="1012"/>
      <c r="G197" s="1014"/>
      <c r="H197" s="278" t="s">
        <v>96</v>
      </c>
      <c r="I197" s="1024">
        <f t="shared" ref="I197:J197" ca="1" si="99">I204</f>
        <v>3</v>
      </c>
      <c r="J197" s="1024">
        <f t="shared" si="99"/>
        <v>0</v>
      </c>
      <c r="K197" s="1025">
        <f ca="1">IF(I197&gt;0,J197*100/I197,0)</f>
        <v>0</v>
      </c>
      <c r="L197" s="1016"/>
      <c r="M197" s="1016"/>
      <c r="N197" s="1016"/>
      <c r="O197" s="1016"/>
      <c r="P197" s="1016"/>
    </row>
    <row r="198" spans="1:26" ht="19.5">
      <c r="A198" s="932"/>
      <c r="B198" s="933"/>
      <c r="C198" s="934" t="s">
        <v>16</v>
      </c>
      <c r="D198" s="1026" t="s">
        <v>17</v>
      </c>
      <c r="E198" s="933"/>
      <c r="F198" s="933"/>
      <c r="G198" s="936"/>
      <c r="H198" s="275" t="s">
        <v>12</v>
      </c>
      <c r="I198" s="1028"/>
      <c r="J198" s="1028"/>
      <c r="K198" s="1029"/>
      <c r="L198" s="939">
        <f ca="1">L199+L200+L201+L202</f>
        <v>39000</v>
      </c>
      <c r="M198" s="939"/>
      <c r="N198" s="939">
        <f>N199+N200+N201+N202</f>
        <v>36997.9</v>
      </c>
      <c r="O198" s="939">
        <f ca="1">IF(L198&gt;0,N198*100/L198,0)</f>
        <v>94.866410256410262</v>
      </c>
      <c r="P198" s="939">
        <f>IF(M198&gt;0,N198*100/M198,0)</f>
        <v>0</v>
      </c>
      <c r="Q198" s="818"/>
      <c r="R198" s="818"/>
      <c r="S198" s="818"/>
      <c r="T198" s="818"/>
      <c r="U198" s="818"/>
      <c r="V198" s="818"/>
      <c r="W198" s="818"/>
      <c r="X198" s="818"/>
      <c r="Y198" s="818"/>
      <c r="Z198" s="818"/>
    </row>
    <row r="199" spans="1:26" ht="18.75">
      <c r="A199" s="942"/>
      <c r="B199" s="1030"/>
      <c r="C199" s="827"/>
      <c r="D199" s="943" t="s">
        <v>97</v>
      </c>
      <c r="E199" s="827"/>
      <c r="F199" s="827"/>
      <c r="G199" s="829"/>
      <c r="H199" s="778" t="s">
        <v>12</v>
      </c>
      <c r="I199" s="944"/>
      <c r="J199" s="944"/>
      <c r="K199" s="945"/>
      <c r="L199" s="831">
        <f ca="1">IFERROR(__xludf.DUMMYFUNCTION("IMPORTRANGE(""https://docs.google.com/spreadsheets/d/1QqKyyYR6Q21VydFLVH3TRQUabQu_ym0Zz7PgGX0-kHA/edit?usp=sharing"",""แผน!AE29"")"),3000)</f>
        <v>3000</v>
      </c>
      <c r="M199" s="831"/>
      <c r="N199" s="1031">
        <v>3000</v>
      </c>
      <c r="O199" s="831"/>
      <c r="P199" s="831"/>
      <c r="Q199" s="818"/>
      <c r="R199" s="818"/>
      <c r="S199" s="818"/>
      <c r="T199" s="818"/>
      <c r="U199" s="818"/>
      <c r="V199" s="818"/>
      <c r="W199" s="818"/>
      <c r="X199" s="818"/>
      <c r="Y199" s="818"/>
      <c r="Z199" s="818"/>
    </row>
    <row r="200" spans="1:26" ht="19.5">
      <c r="A200" s="1032"/>
      <c r="B200" s="1030"/>
      <c r="C200" s="976"/>
      <c r="D200" s="943" t="s">
        <v>98</v>
      </c>
      <c r="E200" s="827"/>
      <c r="F200" s="827"/>
      <c r="G200" s="829"/>
      <c r="H200" s="590" t="s">
        <v>12</v>
      </c>
      <c r="I200" s="830"/>
      <c r="J200" s="830"/>
      <c r="K200" s="831"/>
      <c r="L200" s="831">
        <f ca="1">IFERROR(__xludf.DUMMYFUNCTION("IMPORTRANGE(""https://docs.google.com/spreadsheets/d/1QqKyyYR6Q21VydFLVH3TRQUabQu_ym0Zz7PgGX0-kHA/edit?usp=sharing"",""แผน!AF29"")"),24000)</f>
        <v>24000</v>
      </c>
      <c r="M200" s="831"/>
      <c r="N200" s="1031">
        <v>24000</v>
      </c>
      <c r="O200" s="831"/>
      <c r="P200" s="831"/>
      <c r="Q200" s="1033"/>
      <c r="R200" s="1033"/>
      <c r="S200" s="1033"/>
      <c r="T200" s="1033"/>
      <c r="U200" s="1033"/>
      <c r="V200" s="1033"/>
      <c r="W200" s="1033"/>
      <c r="X200" s="1033"/>
      <c r="Y200" s="1033"/>
      <c r="Z200" s="1033"/>
    </row>
    <row r="201" spans="1:26" ht="19.5">
      <c r="A201" s="1032"/>
      <c r="B201" s="1030"/>
      <c r="C201" s="976"/>
      <c r="D201" s="943" t="s">
        <v>99</v>
      </c>
      <c r="E201" s="827"/>
      <c r="F201" s="827"/>
      <c r="G201" s="829"/>
      <c r="H201" s="590" t="s">
        <v>12</v>
      </c>
      <c r="I201" s="830"/>
      <c r="J201" s="830"/>
      <c r="K201" s="831"/>
      <c r="L201" s="831">
        <f ca="1">IFERROR(__xludf.DUMMYFUNCTION("IMPORTRANGE(""https://docs.google.com/spreadsheets/d/1QqKyyYR6Q21VydFLVH3TRQUabQu_ym0Zz7PgGX0-kHA/edit?usp=sharing"",""แผน!AG29"")"),12000)</f>
        <v>12000</v>
      </c>
      <c r="M201" s="831"/>
      <c r="N201" s="1031">
        <v>9997.9</v>
      </c>
      <c r="O201" s="831"/>
      <c r="P201" s="831"/>
      <c r="Q201" s="1033"/>
      <c r="R201" s="1033"/>
      <c r="S201" s="1033"/>
      <c r="T201" s="1033"/>
      <c r="U201" s="1033"/>
      <c r="V201" s="1033"/>
      <c r="W201" s="1033"/>
      <c r="X201" s="1033"/>
      <c r="Y201" s="1033"/>
      <c r="Z201" s="1033"/>
    </row>
    <row r="202" spans="1:26" ht="19.5">
      <c r="A202" s="1032"/>
      <c r="B202" s="1030"/>
      <c r="C202" s="976"/>
      <c r="D202" s="943" t="s">
        <v>100</v>
      </c>
      <c r="E202" s="827"/>
      <c r="F202" s="827"/>
      <c r="G202" s="829"/>
      <c r="H202" s="590" t="s">
        <v>12</v>
      </c>
      <c r="I202" s="830"/>
      <c r="J202" s="830"/>
      <c r="K202" s="831"/>
      <c r="L202" s="831">
        <f ca="1">IFERROR(__xludf.DUMMYFUNCTION("IMPORTRANGE(""https://docs.google.com/spreadsheets/d/1QqKyyYR6Q21VydFLVH3TRQUabQu_ym0Zz7PgGX0-kHA/edit?usp=sharing"",""แผน!AH29"")"),0)</f>
        <v>0</v>
      </c>
      <c r="M202" s="831"/>
      <c r="N202" s="1031">
        <v>0</v>
      </c>
      <c r="O202" s="831"/>
      <c r="P202" s="831"/>
      <c r="Q202" s="1033"/>
      <c r="R202" s="1033"/>
      <c r="S202" s="1033"/>
      <c r="T202" s="1033"/>
      <c r="U202" s="1033"/>
      <c r="V202" s="1033"/>
      <c r="W202" s="1033"/>
      <c r="X202" s="1033"/>
      <c r="Y202" s="1033"/>
      <c r="Z202" s="1033"/>
    </row>
    <row r="203" spans="1:26" ht="19.5">
      <c r="A203" s="949"/>
      <c r="B203" s="950"/>
      <c r="C203" s="976" t="s">
        <v>16</v>
      </c>
      <c r="D203" s="951" t="s">
        <v>38</v>
      </c>
      <c r="E203" s="952"/>
      <c r="F203" s="952"/>
      <c r="G203" s="953"/>
      <c r="H203" s="954"/>
      <c r="I203" s="944"/>
      <c r="J203" s="944"/>
      <c r="K203" s="945"/>
      <c r="L203" s="945"/>
      <c r="M203" s="945"/>
      <c r="N203" s="945"/>
      <c r="O203" s="945"/>
      <c r="P203" s="945"/>
      <c r="Q203" s="818"/>
      <c r="R203" s="818"/>
      <c r="S203" s="818"/>
      <c r="T203" s="818"/>
      <c r="U203" s="818"/>
      <c r="V203" s="818"/>
      <c r="W203" s="818"/>
      <c r="X203" s="818"/>
      <c r="Y203" s="818"/>
      <c r="Z203" s="818"/>
    </row>
    <row r="204" spans="1:26" ht="18.75">
      <c r="A204" s="949"/>
      <c r="B204" s="950"/>
      <c r="C204" s="950"/>
      <c r="D204" s="955" t="s">
        <v>101</v>
      </c>
      <c r="E204" s="957"/>
      <c r="F204" s="957"/>
      <c r="G204" s="958"/>
      <c r="H204" s="954" t="s">
        <v>96</v>
      </c>
      <c r="I204" s="830">
        <f ca="1">IFERROR(__xludf.DUMMYFUNCTION("IMPORTRANGE(""https://docs.google.com/spreadsheets/d/1QqKyyYR6Q21VydFLVH3TRQUabQu_ym0Zz7PgGX0-kHA/edit?usp=sharing"",""แผน!AI29"")"),3)</f>
        <v>3</v>
      </c>
      <c r="J204" s="959">
        <v>0</v>
      </c>
      <c r="K204" s="945">
        <f ca="1">IF(I204&gt;0,J204*100/I204,0)</f>
        <v>0</v>
      </c>
      <c r="L204" s="831"/>
      <c r="M204" s="831"/>
      <c r="N204" s="831"/>
      <c r="O204" s="831"/>
      <c r="P204" s="831"/>
      <c r="Q204" s="818"/>
      <c r="R204" s="818"/>
      <c r="S204" s="818"/>
      <c r="T204" s="818"/>
      <c r="U204" s="818"/>
      <c r="V204" s="818"/>
      <c r="W204" s="818"/>
      <c r="X204" s="818"/>
      <c r="Y204" s="818"/>
      <c r="Z204" s="818"/>
    </row>
    <row r="205" spans="1:26" ht="18.75">
      <c r="A205" s="949"/>
      <c r="B205" s="950"/>
      <c r="C205" s="950"/>
      <c r="D205" s="956" t="s">
        <v>59</v>
      </c>
      <c r="E205" s="957"/>
      <c r="F205" s="957"/>
      <c r="G205" s="958"/>
      <c r="H205" s="954"/>
      <c r="I205" s="830"/>
      <c r="J205" s="830"/>
      <c r="K205" s="945"/>
      <c r="L205" s="831"/>
      <c r="M205" s="831"/>
      <c r="N205" s="831"/>
      <c r="O205" s="831"/>
      <c r="P205" s="831"/>
      <c r="Q205" s="818"/>
      <c r="R205" s="818"/>
      <c r="S205" s="818"/>
      <c r="T205" s="818"/>
      <c r="U205" s="818"/>
      <c r="V205" s="818"/>
      <c r="W205" s="818"/>
      <c r="X205" s="818"/>
      <c r="Y205" s="818"/>
      <c r="Z205" s="818"/>
    </row>
    <row r="206" spans="1:26" ht="18.75">
      <c r="A206" s="949"/>
      <c r="B206" s="950"/>
      <c r="C206" s="950"/>
      <c r="D206" s="957"/>
      <c r="E206" s="968" t="s">
        <v>102</v>
      </c>
      <c r="F206" s="1034"/>
      <c r="G206" s="1035"/>
      <c r="H206" s="1036" t="s">
        <v>96</v>
      </c>
      <c r="I206" s="830">
        <v>3</v>
      </c>
      <c r="J206" s="959">
        <v>0</v>
      </c>
      <c r="K206" s="945">
        <f t="shared" ref="K206:K208" si="100">IF(I206&gt;0,J206*100/I206,0)</f>
        <v>0</v>
      </c>
      <c r="L206" s="831"/>
      <c r="M206" s="831"/>
      <c r="N206" s="831"/>
      <c r="O206" s="831"/>
      <c r="P206" s="831"/>
      <c r="Q206" s="818"/>
      <c r="R206" s="818"/>
      <c r="S206" s="818"/>
      <c r="T206" s="818"/>
      <c r="U206" s="818"/>
      <c r="V206" s="818"/>
      <c r="W206" s="818"/>
      <c r="X206" s="818"/>
      <c r="Y206" s="818"/>
      <c r="Z206" s="818"/>
    </row>
    <row r="207" spans="1:26" ht="18.75">
      <c r="A207" s="949"/>
      <c r="B207" s="950"/>
      <c r="C207" s="950"/>
      <c r="D207" s="956"/>
      <c r="E207" s="956" t="s">
        <v>103</v>
      </c>
      <c r="F207" s="957"/>
      <c r="G207" s="957"/>
      <c r="H207" s="290" t="s">
        <v>104</v>
      </c>
      <c r="I207" s="830">
        <v>0</v>
      </c>
      <c r="J207" s="959">
        <v>0</v>
      </c>
      <c r="K207" s="945">
        <f t="shared" si="100"/>
        <v>0</v>
      </c>
      <c r="L207" s="831"/>
      <c r="M207" s="831"/>
      <c r="N207" s="831"/>
      <c r="O207" s="831"/>
      <c r="P207" s="831"/>
      <c r="Q207" s="818"/>
      <c r="R207" s="818"/>
      <c r="S207" s="818"/>
      <c r="T207" s="818"/>
      <c r="U207" s="818"/>
      <c r="V207" s="818"/>
      <c r="W207" s="818"/>
      <c r="X207" s="818"/>
      <c r="Y207" s="818"/>
      <c r="Z207" s="818"/>
    </row>
    <row r="208" spans="1:26" ht="19.5">
      <c r="A208" s="1011"/>
      <c r="B208" s="1018"/>
      <c r="C208" s="1023" t="s">
        <v>105</v>
      </c>
      <c r="D208" s="1012"/>
      <c r="E208" s="1012"/>
      <c r="F208" s="1037"/>
      <c r="G208" s="1014"/>
      <c r="H208" s="278" t="s">
        <v>96</v>
      </c>
      <c r="I208" s="1024">
        <f t="shared" ref="I208:J208" ca="1" si="101">I215</f>
        <v>1</v>
      </c>
      <c r="J208" s="1024">
        <f t="shared" si="101"/>
        <v>1</v>
      </c>
      <c r="K208" s="1025">
        <f t="shared" ca="1" si="100"/>
        <v>100</v>
      </c>
      <c r="L208" s="1016"/>
      <c r="M208" s="1016"/>
      <c r="N208" s="1016"/>
      <c r="O208" s="1016"/>
      <c r="P208" s="1016"/>
    </row>
    <row r="209" spans="1:26" ht="19.5">
      <c r="A209" s="932"/>
      <c r="B209" s="933"/>
      <c r="C209" s="934" t="s">
        <v>16</v>
      </c>
      <c r="D209" s="1026" t="s">
        <v>17</v>
      </c>
      <c r="E209" s="933"/>
      <c r="F209" s="933"/>
      <c r="G209" s="936"/>
      <c r="H209" s="275" t="s">
        <v>12</v>
      </c>
      <c r="I209" s="1028"/>
      <c r="J209" s="1028"/>
      <c r="K209" s="1029"/>
      <c r="L209" s="939">
        <f ca="1">L210+L211+L212</f>
        <v>14000</v>
      </c>
      <c r="M209" s="939"/>
      <c r="N209" s="939">
        <f>N210+N211+N212</f>
        <v>14000</v>
      </c>
      <c r="O209" s="939">
        <f ca="1">IF(L209&gt;0,N209*100/L209,0)</f>
        <v>100</v>
      </c>
      <c r="P209" s="939">
        <f>IF(M209&gt;0,N209*100/M209,0)</f>
        <v>0</v>
      </c>
      <c r="Q209" s="818"/>
      <c r="R209" s="818"/>
      <c r="S209" s="818"/>
      <c r="T209" s="818"/>
      <c r="U209" s="818"/>
      <c r="V209" s="818"/>
      <c r="W209" s="818"/>
      <c r="X209" s="818"/>
      <c r="Y209" s="818"/>
      <c r="Z209" s="818"/>
    </row>
    <row r="210" spans="1:26" ht="18.75">
      <c r="A210" s="942"/>
      <c r="B210" s="1030"/>
      <c r="C210" s="827"/>
      <c r="D210" s="943" t="s">
        <v>97</v>
      </c>
      <c r="E210" s="827"/>
      <c r="F210" s="827"/>
      <c r="G210" s="829"/>
      <c r="H210" s="778" t="s">
        <v>12</v>
      </c>
      <c r="I210" s="944"/>
      <c r="J210" s="944"/>
      <c r="K210" s="945"/>
      <c r="L210" s="831">
        <f ca="1">IFERROR(__xludf.DUMMYFUNCTION("IMPORTRANGE(""https://docs.google.com/spreadsheets/d/1QqKyyYR6Q21VydFLVH3TRQUabQu_ym0Zz7PgGX0-kHA/edit?usp=sharing"",""แผน!AK29"")"),1000)</f>
        <v>1000</v>
      </c>
      <c r="M210" s="831"/>
      <c r="N210" s="1031">
        <v>1000</v>
      </c>
      <c r="O210" s="831"/>
      <c r="P210" s="831"/>
      <c r="Q210" s="818"/>
      <c r="R210" s="818"/>
      <c r="S210" s="818"/>
      <c r="T210" s="818"/>
      <c r="U210" s="818"/>
      <c r="V210" s="818"/>
      <c r="W210" s="818"/>
      <c r="X210" s="818"/>
      <c r="Y210" s="818"/>
      <c r="Z210" s="818"/>
    </row>
    <row r="211" spans="1:26" ht="19.5">
      <c r="A211" s="1032"/>
      <c r="B211" s="1030"/>
      <c r="C211" s="1038"/>
      <c r="D211" s="943" t="s">
        <v>99</v>
      </c>
      <c r="E211" s="827"/>
      <c r="F211" s="827"/>
      <c r="G211" s="829"/>
      <c r="H211" s="778" t="s">
        <v>12</v>
      </c>
      <c r="I211" s="830"/>
      <c r="J211" s="830"/>
      <c r="K211" s="831"/>
      <c r="L211" s="831">
        <f ca="1">IFERROR(__xludf.DUMMYFUNCTION("IMPORTRANGE(""https://docs.google.com/spreadsheets/d/1QqKyyYR6Q21VydFLVH3TRQUabQu_ym0Zz7PgGX0-kHA/edit?usp=sharing"",""แผน!AL29"")"),5000)</f>
        <v>5000</v>
      </c>
      <c r="M211" s="831"/>
      <c r="N211" s="1031">
        <v>5000</v>
      </c>
      <c r="O211" s="831"/>
      <c r="P211" s="831"/>
      <c r="Q211" s="1033"/>
      <c r="R211" s="1033"/>
      <c r="S211" s="1033"/>
      <c r="T211" s="1033"/>
      <c r="U211" s="1033"/>
      <c r="V211" s="1033"/>
      <c r="W211" s="1033"/>
      <c r="X211" s="1033"/>
      <c r="Y211" s="1033"/>
      <c r="Z211" s="1033"/>
    </row>
    <row r="212" spans="1:26" ht="19.5">
      <c r="A212" s="1032"/>
      <c r="B212" s="1030"/>
      <c r="C212" s="1038"/>
      <c r="D212" s="943" t="s">
        <v>98</v>
      </c>
      <c r="E212" s="827"/>
      <c r="F212" s="827"/>
      <c r="G212" s="829"/>
      <c r="H212" s="778" t="s">
        <v>12</v>
      </c>
      <c r="I212" s="830"/>
      <c r="J212" s="830"/>
      <c r="K212" s="831"/>
      <c r="L212" s="831">
        <f ca="1">IFERROR(__xludf.DUMMYFUNCTION("IMPORTRANGE(""https://docs.google.com/spreadsheets/d/1QqKyyYR6Q21VydFLVH3TRQUabQu_ym0Zz7PgGX0-kHA/edit?usp=sharing"",""แผน!AM29"")"),8000)</f>
        <v>8000</v>
      </c>
      <c r="M212" s="831"/>
      <c r="N212" s="1031">
        <v>8000</v>
      </c>
      <c r="O212" s="831"/>
      <c r="P212" s="831"/>
      <c r="Q212" s="1033"/>
      <c r="R212" s="1033"/>
      <c r="S212" s="1033"/>
      <c r="T212" s="1033"/>
      <c r="U212" s="1033"/>
      <c r="V212" s="1033"/>
      <c r="W212" s="1033"/>
      <c r="X212" s="1033"/>
      <c r="Y212" s="1033"/>
      <c r="Z212" s="1033"/>
    </row>
    <row r="213" spans="1:26" ht="19.5">
      <c r="A213" s="949"/>
      <c r="B213" s="950"/>
      <c r="C213" s="1038" t="s">
        <v>16</v>
      </c>
      <c r="D213" s="951" t="s">
        <v>38</v>
      </c>
      <c r="E213" s="952"/>
      <c r="F213" s="952"/>
      <c r="G213" s="953"/>
      <c r="H213" s="954"/>
      <c r="I213" s="944"/>
      <c r="J213" s="830"/>
      <c r="K213" s="831"/>
      <c r="L213" s="831"/>
      <c r="M213" s="831"/>
      <c r="N213" s="831"/>
      <c r="O213" s="945"/>
      <c r="P213" s="945"/>
      <c r="Q213" s="818"/>
      <c r="R213" s="818"/>
      <c r="S213" s="818"/>
      <c r="T213" s="818"/>
      <c r="U213" s="818"/>
      <c r="V213" s="818"/>
      <c r="W213" s="818"/>
      <c r="X213" s="818"/>
      <c r="Y213" s="818"/>
      <c r="Z213" s="818"/>
    </row>
    <row r="214" spans="1:26" ht="18.75">
      <c r="A214" s="949"/>
      <c r="B214" s="950"/>
      <c r="C214" s="950"/>
      <c r="D214" s="955" t="s">
        <v>106</v>
      </c>
      <c r="E214" s="957"/>
      <c r="F214" s="957"/>
      <c r="G214" s="958"/>
      <c r="H214" s="954" t="s">
        <v>96</v>
      </c>
      <c r="I214" s="830">
        <f ca="1">IFERROR(__xludf.DUMMYFUNCTION("IMPORTRANGE(""https://docs.google.com/spreadsheets/d/1QqKyyYR6Q21VydFLVH3TRQUabQu_ym0Zz7PgGX0-kHA/edit?usp=sharing"",""แผน!AN29"")"),1)</f>
        <v>1</v>
      </c>
      <c r="J214" s="959">
        <v>1</v>
      </c>
      <c r="K214" s="831">
        <f t="shared" ref="K214:K216" ca="1" si="102">IF(I214&gt;0,J214*100/I214,0)</f>
        <v>100</v>
      </c>
      <c r="L214" s="831"/>
      <c r="M214" s="831"/>
      <c r="N214" s="831"/>
      <c r="O214" s="831"/>
      <c r="P214" s="831"/>
      <c r="Q214" s="818"/>
      <c r="R214" s="818"/>
      <c r="S214" s="818"/>
      <c r="T214" s="818"/>
      <c r="U214" s="818"/>
      <c r="V214" s="818"/>
      <c r="W214" s="818"/>
      <c r="X214" s="818"/>
      <c r="Y214" s="818"/>
      <c r="Z214" s="818"/>
    </row>
    <row r="215" spans="1:26" ht="18.75">
      <c r="A215" s="949"/>
      <c r="B215" s="950"/>
      <c r="C215" s="950"/>
      <c r="D215" s="955" t="s">
        <v>107</v>
      </c>
      <c r="E215" s="957"/>
      <c r="F215" s="957"/>
      <c r="G215" s="958"/>
      <c r="H215" s="954" t="s">
        <v>96</v>
      </c>
      <c r="I215" s="830">
        <f ca="1">IFERROR(__xludf.DUMMYFUNCTION("IMPORTRANGE(""https://docs.google.com/spreadsheets/d/1QqKyyYR6Q21VydFLVH3TRQUabQu_ym0Zz7PgGX0-kHA/edit?usp=sharing"",""แผน!AN29"")"),1)</f>
        <v>1</v>
      </c>
      <c r="J215" s="959">
        <v>1</v>
      </c>
      <c r="K215" s="831">
        <f t="shared" ca="1" si="102"/>
        <v>100</v>
      </c>
      <c r="L215" s="831"/>
      <c r="M215" s="831"/>
      <c r="N215" s="831"/>
      <c r="O215" s="831"/>
      <c r="P215" s="831"/>
      <c r="Q215" s="818"/>
      <c r="R215" s="818"/>
      <c r="S215" s="818"/>
      <c r="T215" s="818"/>
      <c r="U215" s="818"/>
      <c r="V215" s="818"/>
      <c r="W215" s="818"/>
      <c r="X215" s="818"/>
      <c r="Y215" s="818"/>
      <c r="Z215" s="818"/>
    </row>
    <row r="216" spans="1:26" ht="19.5">
      <c r="A216" s="1011"/>
      <c r="B216" s="1018"/>
      <c r="C216" s="1023" t="s">
        <v>108</v>
      </c>
      <c r="D216" s="1012"/>
      <c r="E216" s="1012"/>
      <c r="F216" s="1037"/>
      <c r="G216" s="1014"/>
      <c r="H216" s="260" t="s">
        <v>109</v>
      </c>
      <c r="I216" s="1024">
        <f t="shared" ref="I216:J216" ca="1" si="103">I224</f>
        <v>30000</v>
      </c>
      <c r="J216" s="1024">
        <f t="shared" si="103"/>
        <v>0</v>
      </c>
      <c r="K216" s="1025">
        <f t="shared" ca="1" si="102"/>
        <v>0</v>
      </c>
      <c r="L216" s="1016"/>
      <c r="M216" s="1016"/>
      <c r="N216" s="1016"/>
      <c r="O216" s="1016"/>
      <c r="P216" s="1016"/>
    </row>
    <row r="217" spans="1:26" ht="19.5">
      <c r="A217" s="932"/>
      <c r="B217" s="933"/>
      <c r="C217" s="934" t="s">
        <v>16</v>
      </c>
      <c r="D217" s="1026" t="s">
        <v>17</v>
      </c>
      <c r="E217" s="933"/>
      <c r="F217" s="933"/>
      <c r="G217" s="936"/>
      <c r="H217" s="275" t="s">
        <v>12</v>
      </c>
      <c r="I217" s="1028"/>
      <c r="J217" s="1028"/>
      <c r="K217" s="1029"/>
      <c r="L217" s="939">
        <f ca="1">L218+L219+L220</f>
        <v>13500</v>
      </c>
      <c r="M217" s="939"/>
      <c r="N217" s="939">
        <f>N218+N219+N220</f>
        <v>0</v>
      </c>
      <c r="O217" s="939">
        <f ca="1">IF(L217&gt;0,N217*100/L217,0)</f>
        <v>0</v>
      </c>
      <c r="P217" s="939">
        <f>IF(M217&gt;0,N217*100/M217,0)</f>
        <v>0</v>
      </c>
      <c r="Q217" s="818"/>
      <c r="R217" s="818"/>
      <c r="S217" s="818"/>
      <c r="T217" s="818"/>
      <c r="U217" s="818"/>
      <c r="V217" s="818"/>
      <c r="W217" s="818"/>
      <c r="X217" s="818"/>
      <c r="Y217" s="818"/>
      <c r="Z217" s="818"/>
    </row>
    <row r="218" spans="1:26" ht="18.75">
      <c r="A218" s="942"/>
      <c r="B218" s="1030"/>
      <c r="C218" s="827"/>
      <c r="D218" s="943" t="s">
        <v>97</v>
      </c>
      <c r="E218" s="827"/>
      <c r="F218" s="827"/>
      <c r="G218" s="829"/>
      <c r="H218" s="778" t="s">
        <v>12</v>
      </c>
      <c r="I218" s="944"/>
      <c r="J218" s="944"/>
      <c r="K218" s="945"/>
      <c r="L218" s="831">
        <f ca="1">IFERROR(__xludf.DUMMYFUNCTION("IMPORTRANGE(""https://docs.google.com/spreadsheets/d/1QqKyyYR6Q21VydFLVH3TRQUabQu_ym0Zz7PgGX0-kHA/edit?usp=sharing"",""แผน!AP29"")"),5000)</f>
        <v>5000</v>
      </c>
      <c r="M218" s="831"/>
      <c r="N218" s="1031">
        <v>0</v>
      </c>
      <c r="O218" s="831"/>
      <c r="P218" s="831"/>
      <c r="Q218" s="818"/>
      <c r="R218" s="818"/>
      <c r="S218" s="818"/>
      <c r="T218" s="818"/>
      <c r="U218" s="818"/>
      <c r="V218" s="818"/>
      <c r="W218" s="818"/>
      <c r="X218" s="818"/>
      <c r="Y218" s="818"/>
      <c r="Z218" s="818"/>
    </row>
    <row r="219" spans="1:26" ht="19.5">
      <c r="A219" s="1032"/>
      <c r="B219" s="1030"/>
      <c r="C219" s="1038"/>
      <c r="D219" s="943" t="s">
        <v>110</v>
      </c>
      <c r="E219" s="827"/>
      <c r="F219" s="827"/>
      <c r="G219" s="829"/>
      <c r="H219" s="778" t="s">
        <v>12</v>
      </c>
      <c r="I219" s="830"/>
      <c r="J219" s="830"/>
      <c r="K219" s="831"/>
      <c r="L219" s="831">
        <f ca="1">IFERROR(__xludf.DUMMYFUNCTION("IMPORTRANGE(""https://docs.google.com/spreadsheets/d/1QqKyyYR6Q21VydFLVH3TRQUabQu_ym0Zz7PgGX0-kHA/edit?usp=sharing"",""แผน!AQ29"")"),8500)</f>
        <v>8500</v>
      </c>
      <c r="M219" s="831"/>
      <c r="N219" s="1031">
        <v>0</v>
      </c>
      <c r="O219" s="831"/>
      <c r="P219" s="831"/>
      <c r="Q219" s="1033"/>
      <c r="R219" s="1033"/>
      <c r="S219" s="1033"/>
      <c r="T219" s="1033"/>
      <c r="U219" s="1033"/>
      <c r="V219" s="1033"/>
      <c r="W219" s="1033"/>
      <c r="X219" s="1033"/>
      <c r="Y219" s="1033"/>
      <c r="Z219" s="1033"/>
    </row>
    <row r="220" spans="1:26" ht="19.5">
      <c r="A220" s="1032"/>
      <c r="B220" s="1030"/>
      <c r="C220" s="1038"/>
      <c r="D220" s="943" t="s">
        <v>98</v>
      </c>
      <c r="E220" s="827"/>
      <c r="F220" s="827"/>
      <c r="G220" s="829"/>
      <c r="H220" s="778" t="s">
        <v>12</v>
      </c>
      <c r="I220" s="830"/>
      <c r="J220" s="830"/>
      <c r="K220" s="831"/>
      <c r="L220" s="831">
        <f ca="1">IFERROR(__xludf.DUMMYFUNCTION("IMPORTRANGE(""https://docs.google.com/spreadsheets/d/1QqKyyYR6Q21VydFLVH3TRQUabQu_ym0Zz7PgGX0-kHA/edit?usp=sharing"",""แผน!AR29"")"),0)</f>
        <v>0</v>
      </c>
      <c r="M220" s="831"/>
      <c r="N220" s="1031">
        <v>0</v>
      </c>
      <c r="O220" s="831"/>
      <c r="P220" s="831"/>
      <c r="Q220" s="1033"/>
      <c r="R220" s="1033"/>
      <c r="S220" s="1033"/>
      <c r="T220" s="1033"/>
      <c r="U220" s="1033"/>
      <c r="V220" s="1033"/>
      <c r="W220" s="1033"/>
      <c r="X220" s="1033"/>
      <c r="Y220" s="1033"/>
      <c r="Z220" s="1033"/>
    </row>
    <row r="221" spans="1:26" ht="19.5">
      <c r="A221" s="949"/>
      <c r="B221" s="950"/>
      <c r="C221" s="1038" t="s">
        <v>16</v>
      </c>
      <c r="D221" s="951" t="s">
        <v>38</v>
      </c>
      <c r="E221" s="952"/>
      <c r="F221" s="952"/>
      <c r="G221" s="953"/>
      <c r="H221" s="954"/>
      <c r="I221" s="944"/>
      <c r="J221" s="944"/>
      <c r="K221" s="945"/>
      <c r="L221" s="945"/>
      <c r="M221" s="945"/>
      <c r="N221" s="945"/>
      <c r="O221" s="945"/>
      <c r="P221" s="945"/>
      <c r="Q221" s="818"/>
      <c r="R221" s="818"/>
      <c r="S221" s="818"/>
      <c r="T221" s="818"/>
      <c r="U221" s="818"/>
      <c r="V221" s="818"/>
      <c r="W221" s="818"/>
      <c r="X221" s="818"/>
      <c r="Y221" s="818"/>
      <c r="Z221" s="818"/>
    </row>
    <row r="222" spans="1:26" ht="18.75">
      <c r="A222" s="949"/>
      <c r="B222" s="950"/>
      <c r="C222" s="950"/>
      <c r="D222" s="943" t="s">
        <v>111</v>
      </c>
      <c r="E222" s="957"/>
      <c r="F222" s="957"/>
      <c r="G222" s="958"/>
      <c r="H222" s="954"/>
      <c r="I222" s="830"/>
      <c r="J222" s="830"/>
      <c r="K222" s="945"/>
      <c r="L222" s="945"/>
      <c r="M222" s="945"/>
      <c r="N222" s="945"/>
      <c r="O222" s="945"/>
      <c r="P222" s="945"/>
      <c r="Q222" s="818"/>
      <c r="R222" s="818"/>
      <c r="S222" s="818"/>
      <c r="T222" s="818"/>
      <c r="U222" s="818"/>
      <c r="V222" s="818"/>
      <c r="W222" s="818"/>
      <c r="X222" s="818"/>
      <c r="Y222" s="818"/>
      <c r="Z222" s="818"/>
    </row>
    <row r="223" spans="1:26" ht="18.75">
      <c r="A223" s="949"/>
      <c r="B223" s="950"/>
      <c r="C223" s="950"/>
      <c r="D223" s="950"/>
      <c r="E223" s="955" t="s">
        <v>112</v>
      </c>
      <c r="F223" s="957"/>
      <c r="G223" s="958"/>
      <c r="H223" s="730" t="s">
        <v>109</v>
      </c>
      <c r="I223" s="830">
        <f ca="1">IFERROR(__xludf.DUMMYFUNCTION("IMPORTRANGE(""https://docs.google.com/spreadsheets/d/1QqKyyYR6Q21VydFLVH3TRQUabQu_ym0Zz7PgGX0-kHA/edit?usp=sharing"",""แผน!AT29"")"),30000)</f>
        <v>30000</v>
      </c>
      <c r="J223" s="959">
        <v>0</v>
      </c>
      <c r="K223" s="945">
        <f t="shared" ref="K223:K226" ca="1" si="104">IF(I223&gt;0,J223*100/I223,0)</f>
        <v>0</v>
      </c>
      <c r="L223" s="945"/>
      <c r="M223" s="945"/>
      <c r="N223" s="945"/>
      <c r="O223" s="945"/>
      <c r="P223" s="945"/>
      <c r="Q223" s="818"/>
      <c r="R223" s="818"/>
      <c r="S223" s="818"/>
      <c r="T223" s="818"/>
      <c r="U223" s="818"/>
      <c r="V223" s="818"/>
      <c r="W223" s="818"/>
      <c r="X223" s="818"/>
      <c r="Y223" s="818"/>
      <c r="Z223" s="818"/>
    </row>
    <row r="224" spans="1:26" ht="18.75">
      <c r="A224" s="949"/>
      <c r="B224" s="950"/>
      <c r="C224" s="950"/>
      <c r="D224" s="950"/>
      <c r="E224" s="955" t="s">
        <v>113</v>
      </c>
      <c r="F224" s="957"/>
      <c r="G224" s="958"/>
      <c r="H224" s="730" t="s">
        <v>109</v>
      </c>
      <c r="I224" s="830">
        <f ca="1">IFERROR(__xludf.DUMMYFUNCTION("IMPORTRANGE(""https://docs.google.com/spreadsheets/d/1QqKyyYR6Q21VydFLVH3TRQUabQu_ym0Zz7PgGX0-kHA/edit?usp=sharing"",""แผน!AT29"")"),30000)</f>
        <v>30000</v>
      </c>
      <c r="J224" s="959">
        <v>0</v>
      </c>
      <c r="K224" s="945">
        <f t="shared" ca="1" si="104"/>
        <v>0</v>
      </c>
      <c r="L224" s="831"/>
      <c r="M224" s="831"/>
      <c r="N224" s="831"/>
      <c r="O224" s="831"/>
      <c r="P224" s="831"/>
      <c r="Q224" s="818"/>
      <c r="R224" s="818"/>
      <c r="S224" s="818"/>
      <c r="T224" s="818"/>
      <c r="U224" s="818"/>
      <c r="V224" s="818"/>
      <c r="W224" s="818"/>
      <c r="X224" s="818"/>
      <c r="Y224" s="818"/>
      <c r="Z224" s="818"/>
    </row>
    <row r="225" spans="1:26" ht="18.75">
      <c r="A225" s="949"/>
      <c r="B225" s="950"/>
      <c r="C225" s="950"/>
      <c r="D225" s="943" t="s">
        <v>114</v>
      </c>
      <c r="E225" s="957"/>
      <c r="F225" s="957"/>
      <c r="G225" s="958"/>
      <c r="H225" s="730" t="s">
        <v>35</v>
      </c>
      <c r="I225" s="830">
        <f ca="1">IFERROR(__xludf.DUMMYFUNCTION("IMPORTRANGE(""https://docs.google.com/spreadsheets/d/1QqKyyYR6Q21VydFLVH3TRQUabQu_ym0Zz7PgGX0-kHA/edit?usp=sharing"",""แผน!AS29"")"),0)</f>
        <v>0</v>
      </c>
      <c r="J225" s="959">
        <v>0</v>
      </c>
      <c r="K225" s="945">
        <f t="shared" ca="1" si="104"/>
        <v>0</v>
      </c>
      <c r="L225" s="831"/>
      <c r="M225" s="831"/>
      <c r="N225" s="831"/>
      <c r="O225" s="831"/>
      <c r="P225" s="831"/>
      <c r="Q225" s="818"/>
      <c r="R225" s="818"/>
      <c r="S225" s="818"/>
      <c r="T225" s="818"/>
      <c r="U225" s="818"/>
      <c r="V225" s="818"/>
      <c r="W225" s="818"/>
      <c r="X225" s="818"/>
      <c r="Y225" s="818"/>
      <c r="Z225" s="818"/>
    </row>
    <row r="226" spans="1:26" ht="19.5" hidden="1">
      <c r="A226" s="1011"/>
      <c r="B226" s="1018"/>
      <c r="C226" s="1039" t="s">
        <v>115</v>
      </c>
      <c r="D226" s="1012"/>
      <c r="E226" s="1012"/>
      <c r="F226" s="1012"/>
      <c r="G226" s="1014"/>
      <c r="H226" s="266" t="s">
        <v>35</v>
      </c>
      <c r="I226" s="1040">
        <f t="shared" ref="I226:J226" ca="1" si="105">I237+I248</f>
        <v>0</v>
      </c>
      <c r="J226" s="1040">
        <f t="shared" si="105"/>
        <v>0</v>
      </c>
      <c r="K226" s="1041">
        <f t="shared" ca="1" si="104"/>
        <v>0</v>
      </c>
      <c r="L226" s="1016"/>
      <c r="M226" s="1016"/>
      <c r="N226" s="1016"/>
      <c r="O226" s="1016"/>
      <c r="P226" s="1016"/>
    </row>
    <row r="227" spans="1:26" ht="19.5" hidden="1">
      <c r="A227" s="1042"/>
      <c r="B227" s="1043"/>
      <c r="C227" s="1044" t="s">
        <v>16</v>
      </c>
      <c r="D227" s="1045" t="s">
        <v>17</v>
      </c>
      <c r="E227" s="1043"/>
      <c r="F227" s="1043"/>
      <c r="G227" s="1046"/>
      <c r="H227" s="1047" t="s">
        <v>12</v>
      </c>
      <c r="I227" s="1048"/>
      <c r="J227" s="1048"/>
      <c r="K227" s="1049"/>
      <c r="L227" s="1050">
        <f t="shared" ref="L227:L231" ca="1" si="106">L238+L249</f>
        <v>0</v>
      </c>
      <c r="M227" s="1050"/>
      <c r="N227" s="1050">
        <f t="shared" ref="N227:N231" si="107">N238+N249</f>
        <v>0</v>
      </c>
      <c r="O227" s="1051"/>
      <c r="P227" s="1051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</row>
    <row r="228" spans="1:26" ht="18.75" hidden="1">
      <c r="A228" s="940"/>
      <c r="B228" s="1052"/>
      <c r="C228" s="833"/>
      <c r="D228" s="834" t="s">
        <v>97</v>
      </c>
      <c r="E228" s="833"/>
      <c r="F228" s="833"/>
      <c r="G228" s="835"/>
      <c r="H228" s="165" t="s">
        <v>12</v>
      </c>
      <c r="I228" s="947"/>
      <c r="J228" s="947"/>
      <c r="K228" s="948"/>
      <c r="L228" s="837">
        <f t="shared" ca="1" si="106"/>
        <v>0</v>
      </c>
      <c r="M228" s="837"/>
      <c r="N228" s="837">
        <f t="shared" si="107"/>
        <v>0</v>
      </c>
      <c r="O228" s="837"/>
      <c r="P228" s="837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</row>
    <row r="229" spans="1:26" ht="19.5" hidden="1">
      <c r="A229" s="1053"/>
      <c r="B229" s="1052"/>
      <c r="C229" s="1054"/>
      <c r="D229" s="834" t="s">
        <v>98</v>
      </c>
      <c r="E229" s="833"/>
      <c r="F229" s="833"/>
      <c r="G229" s="835"/>
      <c r="H229" s="165" t="s">
        <v>12</v>
      </c>
      <c r="I229" s="836"/>
      <c r="J229" s="836"/>
      <c r="K229" s="837"/>
      <c r="L229" s="837">
        <f t="shared" ca="1" si="106"/>
        <v>0</v>
      </c>
      <c r="M229" s="837"/>
      <c r="N229" s="837">
        <f t="shared" si="107"/>
        <v>0</v>
      </c>
      <c r="O229" s="837"/>
      <c r="P229" s="837"/>
      <c r="Q229" s="1055"/>
      <c r="R229" s="1055"/>
      <c r="S229" s="1055"/>
      <c r="T229" s="1055"/>
      <c r="U229" s="1055"/>
      <c r="V229" s="1055"/>
      <c r="W229" s="1055"/>
      <c r="X229" s="1055"/>
      <c r="Y229" s="1055"/>
      <c r="Z229" s="1055"/>
    </row>
    <row r="230" spans="1:26" ht="19.5" hidden="1">
      <c r="A230" s="1053"/>
      <c r="B230" s="1052"/>
      <c r="C230" s="1054"/>
      <c r="D230" s="834" t="s">
        <v>116</v>
      </c>
      <c r="E230" s="833"/>
      <c r="F230" s="833"/>
      <c r="G230" s="835"/>
      <c r="H230" s="165" t="s">
        <v>12</v>
      </c>
      <c r="I230" s="836"/>
      <c r="J230" s="836"/>
      <c r="K230" s="837"/>
      <c r="L230" s="837">
        <f t="shared" ca="1" si="106"/>
        <v>0</v>
      </c>
      <c r="M230" s="837"/>
      <c r="N230" s="837">
        <f t="shared" si="107"/>
        <v>0</v>
      </c>
      <c r="O230" s="837"/>
      <c r="P230" s="837"/>
      <c r="Q230" s="1055"/>
      <c r="R230" s="1055"/>
      <c r="S230" s="1055"/>
      <c r="T230" s="1055"/>
      <c r="U230" s="1055"/>
      <c r="V230" s="1055"/>
      <c r="W230" s="1055"/>
      <c r="X230" s="1055"/>
      <c r="Y230" s="1055"/>
      <c r="Z230" s="1055"/>
    </row>
    <row r="231" spans="1:26" ht="19.5" hidden="1">
      <c r="A231" s="1053"/>
      <c r="B231" s="1052"/>
      <c r="C231" s="1054"/>
      <c r="D231" s="834" t="s">
        <v>100</v>
      </c>
      <c r="E231" s="833"/>
      <c r="F231" s="833"/>
      <c r="G231" s="835"/>
      <c r="H231" s="165" t="s">
        <v>12</v>
      </c>
      <c r="I231" s="836"/>
      <c r="J231" s="836"/>
      <c r="K231" s="837"/>
      <c r="L231" s="837">
        <f t="shared" ca="1" si="106"/>
        <v>0</v>
      </c>
      <c r="M231" s="837"/>
      <c r="N231" s="837">
        <f t="shared" si="107"/>
        <v>0</v>
      </c>
      <c r="O231" s="837"/>
      <c r="P231" s="837"/>
      <c r="Q231" s="1055"/>
      <c r="R231" s="1055"/>
      <c r="S231" s="1055"/>
      <c r="T231" s="1055"/>
      <c r="U231" s="1055"/>
      <c r="V231" s="1055"/>
      <c r="W231" s="1055"/>
      <c r="X231" s="1055"/>
      <c r="Y231" s="1055"/>
      <c r="Z231" s="1055"/>
    </row>
    <row r="232" spans="1:26" ht="19.5" hidden="1">
      <c r="A232" s="1056"/>
      <c r="B232" s="1057"/>
      <c r="C232" s="1054" t="s">
        <v>16</v>
      </c>
      <c r="D232" s="1020" t="s">
        <v>38</v>
      </c>
      <c r="E232" s="1058"/>
      <c r="F232" s="1058"/>
      <c r="G232" s="1059"/>
      <c r="H232" s="1060"/>
      <c r="I232" s="947"/>
      <c r="J232" s="836"/>
      <c r="K232" s="837"/>
      <c r="L232" s="837"/>
      <c r="M232" s="837"/>
      <c r="N232" s="837"/>
      <c r="O232" s="948"/>
      <c r="P232" s="948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</row>
    <row r="233" spans="1:26" ht="18.75" hidden="1">
      <c r="A233" s="1056"/>
      <c r="B233" s="1057"/>
      <c r="C233" s="1057"/>
      <c r="D233" s="1022" t="s">
        <v>117</v>
      </c>
      <c r="E233" s="1061"/>
      <c r="F233" s="1061"/>
      <c r="G233" s="1062"/>
      <c r="H233" s="583" t="s">
        <v>35</v>
      </c>
      <c r="I233" s="836">
        <f t="shared" ref="I233:J233" ca="1" si="108">I244+I255</f>
        <v>0</v>
      </c>
      <c r="J233" s="836">
        <f t="shared" si="108"/>
        <v>0</v>
      </c>
      <c r="K233" s="837">
        <f ca="1">IF(I233&gt;0,J233*100/I233,0)</f>
        <v>0</v>
      </c>
      <c r="L233" s="837"/>
      <c r="M233" s="837"/>
      <c r="N233" s="837"/>
      <c r="O233" s="837"/>
      <c r="P233" s="837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</row>
    <row r="234" spans="1:26" ht="18.75" hidden="1">
      <c r="A234" s="1056"/>
      <c r="B234" s="1057"/>
      <c r="C234" s="1057"/>
      <c r="D234" s="1063" t="s">
        <v>43</v>
      </c>
      <c r="E234" s="1061"/>
      <c r="F234" s="1061"/>
      <c r="G234" s="1062"/>
      <c r="H234" s="583"/>
      <c r="I234" s="836"/>
      <c r="J234" s="836"/>
      <c r="K234" s="837"/>
      <c r="L234" s="837"/>
      <c r="M234" s="837"/>
      <c r="N234" s="837"/>
      <c r="O234" s="948"/>
      <c r="P234" s="948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</row>
    <row r="235" spans="1:26" ht="18.75" hidden="1">
      <c r="A235" s="1056"/>
      <c r="B235" s="1057"/>
      <c r="C235" s="1057"/>
      <c r="D235" s="1057"/>
      <c r="E235" s="1021" t="s">
        <v>118</v>
      </c>
      <c r="F235" s="1061"/>
      <c r="G235" s="1062"/>
      <c r="H235" s="583" t="s">
        <v>35</v>
      </c>
      <c r="I235" s="836">
        <f t="shared" ref="I235:J236" si="109">I246+I257</f>
        <v>0</v>
      </c>
      <c r="J235" s="836">
        <f t="shared" si="109"/>
        <v>0</v>
      </c>
      <c r="K235" s="837">
        <f t="shared" ref="K235:K237" si="110">IF(I235&gt;0,J235*100/I235,0)</f>
        <v>0</v>
      </c>
      <c r="L235" s="837"/>
      <c r="M235" s="837"/>
      <c r="N235" s="837"/>
      <c r="O235" s="837"/>
      <c r="P235" s="837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</row>
    <row r="236" spans="1:26" ht="18.75" hidden="1">
      <c r="A236" s="1056"/>
      <c r="B236" s="1057"/>
      <c r="C236" s="1057"/>
      <c r="D236" s="1057"/>
      <c r="E236" s="1021" t="s">
        <v>119</v>
      </c>
      <c r="F236" s="1061"/>
      <c r="G236" s="1062"/>
      <c r="H236" s="583" t="s">
        <v>66</v>
      </c>
      <c r="I236" s="836">
        <f t="shared" si="109"/>
        <v>0</v>
      </c>
      <c r="J236" s="836">
        <f t="shared" si="109"/>
        <v>0</v>
      </c>
      <c r="K236" s="837">
        <f t="shared" si="110"/>
        <v>0</v>
      </c>
      <c r="L236" s="837"/>
      <c r="M236" s="837"/>
      <c r="N236" s="837"/>
      <c r="O236" s="837"/>
      <c r="P236" s="837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</row>
    <row r="237" spans="1:26" ht="19.5" hidden="1">
      <c r="A237" s="1011"/>
      <c r="B237" s="1018"/>
      <c r="C237" s="1023" t="s">
        <v>331</v>
      </c>
      <c r="D237" s="1012"/>
      <c r="E237" s="1012"/>
      <c r="F237" s="1012"/>
      <c r="G237" s="1014"/>
      <c r="H237" s="260" t="s">
        <v>35</v>
      </c>
      <c r="I237" s="1024">
        <f t="shared" ref="I237:J237" ca="1" si="111">I244</f>
        <v>0</v>
      </c>
      <c r="J237" s="1024">
        <f t="shared" si="111"/>
        <v>0</v>
      </c>
      <c r="K237" s="1025">
        <f t="shared" ca="1" si="110"/>
        <v>0</v>
      </c>
      <c r="L237" s="1016"/>
      <c r="M237" s="1016"/>
      <c r="N237" s="1016"/>
      <c r="O237" s="1016"/>
      <c r="P237" s="1016"/>
    </row>
    <row r="238" spans="1:26" ht="19.5" hidden="1">
      <c r="A238" s="932"/>
      <c r="B238" s="933"/>
      <c r="C238" s="934" t="s">
        <v>16</v>
      </c>
      <c r="D238" s="935" t="s">
        <v>17</v>
      </c>
      <c r="E238" s="933"/>
      <c r="F238" s="933"/>
      <c r="G238" s="936"/>
      <c r="H238" s="275" t="s">
        <v>12</v>
      </c>
      <c r="I238" s="1028"/>
      <c r="J238" s="1028"/>
      <c r="K238" s="1029"/>
      <c r="L238" s="939">
        <f ca="1">L239+L240+L241+L242</f>
        <v>0</v>
      </c>
      <c r="M238" s="939"/>
      <c r="N238" s="939">
        <f>N239+N240+N241+N242</f>
        <v>0</v>
      </c>
      <c r="O238" s="939">
        <f ca="1">IF(L238&gt;0,N238*100/L238,0)</f>
        <v>0</v>
      </c>
      <c r="P238" s="939">
        <f>IF(M238&gt;0,N238*100/M238,0)</f>
        <v>0</v>
      </c>
      <c r="Q238" s="818"/>
      <c r="R238" s="818"/>
      <c r="S238" s="818"/>
      <c r="T238" s="818"/>
      <c r="U238" s="818"/>
      <c r="V238" s="818"/>
      <c r="W238" s="818"/>
      <c r="X238" s="818"/>
      <c r="Y238" s="818"/>
      <c r="Z238" s="818"/>
    </row>
    <row r="239" spans="1:26" ht="18.75" hidden="1">
      <c r="A239" s="1064"/>
      <c r="B239" s="1065"/>
      <c r="C239" s="1066"/>
      <c r="D239" s="1067" t="s">
        <v>97</v>
      </c>
      <c r="E239" s="1066"/>
      <c r="F239" s="1066"/>
      <c r="G239" s="1068"/>
      <c r="H239" s="319" t="s">
        <v>12</v>
      </c>
      <c r="I239" s="1069"/>
      <c r="J239" s="1069"/>
      <c r="K239" s="1070"/>
      <c r="L239" s="1071">
        <f ca="1">IFERROR(__xludf.DUMMYFUNCTION("IMPORTRANGE(""https://docs.google.com/spreadsheets/d/1QqKyyYR6Q21VydFLVH3TRQUabQu_ym0Zz7PgGX0-kHA/edit?usp=sharing"",""แผน!AV29"")"),0)</f>
        <v>0</v>
      </c>
      <c r="M239" s="1071"/>
      <c r="N239" s="1072">
        <v>0</v>
      </c>
      <c r="O239" s="1071"/>
      <c r="P239" s="1071"/>
      <c r="Q239" s="1073"/>
      <c r="R239" s="1073"/>
      <c r="S239" s="1073"/>
      <c r="T239" s="1073"/>
      <c r="U239" s="1073"/>
      <c r="V239" s="1073"/>
      <c r="W239" s="1073"/>
      <c r="X239" s="1073"/>
      <c r="Y239" s="1073"/>
      <c r="Z239" s="1073"/>
    </row>
    <row r="240" spans="1:26" ht="19.5" hidden="1">
      <c r="A240" s="1074"/>
      <c r="B240" s="1065"/>
      <c r="C240" s="1075"/>
      <c r="D240" s="1067" t="s">
        <v>98</v>
      </c>
      <c r="E240" s="1066"/>
      <c r="F240" s="1066"/>
      <c r="G240" s="1068"/>
      <c r="H240" s="319" t="s">
        <v>12</v>
      </c>
      <c r="I240" s="1076"/>
      <c r="J240" s="1076"/>
      <c r="K240" s="1071"/>
      <c r="L240" s="1071">
        <f ca="1">IFERROR(__xludf.DUMMYFUNCTION("IMPORTRANGE(""https://docs.google.com/spreadsheets/d/1QqKyyYR6Q21VydFLVH3TRQUabQu_ym0Zz7PgGX0-kHA/edit?usp=sharing"",""แผน!AW29"")"),0)</f>
        <v>0</v>
      </c>
      <c r="M240" s="1071"/>
      <c r="N240" s="1072">
        <v>0</v>
      </c>
      <c r="O240" s="1071"/>
      <c r="P240" s="1071"/>
      <c r="Q240" s="1077"/>
      <c r="R240" s="1077"/>
      <c r="S240" s="1077"/>
      <c r="T240" s="1077"/>
      <c r="U240" s="1077"/>
      <c r="V240" s="1077"/>
      <c r="W240" s="1077"/>
      <c r="X240" s="1077"/>
      <c r="Y240" s="1077"/>
      <c r="Z240" s="1077"/>
    </row>
    <row r="241" spans="1:26" ht="19.5" hidden="1">
      <c r="A241" s="1074"/>
      <c r="B241" s="1065"/>
      <c r="C241" s="1075"/>
      <c r="D241" s="1067" t="s">
        <v>116</v>
      </c>
      <c r="E241" s="1066"/>
      <c r="F241" s="1066"/>
      <c r="G241" s="1068"/>
      <c r="H241" s="319" t="s">
        <v>12</v>
      </c>
      <c r="I241" s="1076"/>
      <c r="J241" s="1076"/>
      <c r="K241" s="1071"/>
      <c r="L241" s="1071">
        <f ca="1">IFERROR(__xludf.DUMMYFUNCTION("IMPORTRANGE(""https://docs.google.com/spreadsheets/d/1QqKyyYR6Q21VydFLVH3TRQUabQu_ym0Zz7PgGX0-kHA/edit?usp=sharing"",""แผน!AX29"")"),0)</f>
        <v>0</v>
      </c>
      <c r="M241" s="1071"/>
      <c r="N241" s="1072">
        <v>0</v>
      </c>
      <c r="O241" s="1071"/>
      <c r="P241" s="1071"/>
      <c r="Q241" s="1077"/>
      <c r="R241" s="1077"/>
      <c r="S241" s="1077"/>
      <c r="T241" s="1077"/>
      <c r="U241" s="1077"/>
      <c r="V241" s="1077"/>
      <c r="W241" s="1077"/>
      <c r="X241" s="1077"/>
      <c r="Y241" s="1077"/>
      <c r="Z241" s="1077"/>
    </row>
    <row r="242" spans="1:26" ht="19.5" hidden="1">
      <c r="A242" s="1074"/>
      <c r="B242" s="1065"/>
      <c r="C242" s="1075"/>
      <c r="D242" s="1067" t="s">
        <v>100</v>
      </c>
      <c r="E242" s="1066"/>
      <c r="F242" s="1066"/>
      <c r="G242" s="1068"/>
      <c r="H242" s="319" t="s">
        <v>12</v>
      </c>
      <c r="I242" s="1076"/>
      <c r="J242" s="1076"/>
      <c r="K242" s="1071"/>
      <c r="L242" s="1071">
        <f ca="1">IFERROR(__xludf.DUMMYFUNCTION("IMPORTRANGE(""https://docs.google.com/spreadsheets/d/1QqKyyYR6Q21VydFLVH3TRQUabQu_ym0Zz7PgGX0-kHA/edit?usp=sharing"",""แผน!AY29"")"),0)</f>
        <v>0</v>
      </c>
      <c r="M242" s="1071"/>
      <c r="N242" s="1072">
        <v>0</v>
      </c>
      <c r="O242" s="1071"/>
      <c r="P242" s="1071"/>
      <c r="Q242" s="1077"/>
      <c r="R242" s="1077"/>
      <c r="S242" s="1077"/>
      <c r="T242" s="1077"/>
      <c r="U242" s="1077"/>
      <c r="V242" s="1077"/>
      <c r="W242" s="1077"/>
      <c r="X242" s="1077"/>
      <c r="Y242" s="1077"/>
      <c r="Z242" s="1077"/>
    </row>
    <row r="243" spans="1:26" ht="19.5" hidden="1">
      <c r="A243" s="949"/>
      <c r="B243" s="950"/>
      <c r="C243" s="1038" t="s">
        <v>16</v>
      </c>
      <c r="D243" s="951" t="s">
        <v>38</v>
      </c>
      <c r="E243" s="952"/>
      <c r="F243" s="952"/>
      <c r="G243" s="953"/>
      <c r="H243" s="954"/>
      <c r="I243" s="944"/>
      <c r="J243" s="830"/>
      <c r="K243" s="831"/>
      <c r="L243" s="831"/>
      <c r="M243" s="831"/>
      <c r="N243" s="831"/>
      <c r="O243" s="945"/>
      <c r="P243" s="945"/>
      <c r="Q243" s="818"/>
      <c r="R243" s="818"/>
      <c r="S243" s="818"/>
      <c r="T243" s="818"/>
      <c r="U243" s="818"/>
      <c r="V243" s="818"/>
      <c r="W243" s="818"/>
      <c r="X243" s="818"/>
      <c r="Y243" s="818"/>
      <c r="Z243" s="818"/>
    </row>
    <row r="244" spans="1:26" ht="18.75" hidden="1">
      <c r="A244" s="949"/>
      <c r="B244" s="950"/>
      <c r="C244" s="950"/>
      <c r="D244" s="956" t="s">
        <v>117</v>
      </c>
      <c r="E244" s="957"/>
      <c r="F244" s="957"/>
      <c r="G244" s="958"/>
      <c r="H244" s="730" t="s">
        <v>35</v>
      </c>
      <c r="I244" s="830">
        <f ca="1">IFERROR(__xludf.DUMMYFUNCTION("IMPORTRANGE(""https://docs.google.com/spreadsheets/d/1QqKyyYR6Q21VydFLVH3TRQUabQu_ym0Zz7PgGX0-kHA/edit?usp=sharing"",""แผน!BE29"")"),0)</f>
        <v>0</v>
      </c>
      <c r="J244" s="959">
        <v>0</v>
      </c>
      <c r="K244" s="831">
        <f ca="1">IF(I244&gt;0,J244*100/I244,0)</f>
        <v>0</v>
      </c>
      <c r="L244" s="831"/>
      <c r="M244" s="831"/>
      <c r="N244" s="831"/>
      <c r="O244" s="831"/>
      <c r="P244" s="831"/>
      <c r="Q244" s="818"/>
      <c r="R244" s="818"/>
      <c r="S244" s="818"/>
      <c r="T244" s="818"/>
      <c r="U244" s="818"/>
      <c r="V244" s="818"/>
      <c r="W244" s="818"/>
      <c r="X244" s="818"/>
      <c r="Y244" s="818"/>
      <c r="Z244" s="818"/>
    </row>
    <row r="245" spans="1:26" ht="18.75" hidden="1">
      <c r="A245" s="949"/>
      <c r="B245" s="950"/>
      <c r="C245" s="950"/>
      <c r="D245" s="1078" t="s">
        <v>43</v>
      </c>
      <c r="E245" s="957"/>
      <c r="F245" s="957"/>
      <c r="G245" s="958"/>
      <c r="H245" s="730"/>
      <c r="I245" s="830"/>
      <c r="J245" s="830"/>
      <c r="K245" s="831"/>
      <c r="L245" s="831"/>
      <c r="M245" s="831"/>
      <c r="N245" s="831"/>
      <c r="O245" s="945"/>
      <c r="P245" s="945"/>
      <c r="Q245" s="818"/>
      <c r="R245" s="818"/>
      <c r="S245" s="818"/>
      <c r="T245" s="818"/>
      <c r="U245" s="818"/>
      <c r="V245" s="818"/>
      <c r="W245" s="818"/>
      <c r="X245" s="818"/>
      <c r="Y245" s="818"/>
      <c r="Z245" s="818"/>
    </row>
    <row r="246" spans="1:26" ht="18.75" hidden="1">
      <c r="A246" s="949"/>
      <c r="B246" s="950"/>
      <c r="C246" s="950"/>
      <c r="D246" s="950"/>
      <c r="E246" s="955" t="s">
        <v>118</v>
      </c>
      <c r="F246" s="957"/>
      <c r="G246" s="958"/>
      <c r="H246" s="730" t="s">
        <v>35</v>
      </c>
      <c r="I246" s="830"/>
      <c r="J246" s="959">
        <v>0</v>
      </c>
      <c r="K246" s="831">
        <f t="shared" ref="K246:K248" si="112">IF(I246&gt;0,J246*100/I246,0)</f>
        <v>0</v>
      </c>
      <c r="L246" s="831"/>
      <c r="M246" s="831"/>
      <c r="N246" s="831"/>
      <c r="O246" s="831"/>
      <c r="P246" s="831"/>
      <c r="Q246" s="818"/>
      <c r="R246" s="818"/>
      <c r="S246" s="818"/>
      <c r="T246" s="818"/>
      <c r="U246" s="818"/>
      <c r="V246" s="818"/>
      <c r="W246" s="818"/>
      <c r="X246" s="818"/>
      <c r="Y246" s="818"/>
      <c r="Z246" s="818"/>
    </row>
    <row r="247" spans="1:26" ht="18.75" hidden="1">
      <c r="A247" s="949"/>
      <c r="B247" s="950"/>
      <c r="C247" s="950"/>
      <c r="D247" s="950"/>
      <c r="E247" s="955" t="s">
        <v>119</v>
      </c>
      <c r="F247" s="957"/>
      <c r="G247" s="958"/>
      <c r="H247" s="730" t="s">
        <v>66</v>
      </c>
      <c r="I247" s="830"/>
      <c r="J247" s="959">
        <v>0</v>
      </c>
      <c r="K247" s="831">
        <f t="shared" si="112"/>
        <v>0</v>
      </c>
      <c r="L247" s="831"/>
      <c r="M247" s="831"/>
      <c r="N247" s="831"/>
      <c r="O247" s="831"/>
      <c r="P247" s="831"/>
      <c r="Q247" s="818"/>
      <c r="R247" s="818"/>
      <c r="S247" s="818"/>
      <c r="T247" s="818"/>
      <c r="U247" s="818"/>
      <c r="V247" s="818"/>
      <c r="W247" s="818"/>
      <c r="X247" s="818"/>
      <c r="Y247" s="818"/>
      <c r="Z247" s="818"/>
    </row>
    <row r="248" spans="1:26" ht="19.5" hidden="1">
      <c r="A248" s="1011"/>
      <c r="B248" s="1018"/>
      <c r="C248" s="1023" t="s">
        <v>332</v>
      </c>
      <c r="D248" s="1012"/>
      <c r="E248" s="1012"/>
      <c r="F248" s="1012"/>
      <c r="G248" s="1014"/>
      <c r="H248" s="260" t="s">
        <v>35</v>
      </c>
      <c r="I248" s="1024">
        <f t="shared" ref="I248:J248" ca="1" si="113">I255</f>
        <v>0</v>
      </c>
      <c r="J248" s="1024">
        <f t="shared" si="113"/>
        <v>0</v>
      </c>
      <c r="K248" s="1025">
        <f t="shared" ca="1" si="112"/>
        <v>0</v>
      </c>
      <c r="L248" s="1016"/>
      <c r="M248" s="1016"/>
      <c r="N248" s="1016"/>
      <c r="O248" s="1016"/>
      <c r="P248" s="1016"/>
    </row>
    <row r="249" spans="1:26" ht="19.5" hidden="1">
      <c r="A249" s="932"/>
      <c r="B249" s="933"/>
      <c r="C249" s="934" t="s">
        <v>16</v>
      </c>
      <c r="D249" s="1026" t="s">
        <v>17</v>
      </c>
      <c r="E249" s="933"/>
      <c r="F249" s="933"/>
      <c r="G249" s="936"/>
      <c r="H249" s="275" t="s">
        <v>12</v>
      </c>
      <c r="I249" s="1028"/>
      <c r="J249" s="1028"/>
      <c r="K249" s="1029"/>
      <c r="L249" s="939">
        <f ca="1">L250+L251+L252+L253</f>
        <v>0</v>
      </c>
      <c r="M249" s="939"/>
      <c r="N249" s="939">
        <f>N250+N251+N252+N253</f>
        <v>0</v>
      </c>
      <c r="O249" s="939">
        <f ca="1">IF(L249&gt;0,N249*100/L249,0)</f>
        <v>0</v>
      </c>
      <c r="P249" s="939">
        <f>IF(M249&gt;0,N249*100/M249,0)</f>
        <v>0</v>
      </c>
      <c r="Q249" s="818"/>
      <c r="R249" s="818"/>
      <c r="S249" s="818"/>
      <c r="T249" s="818"/>
      <c r="U249" s="818"/>
      <c r="V249" s="818"/>
      <c r="W249" s="818"/>
      <c r="X249" s="818"/>
      <c r="Y249" s="818"/>
      <c r="Z249" s="818"/>
    </row>
    <row r="250" spans="1:26" ht="18.75" hidden="1">
      <c r="A250" s="1064"/>
      <c r="B250" s="1065"/>
      <c r="C250" s="1066"/>
      <c r="D250" s="1067" t="s">
        <v>97</v>
      </c>
      <c r="E250" s="1066"/>
      <c r="F250" s="1066"/>
      <c r="G250" s="1068"/>
      <c r="H250" s="319" t="s">
        <v>12</v>
      </c>
      <c r="I250" s="1069"/>
      <c r="J250" s="1069"/>
      <c r="K250" s="1070"/>
      <c r="L250" s="1071">
        <f ca="1">IFERROR(__xludf.DUMMYFUNCTION("IMPORTRANGE(""https://docs.google.com/spreadsheets/d/1QqKyyYR6Q21VydFLVH3TRQUabQu_ym0Zz7PgGX0-kHA/edit?usp=sharing"",""แผน!AZ29"")"),0)</f>
        <v>0</v>
      </c>
      <c r="M250" s="1071"/>
      <c r="N250" s="1072">
        <v>0</v>
      </c>
      <c r="O250" s="1071"/>
      <c r="P250" s="1071"/>
      <c r="Q250" s="1073"/>
      <c r="R250" s="1073"/>
      <c r="S250" s="1073"/>
      <c r="T250" s="1073"/>
      <c r="U250" s="1073"/>
      <c r="V250" s="1073"/>
      <c r="W250" s="1073"/>
      <c r="X250" s="1073"/>
      <c r="Y250" s="1073"/>
      <c r="Z250" s="1073"/>
    </row>
    <row r="251" spans="1:26" ht="19.5" hidden="1">
      <c r="A251" s="1074"/>
      <c r="B251" s="1065"/>
      <c r="C251" s="1075"/>
      <c r="D251" s="1067" t="s">
        <v>98</v>
      </c>
      <c r="E251" s="1066"/>
      <c r="F251" s="1066"/>
      <c r="G251" s="1068"/>
      <c r="H251" s="319" t="s">
        <v>12</v>
      </c>
      <c r="I251" s="1076"/>
      <c r="J251" s="1076"/>
      <c r="K251" s="1071"/>
      <c r="L251" s="1071">
        <f ca="1">IFERROR(__xludf.DUMMYFUNCTION("IMPORTRANGE(""https://docs.google.com/spreadsheets/d/1QqKyyYR6Q21VydFLVH3TRQUabQu_ym0Zz7PgGX0-kHA/edit?usp=sharing"",""แผน!BA29"")"),0)</f>
        <v>0</v>
      </c>
      <c r="M251" s="1071"/>
      <c r="N251" s="1072">
        <v>0</v>
      </c>
      <c r="O251" s="1071"/>
      <c r="P251" s="1071"/>
      <c r="Q251" s="1077"/>
      <c r="R251" s="1077"/>
      <c r="S251" s="1077"/>
      <c r="T251" s="1077"/>
      <c r="U251" s="1077"/>
      <c r="V251" s="1077"/>
      <c r="W251" s="1077"/>
      <c r="X251" s="1077"/>
      <c r="Y251" s="1077"/>
      <c r="Z251" s="1077"/>
    </row>
    <row r="252" spans="1:26" ht="19.5" hidden="1">
      <c r="A252" s="1074"/>
      <c r="B252" s="1065"/>
      <c r="C252" s="1075"/>
      <c r="D252" s="1067" t="s">
        <v>116</v>
      </c>
      <c r="E252" s="1066"/>
      <c r="F252" s="1066"/>
      <c r="G252" s="1068"/>
      <c r="H252" s="319" t="s">
        <v>12</v>
      </c>
      <c r="I252" s="1076"/>
      <c r="J252" s="1076"/>
      <c r="K252" s="1071"/>
      <c r="L252" s="1071">
        <f ca="1">IFERROR(__xludf.DUMMYFUNCTION("IMPORTRANGE(""https://docs.google.com/spreadsheets/d/1QqKyyYR6Q21VydFLVH3TRQUabQu_ym0Zz7PgGX0-kHA/edit?usp=sharing"",""แผน!BB29"")"),0)</f>
        <v>0</v>
      </c>
      <c r="M252" s="1071"/>
      <c r="N252" s="1072">
        <v>0</v>
      </c>
      <c r="O252" s="1071"/>
      <c r="P252" s="1071"/>
      <c r="Q252" s="1077"/>
      <c r="R252" s="1077"/>
      <c r="S252" s="1077"/>
      <c r="T252" s="1077"/>
      <c r="U252" s="1077"/>
      <c r="V252" s="1077"/>
      <c r="W252" s="1077"/>
      <c r="X252" s="1077"/>
      <c r="Y252" s="1077"/>
      <c r="Z252" s="1077"/>
    </row>
    <row r="253" spans="1:26" ht="19.5" hidden="1">
      <c r="A253" s="1074"/>
      <c r="B253" s="1065"/>
      <c r="C253" s="1075"/>
      <c r="D253" s="1067" t="s">
        <v>100</v>
      </c>
      <c r="E253" s="1066"/>
      <c r="F253" s="1066"/>
      <c r="G253" s="1068"/>
      <c r="H253" s="319" t="s">
        <v>12</v>
      </c>
      <c r="I253" s="1076"/>
      <c r="J253" s="1076"/>
      <c r="K253" s="1071"/>
      <c r="L253" s="1071">
        <f ca="1">IFERROR(__xludf.DUMMYFUNCTION("IMPORTRANGE(""https://docs.google.com/spreadsheets/d/1QqKyyYR6Q21VydFLVH3TRQUabQu_ym0Zz7PgGX0-kHA/edit?usp=sharing"",""แผน!BC29"")"),0)</f>
        <v>0</v>
      </c>
      <c r="M253" s="1071"/>
      <c r="N253" s="1072">
        <v>0</v>
      </c>
      <c r="O253" s="1071"/>
      <c r="P253" s="1071"/>
      <c r="Q253" s="1077"/>
      <c r="R253" s="1077"/>
      <c r="S253" s="1077"/>
      <c r="T253" s="1077"/>
      <c r="U253" s="1077"/>
      <c r="V253" s="1077"/>
      <c r="W253" s="1077"/>
      <c r="X253" s="1077"/>
      <c r="Y253" s="1077"/>
      <c r="Z253" s="1077"/>
    </row>
    <row r="254" spans="1:26" ht="19.5" hidden="1">
      <c r="A254" s="949"/>
      <c r="B254" s="950"/>
      <c r="C254" s="1038" t="s">
        <v>16</v>
      </c>
      <c r="D254" s="951" t="s">
        <v>38</v>
      </c>
      <c r="E254" s="952"/>
      <c r="F254" s="952"/>
      <c r="G254" s="953"/>
      <c r="H254" s="954"/>
      <c r="I254" s="944"/>
      <c r="J254" s="830"/>
      <c r="K254" s="831"/>
      <c r="L254" s="831"/>
      <c r="M254" s="831"/>
      <c r="N254" s="831"/>
      <c r="O254" s="945"/>
      <c r="P254" s="945"/>
      <c r="Q254" s="818"/>
      <c r="R254" s="818"/>
      <c r="S254" s="818"/>
      <c r="T254" s="818"/>
      <c r="U254" s="818"/>
      <c r="V254" s="818"/>
      <c r="W254" s="818"/>
      <c r="X254" s="818"/>
      <c r="Y254" s="818"/>
      <c r="Z254" s="818"/>
    </row>
    <row r="255" spans="1:26" ht="18.75" hidden="1">
      <c r="A255" s="949"/>
      <c r="B255" s="950"/>
      <c r="C255" s="950"/>
      <c r="D255" s="956" t="s">
        <v>117</v>
      </c>
      <c r="E255" s="957"/>
      <c r="F255" s="957"/>
      <c r="G255" s="958"/>
      <c r="H255" s="730" t="s">
        <v>35</v>
      </c>
      <c r="I255" s="830">
        <f ca="1">IFERROR(__xludf.DUMMYFUNCTION("IMPORTRANGE(""https://docs.google.com/spreadsheets/d/1QqKyyYR6Q21VydFLVH3TRQUabQu_ym0Zz7PgGX0-kHA/edit?usp=sharing"",""แผน!BF29"")"),0)</f>
        <v>0</v>
      </c>
      <c r="J255" s="959">
        <v>0</v>
      </c>
      <c r="K255" s="831">
        <f ca="1">IF(I255&gt;0,J255*100/I255,0)</f>
        <v>0</v>
      </c>
      <c r="L255" s="831"/>
      <c r="M255" s="831"/>
      <c r="N255" s="831"/>
      <c r="O255" s="831"/>
      <c r="P255" s="831"/>
      <c r="Q255" s="818"/>
      <c r="R255" s="818"/>
      <c r="S255" s="818"/>
      <c r="T255" s="818"/>
      <c r="U255" s="818"/>
      <c r="V255" s="818"/>
      <c r="W255" s="818"/>
      <c r="X255" s="818"/>
      <c r="Y255" s="818"/>
      <c r="Z255" s="818"/>
    </row>
    <row r="256" spans="1:26" ht="18.75" hidden="1">
      <c r="A256" s="949"/>
      <c r="B256" s="950"/>
      <c r="C256" s="950"/>
      <c r="D256" s="1078" t="s">
        <v>43</v>
      </c>
      <c r="E256" s="957"/>
      <c r="F256" s="957"/>
      <c r="G256" s="958"/>
      <c r="H256" s="730"/>
      <c r="I256" s="830"/>
      <c r="J256" s="830"/>
      <c r="K256" s="831"/>
      <c r="L256" s="831"/>
      <c r="M256" s="831"/>
      <c r="N256" s="831"/>
      <c r="O256" s="945"/>
      <c r="P256" s="945"/>
      <c r="Q256" s="818"/>
      <c r="R256" s="818"/>
      <c r="S256" s="818"/>
      <c r="T256" s="818"/>
      <c r="U256" s="818"/>
      <c r="V256" s="818"/>
      <c r="W256" s="818"/>
      <c r="X256" s="818"/>
      <c r="Y256" s="818"/>
      <c r="Z256" s="818"/>
    </row>
    <row r="257" spans="1:26" ht="18.75" hidden="1">
      <c r="A257" s="949"/>
      <c r="B257" s="950"/>
      <c r="C257" s="950"/>
      <c r="D257" s="950"/>
      <c r="E257" s="955" t="s">
        <v>118</v>
      </c>
      <c r="F257" s="957"/>
      <c r="G257" s="958"/>
      <c r="H257" s="730" t="s">
        <v>35</v>
      </c>
      <c r="I257" s="830"/>
      <c r="J257" s="959">
        <v>0</v>
      </c>
      <c r="K257" s="831">
        <f t="shared" ref="K257:K258" si="114">IF(I257&gt;0,J257*100/I257,0)</f>
        <v>0</v>
      </c>
      <c r="L257" s="831"/>
      <c r="M257" s="831"/>
      <c r="N257" s="831"/>
      <c r="O257" s="831"/>
      <c r="P257" s="831"/>
      <c r="Q257" s="818"/>
      <c r="R257" s="818"/>
      <c r="S257" s="818"/>
      <c r="T257" s="818"/>
      <c r="U257" s="818"/>
      <c r="V257" s="818"/>
      <c r="W257" s="818"/>
      <c r="X257" s="818"/>
      <c r="Y257" s="818"/>
      <c r="Z257" s="818"/>
    </row>
    <row r="258" spans="1:26" ht="18.75" hidden="1">
      <c r="A258" s="949"/>
      <c r="B258" s="950"/>
      <c r="C258" s="950"/>
      <c r="D258" s="950"/>
      <c r="E258" s="955" t="s">
        <v>119</v>
      </c>
      <c r="F258" s="957"/>
      <c r="G258" s="958"/>
      <c r="H258" s="730" t="s">
        <v>66</v>
      </c>
      <c r="I258" s="830"/>
      <c r="J258" s="959">
        <v>0</v>
      </c>
      <c r="K258" s="831">
        <f t="shared" si="114"/>
        <v>0</v>
      </c>
      <c r="L258" s="831"/>
      <c r="M258" s="831"/>
      <c r="N258" s="831"/>
      <c r="O258" s="831"/>
      <c r="P258" s="831"/>
      <c r="Q258" s="818"/>
      <c r="R258" s="818"/>
      <c r="S258" s="818"/>
      <c r="T258" s="818"/>
      <c r="U258" s="818"/>
      <c r="V258" s="818"/>
      <c r="W258" s="818"/>
      <c r="X258" s="818"/>
      <c r="Y258" s="818"/>
      <c r="Z258" s="818"/>
    </row>
    <row r="259" spans="1:26" ht="19.5">
      <c r="A259" s="998" t="s">
        <v>122</v>
      </c>
      <c r="B259" s="999"/>
      <c r="C259" s="999"/>
      <c r="D259" s="1000"/>
      <c r="E259" s="1000"/>
      <c r="F259" s="1000"/>
      <c r="G259" s="1001"/>
      <c r="H259" s="1002"/>
      <c r="I259" s="1003"/>
      <c r="J259" s="1003"/>
      <c r="K259" s="1004"/>
      <c r="L259" s="1004"/>
      <c r="M259" s="1004"/>
      <c r="N259" s="1004"/>
      <c r="O259" s="1004"/>
      <c r="P259" s="1004"/>
    </row>
    <row r="260" spans="1:26" ht="19.5">
      <c r="A260" s="1005"/>
      <c r="B260" s="1006" t="s">
        <v>123</v>
      </c>
      <c r="C260" s="1007"/>
      <c r="D260" s="952"/>
      <c r="E260" s="952"/>
      <c r="F260" s="952"/>
      <c r="G260" s="953"/>
      <c r="H260" s="252" t="s">
        <v>35</v>
      </c>
      <c r="I260" s="1008">
        <f t="shared" ref="I260:J260" ca="1" si="115">I271</f>
        <v>22</v>
      </c>
      <c r="J260" s="1008">
        <f t="shared" si="115"/>
        <v>22</v>
      </c>
      <c r="K260" s="1009">
        <f ca="1">IF(I260&gt;0,J260*100/I260,0)</f>
        <v>100</v>
      </c>
      <c r="L260" s="1010"/>
      <c r="M260" s="1010"/>
      <c r="N260" s="1010"/>
      <c r="O260" s="1010"/>
      <c r="P260" s="1010"/>
    </row>
    <row r="261" spans="1:26" ht="19.5">
      <c r="A261" s="932"/>
      <c r="B261" s="933"/>
      <c r="C261" s="934" t="s">
        <v>16</v>
      </c>
      <c r="D261" s="935" t="s">
        <v>17</v>
      </c>
      <c r="E261" s="933"/>
      <c r="F261" s="933"/>
      <c r="G261" s="936"/>
      <c r="H261" s="152" t="s">
        <v>12</v>
      </c>
      <c r="I261" s="937"/>
      <c r="J261" s="937"/>
      <c r="K261" s="938"/>
      <c r="L261" s="939">
        <f t="shared" ref="L261:N261" ca="1" si="116">L262+L263</f>
        <v>169900</v>
      </c>
      <c r="M261" s="939">
        <f t="shared" ca="1" si="116"/>
        <v>127900</v>
      </c>
      <c r="N261" s="939">
        <f t="shared" ca="1" si="116"/>
        <v>73551</v>
      </c>
      <c r="O261" s="939">
        <f t="shared" ref="O261:O269" ca="1" si="117">IF(L261&gt;0,N261*100/L261,0)</f>
        <v>43.290759270158915</v>
      </c>
      <c r="P261" s="939">
        <f t="shared" ref="P261:P269" ca="1" si="118">IF(M261&gt;0,N261*100/M261,0)</f>
        <v>57.506645817044564</v>
      </c>
      <c r="Q261" s="818"/>
      <c r="R261" s="818"/>
      <c r="S261" s="818"/>
      <c r="T261" s="818"/>
      <c r="U261" s="818"/>
      <c r="V261" s="818"/>
      <c r="W261" s="818"/>
      <c r="X261" s="818"/>
      <c r="Y261" s="818"/>
      <c r="Z261" s="818"/>
    </row>
    <row r="262" spans="1:26" ht="18.75" hidden="1">
      <c r="A262" s="940"/>
      <c r="B262" s="833"/>
      <c r="C262" s="833"/>
      <c r="D262" s="833"/>
      <c r="E262" s="834" t="s">
        <v>18</v>
      </c>
      <c r="F262" s="833"/>
      <c r="G262" s="941"/>
      <c r="H262" s="158" t="s">
        <v>12</v>
      </c>
      <c r="I262" s="836"/>
      <c r="J262" s="836"/>
      <c r="K262" s="837"/>
      <c r="L262" s="837">
        <f t="shared" ref="L262:N263" si="119">L265+L268</f>
        <v>0</v>
      </c>
      <c r="M262" s="837">
        <f t="shared" si="119"/>
        <v>0</v>
      </c>
      <c r="N262" s="837">
        <f t="shared" si="119"/>
        <v>0</v>
      </c>
      <c r="O262" s="837">
        <f t="shared" si="117"/>
        <v>0</v>
      </c>
      <c r="P262" s="837">
        <f t="shared" si="118"/>
        <v>0</v>
      </c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</row>
    <row r="263" spans="1:26" ht="18.75" hidden="1">
      <c r="A263" s="940"/>
      <c r="B263" s="833"/>
      <c r="C263" s="833"/>
      <c r="D263" s="833"/>
      <c r="E263" s="834" t="s">
        <v>19</v>
      </c>
      <c r="F263" s="833"/>
      <c r="G263" s="941"/>
      <c r="H263" s="158" t="s">
        <v>12</v>
      </c>
      <c r="I263" s="836"/>
      <c r="J263" s="836"/>
      <c r="K263" s="837"/>
      <c r="L263" s="837">
        <f t="shared" ca="1" si="119"/>
        <v>169900</v>
      </c>
      <c r="M263" s="837">
        <f t="shared" ca="1" si="119"/>
        <v>127900</v>
      </c>
      <c r="N263" s="837">
        <f t="shared" ca="1" si="119"/>
        <v>73551</v>
      </c>
      <c r="O263" s="837">
        <f t="shared" ca="1" si="117"/>
        <v>43.290759270158915</v>
      </c>
      <c r="P263" s="837">
        <f t="shared" ca="1" si="118"/>
        <v>57.506645817044564</v>
      </c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</row>
    <row r="264" spans="1:26" ht="18.75">
      <c r="A264" s="942"/>
      <c r="B264" s="827"/>
      <c r="C264" s="943"/>
      <c r="D264" s="828" t="s">
        <v>20</v>
      </c>
      <c r="E264" s="827"/>
      <c r="F264" s="827"/>
      <c r="G264" s="829"/>
      <c r="H264" s="778" t="s">
        <v>12</v>
      </c>
      <c r="I264" s="944"/>
      <c r="J264" s="944"/>
      <c r="K264" s="945"/>
      <c r="L264" s="831">
        <f t="shared" ref="L264:N264" ca="1" si="120">L265+L266</f>
        <v>169900</v>
      </c>
      <c r="M264" s="831">
        <f t="shared" ca="1" si="120"/>
        <v>127900</v>
      </c>
      <c r="N264" s="831">
        <f t="shared" ca="1" si="120"/>
        <v>73551</v>
      </c>
      <c r="O264" s="831">
        <f t="shared" ca="1" si="117"/>
        <v>43.290759270158915</v>
      </c>
      <c r="P264" s="831">
        <f t="shared" ca="1" si="118"/>
        <v>57.506645817044564</v>
      </c>
      <c r="Q264" s="818"/>
      <c r="R264" s="818"/>
      <c r="S264" s="818"/>
      <c r="T264" s="818"/>
      <c r="U264" s="818"/>
      <c r="V264" s="818"/>
      <c r="W264" s="818"/>
      <c r="X264" s="818"/>
      <c r="Y264" s="818"/>
      <c r="Z264" s="818"/>
    </row>
    <row r="265" spans="1:26" ht="19.5" hidden="1">
      <c r="A265" s="940"/>
      <c r="B265" s="833"/>
      <c r="C265" s="946"/>
      <c r="D265" s="833"/>
      <c r="E265" s="834" t="s">
        <v>36</v>
      </c>
      <c r="F265" s="833"/>
      <c r="G265" s="941"/>
      <c r="H265" s="165" t="s">
        <v>12</v>
      </c>
      <c r="I265" s="947"/>
      <c r="J265" s="947"/>
      <c r="K265" s="948"/>
      <c r="L265" s="837">
        <v>0</v>
      </c>
      <c r="M265" s="837">
        <v>0</v>
      </c>
      <c r="N265" s="837">
        <v>0</v>
      </c>
      <c r="O265" s="837">
        <f t="shared" si="117"/>
        <v>0</v>
      </c>
      <c r="P265" s="837">
        <f t="shared" si="118"/>
        <v>0</v>
      </c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</row>
    <row r="266" spans="1:26" ht="19.5" hidden="1">
      <c r="A266" s="940"/>
      <c r="B266" s="833"/>
      <c r="C266" s="946"/>
      <c r="D266" s="833"/>
      <c r="E266" s="834" t="s">
        <v>37</v>
      </c>
      <c r="F266" s="833"/>
      <c r="G266" s="941"/>
      <c r="H266" s="165" t="s">
        <v>12</v>
      </c>
      <c r="I266" s="947"/>
      <c r="J266" s="947"/>
      <c r="K266" s="948"/>
      <c r="L266" s="837">
        <f ca="1">IFERROR(__xludf.DUMMYFUNCTION("IMPORTRANGE(""https://docs.google.com/spreadsheets/d/1MeEWN-I1oV_STSDYn1IFDPWt_1FKiwhDph83XaGc0o0/edit?usp=sharing"",""งบพรบ!CY29"")"),169900)</f>
        <v>169900</v>
      </c>
      <c r="M266" s="837">
        <f ca="1">IFERROR(__xludf.DUMMYFUNCTION("IMPORTRANGE(""https://docs.google.com/spreadsheets/d/1MeEWN-I1oV_STSDYn1IFDPWt_1FKiwhDph83XaGc0o0/edit?usp=sharing"",""งบพรบ!DD29"")"),127900)</f>
        <v>127900</v>
      </c>
      <c r="N266" s="837">
        <f ca="1">IFERROR(__xludf.DUMMYFUNCTION("IMPORTRANGE(""https://docs.google.com/spreadsheets/d/1MeEWN-I1oV_STSDYn1IFDPWt_1FKiwhDph83XaGc0o0/edit?usp=sharing"",""งบพรบ!DF29"")"),73551)</f>
        <v>73551</v>
      </c>
      <c r="O266" s="837">
        <f t="shared" ca="1" si="117"/>
        <v>43.290759270158915</v>
      </c>
      <c r="P266" s="837">
        <f t="shared" ca="1" si="118"/>
        <v>57.506645817044564</v>
      </c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</row>
    <row r="267" spans="1:26" ht="18.75">
      <c r="A267" s="942"/>
      <c r="B267" s="827"/>
      <c r="C267" s="943"/>
      <c r="D267" s="828" t="s">
        <v>21</v>
      </c>
      <c r="E267" s="827"/>
      <c r="F267" s="827"/>
      <c r="G267" s="829"/>
      <c r="H267" s="168" t="s">
        <v>12</v>
      </c>
      <c r="I267" s="944"/>
      <c r="J267" s="944"/>
      <c r="K267" s="945"/>
      <c r="L267" s="831">
        <f t="shared" ref="L267:N267" ca="1" si="121">L268+L269</f>
        <v>0</v>
      </c>
      <c r="M267" s="831">
        <f t="shared" ca="1" si="121"/>
        <v>0</v>
      </c>
      <c r="N267" s="831">
        <f t="shared" ca="1" si="121"/>
        <v>0</v>
      </c>
      <c r="O267" s="831">
        <f t="shared" ca="1" si="117"/>
        <v>0</v>
      </c>
      <c r="P267" s="831">
        <f t="shared" ca="1" si="118"/>
        <v>0</v>
      </c>
      <c r="Q267" s="818"/>
      <c r="R267" s="818"/>
      <c r="S267" s="818"/>
      <c r="T267" s="818"/>
      <c r="U267" s="818"/>
      <c r="V267" s="818"/>
      <c r="W267" s="818"/>
      <c r="X267" s="818"/>
      <c r="Y267" s="818"/>
      <c r="Z267" s="818"/>
    </row>
    <row r="268" spans="1:26" ht="19.5" hidden="1">
      <c r="A268" s="940"/>
      <c r="B268" s="833"/>
      <c r="C268" s="946"/>
      <c r="D268" s="833"/>
      <c r="E268" s="834" t="s">
        <v>18</v>
      </c>
      <c r="F268" s="833"/>
      <c r="G268" s="941"/>
      <c r="H268" s="165" t="s">
        <v>12</v>
      </c>
      <c r="I268" s="947"/>
      <c r="J268" s="947"/>
      <c r="K268" s="948"/>
      <c r="L268" s="837">
        <v>0</v>
      </c>
      <c r="M268" s="837">
        <v>0</v>
      </c>
      <c r="N268" s="837">
        <v>0</v>
      </c>
      <c r="O268" s="837">
        <f t="shared" si="117"/>
        <v>0</v>
      </c>
      <c r="P268" s="837">
        <f t="shared" si="118"/>
        <v>0</v>
      </c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</row>
    <row r="269" spans="1:26" ht="19.5" hidden="1">
      <c r="A269" s="940"/>
      <c r="B269" s="833"/>
      <c r="C269" s="946"/>
      <c r="D269" s="833"/>
      <c r="E269" s="834" t="s">
        <v>19</v>
      </c>
      <c r="F269" s="833"/>
      <c r="G269" s="941"/>
      <c r="H269" s="169" t="s">
        <v>12</v>
      </c>
      <c r="I269" s="947"/>
      <c r="J269" s="947"/>
      <c r="K269" s="948"/>
      <c r="L269" s="837">
        <f ca="1">IFERROR(__xludf.DUMMYFUNCTION("IMPORTRANGE(""https://docs.google.com/spreadsheets/d/1MeEWN-I1oV_STSDYn1IFDPWt_1FKiwhDph83XaGc0o0/edit?usp=sharing"",""งบพรบ!DB29"")"),0)</f>
        <v>0</v>
      </c>
      <c r="M269" s="837">
        <f ca="1">IFERROR(__xludf.DUMMYFUNCTION("IMPORTRANGE(""https://docs.google.com/spreadsheets/d/1MeEWN-I1oV_STSDYn1IFDPWt_1FKiwhDph83XaGc0o0/edit?usp=sharing"",""งบพรบ!DE29"")"),0)</f>
        <v>0</v>
      </c>
      <c r="N269" s="837">
        <f ca="1">IFERROR(__xludf.DUMMYFUNCTION("IMPORTRANGE(""https://docs.google.com/spreadsheets/d/1MeEWN-I1oV_STSDYn1IFDPWt_1FKiwhDph83XaGc0o0/edit?usp=sharing"",""งบพรบ!DG29"")"),0)</f>
        <v>0</v>
      </c>
      <c r="O269" s="837">
        <f t="shared" ca="1" si="117"/>
        <v>0</v>
      </c>
      <c r="P269" s="837">
        <f t="shared" ca="1" si="118"/>
        <v>0</v>
      </c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</row>
    <row r="270" spans="1:26" ht="19.5">
      <c r="A270" s="949"/>
      <c r="B270" s="950"/>
      <c r="C270" s="943" t="s">
        <v>16</v>
      </c>
      <c r="D270" s="951" t="s">
        <v>38</v>
      </c>
      <c r="E270" s="952"/>
      <c r="F270" s="952"/>
      <c r="G270" s="953"/>
      <c r="H270" s="954"/>
      <c r="I270" s="944"/>
      <c r="J270" s="944"/>
      <c r="K270" s="945"/>
      <c r="L270" s="945"/>
      <c r="M270" s="945"/>
      <c r="N270" s="945"/>
      <c r="O270" s="945"/>
      <c r="P270" s="945"/>
    </row>
    <row r="271" spans="1:26" ht="18.75">
      <c r="A271" s="949"/>
      <c r="B271" s="950"/>
      <c r="C271" s="950"/>
      <c r="D271" s="1079" t="s">
        <v>124</v>
      </c>
      <c r="E271" s="957"/>
      <c r="F271" s="1022"/>
      <c r="G271" s="958"/>
      <c r="H271" s="346" t="s">
        <v>35</v>
      </c>
      <c r="I271" s="830">
        <f ca="1">IFERROR(__xludf.DUMMYFUNCTION("IMPORTRANGE(""https://docs.google.com/spreadsheets/d/1QqKyyYR6Q21VydFLVH3TRQUabQu_ym0Zz7PgGX0-kHA/edit?usp=sharing"",""แผน!EA29"")"),22)</f>
        <v>22</v>
      </c>
      <c r="J271" s="959">
        <v>22</v>
      </c>
      <c r="K271" s="945">
        <f ca="1">IF(I271&gt;0,J271*100/I271,0)</f>
        <v>100</v>
      </c>
      <c r="L271" s="945"/>
      <c r="M271" s="945"/>
      <c r="N271" s="945"/>
      <c r="O271" s="945"/>
      <c r="P271" s="945"/>
    </row>
    <row r="272" spans="1:26" ht="18.75" hidden="1">
      <c r="A272" s="1080"/>
      <c r="B272" s="1081"/>
      <c r="C272" s="1081"/>
      <c r="D272" s="1082" t="s">
        <v>125</v>
      </c>
      <c r="E272" s="1083"/>
      <c r="F272" s="1083"/>
      <c r="G272" s="1084"/>
      <c r="H272" s="50" t="s">
        <v>35</v>
      </c>
      <c r="I272" s="1085">
        <v>0</v>
      </c>
      <c r="J272" s="1085">
        <v>0</v>
      </c>
      <c r="K272" s="1086">
        <v>0</v>
      </c>
      <c r="L272" s="1086"/>
      <c r="M272" s="1086"/>
      <c r="N272" s="1086"/>
      <c r="O272" s="1086"/>
      <c r="P272" s="1086"/>
    </row>
    <row r="273" spans="1:26" ht="19.5">
      <c r="A273" s="1087" t="s">
        <v>126</v>
      </c>
      <c r="B273" s="1088"/>
      <c r="C273" s="1088"/>
      <c r="D273" s="1088"/>
      <c r="E273" s="1089"/>
      <c r="F273" s="1089"/>
      <c r="G273" s="1090"/>
      <c r="H273" s="1091"/>
      <c r="I273" s="1092"/>
      <c r="J273" s="1092"/>
      <c r="K273" s="1093"/>
      <c r="L273" s="1093"/>
      <c r="M273" s="1093"/>
      <c r="N273" s="1093"/>
      <c r="O273" s="1093"/>
      <c r="P273" s="1093"/>
    </row>
    <row r="274" spans="1:26" ht="19.5">
      <c r="A274" s="1094" t="s">
        <v>127</v>
      </c>
      <c r="B274" s="1095"/>
      <c r="C274" s="1096"/>
      <c r="D274" s="1095"/>
      <c r="E274" s="1095"/>
      <c r="F274" s="1095"/>
      <c r="G274" s="1095"/>
      <c r="H274" s="1097"/>
      <c r="I274" s="1098"/>
      <c r="J274" s="1099"/>
      <c r="K274" s="1100"/>
      <c r="L274" s="1100"/>
      <c r="M274" s="1100"/>
      <c r="N274" s="1100"/>
      <c r="O274" s="1100"/>
      <c r="P274" s="1100"/>
    </row>
    <row r="275" spans="1:26" ht="19.5">
      <c r="A275" s="1101"/>
      <c r="B275" s="1102" t="s">
        <v>128</v>
      </c>
      <c r="C275" s="1103"/>
      <c r="D275" s="1104"/>
      <c r="E275" s="1103"/>
      <c r="F275" s="1103"/>
      <c r="G275" s="1105"/>
      <c r="H275" s="374" t="s">
        <v>35</v>
      </c>
      <c r="I275" s="1106">
        <f t="shared" ref="I275:J275" ca="1" si="122">I288</f>
        <v>25</v>
      </c>
      <c r="J275" s="1106">
        <f t="shared" ca="1" si="122"/>
        <v>0</v>
      </c>
      <c r="K275" s="1107">
        <f t="shared" ref="K275:K276" ca="1" si="123">IF(I275&gt;0,J275*100/I275,0)</f>
        <v>0</v>
      </c>
      <c r="L275" s="1108"/>
      <c r="M275" s="1108"/>
      <c r="N275" s="1108"/>
      <c r="O275" s="1108"/>
      <c r="P275" s="1108"/>
    </row>
    <row r="276" spans="1:26" ht="19.5">
      <c r="A276" s="1101"/>
      <c r="B276" s="1102"/>
      <c r="C276" s="1103"/>
      <c r="D276" s="1104"/>
      <c r="E276" s="1103"/>
      <c r="F276" s="1103"/>
      <c r="G276" s="1105"/>
      <c r="H276" s="374" t="s">
        <v>46</v>
      </c>
      <c r="I276" s="1106">
        <f t="shared" ref="I276:J276" ca="1" si="124">I287</f>
        <v>250</v>
      </c>
      <c r="J276" s="1106">
        <f t="shared" si="124"/>
        <v>0</v>
      </c>
      <c r="K276" s="1107">
        <f t="shared" ca="1" si="123"/>
        <v>0</v>
      </c>
      <c r="L276" s="1108"/>
      <c r="M276" s="1108"/>
      <c r="N276" s="1108"/>
      <c r="O276" s="1108"/>
      <c r="P276" s="1108"/>
    </row>
    <row r="277" spans="1:26" ht="19.5">
      <c r="A277" s="932"/>
      <c r="B277" s="933"/>
      <c r="C277" s="934" t="s">
        <v>16</v>
      </c>
      <c r="D277" s="935" t="s">
        <v>17</v>
      </c>
      <c r="E277" s="933"/>
      <c r="F277" s="933"/>
      <c r="G277" s="936"/>
      <c r="H277" s="152" t="s">
        <v>12</v>
      </c>
      <c r="I277" s="937"/>
      <c r="J277" s="937"/>
      <c r="K277" s="938"/>
      <c r="L277" s="939">
        <f t="shared" ref="L277:N277" ca="1" si="125">L278+L279</f>
        <v>262220</v>
      </c>
      <c r="M277" s="939">
        <f t="shared" ca="1" si="125"/>
        <v>172520</v>
      </c>
      <c r="N277" s="939">
        <f t="shared" ca="1" si="125"/>
        <v>148536.20000000001</v>
      </c>
      <c r="O277" s="939">
        <f t="shared" ref="O277:O285" ca="1" si="126">IF(L277&gt;0,N277*100/L277,0)</f>
        <v>56.645641064754791</v>
      </c>
      <c r="P277" s="939">
        <f t="shared" ref="P277:P285" ca="1" si="127">IF(M277&gt;0,N277*100/M277,0)</f>
        <v>86.097959656851387</v>
      </c>
      <c r="Q277" s="818"/>
      <c r="R277" s="818"/>
      <c r="S277" s="818"/>
      <c r="T277" s="818"/>
      <c r="U277" s="818"/>
      <c r="V277" s="818"/>
      <c r="W277" s="818"/>
      <c r="X277" s="818"/>
      <c r="Y277" s="818"/>
      <c r="Z277" s="818"/>
    </row>
    <row r="278" spans="1:26" ht="18.75" hidden="1">
      <c r="A278" s="940"/>
      <c r="B278" s="833"/>
      <c r="C278" s="833"/>
      <c r="D278" s="833"/>
      <c r="E278" s="834" t="s">
        <v>18</v>
      </c>
      <c r="F278" s="833"/>
      <c r="G278" s="941"/>
      <c r="H278" s="158" t="s">
        <v>12</v>
      </c>
      <c r="I278" s="836"/>
      <c r="J278" s="836"/>
      <c r="K278" s="837"/>
      <c r="L278" s="837">
        <f t="shared" ref="L278:N279" si="128">L281+L284</f>
        <v>0</v>
      </c>
      <c r="M278" s="837">
        <f t="shared" si="128"/>
        <v>0</v>
      </c>
      <c r="N278" s="837">
        <f t="shared" si="128"/>
        <v>0</v>
      </c>
      <c r="O278" s="837">
        <f t="shared" si="126"/>
        <v>0</v>
      </c>
      <c r="P278" s="837">
        <f t="shared" si="127"/>
        <v>0</v>
      </c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</row>
    <row r="279" spans="1:26" ht="18.75" hidden="1">
      <c r="A279" s="940"/>
      <c r="B279" s="833"/>
      <c r="C279" s="833"/>
      <c r="D279" s="833"/>
      <c r="E279" s="834" t="s">
        <v>19</v>
      </c>
      <c r="F279" s="833"/>
      <c r="G279" s="941"/>
      <c r="H279" s="158" t="s">
        <v>12</v>
      </c>
      <c r="I279" s="836"/>
      <c r="J279" s="836"/>
      <c r="K279" s="837"/>
      <c r="L279" s="837">
        <f t="shared" ca="1" si="128"/>
        <v>262220</v>
      </c>
      <c r="M279" s="837">
        <f t="shared" ca="1" si="128"/>
        <v>172520</v>
      </c>
      <c r="N279" s="837">
        <f t="shared" ca="1" si="128"/>
        <v>148536.20000000001</v>
      </c>
      <c r="O279" s="837">
        <f t="shared" ca="1" si="126"/>
        <v>56.645641064754791</v>
      </c>
      <c r="P279" s="837">
        <f t="shared" ca="1" si="127"/>
        <v>86.097959656851387</v>
      </c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</row>
    <row r="280" spans="1:26" ht="18.75">
      <c r="A280" s="942"/>
      <c r="B280" s="827"/>
      <c r="C280" s="943"/>
      <c r="D280" s="828" t="s">
        <v>20</v>
      </c>
      <c r="E280" s="827"/>
      <c r="F280" s="827"/>
      <c r="G280" s="829"/>
      <c r="H280" s="778" t="s">
        <v>12</v>
      </c>
      <c r="I280" s="944"/>
      <c r="J280" s="944"/>
      <c r="K280" s="945"/>
      <c r="L280" s="831">
        <f t="shared" ref="L280:N280" ca="1" si="129">L281+L282</f>
        <v>262220</v>
      </c>
      <c r="M280" s="831">
        <f t="shared" ca="1" si="129"/>
        <v>172520</v>
      </c>
      <c r="N280" s="831">
        <f t="shared" ca="1" si="129"/>
        <v>148536.20000000001</v>
      </c>
      <c r="O280" s="831">
        <f t="shared" ca="1" si="126"/>
        <v>56.645641064754791</v>
      </c>
      <c r="P280" s="831">
        <f t="shared" ca="1" si="127"/>
        <v>86.097959656851387</v>
      </c>
      <c r="Q280" s="818"/>
      <c r="R280" s="818"/>
      <c r="S280" s="818"/>
      <c r="T280" s="818"/>
      <c r="U280" s="818"/>
      <c r="V280" s="818"/>
      <c r="W280" s="818"/>
      <c r="X280" s="818"/>
      <c r="Y280" s="818"/>
      <c r="Z280" s="818"/>
    </row>
    <row r="281" spans="1:26" ht="19.5" hidden="1">
      <c r="A281" s="940"/>
      <c r="B281" s="833"/>
      <c r="C281" s="946"/>
      <c r="D281" s="833"/>
      <c r="E281" s="834" t="s">
        <v>36</v>
      </c>
      <c r="F281" s="833"/>
      <c r="G281" s="941"/>
      <c r="H281" s="165" t="s">
        <v>12</v>
      </c>
      <c r="I281" s="947"/>
      <c r="J281" s="947"/>
      <c r="K281" s="948"/>
      <c r="L281" s="837">
        <v>0</v>
      </c>
      <c r="M281" s="837">
        <v>0</v>
      </c>
      <c r="N281" s="837">
        <v>0</v>
      </c>
      <c r="O281" s="837">
        <f t="shared" si="126"/>
        <v>0</v>
      </c>
      <c r="P281" s="837">
        <f t="shared" si="127"/>
        <v>0</v>
      </c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</row>
    <row r="282" spans="1:26" ht="19.5" hidden="1">
      <c r="A282" s="940"/>
      <c r="B282" s="833"/>
      <c r="C282" s="946"/>
      <c r="D282" s="833"/>
      <c r="E282" s="834" t="s">
        <v>37</v>
      </c>
      <c r="F282" s="833"/>
      <c r="G282" s="941"/>
      <c r="H282" s="165" t="s">
        <v>12</v>
      </c>
      <c r="I282" s="947"/>
      <c r="J282" s="947"/>
      <c r="K282" s="948"/>
      <c r="L282" s="837">
        <f ca="1">IFERROR(__xludf.DUMMYFUNCTION("IMPORTRANGE(""https://docs.google.com/spreadsheets/d/1MeEWN-I1oV_STSDYn1IFDPWt_1FKiwhDph83XaGc0o0/edit?usp=sharing"",""งบพรบ!DI29"")"),262220)</f>
        <v>262220</v>
      </c>
      <c r="M282" s="837">
        <f ca="1">IFERROR(__xludf.DUMMYFUNCTION("IMPORTRANGE(""https://docs.google.com/spreadsheets/d/1MeEWN-I1oV_STSDYn1IFDPWt_1FKiwhDph83XaGc0o0/edit?usp=sharing"",""งบพรบ!DN29"")"),172520)</f>
        <v>172520</v>
      </c>
      <c r="N282" s="837">
        <f ca="1">IFERROR(__xludf.DUMMYFUNCTION("IMPORTRANGE(""https://docs.google.com/spreadsheets/d/1MeEWN-I1oV_STSDYn1IFDPWt_1FKiwhDph83XaGc0o0/edit?usp=sharing"",""งบพรบ!DP29"")"),148536.2)</f>
        <v>148536.20000000001</v>
      </c>
      <c r="O282" s="837">
        <f t="shared" ca="1" si="126"/>
        <v>56.645641064754791</v>
      </c>
      <c r="P282" s="837">
        <f t="shared" ca="1" si="127"/>
        <v>86.097959656851387</v>
      </c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</row>
    <row r="283" spans="1:26" ht="18.75">
      <c r="A283" s="942"/>
      <c r="B283" s="827"/>
      <c r="C283" s="943"/>
      <c r="D283" s="828" t="s">
        <v>21</v>
      </c>
      <c r="E283" s="827"/>
      <c r="F283" s="827"/>
      <c r="G283" s="829"/>
      <c r="H283" s="168" t="s">
        <v>12</v>
      </c>
      <c r="I283" s="944"/>
      <c r="J283" s="944"/>
      <c r="K283" s="945"/>
      <c r="L283" s="831">
        <f t="shared" ref="L283:N283" ca="1" si="130">L284+L285</f>
        <v>0</v>
      </c>
      <c r="M283" s="831">
        <f t="shared" ca="1" si="130"/>
        <v>0</v>
      </c>
      <c r="N283" s="831">
        <f t="shared" ca="1" si="130"/>
        <v>0</v>
      </c>
      <c r="O283" s="831">
        <f t="shared" ca="1" si="126"/>
        <v>0</v>
      </c>
      <c r="P283" s="831">
        <f t="shared" ca="1" si="127"/>
        <v>0</v>
      </c>
      <c r="Q283" s="818"/>
      <c r="R283" s="818"/>
      <c r="S283" s="818"/>
      <c r="T283" s="818"/>
      <c r="U283" s="818"/>
      <c r="V283" s="818"/>
      <c r="W283" s="818"/>
      <c r="X283" s="818"/>
      <c r="Y283" s="818"/>
      <c r="Z283" s="818"/>
    </row>
    <row r="284" spans="1:26" ht="19.5" hidden="1">
      <c r="A284" s="940"/>
      <c r="B284" s="833"/>
      <c r="C284" s="946"/>
      <c r="D284" s="833"/>
      <c r="E284" s="834" t="s">
        <v>18</v>
      </c>
      <c r="F284" s="833"/>
      <c r="G284" s="941"/>
      <c r="H284" s="165" t="s">
        <v>12</v>
      </c>
      <c r="I284" s="947"/>
      <c r="J284" s="947"/>
      <c r="K284" s="948"/>
      <c r="L284" s="837">
        <v>0</v>
      </c>
      <c r="M284" s="837">
        <v>0</v>
      </c>
      <c r="N284" s="837">
        <v>0</v>
      </c>
      <c r="O284" s="837">
        <f t="shared" si="126"/>
        <v>0</v>
      </c>
      <c r="P284" s="837">
        <f t="shared" si="127"/>
        <v>0</v>
      </c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</row>
    <row r="285" spans="1:26" ht="19.5" hidden="1">
      <c r="A285" s="940"/>
      <c r="B285" s="833"/>
      <c r="C285" s="946"/>
      <c r="D285" s="833"/>
      <c r="E285" s="834" t="s">
        <v>19</v>
      </c>
      <c r="F285" s="833"/>
      <c r="G285" s="941"/>
      <c r="H285" s="169" t="s">
        <v>12</v>
      </c>
      <c r="I285" s="947"/>
      <c r="J285" s="947"/>
      <c r="K285" s="948"/>
      <c r="L285" s="837">
        <f ca="1">IFERROR(__xludf.DUMMYFUNCTION("IMPORTRANGE(""https://docs.google.com/spreadsheets/d/1MeEWN-I1oV_STSDYn1IFDPWt_1FKiwhDph83XaGc0o0/edit?usp=sharing"",""งบพรบ!DL29"")"),0)</f>
        <v>0</v>
      </c>
      <c r="M285" s="837">
        <f ca="1">IFERROR(__xludf.DUMMYFUNCTION("IMPORTRANGE(""https://docs.google.com/spreadsheets/d/1MeEWN-I1oV_STSDYn1IFDPWt_1FKiwhDph83XaGc0o0/edit?usp=sharing"",""งบพรบ!DO29"")"),0)</f>
        <v>0</v>
      </c>
      <c r="N285" s="837">
        <f ca="1">IFERROR(__xludf.DUMMYFUNCTION("IMPORTRANGE(""https://docs.google.com/spreadsheets/d/1MeEWN-I1oV_STSDYn1IFDPWt_1FKiwhDph83XaGc0o0/edit?usp=sharing"",""งบพรบ!DQ29"")"),0)</f>
        <v>0</v>
      </c>
      <c r="O285" s="837">
        <f t="shared" ca="1" si="126"/>
        <v>0</v>
      </c>
      <c r="P285" s="837">
        <f t="shared" ca="1" si="127"/>
        <v>0</v>
      </c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</row>
    <row r="286" spans="1:26" ht="19.5">
      <c r="A286" s="949"/>
      <c r="B286" s="950"/>
      <c r="C286" s="946" t="s">
        <v>16</v>
      </c>
      <c r="D286" s="951" t="s">
        <v>38</v>
      </c>
      <c r="E286" s="952"/>
      <c r="F286" s="952"/>
      <c r="G286" s="953"/>
      <c r="H286" s="954"/>
      <c r="I286" s="944"/>
      <c r="J286" s="944"/>
      <c r="K286" s="945"/>
      <c r="L286" s="945"/>
      <c r="M286" s="945"/>
      <c r="N286" s="945"/>
      <c r="O286" s="945"/>
      <c r="P286" s="945"/>
    </row>
    <row r="287" spans="1:26" ht="18.75">
      <c r="A287" s="949"/>
      <c r="B287" s="950"/>
      <c r="C287" s="950"/>
      <c r="D287" s="961" t="s">
        <v>129</v>
      </c>
      <c r="E287" s="950"/>
      <c r="F287" s="957"/>
      <c r="G287" s="958"/>
      <c r="H287" s="777" t="s">
        <v>46</v>
      </c>
      <c r="I287" s="830">
        <f ca="1">IFERROR(__xludf.DUMMYFUNCTION("IMPORTRANGE(""https://docs.google.com/spreadsheets/d/1QqKyyYR6Q21VydFLVH3TRQUabQu_ym0Zz7PgGX0-kHA/edit?usp=sharing"",""แผน!EC29"")"),250)</f>
        <v>250</v>
      </c>
      <c r="J287" s="959">
        <v>0</v>
      </c>
      <c r="K287" s="945">
        <f t="shared" ref="K287:K288" ca="1" si="131">IF(I287&gt;0,J287*100/I287,0)</f>
        <v>0</v>
      </c>
      <c r="L287" s="945"/>
      <c r="M287" s="945"/>
      <c r="N287" s="945"/>
      <c r="O287" s="945"/>
      <c r="P287" s="945"/>
    </row>
    <row r="288" spans="1:26" ht="19.5">
      <c r="A288" s="949"/>
      <c r="B288" s="950"/>
      <c r="C288" s="950"/>
      <c r="D288" s="961" t="s">
        <v>130</v>
      </c>
      <c r="E288" s="950"/>
      <c r="F288" s="957"/>
      <c r="G288" s="958"/>
      <c r="H288" s="180" t="s">
        <v>35</v>
      </c>
      <c r="I288" s="966">
        <f ca="1">IFERROR(__xludf.DUMMYFUNCTION("IMPORTRANGE(""https://docs.google.com/spreadsheets/d/1QqKyyYR6Q21VydFLVH3TRQUabQu_ym0Zz7PgGX0-kHA/edit?usp=sharing"",""แผน!EB29"")"),25)</f>
        <v>25</v>
      </c>
      <c r="J288" s="966">
        <f ca="1">IF(AND(J291&gt;=I288,J294&gt;=I288),J294,0)</f>
        <v>0</v>
      </c>
      <c r="K288" s="1109">
        <f t="shared" ca="1" si="131"/>
        <v>0</v>
      </c>
      <c r="L288" s="945"/>
      <c r="M288" s="945"/>
      <c r="N288" s="945"/>
      <c r="O288" s="945"/>
      <c r="P288" s="945"/>
    </row>
    <row r="289" spans="1:26" ht="19.5">
      <c r="A289" s="949"/>
      <c r="B289" s="950"/>
      <c r="C289" s="950"/>
      <c r="D289" s="1110"/>
      <c r="E289" s="1111" t="s">
        <v>131</v>
      </c>
      <c r="F289" s="957"/>
      <c r="G289" s="958"/>
      <c r="H289" s="730"/>
      <c r="I289" s="944"/>
      <c r="J289" s="830"/>
      <c r="K289" s="945"/>
      <c r="L289" s="945"/>
      <c r="M289" s="945"/>
      <c r="N289" s="945"/>
      <c r="O289" s="945"/>
      <c r="P289" s="945"/>
    </row>
    <row r="290" spans="1:26" ht="19.5">
      <c r="A290" s="949"/>
      <c r="B290" s="950"/>
      <c r="C290" s="950"/>
      <c r="D290" s="1110"/>
      <c r="E290" s="961" t="s">
        <v>132</v>
      </c>
      <c r="F290" s="957"/>
      <c r="G290" s="958"/>
      <c r="H290" s="730" t="s">
        <v>35</v>
      </c>
      <c r="I290" s="944">
        <f ca="1">IFERROR(__xludf.DUMMYFUNCTION("IMPORTRANGE(""https://docs.google.com/spreadsheets/d/1QqKyyYR6Q21VydFLVH3TRQUabQu_ym0Zz7PgGX0-kHA/edit?usp=sharing"",""แผน!EB29"")"),25)</f>
        <v>25</v>
      </c>
      <c r="J290" s="959">
        <v>25</v>
      </c>
      <c r="K290" s="945">
        <f t="shared" ref="K290:K291" ca="1" si="132">IF(I290&gt;0,J290*100/I290,0)</f>
        <v>100</v>
      </c>
      <c r="L290" s="945"/>
      <c r="M290" s="945"/>
      <c r="N290" s="945"/>
      <c r="O290" s="945"/>
      <c r="P290" s="945"/>
    </row>
    <row r="291" spans="1:26" ht="19.5">
      <c r="A291" s="949"/>
      <c r="B291" s="950"/>
      <c r="C291" s="950"/>
      <c r="D291" s="957"/>
      <c r="E291" s="961" t="s">
        <v>133</v>
      </c>
      <c r="F291" s="957"/>
      <c r="G291" s="958"/>
      <c r="H291" s="730" t="s">
        <v>35</v>
      </c>
      <c r="I291" s="944">
        <f ca="1">IFERROR(__xludf.DUMMYFUNCTION("IMPORTRANGE(""https://docs.google.com/spreadsheets/d/1QqKyyYR6Q21VydFLVH3TRQUabQu_ym0Zz7PgGX0-kHA/edit?usp=sharing"",""แผน!EB29"")"),25)</f>
        <v>25</v>
      </c>
      <c r="J291" s="959">
        <v>25</v>
      </c>
      <c r="K291" s="945">
        <f t="shared" ca="1" si="132"/>
        <v>100</v>
      </c>
      <c r="L291" s="945"/>
      <c r="M291" s="945"/>
      <c r="N291" s="945"/>
      <c r="O291" s="945"/>
      <c r="P291" s="945"/>
    </row>
    <row r="292" spans="1:26" ht="19.5">
      <c r="A292" s="1112"/>
      <c r="B292" s="1113"/>
      <c r="C292" s="1113"/>
      <c r="D292" s="1114"/>
      <c r="E292" s="1115" t="s">
        <v>134</v>
      </c>
      <c r="F292" s="1034"/>
      <c r="G292" s="1035"/>
      <c r="H292" s="387"/>
      <c r="I292" s="1028"/>
      <c r="J292" s="937"/>
      <c r="K292" s="1029"/>
      <c r="L292" s="1029"/>
      <c r="M292" s="1029"/>
      <c r="N292" s="1029"/>
      <c r="O292" s="1029"/>
      <c r="P292" s="1029"/>
    </row>
    <row r="293" spans="1:26" ht="19.5">
      <c r="A293" s="949"/>
      <c r="B293" s="950"/>
      <c r="C293" s="950"/>
      <c r="D293" s="1110"/>
      <c r="E293" s="961" t="s">
        <v>132</v>
      </c>
      <c r="F293" s="957"/>
      <c r="G293" s="958"/>
      <c r="H293" s="730" t="s">
        <v>35</v>
      </c>
      <c r="I293" s="944">
        <f ca="1">IFERROR(__xludf.DUMMYFUNCTION("IMPORTRANGE(""https://docs.google.com/spreadsheets/d/1QqKyyYR6Q21VydFLVH3TRQUabQu_ym0Zz7PgGX0-kHA/edit?usp=sharing"",""แผน!EB29"")"),25)</f>
        <v>25</v>
      </c>
      <c r="J293" s="959">
        <v>0</v>
      </c>
      <c r="K293" s="945">
        <f t="shared" ref="K293:K294" ca="1" si="133">IF(I293&gt;0,J293*100/I293,0)</f>
        <v>0</v>
      </c>
      <c r="L293" s="945"/>
      <c r="M293" s="945"/>
      <c r="N293" s="945"/>
      <c r="O293" s="945"/>
      <c r="P293" s="945"/>
    </row>
    <row r="294" spans="1:26" ht="19.5">
      <c r="A294" s="1080"/>
      <c r="B294" s="1081"/>
      <c r="C294" s="1081"/>
      <c r="D294" s="1083"/>
      <c r="E294" s="1116" t="s">
        <v>136</v>
      </c>
      <c r="F294" s="1083"/>
      <c r="G294" s="1084"/>
      <c r="H294" s="391" t="s">
        <v>35</v>
      </c>
      <c r="I294" s="1117">
        <f ca="1">IFERROR(__xludf.DUMMYFUNCTION("IMPORTRANGE(""https://docs.google.com/spreadsheets/d/1QqKyyYR6Q21VydFLVH3TRQUabQu_ym0Zz7PgGX0-kHA/edit?usp=sharing"",""แผน!EB29"")"),25)</f>
        <v>25</v>
      </c>
      <c r="J294" s="1118">
        <v>0</v>
      </c>
      <c r="K294" s="1086">
        <f t="shared" ca="1" si="133"/>
        <v>0</v>
      </c>
      <c r="L294" s="1086"/>
      <c r="M294" s="1086"/>
      <c r="N294" s="1086"/>
      <c r="O294" s="1086"/>
      <c r="P294" s="1086"/>
    </row>
    <row r="295" spans="1:26" ht="19.5">
      <c r="A295" s="1119" t="s">
        <v>137</v>
      </c>
      <c r="B295" s="1120"/>
      <c r="C295" s="1120"/>
      <c r="D295" s="1120"/>
      <c r="E295" s="1121"/>
      <c r="F295" s="1121"/>
      <c r="G295" s="1122"/>
      <c r="H295" s="1123"/>
      <c r="I295" s="1124"/>
      <c r="J295" s="1124"/>
      <c r="K295" s="1125"/>
      <c r="L295" s="1125"/>
      <c r="M295" s="1125"/>
      <c r="N295" s="1125"/>
      <c r="O295" s="1125"/>
      <c r="P295" s="1125"/>
    </row>
    <row r="296" spans="1:26" ht="19.5">
      <c r="A296" s="1126" t="s">
        <v>138</v>
      </c>
      <c r="B296" s="1127"/>
      <c r="C296" s="1127"/>
      <c r="D296" s="1128"/>
      <c r="E296" s="1128"/>
      <c r="F296" s="1128"/>
      <c r="G296" s="1129"/>
      <c r="H296" s="1130"/>
      <c r="I296" s="1131"/>
      <c r="J296" s="1131"/>
      <c r="K296" s="1132"/>
      <c r="L296" s="1132"/>
      <c r="M296" s="1132"/>
      <c r="N296" s="1132"/>
      <c r="O296" s="1132"/>
      <c r="P296" s="1132"/>
    </row>
    <row r="297" spans="1:26" ht="19.5">
      <c r="A297" s="1133"/>
      <c r="B297" s="1134" t="s">
        <v>139</v>
      </c>
      <c r="C297" s="1135"/>
      <c r="D297" s="1135"/>
      <c r="E297" s="1135"/>
      <c r="F297" s="1135"/>
      <c r="G297" s="1136"/>
      <c r="H297" s="412" t="s">
        <v>35</v>
      </c>
      <c r="I297" s="1137">
        <f t="shared" ref="I297:J297" ca="1" si="134">I309</f>
        <v>20</v>
      </c>
      <c r="J297" s="1137">
        <f t="shared" si="134"/>
        <v>0</v>
      </c>
      <c r="K297" s="1138">
        <f ca="1">IF(I297&gt;0,J297*100/I297,0)</f>
        <v>0</v>
      </c>
      <c r="L297" s="1139"/>
      <c r="M297" s="1139"/>
      <c r="N297" s="1139"/>
      <c r="O297" s="1139"/>
      <c r="P297" s="1139"/>
    </row>
    <row r="298" spans="1:26" ht="19.5">
      <c r="A298" s="932"/>
      <c r="B298" s="933"/>
      <c r="C298" s="934" t="s">
        <v>16</v>
      </c>
      <c r="D298" s="935" t="s">
        <v>17</v>
      </c>
      <c r="E298" s="933"/>
      <c r="F298" s="933"/>
      <c r="G298" s="936"/>
      <c r="H298" s="152" t="s">
        <v>12</v>
      </c>
      <c r="I298" s="937"/>
      <c r="J298" s="937"/>
      <c r="K298" s="938"/>
      <c r="L298" s="939">
        <f t="shared" ref="L298:N298" ca="1" si="135">L299+L300</f>
        <v>82400</v>
      </c>
      <c r="M298" s="939">
        <f t="shared" ca="1" si="135"/>
        <v>64400</v>
      </c>
      <c r="N298" s="939">
        <f t="shared" ca="1" si="135"/>
        <v>7603.55</v>
      </c>
      <c r="O298" s="939">
        <f t="shared" ref="O298:O306" ca="1" si="136">IF(L298&gt;0,N298*100/L298,0)</f>
        <v>9.2276092233009717</v>
      </c>
      <c r="P298" s="939">
        <f t="shared" ref="P298:P306" ca="1" si="137">IF(M298&gt;0,N298*100/M298,0)</f>
        <v>11.806754658385094</v>
      </c>
      <c r="Q298" s="818"/>
      <c r="R298" s="818"/>
      <c r="S298" s="818"/>
      <c r="T298" s="818"/>
      <c r="U298" s="818"/>
      <c r="V298" s="818"/>
      <c r="W298" s="818"/>
      <c r="X298" s="818"/>
      <c r="Y298" s="818"/>
      <c r="Z298" s="818"/>
    </row>
    <row r="299" spans="1:26" ht="18.75" hidden="1">
      <c r="A299" s="940"/>
      <c r="B299" s="833"/>
      <c r="C299" s="833"/>
      <c r="D299" s="833"/>
      <c r="E299" s="834" t="s">
        <v>18</v>
      </c>
      <c r="F299" s="833"/>
      <c r="G299" s="941"/>
      <c r="H299" s="158" t="s">
        <v>12</v>
      </c>
      <c r="I299" s="836"/>
      <c r="J299" s="836"/>
      <c r="K299" s="837"/>
      <c r="L299" s="837">
        <f t="shared" ref="L299:N300" si="138">L302+L305</f>
        <v>0</v>
      </c>
      <c r="M299" s="837">
        <f t="shared" si="138"/>
        <v>0</v>
      </c>
      <c r="N299" s="837">
        <f t="shared" si="138"/>
        <v>0</v>
      </c>
      <c r="O299" s="837">
        <f t="shared" si="136"/>
        <v>0</v>
      </c>
      <c r="P299" s="837">
        <f t="shared" si="137"/>
        <v>0</v>
      </c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</row>
    <row r="300" spans="1:26" ht="18.75" hidden="1">
      <c r="A300" s="940"/>
      <c r="B300" s="833"/>
      <c r="C300" s="833"/>
      <c r="D300" s="833"/>
      <c r="E300" s="834" t="s">
        <v>19</v>
      </c>
      <c r="F300" s="833"/>
      <c r="G300" s="941"/>
      <c r="H300" s="158" t="s">
        <v>12</v>
      </c>
      <c r="I300" s="836"/>
      <c r="J300" s="836"/>
      <c r="K300" s="837"/>
      <c r="L300" s="837">
        <f t="shared" ca="1" si="138"/>
        <v>82400</v>
      </c>
      <c r="M300" s="837">
        <f t="shared" ca="1" si="138"/>
        <v>64400</v>
      </c>
      <c r="N300" s="837">
        <f t="shared" ca="1" si="138"/>
        <v>7603.55</v>
      </c>
      <c r="O300" s="837">
        <f t="shared" ca="1" si="136"/>
        <v>9.2276092233009717</v>
      </c>
      <c r="P300" s="837">
        <f t="shared" ca="1" si="137"/>
        <v>11.806754658385094</v>
      </c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</row>
    <row r="301" spans="1:26" ht="18.75">
      <c r="A301" s="942"/>
      <c r="B301" s="827"/>
      <c r="C301" s="943"/>
      <c r="D301" s="828" t="s">
        <v>20</v>
      </c>
      <c r="E301" s="827"/>
      <c r="F301" s="827"/>
      <c r="G301" s="829"/>
      <c r="H301" s="778" t="s">
        <v>12</v>
      </c>
      <c r="I301" s="944"/>
      <c r="J301" s="944"/>
      <c r="K301" s="945"/>
      <c r="L301" s="831">
        <f t="shared" ref="L301:N301" ca="1" si="139">L302+L303</f>
        <v>82400</v>
      </c>
      <c r="M301" s="831">
        <f t="shared" ca="1" si="139"/>
        <v>64400</v>
      </c>
      <c r="N301" s="831">
        <f t="shared" ca="1" si="139"/>
        <v>7603.55</v>
      </c>
      <c r="O301" s="831">
        <f t="shared" ca="1" si="136"/>
        <v>9.2276092233009717</v>
      </c>
      <c r="P301" s="831">
        <f t="shared" ca="1" si="137"/>
        <v>11.806754658385094</v>
      </c>
      <c r="Q301" s="818"/>
      <c r="R301" s="818"/>
      <c r="S301" s="818"/>
      <c r="T301" s="818"/>
      <c r="U301" s="818"/>
      <c r="V301" s="818"/>
      <c r="W301" s="818"/>
      <c r="X301" s="818"/>
      <c r="Y301" s="818"/>
      <c r="Z301" s="818"/>
    </row>
    <row r="302" spans="1:26" ht="19.5" hidden="1">
      <c r="A302" s="940"/>
      <c r="B302" s="833"/>
      <c r="C302" s="946"/>
      <c r="D302" s="833"/>
      <c r="E302" s="834" t="s">
        <v>36</v>
      </c>
      <c r="F302" s="833"/>
      <c r="G302" s="941"/>
      <c r="H302" s="165" t="s">
        <v>12</v>
      </c>
      <c r="I302" s="947"/>
      <c r="J302" s="947"/>
      <c r="K302" s="948"/>
      <c r="L302" s="837">
        <v>0</v>
      </c>
      <c r="M302" s="837">
        <v>0</v>
      </c>
      <c r="N302" s="837">
        <v>0</v>
      </c>
      <c r="O302" s="837">
        <f t="shared" si="136"/>
        <v>0</v>
      </c>
      <c r="P302" s="837">
        <f t="shared" si="137"/>
        <v>0</v>
      </c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</row>
    <row r="303" spans="1:26" ht="19.5" hidden="1">
      <c r="A303" s="940"/>
      <c r="B303" s="833"/>
      <c r="C303" s="946"/>
      <c r="D303" s="833"/>
      <c r="E303" s="834" t="s">
        <v>37</v>
      </c>
      <c r="F303" s="833"/>
      <c r="G303" s="941"/>
      <c r="H303" s="165" t="s">
        <v>12</v>
      </c>
      <c r="I303" s="947"/>
      <c r="J303" s="947"/>
      <c r="K303" s="948"/>
      <c r="L303" s="837">
        <f ca="1">IFERROR(__xludf.DUMMYFUNCTION("IMPORTRANGE(""https://docs.google.com/spreadsheets/d/1MeEWN-I1oV_STSDYn1IFDPWt_1FKiwhDph83XaGc0o0/edit?usp=sharing"",""งบพรบ!DS29"")"),82400)</f>
        <v>82400</v>
      </c>
      <c r="M303" s="837">
        <f ca="1">IFERROR(__xludf.DUMMYFUNCTION("IMPORTRANGE(""https://docs.google.com/spreadsheets/d/1MeEWN-I1oV_STSDYn1IFDPWt_1FKiwhDph83XaGc0o0/edit?usp=sharing"",""งบพรบ!DX29"")"),64400)</f>
        <v>64400</v>
      </c>
      <c r="N303" s="837">
        <f ca="1">IFERROR(__xludf.DUMMYFUNCTION("IMPORTRANGE(""https://docs.google.com/spreadsheets/d/1MeEWN-I1oV_STSDYn1IFDPWt_1FKiwhDph83XaGc0o0/edit?usp=sharing"",""งบพรบ!DZ29"")"),7603.55)</f>
        <v>7603.55</v>
      </c>
      <c r="O303" s="837">
        <f t="shared" ca="1" si="136"/>
        <v>9.2276092233009717</v>
      </c>
      <c r="P303" s="837">
        <f t="shared" ca="1" si="137"/>
        <v>11.806754658385094</v>
      </c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</row>
    <row r="304" spans="1:26" ht="18.75">
      <c r="A304" s="942"/>
      <c r="B304" s="827"/>
      <c r="C304" s="943"/>
      <c r="D304" s="828" t="s">
        <v>21</v>
      </c>
      <c r="E304" s="827"/>
      <c r="F304" s="827"/>
      <c r="G304" s="829"/>
      <c r="H304" s="168" t="s">
        <v>12</v>
      </c>
      <c r="I304" s="944"/>
      <c r="J304" s="944"/>
      <c r="K304" s="945"/>
      <c r="L304" s="831">
        <f t="shared" ref="L304:N304" ca="1" si="140">L305+L306</f>
        <v>0</v>
      </c>
      <c r="M304" s="831">
        <f t="shared" ca="1" si="140"/>
        <v>0</v>
      </c>
      <c r="N304" s="831">
        <f t="shared" ca="1" si="140"/>
        <v>0</v>
      </c>
      <c r="O304" s="831">
        <f t="shared" ca="1" si="136"/>
        <v>0</v>
      </c>
      <c r="P304" s="831">
        <f t="shared" ca="1" si="137"/>
        <v>0</v>
      </c>
      <c r="Q304" s="818"/>
      <c r="R304" s="818"/>
      <c r="S304" s="818"/>
      <c r="T304" s="818"/>
      <c r="U304" s="818"/>
      <c r="V304" s="818"/>
      <c r="W304" s="818"/>
      <c r="X304" s="818"/>
      <c r="Y304" s="818"/>
      <c r="Z304" s="818"/>
    </row>
    <row r="305" spans="1:26" ht="19.5" hidden="1">
      <c r="A305" s="940"/>
      <c r="B305" s="833"/>
      <c r="C305" s="946"/>
      <c r="D305" s="833"/>
      <c r="E305" s="834" t="s">
        <v>18</v>
      </c>
      <c r="F305" s="833"/>
      <c r="G305" s="941"/>
      <c r="H305" s="165" t="s">
        <v>12</v>
      </c>
      <c r="I305" s="947"/>
      <c r="J305" s="947"/>
      <c r="K305" s="948"/>
      <c r="L305" s="837">
        <v>0</v>
      </c>
      <c r="M305" s="837">
        <v>0</v>
      </c>
      <c r="N305" s="837">
        <v>0</v>
      </c>
      <c r="O305" s="837">
        <f t="shared" si="136"/>
        <v>0</v>
      </c>
      <c r="P305" s="837">
        <f t="shared" si="137"/>
        <v>0</v>
      </c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</row>
    <row r="306" spans="1:26" ht="19.5" hidden="1">
      <c r="A306" s="940"/>
      <c r="B306" s="833"/>
      <c r="C306" s="946"/>
      <c r="D306" s="833"/>
      <c r="E306" s="834" t="s">
        <v>19</v>
      </c>
      <c r="F306" s="833"/>
      <c r="G306" s="941"/>
      <c r="H306" s="169" t="s">
        <v>12</v>
      </c>
      <c r="I306" s="947"/>
      <c r="J306" s="947"/>
      <c r="K306" s="948"/>
      <c r="L306" s="837">
        <f ca="1">IFERROR(__xludf.DUMMYFUNCTION("IMPORTRANGE(""https://docs.google.com/spreadsheets/d/1MeEWN-I1oV_STSDYn1IFDPWt_1FKiwhDph83XaGc0o0/edit?usp=sharing"",""งบพรบ!DV29"")"),0)</f>
        <v>0</v>
      </c>
      <c r="M306" s="837">
        <f ca="1">IFERROR(__xludf.DUMMYFUNCTION("IMPORTRANGE(""https://docs.google.com/spreadsheets/d/1MeEWN-I1oV_STSDYn1IFDPWt_1FKiwhDph83XaGc0o0/edit?usp=sharing"",""งบพรบ!DY29"")"),0)</f>
        <v>0</v>
      </c>
      <c r="N306" s="837">
        <f ca="1">IFERROR(__xludf.DUMMYFUNCTION("IMPORTRANGE(""https://docs.google.com/spreadsheets/d/1MeEWN-I1oV_STSDYn1IFDPWt_1FKiwhDph83XaGc0o0/edit?usp=sharing"",""งบพรบ!EA29"")"),0)</f>
        <v>0</v>
      </c>
      <c r="O306" s="837">
        <f t="shared" ca="1" si="136"/>
        <v>0</v>
      </c>
      <c r="P306" s="837">
        <f t="shared" ca="1" si="137"/>
        <v>0</v>
      </c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</row>
    <row r="307" spans="1:26" ht="19.5">
      <c r="A307" s="949"/>
      <c r="B307" s="950"/>
      <c r="C307" s="946" t="s">
        <v>16</v>
      </c>
      <c r="D307" s="951" t="s">
        <v>38</v>
      </c>
      <c r="E307" s="952"/>
      <c r="F307" s="952"/>
      <c r="G307" s="953"/>
      <c r="H307" s="954"/>
      <c r="I307" s="830"/>
      <c r="J307" s="830"/>
      <c r="K307" s="831"/>
      <c r="L307" s="831"/>
      <c r="M307" s="831"/>
      <c r="N307" s="831"/>
      <c r="O307" s="831"/>
      <c r="P307" s="831"/>
    </row>
    <row r="308" spans="1:26" ht="18.75">
      <c r="A308" s="949"/>
      <c r="B308" s="950"/>
      <c r="C308" s="950"/>
      <c r="D308" s="956" t="s">
        <v>140</v>
      </c>
      <c r="E308" s="956"/>
      <c r="F308" s="956"/>
      <c r="G308" s="958"/>
      <c r="H308" s="730"/>
      <c r="I308" s="830"/>
      <c r="J308" s="959">
        <v>0</v>
      </c>
      <c r="K308" s="831"/>
      <c r="L308" s="831"/>
      <c r="M308" s="831"/>
      <c r="N308" s="831"/>
      <c r="O308" s="831"/>
      <c r="P308" s="831"/>
    </row>
    <row r="309" spans="1:26" ht="18.75">
      <c r="A309" s="949"/>
      <c r="B309" s="950"/>
      <c r="C309" s="950"/>
      <c r="D309" s="956" t="s">
        <v>141</v>
      </c>
      <c r="E309" s="956"/>
      <c r="F309" s="956"/>
      <c r="G309" s="958"/>
      <c r="H309" s="730" t="s">
        <v>35</v>
      </c>
      <c r="I309" s="830">
        <f ca="1">IFERROR(__xludf.DUMMYFUNCTION("IMPORTRANGE(""https://docs.google.com/spreadsheets/d/1QqKyyYR6Q21VydFLVH3TRQUabQu_ym0Zz7PgGX0-kHA/edit?usp=sharing"",""แผน!ED29"")"),20)</f>
        <v>20</v>
      </c>
      <c r="J309" s="959">
        <v>0</v>
      </c>
      <c r="K309" s="831">
        <f t="shared" ref="K309:K312" ca="1" si="141">IF(I309&gt;0,J309*100/I309,0)</f>
        <v>0</v>
      </c>
      <c r="L309" s="831"/>
      <c r="M309" s="831"/>
      <c r="N309" s="831"/>
      <c r="O309" s="831"/>
      <c r="P309" s="831"/>
    </row>
    <row r="310" spans="1:26" ht="18.75">
      <c r="A310" s="949"/>
      <c r="B310" s="950"/>
      <c r="C310" s="950"/>
      <c r="D310" s="956" t="s">
        <v>142</v>
      </c>
      <c r="E310" s="956"/>
      <c r="F310" s="956"/>
      <c r="G310" s="958"/>
      <c r="H310" s="730" t="s">
        <v>35</v>
      </c>
      <c r="I310" s="830">
        <f ca="1">IFERROR(__xludf.DUMMYFUNCTION("IMPORTRANGE(""https://docs.google.com/spreadsheets/d/1QqKyyYR6Q21VydFLVH3TRQUabQu_ym0Zz7PgGX0-kHA/edit?usp=sharing"",""แผน!ED29"")"),20)</f>
        <v>20</v>
      </c>
      <c r="J310" s="959">
        <v>0</v>
      </c>
      <c r="K310" s="831">
        <f t="shared" ca="1" si="141"/>
        <v>0</v>
      </c>
      <c r="L310" s="831"/>
      <c r="M310" s="831"/>
      <c r="N310" s="831"/>
      <c r="O310" s="831"/>
      <c r="P310" s="831"/>
    </row>
    <row r="311" spans="1:26" ht="18.75">
      <c r="A311" s="949"/>
      <c r="B311" s="950"/>
      <c r="C311" s="950"/>
      <c r="D311" s="956" t="s">
        <v>59</v>
      </c>
      <c r="E311" s="956"/>
      <c r="F311" s="956"/>
      <c r="G311" s="958"/>
      <c r="H311" s="730" t="s">
        <v>35</v>
      </c>
      <c r="I311" s="830">
        <f ca="1">IFERROR(__xludf.DUMMYFUNCTION("IMPORTRANGE(""https://docs.google.com/spreadsheets/d/1QqKyyYR6Q21VydFLVH3TRQUabQu_ym0Zz7PgGX0-kHA/edit?usp=sharing"",""แผน!ED29"")"),20)</f>
        <v>20</v>
      </c>
      <c r="J311" s="959">
        <v>0</v>
      </c>
      <c r="K311" s="831">
        <f t="shared" ca="1" si="141"/>
        <v>0</v>
      </c>
      <c r="L311" s="831"/>
      <c r="M311" s="831"/>
      <c r="N311" s="831"/>
      <c r="O311" s="831"/>
      <c r="P311" s="831"/>
    </row>
    <row r="312" spans="1:26" ht="18.75">
      <c r="A312" s="949"/>
      <c r="B312" s="950"/>
      <c r="C312" s="950"/>
      <c r="D312" s="956" t="s">
        <v>143</v>
      </c>
      <c r="E312" s="956"/>
      <c r="F312" s="956"/>
      <c r="G312" s="958"/>
      <c r="H312" s="730" t="s">
        <v>35</v>
      </c>
      <c r="I312" s="830">
        <f ca="1">IFERROR(__xludf.DUMMYFUNCTION("IMPORTRANGE(""https://docs.google.com/spreadsheets/d/1QqKyyYR6Q21VydFLVH3TRQUabQu_ym0Zz7PgGX0-kHA/edit?usp=sharing"",""แผน!EE29"")"),4)</f>
        <v>4</v>
      </c>
      <c r="J312" s="959">
        <v>0</v>
      </c>
      <c r="K312" s="831">
        <f t="shared" ca="1" si="141"/>
        <v>0</v>
      </c>
      <c r="L312" s="831"/>
      <c r="M312" s="831"/>
      <c r="N312" s="831"/>
      <c r="O312" s="831"/>
      <c r="P312" s="831"/>
    </row>
    <row r="313" spans="1:26" ht="19.5" hidden="1">
      <c r="A313" s="1126" t="s">
        <v>144</v>
      </c>
      <c r="B313" s="1127"/>
      <c r="C313" s="1127"/>
      <c r="D313" s="1128"/>
      <c r="E313" s="1127"/>
      <c r="F313" s="1127"/>
      <c r="G313" s="1127"/>
      <c r="H313" s="1140"/>
      <c r="I313" s="1131"/>
      <c r="J313" s="1131"/>
      <c r="K313" s="1132"/>
      <c r="L313" s="1132"/>
      <c r="M313" s="1132"/>
      <c r="N313" s="1132"/>
      <c r="O313" s="1132"/>
      <c r="P313" s="1132"/>
    </row>
    <row r="314" spans="1:26" ht="19.5" hidden="1">
      <c r="A314" s="1141"/>
      <c r="B314" s="1134" t="s">
        <v>145</v>
      </c>
      <c r="C314" s="1142"/>
      <c r="D314" s="1143"/>
      <c r="E314" s="1135"/>
      <c r="F314" s="1135"/>
      <c r="G314" s="1136"/>
      <c r="H314" s="412" t="s">
        <v>146</v>
      </c>
      <c r="I314" s="1137">
        <f t="shared" ref="I314:J314" ca="1" si="142">I325</f>
        <v>0</v>
      </c>
      <c r="J314" s="1137">
        <f t="shared" si="142"/>
        <v>0</v>
      </c>
      <c r="K314" s="1138">
        <f ca="1">IF(I314&gt;0,J314*100/I314,0)</f>
        <v>0</v>
      </c>
      <c r="L314" s="1139"/>
      <c r="M314" s="1139"/>
      <c r="N314" s="1139"/>
      <c r="O314" s="1139"/>
      <c r="P314" s="1139"/>
    </row>
    <row r="315" spans="1:26" ht="19.5" hidden="1">
      <c r="A315" s="932"/>
      <c r="B315" s="933"/>
      <c r="C315" s="934" t="s">
        <v>16</v>
      </c>
      <c r="D315" s="935" t="s">
        <v>17</v>
      </c>
      <c r="E315" s="933"/>
      <c r="F315" s="933"/>
      <c r="G315" s="936"/>
      <c r="H315" s="152" t="s">
        <v>12</v>
      </c>
      <c r="I315" s="937"/>
      <c r="J315" s="937"/>
      <c r="K315" s="938"/>
      <c r="L315" s="939">
        <f t="shared" ref="L315:N315" ca="1" si="143">L316+L317</f>
        <v>0</v>
      </c>
      <c r="M315" s="939">
        <f t="shared" ca="1" si="143"/>
        <v>0</v>
      </c>
      <c r="N315" s="939">
        <f t="shared" ca="1" si="143"/>
        <v>0</v>
      </c>
      <c r="O315" s="939">
        <f t="shared" ref="O315:O323" ca="1" si="144">IF(L315&gt;0,N315*100/L315,0)</f>
        <v>0</v>
      </c>
      <c r="P315" s="939">
        <f t="shared" ref="P315:P323" ca="1" si="145">IF(M315&gt;0,N315*100/M315,0)</f>
        <v>0</v>
      </c>
      <c r="Q315" s="818"/>
      <c r="R315" s="818"/>
      <c r="S315" s="818"/>
      <c r="T315" s="818"/>
      <c r="U315" s="818"/>
      <c r="V315" s="818"/>
      <c r="W315" s="818"/>
      <c r="X315" s="818"/>
      <c r="Y315" s="818"/>
      <c r="Z315" s="818"/>
    </row>
    <row r="316" spans="1:26" ht="18.75" hidden="1">
      <c r="A316" s="940"/>
      <c r="B316" s="833"/>
      <c r="C316" s="833"/>
      <c r="D316" s="833"/>
      <c r="E316" s="834" t="s">
        <v>18</v>
      </c>
      <c r="F316" s="833"/>
      <c r="G316" s="941"/>
      <c r="H316" s="158" t="s">
        <v>12</v>
      </c>
      <c r="I316" s="836"/>
      <c r="J316" s="836"/>
      <c r="K316" s="837"/>
      <c r="L316" s="837">
        <f t="shared" ref="L316:N317" si="146">L319+L322</f>
        <v>0</v>
      </c>
      <c r="M316" s="837">
        <f t="shared" si="146"/>
        <v>0</v>
      </c>
      <c r="N316" s="837">
        <f t="shared" si="146"/>
        <v>0</v>
      </c>
      <c r="O316" s="837">
        <f t="shared" si="144"/>
        <v>0</v>
      </c>
      <c r="P316" s="837">
        <f t="shared" si="145"/>
        <v>0</v>
      </c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</row>
    <row r="317" spans="1:26" ht="18.75" hidden="1">
      <c r="A317" s="940"/>
      <c r="B317" s="833"/>
      <c r="C317" s="833"/>
      <c r="D317" s="833"/>
      <c r="E317" s="834" t="s">
        <v>19</v>
      </c>
      <c r="F317" s="833"/>
      <c r="G317" s="941"/>
      <c r="H317" s="158" t="s">
        <v>12</v>
      </c>
      <c r="I317" s="836"/>
      <c r="J317" s="836"/>
      <c r="K317" s="837"/>
      <c r="L317" s="837">
        <f t="shared" ca="1" si="146"/>
        <v>0</v>
      </c>
      <c r="M317" s="837">
        <f t="shared" ca="1" si="146"/>
        <v>0</v>
      </c>
      <c r="N317" s="837">
        <f t="shared" ca="1" si="146"/>
        <v>0</v>
      </c>
      <c r="O317" s="837">
        <f t="shared" ca="1" si="144"/>
        <v>0</v>
      </c>
      <c r="P317" s="837">
        <f t="shared" ca="1" si="145"/>
        <v>0</v>
      </c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</row>
    <row r="318" spans="1:26" ht="18.75" hidden="1">
      <c r="A318" s="942"/>
      <c r="B318" s="827"/>
      <c r="C318" s="943"/>
      <c r="D318" s="828" t="s">
        <v>20</v>
      </c>
      <c r="E318" s="827"/>
      <c r="F318" s="827"/>
      <c r="G318" s="829"/>
      <c r="H318" s="778" t="s">
        <v>12</v>
      </c>
      <c r="I318" s="944"/>
      <c r="J318" s="944"/>
      <c r="K318" s="945"/>
      <c r="L318" s="831">
        <f t="shared" ref="L318:N318" ca="1" si="147">L319+L320</f>
        <v>0</v>
      </c>
      <c r="M318" s="831">
        <f t="shared" ca="1" si="147"/>
        <v>0</v>
      </c>
      <c r="N318" s="831">
        <f t="shared" ca="1" si="147"/>
        <v>0</v>
      </c>
      <c r="O318" s="831">
        <f t="shared" ca="1" si="144"/>
        <v>0</v>
      </c>
      <c r="P318" s="831">
        <f t="shared" ca="1" si="145"/>
        <v>0</v>
      </c>
      <c r="Q318" s="818"/>
      <c r="R318" s="818"/>
      <c r="S318" s="818"/>
      <c r="T318" s="818"/>
      <c r="U318" s="818"/>
      <c r="V318" s="818"/>
      <c r="W318" s="818"/>
      <c r="X318" s="818"/>
      <c r="Y318" s="818"/>
      <c r="Z318" s="818"/>
    </row>
    <row r="319" spans="1:26" ht="19.5" hidden="1">
      <c r="A319" s="940"/>
      <c r="B319" s="833"/>
      <c r="C319" s="946"/>
      <c r="D319" s="833"/>
      <c r="E319" s="834" t="s">
        <v>36</v>
      </c>
      <c r="F319" s="833"/>
      <c r="G319" s="941"/>
      <c r="H319" s="165" t="s">
        <v>12</v>
      </c>
      <c r="I319" s="947"/>
      <c r="J319" s="947"/>
      <c r="K319" s="948"/>
      <c r="L319" s="837">
        <v>0</v>
      </c>
      <c r="M319" s="837">
        <v>0</v>
      </c>
      <c r="N319" s="837">
        <v>0</v>
      </c>
      <c r="O319" s="837">
        <f t="shared" si="144"/>
        <v>0</v>
      </c>
      <c r="P319" s="837">
        <f t="shared" si="145"/>
        <v>0</v>
      </c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</row>
    <row r="320" spans="1:26" ht="19.5" hidden="1">
      <c r="A320" s="940"/>
      <c r="B320" s="833"/>
      <c r="C320" s="946"/>
      <c r="D320" s="833"/>
      <c r="E320" s="834" t="s">
        <v>37</v>
      </c>
      <c r="F320" s="833"/>
      <c r="G320" s="941"/>
      <c r="H320" s="165" t="s">
        <v>12</v>
      </c>
      <c r="I320" s="947"/>
      <c r="J320" s="947"/>
      <c r="K320" s="948"/>
      <c r="L320" s="837">
        <f ca="1">IFERROR(__xludf.DUMMYFUNCTION("IMPORTRANGE(""https://docs.google.com/spreadsheets/d/1MeEWN-I1oV_STSDYn1IFDPWt_1FKiwhDph83XaGc0o0/edit?usp=sharing"",""งบพรบ!EC29"")"),0)</f>
        <v>0</v>
      </c>
      <c r="M320" s="837">
        <f ca="1">IFERROR(__xludf.DUMMYFUNCTION("IMPORTRANGE(""https://docs.google.com/spreadsheets/d/1MeEWN-I1oV_STSDYn1IFDPWt_1FKiwhDph83XaGc0o0/edit?usp=sharing"",""งบพรบ!EH29"")"),0)</f>
        <v>0</v>
      </c>
      <c r="N320" s="837">
        <f ca="1">IFERROR(__xludf.DUMMYFUNCTION("IMPORTRANGE(""https://docs.google.com/spreadsheets/d/1MeEWN-I1oV_STSDYn1IFDPWt_1FKiwhDph83XaGc0o0/edit?usp=sharing"",""งบพรบ!EJ29"")"),0)</f>
        <v>0</v>
      </c>
      <c r="O320" s="837">
        <f t="shared" ca="1" si="144"/>
        <v>0</v>
      </c>
      <c r="P320" s="837">
        <f t="shared" ca="1" si="145"/>
        <v>0</v>
      </c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</row>
    <row r="321" spans="1:26" ht="18.75" hidden="1">
      <c r="A321" s="942"/>
      <c r="B321" s="827"/>
      <c r="C321" s="943"/>
      <c r="D321" s="828" t="s">
        <v>21</v>
      </c>
      <c r="E321" s="827"/>
      <c r="F321" s="827"/>
      <c r="G321" s="829"/>
      <c r="H321" s="168" t="s">
        <v>12</v>
      </c>
      <c r="I321" s="944"/>
      <c r="J321" s="944"/>
      <c r="K321" s="945"/>
      <c r="L321" s="831">
        <f t="shared" ref="L321:N321" ca="1" si="148">L322+L323</f>
        <v>0</v>
      </c>
      <c r="M321" s="831">
        <f t="shared" ca="1" si="148"/>
        <v>0</v>
      </c>
      <c r="N321" s="831">
        <f t="shared" ca="1" si="148"/>
        <v>0</v>
      </c>
      <c r="O321" s="831">
        <f t="shared" ca="1" si="144"/>
        <v>0</v>
      </c>
      <c r="P321" s="831">
        <f t="shared" ca="1" si="145"/>
        <v>0</v>
      </c>
      <c r="Q321" s="818"/>
      <c r="R321" s="818"/>
      <c r="S321" s="818"/>
      <c r="T321" s="818"/>
      <c r="U321" s="818"/>
      <c r="V321" s="818"/>
      <c r="W321" s="818"/>
      <c r="X321" s="818"/>
      <c r="Y321" s="818"/>
      <c r="Z321" s="818"/>
    </row>
    <row r="322" spans="1:26" ht="19.5" hidden="1">
      <c r="A322" s="940"/>
      <c r="B322" s="833"/>
      <c r="C322" s="946"/>
      <c r="D322" s="833"/>
      <c r="E322" s="834" t="s">
        <v>18</v>
      </c>
      <c r="F322" s="833"/>
      <c r="G322" s="941"/>
      <c r="H322" s="165" t="s">
        <v>12</v>
      </c>
      <c r="I322" s="947"/>
      <c r="J322" s="947"/>
      <c r="K322" s="948"/>
      <c r="L322" s="837">
        <v>0</v>
      </c>
      <c r="M322" s="837">
        <v>0</v>
      </c>
      <c r="N322" s="837">
        <v>0</v>
      </c>
      <c r="O322" s="837">
        <f t="shared" si="144"/>
        <v>0</v>
      </c>
      <c r="P322" s="837">
        <f t="shared" si="145"/>
        <v>0</v>
      </c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</row>
    <row r="323" spans="1:26" ht="19.5" hidden="1">
      <c r="A323" s="940"/>
      <c r="B323" s="833"/>
      <c r="C323" s="946"/>
      <c r="D323" s="833"/>
      <c r="E323" s="834" t="s">
        <v>19</v>
      </c>
      <c r="F323" s="833"/>
      <c r="G323" s="941"/>
      <c r="H323" s="169" t="s">
        <v>12</v>
      </c>
      <c r="I323" s="947"/>
      <c r="J323" s="947"/>
      <c r="K323" s="948"/>
      <c r="L323" s="837">
        <f ca="1">IFERROR(__xludf.DUMMYFUNCTION("IMPORTRANGE(""https://docs.google.com/spreadsheets/d/1MeEWN-I1oV_STSDYn1IFDPWt_1FKiwhDph83XaGc0o0/edit?usp=sharing"",""งบพรบ!EF29"")"),0)</f>
        <v>0</v>
      </c>
      <c r="M323" s="837">
        <f ca="1">IFERROR(__xludf.DUMMYFUNCTION("IMPORTRANGE(""https://docs.google.com/spreadsheets/d/1MeEWN-I1oV_STSDYn1IFDPWt_1FKiwhDph83XaGc0o0/edit?usp=sharing"",""งบพรบ!EI29"")"),0)</f>
        <v>0</v>
      </c>
      <c r="N323" s="837">
        <f ca="1">IFERROR(__xludf.DUMMYFUNCTION("IMPORTRANGE(""https://docs.google.com/spreadsheets/d/1MeEWN-I1oV_STSDYn1IFDPWt_1FKiwhDph83XaGc0o0/edit?usp=sharing"",""งบพรบ!EK29"")"),0)</f>
        <v>0</v>
      </c>
      <c r="O323" s="837">
        <f t="shared" ca="1" si="144"/>
        <v>0</v>
      </c>
      <c r="P323" s="837">
        <f t="shared" ca="1" si="145"/>
        <v>0</v>
      </c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</row>
    <row r="324" spans="1:26" ht="19.5" hidden="1">
      <c r="A324" s="949"/>
      <c r="B324" s="950"/>
      <c r="C324" s="946" t="s">
        <v>16</v>
      </c>
      <c r="D324" s="951" t="s">
        <v>38</v>
      </c>
      <c r="E324" s="952"/>
      <c r="F324" s="952"/>
      <c r="G324" s="953"/>
      <c r="H324" s="954"/>
      <c r="I324" s="944"/>
      <c r="J324" s="830"/>
      <c r="K324" s="831"/>
      <c r="L324" s="831"/>
      <c r="M324" s="831"/>
      <c r="N324" s="831"/>
      <c r="O324" s="945"/>
      <c r="P324" s="945"/>
    </row>
    <row r="325" spans="1:26" ht="18.75" hidden="1">
      <c r="A325" s="949"/>
      <c r="B325" s="950"/>
      <c r="C325" s="950"/>
      <c r="D325" s="955" t="s">
        <v>147</v>
      </c>
      <c r="E325" s="957"/>
      <c r="F325" s="956"/>
      <c r="G325" s="958"/>
      <c r="H325" s="590" t="s">
        <v>146</v>
      </c>
      <c r="I325" s="830">
        <f ca="1">IFERROR(__xludf.DUMMYFUNCTION("IMPORTRANGE(""https://docs.google.com/spreadsheets/d/1QqKyyYR6Q21VydFLVH3TRQUabQu_ym0Zz7PgGX0-kHA/edit?usp=sharing"",""แผน!EF29"")"),0)</f>
        <v>0</v>
      </c>
      <c r="J325" s="959">
        <v>0</v>
      </c>
      <c r="K325" s="831">
        <f ca="1">IF(I325&gt;0,J325*100/I325,0)</f>
        <v>0</v>
      </c>
      <c r="L325" s="831"/>
      <c r="M325" s="831"/>
      <c r="N325" s="831"/>
      <c r="O325" s="945"/>
      <c r="P325" s="945"/>
    </row>
    <row r="326" spans="1:26" ht="19.5">
      <c r="A326" s="1126" t="s">
        <v>148</v>
      </c>
      <c r="B326" s="1127"/>
      <c r="C326" s="1127"/>
      <c r="D326" s="1128"/>
      <c r="E326" s="1127"/>
      <c r="F326" s="1127"/>
      <c r="G326" s="1127"/>
      <c r="H326" s="1140"/>
      <c r="I326" s="1131"/>
      <c r="J326" s="1131"/>
      <c r="K326" s="1132"/>
      <c r="L326" s="1132"/>
      <c r="M326" s="1132"/>
      <c r="N326" s="1132"/>
      <c r="O326" s="1132"/>
      <c r="P326" s="1132"/>
    </row>
    <row r="327" spans="1:26" ht="19.5">
      <c r="A327" s="1133"/>
      <c r="B327" s="1134" t="s">
        <v>149</v>
      </c>
      <c r="C327" s="1143"/>
      <c r="D327" s="1135"/>
      <c r="E327" s="1135"/>
      <c r="F327" s="1135"/>
      <c r="G327" s="1136"/>
      <c r="H327" s="412" t="s">
        <v>35</v>
      </c>
      <c r="I327" s="1137">
        <f ca="1">IFERROR(__xludf.DUMMYFUNCTION("IMPORTRANGE(""https://docs.google.com/spreadsheets/d/1QqKyyYR6Q21VydFLVH3TRQUabQu_ym0Zz7PgGX0-kHA/edit?usp=sharing"",""แผน!EG29"")"),1800)</f>
        <v>1800</v>
      </c>
      <c r="J327" s="1137">
        <f ca="1">J338+J341+J342+J343</f>
        <v>2059</v>
      </c>
      <c r="K327" s="1138">
        <f ca="1">IF(I327&gt;0,J327*100/I327,0)</f>
        <v>114.38888888888889</v>
      </c>
      <c r="L327" s="1139"/>
      <c r="M327" s="1139"/>
      <c r="N327" s="1139"/>
      <c r="O327" s="1139"/>
      <c r="P327" s="1139"/>
    </row>
    <row r="328" spans="1:26" ht="19.5">
      <c r="A328" s="932"/>
      <c r="B328" s="933"/>
      <c r="C328" s="934" t="s">
        <v>16</v>
      </c>
      <c r="D328" s="935" t="s">
        <v>17</v>
      </c>
      <c r="E328" s="933"/>
      <c r="F328" s="933"/>
      <c r="G328" s="936"/>
      <c r="H328" s="152" t="s">
        <v>12</v>
      </c>
      <c r="I328" s="937"/>
      <c r="J328" s="937"/>
      <c r="K328" s="938"/>
      <c r="L328" s="939">
        <f t="shared" ref="L328:N328" ca="1" si="149">L329+L330</f>
        <v>175000</v>
      </c>
      <c r="M328" s="939">
        <f t="shared" ca="1" si="149"/>
        <v>133750</v>
      </c>
      <c r="N328" s="939">
        <f t="shared" ca="1" si="149"/>
        <v>70791</v>
      </c>
      <c r="O328" s="939">
        <f t="shared" ref="O328:O336" ca="1" si="150">IF(L328&gt;0,N328*100/L328,0)</f>
        <v>40.451999999999998</v>
      </c>
      <c r="P328" s="939">
        <f t="shared" ref="P328:P336" ca="1" si="151">IF(M328&gt;0,N328*100/M328,0)</f>
        <v>52.927850467289723</v>
      </c>
      <c r="Q328" s="818"/>
      <c r="R328" s="818"/>
      <c r="S328" s="818"/>
      <c r="T328" s="818"/>
      <c r="U328" s="818"/>
      <c r="V328" s="818"/>
      <c r="W328" s="818"/>
      <c r="X328" s="818"/>
      <c r="Y328" s="818"/>
      <c r="Z328" s="818"/>
    </row>
    <row r="329" spans="1:26" ht="18.75" hidden="1">
      <c r="A329" s="940"/>
      <c r="B329" s="833"/>
      <c r="C329" s="833"/>
      <c r="D329" s="833"/>
      <c r="E329" s="834" t="s">
        <v>18</v>
      </c>
      <c r="F329" s="833"/>
      <c r="G329" s="941"/>
      <c r="H329" s="158" t="s">
        <v>12</v>
      </c>
      <c r="I329" s="836"/>
      <c r="J329" s="836"/>
      <c r="K329" s="837"/>
      <c r="L329" s="837">
        <f t="shared" ref="L329:N330" si="152">L332+L335</f>
        <v>0</v>
      </c>
      <c r="M329" s="837">
        <f t="shared" si="152"/>
        <v>0</v>
      </c>
      <c r="N329" s="837">
        <f t="shared" si="152"/>
        <v>0</v>
      </c>
      <c r="O329" s="837">
        <f t="shared" si="150"/>
        <v>0</v>
      </c>
      <c r="P329" s="837">
        <f t="shared" si="151"/>
        <v>0</v>
      </c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</row>
    <row r="330" spans="1:26" ht="18.75" hidden="1">
      <c r="A330" s="940"/>
      <c r="B330" s="833"/>
      <c r="C330" s="833"/>
      <c r="D330" s="833"/>
      <c r="E330" s="834" t="s">
        <v>19</v>
      </c>
      <c r="F330" s="833"/>
      <c r="G330" s="941"/>
      <c r="H330" s="158" t="s">
        <v>12</v>
      </c>
      <c r="I330" s="836"/>
      <c r="J330" s="836"/>
      <c r="K330" s="837"/>
      <c r="L330" s="837">
        <f t="shared" ca="1" si="152"/>
        <v>175000</v>
      </c>
      <c r="M330" s="837">
        <f t="shared" ca="1" si="152"/>
        <v>133750</v>
      </c>
      <c r="N330" s="837">
        <f t="shared" ca="1" si="152"/>
        <v>70791</v>
      </c>
      <c r="O330" s="837">
        <f t="shared" ca="1" si="150"/>
        <v>40.451999999999998</v>
      </c>
      <c r="P330" s="837">
        <f t="shared" ca="1" si="151"/>
        <v>52.927850467289723</v>
      </c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</row>
    <row r="331" spans="1:26" ht="18.75">
      <c r="A331" s="942"/>
      <c r="B331" s="827"/>
      <c r="C331" s="943"/>
      <c r="D331" s="828" t="s">
        <v>20</v>
      </c>
      <c r="E331" s="827"/>
      <c r="F331" s="827"/>
      <c r="G331" s="829"/>
      <c r="H331" s="778" t="s">
        <v>12</v>
      </c>
      <c r="I331" s="944"/>
      <c r="J331" s="944"/>
      <c r="K331" s="945"/>
      <c r="L331" s="831">
        <f t="shared" ref="L331:N331" ca="1" si="153">L332+L333</f>
        <v>175000</v>
      </c>
      <c r="M331" s="831">
        <f t="shared" ca="1" si="153"/>
        <v>133750</v>
      </c>
      <c r="N331" s="831">
        <f t="shared" ca="1" si="153"/>
        <v>70791</v>
      </c>
      <c r="O331" s="831">
        <f t="shared" ca="1" si="150"/>
        <v>40.451999999999998</v>
      </c>
      <c r="P331" s="831">
        <f t="shared" ca="1" si="151"/>
        <v>52.927850467289723</v>
      </c>
      <c r="Q331" s="818"/>
      <c r="R331" s="818"/>
      <c r="S331" s="818"/>
      <c r="T331" s="818"/>
      <c r="U331" s="818"/>
      <c r="V331" s="818"/>
      <c r="W331" s="818"/>
      <c r="X331" s="818"/>
      <c r="Y331" s="818"/>
      <c r="Z331" s="818"/>
    </row>
    <row r="332" spans="1:26" ht="19.5" hidden="1">
      <c r="A332" s="940"/>
      <c r="B332" s="833"/>
      <c r="C332" s="946"/>
      <c r="D332" s="833"/>
      <c r="E332" s="834" t="s">
        <v>36</v>
      </c>
      <c r="F332" s="833"/>
      <c r="G332" s="941"/>
      <c r="H332" s="165" t="s">
        <v>12</v>
      </c>
      <c r="I332" s="947"/>
      <c r="J332" s="947"/>
      <c r="K332" s="948"/>
      <c r="L332" s="837">
        <v>0</v>
      </c>
      <c r="M332" s="837">
        <v>0</v>
      </c>
      <c r="N332" s="837">
        <v>0</v>
      </c>
      <c r="O332" s="837">
        <f t="shared" si="150"/>
        <v>0</v>
      </c>
      <c r="P332" s="837">
        <f t="shared" si="151"/>
        <v>0</v>
      </c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</row>
    <row r="333" spans="1:26" ht="19.5" hidden="1">
      <c r="A333" s="940"/>
      <c r="B333" s="833"/>
      <c r="C333" s="946"/>
      <c r="D333" s="833"/>
      <c r="E333" s="834" t="s">
        <v>37</v>
      </c>
      <c r="F333" s="833"/>
      <c r="G333" s="941"/>
      <c r="H333" s="165" t="s">
        <v>12</v>
      </c>
      <c r="I333" s="947"/>
      <c r="J333" s="947"/>
      <c r="K333" s="948"/>
      <c r="L333" s="837">
        <f ca="1">IFERROR(__xludf.DUMMYFUNCTION("IMPORTRANGE(""https://docs.google.com/spreadsheets/d/1MeEWN-I1oV_STSDYn1IFDPWt_1FKiwhDph83XaGc0o0/edit?usp=sharing"",""งบพรบ!EM29"")"),175000)</f>
        <v>175000</v>
      </c>
      <c r="M333" s="837">
        <f ca="1">IFERROR(__xludf.DUMMYFUNCTION("IMPORTRANGE(""https://docs.google.com/spreadsheets/d/1MeEWN-I1oV_STSDYn1IFDPWt_1FKiwhDph83XaGc0o0/edit?usp=sharing"",""งบพรบ!ER29"")"),133750)</f>
        <v>133750</v>
      </c>
      <c r="N333" s="837">
        <f ca="1">IFERROR(__xludf.DUMMYFUNCTION("IMPORTRANGE(""https://docs.google.com/spreadsheets/d/1MeEWN-I1oV_STSDYn1IFDPWt_1FKiwhDph83XaGc0o0/edit?usp=sharing"",""งบพรบ!ET29"")"),70791)</f>
        <v>70791</v>
      </c>
      <c r="O333" s="837">
        <f t="shared" ca="1" si="150"/>
        <v>40.451999999999998</v>
      </c>
      <c r="P333" s="837">
        <f t="shared" ca="1" si="151"/>
        <v>52.927850467289723</v>
      </c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</row>
    <row r="334" spans="1:26" ht="18.75">
      <c r="A334" s="942"/>
      <c r="B334" s="827"/>
      <c r="C334" s="943"/>
      <c r="D334" s="828" t="s">
        <v>21</v>
      </c>
      <c r="E334" s="827"/>
      <c r="F334" s="827"/>
      <c r="G334" s="829"/>
      <c r="H334" s="168" t="s">
        <v>12</v>
      </c>
      <c r="I334" s="944"/>
      <c r="J334" s="944"/>
      <c r="K334" s="945"/>
      <c r="L334" s="831">
        <f t="shared" ref="L334:N334" ca="1" si="154">L335+L336</f>
        <v>0</v>
      </c>
      <c r="M334" s="831">
        <f t="shared" ca="1" si="154"/>
        <v>0</v>
      </c>
      <c r="N334" s="831">
        <f t="shared" ca="1" si="154"/>
        <v>0</v>
      </c>
      <c r="O334" s="831">
        <f t="shared" ca="1" si="150"/>
        <v>0</v>
      </c>
      <c r="P334" s="831">
        <f t="shared" ca="1" si="151"/>
        <v>0</v>
      </c>
      <c r="Q334" s="818"/>
      <c r="R334" s="818"/>
      <c r="S334" s="818"/>
      <c r="T334" s="818"/>
      <c r="U334" s="818"/>
      <c r="V334" s="818"/>
      <c r="W334" s="818"/>
      <c r="X334" s="818"/>
      <c r="Y334" s="818"/>
      <c r="Z334" s="818"/>
    </row>
    <row r="335" spans="1:26" ht="19.5" hidden="1">
      <c r="A335" s="940"/>
      <c r="B335" s="833"/>
      <c r="C335" s="946"/>
      <c r="D335" s="833"/>
      <c r="E335" s="834" t="s">
        <v>18</v>
      </c>
      <c r="F335" s="833"/>
      <c r="G335" s="941"/>
      <c r="H335" s="165" t="s">
        <v>12</v>
      </c>
      <c r="I335" s="947"/>
      <c r="J335" s="947"/>
      <c r="K335" s="948"/>
      <c r="L335" s="837">
        <v>0</v>
      </c>
      <c r="M335" s="837">
        <v>0</v>
      </c>
      <c r="N335" s="837">
        <v>0</v>
      </c>
      <c r="O335" s="837">
        <f t="shared" si="150"/>
        <v>0</v>
      </c>
      <c r="P335" s="837">
        <f t="shared" si="151"/>
        <v>0</v>
      </c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</row>
    <row r="336" spans="1:26" ht="19.5" hidden="1">
      <c r="A336" s="940"/>
      <c r="B336" s="833"/>
      <c r="C336" s="946"/>
      <c r="D336" s="833"/>
      <c r="E336" s="834" t="s">
        <v>19</v>
      </c>
      <c r="F336" s="833"/>
      <c r="G336" s="941"/>
      <c r="H336" s="169" t="s">
        <v>12</v>
      </c>
      <c r="I336" s="947"/>
      <c r="J336" s="947"/>
      <c r="K336" s="948"/>
      <c r="L336" s="837">
        <f ca="1">IFERROR(__xludf.DUMMYFUNCTION("IMPORTRANGE(""https://docs.google.com/spreadsheets/d/1MeEWN-I1oV_STSDYn1IFDPWt_1FKiwhDph83XaGc0o0/edit?usp=sharing"",""งบพรบ!EP29"")"),0)</f>
        <v>0</v>
      </c>
      <c r="M336" s="837">
        <f ca="1">IFERROR(__xludf.DUMMYFUNCTION("IMPORTRANGE(""https://docs.google.com/spreadsheets/d/1MeEWN-I1oV_STSDYn1IFDPWt_1FKiwhDph83XaGc0o0/edit?usp=sharing"",""งบพรบ!ES29"")"),0)</f>
        <v>0</v>
      </c>
      <c r="N336" s="837">
        <f ca="1">IFERROR(__xludf.DUMMYFUNCTION("IMPORTRANGE(""https://docs.google.com/spreadsheets/d/1MeEWN-I1oV_STSDYn1IFDPWt_1FKiwhDph83XaGc0o0/edit?usp=sharing"",""งบพรบ!EU29"")"),0)</f>
        <v>0</v>
      </c>
      <c r="O336" s="837">
        <f t="shared" ca="1" si="150"/>
        <v>0</v>
      </c>
      <c r="P336" s="837">
        <f t="shared" ca="1" si="151"/>
        <v>0</v>
      </c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</row>
    <row r="337" spans="1:26" ht="19.5">
      <c r="A337" s="949"/>
      <c r="B337" s="950"/>
      <c r="C337" s="946" t="s">
        <v>16</v>
      </c>
      <c r="D337" s="951" t="s">
        <v>38</v>
      </c>
      <c r="E337" s="952"/>
      <c r="F337" s="952"/>
      <c r="G337" s="953"/>
      <c r="H337" s="954"/>
      <c r="I337" s="944"/>
      <c r="J337" s="830"/>
      <c r="K337" s="831"/>
      <c r="L337" s="831"/>
      <c r="M337" s="831"/>
      <c r="N337" s="831"/>
      <c r="O337" s="945"/>
      <c r="P337" s="945"/>
    </row>
    <row r="338" spans="1:26" ht="18.75">
      <c r="A338" s="1032"/>
      <c r="B338" s="827"/>
      <c r="C338" s="1030"/>
      <c r="D338" s="956" t="s">
        <v>150</v>
      </c>
      <c r="E338" s="950"/>
      <c r="F338" s="827"/>
      <c r="G338" s="829"/>
      <c r="H338" s="277" t="s">
        <v>35</v>
      </c>
      <c r="I338" s="830">
        <f ca="1">IFERROR(__xludf.DUMMYFUNCTION("IMPORTRANGE(""https://docs.google.com/spreadsheets/d/1QqKyyYR6Q21VydFLVH3TRQUabQu_ym0Zz7PgGX0-kHA/edit?usp=sharing"",""แผน!EG29"")"),1800)</f>
        <v>1800</v>
      </c>
      <c r="J338" s="830">
        <f ca="1">IFERROR(__xludf.DUMMYFUNCTION("IMPORTRANGE(""https://docs.google.com/spreadsheets/d/1kVcqe37tkHyjCSG3S0O1AXqVkqjo8mSIZil3BcpIysc/edit?usp=sharing"",""ศูนย์!D29"")"),1515)</f>
        <v>1515</v>
      </c>
      <c r="K338" s="831">
        <f ca="1">IF(I338&gt;0,J338*100/I338,0)</f>
        <v>84.166666666666671</v>
      </c>
      <c r="L338" s="831"/>
      <c r="M338" s="831"/>
      <c r="N338" s="831"/>
      <c r="O338" s="831"/>
      <c r="P338" s="831"/>
    </row>
    <row r="339" spans="1:26" ht="18.75">
      <c r="A339" s="1032"/>
      <c r="B339" s="827"/>
      <c r="C339" s="1030"/>
      <c r="D339" s="956" t="s">
        <v>151</v>
      </c>
      <c r="E339" s="950"/>
      <c r="F339" s="827"/>
      <c r="G339" s="829"/>
      <c r="H339" s="277"/>
      <c r="I339" s="830"/>
      <c r="J339" s="830"/>
      <c r="K339" s="831"/>
      <c r="L339" s="831"/>
      <c r="M339" s="831"/>
      <c r="N339" s="831"/>
      <c r="O339" s="831"/>
      <c r="P339" s="831"/>
    </row>
    <row r="340" spans="1:26" ht="18.75">
      <c r="A340" s="1032"/>
      <c r="B340" s="827"/>
      <c r="C340" s="1030"/>
      <c r="D340" s="957"/>
      <c r="E340" s="956" t="s">
        <v>152</v>
      </c>
      <c r="F340" s="827"/>
      <c r="G340" s="829"/>
      <c r="H340" s="277" t="s">
        <v>153</v>
      </c>
      <c r="I340" s="830">
        <f ca="1">IFERROR(__xludf.DUMMYFUNCTION("IMPORTRANGE(""https://docs.google.com/spreadsheets/d/1QqKyyYR6Q21VydFLVH3TRQUabQu_ym0Zz7PgGX0-kHA/edit?usp=sharing"",""แผน!EH29"")"),6)</f>
        <v>6</v>
      </c>
      <c r="J340" s="830">
        <f ca="1">IFERROR(__xludf.DUMMYFUNCTION("IMPORTRANGE(""https://docs.google.com/spreadsheets/d/1kVcqe37tkHyjCSG3S0O1AXqVkqjo8mSIZil3BcpIysc/edit?usp=sharing"",""ศูนย์!E29"")"),3)</f>
        <v>3</v>
      </c>
      <c r="K340" s="831">
        <f ca="1">IF(I340&gt;0,J340*100/I340,0)</f>
        <v>50</v>
      </c>
      <c r="L340" s="831"/>
      <c r="M340" s="831"/>
      <c r="N340" s="831"/>
      <c r="O340" s="831"/>
      <c r="P340" s="831"/>
    </row>
    <row r="341" spans="1:26" ht="18.75">
      <c r="A341" s="1032"/>
      <c r="B341" s="827"/>
      <c r="C341" s="1030"/>
      <c r="D341" s="957"/>
      <c r="E341" s="956" t="s">
        <v>154</v>
      </c>
      <c r="F341" s="827"/>
      <c r="G341" s="829"/>
      <c r="H341" s="277" t="s">
        <v>35</v>
      </c>
      <c r="I341" s="830"/>
      <c r="J341" s="830">
        <f ca="1">IFERROR(__xludf.DUMMYFUNCTION("IMPORTRANGE(""https://docs.google.com/spreadsheets/d/1kVcqe37tkHyjCSG3S0O1AXqVkqjo8mSIZil3BcpIysc/edit?usp=sharing"",""ศูนย์!F29"")"),191)</f>
        <v>191</v>
      </c>
      <c r="K341" s="831"/>
      <c r="L341" s="831"/>
      <c r="M341" s="831"/>
      <c r="N341" s="831"/>
      <c r="O341" s="831"/>
      <c r="P341" s="831"/>
    </row>
    <row r="342" spans="1:26" ht="18.75">
      <c r="A342" s="1032"/>
      <c r="B342" s="827"/>
      <c r="C342" s="1030"/>
      <c r="D342" s="956" t="s">
        <v>155</v>
      </c>
      <c r="E342" s="957"/>
      <c r="F342" s="957"/>
      <c r="G342" s="829"/>
      <c r="H342" s="277" t="s">
        <v>35</v>
      </c>
      <c r="I342" s="830"/>
      <c r="J342" s="830">
        <f ca="1">IFERROR(__xludf.DUMMYFUNCTION("IMPORTRANGE(""https://docs.google.com/spreadsheets/d/1kVcqe37tkHyjCSG3S0O1AXqVkqjo8mSIZil3BcpIysc/edit?usp=sharing"",""ศูนย์!G29"")"),3)</f>
        <v>3</v>
      </c>
      <c r="K342" s="831"/>
      <c r="L342" s="831"/>
      <c r="M342" s="831"/>
      <c r="N342" s="831"/>
      <c r="O342" s="831"/>
      <c r="P342" s="831"/>
    </row>
    <row r="343" spans="1:26" ht="18.75">
      <c r="A343" s="1032"/>
      <c r="B343" s="827"/>
      <c r="C343" s="1030"/>
      <c r="D343" s="956" t="s">
        <v>156</v>
      </c>
      <c r="E343" s="957"/>
      <c r="F343" s="957"/>
      <c r="G343" s="829"/>
      <c r="H343" s="277" t="s">
        <v>35</v>
      </c>
      <c r="I343" s="830"/>
      <c r="J343" s="830">
        <f ca="1">IFERROR(__xludf.DUMMYFUNCTION("IMPORTRANGE(""https://docs.google.com/spreadsheets/d/1kVcqe37tkHyjCSG3S0O1AXqVkqjo8mSIZil3BcpIysc/edit?usp=sharing"",""ศูนย์!H29"")"),350)</f>
        <v>350</v>
      </c>
      <c r="K343" s="831"/>
      <c r="L343" s="831"/>
      <c r="M343" s="831"/>
      <c r="N343" s="831"/>
      <c r="O343" s="831"/>
      <c r="P343" s="831"/>
    </row>
    <row r="344" spans="1:26" ht="19.5">
      <c r="A344" s="1133"/>
      <c r="B344" s="1134" t="s">
        <v>157</v>
      </c>
      <c r="C344" s="1143"/>
      <c r="D344" s="1135"/>
      <c r="E344" s="1135"/>
      <c r="F344" s="1135"/>
      <c r="G344" s="1136"/>
      <c r="H344" s="412"/>
      <c r="I344" s="1144"/>
      <c r="J344" s="1144"/>
      <c r="K344" s="1139"/>
      <c r="L344" s="1139"/>
      <c r="M344" s="1139"/>
      <c r="N344" s="1139"/>
      <c r="O344" s="1139"/>
      <c r="P344" s="1139"/>
    </row>
    <row r="345" spans="1:26" ht="19.5">
      <c r="A345" s="932"/>
      <c r="B345" s="933"/>
      <c r="C345" s="934" t="s">
        <v>16</v>
      </c>
      <c r="D345" s="935" t="s">
        <v>17</v>
      </c>
      <c r="E345" s="933"/>
      <c r="F345" s="933"/>
      <c r="G345" s="936"/>
      <c r="H345" s="152" t="s">
        <v>12</v>
      </c>
      <c r="I345" s="937"/>
      <c r="J345" s="937"/>
      <c r="K345" s="938"/>
      <c r="L345" s="939">
        <f t="shared" ref="L345:N345" ca="1" si="155">L346+L347</f>
        <v>959100</v>
      </c>
      <c r="M345" s="939">
        <f t="shared" ca="1" si="155"/>
        <v>788600</v>
      </c>
      <c r="N345" s="939">
        <f t="shared" ca="1" si="155"/>
        <v>413335.5</v>
      </c>
      <c r="O345" s="939">
        <f t="shared" ref="O345:O353" ca="1" si="156">IF(L345&gt;0,N345*100/L345,0)</f>
        <v>43.096183922427272</v>
      </c>
      <c r="P345" s="939">
        <f t="shared" ref="P345:P353" ca="1" si="157">IF(M345&gt;0,N345*100/M345,0)</f>
        <v>52.413834643672331</v>
      </c>
      <c r="Q345" s="818"/>
      <c r="R345" s="818"/>
      <c r="S345" s="818"/>
      <c r="T345" s="818"/>
      <c r="U345" s="818"/>
      <c r="V345" s="818"/>
      <c r="W345" s="818"/>
      <c r="X345" s="818"/>
      <c r="Y345" s="818"/>
      <c r="Z345" s="818"/>
    </row>
    <row r="346" spans="1:26" ht="18.75" hidden="1">
      <c r="A346" s="940"/>
      <c r="B346" s="833"/>
      <c r="C346" s="833"/>
      <c r="D346" s="833"/>
      <c r="E346" s="834" t="s">
        <v>18</v>
      </c>
      <c r="F346" s="833"/>
      <c r="G346" s="941"/>
      <c r="H346" s="158" t="s">
        <v>12</v>
      </c>
      <c r="I346" s="836"/>
      <c r="J346" s="836"/>
      <c r="K346" s="837"/>
      <c r="L346" s="837">
        <f t="shared" ref="L346:N347" si="158">L349+L352</f>
        <v>0</v>
      </c>
      <c r="M346" s="837">
        <f t="shared" si="158"/>
        <v>0</v>
      </c>
      <c r="N346" s="837">
        <f t="shared" si="158"/>
        <v>0</v>
      </c>
      <c r="O346" s="837">
        <f t="shared" si="156"/>
        <v>0</v>
      </c>
      <c r="P346" s="837">
        <f t="shared" si="157"/>
        <v>0</v>
      </c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</row>
    <row r="347" spans="1:26" ht="18.75" hidden="1">
      <c r="A347" s="940"/>
      <c r="B347" s="833"/>
      <c r="C347" s="833"/>
      <c r="D347" s="833"/>
      <c r="E347" s="834" t="s">
        <v>19</v>
      </c>
      <c r="F347" s="833"/>
      <c r="G347" s="941"/>
      <c r="H347" s="158" t="s">
        <v>12</v>
      </c>
      <c r="I347" s="836"/>
      <c r="J347" s="836"/>
      <c r="K347" s="837"/>
      <c r="L347" s="837">
        <f t="shared" ca="1" si="158"/>
        <v>959100</v>
      </c>
      <c r="M347" s="837">
        <f t="shared" ca="1" si="158"/>
        <v>788600</v>
      </c>
      <c r="N347" s="837">
        <f t="shared" ca="1" si="158"/>
        <v>413335.5</v>
      </c>
      <c r="O347" s="837">
        <f t="shared" ca="1" si="156"/>
        <v>43.096183922427272</v>
      </c>
      <c r="P347" s="837">
        <f t="shared" ca="1" si="157"/>
        <v>52.413834643672331</v>
      </c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</row>
    <row r="348" spans="1:26" ht="18.75">
      <c r="A348" s="942"/>
      <c r="B348" s="827"/>
      <c r="C348" s="943"/>
      <c r="D348" s="828" t="s">
        <v>20</v>
      </c>
      <c r="E348" s="827"/>
      <c r="F348" s="827"/>
      <c r="G348" s="829"/>
      <c r="H348" s="778" t="s">
        <v>12</v>
      </c>
      <c r="I348" s="944"/>
      <c r="J348" s="944"/>
      <c r="K348" s="945"/>
      <c r="L348" s="831">
        <f t="shared" ref="L348:N348" ca="1" si="159">L349+L350</f>
        <v>890300</v>
      </c>
      <c r="M348" s="831">
        <f t="shared" ca="1" si="159"/>
        <v>720300</v>
      </c>
      <c r="N348" s="831">
        <f t="shared" ca="1" si="159"/>
        <v>345035.5</v>
      </c>
      <c r="O348" s="831">
        <f t="shared" ca="1" si="156"/>
        <v>38.754970234752328</v>
      </c>
      <c r="P348" s="831">
        <f t="shared" ca="1" si="157"/>
        <v>47.901638206302927</v>
      </c>
      <c r="Q348" s="818"/>
      <c r="R348" s="818"/>
      <c r="S348" s="818"/>
      <c r="T348" s="818"/>
      <c r="U348" s="818"/>
      <c r="V348" s="818"/>
      <c r="W348" s="818"/>
      <c r="X348" s="818"/>
      <c r="Y348" s="818"/>
      <c r="Z348" s="818"/>
    </row>
    <row r="349" spans="1:26" ht="19.5" hidden="1">
      <c r="A349" s="940"/>
      <c r="B349" s="833"/>
      <c r="C349" s="946"/>
      <c r="D349" s="833"/>
      <c r="E349" s="834" t="s">
        <v>36</v>
      </c>
      <c r="F349" s="833"/>
      <c r="G349" s="941"/>
      <c r="H349" s="165" t="s">
        <v>12</v>
      </c>
      <c r="I349" s="947"/>
      <c r="J349" s="947"/>
      <c r="K349" s="948"/>
      <c r="L349" s="837">
        <v>0</v>
      </c>
      <c r="M349" s="837">
        <v>0</v>
      </c>
      <c r="N349" s="837">
        <v>0</v>
      </c>
      <c r="O349" s="837">
        <f t="shared" si="156"/>
        <v>0</v>
      </c>
      <c r="P349" s="837">
        <f t="shared" si="157"/>
        <v>0</v>
      </c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</row>
    <row r="350" spans="1:26" ht="19.5" hidden="1">
      <c r="A350" s="940"/>
      <c r="B350" s="833"/>
      <c r="C350" s="946"/>
      <c r="D350" s="833"/>
      <c r="E350" s="834" t="s">
        <v>37</v>
      </c>
      <c r="F350" s="833"/>
      <c r="G350" s="941"/>
      <c r="H350" s="165" t="s">
        <v>12</v>
      </c>
      <c r="I350" s="947"/>
      <c r="J350" s="947"/>
      <c r="K350" s="948"/>
      <c r="L350" s="837">
        <f ca="1">IFERROR(__xludf.DUMMYFUNCTION("IMPORTRANGE(""https://docs.google.com/spreadsheets/d/1MeEWN-I1oV_STSDYn1IFDPWt_1FKiwhDph83XaGc0o0/edit?usp=sharing"",""งบพรบ!EW29"")"),890300)</f>
        <v>890300</v>
      </c>
      <c r="M350" s="837">
        <f ca="1">IFERROR(__xludf.DUMMYFUNCTION("IMPORTRANGE(""https://docs.google.com/spreadsheets/d/1MeEWN-I1oV_STSDYn1IFDPWt_1FKiwhDph83XaGc0o0/edit?usp=sharing"",""งบพรบ!FB29"")"),720300)</f>
        <v>720300</v>
      </c>
      <c r="N350" s="837">
        <f ca="1">IFERROR(__xludf.DUMMYFUNCTION("IMPORTRANGE(""https://docs.google.com/spreadsheets/d/1MeEWN-I1oV_STSDYn1IFDPWt_1FKiwhDph83XaGc0o0/edit?usp=sharing"",""งบพรบ!FD29"")"),345035.5)</f>
        <v>345035.5</v>
      </c>
      <c r="O350" s="837">
        <f t="shared" ca="1" si="156"/>
        <v>38.754970234752328</v>
      </c>
      <c r="P350" s="837">
        <f t="shared" ca="1" si="157"/>
        <v>47.901638206302927</v>
      </c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</row>
    <row r="351" spans="1:26" ht="18.75">
      <c r="A351" s="942"/>
      <c r="B351" s="827"/>
      <c r="C351" s="943"/>
      <c r="D351" s="828" t="s">
        <v>21</v>
      </c>
      <c r="E351" s="827"/>
      <c r="F351" s="827"/>
      <c r="G351" s="829"/>
      <c r="H351" s="168" t="s">
        <v>12</v>
      </c>
      <c r="I351" s="944"/>
      <c r="J351" s="944"/>
      <c r="K351" s="945"/>
      <c r="L351" s="831">
        <f t="shared" ref="L351:N351" ca="1" si="160">L352+L353</f>
        <v>68800</v>
      </c>
      <c r="M351" s="831">
        <f t="shared" ca="1" si="160"/>
        <v>68300</v>
      </c>
      <c r="N351" s="831">
        <f t="shared" ca="1" si="160"/>
        <v>68300</v>
      </c>
      <c r="O351" s="831">
        <f t="shared" ca="1" si="156"/>
        <v>99.273255813953483</v>
      </c>
      <c r="P351" s="831">
        <f t="shared" ca="1" si="157"/>
        <v>100</v>
      </c>
      <c r="Q351" s="818"/>
      <c r="R351" s="818"/>
      <c r="S351" s="818"/>
      <c r="T351" s="818"/>
      <c r="U351" s="818"/>
      <c r="V351" s="818"/>
      <c r="W351" s="818"/>
      <c r="X351" s="818"/>
      <c r="Y351" s="818"/>
      <c r="Z351" s="818"/>
    </row>
    <row r="352" spans="1:26" ht="19.5" hidden="1">
      <c r="A352" s="940"/>
      <c r="B352" s="833"/>
      <c r="C352" s="946"/>
      <c r="D352" s="833"/>
      <c r="E352" s="834" t="s">
        <v>18</v>
      </c>
      <c r="F352" s="833"/>
      <c r="G352" s="941"/>
      <c r="H352" s="165" t="s">
        <v>12</v>
      </c>
      <c r="I352" s="947"/>
      <c r="J352" s="947"/>
      <c r="K352" s="948"/>
      <c r="L352" s="837">
        <v>0</v>
      </c>
      <c r="M352" s="837">
        <v>0</v>
      </c>
      <c r="N352" s="837">
        <v>0</v>
      </c>
      <c r="O352" s="837">
        <f t="shared" si="156"/>
        <v>0</v>
      </c>
      <c r="P352" s="837">
        <f t="shared" si="157"/>
        <v>0</v>
      </c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</row>
    <row r="353" spans="1:26" ht="19.5" hidden="1">
      <c r="A353" s="940"/>
      <c r="B353" s="833"/>
      <c r="C353" s="946"/>
      <c r="D353" s="833"/>
      <c r="E353" s="834" t="s">
        <v>19</v>
      </c>
      <c r="F353" s="833"/>
      <c r="G353" s="941"/>
      <c r="H353" s="169" t="s">
        <v>12</v>
      </c>
      <c r="I353" s="947"/>
      <c r="J353" s="947"/>
      <c r="K353" s="948"/>
      <c r="L353" s="837">
        <f ca="1">IFERROR(__xludf.DUMMYFUNCTION("IMPORTRANGE(""https://docs.google.com/spreadsheets/d/1MeEWN-I1oV_STSDYn1IFDPWt_1FKiwhDph83XaGc0o0/edit?usp=sharing"",""งบพรบ!EZ29"")"),68800)</f>
        <v>68800</v>
      </c>
      <c r="M353" s="837">
        <f ca="1">IFERROR(__xludf.DUMMYFUNCTION("IMPORTRANGE(""https://docs.google.com/spreadsheets/d/1MeEWN-I1oV_STSDYn1IFDPWt_1FKiwhDph83XaGc0o0/edit?usp=sharing"",""งบพรบ!FC29"")"),68300)</f>
        <v>68300</v>
      </c>
      <c r="N353" s="837">
        <f ca="1">IFERROR(__xludf.DUMMYFUNCTION("IMPORTRANGE(""https://docs.google.com/spreadsheets/d/1MeEWN-I1oV_STSDYn1IFDPWt_1FKiwhDph83XaGc0o0/edit?usp=sharing"",""งบพรบ!FE29"")"),68300)</f>
        <v>68300</v>
      </c>
      <c r="O353" s="837">
        <f t="shared" ca="1" si="156"/>
        <v>99.273255813953483</v>
      </c>
      <c r="P353" s="837">
        <f t="shared" ca="1" si="157"/>
        <v>100</v>
      </c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</row>
    <row r="354" spans="1:26" ht="19.5">
      <c r="A354" s="1011"/>
      <c r="B354" s="1018"/>
      <c r="C354" s="1012"/>
      <c r="D354" s="1145" t="s">
        <v>158</v>
      </c>
      <c r="E354" s="1012"/>
      <c r="F354" s="1012"/>
      <c r="G354" s="1014"/>
      <c r="H354" s="1146"/>
      <c r="I354" s="1015"/>
      <c r="J354" s="1015"/>
      <c r="K354" s="1016"/>
      <c r="L354" s="1016"/>
      <c r="M354" s="1016"/>
      <c r="N354" s="1016"/>
      <c r="O354" s="1016"/>
      <c r="P354" s="1016"/>
    </row>
    <row r="355" spans="1:26" ht="19.5">
      <c r="A355" s="1147"/>
      <c r="B355" s="1148"/>
      <c r="C355" s="1149"/>
      <c r="D355" s="1150" t="s">
        <v>159</v>
      </c>
      <c r="E355" s="1151"/>
      <c r="F355" s="1151"/>
      <c r="G355" s="1152"/>
      <c r="H355" s="431" t="s">
        <v>35</v>
      </c>
      <c r="I355" s="1153">
        <f ca="1">IFERROR(__xludf.DUMMYFUNCTION("IMPORTRANGE(""https://docs.google.com/spreadsheets/d/1QqKyyYR6Q21VydFLVH3TRQUabQu_ym0Zz7PgGX0-kHA/edit?usp=sharing"",""แผน!EP29"")"),170)</f>
        <v>170</v>
      </c>
      <c r="J355" s="1153">
        <f ca="1">J362</f>
        <v>66</v>
      </c>
      <c r="K355" s="1154">
        <f ca="1">IF(I355&gt;0,J355*100/I355,0)</f>
        <v>38.823529411764703</v>
      </c>
      <c r="L355" s="1155"/>
      <c r="M355" s="1155"/>
      <c r="N355" s="1155"/>
      <c r="O355" s="1155"/>
      <c r="P355" s="1155"/>
    </row>
    <row r="356" spans="1:26" ht="19.5">
      <c r="A356" s="1147"/>
      <c r="B356" s="1148"/>
      <c r="C356" s="1149"/>
      <c r="D356" s="1156" t="s">
        <v>160</v>
      </c>
      <c r="E356" s="1151"/>
      <c r="F356" s="1151"/>
      <c r="G356" s="1152"/>
      <c r="H356" s="1157"/>
      <c r="I356" s="1158"/>
      <c r="J356" s="1158"/>
      <c r="K356" s="1155"/>
      <c r="L356" s="1155"/>
      <c r="M356" s="1155"/>
      <c r="N356" s="1155"/>
      <c r="O356" s="1155"/>
      <c r="P356" s="1155"/>
    </row>
    <row r="357" spans="1:26" ht="19.5">
      <c r="A357" s="949"/>
      <c r="B357" s="950"/>
      <c r="C357" s="946" t="s">
        <v>16</v>
      </c>
      <c r="D357" s="951" t="s">
        <v>38</v>
      </c>
      <c r="E357" s="952"/>
      <c r="F357" s="952"/>
      <c r="G357" s="953"/>
      <c r="H357" s="954"/>
      <c r="I357" s="830"/>
      <c r="J357" s="830"/>
      <c r="K357" s="831"/>
      <c r="L357" s="945"/>
      <c r="M357" s="945"/>
      <c r="N357" s="945"/>
      <c r="O357" s="945"/>
      <c r="P357" s="945"/>
    </row>
    <row r="358" spans="1:26" ht="18.75">
      <c r="A358" s="949"/>
      <c r="B358" s="957"/>
      <c r="C358" s="950"/>
      <c r="D358" s="957"/>
      <c r="E358" s="955" t="s">
        <v>161</v>
      </c>
      <c r="F358" s="957"/>
      <c r="G358" s="958"/>
      <c r="H358" s="777" t="s">
        <v>35</v>
      </c>
      <c r="I358" s="830">
        <v>0</v>
      </c>
      <c r="J358" s="830">
        <f ca="1">IFERROR(__xludf.DUMMYFUNCTION("IMPORTRANGE(""https://docs.google.com/spreadsheets/d/1XWAQStnk-4SwqDmLtmXYiTMKHgktTP8We1SCoS47DrQ/edit?usp=sharing"",""จัดที่ดิน!W29"")"),68)</f>
        <v>68</v>
      </c>
      <c r="K358" s="831">
        <f t="shared" ref="K358:K365" si="161">IF(I358&gt;0,J358*100/I358,0)</f>
        <v>0</v>
      </c>
      <c r="L358" s="945"/>
      <c r="M358" s="945"/>
      <c r="N358" s="945"/>
      <c r="O358" s="945"/>
      <c r="P358" s="945"/>
    </row>
    <row r="359" spans="1:26" ht="18.75">
      <c r="A359" s="949"/>
      <c r="B359" s="957"/>
      <c r="C359" s="950"/>
      <c r="D359" s="957"/>
      <c r="E359" s="957"/>
      <c r="F359" s="957"/>
      <c r="G359" s="958"/>
      <c r="H359" s="777" t="s">
        <v>46</v>
      </c>
      <c r="I359" s="830">
        <f ca="1">IFERROR(__xludf.DUMMYFUNCTION("IMPORTRANGE(""https://docs.google.com/spreadsheets/d/1QqKyyYR6Q21VydFLVH3TRQUabQu_ym0Zz7PgGX0-kHA/edit?usp=sharing"",""แผน!EO29"")"),1650)</f>
        <v>1650</v>
      </c>
      <c r="J359" s="830">
        <f ca="1">IFERROR(__xludf.DUMMYFUNCTION("IMPORTRANGE(""https://docs.google.com/spreadsheets/d/1XWAQStnk-4SwqDmLtmXYiTMKHgktTP8We1SCoS47DrQ/edit?usp=sharing"",""จัดที่ดิน!X29"")"),482.76)</f>
        <v>482.76</v>
      </c>
      <c r="K359" s="831">
        <f t="shared" ca="1" si="161"/>
        <v>29.258181818181818</v>
      </c>
      <c r="L359" s="945"/>
      <c r="M359" s="945"/>
      <c r="N359" s="945"/>
      <c r="O359" s="945"/>
      <c r="P359" s="945"/>
    </row>
    <row r="360" spans="1:26" ht="18.75">
      <c r="A360" s="949"/>
      <c r="B360" s="957"/>
      <c r="C360" s="950"/>
      <c r="D360" s="957"/>
      <c r="E360" s="955" t="s">
        <v>162</v>
      </c>
      <c r="F360" s="957"/>
      <c r="G360" s="958"/>
      <c r="H360" s="730" t="s">
        <v>35</v>
      </c>
      <c r="I360" s="830">
        <f ca="1">IFERROR(__xludf.DUMMYFUNCTION("IMPORTRANGE(""https://docs.google.com/spreadsheets/d/1QqKyyYR6Q21VydFLVH3TRQUabQu_ym0Zz7PgGX0-kHA/edit?usp=sharing"",""แผน!EP29"")"),170)</f>
        <v>170</v>
      </c>
      <c r="J360" s="830">
        <f ca="1">IFERROR(__xludf.DUMMYFUNCTION("IMPORTRANGE(""https://docs.google.com/spreadsheets/d/1XWAQStnk-4SwqDmLtmXYiTMKHgktTP8We1SCoS47DrQ/edit?usp=sharing"",""จัดที่ดิน!Y29"")"),68)</f>
        <v>68</v>
      </c>
      <c r="K360" s="831">
        <f t="shared" ca="1" si="161"/>
        <v>40</v>
      </c>
      <c r="L360" s="945"/>
      <c r="M360" s="945"/>
      <c r="N360" s="945"/>
      <c r="O360" s="945"/>
      <c r="P360" s="945"/>
    </row>
    <row r="361" spans="1:26" ht="18.75">
      <c r="A361" s="949"/>
      <c r="B361" s="957"/>
      <c r="C361" s="950"/>
      <c r="D361" s="957"/>
      <c r="E361" s="957"/>
      <c r="F361" s="957"/>
      <c r="G361" s="958"/>
      <c r="H361" s="730" t="s">
        <v>46</v>
      </c>
      <c r="I361" s="830">
        <v>0</v>
      </c>
      <c r="J361" s="830">
        <f ca="1">IFERROR(__xludf.DUMMYFUNCTION("IMPORTRANGE(""https://docs.google.com/spreadsheets/d/1XWAQStnk-4SwqDmLtmXYiTMKHgktTP8We1SCoS47DrQ/edit?usp=sharing"",""จัดที่ดิน!Z29"")"),489.289999999999)</f>
        <v>489.289999999999</v>
      </c>
      <c r="K361" s="831">
        <f t="shared" si="161"/>
        <v>0</v>
      </c>
      <c r="L361" s="945"/>
      <c r="M361" s="945"/>
      <c r="N361" s="945"/>
      <c r="O361" s="945"/>
      <c r="P361" s="945"/>
    </row>
    <row r="362" spans="1:26" ht="18.75">
      <c r="A362" s="949"/>
      <c r="B362" s="957"/>
      <c r="C362" s="950"/>
      <c r="D362" s="957"/>
      <c r="E362" s="955" t="s">
        <v>163</v>
      </c>
      <c r="F362" s="957"/>
      <c r="G362" s="958"/>
      <c r="H362" s="730" t="s">
        <v>35</v>
      </c>
      <c r="I362" s="830">
        <f ca="1">IFERROR(__xludf.DUMMYFUNCTION("IMPORTRANGE(""https://docs.google.com/spreadsheets/d/1QqKyyYR6Q21VydFLVH3TRQUabQu_ym0Zz7PgGX0-kHA/edit?usp=sharing"",""แผน!EP29"")"),170)</f>
        <v>170</v>
      </c>
      <c r="J362" s="830">
        <f ca="1">IFERROR(__xludf.DUMMYFUNCTION("IMPORTRANGE(""https://docs.google.com/spreadsheets/d/1XWAQStnk-4SwqDmLtmXYiTMKHgktTP8We1SCoS47DrQ/edit?usp=sharing"",""จัดที่ดิน!AA29"")"),66)</f>
        <v>66</v>
      </c>
      <c r="K362" s="831">
        <f t="shared" ca="1" si="161"/>
        <v>38.823529411764703</v>
      </c>
      <c r="L362" s="945"/>
      <c r="M362" s="945"/>
      <c r="N362" s="945"/>
      <c r="O362" s="945"/>
      <c r="P362" s="945"/>
    </row>
    <row r="363" spans="1:26" ht="18.75">
      <c r="A363" s="1159" t="s">
        <v>164</v>
      </c>
      <c r="B363" s="957"/>
      <c r="C363" s="950"/>
      <c r="D363" s="957"/>
      <c r="E363" s="956"/>
      <c r="F363" s="957"/>
      <c r="G363" s="958"/>
      <c r="H363" s="730" t="s">
        <v>46</v>
      </c>
      <c r="I363" s="830">
        <v>0</v>
      </c>
      <c r="J363" s="830">
        <f ca="1">IFERROR(__xludf.DUMMYFUNCTION("IMPORTRANGE(""https://docs.google.com/spreadsheets/d/1XWAQStnk-4SwqDmLtmXYiTMKHgktTP8We1SCoS47DrQ/edit?usp=sharing"",""จัดที่ดิน!AB29"")"),476.39)</f>
        <v>476.39</v>
      </c>
      <c r="K363" s="831">
        <f t="shared" si="161"/>
        <v>0</v>
      </c>
      <c r="L363" s="945"/>
      <c r="M363" s="945"/>
      <c r="N363" s="945"/>
      <c r="O363" s="945"/>
      <c r="P363" s="945"/>
    </row>
    <row r="364" spans="1:26" ht="19.5">
      <c r="A364" s="1160"/>
      <c r="B364" s="1161"/>
      <c r="C364" s="1162"/>
      <c r="D364" s="1163" t="s">
        <v>165</v>
      </c>
      <c r="E364" s="1164"/>
      <c r="F364" s="1164"/>
      <c r="G364" s="1165"/>
      <c r="H364" s="446" t="s">
        <v>35</v>
      </c>
      <c r="I364" s="1166">
        <f t="shared" ref="I364:J364" ca="1" si="162">I365+I374</f>
        <v>420</v>
      </c>
      <c r="J364" s="1166">
        <f t="shared" ca="1" si="162"/>
        <v>340</v>
      </c>
      <c r="K364" s="1167">
        <f t="shared" ca="1" si="161"/>
        <v>80.952380952380949</v>
      </c>
      <c r="L364" s="1168"/>
      <c r="M364" s="1168"/>
      <c r="N364" s="1168"/>
      <c r="O364" s="1168"/>
      <c r="P364" s="1168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69"/>
      <c r="B365" s="1170"/>
      <c r="C365" s="1171"/>
      <c r="D365" s="1171" t="s">
        <v>166</v>
      </c>
      <c r="E365" s="1172"/>
      <c r="F365" s="1172"/>
      <c r="G365" s="1173"/>
      <c r="H365" s="457" t="s">
        <v>35</v>
      </c>
      <c r="I365" s="1174">
        <f ca="1">IFERROR(__xludf.DUMMYFUNCTION("IMPORTRANGE(""https://docs.google.com/spreadsheets/d/1QqKyyYR6Q21VydFLVH3TRQUabQu_ym0Zz7PgGX0-kHA/edit?usp=sharing"",""แผน!EJ29"")"),40)</f>
        <v>40</v>
      </c>
      <c r="J365" s="1174">
        <f ca="1">J372</f>
        <v>6</v>
      </c>
      <c r="K365" s="1175">
        <f t="shared" ca="1" si="161"/>
        <v>15</v>
      </c>
      <c r="L365" s="1176"/>
      <c r="M365" s="1176"/>
      <c r="N365" s="1176"/>
      <c r="O365" s="1176"/>
      <c r="P365" s="1176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69"/>
      <c r="B366" s="1170"/>
      <c r="C366" s="1171"/>
      <c r="D366" s="1177" t="s">
        <v>167</v>
      </c>
      <c r="E366" s="1172"/>
      <c r="F366" s="1172"/>
      <c r="G366" s="1173"/>
      <c r="H366" s="1178"/>
      <c r="I366" s="1179"/>
      <c r="J366" s="1179"/>
      <c r="K366" s="1176"/>
      <c r="L366" s="1176"/>
      <c r="M366" s="1176"/>
      <c r="N366" s="1176"/>
      <c r="O366" s="1176"/>
      <c r="P366" s="1176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49"/>
      <c r="B367" s="950"/>
      <c r="C367" s="946" t="s">
        <v>16</v>
      </c>
      <c r="D367" s="951" t="s">
        <v>38</v>
      </c>
      <c r="E367" s="952"/>
      <c r="F367" s="952"/>
      <c r="G367" s="953"/>
      <c r="H367" s="954"/>
      <c r="I367" s="830"/>
      <c r="J367" s="830"/>
      <c r="K367" s="831"/>
      <c r="L367" s="945"/>
      <c r="M367" s="945"/>
      <c r="N367" s="945"/>
      <c r="O367" s="945"/>
      <c r="P367" s="945"/>
    </row>
    <row r="368" spans="1:26" ht="18.75">
      <c r="A368" s="949"/>
      <c r="B368" s="957"/>
      <c r="C368" s="950"/>
      <c r="D368" s="957"/>
      <c r="E368" s="955" t="s">
        <v>161</v>
      </c>
      <c r="F368" s="957"/>
      <c r="G368" s="958"/>
      <c r="H368" s="777" t="s">
        <v>35</v>
      </c>
      <c r="I368" s="830">
        <v>0</v>
      </c>
      <c r="J368" s="830">
        <f ca="1">IFERROR(__xludf.DUMMYFUNCTION("IMPORTRANGE(""https://docs.google.com/spreadsheets/d/1XWAQStnk-4SwqDmLtmXYiTMKHgktTP8We1SCoS47DrQ/edit?usp=sharing"",""จัดที่ดิน!E29"")"),7)</f>
        <v>7</v>
      </c>
      <c r="K368" s="831">
        <f t="shared" ref="K368:K374" si="163">IF(I368&gt;0,J368*100/I368,0)</f>
        <v>0</v>
      </c>
      <c r="L368" s="945"/>
      <c r="M368" s="945"/>
      <c r="N368" s="945"/>
      <c r="O368" s="945"/>
      <c r="P368" s="945"/>
    </row>
    <row r="369" spans="1:26" ht="18.75">
      <c r="A369" s="949"/>
      <c r="B369" s="957"/>
      <c r="C369" s="950"/>
      <c r="D369" s="957"/>
      <c r="E369" s="957"/>
      <c r="F369" s="957"/>
      <c r="G369" s="958"/>
      <c r="H369" s="777" t="s">
        <v>46</v>
      </c>
      <c r="I369" s="830">
        <f ca="1">IFERROR(__xludf.DUMMYFUNCTION("IMPORTRANGE(""https://docs.google.com/spreadsheets/d/1QqKyyYR6Q21VydFLVH3TRQUabQu_ym0Zz7PgGX0-kHA/edit?usp=sharing"",""แผน!EI29"")"),400)</f>
        <v>400</v>
      </c>
      <c r="J369" s="830">
        <f ca="1">IFERROR(__xludf.DUMMYFUNCTION("IMPORTRANGE(""https://docs.google.com/spreadsheets/d/1XWAQStnk-4SwqDmLtmXYiTMKHgktTP8We1SCoS47DrQ/edit?usp=sharing"",""จัดที่ดิน!F29"")"),28)</f>
        <v>28</v>
      </c>
      <c r="K369" s="831">
        <f t="shared" ca="1" si="163"/>
        <v>7</v>
      </c>
      <c r="L369" s="945"/>
      <c r="M369" s="945"/>
      <c r="N369" s="945"/>
      <c r="O369" s="945"/>
      <c r="P369" s="945"/>
    </row>
    <row r="370" spans="1:26" ht="18.75">
      <c r="A370" s="949"/>
      <c r="B370" s="957"/>
      <c r="C370" s="950"/>
      <c r="D370" s="957"/>
      <c r="E370" s="955" t="s">
        <v>162</v>
      </c>
      <c r="F370" s="957"/>
      <c r="G370" s="958"/>
      <c r="H370" s="730" t="s">
        <v>35</v>
      </c>
      <c r="I370" s="830">
        <f ca="1">IFERROR(__xludf.DUMMYFUNCTION("IMPORTRANGE(""https://docs.google.com/spreadsheets/d/1QqKyyYR6Q21VydFLVH3TRQUabQu_ym0Zz7PgGX0-kHA/edit?usp=sharing"",""แผน!EJ29"")"),40)</f>
        <v>40</v>
      </c>
      <c r="J370" s="830">
        <f ca="1">IFERROR(__xludf.DUMMYFUNCTION("IMPORTRANGE(""https://docs.google.com/spreadsheets/d/1XWAQStnk-4SwqDmLtmXYiTMKHgktTP8We1SCoS47DrQ/edit?usp=sharing"",""จัดที่ดิน!G29"")"),7)</f>
        <v>7</v>
      </c>
      <c r="K370" s="831">
        <f t="shared" ca="1" si="163"/>
        <v>17.5</v>
      </c>
      <c r="L370" s="945"/>
      <c r="M370" s="945"/>
      <c r="N370" s="945"/>
      <c r="O370" s="945"/>
      <c r="P370" s="945"/>
    </row>
    <row r="371" spans="1:26" ht="18.75">
      <c r="A371" s="949"/>
      <c r="B371" s="957"/>
      <c r="C371" s="950"/>
      <c r="D371" s="957"/>
      <c r="E371" s="957"/>
      <c r="F371" s="957"/>
      <c r="G371" s="958"/>
      <c r="H371" s="730" t="s">
        <v>46</v>
      </c>
      <c r="I371" s="830">
        <v>0</v>
      </c>
      <c r="J371" s="830">
        <f ca="1">IFERROR(__xludf.DUMMYFUNCTION("IMPORTRANGE(""https://docs.google.com/spreadsheets/d/1XWAQStnk-4SwqDmLtmXYiTMKHgktTP8We1SCoS47DrQ/edit?usp=sharing"",""จัดที่ดิน!H29"")"),34.53)</f>
        <v>34.53</v>
      </c>
      <c r="K371" s="831">
        <f t="shared" si="163"/>
        <v>0</v>
      </c>
      <c r="L371" s="945"/>
      <c r="M371" s="945"/>
      <c r="N371" s="945"/>
      <c r="O371" s="945"/>
      <c r="P371" s="945"/>
    </row>
    <row r="372" spans="1:26" ht="18.75">
      <c r="A372" s="949"/>
      <c r="B372" s="957"/>
      <c r="C372" s="950"/>
      <c r="D372" s="957"/>
      <c r="E372" s="955" t="s">
        <v>163</v>
      </c>
      <c r="F372" s="957"/>
      <c r="G372" s="958"/>
      <c r="H372" s="730" t="s">
        <v>35</v>
      </c>
      <c r="I372" s="830">
        <f ca="1">IFERROR(__xludf.DUMMYFUNCTION("IMPORTRANGE(""https://docs.google.com/spreadsheets/d/1QqKyyYR6Q21VydFLVH3TRQUabQu_ym0Zz7PgGX0-kHA/edit?usp=sharing"",""แผน!EJ29"")"),40)</f>
        <v>40</v>
      </c>
      <c r="J372" s="830">
        <f ca="1">IFERROR(__xludf.DUMMYFUNCTION("IMPORTRANGE(""https://docs.google.com/spreadsheets/d/1XWAQStnk-4SwqDmLtmXYiTMKHgktTP8We1SCoS47DrQ/edit?usp=sharing"",""จัดที่ดิน!I29"")"),6)</f>
        <v>6</v>
      </c>
      <c r="K372" s="831">
        <f t="shared" ca="1" si="163"/>
        <v>15</v>
      </c>
      <c r="L372" s="945"/>
      <c r="M372" s="945"/>
      <c r="N372" s="945"/>
      <c r="O372" s="945"/>
      <c r="P372" s="945"/>
    </row>
    <row r="373" spans="1:26" ht="18.75">
      <c r="A373" s="1159" t="s">
        <v>164</v>
      </c>
      <c r="B373" s="957"/>
      <c r="C373" s="950"/>
      <c r="D373" s="957"/>
      <c r="E373" s="956"/>
      <c r="F373" s="957"/>
      <c r="G373" s="958"/>
      <c r="H373" s="730" t="s">
        <v>46</v>
      </c>
      <c r="I373" s="830">
        <v>0</v>
      </c>
      <c r="J373" s="830">
        <f ca="1">IFERROR(__xludf.DUMMYFUNCTION("IMPORTRANGE(""https://docs.google.com/spreadsheets/d/1XWAQStnk-4SwqDmLtmXYiTMKHgktTP8We1SCoS47DrQ/edit?usp=sharing"",""จัดที่ดิน!J29"")"),26.27)</f>
        <v>26.27</v>
      </c>
      <c r="K373" s="831">
        <f t="shared" si="163"/>
        <v>0</v>
      </c>
      <c r="L373" s="945"/>
      <c r="M373" s="945"/>
      <c r="N373" s="945"/>
      <c r="O373" s="945"/>
      <c r="P373" s="945"/>
    </row>
    <row r="374" spans="1:26" ht="19.5">
      <c r="A374" s="1169"/>
      <c r="B374" s="1170"/>
      <c r="C374" s="1171"/>
      <c r="D374" s="1171" t="s">
        <v>168</v>
      </c>
      <c r="E374" s="1172"/>
      <c r="F374" s="1172"/>
      <c r="G374" s="1173"/>
      <c r="H374" s="457" t="s">
        <v>35</v>
      </c>
      <c r="I374" s="1180">
        <f ca="1">IFERROR(__xludf.DUMMYFUNCTION("IMPORTRANGE(""https://docs.google.com/spreadsheets/d/1QqKyyYR6Q21VydFLVH3TRQUabQu_ym0Zz7PgGX0-kHA/edit?usp=sharing"",""แผน!EU29"")"),380)</f>
        <v>380</v>
      </c>
      <c r="J374" s="1174">
        <f ca="1">J381</f>
        <v>334</v>
      </c>
      <c r="K374" s="1175">
        <f t="shared" ca="1" si="163"/>
        <v>87.89473684210526</v>
      </c>
      <c r="L374" s="1176"/>
      <c r="M374" s="1176"/>
      <c r="N374" s="1176"/>
      <c r="O374" s="1176"/>
      <c r="P374" s="1176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69"/>
      <c r="B375" s="1170"/>
      <c r="C375" s="1171"/>
      <c r="D375" s="1177" t="s">
        <v>169</v>
      </c>
      <c r="E375" s="1172"/>
      <c r="F375" s="1172"/>
      <c r="G375" s="1173"/>
      <c r="H375" s="1178"/>
      <c r="I375" s="1179"/>
      <c r="J375" s="1179"/>
      <c r="K375" s="1176"/>
      <c r="L375" s="1176"/>
      <c r="M375" s="1176"/>
      <c r="N375" s="1176"/>
      <c r="O375" s="1176"/>
      <c r="P375" s="1176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49"/>
      <c r="B376" s="950"/>
      <c r="C376" s="946" t="s">
        <v>16</v>
      </c>
      <c r="D376" s="951" t="s">
        <v>38</v>
      </c>
      <c r="E376" s="952"/>
      <c r="F376" s="952"/>
      <c r="G376" s="953"/>
      <c r="H376" s="954"/>
      <c r="I376" s="830"/>
      <c r="J376" s="830"/>
      <c r="K376" s="831"/>
      <c r="L376" s="945"/>
      <c r="M376" s="945"/>
      <c r="N376" s="945"/>
      <c r="O376" s="945"/>
      <c r="P376" s="945"/>
    </row>
    <row r="377" spans="1:26" ht="18.75">
      <c r="A377" s="949"/>
      <c r="B377" s="957"/>
      <c r="C377" s="950"/>
      <c r="D377" s="957"/>
      <c r="E377" s="955" t="s">
        <v>161</v>
      </c>
      <c r="F377" s="957"/>
      <c r="G377" s="958"/>
      <c r="H377" s="777" t="s">
        <v>35</v>
      </c>
      <c r="I377" s="830">
        <v>0</v>
      </c>
      <c r="J377" s="830">
        <f ca="1">IFERROR(__xludf.DUMMYFUNCTION("IMPORTRANGE(""https://docs.google.com/spreadsheets/d/1XWAQStnk-4SwqDmLtmXYiTMKHgktTP8We1SCoS47DrQ/edit?usp=sharing"",""จัดที่ดิน!AH29"")"),61)</f>
        <v>61</v>
      </c>
      <c r="K377" s="831">
        <f t="shared" ref="K377:K382" si="164">IF(I377&gt;0,J377*100/I377,0)</f>
        <v>0</v>
      </c>
      <c r="L377" s="945"/>
      <c r="M377" s="945"/>
      <c r="N377" s="945"/>
      <c r="O377" s="945"/>
      <c r="P377" s="945"/>
    </row>
    <row r="378" spans="1:26" ht="18.75">
      <c r="A378" s="949"/>
      <c r="B378" s="957"/>
      <c r="C378" s="950"/>
      <c r="D378" s="957"/>
      <c r="E378" s="957"/>
      <c r="F378" s="957"/>
      <c r="G378" s="958"/>
      <c r="H378" s="777" t="s">
        <v>46</v>
      </c>
      <c r="I378" s="830">
        <f ca="1">IFERROR(__xludf.DUMMYFUNCTION("IMPORTRANGE(""https://docs.google.com/spreadsheets/d/1QqKyyYR6Q21VydFLVH3TRQUabQu_ym0Zz7PgGX0-kHA/edit?usp=sharing"",""แผน!ET29"")"),1250)</f>
        <v>1250</v>
      </c>
      <c r="J378" s="830">
        <f ca="1">IFERROR(__xludf.DUMMYFUNCTION("IMPORTRANGE(""https://docs.google.com/spreadsheets/d/1XWAQStnk-4SwqDmLtmXYiTMKHgktTP8We1SCoS47DrQ/edit?usp=sharing"",""จัดที่ดิน!AI29"")"),454.76)</f>
        <v>454.76</v>
      </c>
      <c r="K378" s="831">
        <f t="shared" ca="1" si="164"/>
        <v>36.380800000000001</v>
      </c>
      <c r="L378" s="945"/>
      <c r="M378" s="945"/>
      <c r="N378" s="945"/>
      <c r="O378" s="945"/>
      <c r="P378" s="945"/>
    </row>
    <row r="379" spans="1:26" ht="18.75">
      <c r="A379" s="949"/>
      <c r="B379" s="957"/>
      <c r="C379" s="950"/>
      <c r="D379" s="957"/>
      <c r="E379" s="955" t="s">
        <v>162</v>
      </c>
      <c r="F379" s="957"/>
      <c r="G379" s="958"/>
      <c r="H379" s="730" t="s">
        <v>35</v>
      </c>
      <c r="I379" s="830">
        <f ca="1">IFERROR(__xludf.DUMMYFUNCTION("IMPORTRANGE(""https://docs.google.com/spreadsheets/d/1QqKyyYR6Q21VydFLVH3TRQUabQu_ym0Zz7PgGX0-kHA/edit?usp=sharing"",""แผน!EU29"")"),380)</f>
        <v>380</v>
      </c>
      <c r="J379" s="830">
        <f ca="1">IFERROR(__xludf.DUMMYFUNCTION("IMPORTRANGE(""https://docs.google.com/spreadsheets/d/1XWAQStnk-4SwqDmLtmXYiTMKHgktTP8We1SCoS47DrQ/edit?usp=sharing"",""จัดที่ดิน!AJ29"")"),338)</f>
        <v>338</v>
      </c>
      <c r="K379" s="831">
        <f t="shared" ca="1" si="164"/>
        <v>88.94736842105263</v>
      </c>
      <c r="L379" s="945"/>
      <c r="M379" s="945"/>
      <c r="N379" s="945"/>
      <c r="O379" s="945"/>
      <c r="P379" s="945"/>
    </row>
    <row r="380" spans="1:26" ht="18.75">
      <c r="A380" s="949"/>
      <c r="B380" s="957"/>
      <c r="C380" s="950"/>
      <c r="D380" s="957"/>
      <c r="E380" s="957"/>
      <c r="F380" s="957"/>
      <c r="G380" s="958"/>
      <c r="H380" s="730" t="s">
        <v>46</v>
      </c>
      <c r="I380" s="830">
        <v>0</v>
      </c>
      <c r="J380" s="830">
        <f ca="1">IFERROR(__xludf.DUMMYFUNCTION("IMPORTRANGE(""https://docs.google.com/spreadsheets/d/1XWAQStnk-4SwqDmLtmXYiTMKHgktTP8We1SCoS47DrQ/edit?usp=sharing"",""จัดที่ดิน!AK29"")"),3815.81999999999)</f>
        <v>3815.8199999999902</v>
      </c>
      <c r="K380" s="831">
        <f t="shared" si="164"/>
        <v>0</v>
      </c>
      <c r="L380" s="945"/>
      <c r="M380" s="945"/>
      <c r="N380" s="945"/>
      <c r="O380" s="945"/>
      <c r="P380" s="945"/>
    </row>
    <row r="381" spans="1:26" ht="18.75">
      <c r="A381" s="949"/>
      <c r="B381" s="957"/>
      <c r="C381" s="950"/>
      <c r="D381" s="957"/>
      <c r="E381" s="955" t="s">
        <v>163</v>
      </c>
      <c r="F381" s="957"/>
      <c r="G381" s="958"/>
      <c r="H381" s="730" t="s">
        <v>35</v>
      </c>
      <c r="I381" s="830">
        <f ca="1">IFERROR(__xludf.DUMMYFUNCTION("IMPORTRANGE(""https://docs.google.com/spreadsheets/d/1QqKyyYR6Q21VydFLVH3TRQUabQu_ym0Zz7PgGX0-kHA/edit?usp=sharing"",""แผน!EU29"")"),380)</f>
        <v>380</v>
      </c>
      <c r="J381" s="830">
        <f ca="1">IFERROR(__xludf.DUMMYFUNCTION("IMPORTRANGE(""https://docs.google.com/spreadsheets/d/1XWAQStnk-4SwqDmLtmXYiTMKHgktTP8We1SCoS47DrQ/edit?usp=sharing"",""จัดที่ดิน!AL29"")"),334)</f>
        <v>334</v>
      </c>
      <c r="K381" s="831">
        <f t="shared" ca="1" si="164"/>
        <v>87.89473684210526</v>
      </c>
      <c r="L381" s="945"/>
      <c r="M381" s="945"/>
      <c r="N381" s="945"/>
      <c r="O381" s="945"/>
      <c r="P381" s="945"/>
    </row>
    <row r="382" spans="1:26" ht="18.75">
      <c r="A382" s="1159" t="s">
        <v>164</v>
      </c>
      <c r="B382" s="957"/>
      <c r="C382" s="950"/>
      <c r="D382" s="957"/>
      <c r="E382" s="956"/>
      <c r="F382" s="957"/>
      <c r="G382" s="958"/>
      <c r="H382" s="730" t="s">
        <v>46</v>
      </c>
      <c r="I382" s="830">
        <v>0</v>
      </c>
      <c r="J382" s="830">
        <f ca="1">IFERROR(__xludf.DUMMYFUNCTION("IMPORTRANGE(""https://docs.google.com/spreadsheets/d/1XWAQStnk-4SwqDmLtmXYiTMKHgktTP8We1SCoS47DrQ/edit?usp=sharing"",""จัดที่ดิน!AM29"")"),3796.45)</f>
        <v>3796.45</v>
      </c>
      <c r="K382" s="831">
        <f t="shared" si="164"/>
        <v>0</v>
      </c>
      <c r="L382" s="945"/>
      <c r="M382" s="945"/>
      <c r="N382" s="945"/>
      <c r="O382" s="945"/>
      <c r="P382" s="945"/>
    </row>
    <row r="383" spans="1:26" ht="19.5">
      <c r="A383" s="1011"/>
      <c r="B383" s="1018"/>
      <c r="C383" s="1012"/>
      <c r="D383" s="1145" t="s">
        <v>170</v>
      </c>
      <c r="E383" s="1012"/>
      <c r="F383" s="1012"/>
      <c r="G383" s="1014"/>
      <c r="H383" s="1146"/>
      <c r="I383" s="1015"/>
      <c r="J383" s="1015"/>
      <c r="K383" s="1016"/>
      <c r="L383" s="1016"/>
      <c r="M383" s="1016"/>
      <c r="N383" s="1016"/>
      <c r="O383" s="1016"/>
      <c r="P383" s="1016"/>
    </row>
    <row r="384" spans="1:26" ht="19.5">
      <c r="A384" s="949"/>
      <c r="B384" s="950"/>
      <c r="C384" s="827" t="s">
        <v>16</v>
      </c>
      <c r="D384" s="951" t="s">
        <v>38</v>
      </c>
      <c r="E384" s="952"/>
      <c r="F384" s="952"/>
      <c r="G384" s="953"/>
      <c r="H384" s="954"/>
      <c r="I384" s="830"/>
      <c r="J384" s="830"/>
      <c r="K384" s="831"/>
      <c r="L384" s="945"/>
      <c r="M384" s="945"/>
      <c r="N384" s="945"/>
      <c r="O384" s="945"/>
      <c r="P384" s="945"/>
    </row>
    <row r="385" spans="1:26" ht="18.75">
      <c r="A385" s="1080"/>
      <c r="B385" s="1083"/>
      <c r="C385" s="1081"/>
      <c r="D385" s="1083"/>
      <c r="E385" s="1181" t="s">
        <v>163</v>
      </c>
      <c r="F385" s="1083"/>
      <c r="G385" s="1084"/>
      <c r="H385" s="468" t="s">
        <v>35</v>
      </c>
      <c r="I385" s="1085">
        <f ca="1">IFERROR(__xludf.DUMMYFUNCTION("IMPORTRANGE(""https://docs.google.com/spreadsheets/d/1QqKyyYR6Q21VydFLVH3TRQUabQu_ym0Zz7PgGX0-kHA/edit?usp=sharing"",""แผน!EW29"")"),10)</f>
        <v>10</v>
      </c>
      <c r="J385" s="1085">
        <f ca="1">IFERROR(__xludf.DUMMYFUNCTION("IMPORTRANGE(""https://docs.google.com/spreadsheets/d/1XWAQStnk-4SwqDmLtmXYiTMKHgktTP8We1SCoS47DrQ/edit?usp=sharing"",""จัดที่ดิน!AP29"")"),0)</f>
        <v>0</v>
      </c>
      <c r="K385" s="1182">
        <f ca="1">IF(I385&gt;0,J385*100/I385,0)</f>
        <v>0</v>
      </c>
      <c r="L385" s="1086"/>
      <c r="M385" s="1086"/>
      <c r="N385" s="1086"/>
      <c r="O385" s="1086"/>
      <c r="P385" s="1086"/>
    </row>
    <row r="386" spans="1:26" ht="19.5" hidden="1">
      <c r="A386" s="1183" t="s">
        <v>171</v>
      </c>
      <c r="B386" s="1184"/>
      <c r="C386" s="1184"/>
      <c r="D386" s="1184"/>
      <c r="E386" s="1185"/>
      <c r="F386" s="1185"/>
      <c r="G386" s="1186"/>
      <c r="H386" s="1187"/>
      <c r="I386" s="1188"/>
      <c r="J386" s="1188"/>
      <c r="K386" s="1189"/>
      <c r="L386" s="1189"/>
      <c r="M386" s="1189"/>
      <c r="N386" s="1189"/>
      <c r="O386" s="1189"/>
      <c r="P386" s="1189"/>
    </row>
    <row r="387" spans="1:26" ht="19.5" hidden="1">
      <c r="A387" s="1190" t="s">
        <v>172</v>
      </c>
      <c r="B387" s="1191"/>
      <c r="C387" s="1191"/>
      <c r="D387" s="1192"/>
      <c r="E387" s="1191"/>
      <c r="F387" s="1191"/>
      <c r="G387" s="1191"/>
      <c r="H387" s="1193"/>
      <c r="I387" s="1194"/>
      <c r="J387" s="1194"/>
      <c r="K387" s="1195"/>
      <c r="L387" s="1195"/>
      <c r="M387" s="1195"/>
      <c r="N387" s="1195"/>
      <c r="O387" s="1195"/>
      <c r="P387" s="1195"/>
    </row>
    <row r="388" spans="1:26" ht="19.5" hidden="1">
      <c r="A388" s="1196"/>
      <c r="B388" s="1197" t="s">
        <v>173</v>
      </c>
      <c r="C388" s="1198"/>
      <c r="D388" s="1199"/>
      <c r="E388" s="1199"/>
      <c r="F388" s="1199"/>
      <c r="G388" s="1200"/>
      <c r="H388" s="489" t="s">
        <v>66</v>
      </c>
      <c r="I388" s="1201">
        <f t="shared" ref="I388:J388" si="165">I400</f>
        <v>0</v>
      </c>
      <c r="J388" s="1201">
        <f t="shared" si="165"/>
        <v>0</v>
      </c>
      <c r="K388" s="1202">
        <f>IF(I388&gt;0,J388*100/I388,0)</f>
        <v>0</v>
      </c>
      <c r="L388" s="1203"/>
      <c r="M388" s="1203"/>
      <c r="N388" s="1203"/>
      <c r="O388" s="1203"/>
      <c r="P388" s="1203"/>
    </row>
    <row r="389" spans="1:26" ht="19.5" hidden="1">
      <c r="A389" s="932"/>
      <c r="B389" s="933"/>
      <c r="C389" s="934" t="s">
        <v>16</v>
      </c>
      <c r="D389" s="935" t="s">
        <v>17</v>
      </c>
      <c r="E389" s="933"/>
      <c r="F389" s="933"/>
      <c r="G389" s="936"/>
      <c r="H389" s="152" t="s">
        <v>12</v>
      </c>
      <c r="I389" s="937"/>
      <c r="J389" s="937"/>
      <c r="K389" s="938"/>
      <c r="L389" s="939">
        <f t="shared" ref="L389:N389" ca="1" si="166">L390+L391</f>
        <v>0</v>
      </c>
      <c r="M389" s="939">
        <f t="shared" ca="1" si="166"/>
        <v>0</v>
      </c>
      <c r="N389" s="939">
        <f t="shared" ca="1" si="166"/>
        <v>0</v>
      </c>
      <c r="O389" s="939">
        <f t="shared" ref="O389:O397" ca="1" si="167">IF(L389&gt;0,N389*100/L389,0)</f>
        <v>0</v>
      </c>
      <c r="P389" s="939">
        <f t="shared" ref="P389:P397" ca="1" si="168">IF(M389&gt;0,N389*100/M389,0)</f>
        <v>0</v>
      </c>
      <c r="Q389" s="818"/>
      <c r="R389" s="818"/>
      <c r="S389" s="818"/>
      <c r="T389" s="818"/>
      <c r="U389" s="818"/>
      <c r="V389" s="818"/>
      <c r="W389" s="818"/>
      <c r="X389" s="818"/>
      <c r="Y389" s="818"/>
      <c r="Z389" s="818"/>
    </row>
    <row r="390" spans="1:26" ht="18.75" hidden="1">
      <c r="A390" s="940"/>
      <c r="B390" s="833"/>
      <c r="C390" s="833"/>
      <c r="D390" s="833"/>
      <c r="E390" s="834" t="s">
        <v>18</v>
      </c>
      <c r="F390" s="833"/>
      <c r="G390" s="941"/>
      <c r="H390" s="158" t="s">
        <v>12</v>
      </c>
      <c r="I390" s="836"/>
      <c r="J390" s="836"/>
      <c r="K390" s="837"/>
      <c r="L390" s="837">
        <f t="shared" ref="L390:N391" si="169">L393+L396</f>
        <v>0</v>
      </c>
      <c r="M390" s="837">
        <f t="shared" si="169"/>
        <v>0</v>
      </c>
      <c r="N390" s="837">
        <f t="shared" si="169"/>
        <v>0</v>
      </c>
      <c r="O390" s="837">
        <f t="shared" si="167"/>
        <v>0</v>
      </c>
      <c r="P390" s="837">
        <f t="shared" si="168"/>
        <v>0</v>
      </c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</row>
    <row r="391" spans="1:26" ht="18.75" hidden="1">
      <c r="A391" s="940"/>
      <c r="B391" s="833"/>
      <c r="C391" s="833"/>
      <c r="D391" s="833"/>
      <c r="E391" s="834" t="s">
        <v>19</v>
      </c>
      <c r="F391" s="833"/>
      <c r="G391" s="941"/>
      <c r="H391" s="158" t="s">
        <v>12</v>
      </c>
      <c r="I391" s="836"/>
      <c r="J391" s="836"/>
      <c r="K391" s="837"/>
      <c r="L391" s="837">
        <f t="shared" ca="1" si="169"/>
        <v>0</v>
      </c>
      <c r="M391" s="837">
        <f t="shared" ca="1" si="169"/>
        <v>0</v>
      </c>
      <c r="N391" s="837">
        <f t="shared" ca="1" si="169"/>
        <v>0</v>
      </c>
      <c r="O391" s="837">
        <f t="shared" ca="1" si="167"/>
        <v>0</v>
      </c>
      <c r="P391" s="837">
        <f t="shared" ca="1" si="168"/>
        <v>0</v>
      </c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</row>
    <row r="392" spans="1:26" ht="18.75" hidden="1">
      <c r="A392" s="942"/>
      <c r="B392" s="827"/>
      <c r="C392" s="943"/>
      <c r="D392" s="828" t="s">
        <v>20</v>
      </c>
      <c r="E392" s="827"/>
      <c r="F392" s="827"/>
      <c r="G392" s="829"/>
      <c r="H392" s="778" t="s">
        <v>12</v>
      </c>
      <c r="I392" s="944"/>
      <c r="J392" s="944"/>
      <c r="K392" s="945"/>
      <c r="L392" s="831">
        <f t="shared" ref="L392:N392" ca="1" si="170">L393+L394</f>
        <v>0</v>
      </c>
      <c r="M392" s="831">
        <f t="shared" ca="1" si="170"/>
        <v>0</v>
      </c>
      <c r="N392" s="831">
        <f t="shared" ca="1" si="170"/>
        <v>0</v>
      </c>
      <c r="O392" s="831">
        <f t="shared" ca="1" si="167"/>
        <v>0</v>
      </c>
      <c r="P392" s="831">
        <f t="shared" ca="1" si="168"/>
        <v>0</v>
      </c>
      <c r="Q392" s="818"/>
      <c r="R392" s="818"/>
      <c r="S392" s="818"/>
      <c r="T392" s="818"/>
      <c r="U392" s="818"/>
      <c r="V392" s="818"/>
      <c r="W392" s="818"/>
      <c r="X392" s="818"/>
      <c r="Y392" s="818"/>
      <c r="Z392" s="818"/>
    </row>
    <row r="393" spans="1:26" ht="19.5" hidden="1">
      <c r="A393" s="940"/>
      <c r="B393" s="833"/>
      <c r="C393" s="946"/>
      <c r="D393" s="833"/>
      <c r="E393" s="834" t="s">
        <v>36</v>
      </c>
      <c r="F393" s="833"/>
      <c r="G393" s="941"/>
      <c r="H393" s="165" t="s">
        <v>12</v>
      </c>
      <c r="I393" s="947"/>
      <c r="J393" s="947"/>
      <c r="K393" s="948"/>
      <c r="L393" s="837">
        <v>0</v>
      </c>
      <c r="M393" s="837">
        <v>0</v>
      </c>
      <c r="N393" s="837">
        <v>0</v>
      </c>
      <c r="O393" s="837">
        <f t="shared" si="167"/>
        <v>0</v>
      </c>
      <c r="P393" s="837">
        <f t="shared" si="168"/>
        <v>0</v>
      </c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</row>
    <row r="394" spans="1:26" ht="19.5" hidden="1">
      <c r="A394" s="940"/>
      <c r="B394" s="833"/>
      <c r="C394" s="946"/>
      <c r="D394" s="833"/>
      <c r="E394" s="834" t="s">
        <v>37</v>
      </c>
      <c r="F394" s="833"/>
      <c r="G394" s="941"/>
      <c r="H394" s="165" t="s">
        <v>12</v>
      </c>
      <c r="I394" s="947"/>
      <c r="J394" s="947"/>
      <c r="K394" s="948"/>
      <c r="L394" s="837">
        <f ca="1">IFERROR(__xludf.DUMMYFUNCTION("IMPORTRANGE(""https://docs.google.com/spreadsheets/d/1MeEWN-I1oV_STSDYn1IFDPWt_1FKiwhDph83XaGc0o0/edit?usp=sharing"",""งบพรบ!FG29"")"),0)</f>
        <v>0</v>
      </c>
      <c r="M394" s="837">
        <f ca="1">IFERROR(__xludf.DUMMYFUNCTION("IMPORTRANGE(""https://docs.google.com/spreadsheets/d/1MeEWN-I1oV_STSDYn1IFDPWt_1FKiwhDph83XaGc0o0/edit?usp=sharing"",""งบพรบ!FL29"")"),0)</f>
        <v>0</v>
      </c>
      <c r="N394" s="837">
        <f ca="1">IFERROR(__xludf.DUMMYFUNCTION("IMPORTRANGE(""https://docs.google.com/spreadsheets/d/1MeEWN-I1oV_STSDYn1IFDPWt_1FKiwhDph83XaGc0o0/edit?usp=sharing"",""งบพรบ!FN29"")"),0)</f>
        <v>0</v>
      </c>
      <c r="O394" s="837">
        <f t="shared" ca="1" si="167"/>
        <v>0</v>
      </c>
      <c r="P394" s="837">
        <f t="shared" ca="1" si="168"/>
        <v>0</v>
      </c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</row>
    <row r="395" spans="1:26" ht="18.75" hidden="1">
      <c r="A395" s="942"/>
      <c r="B395" s="827"/>
      <c r="C395" s="943"/>
      <c r="D395" s="828" t="s">
        <v>21</v>
      </c>
      <c r="E395" s="827"/>
      <c r="F395" s="827"/>
      <c r="G395" s="829"/>
      <c r="H395" s="168" t="s">
        <v>12</v>
      </c>
      <c r="I395" s="944"/>
      <c r="J395" s="944"/>
      <c r="K395" s="945"/>
      <c r="L395" s="831">
        <f t="shared" ref="L395:N395" ca="1" si="171">L396+L397</f>
        <v>0</v>
      </c>
      <c r="M395" s="831">
        <f t="shared" ca="1" si="171"/>
        <v>0</v>
      </c>
      <c r="N395" s="831">
        <f t="shared" ca="1" si="171"/>
        <v>0</v>
      </c>
      <c r="O395" s="831">
        <f t="shared" ca="1" si="167"/>
        <v>0</v>
      </c>
      <c r="P395" s="831">
        <f t="shared" ca="1" si="168"/>
        <v>0</v>
      </c>
      <c r="Q395" s="818"/>
      <c r="R395" s="818"/>
      <c r="S395" s="818"/>
      <c r="T395" s="818"/>
      <c r="U395" s="818"/>
      <c r="V395" s="818"/>
      <c r="W395" s="818"/>
      <c r="X395" s="818"/>
      <c r="Y395" s="818"/>
      <c r="Z395" s="818"/>
    </row>
    <row r="396" spans="1:26" ht="19.5" hidden="1">
      <c r="A396" s="940"/>
      <c r="B396" s="833"/>
      <c r="C396" s="946"/>
      <c r="D396" s="833"/>
      <c r="E396" s="834" t="s">
        <v>18</v>
      </c>
      <c r="F396" s="833"/>
      <c r="G396" s="941"/>
      <c r="H396" s="165" t="s">
        <v>12</v>
      </c>
      <c r="I396" s="947"/>
      <c r="J396" s="947"/>
      <c r="K396" s="948"/>
      <c r="L396" s="837">
        <v>0</v>
      </c>
      <c r="M396" s="837">
        <v>0</v>
      </c>
      <c r="N396" s="837">
        <v>0</v>
      </c>
      <c r="O396" s="837">
        <f t="shared" si="167"/>
        <v>0</v>
      </c>
      <c r="P396" s="837">
        <f t="shared" si="168"/>
        <v>0</v>
      </c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</row>
    <row r="397" spans="1:26" ht="19.5" hidden="1">
      <c r="A397" s="940"/>
      <c r="B397" s="833"/>
      <c r="C397" s="946"/>
      <c r="D397" s="833"/>
      <c r="E397" s="834" t="s">
        <v>19</v>
      </c>
      <c r="F397" s="833"/>
      <c r="G397" s="941"/>
      <c r="H397" s="169" t="s">
        <v>12</v>
      </c>
      <c r="I397" s="947"/>
      <c r="J397" s="947"/>
      <c r="K397" s="948"/>
      <c r="L397" s="837">
        <f ca="1">IFERROR(__xludf.DUMMYFUNCTION("IMPORTRANGE(""https://docs.google.com/spreadsheets/d/1MeEWN-I1oV_STSDYn1IFDPWt_1FKiwhDph83XaGc0o0/edit?usp=sharing"",""งบพรบ!FJ29"")"),0)</f>
        <v>0</v>
      </c>
      <c r="M397" s="837">
        <f ca="1">IFERROR(__xludf.DUMMYFUNCTION("IMPORTRANGE(""https://docs.google.com/spreadsheets/d/1MeEWN-I1oV_STSDYn1IFDPWt_1FKiwhDph83XaGc0o0/edit?usp=sharing"",""งบพรบ!FM29"")"),0)</f>
        <v>0</v>
      </c>
      <c r="N397" s="837">
        <f ca="1">IFERROR(__xludf.DUMMYFUNCTION("IMPORTRANGE(""https://docs.google.com/spreadsheets/d/1MeEWN-I1oV_STSDYn1IFDPWt_1FKiwhDph83XaGc0o0/edit?usp=sharing"",""งบพรบ!FO29"")"),0)</f>
        <v>0</v>
      </c>
      <c r="O397" s="837">
        <f t="shared" ca="1" si="167"/>
        <v>0</v>
      </c>
      <c r="P397" s="837">
        <f t="shared" ca="1" si="168"/>
        <v>0</v>
      </c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</row>
    <row r="398" spans="1:26" ht="19.5" hidden="1">
      <c r="A398" s="949"/>
      <c r="B398" s="950"/>
      <c r="C398" s="946" t="s">
        <v>16</v>
      </c>
      <c r="D398" s="951" t="s">
        <v>38</v>
      </c>
      <c r="E398" s="952"/>
      <c r="F398" s="952"/>
      <c r="G398" s="953"/>
      <c r="H398" s="954"/>
      <c r="I398" s="944"/>
      <c r="J398" s="830"/>
      <c r="K398" s="831"/>
      <c r="L398" s="831"/>
      <c r="M398" s="831"/>
      <c r="N398" s="831"/>
      <c r="O398" s="945"/>
      <c r="P398" s="945"/>
    </row>
    <row r="399" spans="1:26" ht="18.75" hidden="1">
      <c r="A399" s="1204"/>
      <c r="B399" s="933"/>
      <c r="C399" s="1205"/>
      <c r="D399" s="968" t="s">
        <v>174</v>
      </c>
      <c r="E399" s="1113"/>
      <c r="F399" s="933"/>
      <c r="G399" s="936"/>
      <c r="H399" s="496" t="s">
        <v>9</v>
      </c>
      <c r="I399" s="830">
        <v>0</v>
      </c>
      <c r="J399" s="959">
        <v>0</v>
      </c>
      <c r="K399" s="831">
        <f t="shared" ref="K399:K401" si="172">IF(I399&gt;0,J399*100/I399,0)</f>
        <v>0</v>
      </c>
      <c r="L399" s="1206"/>
      <c r="M399" s="1206"/>
      <c r="N399" s="1206"/>
      <c r="O399" s="1206"/>
      <c r="P399" s="1206"/>
      <c r="Q399" s="818"/>
      <c r="R399" s="818"/>
      <c r="S399" s="818"/>
      <c r="T399" s="818"/>
      <c r="U399" s="818"/>
      <c r="V399" s="818"/>
      <c r="W399" s="818"/>
      <c r="X399" s="818"/>
      <c r="Y399" s="818"/>
      <c r="Z399" s="818"/>
    </row>
    <row r="400" spans="1:26" ht="18.75" hidden="1">
      <c r="A400" s="1032"/>
      <c r="B400" s="827"/>
      <c r="C400" s="1030"/>
      <c r="D400" s="956" t="s">
        <v>175</v>
      </c>
      <c r="E400" s="950"/>
      <c r="F400" s="827"/>
      <c r="G400" s="829"/>
      <c r="H400" s="277" t="s">
        <v>66</v>
      </c>
      <c r="I400" s="830">
        <v>0</v>
      </c>
      <c r="J400" s="959">
        <v>0</v>
      </c>
      <c r="K400" s="831">
        <f t="shared" si="172"/>
        <v>0</v>
      </c>
      <c r="L400" s="831"/>
      <c r="M400" s="831"/>
      <c r="N400" s="831"/>
      <c r="O400" s="831"/>
      <c r="P400" s="831"/>
    </row>
    <row r="401" spans="1:26" ht="19.5" hidden="1">
      <c r="A401" s="1196"/>
      <c r="B401" s="1197" t="s">
        <v>176</v>
      </c>
      <c r="C401" s="1198"/>
      <c r="D401" s="1199"/>
      <c r="E401" s="1199"/>
      <c r="F401" s="1199"/>
      <c r="G401" s="1200"/>
      <c r="H401" s="489" t="s">
        <v>66</v>
      </c>
      <c r="I401" s="1201">
        <f t="shared" ref="I401:J401" si="173">I412</f>
        <v>0</v>
      </c>
      <c r="J401" s="1201">
        <f t="shared" si="173"/>
        <v>0</v>
      </c>
      <c r="K401" s="1202">
        <f t="shared" si="172"/>
        <v>0</v>
      </c>
      <c r="L401" s="1203"/>
      <c r="M401" s="1203"/>
      <c r="N401" s="1203"/>
      <c r="O401" s="1203"/>
      <c r="P401" s="1203"/>
    </row>
    <row r="402" spans="1:26" ht="19.5" hidden="1">
      <c r="A402" s="932"/>
      <c r="B402" s="933"/>
      <c r="C402" s="934" t="s">
        <v>16</v>
      </c>
      <c r="D402" s="935" t="s">
        <v>17</v>
      </c>
      <c r="E402" s="933"/>
      <c r="F402" s="933"/>
      <c r="G402" s="936"/>
      <c r="H402" s="152" t="s">
        <v>12</v>
      </c>
      <c r="I402" s="937"/>
      <c r="J402" s="937"/>
      <c r="K402" s="938"/>
      <c r="L402" s="939">
        <f t="shared" ref="L402:N402" ca="1" si="174">L403+L404</f>
        <v>0</v>
      </c>
      <c r="M402" s="939">
        <f t="shared" ca="1" si="174"/>
        <v>0</v>
      </c>
      <c r="N402" s="939">
        <f t="shared" ca="1" si="174"/>
        <v>0</v>
      </c>
      <c r="O402" s="939">
        <f t="shared" ref="O402:O410" ca="1" si="175">IF(L402&gt;0,N402*100/L402,0)</f>
        <v>0</v>
      </c>
      <c r="P402" s="939">
        <f t="shared" ref="P402:P410" ca="1" si="176">IF(M402&gt;0,N402*100/M402,0)</f>
        <v>0</v>
      </c>
      <c r="Q402" s="818"/>
      <c r="R402" s="818"/>
      <c r="S402" s="818"/>
      <c r="T402" s="818"/>
      <c r="U402" s="818"/>
      <c r="V402" s="818"/>
      <c r="W402" s="818"/>
      <c r="X402" s="818"/>
      <c r="Y402" s="818"/>
      <c r="Z402" s="818"/>
    </row>
    <row r="403" spans="1:26" ht="18.75" hidden="1">
      <c r="A403" s="940"/>
      <c r="B403" s="833"/>
      <c r="C403" s="833"/>
      <c r="D403" s="833"/>
      <c r="E403" s="834" t="s">
        <v>18</v>
      </c>
      <c r="F403" s="833"/>
      <c r="G403" s="941"/>
      <c r="H403" s="158" t="s">
        <v>12</v>
      </c>
      <c r="I403" s="836"/>
      <c r="J403" s="836"/>
      <c r="K403" s="837"/>
      <c r="L403" s="837">
        <f t="shared" ref="L403:N404" si="177">L406+L409</f>
        <v>0</v>
      </c>
      <c r="M403" s="837">
        <f t="shared" si="177"/>
        <v>0</v>
      </c>
      <c r="N403" s="837">
        <f t="shared" si="177"/>
        <v>0</v>
      </c>
      <c r="O403" s="837">
        <f t="shared" si="175"/>
        <v>0</v>
      </c>
      <c r="P403" s="837">
        <f t="shared" si="176"/>
        <v>0</v>
      </c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</row>
    <row r="404" spans="1:26" ht="18.75" hidden="1">
      <c r="A404" s="940"/>
      <c r="B404" s="833"/>
      <c r="C404" s="833"/>
      <c r="D404" s="833"/>
      <c r="E404" s="834" t="s">
        <v>19</v>
      </c>
      <c r="F404" s="833"/>
      <c r="G404" s="941"/>
      <c r="H404" s="158" t="s">
        <v>12</v>
      </c>
      <c r="I404" s="836"/>
      <c r="J404" s="836"/>
      <c r="K404" s="837"/>
      <c r="L404" s="837">
        <f t="shared" ca="1" si="177"/>
        <v>0</v>
      </c>
      <c r="M404" s="837">
        <f t="shared" ca="1" si="177"/>
        <v>0</v>
      </c>
      <c r="N404" s="837">
        <f t="shared" ca="1" si="177"/>
        <v>0</v>
      </c>
      <c r="O404" s="837">
        <f t="shared" ca="1" si="175"/>
        <v>0</v>
      </c>
      <c r="P404" s="837">
        <f t="shared" ca="1" si="176"/>
        <v>0</v>
      </c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</row>
    <row r="405" spans="1:26" ht="18.75" hidden="1">
      <c r="A405" s="942"/>
      <c r="B405" s="827"/>
      <c r="C405" s="943"/>
      <c r="D405" s="828" t="s">
        <v>20</v>
      </c>
      <c r="E405" s="827"/>
      <c r="F405" s="827"/>
      <c r="G405" s="829"/>
      <c r="H405" s="778" t="s">
        <v>12</v>
      </c>
      <c r="I405" s="944"/>
      <c r="J405" s="944"/>
      <c r="K405" s="945"/>
      <c r="L405" s="831">
        <f t="shared" ref="L405:N405" ca="1" si="178">L406+L407</f>
        <v>0</v>
      </c>
      <c r="M405" s="831">
        <f t="shared" ca="1" si="178"/>
        <v>0</v>
      </c>
      <c r="N405" s="831">
        <f t="shared" ca="1" si="178"/>
        <v>0</v>
      </c>
      <c r="O405" s="831">
        <f t="shared" ca="1" si="175"/>
        <v>0</v>
      </c>
      <c r="P405" s="831">
        <f t="shared" ca="1" si="176"/>
        <v>0</v>
      </c>
      <c r="Q405" s="818"/>
      <c r="R405" s="818"/>
      <c r="S405" s="818"/>
      <c r="T405" s="818"/>
      <c r="U405" s="818"/>
      <c r="V405" s="818"/>
      <c r="W405" s="818"/>
      <c r="X405" s="818"/>
      <c r="Y405" s="818"/>
      <c r="Z405" s="818"/>
    </row>
    <row r="406" spans="1:26" ht="19.5" hidden="1">
      <c r="A406" s="940"/>
      <c r="B406" s="833"/>
      <c r="C406" s="946"/>
      <c r="D406" s="833"/>
      <c r="E406" s="834" t="s">
        <v>36</v>
      </c>
      <c r="F406" s="833"/>
      <c r="G406" s="941"/>
      <c r="H406" s="165" t="s">
        <v>12</v>
      </c>
      <c r="I406" s="947"/>
      <c r="J406" s="947"/>
      <c r="K406" s="948"/>
      <c r="L406" s="837">
        <v>0</v>
      </c>
      <c r="M406" s="837">
        <v>0</v>
      </c>
      <c r="N406" s="837">
        <v>0</v>
      </c>
      <c r="O406" s="837">
        <f t="shared" si="175"/>
        <v>0</v>
      </c>
      <c r="P406" s="837">
        <f t="shared" si="176"/>
        <v>0</v>
      </c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</row>
    <row r="407" spans="1:26" ht="19.5" hidden="1">
      <c r="A407" s="940"/>
      <c r="B407" s="833"/>
      <c r="C407" s="946"/>
      <c r="D407" s="833"/>
      <c r="E407" s="834" t="s">
        <v>37</v>
      </c>
      <c r="F407" s="833"/>
      <c r="G407" s="941"/>
      <c r="H407" s="165" t="s">
        <v>12</v>
      </c>
      <c r="I407" s="947"/>
      <c r="J407" s="947"/>
      <c r="K407" s="948"/>
      <c r="L407" s="837">
        <f ca="1">IFERROR(__xludf.DUMMYFUNCTION("IMPORTRANGE(""https://docs.google.com/spreadsheets/d/1MeEWN-I1oV_STSDYn1IFDPWt_1FKiwhDph83XaGc0o0/edit?usp=sharing"",""งบพรบ!FQ29"")"),0)</f>
        <v>0</v>
      </c>
      <c r="M407" s="837">
        <f ca="1">IFERROR(__xludf.DUMMYFUNCTION("IMPORTRANGE(""https://docs.google.com/spreadsheets/d/1MeEWN-I1oV_STSDYn1IFDPWt_1FKiwhDph83XaGc0o0/edit?usp=sharing"",""งบพรบ!FV29"")"),0)</f>
        <v>0</v>
      </c>
      <c r="N407" s="837">
        <f ca="1">IFERROR(__xludf.DUMMYFUNCTION("IMPORTRANGE(""https://docs.google.com/spreadsheets/d/1MeEWN-I1oV_STSDYn1IFDPWt_1FKiwhDph83XaGc0o0/edit?usp=sharing"",""งบพรบ!FX29"")"),0)</f>
        <v>0</v>
      </c>
      <c r="O407" s="837">
        <f t="shared" ca="1" si="175"/>
        <v>0</v>
      </c>
      <c r="P407" s="837">
        <f t="shared" ca="1" si="176"/>
        <v>0</v>
      </c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</row>
    <row r="408" spans="1:26" ht="18.75" hidden="1">
      <c r="A408" s="942"/>
      <c r="B408" s="827"/>
      <c r="C408" s="943"/>
      <c r="D408" s="828" t="s">
        <v>21</v>
      </c>
      <c r="E408" s="827"/>
      <c r="F408" s="827"/>
      <c r="G408" s="829"/>
      <c r="H408" s="168" t="s">
        <v>12</v>
      </c>
      <c r="I408" s="944"/>
      <c r="J408" s="944"/>
      <c r="K408" s="945"/>
      <c r="L408" s="831">
        <f t="shared" ref="L408:N408" ca="1" si="179">L409+L410</f>
        <v>0</v>
      </c>
      <c r="M408" s="831">
        <f t="shared" ca="1" si="179"/>
        <v>0</v>
      </c>
      <c r="N408" s="831">
        <f t="shared" ca="1" si="179"/>
        <v>0</v>
      </c>
      <c r="O408" s="831">
        <f t="shared" ca="1" si="175"/>
        <v>0</v>
      </c>
      <c r="P408" s="831">
        <f t="shared" ca="1" si="176"/>
        <v>0</v>
      </c>
      <c r="Q408" s="818"/>
      <c r="R408" s="818"/>
      <c r="S408" s="818"/>
      <c r="T408" s="818"/>
      <c r="U408" s="818"/>
      <c r="V408" s="818"/>
      <c r="W408" s="818"/>
      <c r="X408" s="818"/>
      <c r="Y408" s="818"/>
      <c r="Z408" s="818"/>
    </row>
    <row r="409" spans="1:26" ht="19.5" hidden="1">
      <c r="A409" s="940"/>
      <c r="B409" s="833"/>
      <c r="C409" s="946"/>
      <c r="D409" s="833"/>
      <c r="E409" s="834" t="s">
        <v>18</v>
      </c>
      <c r="F409" s="833"/>
      <c r="G409" s="941"/>
      <c r="H409" s="165" t="s">
        <v>12</v>
      </c>
      <c r="I409" s="947"/>
      <c r="J409" s="947"/>
      <c r="K409" s="948"/>
      <c r="L409" s="837">
        <v>0</v>
      </c>
      <c r="M409" s="837">
        <v>0</v>
      </c>
      <c r="N409" s="837">
        <v>0</v>
      </c>
      <c r="O409" s="837">
        <f t="shared" si="175"/>
        <v>0</v>
      </c>
      <c r="P409" s="837">
        <f t="shared" si="176"/>
        <v>0</v>
      </c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</row>
    <row r="410" spans="1:26" ht="19.5" hidden="1">
      <c r="A410" s="940"/>
      <c r="B410" s="833"/>
      <c r="C410" s="946"/>
      <c r="D410" s="833"/>
      <c r="E410" s="834" t="s">
        <v>19</v>
      </c>
      <c r="F410" s="833"/>
      <c r="G410" s="941"/>
      <c r="H410" s="169" t="s">
        <v>12</v>
      </c>
      <c r="I410" s="947"/>
      <c r="J410" s="947"/>
      <c r="K410" s="948"/>
      <c r="L410" s="837">
        <f ca="1">IFERROR(__xludf.DUMMYFUNCTION("IMPORTRANGE(""https://docs.google.com/spreadsheets/d/1MeEWN-I1oV_STSDYn1IFDPWt_1FKiwhDph83XaGc0o0/edit?usp=sharing"",""งบพรบ!FT29"")"),0)</f>
        <v>0</v>
      </c>
      <c r="M410" s="837">
        <f ca="1">IFERROR(__xludf.DUMMYFUNCTION("IMPORTRANGE(""https://docs.google.com/spreadsheets/d/1MeEWN-I1oV_STSDYn1IFDPWt_1FKiwhDph83XaGc0o0/edit?usp=sharing"",""งบพรบ!FW29"")"),0)</f>
        <v>0</v>
      </c>
      <c r="N410" s="837">
        <f ca="1">IFERROR(__xludf.DUMMYFUNCTION("IMPORTRANGE(""https://docs.google.com/spreadsheets/d/1MeEWN-I1oV_STSDYn1IFDPWt_1FKiwhDph83XaGc0o0/edit?usp=sharing"",""งบพรบ!FY29"")"),0)</f>
        <v>0</v>
      </c>
      <c r="O410" s="837">
        <f t="shared" ca="1" si="175"/>
        <v>0</v>
      </c>
      <c r="P410" s="837">
        <f t="shared" ca="1" si="176"/>
        <v>0</v>
      </c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</row>
    <row r="411" spans="1:26" ht="19.5" hidden="1">
      <c r="A411" s="949"/>
      <c r="B411" s="950"/>
      <c r="C411" s="946" t="s">
        <v>16</v>
      </c>
      <c r="D411" s="1207" t="s">
        <v>38</v>
      </c>
      <c r="E411" s="1208"/>
      <c r="F411" s="1208"/>
      <c r="G411" s="1209"/>
      <c r="H411" s="954"/>
      <c r="I411" s="830"/>
      <c r="J411" s="830"/>
      <c r="K411" s="831"/>
      <c r="L411" s="945"/>
      <c r="M411" s="945"/>
      <c r="N411" s="945"/>
      <c r="O411" s="945"/>
      <c r="P411" s="945"/>
    </row>
    <row r="412" spans="1:26" ht="18.75" hidden="1">
      <c r="A412" s="949"/>
      <c r="B412" s="957"/>
      <c r="C412" s="957"/>
      <c r="D412" s="956" t="s">
        <v>177</v>
      </c>
      <c r="E412" s="957"/>
      <c r="F412" s="957"/>
      <c r="G412" s="958"/>
      <c r="H412" s="501" t="s">
        <v>66</v>
      </c>
      <c r="I412" s="830">
        <v>0</v>
      </c>
      <c r="J412" s="959">
        <v>0</v>
      </c>
      <c r="K412" s="831">
        <f t="shared" ref="K412:K413" si="180">IF(I412&gt;0,J412*100/I412,0)</f>
        <v>0</v>
      </c>
      <c r="L412" s="945"/>
      <c r="M412" s="945"/>
      <c r="N412" s="945"/>
      <c r="O412" s="945"/>
      <c r="P412" s="945"/>
    </row>
    <row r="413" spans="1:26" ht="19.5" hidden="1" thickBot="1">
      <c r="A413" s="1210"/>
      <c r="B413" s="1211"/>
      <c r="C413" s="1211"/>
      <c r="D413" s="1212" t="s">
        <v>178</v>
      </c>
      <c r="E413" s="1211"/>
      <c r="F413" s="1211"/>
      <c r="G413" s="1213"/>
      <c r="H413" s="506" t="s">
        <v>179</v>
      </c>
      <c r="I413" s="1214">
        <v>0</v>
      </c>
      <c r="J413" s="1215">
        <v>0</v>
      </c>
      <c r="K413" s="1216">
        <f t="shared" si="180"/>
        <v>0</v>
      </c>
      <c r="L413" s="1217"/>
      <c r="M413" s="1217"/>
      <c r="N413" s="1217"/>
      <c r="O413" s="1217"/>
      <c r="P413" s="1217"/>
    </row>
    <row r="414" spans="1:26" ht="19.5">
      <c r="A414" s="1218" t="s">
        <v>180</v>
      </c>
      <c r="B414" s="1219"/>
      <c r="C414" s="1219"/>
      <c r="D414" s="1219"/>
      <c r="E414" s="1219"/>
      <c r="F414" s="1219"/>
      <c r="G414" s="1220"/>
      <c r="H414" s="1221"/>
      <c r="I414" s="1222"/>
      <c r="J414" s="1222"/>
      <c r="K414" s="1223"/>
      <c r="L414" s="1224">
        <f t="shared" ref="L414:N414" ca="1" si="181">L419+L444+L467+L502+L523+L544+L629+L655+L685+L737+L754+L770+L786+L805</f>
        <v>1588912</v>
      </c>
      <c r="M414" s="1224">
        <f t="shared" si="181"/>
        <v>0</v>
      </c>
      <c r="N414" s="1224">
        <f t="shared" si="181"/>
        <v>521343</v>
      </c>
      <c r="O414" s="1224">
        <f ca="1">IF(L414&gt;0,N414*100/L414,0)</f>
        <v>32.811319947234331</v>
      </c>
      <c r="P414" s="1224">
        <f>IF(M414&gt;0,N414*100/M414,0)</f>
        <v>0</v>
      </c>
    </row>
    <row r="415" spans="1:26" ht="19.5">
      <c r="A415" s="1225" t="s">
        <v>181</v>
      </c>
      <c r="B415" s="1226"/>
      <c r="C415" s="1226"/>
      <c r="D415" s="1226"/>
      <c r="E415" s="1226"/>
      <c r="F415" s="1226"/>
      <c r="G415" s="1226"/>
      <c r="H415" s="1227"/>
      <c r="I415" s="1228"/>
      <c r="J415" s="1228"/>
      <c r="K415" s="1229"/>
      <c r="L415" s="1230"/>
      <c r="M415" s="1230"/>
      <c r="N415" s="1230"/>
      <c r="O415" s="1230"/>
      <c r="P415" s="1230"/>
    </row>
    <row r="416" spans="1:26" ht="19.5">
      <c r="A416" s="1225" t="s">
        <v>182</v>
      </c>
      <c r="B416" s="1226"/>
      <c r="C416" s="1226"/>
      <c r="D416" s="1226"/>
      <c r="E416" s="1226"/>
      <c r="F416" s="1226"/>
      <c r="G416" s="1231"/>
      <c r="H416" s="1232"/>
      <c r="I416" s="1233"/>
      <c r="J416" s="1233"/>
      <c r="K416" s="1230"/>
      <c r="L416" s="1230"/>
      <c r="M416" s="1230"/>
      <c r="N416" s="1230"/>
      <c r="O416" s="1230"/>
      <c r="P416" s="1230"/>
    </row>
    <row r="417" spans="1:26" ht="39">
      <c r="A417" s="527">
        <v>1</v>
      </c>
      <c r="B417" s="1234" t="s">
        <v>183</v>
      </c>
      <c r="C417" s="1234"/>
      <c r="D417" s="1235"/>
      <c r="E417" s="1235"/>
      <c r="F417" s="1235"/>
      <c r="G417" s="1236"/>
      <c r="H417" s="532" t="s">
        <v>35</v>
      </c>
      <c r="I417" s="1237">
        <f t="shared" ref="I417:J418" ca="1" si="182">I433</f>
        <v>20</v>
      </c>
      <c r="J417" s="1237">
        <f t="shared" ca="1" si="182"/>
        <v>20</v>
      </c>
      <c r="K417" s="1238">
        <f t="shared" ref="K417:K418" ca="1" si="183">IF(I417&gt;0,J417*100/I417,0)</f>
        <v>100</v>
      </c>
      <c r="L417" s="1239"/>
      <c r="M417" s="1239"/>
      <c r="N417" s="1239"/>
      <c r="O417" s="1239"/>
      <c r="P417" s="1239"/>
    </row>
    <row r="418" spans="1:26" ht="19.5">
      <c r="A418" s="1240"/>
      <c r="B418" s="527"/>
      <c r="C418" s="1234"/>
      <c r="D418" s="1235"/>
      <c r="E418" s="1235"/>
      <c r="F418" s="1235"/>
      <c r="G418" s="1236"/>
      <c r="H418" s="532" t="s">
        <v>49</v>
      </c>
      <c r="I418" s="1237">
        <f t="shared" ca="1" si="182"/>
        <v>1</v>
      </c>
      <c r="J418" s="1237">
        <f t="shared" si="182"/>
        <v>0</v>
      </c>
      <c r="K418" s="1238">
        <f t="shared" ca="1" si="183"/>
        <v>0</v>
      </c>
      <c r="L418" s="1239"/>
      <c r="M418" s="1239"/>
      <c r="N418" s="1239"/>
      <c r="O418" s="1239"/>
      <c r="P418" s="1239"/>
    </row>
    <row r="419" spans="1:26" ht="19.5">
      <c r="A419" s="932"/>
      <c r="B419" s="933"/>
      <c r="C419" s="933" t="s">
        <v>16</v>
      </c>
      <c r="D419" s="1510" t="s">
        <v>17</v>
      </c>
      <c r="E419" s="1487"/>
      <c r="F419" s="1487"/>
      <c r="G419" s="936"/>
      <c r="H419" s="275" t="s">
        <v>12</v>
      </c>
      <c r="I419" s="937"/>
      <c r="J419" s="937"/>
      <c r="K419" s="938"/>
      <c r="L419" s="939">
        <f t="shared" ref="L419:N419" ca="1" si="184">L420+L421</f>
        <v>98660</v>
      </c>
      <c r="M419" s="939">
        <f t="shared" si="184"/>
        <v>0</v>
      </c>
      <c r="N419" s="939">
        <f t="shared" si="184"/>
        <v>72616.5</v>
      </c>
      <c r="O419" s="939">
        <f t="shared" ref="O419:O424" ca="1" si="185">IF(L419&gt;0,N419*100/L419,0)</f>
        <v>73.602777214676664</v>
      </c>
      <c r="P419" s="939">
        <f t="shared" ref="P419:P424" si="186">IF(M419&gt;0,N419*100/M419,0)</f>
        <v>0</v>
      </c>
      <c r="Q419" s="818"/>
      <c r="R419" s="818"/>
      <c r="S419" s="818"/>
      <c r="T419" s="818"/>
      <c r="U419" s="818"/>
      <c r="V419" s="818"/>
      <c r="W419" s="818"/>
      <c r="X419" s="818"/>
      <c r="Y419" s="818"/>
      <c r="Z419" s="818"/>
    </row>
    <row r="420" spans="1:26" ht="18.75" hidden="1">
      <c r="A420" s="940"/>
      <c r="B420" s="833"/>
      <c r="C420" s="833"/>
      <c r="D420" s="1061"/>
      <c r="E420" s="834" t="s">
        <v>184</v>
      </c>
      <c r="F420" s="833"/>
      <c r="G420" s="941"/>
      <c r="H420" s="165" t="s">
        <v>12</v>
      </c>
      <c r="I420" s="836"/>
      <c r="J420" s="836"/>
      <c r="K420" s="837"/>
      <c r="L420" s="837">
        <f t="shared" ref="L420:N421" si="187">L423+L430</f>
        <v>0</v>
      </c>
      <c r="M420" s="837">
        <f t="shared" si="187"/>
        <v>0</v>
      </c>
      <c r="N420" s="837">
        <f t="shared" si="187"/>
        <v>0</v>
      </c>
      <c r="O420" s="837">
        <f t="shared" si="185"/>
        <v>0</v>
      </c>
      <c r="P420" s="837">
        <f t="shared" si="186"/>
        <v>0</v>
      </c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</row>
    <row r="421" spans="1:26" ht="18.75" hidden="1">
      <c r="A421" s="940"/>
      <c r="B421" s="833"/>
      <c r="C421" s="833"/>
      <c r="D421" s="1061"/>
      <c r="E421" s="834" t="s">
        <v>185</v>
      </c>
      <c r="F421" s="833"/>
      <c r="G421" s="941"/>
      <c r="H421" s="165" t="s">
        <v>12</v>
      </c>
      <c r="I421" s="836"/>
      <c r="J421" s="836"/>
      <c r="K421" s="837"/>
      <c r="L421" s="837">
        <f t="shared" ca="1" si="187"/>
        <v>98660</v>
      </c>
      <c r="M421" s="837">
        <f t="shared" si="187"/>
        <v>0</v>
      </c>
      <c r="N421" s="837">
        <f t="shared" si="187"/>
        <v>72616.5</v>
      </c>
      <c r="O421" s="837">
        <f t="shared" ca="1" si="185"/>
        <v>73.602777214676664</v>
      </c>
      <c r="P421" s="837">
        <f t="shared" si="186"/>
        <v>0</v>
      </c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</row>
    <row r="422" spans="1:26" ht="18.75">
      <c r="A422" s="942"/>
      <c r="B422" s="1030"/>
      <c r="C422" s="827"/>
      <c r="D422" s="828" t="s">
        <v>20</v>
      </c>
      <c r="E422" s="827"/>
      <c r="F422" s="827"/>
      <c r="G422" s="829"/>
      <c r="H422" s="778" t="s">
        <v>12</v>
      </c>
      <c r="I422" s="944"/>
      <c r="J422" s="944"/>
      <c r="K422" s="945"/>
      <c r="L422" s="831">
        <f t="shared" ref="L422:N422" ca="1" si="188">L423+L424</f>
        <v>98660</v>
      </c>
      <c r="M422" s="831">
        <f t="shared" si="188"/>
        <v>0</v>
      </c>
      <c r="N422" s="831">
        <f t="shared" si="188"/>
        <v>72616.5</v>
      </c>
      <c r="O422" s="831">
        <f t="shared" ca="1" si="185"/>
        <v>73.602777214676664</v>
      </c>
      <c r="P422" s="831">
        <f t="shared" si="186"/>
        <v>0</v>
      </c>
      <c r="Q422" s="818"/>
      <c r="R422" s="818"/>
      <c r="S422" s="818"/>
      <c r="T422" s="818"/>
      <c r="U422" s="818"/>
      <c r="V422" s="818"/>
      <c r="W422" s="818"/>
      <c r="X422" s="818"/>
      <c r="Y422" s="818"/>
      <c r="Z422" s="818"/>
    </row>
    <row r="423" spans="1:26" ht="18.75" hidden="1">
      <c r="A423" s="940"/>
      <c r="B423" s="833"/>
      <c r="C423" s="833"/>
      <c r="D423" s="1061"/>
      <c r="E423" s="834" t="s">
        <v>184</v>
      </c>
      <c r="F423" s="833"/>
      <c r="G423" s="941"/>
      <c r="H423" s="165" t="s">
        <v>12</v>
      </c>
      <c r="I423" s="836"/>
      <c r="J423" s="836"/>
      <c r="K423" s="837"/>
      <c r="L423" s="837">
        <v>0</v>
      </c>
      <c r="M423" s="837">
        <v>0</v>
      </c>
      <c r="N423" s="837">
        <v>0</v>
      </c>
      <c r="O423" s="837">
        <f t="shared" si="185"/>
        <v>0</v>
      </c>
      <c r="P423" s="837">
        <f t="shared" si="186"/>
        <v>0</v>
      </c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</row>
    <row r="424" spans="1:26" ht="18.75" hidden="1">
      <c r="A424" s="940"/>
      <c r="B424" s="833"/>
      <c r="C424" s="833"/>
      <c r="D424" s="1061"/>
      <c r="E424" s="834" t="s">
        <v>185</v>
      </c>
      <c r="F424" s="833"/>
      <c r="G424" s="941"/>
      <c r="H424" s="165" t="s">
        <v>12</v>
      </c>
      <c r="I424" s="836"/>
      <c r="J424" s="836"/>
      <c r="K424" s="837"/>
      <c r="L424" s="837">
        <f ca="1">IFERROR(__xludf.DUMMYFUNCTION("IMPORTRANGE(""https://docs.google.com/spreadsheets/d/1QqKyyYR6Q21VydFLVH3TRQUabQu_ym0Zz7PgGX0-kHA/edit?usp=sharing"",""แผน!EY29"")"),98660)</f>
        <v>98660</v>
      </c>
      <c r="M424" s="837">
        <v>0</v>
      </c>
      <c r="N424" s="837">
        <f>N425+N426+N427+N428</f>
        <v>72616.5</v>
      </c>
      <c r="O424" s="837">
        <f t="shared" ca="1" si="185"/>
        <v>73.602777214676664</v>
      </c>
      <c r="P424" s="837">
        <f t="shared" si="186"/>
        <v>0</v>
      </c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</row>
    <row r="425" spans="1:26" ht="18.75">
      <c r="A425" s="1241"/>
      <c r="B425" s="1242"/>
      <c r="C425" s="1243"/>
      <c r="D425" s="1243"/>
      <c r="E425" s="1243"/>
      <c r="F425" s="1243" t="s">
        <v>186</v>
      </c>
      <c r="G425" s="963"/>
      <c r="H425" s="778" t="s">
        <v>12</v>
      </c>
      <c r="I425" s="830"/>
      <c r="J425" s="830"/>
      <c r="K425" s="831"/>
      <c r="L425" s="831"/>
      <c r="M425" s="831"/>
      <c r="N425" s="1031">
        <v>32389.5</v>
      </c>
      <c r="O425" s="831"/>
      <c r="P425" s="831"/>
      <c r="Q425" s="1244"/>
      <c r="R425" s="1244"/>
      <c r="S425" s="1244"/>
      <c r="T425" s="1244"/>
      <c r="U425" s="1244"/>
      <c r="V425" s="1244"/>
      <c r="W425" s="1244"/>
      <c r="X425" s="1244"/>
      <c r="Y425" s="1244"/>
      <c r="Z425" s="1244"/>
    </row>
    <row r="426" spans="1:26" ht="18.75">
      <c r="A426" s="1241"/>
      <c r="B426" s="1242"/>
      <c r="C426" s="1243"/>
      <c r="D426" s="1243"/>
      <c r="E426" s="1243"/>
      <c r="F426" s="1243" t="s">
        <v>187</v>
      </c>
      <c r="G426" s="963"/>
      <c r="H426" s="778" t="s">
        <v>12</v>
      </c>
      <c r="I426" s="830"/>
      <c r="J426" s="830"/>
      <c r="K426" s="831"/>
      <c r="L426" s="831"/>
      <c r="M426" s="831"/>
      <c r="N426" s="1031"/>
      <c r="O426" s="831"/>
      <c r="P426" s="831"/>
      <c r="Q426" s="1244"/>
      <c r="R426" s="1244"/>
      <c r="S426" s="1244"/>
      <c r="T426" s="1244"/>
      <c r="U426" s="1244"/>
      <c r="V426" s="1244"/>
      <c r="W426" s="1244"/>
      <c r="X426" s="1244"/>
      <c r="Y426" s="1244"/>
      <c r="Z426" s="1244"/>
    </row>
    <row r="427" spans="1:26" ht="18.75">
      <c r="A427" s="1241"/>
      <c r="B427" s="1242"/>
      <c r="C427" s="1243"/>
      <c r="D427" s="1243"/>
      <c r="E427" s="1243"/>
      <c r="F427" s="1243" t="s">
        <v>188</v>
      </c>
      <c r="G427" s="963"/>
      <c r="H427" s="778" t="s">
        <v>12</v>
      </c>
      <c r="I427" s="830"/>
      <c r="J427" s="830"/>
      <c r="K427" s="831"/>
      <c r="L427" s="831"/>
      <c r="M427" s="831"/>
      <c r="N427" s="1031"/>
      <c r="O427" s="831"/>
      <c r="P427" s="831"/>
      <c r="Q427" s="1244"/>
      <c r="R427" s="1244"/>
      <c r="S427" s="1244"/>
      <c r="T427" s="1244"/>
      <c r="U427" s="1244"/>
      <c r="V427" s="1244"/>
      <c r="W427" s="1244"/>
      <c r="X427" s="1244"/>
      <c r="Y427" s="1244"/>
      <c r="Z427" s="1244"/>
    </row>
    <row r="428" spans="1:26" ht="18.75">
      <c r="A428" s="1032"/>
      <c r="B428" s="1030"/>
      <c r="C428" s="827"/>
      <c r="D428" s="827"/>
      <c r="E428" s="827"/>
      <c r="F428" s="943" t="s">
        <v>189</v>
      </c>
      <c r="G428" s="977"/>
      <c r="H428" s="778" t="s">
        <v>12</v>
      </c>
      <c r="I428" s="830"/>
      <c r="J428" s="830"/>
      <c r="K428" s="831"/>
      <c r="L428" s="831"/>
      <c r="M428" s="831"/>
      <c r="N428" s="1031">
        <v>40227</v>
      </c>
      <c r="O428" s="831"/>
      <c r="P428" s="831"/>
      <c r="Q428" s="818"/>
      <c r="R428" s="818"/>
      <c r="S428" s="818"/>
      <c r="T428" s="818"/>
      <c r="U428" s="818"/>
      <c r="V428" s="818"/>
      <c r="W428" s="818"/>
      <c r="X428" s="818"/>
      <c r="Y428" s="818"/>
      <c r="Z428" s="818"/>
    </row>
    <row r="429" spans="1:26" ht="18.75">
      <c r="A429" s="942"/>
      <c r="B429" s="1030"/>
      <c r="C429" s="827"/>
      <c r="D429" s="828" t="s">
        <v>21</v>
      </c>
      <c r="E429" s="827"/>
      <c r="F429" s="827"/>
      <c r="G429" s="829"/>
      <c r="H429" s="168" t="s">
        <v>12</v>
      </c>
      <c r="I429" s="944"/>
      <c r="J429" s="944"/>
      <c r="K429" s="945"/>
      <c r="L429" s="831">
        <f t="shared" ref="L429:N429" ca="1" si="189">L430+L431</f>
        <v>0</v>
      </c>
      <c r="M429" s="831">
        <f t="shared" si="189"/>
        <v>0</v>
      </c>
      <c r="N429" s="831">
        <f t="shared" si="189"/>
        <v>0</v>
      </c>
      <c r="O429" s="831">
        <f t="shared" ref="O429:O431" ca="1" si="190">IF(L429&gt;0,N429*100/L429,0)</f>
        <v>0</v>
      </c>
      <c r="P429" s="831">
        <f t="shared" ref="P429:P431" si="191">IF(M429&gt;0,N429*100/M429,0)</f>
        <v>0</v>
      </c>
      <c r="Q429" s="818"/>
      <c r="R429" s="818"/>
      <c r="S429" s="818"/>
      <c r="T429" s="818"/>
      <c r="U429" s="818"/>
      <c r="V429" s="818"/>
      <c r="W429" s="818"/>
      <c r="X429" s="818"/>
      <c r="Y429" s="818"/>
      <c r="Z429" s="818"/>
    </row>
    <row r="430" spans="1:26" ht="18.75" hidden="1">
      <c r="A430" s="940"/>
      <c r="B430" s="1052"/>
      <c r="C430" s="833"/>
      <c r="D430" s="833"/>
      <c r="E430" s="834" t="s">
        <v>18</v>
      </c>
      <c r="F430" s="833"/>
      <c r="G430" s="835"/>
      <c r="H430" s="165" t="s">
        <v>12</v>
      </c>
      <c r="I430" s="947"/>
      <c r="J430" s="947"/>
      <c r="K430" s="948"/>
      <c r="L430" s="837">
        <v>0</v>
      </c>
      <c r="M430" s="837">
        <v>0</v>
      </c>
      <c r="N430" s="837">
        <v>0</v>
      </c>
      <c r="O430" s="837">
        <f t="shared" si="190"/>
        <v>0</v>
      </c>
      <c r="P430" s="837">
        <f t="shared" si="191"/>
        <v>0</v>
      </c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</row>
    <row r="431" spans="1:26" ht="18.75" hidden="1">
      <c r="A431" s="940"/>
      <c r="B431" s="1052"/>
      <c r="C431" s="833"/>
      <c r="D431" s="833"/>
      <c r="E431" s="834" t="s">
        <v>19</v>
      </c>
      <c r="F431" s="833"/>
      <c r="G431" s="835"/>
      <c r="H431" s="169" t="s">
        <v>12</v>
      </c>
      <c r="I431" s="947"/>
      <c r="J431" s="947"/>
      <c r="K431" s="948"/>
      <c r="L431" s="837">
        <f ca="1">IFERROR(__xludf.DUMMYFUNCTION("IMPORTRANGE(""https://docs.google.com/spreadsheets/d/1QqKyyYR6Q21VydFLVH3TRQUabQu_ym0Zz7PgGX0-kHA/edit?usp=sharing"",""แผน!FB29"")"),0)</f>
        <v>0</v>
      </c>
      <c r="M431" s="837">
        <v>0</v>
      </c>
      <c r="N431" s="837">
        <v>0</v>
      </c>
      <c r="O431" s="837">
        <f t="shared" ca="1" si="190"/>
        <v>0</v>
      </c>
      <c r="P431" s="837">
        <f t="shared" si="191"/>
        <v>0</v>
      </c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</row>
    <row r="432" spans="1:26" ht="19.5">
      <c r="A432" s="1112"/>
      <c r="B432" s="1113"/>
      <c r="C432" s="933" t="s">
        <v>16</v>
      </c>
      <c r="D432" s="1245" t="s">
        <v>38</v>
      </c>
      <c r="E432" s="1246"/>
      <c r="F432" s="1246"/>
      <c r="G432" s="1247"/>
      <c r="H432" s="1248"/>
      <c r="I432" s="937"/>
      <c r="J432" s="937"/>
      <c r="K432" s="938"/>
      <c r="L432" s="938"/>
      <c r="M432" s="938"/>
      <c r="N432" s="938"/>
      <c r="O432" s="938"/>
      <c r="P432" s="938"/>
      <c r="Q432" s="818"/>
      <c r="R432" s="818"/>
      <c r="S432" s="818"/>
      <c r="T432" s="818"/>
      <c r="U432" s="818"/>
      <c r="V432" s="818"/>
      <c r="W432" s="818"/>
      <c r="X432" s="818"/>
      <c r="Y432" s="818"/>
      <c r="Z432" s="818"/>
    </row>
    <row r="433" spans="1:26" ht="19.5">
      <c r="A433" s="949"/>
      <c r="B433" s="950"/>
      <c r="C433" s="950"/>
      <c r="D433" s="960" t="s">
        <v>190</v>
      </c>
      <c r="E433" s="957"/>
      <c r="F433" s="957"/>
      <c r="G433" s="958"/>
      <c r="H433" s="196" t="s">
        <v>35</v>
      </c>
      <c r="I433" s="966">
        <f ca="1">I435</f>
        <v>20</v>
      </c>
      <c r="J433" s="966">
        <f ca="1">IF(AND(J435=I435,J437=I437,J439=I439),I437+I439,IF(AND(J435=I437,J437=I437),I437,IF(AND(J435=I439,J439=I439),I439,0)))</f>
        <v>20</v>
      </c>
      <c r="K433" s="967">
        <f t="shared" ref="K433:K435" ca="1" si="192">IF(I433&gt;0,J433*100/I433,0)</f>
        <v>100</v>
      </c>
      <c r="L433" s="831"/>
      <c r="M433" s="831"/>
      <c r="N433" s="831"/>
      <c r="O433" s="831"/>
      <c r="P433" s="831"/>
      <c r="Q433" s="818"/>
      <c r="R433" s="818"/>
      <c r="S433" s="818"/>
      <c r="T433" s="818"/>
      <c r="U433" s="818"/>
      <c r="V433" s="818"/>
      <c r="W433" s="818"/>
      <c r="X433" s="818"/>
      <c r="Y433" s="818"/>
      <c r="Z433" s="818"/>
    </row>
    <row r="434" spans="1:26" ht="19.5">
      <c r="A434" s="949"/>
      <c r="B434" s="950"/>
      <c r="C434" s="950"/>
      <c r="D434" s="960" t="s">
        <v>191</v>
      </c>
      <c r="E434" s="957"/>
      <c r="F434" s="957"/>
      <c r="G434" s="958"/>
      <c r="H434" s="196" t="s">
        <v>49</v>
      </c>
      <c r="I434" s="966">
        <f t="shared" ref="I434:J434" ca="1" si="193">I438+I440</f>
        <v>1</v>
      </c>
      <c r="J434" s="966">
        <f t="shared" si="193"/>
        <v>0</v>
      </c>
      <c r="K434" s="967">
        <f t="shared" ca="1" si="192"/>
        <v>0</v>
      </c>
      <c r="L434" s="831"/>
      <c r="M434" s="831"/>
      <c r="N434" s="831"/>
      <c r="O434" s="831"/>
      <c r="P434" s="831"/>
      <c r="Q434" s="818"/>
      <c r="R434" s="818"/>
      <c r="S434" s="818"/>
      <c r="T434" s="818"/>
      <c r="U434" s="818"/>
      <c r="V434" s="818"/>
      <c r="W434" s="818"/>
      <c r="X434" s="818"/>
      <c r="Y434" s="818"/>
      <c r="Z434" s="818"/>
    </row>
    <row r="435" spans="1:26" ht="18.75">
      <c r="A435" s="949"/>
      <c r="B435" s="950"/>
      <c r="C435" s="950"/>
      <c r="D435" s="956" t="s">
        <v>192</v>
      </c>
      <c r="E435" s="957"/>
      <c r="F435" s="957"/>
      <c r="G435" s="958"/>
      <c r="H435" s="590" t="s">
        <v>35</v>
      </c>
      <c r="I435" s="548">
        <f ca="1">IFERROR(__xludf.DUMMYFUNCTION("IMPORTRANGE(""https://docs.google.com/spreadsheets/d/1QqKyyYR6Q21VydFLVH3TRQUabQu_ym0Zz7PgGX0-kHA/edit?usp=sharing"",""แผน!FC29"")"),20)</f>
        <v>20</v>
      </c>
      <c r="J435" s="549">
        <v>20</v>
      </c>
      <c r="K435" s="831">
        <f t="shared" ca="1" si="192"/>
        <v>100</v>
      </c>
      <c r="L435" s="831"/>
      <c r="M435" s="831"/>
      <c r="N435" s="831"/>
      <c r="O435" s="831"/>
      <c r="P435" s="831"/>
      <c r="Q435" s="818"/>
      <c r="R435" s="818"/>
      <c r="S435" s="818"/>
      <c r="T435" s="818"/>
      <c r="U435" s="818"/>
      <c r="V435" s="818"/>
      <c r="W435" s="818"/>
      <c r="X435" s="818"/>
      <c r="Y435" s="818"/>
      <c r="Z435" s="818"/>
    </row>
    <row r="436" spans="1:26" ht="18.75">
      <c r="A436" s="949"/>
      <c r="B436" s="950"/>
      <c r="C436" s="950"/>
      <c r="D436" s="956" t="s">
        <v>193</v>
      </c>
      <c r="E436" s="957"/>
      <c r="F436" s="957"/>
      <c r="G436" s="958"/>
      <c r="H436" s="590"/>
      <c r="I436" s="830"/>
      <c r="J436" s="830"/>
      <c r="K436" s="831"/>
      <c r="L436" s="831"/>
      <c r="M436" s="831"/>
      <c r="N436" s="831"/>
      <c r="O436" s="831"/>
      <c r="P436" s="831"/>
      <c r="Q436" s="818"/>
      <c r="R436" s="818"/>
      <c r="S436" s="818"/>
      <c r="T436" s="818"/>
      <c r="U436" s="818"/>
      <c r="V436" s="818"/>
      <c r="W436" s="818"/>
      <c r="X436" s="818"/>
      <c r="Y436" s="818"/>
      <c r="Z436" s="818"/>
    </row>
    <row r="437" spans="1:26" ht="18.75">
      <c r="A437" s="949"/>
      <c r="B437" s="950"/>
      <c r="C437" s="950"/>
      <c r="D437" s="956" t="s">
        <v>194</v>
      </c>
      <c r="E437" s="957"/>
      <c r="F437" s="957"/>
      <c r="G437" s="958"/>
      <c r="H437" s="590" t="s">
        <v>35</v>
      </c>
      <c r="I437" s="548">
        <f ca="1">IFERROR(__xludf.DUMMYFUNCTION("IMPORTRANGE(""https://docs.google.com/spreadsheets/d/1QqKyyYR6Q21VydFLVH3TRQUabQu_ym0Zz7PgGX0-kHA/edit?usp=sharing"",""แผน!FD29"")"),0)</f>
        <v>0</v>
      </c>
      <c r="J437" s="549">
        <v>0</v>
      </c>
      <c r="K437" s="831">
        <f t="shared" ref="K437:K443" ca="1" si="194">IF(I437&gt;0,J437*100/I437,0)</f>
        <v>0</v>
      </c>
      <c r="L437" s="831"/>
      <c r="M437" s="831"/>
      <c r="N437" s="831"/>
      <c r="O437" s="831"/>
      <c r="P437" s="831"/>
      <c r="Q437" s="818"/>
      <c r="R437" s="818"/>
      <c r="S437" s="818"/>
      <c r="T437" s="818"/>
      <c r="U437" s="818"/>
      <c r="V437" s="818"/>
      <c r="W437" s="818"/>
      <c r="X437" s="818"/>
      <c r="Y437" s="818"/>
      <c r="Z437" s="818"/>
    </row>
    <row r="438" spans="1:26" ht="18.75">
      <c r="A438" s="949"/>
      <c r="B438" s="950"/>
      <c r="C438" s="950"/>
      <c r="D438" s="956" t="s">
        <v>195</v>
      </c>
      <c r="E438" s="957"/>
      <c r="F438" s="957"/>
      <c r="G438" s="958"/>
      <c r="H438" s="590" t="s">
        <v>49</v>
      </c>
      <c r="I438" s="830">
        <f ca="1">IFERROR(__xludf.DUMMYFUNCTION("IMPORTRANGE(""https://docs.google.com/spreadsheets/d/1QqKyyYR6Q21VydFLVH3TRQUabQu_ym0Zz7PgGX0-kHA/edit?usp=sharing"",""แผน!FE29"")"),0)</f>
        <v>0</v>
      </c>
      <c r="J438" s="959">
        <v>0</v>
      </c>
      <c r="K438" s="831">
        <f t="shared" ca="1" si="194"/>
        <v>0</v>
      </c>
      <c r="L438" s="831"/>
      <c r="M438" s="831"/>
      <c r="N438" s="831"/>
      <c r="O438" s="831"/>
      <c r="P438" s="831"/>
      <c r="Q438" s="818"/>
      <c r="R438" s="818"/>
      <c r="S438" s="818"/>
      <c r="T438" s="818"/>
      <c r="U438" s="818"/>
      <c r="V438" s="818"/>
      <c r="W438" s="818"/>
      <c r="X438" s="818"/>
      <c r="Y438" s="818"/>
      <c r="Z438" s="818"/>
    </row>
    <row r="439" spans="1:26" ht="18.75">
      <c r="A439" s="949"/>
      <c r="B439" s="950"/>
      <c r="C439" s="950"/>
      <c r="D439" s="956" t="s">
        <v>196</v>
      </c>
      <c r="E439" s="957"/>
      <c r="F439" s="957"/>
      <c r="G439" s="958"/>
      <c r="H439" s="590" t="s">
        <v>35</v>
      </c>
      <c r="I439" s="548">
        <f ca="1">IFERROR(__xludf.DUMMYFUNCTION("IMPORTRANGE(""https://docs.google.com/spreadsheets/d/1QqKyyYR6Q21VydFLVH3TRQUabQu_ym0Zz7PgGX0-kHA/edit?usp=sharing"",""แผน!FF29"")"),20)</f>
        <v>20</v>
      </c>
      <c r="J439" s="549">
        <v>20</v>
      </c>
      <c r="K439" s="831">
        <f t="shared" ca="1" si="194"/>
        <v>100</v>
      </c>
      <c r="L439" s="831"/>
      <c r="M439" s="831"/>
      <c r="N439" s="831"/>
      <c r="O439" s="831"/>
      <c r="P439" s="831"/>
      <c r="Q439" s="818"/>
      <c r="R439" s="818"/>
      <c r="S439" s="818"/>
      <c r="T439" s="818"/>
      <c r="U439" s="818"/>
      <c r="V439" s="818"/>
      <c r="W439" s="818"/>
      <c r="X439" s="818"/>
      <c r="Y439" s="818"/>
      <c r="Z439" s="818"/>
    </row>
    <row r="440" spans="1:26" ht="18.75">
      <c r="A440" s="949"/>
      <c r="B440" s="950"/>
      <c r="C440" s="950"/>
      <c r="D440" s="956" t="s">
        <v>197</v>
      </c>
      <c r="E440" s="957"/>
      <c r="F440" s="957"/>
      <c r="G440" s="958"/>
      <c r="H440" s="590" t="s">
        <v>49</v>
      </c>
      <c r="I440" s="830">
        <f ca="1">IFERROR(__xludf.DUMMYFUNCTION("IMPORTRANGE(""https://docs.google.com/spreadsheets/d/1QqKyyYR6Q21VydFLVH3TRQUabQu_ym0Zz7PgGX0-kHA/edit?usp=sharing"",""แผน!FG29"")"),1)</f>
        <v>1</v>
      </c>
      <c r="J440" s="959">
        <v>0</v>
      </c>
      <c r="K440" s="831">
        <f t="shared" ca="1" si="194"/>
        <v>0</v>
      </c>
      <c r="L440" s="831"/>
      <c r="M440" s="831"/>
      <c r="N440" s="831"/>
      <c r="O440" s="831"/>
      <c r="P440" s="831"/>
      <c r="Q440" s="818"/>
      <c r="R440" s="818"/>
      <c r="S440" s="818"/>
      <c r="T440" s="818"/>
      <c r="U440" s="818"/>
      <c r="V440" s="818"/>
      <c r="W440" s="818"/>
      <c r="X440" s="818"/>
      <c r="Y440" s="818"/>
      <c r="Z440" s="818"/>
    </row>
    <row r="441" spans="1:26" ht="18.75" hidden="1">
      <c r="A441" s="949"/>
      <c r="B441" s="950"/>
      <c r="C441" s="950"/>
      <c r="D441" s="956" t="s">
        <v>198</v>
      </c>
      <c r="E441" s="957"/>
      <c r="F441" s="957"/>
      <c r="G441" s="958"/>
      <c r="H441" s="590" t="s">
        <v>35</v>
      </c>
      <c r="I441" s="830">
        <f ca="1">IFERROR(__xludf.DUMMYFUNCTION("IMPORTRANGE(""https://docs.google.com/spreadsheets/d/1QqKyyYR6Q21VydFLVH3TRQUabQu_ym0Zz7PgGX0-kHA/edit?usp=sharing"",""แผน!FH29"")"),0)</f>
        <v>0</v>
      </c>
      <c r="J441" s="830">
        <v>0</v>
      </c>
      <c r="K441" s="831">
        <f t="shared" ca="1" si="194"/>
        <v>0</v>
      </c>
      <c r="L441" s="831"/>
      <c r="M441" s="831"/>
      <c r="N441" s="831"/>
      <c r="O441" s="831"/>
      <c r="P441" s="831"/>
      <c r="Q441" s="818"/>
      <c r="R441" s="818"/>
      <c r="S441" s="818"/>
      <c r="T441" s="818"/>
      <c r="U441" s="818"/>
      <c r="V441" s="818"/>
      <c r="W441" s="818"/>
      <c r="X441" s="818"/>
      <c r="Y441" s="818"/>
      <c r="Z441" s="818"/>
    </row>
    <row r="442" spans="1:26" ht="19.5">
      <c r="A442" s="550">
        <v>2</v>
      </c>
      <c r="B442" s="1249" t="s">
        <v>199</v>
      </c>
      <c r="C442" s="1250"/>
      <c r="D442" s="1250"/>
      <c r="E442" s="1250"/>
      <c r="F442" s="1250"/>
      <c r="G442" s="1251"/>
      <c r="H442" s="554" t="s">
        <v>35</v>
      </c>
      <c r="I442" s="1252">
        <f t="shared" ref="I442:J442" ca="1" si="195">I460</f>
        <v>30</v>
      </c>
      <c r="J442" s="1252">
        <f t="shared" si="195"/>
        <v>0</v>
      </c>
      <c r="K442" s="1253">
        <f t="shared" ca="1" si="194"/>
        <v>0</v>
      </c>
      <c r="L442" s="1254"/>
      <c r="M442" s="1254"/>
      <c r="N442" s="1254"/>
      <c r="O442" s="1254"/>
      <c r="P442" s="1254"/>
      <c r="Q442" s="1244"/>
      <c r="R442" s="1244"/>
      <c r="S442" s="1244"/>
      <c r="T442" s="1244"/>
      <c r="U442" s="1244"/>
      <c r="V442" s="1244"/>
      <c r="W442" s="1244"/>
      <c r="X442" s="1244"/>
      <c r="Y442" s="1244"/>
      <c r="Z442" s="1244"/>
    </row>
    <row r="443" spans="1:26" ht="19.5">
      <c r="A443" s="1255"/>
      <c r="B443" s="1256"/>
      <c r="C443" s="1257"/>
      <c r="D443" s="1257"/>
      <c r="E443" s="1257"/>
      <c r="F443" s="1257"/>
      <c r="G443" s="1258"/>
      <c r="H443" s="532" t="s">
        <v>46</v>
      </c>
      <c r="I443" s="1237">
        <f t="shared" ref="I443:J443" ca="1" si="196">I462</f>
        <v>50</v>
      </c>
      <c r="J443" s="1237">
        <f t="shared" si="196"/>
        <v>0</v>
      </c>
      <c r="K443" s="1238">
        <f t="shared" ca="1" si="194"/>
        <v>0</v>
      </c>
      <c r="L443" s="1239"/>
      <c r="M443" s="1239"/>
      <c r="N443" s="1239"/>
      <c r="O443" s="1239"/>
      <c r="P443" s="1239"/>
      <c r="Q443" s="1244"/>
      <c r="R443" s="1244"/>
      <c r="S443" s="1244"/>
      <c r="T443" s="1244"/>
      <c r="U443" s="1244"/>
      <c r="V443" s="1244"/>
      <c r="W443" s="1244"/>
      <c r="X443" s="1244"/>
      <c r="Y443" s="1244"/>
      <c r="Z443" s="1244"/>
    </row>
    <row r="444" spans="1:26" ht="19.5">
      <c r="A444" s="1259"/>
      <c r="B444" s="1243"/>
      <c r="C444" s="1243" t="s">
        <v>16</v>
      </c>
      <c r="D444" s="1507" t="s">
        <v>17</v>
      </c>
      <c r="E444" s="1485"/>
      <c r="F444" s="1485"/>
      <c r="G444" s="963"/>
      <c r="H444" s="563" t="s">
        <v>12</v>
      </c>
      <c r="I444" s="830"/>
      <c r="J444" s="830"/>
      <c r="K444" s="831"/>
      <c r="L444" s="967">
        <f t="shared" ref="L444:N444" ca="1" si="197">L445+L446</f>
        <v>137480</v>
      </c>
      <c r="M444" s="967">
        <f t="shared" si="197"/>
        <v>0</v>
      </c>
      <c r="N444" s="967">
        <f t="shared" si="197"/>
        <v>58975</v>
      </c>
      <c r="O444" s="967">
        <f t="shared" ref="O444:O449" ca="1" si="198">IF(L444&gt;0,N444*100/L444,0)</f>
        <v>42.897148676171078</v>
      </c>
      <c r="P444" s="967">
        <f t="shared" ref="P444:P449" si="199">IF(M444&gt;0,N444*100/M444,0)</f>
        <v>0</v>
      </c>
      <c r="Q444" s="1244"/>
      <c r="R444" s="1244"/>
      <c r="S444" s="1244"/>
      <c r="T444" s="1244"/>
      <c r="U444" s="1244"/>
      <c r="V444" s="1244"/>
      <c r="W444" s="1244"/>
      <c r="X444" s="1244"/>
      <c r="Y444" s="1244"/>
      <c r="Z444" s="1244"/>
    </row>
    <row r="445" spans="1:26" ht="18.75" hidden="1">
      <c r="A445" s="1260"/>
      <c r="B445" s="1261"/>
      <c r="C445" s="1261"/>
      <c r="D445" s="1262"/>
      <c r="E445" s="1261" t="s">
        <v>184</v>
      </c>
      <c r="F445" s="1261"/>
      <c r="G445" s="1263"/>
      <c r="H445" s="165" t="s">
        <v>12</v>
      </c>
      <c r="I445" s="836"/>
      <c r="J445" s="836"/>
      <c r="K445" s="837"/>
      <c r="L445" s="837">
        <f t="shared" ref="L445:N446" si="200">L448+L455</f>
        <v>0</v>
      </c>
      <c r="M445" s="837">
        <f t="shared" si="200"/>
        <v>0</v>
      </c>
      <c r="N445" s="837">
        <f t="shared" si="200"/>
        <v>0</v>
      </c>
      <c r="O445" s="837">
        <f t="shared" si="198"/>
        <v>0</v>
      </c>
      <c r="P445" s="837">
        <f t="shared" si="199"/>
        <v>0</v>
      </c>
      <c r="Q445" s="1264"/>
      <c r="R445" s="1264"/>
      <c r="S445" s="1264"/>
      <c r="T445" s="1264"/>
      <c r="U445" s="1264"/>
      <c r="V445" s="1264"/>
      <c r="W445" s="1264"/>
      <c r="X445" s="1264"/>
      <c r="Y445" s="1264"/>
      <c r="Z445" s="1264"/>
    </row>
    <row r="446" spans="1:26" ht="18.75" hidden="1">
      <c r="A446" s="1260"/>
      <c r="B446" s="1265"/>
      <c r="C446" s="1261"/>
      <c r="D446" s="1262"/>
      <c r="E446" s="1261" t="s">
        <v>185</v>
      </c>
      <c r="F446" s="1261"/>
      <c r="G446" s="1263"/>
      <c r="H446" s="165" t="s">
        <v>12</v>
      </c>
      <c r="I446" s="836"/>
      <c r="J446" s="836"/>
      <c r="K446" s="837"/>
      <c r="L446" s="837">
        <f t="shared" ca="1" si="200"/>
        <v>137480</v>
      </c>
      <c r="M446" s="837">
        <f t="shared" si="200"/>
        <v>0</v>
      </c>
      <c r="N446" s="837">
        <f t="shared" si="200"/>
        <v>58975</v>
      </c>
      <c r="O446" s="837">
        <f t="shared" ca="1" si="198"/>
        <v>42.897148676171078</v>
      </c>
      <c r="P446" s="837">
        <f t="shared" si="199"/>
        <v>0</v>
      </c>
      <c r="Q446" s="1264"/>
      <c r="R446" s="1264"/>
      <c r="S446" s="1264"/>
      <c r="T446" s="1264"/>
      <c r="U446" s="1264"/>
      <c r="V446" s="1264"/>
      <c r="W446" s="1264"/>
      <c r="X446" s="1264"/>
      <c r="Y446" s="1264"/>
      <c r="Z446" s="1264"/>
    </row>
    <row r="447" spans="1:26" ht="18.75">
      <c r="A447" s="1259"/>
      <c r="B447" s="1242"/>
      <c r="C447" s="1243"/>
      <c r="D447" s="1266" t="s">
        <v>20</v>
      </c>
      <c r="E447" s="1243"/>
      <c r="F447" s="1243"/>
      <c r="G447" s="963"/>
      <c r="H447" s="778" t="s">
        <v>12</v>
      </c>
      <c r="I447" s="944"/>
      <c r="J447" s="944"/>
      <c r="K447" s="945"/>
      <c r="L447" s="831">
        <f t="shared" ref="L447:N447" ca="1" si="201">L448+L449</f>
        <v>137480</v>
      </c>
      <c r="M447" s="831">
        <f t="shared" si="201"/>
        <v>0</v>
      </c>
      <c r="N447" s="831">
        <f t="shared" si="201"/>
        <v>58975</v>
      </c>
      <c r="O447" s="831">
        <f t="shared" ca="1" si="198"/>
        <v>42.897148676171078</v>
      </c>
      <c r="P447" s="831">
        <f t="shared" si="199"/>
        <v>0</v>
      </c>
      <c r="Q447" s="1244"/>
      <c r="R447" s="1244"/>
      <c r="S447" s="1244"/>
      <c r="T447" s="1244"/>
      <c r="U447" s="1244"/>
      <c r="V447" s="1244"/>
      <c r="W447" s="1244"/>
      <c r="X447" s="1244"/>
      <c r="Y447" s="1244"/>
      <c r="Z447" s="1244"/>
    </row>
    <row r="448" spans="1:26" ht="18.75" hidden="1">
      <c r="A448" s="1260"/>
      <c r="B448" s="1265"/>
      <c r="C448" s="1261"/>
      <c r="D448" s="1262"/>
      <c r="E448" s="1261" t="s">
        <v>184</v>
      </c>
      <c r="F448" s="1261"/>
      <c r="G448" s="1263"/>
      <c r="H448" s="165" t="s">
        <v>12</v>
      </c>
      <c r="I448" s="836"/>
      <c r="J448" s="836"/>
      <c r="K448" s="837"/>
      <c r="L448" s="837">
        <v>0</v>
      </c>
      <c r="M448" s="837">
        <v>0</v>
      </c>
      <c r="N448" s="837">
        <v>0</v>
      </c>
      <c r="O448" s="837">
        <f t="shared" si="198"/>
        <v>0</v>
      </c>
      <c r="P448" s="837">
        <f t="shared" si="199"/>
        <v>0</v>
      </c>
      <c r="Q448" s="1264"/>
      <c r="R448" s="1264"/>
      <c r="S448" s="1264"/>
      <c r="T448" s="1264"/>
      <c r="U448" s="1264"/>
      <c r="V448" s="1264"/>
      <c r="W448" s="1264"/>
      <c r="X448" s="1264"/>
      <c r="Y448" s="1264"/>
      <c r="Z448" s="1264"/>
    </row>
    <row r="449" spans="1:26" ht="18.75" hidden="1">
      <c r="A449" s="1260"/>
      <c r="B449" s="1265"/>
      <c r="C449" s="1261"/>
      <c r="D449" s="1262"/>
      <c r="E449" s="1261" t="s">
        <v>185</v>
      </c>
      <c r="F449" s="1261"/>
      <c r="G449" s="1263"/>
      <c r="H449" s="165" t="s">
        <v>12</v>
      </c>
      <c r="I449" s="836"/>
      <c r="J449" s="836"/>
      <c r="K449" s="837"/>
      <c r="L449" s="837">
        <f ca="1">IFERROR(__xludf.DUMMYFUNCTION("IMPORTRANGE(""https://docs.google.com/spreadsheets/d/1QqKyyYR6Q21VydFLVH3TRQUabQu_ym0Zz7PgGX0-kHA/edit?usp=sharing"",""แผน!FJ29"")"),137480)</f>
        <v>137480</v>
      </c>
      <c r="M449" s="837">
        <v>0</v>
      </c>
      <c r="N449" s="837">
        <f>N450+N451+N452+N453</f>
        <v>58975</v>
      </c>
      <c r="O449" s="837">
        <f t="shared" ca="1" si="198"/>
        <v>42.897148676171078</v>
      </c>
      <c r="P449" s="837">
        <f t="shared" si="199"/>
        <v>0</v>
      </c>
      <c r="Q449" s="1264"/>
      <c r="R449" s="1264"/>
      <c r="S449" s="1264"/>
      <c r="T449" s="1264"/>
      <c r="U449" s="1264"/>
      <c r="V449" s="1264"/>
      <c r="W449" s="1264"/>
      <c r="X449" s="1264"/>
      <c r="Y449" s="1264"/>
      <c r="Z449" s="1264"/>
    </row>
    <row r="450" spans="1:26" ht="18.75">
      <c r="A450" s="1241"/>
      <c r="B450" s="1242"/>
      <c r="C450" s="1243"/>
      <c r="D450" s="1243"/>
      <c r="E450" s="1243"/>
      <c r="F450" s="1243" t="s">
        <v>186</v>
      </c>
      <c r="G450" s="963"/>
      <c r="H450" s="778" t="s">
        <v>12</v>
      </c>
      <c r="I450" s="830"/>
      <c r="J450" s="830"/>
      <c r="K450" s="831"/>
      <c r="L450" s="831"/>
      <c r="M450" s="831"/>
      <c r="N450" s="1031">
        <v>41540</v>
      </c>
      <c r="O450" s="831"/>
      <c r="P450" s="831"/>
      <c r="Q450" s="1244"/>
      <c r="R450" s="1244"/>
      <c r="S450" s="1244"/>
      <c r="T450" s="1244"/>
      <c r="U450" s="1244"/>
      <c r="V450" s="1244"/>
      <c r="W450" s="1244"/>
      <c r="X450" s="1244"/>
      <c r="Y450" s="1244"/>
      <c r="Z450" s="1244"/>
    </row>
    <row r="451" spans="1:26" ht="18.75">
      <c r="A451" s="1241"/>
      <c r="B451" s="1242"/>
      <c r="C451" s="1243"/>
      <c r="D451" s="1243"/>
      <c r="E451" s="1243"/>
      <c r="F451" s="1243" t="s">
        <v>187</v>
      </c>
      <c r="G451" s="963"/>
      <c r="H451" s="778" t="s">
        <v>12</v>
      </c>
      <c r="I451" s="830"/>
      <c r="J451" s="830"/>
      <c r="K451" s="831"/>
      <c r="L451" s="831"/>
      <c r="M451" s="831"/>
      <c r="N451" s="1031"/>
      <c r="O451" s="831"/>
      <c r="P451" s="831"/>
      <c r="Q451" s="1244"/>
      <c r="R451" s="1244"/>
      <c r="S451" s="1244"/>
      <c r="T451" s="1244"/>
      <c r="U451" s="1244"/>
      <c r="V451" s="1244"/>
      <c r="W451" s="1244"/>
      <c r="X451" s="1244"/>
      <c r="Y451" s="1244"/>
      <c r="Z451" s="1244"/>
    </row>
    <row r="452" spans="1:26" ht="18.75">
      <c r="A452" s="1241"/>
      <c r="B452" s="1242"/>
      <c r="C452" s="1242"/>
      <c r="D452" s="1242"/>
      <c r="E452" s="1242"/>
      <c r="F452" s="1243" t="s">
        <v>188</v>
      </c>
      <c r="G452" s="963"/>
      <c r="H452" s="778" t="s">
        <v>12</v>
      </c>
      <c r="I452" s="830"/>
      <c r="J452" s="830"/>
      <c r="K452" s="831"/>
      <c r="L452" s="831"/>
      <c r="M452" s="831"/>
      <c r="N452" s="1031">
        <v>0</v>
      </c>
      <c r="O452" s="831"/>
      <c r="P452" s="831"/>
      <c r="Q452" s="1244"/>
      <c r="R452" s="1244"/>
      <c r="S452" s="1244"/>
      <c r="T452" s="1244"/>
      <c r="U452" s="1244"/>
      <c r="V452" s="1244"/>
      <c r="W452" s="1244"/>
      <c r="X452" s="1244"/>
      <c r="Y452" s="1244"/>
      <c r="Z452" s="1244"/>
    </row>
    <row r="453" spans="1:26" ht="18.75">
      <c r="A453" s="1241"/>
      <c r="B453" s="1242"/>
      <c r="C453" s="1242"/>
      <c r="D453" s="1242"/>
      <c r="E453" s="1242"/>
      <c r="F453" s="1243" t="s">
        <v>189</v>
      </c>
      <c r="G453" s="963"/>
      <c r="H453" s="778" t="s">
        <v>12</v>
      </c>
      <c r="I453" s="830"/>
      <c r="J453" s="830"/>
      <c r="K453" s="831"/>
      <c r="L453" s="831"/>
      <c r="M453" s="831"/>
      <c r="N453" s="1031">
        <v>17435</v>
      </c>
      <c r="O453" s="831"/>
      <c r="P453" s="831"/>
      <c r="Q453" s="1244"/>
      <c r="R453" s="1244"/>
      <c r="S453" s="1244"/>
      <c r="T453" s="1244"/>
      <c r="U453" s="1244"/>
      <c r="V453" s="1244"/>
      <c r="W453" s="1244"/>
      <c r="X453" s="1244"/>
      <c r="Y453" s="1244"/>
      <c r="Z453" s="1244"/>
    </row>
    <row r="454" spans="1:26" ht="18.75">
      <c r="A454" s="1259"/>
      <c r="B454" s="1242"/>
      <c r="C454" s="1242"/>
      <c r="D454" s="1266" t="s">
        <v>21</v>
      </c>
      <c r="E454" s="1242"/>
      <c r="F454" s="1243"/>
      <c r="G454" s="963"/>
      <c r="H454" s="168" t="s">
        <v>12</v>
      </c>
      <c r="I454" s="944"/>
      <c r="J454" s="944"/>
      <c r="K454" s="945"/>
      <c r="L454" s="831">
        <f t="shared" ref="L454:N454" ca="1" si="202">L455+L456</f>
        <v>0</v>
      </c>
      <c r="M454" s="831">
        <f t="shared" si="202"/>
        <v>0</v>
      </c>
      <c r="N454" s="831">
        <f t="shared" si="202"/>
        <v>0</v>
      </c>
      <c r="O454" s="831">
        <f t="shared" ref="O454:O456" ca="1" si="203">IF(L454&gt;0,N454*100/L454,0)</f>
        <v>0</v>
      </c>
      <c r="P454" s="831">
        <f t="shared" ref="P454:P456" si="204">IF(M454&gt;0,N454*100/M454,0)</f>
        <v>0</v>
      </c>
      <c r="Q454" s="1244"/>
      <c r="R454" s="1244"/>
      <c r="S454" s="1244"/>
      <c r="T454" s="1244"/>
      <c r="U454" s="1244"/>
      <c r="V454" s="1244"/>
      <c r="W454" s="1244"/>
      <c r="X454" s="1244"/>
      <c r="Y454" s="1244"/>
      <c r="Z454" s="1244"/>
    </row>
    <row r="455" spans="1:26" ht="18.75" hidden="1">
      <c r="A455" s="1260"/>
      <c r="B455" s="1265"/>
      <c r="C455" s="1265"/>
      <c r="D455" s="1265"/>
      <c r="E455" s="1265" t="s">
        <v>18</v>
      </c>
      <c r="F455" s="1261"/>
      <c r="G455" s="1263"/>
      <c r="H455" s="165" t="s">
        <v>12</v>
      </c>
      <c r="I455" s="947"/>
      <c r="J455" s="947"/>
      <c r="K455" s="948"/>
      <c r="L455" s="837">
        <v>0</v>
      </c>
      <c r="M455" s="837">
        <v>0</v>
      </c>
      <c r="N455" s="837">
        <v>0</v>
      </c>
      <c r="O455" s="837">
        <f t="shared" si="203"/>
        <v>0</v>
      </c>
      <c r="P455" s="837">
        <f t="shared" si="204"/>
        <v>0</v>
      </c>
      <c r="Q455" s="1264"/>
      <c r="R455" s="1264"/>
      <c r="S455" s="1264"/>
      <c r="T455" s="1264"/>
      <c r="U455" s="1264"/>
      <c r="V455" s="1264"/>
      <c r="W455" s="1264"/>
      <c r="X455" s="1264"/>
      <c r="Y455" s="1264"/>
      <c r="Z455" s="1264"/>
    </row>
    <row r="456" spans="1:26" ht="18.75" hidden="1">
      <c r="A456" s="1260"/>
      <c r="B456" s="1265"/>
      <c r="C456" s="1265"/>
      <c r="D456" s="1265"/>
      <c r="E456" s="1265" t="s">
        <v>19</v>
      </c>
      <c r="F456" s="1261"/>
      <c r="G456" s="1263"/>
      <c r="H456" s="169" t="s">
        <v>12</v>
      </c>
      <c r="I456" s="947"/>
      <c r="J456" s="947"/>
      <c r="K456" s="948"/>
      <c r="L456" s="837">
        <f ca="1">IFERROR(__xludf.DUMMYFUNCTION("IMPORTRANGE(""https://docs.google.com/spreadsheets/d/1QqKyyYR6Q21VydFLVH3TRQUabQu_ym0Zz7PgGX0-kHA/edit?usp=sharing"",""แผน!FM29"")"),0)</f>
        <v>0</v>
      </c>
      <c r="M456" s="837">
        <v>0</v>
      </c>
      <c r="N456" s="837">
        <v>0</v>
      </c>
      <c r="O456" s="837">
        <f t="shared" ca="1" si="203"/>
        <v>0</v>
      </c>
      <c r="P456" s="837">
        <f t="shared" si="204"/>
        <v>0</v>
      </c>
      <c r="Q456" s="1264"/>
      <c r="R456" s="1264"/>
      <c r="S456" s="1264"/>
      <c r="T456" s="1264"/>
      <c r="U456" s="1264"/>
      <c r="V456" s="1264"/>
      <c r="W456" s="1264"/>
      <c r="X456" s="1264"/>
      <c r="Y456" s="1264"/>
      <c r="Z456" s="1264"/>
    </row>
    <row r="457" spans="1:26" ht="19.5">
      <c r="A457" s="1267"/>
      <c r="B457" s="1268"/>
      <c r="C457" s="1242" t="s">
        <v>16</v>
      </c>
      <c r="D457" s="1269" t="s">
        <v>38</v>
      </c>
      <c r="E457" s="1270"/>
      <c r="F457" s="1271"/>
      <c r="G457" s="1272"/>
      <c r="H457" s="954"/>
      <c r="I457" s="830"/>
      <c r="J457" s="830"/>
      <c r="K457" s="831"/>
      <c r="L457" s="831"/>
      <c r="M457" s="831"/>
      <c r="N457" s="831"/>
      <c r="O457" s="831"/>
      <c r="P457" s="831"/>
      <c r="Q457" s="1244"/>
      <c r="R457" s="1244"/>
      <c r="S457" s="1244"/>
      <c r="T457" s="1244"/>
      <c r="U457" s="1244"/>
      <c r="V457" s="1244"/>
      <c r="W457" s="1244"/>
      <c r="X457" s="1244"/>
      <c r="Y457" s="1244"/>
      <c r="Z457" s="1244"/>
    </row>
    <row r="458" spans="1:26" ht="18.75" hidden="1">
      <c r="A458" s="1273"/>
      <c r="B458" s="1274"/>
      <c r="C458" s="1274"/>
      <c r="D458" s="1274" t="s">
        <v>200</v>
      </c>
      <c r="E458" s="1274"/>
      <c r="F458" s="1262"/>
      <c r="G458" s="1060"/>
      <c r="H458" s="583" t="s">
        <v>35</v>
      </c>
      <c r="I458" s="836">
        <v>0</v>
      </c>
      <c r="J458" s="836">
        <v>0</v>
      </c>
      <c r="K458" s="837">
        <f>IF(I458&gt;0,J458*100/I458,0)</f>
        <v>0</v>
      </c>
      <c r="L458" s="837"/>
      <c r="M458" s="837"/>
      <c r="N458" s="837"/>
      <c r="O458" s="837"/>
      <c r="P458" s="837"/>
      <c r="Q458" s="1264"/>
      <c r="R458" s="1264"/>
      <c r="S458" s="1264"/>
      <c r="T458" s="1264"/>
      <c r="U458" s="1264"/>
      <c r="V458" s="1264"/>
      <c r="W458" s="1264"/>
      <c r="X458" s="1264"/>
      <c r="Y458" s="1264"/>
      <c r="Z458" s="1264"/>
    </row>
    <row r="459" spans="1:26" ht="18.75" hidden="1">
      <c r="A459" s="1273"/>
      <c r="B459" s="1274"/>
      <c r="C459" s="1274"/>
      <c r="D459" s="1274" t="s">
        <v>201</v>
      </c>
      <c r="E459" s="1274"/>
      <c r="F459" s="1262"/>
      <c r="G459" s="1060"/>
      <c r="H459" s="583"/>
      <c r="I459" s="836"/>
      <c r="J459" s="836"/>
      <c r="K459" s="837"/>
      <c r="L459" s="837"/>
      <c r="M459" s="837"/>
      <c r="N459" s="837"/>
      <c r="O459" s="837"/>
      <c r="P459" s="837"/>
      <c r="Q459" s="1264"/>
      <c r="R459" s="1264"/>
      <c r="S459" s="1264"/>
      <c r="T459" s="1264"/>
      <c r="U459" s="1264"/>
      <c r="V459" s="1264"/>
      <c r="W459" s="1264"/>
      <c r="X459" s="1264"/>
      <c r="Y459" s="1264"/>
      <c r="Z459" s="1264"/>
    </row>
    <row r="460" spans="1:26" ht="18.75">
      <c r="A460" s="1267"/>
      <c r="B460" s="1268"/>
      <c r="C460" s="1268"/>
      <c r="D460" s="1268" t="s">
        <v>202</v>
      </c>
      <c r="E460" s="1268"/>
      <c r="F460" s="961"/>
      <c r="G460" s="954"/>
      <c r="H460" s="730" t="s">
        <v>35</v>
      </c>
      <c r="I460" s="830">
        <f ca="1">IFERROR(__xludf.DUMMYFUNCTION("IMPORTRANGE(""https://docs.google.com/spreadsheets/d/1QqKyyYR6Q21VydFLVH3TRQUabQu_ym0Zz7PgGX0-kHA/edit?usp=sharing"",""แผน!FN29"")"),30)</f>
        <v>30</v>
      </c>
      <c r="J460" s="959">
        <v>0</v>
      </c>
      <c r="K460" s="831">
        <f ca="1">IF(I460&gt;0,J460*100/I460,0)</f>
        <v>0</v>
      </c>
      <c r="L460" s="831"/>
      <c r="M460" s="831"/>
      <c r="N460" s="831"/>
      <c r="O460" s="831"/>
      <c r="P460" s="831"/>
      <c r="Q460" s="1244"/>
      <c r="R460" s="1244"/>
      <c r="S460" s="1244"/>
      <c r="T460" s="1244"/>
      <c r="U460" s="1244"/>
      <c r="V460" s="1244"/>
      <c r="W460" s="1244"/>
      <c r="X460" s="1244"/>
      <c r="Y460" s="1244"/>
      <c r="Z460" s="1244"/>
    </row>
    <row r="461" spans="1:26" ht="18.75">
      <c r="A461" s="1267"/>
      <c r="B461" s="1268"/>
      <c r="C461" s="1268"/>
      <c r="D461" s="1268" t="s">
        <v>203</v>
      </c>
      <c r="E461" s="961"/>
      <c r="F461" s="961"/>
      <c r="G461" s="954"/>
      <c r="H461" s="730"/>
      <c r="I461" s="830"/>
      <c r="J461" s="830"/>
      <c r="K461" s="831"/>
      <c r="L461" s="831"/>
      <c r="M461" s="831"/>
      <c r="N461" s="831"/>
      <c r="O461" s="831"/>
      <c r="P461" s="831"/>
      <c r="Q461" s="1244"/>
      <c r="R461" s="1244"/>
      <c r="S461" s="1244"/>
      <c r="T461" s="1244"/>
      <c r="U461" s="1244"/>
      <c r="V461" s="1244"/>
      <c r="W461" s="1244"/>
      <c r="X461" s="1244"/>
      <c r="Y461" s="1244"/>
      <c r="Z461" s="1244"/>
    </row>
    <row r="462" spans="1:26" ht="18.75">
      <c r="A462" s="1267"/>
      <c r="B462" s="1268"/>
      <c r="C462" s="1268"/>
      <c r="D462" s="1268" t="s">
        <v>204</v>
      </c>
      <c r="E462" s="961"/>
      <c r="F462" s="961"/>
      <c r="G462" s="954"/>
      <c r="H462" s="730" t="s">
        <v>46</v>
      </c>
      <c r="I462" s="830">
        <f ca="1">IFERROR(__xludf.DUMMYFUNCTION("IMPORTRANGE(""https://docs.google.com/spreadsheets/d/1QqKyyYR6Q21VydFLVH3TRQUabQu_ym0Zz7PgGX0-kHA/edit?usp=sharing"",""แผน!FO29"")"),50)</f>
        <v>50</v>
      </c>
      <c r="J462" s="959">
        <v>0</v>
      </c>
      <c r="K462" s="831">
        <f ca="1">IF(I462&gt;0,J462*100/I462,0)</f>
        <v>0</v>
      </c>
      <c r="L462" s="831"/>
      <c r="M462" s="831"/>
      <c r="N462" s="831"/>
      <c r="O462" s="831"/>
      <c r="P462" s="831"/>
      <c r="Q462" s="1244"/>
      <c r="R462" s="1244"/>
      <c r="S462" s="1244"/>
      <c r="T462" s="1244"/>
      <c r="U462" s="1244"/>
      <c r="V462" s="1244"/>
      <c r="W462" s="1244"/>
      <c r="X462" s="1244"/>
      <c r="Y462" s="1244"/>
      <c r="Z462" s="1244"/>
    </row>
    <row r="463" spans="1:26" ht="18.75">
      <c r="A463" s="1267"/>
      <c r="B463" s="1268"/>
      <c r="C463" s="1268"/>
      <c r="D463" s="1268" t="s">
        <v>59</v>
      </c>
      <c r="E463" s="961"/>
      <c r="F463" s="1243"/>
      <c r="G463" s="963"/>
      <c r="H463" s="730" t="s">
        <v>46</v>
      </c>
      <c r="I463" s="830">
        <f ca="1">IFERROR(__xludf.DUMMYFUNCTION("IMPORTRANGE(""https://docs.google.com/spreadsheets/d/1QqKyyYR6Q21VydFLVH3TRQUabQu_ym0Zz7PgGX0-kHA/edit?usp=sharing"",""แผน!FO29"")"),50)</f>
        <v>50</v>
      </c>
      <c r="J463" s="959">
        <v>0</v>
      </c>
      <c r="K463" s="831"/>
      <c r="L463" s="831"/>
      <c r="M463" s="831"/>
      <c r="N463" s="831"/>
      <c r="O463" s="831"/>
      <c r="P463" s="831"/>
      <c r="Q463" s="1244"/>
      <c r="R463" s="1244"/>
      <c r="S463" s="1244"/>
      <c r="T463" s="1244"/>
      <c r="U463" s="1244"/>
      <c r="V463" s="1244"/>
      <c r="W463" s="1244"/>
      <c r="X463" s="1244"/>
      <c r="Y463" s="1244"/>
      <c r="Z463" s="1244"/>
    </row>
    <row r="464" spans="1:26" ht="19.5">
      <c r="A464" s="1267"/>
      <c r="B464" s="1268"/>
      <c r="C464" s="1268"/>
      <c r="D464" s="1268"/>
      <c r="E464" s="961"/>
      <c r="F464" s="961"/>
      <c r="G464" s="1275"/>
      <c r="H464" s="730" t="s">
        <v>35</v>
      </c>
      <c r="I464" s="830">
        <f ca="1">IFERROR(__xludf.DUMMYFUNCTION("IMPORTRANGE(""https://docs.google.com/spreadsheets/d/1QqKyyYR6Q21VydFLVH3TRQUabQu_ym0Zz7PgGX0-kHA/edit?usp=sharing"",""แผน!FN29"")"),30)</f>
        <v>30</v>
      </c>
      <c r="J464" s="959">
        <v>0</v>
      </c>
      <c r="K464" s="831"/>
      <c r="L464" s="831"/>
      <c r="M464" s="831"/>
      <c r="N464" s="831"/>
      <c r="O464" s="831"/>
      <c r="P464" s="831"/>
      <c r="Q464" s="1244"/>
      <c r="R464" s="1244"/>
      <c r="S464" s="1244"/>
      <c r="T464" s="1244"/>
      <c r="U464" s="1244"/>
      <c r="V464" s="1244"/>
      <c r="W464" s="1244"/>
      <c r="X464" s="1244"/>
      <c r="Y464" s="1244"/>
      <c r="Z464" s="1244"/>
    </row>
    <row r="465" spans="1:26" ht="19.5">
      <c r="A465" s="550">
        <v>3</v>
      </c>
      <c r="B465" s="1249" t="s">
        <v>205</v>
      </c>
      <c r="C465" s="1250"/>
      <c r="D465" s="1250"/>
      <c r="E465" s="1250"/>
      <c r="F465" s="1250"/>
      <c r="G465" s="1251"/>
      <c r="H465" s="554" t="s">
        <v>35</v>
      </c>
      <c r="I465" s="1252">
        <f ca="1">IFERROR(__xludf.DUMMYFUNCTION("IMPORTRANGE(""https://docs.google.com/spreadsheets/d/1QqKyyYR6Q21VydFLVH3TRQUabQu_ym0Zz7PgGX0-kHA/edit?usp=sharing"",""แผน!FX29"")"),61)</f>
        <v>61</v>
      </c>
      <c r="J465" s="1252">
        <f>J485+J489+J492</f>
        <v>0</v>
      </c>
      <c r="K465" s="1253">
        <f t="shared" ref="K465:K466" ca="1" si="205">IF(I465&gt;0,J465*100/I465,0)</f>
        <v>0</v>
      </c>
      <c r="L465" s="1254"/>
      <c r="M465" s="1254"/>
      <c r="N465" s="1254"/>
      <c r="O465" s="1254"/>
      <c r="P465" s="1254"/>
      <c r="Q465" s="1244"/>
      <c r="R465" s="1244"/>
      <c r="S465" s="1244"/>
      <c r="T465" s="1244"/>
      <c r="U465" s="1244"/>
      <c r="V465" s="1244"/>
      <c r="W465" s="1244"/>
      <c r="X465" s="1244"/>
      <c r="Y465" s="1244"/>
      <c r="Z465" s="1244"/>
    </row>
    <row r="466" spans="1:26" ht="19.5">
      <c r="A466" s="1255"/>
      <c r="B466" s="1256"/>
      <c r="C466" s="1257"/>
      <c r="D466" s="1257"/>
      <c r="E466" s="1257"/>
      <c r="F466" s="1257"/>
      <c r="G466" s="1258"/>
      <c r="H466" s="532" t="s">
        <v>46</v>
      </c>
      <c r="I466" s="1237">
        <f ca="1">IFERROR(__xludf.DUMMYFUNCTION("IMPORTRANGE(""https://docs.google.com/spreadsheets/d/1QqKyyYR6Q21VydFLVH3TRQUabQu_ym0Zz7PgGX0-kHA/edit?usp=sharing"",""แผน!FW29"")"),600)</f>
        <v>600</v>
      </c>
      <c r="J466" s="1237">
        <f>J495+J498</f>
        <v>0</v>
      </c>
      <c r="K466" s="1238">
        <f t="shared" ca="1" si="205"/>
        <v>0</v>
      </c>
      <c r="L466" s="1239"/>
      <c r="M466" s="1239"/>
      <c r="N466" s="1239"/>
      <c r="O466" s="1239"/>
      <c r="P466" s="1239"/>
      <c r="Q466" s="1244"/>
      <c r="R466" s="1244"/>
      <c r="S466" s="1244"/>
      <c r="T466" s="1244"/>
      <c r="U466" s="1244"/>
      <c r="V466" s="1244"/>
      <c r="W466" s="1244"/>
      <c r="X466" s="1244"/>
      <c r="Y466" s="1244"/>
      <c r="Z466" s="1244"/>
    </row>
    <row r="467" spans="1:26" ht="19.5">
      <c r="A467" s="1259"/>
      <c r="B467" s="1243"/>
      <c r="C467" s="1243" t="s">
        <v>16</v>
      </c>
      <c r="D467" s="1507" t="s">
        <v>17</v>
      </c>
      <c r="E467" s="1485"/>
      <c r="F467" s="1485"/>
      <c r="G467" s="963"/>
      <c r="H467" s="563" t="s">
        <v>12</v>
      </c>
      <c r="I467" s="830"/>
      <c r="J467" s="830"/>
      <c r="K467" s="831"/>
      <c r="L467" s="967">
        <f t="shared" ref="L467:N467" ca="1" si="206">L468+L469</f>
        <v>490033</v>
      </c>
      <c r="M467" s="967">
        <f t="shared" si="206"/>
        <v>0</v>
      </c>
      <c r="N467" s="967">
        <f t="shared" si="206"/>
        <v>14354</v>
      </c>
      <c r="O467" s="967">
        <f t="shared" ref="O467:O472" ca="1" si="207">IF(L467&gt;0,N467*100/L467,0)</f>
        <v>2.9291904830899145</v>
      </c>
      <c r="P467" s="967">
        <f t="shared" ref="P467:P472" si="208">IF(M467&gt;0,N467*100/M467,0)</f>
        <v>0</v>
      </c>
      <c r="Q467" s="1244"/>
      <c r="R467" s="1244"/>
      <c r="S467" s="1244"/>
      <c r="T467" s="1244"/>
      <c r="U467" s="1244"/>
      <c r="V467" s="1244"/>
      <c r="W467" s="1244"/>
      <c r="X467" s="1244"/>
      <c r="Y467" s="1244"/>
      <c r="Z467" s="1244"/>
    </row>
    <row r="468" spans="1:26" ht="18.75" hidden="1">
      <c r="A468" s="1260"/>
      <c r="B468" s="1261"/>
      <c r="C468" s="1261"/>
      <c r="D468" s="1262"/>
      <c r="E468" s="1261" t="s">
        <v>184</v>
      </c>
      <c r="F468" s="1261"/>
      <c r="G468" s="1263"/>
      <c r="H468" s="165" t="s">
        <v>12</v>
      </c>
      <c r="I468" s="836"/>
      <c r="J468" s="836"/>
      <c r="K468" s="837"/>
      <c r="L468" s="837">
        <f t="shared" ref="L468:N469" si="209">L471+L478</f>
        <v>0</v>
      </c>
      <c r="M468" s="837">
        <f t="shared" si="209"/>
        <v>0</v>
      </c>
      <c r="N468" s="837">
        <f t="shared" si="209"/>
        <v>0</v>
      </c>
      <c r="O468" s="837">
        <f t="shared" si="207"/>
        <v>0</v>
      </c>
      <c r="P468" s="837">
        <f t="shared" si="208"/>
        <v>0</v>
      </c>
      <c r="Q468" s="1264"/>
      <c r="R468" s="1264"/>
      <c r="S468" s="1264"/>
      <c r="T468" s="1264"/>
      <c r="U468" s="1264"/>
      <c r="V468" s="1264"/>
      <c r="W468" s="1264"/>
      <c r="X468" s="1264"/>
      <c r="Y468" s="1264"/>
      <c r="Z468" s="1264"/>
    </row>
    <row r="469" spans="1:26" ht="18.75" hidden="1">
      <c r="A469" s="1260"/>
      <c r="B469" s="1265"/>
      <c r="C469" s="1261"/>
      <c r="D469" s="1262"/>
      <c r="E469" s="1261" t="s">
        <v>185</v>
      </c>
      <c r="F469" s="1261"/>
      <c r="G469" s="1263"/>
      <c r="H469" s="165" t="s">
        <v>12</v>
      </c>
      <c r="I469" s="836"/>
      <c r="J469" s="836"/>
      <c r="K469" s="837"/>
      <c r="L469" s="837">
        <f t="shared" ca="1" si="209"/>
        <v>490033</v>
      </c>
      <c r="M469" s="837">
        <f t="shared" si="209"/>
        <v>0</v>
      </c>
      <c r="N469" s="837">
        <f t="shared" si="209"/>
        <v>14354</v>
      </c>
      <c r="O469" s="837">
        <f t="shared" ca="1" si="207"/>
        <v>2.9291904830899145</v>
      </c>
      <c r="P469" s="837">
        <f t="shared" si="208"/>
        <v>0</v>
      </c>
      <c r="Q469" s="1264"/>
      <c r="R469" s="1264"/>
      <c r="S469" s="1264"/>
      <c r="T469" s="1264"/>
      <c r="U469" s="1264"/>
      <c r="V469" s="1264"/>
      <c r="W469" s="1264"/>
      <c r="X469" s="1264"/>
      <c r="Y469" s="1264"/>
      <c r="Z469" s="1264"/>
    </row>
    <row r="470" spans="1:26" ht="18.75">
      <c r="A470" s="1259"/>
      <c r="B470" s="1242"/>
      <c r="C470" s="1243"/>
      <c r="D470" s="1266" t="s">
        <v>20</v>
      </c>
      <c r="E470" s="1243"/>
      <c r="F470" s="1243"/>
      <c r="G470" s="963"/>
      <c r="H470" s="778" t="s">
        <v>12</v>
      </c>
      <c r="I470" s="944"/>
      <c r="J470" s="944"/>
      <c r="K470" s="945"/>
      <c r="L470" s="831">
        <f t="shared" ref="L470:N470" ca="1" si="210">L471+L472</f>
        <v>490033</v>
      </c>
      <c r="M470" s="831">
        <f t="shared" si="210"/>
        <v>0</v>
      </c>
      <c r="N470" s="831">
        <f t="shared" si="210"/>
        <v>14354</v>
      </c>
      <c r="O470" s="831">
        <f t="shared" ca="1" si="207"/>
        <v>2.9291904830899145</v>
      </c>
      <c r="P470" s="831">
        <f t="shared" si="208"/>
        <v>0</v>
      </c>
      <c r="Q470" s="1244"/>
      <c r="R470" s="1244"/>
      <c r="S470" s="1244"/>
      <c r="T470" s="1244"/>
      <c r="U470" s="1244"/>
      <c r="V470" s="1244"/>
      <c r="W470" s="1244"/>
      <c r="X470" s="1244"/>
      <c r="Y470" s="1244"/>
      <c r="Z470" s="1244"/>
    </row>
    <row r="471" spans="1:26" ht="18.75" hidden="1">
      <c r="A471" s="1260"/>
      <c r="B471" s="1265"/>
      <c r="C471" s="1261"/>
      <c r="D471" s="1262"/>
      <c r="E471" s="1261" t="s">
        <v>184</v>
      </c>
      <c r="F471" s="1261"/>
      <c r="G471" s="1263"/>
      <c r="H471" s="165" t="s">
        <v>12</v>
      </c>
      <c r="I471" s="836"/>
      <c r="J471" s="836"/>
      <c r="K471" s="837"/>
      <c r="L471" s="837">
        <v>0</v>
      </c>
      <c r="M471" s="837">
        <v>0</v>
      </c>
      <c r="N471" s="837">
        <v>0</v>
      </c>
      <c r="O471" s="837">
        <f t="shared" si="207"/>
        <v>0</v>
      </c>
      <c r="P471" s="837">
        <f t="shared" si="208"/>
        <v>0</v>
      </c>
      <c r="Q471" s="1264"/>
      <c r="R471" s="1264"/>
      <c r="S471" s="1264"/>
      <c r="T471" s="1264"/>
      <c r="U471" s="1264"/>
      <c r="V471" s="1264"/>
      <c r="W471" s="1264"/>
      <c r="X471" s="1264"/>
      <c r="Y471" s="1264"/>
      <c r="Z471" s="1264"/>
    </row>
    <row r="472" spans="1:26" ht="18.75" hidden="1">
      <c r="A472" s="1260"/>
      <c r="B472" s="1265"/>
      <c r="C472" s="1261"/>
      <c r="D472" s="1262"/>
      <c r="E472" s="1261" t="s">
        <v>185</v>
      </c>
      <c r="F472" s="1261"/>
      <c r="G472" s="1263"/>
      <c r="H472" s="165" t="s">
        <v>12</v>
      </c>
      <c r="I472" s="836"/>
      <c r="J472" s="836"/>
      <c r="K472" s="837"/>
      <c r="L472" s="837">
        <f ca="1">IFERROR(__xludf.DUMMYFUNCTION("IMPORTRANGE(""https://docs.google.com/spreadsheets/d/1QqKyyYR6Q21VydFLVH3TRQUabQu_ym0Zz7PgGX0-kHA/edit?usp=sharing"",""แผน!FS29"")"),490033)</f>
        <v>490033</v>
      </c>
      <c r="M472" s="837">
        <v>0</v>
      </c>
      <c r="N472" s="837">
        <f>N473+N474+N475+N476</f>
        <v>14354</v>
      </c>
      <c r="O472" s="837">
        <f t="shared" ca="1" si="207"/>
        <v>2.9291904830899145</v>
      </c>
      <c r="P472" s="837">
        <f t="shared" si="208"/>
        <v>0</v>
      </c>
      <c r="Q472" s="1264"/>
      <c r="R472" s="1264"/>
      <c r="S472" s="1264"/>
      <c r="T472" s="1264"/>
      <c r="U472" s="1264"/>
      <c r="V472" s="1264"/>
      <c r="W472" s="1264"/>
      <c r="X472" s="1264"/>
      <c r="Y472" s="1264"/>
      <c r="Z472" s="1264"/>
    </row>
    <row r="473" spans="1:26" ht="18.75">
      <c r="A473" s="1241"/>
      <c r="B473" s="1242"/>
      <c r="C473" s="1243"/>
      <c r="D473" s="1243"/>
      <c r="E473" s="1243"/>
      <c r="F473" s="1243" t="s">
        <v>186</v>
      </c>
      <c r="G473" s="963"/>
      <c r="H473" s="778" t="s">
        <v>12</v>
      </c>
      <c r="I473" s="830"/>
      <c r="J473" s="830"/>
      <c r="K473" s="831"/>
      <c r="L473" s="831"/>
      <c r="M473" s="831"/>
      <c r="N473" s="1031">
        <v>0</v>
      </c>
      <c r="O473" s="831"/>
      <c r="P473" s="831"/>
      <c r="Q473" s="1244"/>
      <c r="R473" s="1244"/>
      <c r="S473" s="1244"/>
      <c r="T473" s="1244"/>
      <c r="U473" s="1244"/>
      <c r="V473" s="1244"/>
      <c r="W473" s="1244"/>
      <c r="X473" s="1244"/>
      <c r="Y473" s="1244"/>
      <c r="Z473" s="1244"/>
    </row>
    <row r="474" spans="1:26" ht="18.75">
      <c r="A474" s="1241"/>
      <c r="B474" s="1242"/>
      <c r="C474" s="1243"/>
      <c r="D474" s="1243"/>
      <c r="E474" s="1243"/>
      <c r="F474" s="1243" t="s">
        <v>187</v>
      </c>
      <c r="G474" s="963"/>
      <c r="H474" s="778" t="s">
        <v>12</v>
      </c>
      <c r="I474" s="830"/>
      <c r="J474" s="830"/>
      <c r="K474" s="831"/>
      <c r="L474" s="831"/>
      <c r="M474" s="831"/>
      <c r="N474" s="1031"/>
      <c r="O474" s="831"/>
      <c r="P474" s="831"/>
      <c r="Q474" s="1244"/>
      <c r="R474" s="1244"/>
      <c r="S474" s="1244"/>
      <c r="T474" s="1244"/>
      <c r="U474" s="1244"/>
      <c r="V474" s="1244"/>
      <c r="W474" s="1244"/>
      <c r="X474" s="1244"/>
      <c r="Y474" s="1244"/>
      <c r="Z474" s="1244"/>
    </row>
    <row r="475" spans="1:26" ht="18.75">
      <c r="A475" s="1241"/>
      <c r="B475" s="1242"/>
      <c r="C475" s="1242"/>
      <c r="D475" s="1242"/>
      <c r="E475" s="1242"/>
      <c r="F475" s="1243" t="s">
        <v>188</v>
      </c>
      <c r="G475" s="963"/>
      <c r="H475" s="778" t="s">
        <v>12</v>
      </c>
      <c r="I475" s="830"/>
      <c r="J475" s="830"/>
      <c r="K475" s="831"/>
      <c r="L475" s="831"/>
      <c r="M475" s="831"/>
      <c r="N475" s="1031">
        <v>0</v>
      </c>
      <c r="O475" s="831"/>
      <c r="P475" s="831"/>
      <c r="Q475" s="1244"/>
      <c r="R475" s="1244"/>
      <c r="S475" s="1244"/>
      <c r="T475" s="1244"/>
      <c r="U475" s="1244"/>
      <c r="V475" s="1244"/>
      <c r="W475" s="1244"/>
      <c r="X475" s="1244"/>
      <c r="Y475" s="1244"/>
      <c r="Z475" s="1244"/>
    </row>
    <row r="476" spans="1:26" ht="18.75">
      <c r="A476" s="1241"/>
      <c r="B476" s="1242"/>
      <c r="C476" s="1242"/>
      <c r="D476" s="1242"/>
      <c r="E476" s="1242"/>
      <c r="F476" s="1243" t="s">
        <v>189</v>
      </c>
      <c r="G476" s="963"/>
      <c r="H476" s="778" t="s">
        <v>12</v>
      </c>
      <c r="I476" s="830"/>
      <c r="J476" s="830"/>
      <c r="K476" s="831"/>
      <c r="L476" s="831"/>
      <c r="M476" s="831"/>
      <c r="N476" s="1031">
        <v>14354</v>
      </c>
      <c r="O476" s="831"/>
      <c r="P476" s="831"/>
      <c r="Q476" s="1244"/>
      <c r="R476" s="1244"/>
      <c r="S476" s="1244"/>
      <c r="T476" s="1244"/>
      <c r="U476" s="1244"/>
      <c r="V476" s="1244"/>
      <c r="W476" s="1244"/>
      <c r="X476" s="1244"/>
      <c r="Y476" s="1244"/>
      <c r="Z476" s="1244"/>
    </row>
    <row r="477" spans="1:26" ht="18.75">
      <c r="A477" s="1259"/>
      <c r="B477" s="1242"/>
      <c r="C477" s="1242"/>
      <c r="D477" s="1266" t="s">
        <v>21</v>
      </c>
      <c r="E477" s="1242"/>
      <c r="F477" s="1242"/>
      <c r="G477" s="963"/>
      <c r="H477" s="168" t="s">
        <v>12</v>
      </c>
      <c r="I477" s="944"/>
      <c r="J477" s="944"/>
      <c r="K477" s="945"/>
      <c r="L477" s="831">
        <f t="shared" ref="L477:N477" ca="1" si="211">L478+L479</f>
        <v>0</v>
      </c>
      <c r="M477" s="831">
        <f t="shared" si="211"/>
        <v>0</v>
      </c>
      <c r="N477" s="831">
        <f t="shared" si="211"/>
        <v>0</v>
      </c>
      <c r="O477" s="831">
        <f t="shared" ref="O477:O479" ca="1" si="212">IF(L477&gt;0,N477*100/L477,0)</f>
        <v>0</v>
      </c>
      <c r="P477" s="831">
        <f t="shared" ref="P477:P479" si="213">IF(M477&gt;0,N477*100/M477,0)</f>
        <v>0</v>
      </c>
      <c r="Q477" s="1244"/>
      <c r="R477" s="1244"/>
      <c r="S477" s="1244"/>
      <c r="T477" s="1244"/>
      <c r="U477" s="1244"/>
      <c r="V477" s="1244"/>
      <c r="W477" s="1244"/>
      <c r="X477" s="1244"/>
      <c r="Y477" s="1244"/>
      <c r="Z477" s="1244"/>
    </row>
    <row r="478" spans="1:26" ht="18.75" hidden="1">
      <c r="A478" s="1260"/>
      <c r="B478" s="1265"/>
      <c r="C478" s="1265"/>
      <c r="D478" s="1265"/>
      <c r="E478" s="1265" t="s">
        <v>18</v>
      </c>
      <c r="F478" s="1265"/>
      <c r="G478" s="1263"/>
      <c r="H478" s="165" t="s">
        <v>12</v>
      </c>
      <c r="I478" s="947"/>
      <c r="J478" s="947"/>
      <c r="K478" s="948"/>
      <c r="L478" s="837">
        <v>0</v>
      </c>
      <c r="M478" s="837">
        <v>0</v>
      </c>
      <c r="N478" s="837">
        <v>0</v>
      </c>
      <c r="O478" s="837">
        <f t="shared" si="212"/>
        <v>0</v>
      </c>
      <c r="P478" s="837">
        <f t="shared" si="213"/>
        <v>0</v>
      </c>
      <c r="Q478" s="1264"/>
      <c r="R478" s="1264"/>
      <c r="S478" s="1264"/>
      <c r="T478" s="1264"/>
      <c r="U478" s="1264"/>
      <c r="V478" s="1264"/>
      <c r="W478" s="1264"/>
      <c r="X478" s="1264"/>
      <c r="Y478" s="1264"/>
      <c r="Z478" s="1264"/>
    </row>
    <row r="479" spans="1:26" ht="18.75" hidden="1">
      <c r="A479" s="1260"/>
      <c r="B479" s="1265"/>
      <c r="C479" s="1265"/>
      <c r="D479" s="1265"/>
      <c r="E479" s="1265" t="s">
        <v>19</v>
      </c>
      <c r="F479" s="1265"/>
      <c r="G479" s="1263"/>
      <c r="H479" s="169" t="s">
        <v>12</v>
      </c>
      <c r="I479" s="947"/>
      <c r="J479" s="947"/>
      <c r="K479" s="948"/>
      <c r="L479" s="837">
        <f ca="1">IFERROR(__xludf.DUMMYFUNCTION("IMPORTRANGE(""https://docs.google.com/spreadsheets/d/1QqKyyYR6Q21VydFLVH3TRQUabQu_ym0Zz7PgGX0-kHA/edit?usp=sharing"",""แผน!FV29"")"),0)</f>
        <v>0</v>
      </c>
      <c r="M479" s="837">
        <v>0</v>
      </c>
      <c r="N479" s="837">
        <v>0</v>
      </c>
      <c r="O479" s="837">
        <f t="shared" ca="1" si="212"/>
        <v>0</v>
      </c>
      <c r="P479" s="837">
        <f t="shared" si="213"/>
        <v>0</v>
      </c>
      <c r="Q479" s="1264"/>
      <c r="R479" s="1264"/>
      <c r="S479" s="1264"/>
      <c r="T479" s="1264"/>
      <c r="U479" s="1264"/>
      <c r="V479" s="1264"/>
      <c r="W479" s="1264"/>
      <c r="X479" s="1264"/>
      <c r="Y479" s="1264"/>
      <c r="Z479" s="1264"/>
    </row>
    <row r="480" spans="1:26" ht="19.5">
      <c r="A480" s="1267"/>
      <c r="B480" s="1268"/>
      <c r="C480" s="1242" t="s">
        <v>16</v>
      </c>
      <c r="D480" s="1276" t="s">
        <v>38</v>
      </c>
      <c r="E480" s="1270"/>
      <c r="F480" s="1271"/>
      <c r="G480" s="1272"/>
      <c r="H480" s="954"/>
      <c r="I480" s="830"/>
      <c r="J480" s="830"/>
      <c r="K480" s="831"/>
      <c r="L480" s="831"/>
      <c r="M480" s="831"/>
      <c r="N480" s="831"/>
      <c r="O480" s="831"/>
      <c r="P480" s="831"/>
      <c r="Q480" s="1244"/>
      <c r="R480" s="1244"/>
      <c r="S480" s="1244"/>
      <c r="T480" s="1244"/>
      <c r="U480" s="1244"/>
      <c r="V480" s="1244"/>
      <c r="W480" s="1244"/>
      <c r="X480" s="1244"/>
      <c r="Y480" s="1244"/>
      <c r="Z480" s="1244"/>
    </row>
    <row r="481" spans="1:26" ht="19.5">
      <c r="A481" s="1267"/>
      <c r="B481" s="1268"/>
      <c r="C481" s="1268"/>
      <c r="D481" s="1277" t="s">
        <v>206</v>
      </c>
      <c r="E481" s="1268"/>
      <c r="F481" s="1268"/>
      <c r="G481" s="954"/>
      <c r="H481" s="963"/>
      <c r="I481" s="830"/>
      <c r="J481" s="830"/>
      <c r="K481" s="831"/>
      <c r="L481" s="831"/>
      <c r="M481" s="831"/>
      <c r="N481" s="831"/>
      <c r="O481" s="831"/>
      <c r="P481" s="831"/>
      <c r="Q481" s="1244"/>
      <c r="R481" s="1244"/>
      <c r="S481" s="1244"/>
      <c r="T481" s="1244"/>
      <c r="U481" s="1244"/>
      <c r="V481" s="1244"/>
      <c r="W481" s="1244"/>
      <c r="X481" s="1244"/>
      <c r="Y481" s="1244"/>
      <c r="Z481" s="1244"/>
    </row>
    <row r="482" spans="1:26" ht="18.75">
      <c r="A482" s="1267"/>
      <c r="B482" s="1268"/>
      <c r="C482" s="1268"/>
      <c r="D482" s="1268"/>
      <c r="E482" s="1268" t="s">
        <v>207</v>
      </c>
      <c r="F482" s="1268"/>
      <c r="G482" s="954"/>
      <c r="H482" s="963"/>
      <c r="I482" s="830"/>
      <c r="J482" s="830"/>
      <c r="K482" s="831"/>
      <c r="L482" s="831"/>
      <c r="M482" s="831"/>
      <c r="N482" s="831"/>
      <c r="O482" s="831"/>
      <c r="P482" s="831"/>
      <c r="Q482" s="1244"/>
      <c r="R482" s="1244"/>
      <c r="S482" s="1244"/>
      <c r="T482" s="1244"/>
      <c r="U482" s="1244"/>
      <c r="V482" s="1244"/>
      <c r="W482" s="1244"/>
      <c r="X482" s="1244"/>
      <c r="Y482" s="1244"/>
      <c r="Z482" s="1244"/>
    </row>
    <row r="483" spans="1:26" ht="18.75">
      <c r="A483" s="1267"/>
      <c r="B483" s="1268"/>
      <c r="C483" s="1268"/>
      <c r="D483" s="1268"/>
      <c r="E483" s="1268"/>
      <c r="F483" s="1268" t="s">
        <v>208</v>
      </c>
      <c r="G483" s="954"/>
      <c r="H483" s="590" t="s">
        <v>46</v>
      </c>
      <c r="I483" s="830">
        <f ca="1">IFERROR(__xludf.DUMMYFUNCTION("IMPORTRANGE(""https://docs.google.com/spreadsheets/d/1QqKyyYR6Q21VydFLVH3TRQUabQu_ym0Zz7PgGX0-kHA/edit?usp=sharing"",""แผน!FY29"")"),540)</f>
        <v>540</v>
      </c>
      <c r="J483" s="959">
        <v>0</v>
      </c>
      <c r="K483" s="831">
        <f ca="1">IF(I483&gt;0,J483*100/I483,0)</f>
        <v>0</v>
      </c>
      <c r="L483" s="831"/>
      <c r="M483" s="831"/>
      <c r="N483" s="831"/>
      <c r="O483" s="831"/>
      <c r="P483" s="831"/>
      <c r="Q483" s="1244"/>
      <c r="R483" s="1244"/>
      <c r="S483" s="1244"/>
      <c r="T483" s="1244"/>
      <c r="U483" s="1244"/>
      <c r="V483" s="1244"/>
      <c r="W483" s="1244"/>
      <c r="X483" s="1244"/>
      <c r="Y483" s="1244"/>
      <c r="Z483" s="1244"/>
    </row>
    <row r="484" spans="1:26" ht="18.75">
      <c r="A484" s="1267"/>
      <c r="B484" s="1268"/>
      <c r="C484" s="1268"/>
      <c r="D484" s="1268"/>
      <c r="E484" s="1268"/>
      <c r="F484" s="1268" t="s">
        <v>209</v>
      </c>
      <c r="G484" s="954"/>
      <c r="H484" s="590" t="s">
        <v>35</v>
      </c>
      <c r="I484" s="830"/>
      <c r="J484" s="959">
        <v>0</v>
      </c>
      <c r="K484" s="831"/>
      <c r="L484" s="831"/>
      <c r="M484" s="831"/>
      <c r="N484" s="831"/>
      <c r="O484" s="831"/>
      <c r="P484" s="831"/>
      <c r="Q484" s="1244"/>
      <c r="R484" s="1244"/>
      <c r="S484" s="1244"/>
      <c r="T484" s="1244"/>
      <c r="U484" s="1244"/>
      <c r="V484" s="1244"/>
      <c r="W484" s="1244"/>
      <c r="X484" s="1244"/>
      <c r="Y484" s="1244"/>
      <c r="Z484" s="1244"/>
    </row>
    <row r="485" spans="1:26" ht="18.75">
      <c r="A485" s="1267"/>
      <c r="B485" s="1268"/>
      <c r="C485" s="1268"/>
      <c r="D485" s="1268"/>
      <c r="E485" s="1268"/>
      <c r="F485" s="1268" t="s">
        <v>210</v>
      </c>
      <c r="G485" s="954"/>
      <c r="H485" s="590" t="s">
        <v>35</v>
      </c>
      <c r="I485" s="830">
        <f ca="1">IFERROR(__xludf.DUMMYFUNCTION("IMPORTRANGE(""https://docs.google.com/spreadsheets/d/1QqKyyYR6Q21VydFLVH3TRQUabQu_ym0Zz7PgGX0-kHA/edit?usp=sharing"",""แผน!FZ29"")"),54)</f>
        <v>54</v>
      </c>
      <c r="J485" s="959">
        <v>0</v>
      </c>
      <c r="K485" s="831">
        <f ca="1">IF(I485&gt;0,J485*100/I485,0)</f>
        <v>0</v>
      </c>
      <c r="L485" s="831"/>
      <c r="M485" s="831"/>
      <c r="N485" s="831"/>
      <c r="O485" s="831"/>
      <c r="P485" s="831"/>
      <c r="Q485" s="1244"/>
      <c r="R485" s="1244"/>
      <c r="S485" s="1244"/>
      <c r="T485" s="1244"/>
      <c r="U485" s="1244"/>
      <c r="V485" s="1244"/>
      <c r="W485" s="1244"/>
      <c r="X485" s="1244"/>
      <c r="Y485" s="1244"/>
      <c r="Z485" s="1244"/>
    </row>
    <row r="486" spans="1:26" ht="18.75">
      <c r="A486" s="1267"/>
      <c r="B486" s="1268"/>
      <c r="C486" s="1268"/>
      <c r="D486" s="1268"/>
      <c r="E486" s="1268" t="s">
        <v>62</v>
      </c>
      <c r="F486" s="1268"/>
      <c r="G486" s="954"/>
      <c r="H486" s="590"/>
      <c r="I486" s="830"/>
      <c r="J486" s="830"/>
      <c r="K486" s="831"/>
      <c r="L486" s="831"/>
      <c r="M486" s="831"/>
      <c r="N486" s="831"/>
      <c r="O486" s="831"/>
      <c r="P486" s="831"/>
      <c r="Q486" s="1244"/>
      <c r="R486" s="1244"/>
      <c r="S486" s="1244"/>
      <c r="T486" s="1244"/>
      <c r="U486" s="1244"/>
      <c r="V486" s="1244"/>
      <c r="W486" s="1244"/>
      <c r="X486" s="1244"/>
      <c r="Y486" s="1244"/>
      <c r="Z486" s="1244"/>
    </row>
    <row r="487" spans="1:26" ht="18.75">
      <c r="A487" s="1267"/>
      <c r="B487" s="1268"/>
      <c r="C487" s="1268"/>
      <c r="D487" s="1268"/>
      <c r="E487" s="1268"/>
      <c r="F487" s="1268" t="s">
        <v>208</v>
      </c>
      <c r="G487" s="954"/>
      <c r="H487" s="590" t="s">
        <v>46</v>
      </c>
      <c r="I487" s="830">
        <f ca="1">IFERROR(__xludf.DUMMYFUNCTION("IMPORTRANGE(""https://docs.google.com/spreadsheets/d/1QqKyyYR6Q21VydFLVH3TRQUabQu_ym0Zz7PgGX0-kHA/edit?usp=sharing"",""แผน!GA29"")"),60)</f>
        <v>60</v>
      </c>
      <c r="J487" s="959">
        <v>0</v>
      </c>
      <c r="K487" s="831">
        <f ca="1">IF(I487&gt;0,J487*100/I487,0)</f>
        <v>0</v>
      </c>
      <c r="L487" s="831"/>
      <c r="M487" s="831"/>
      <c r="N487" s="831"/>
      <c r="O487" s="831"/>
      <c r="P487" s="831"/>
      <c r="Q487" s="1244"/>
      <c r="R487" s="1244"/>
      <c r="S487" s="1244"/>
      <c r="T487" s="1244"/>
      <c r="U487" s="1244"/>
      <c r="V487" s="1244"/>
      <c r="W487" s="1244"/>
      <c r="X487" s="1244"/>
      <c r="Y487" s="1244"/>
      <c r="Z487" s="1244"/>
    </row>
    <row r="488" spans="1:26" ht="18.75">
      <c r="A488" s="1267"/>
      <c r="B488" s="1268"/>
      <c r="C488" s="1268"/>
      <c r="D488" s="1268"/>
      <c r="E488" s="1268"/>
      <c r="F488" s="1268" t="s">
        <v>211</v>
      </c>
      <c r="G488" s="954"/>
      <c r="H488" s="590" t="s">
        <v>35</v>
      </c>
      <c r="I488" s="830"/>
      <c r="J488" s="959">
        <v>0</v>
      </c>
      <c r="K488" s="831"/>
      <c r="L488" s="831"/>
      <c r="M488" s="831"/>
      <c r="N488" s="831"/>
      <c r="O488" s="831"/>
      <c r="P488" s="831"/>
      <c r="Q488" s="1244"/>
      <c r="R488" s="1244"/>
      <c r="S488" s="1244"/>
      <c r="T488" s="1244"/>
      <c r="U488" s="1244"/>
      <c r="V488" s="1244"/>
      <c r="W488" s="1244"/>
      <c r="X488" s="1244"/>
      <c r="Y488" s="1244"/>
      <c r="Z488" s="1244"/>
    </row>
    <row r="489" spans="1:26" ht="18.75">
      <c r="A489" s="1267"/>
      <c r="B489" s="1268"/>
      <c r="C489" s="1268"/>
      <c r="D489" s="1268"/>
      <c r="E489" s="1268"/>
      <c r="F489" s="1268" t="s">
        <v>212</v>
      </c>
      <c r="G489" s="954"/>
      <c r="H489" s="590" t="s">
        <v>35</v>
      </c>
      <c r="I489" s="830">
        <f ca="1">IFERROR(__xludf.DUMMYFUNCTION("IMPORTRANGE(""https://docs.google.com/spreadsheets/d/1QqKyyYR6Q21VydFLVH3TRQUabQu_ym0Zz7PgGX0-kHA/edit?usp=sharing"",""แผน!GB29"")"),6)</f>
        <v>6</v>
      </c>
      <c r="J489" s="959">
        <v>0</v>
      </c>
      <c r="K489" s="831">
        <f ca="1">IF(I489&gt;0,J489*100/I489,0)</f>
        <v>0</v>
      </c>
      <c r="L489" s="831"/>
      <c r="M489" s="831"/>
      <c r="N489" s="831"/>
      <c r="O489" s="831"/>
      <c r="P489" s="831"/>
      <c r="Q489" s="1244"/>
      <c r="R489" s="1244"/>
      <c r="S489" s="1244"/>
      <c r="T489" s="1244"/>
      <c r="U489" s="1244"/>
      <c r="V489" s="1244"/>
      <c r="W489" s="1244"/>
      <c r="X489" s="1244"/>
      <c r="Y489" s="1244"/>
      <c r="Z489" s="1244"/>
    </row>
    <row r="490" spans="1:26" ht="18.75">
      <c r="A490" s="1267"/>
      <c r="B490" s="1268"/>
      <c r="C490" s="1268"/>
      <c r="D490" s="1268"/>
      <c r="E490" s="1268" t="s">
        <v>63</v>
      </c>
      <c r="F490" s="961"/>
      <c r="G490" s="954"/>
      <c r="H490" s="590"/>
      <c r="I490" s="830"/>
      <c r="J490" s="830"/>
      <c r="K490" s="831"/>
      <c r="L490" s="831"/>
      <c r="M490" s="831"/>
      <c r="N490" s="831"/>
      <c r="O490" s="831"/>
      <c r="P490" s="831"/>
      <c r="Q490" s="1244"/>
      <c r="R490" s="1244"/>
      <c r="S490" s="1244"/>
      <c r="T490" s="1244"/>
      <c r="U490" s="1244"/>
      <c r="V490" s="1244"/>
      <c r="W490" s="1244"/>
      <c r="X490" s="1244"/>
      <c r="Y490" s="1244"/>
      <c r="Z490" s="1244"/>
    </row>
    <row r="491" spans="1:26" ht="18.75">
      <c r="A491" s="1267"/>
      <c r="B491" s="1268"/>
      <c r="C491" s="1268"/>
      <c r="D491" s="1268"/>
      <c r="E491" s="1268"/>
      <c r="F491" s="1268" t="s">
        <v>213</v>
      </c>
      <c r="G491" s="954"/>
      <c r="H491" s="590" t="s">
        <v>35</v>
      </c>
      <c r="I491" s="830"/>
      <c r="J491" s="959">
        <v>0</v>
      </c>
      <c r="K491" s="831"/>
      <c r="L491" s="831"/>
      <c r="M491" s="831"/>
      <c r="N491" s="831"/>
      <c r="O491" s="831"/>
      <c r="P491" s="831"/>
      <c r="Q491" s="1244"/>
      <c r="R491" s="1244"/>
      <c r="S491" s="1244"/>
      <c r="T491" s="1244"/>
      <c r="U491" s="1244"/>
      <c r="V491" s="1244"/>
      <c r="W491" s="1244"/>
      <c r="X491" s="1244"/>
      <c r="Y491" s="1244"/>
      <c r="Z491" s="1244"/>
    </row>
    <row r="492" spans="1:26" ht="18.75">
      <c r="A492" s="1267"/>
      <c r="B492" s="1268"/>
      <c r="C492" s="1268"/>
      <c r="D492" s="1268"/>
      <c r="E492" s="1268"/>
      <c r="F492" s="1268" t="s">
        <v>214</v>
      </c>
      <c r="G492" s="954"/>
      <c r="H492" s="590" t="s">
        <v>35</v>
      </c>
      <c r="I492" s="830">
        <f ca="1">IFERROR(__xludf.DUMMYFUNCTION("IMPORTRANGE(""https://docs.google.com/spreadsheets/d/1QqKyyYR6Q21VydFLVH3TRQUabQu_ym0Zz7PgGX0-kHA/edit?usp=sharing"",""แผน!GC29"")"),1)</f>
        <v>1</v>
      </c>
      <c r="J492" s="959">
        <v>0</v>
      </c>
      <c r="K492" s="831">
        <f ca="1">IF(I492&gt;0,J492*100/I492,0)</f>
        <v>0</v>
      </c>
      <c r="L492" s="831"/>
      <c r="M492" s="831"/>
      <c r="N492" s="831"/>
      <c r="O492" s="831"/>
      <c r="P492" s="831"/>
      <c r="Q492" s="1244"/>
      <c r="R492" s="1244"/>
      <c r="S492" s="1244"/>
      <c r="T492" s="1244"/>
      <c r="U492" s="1244"/>
      <c r="V492" s="1244"/>
      <c r="W492" s="1244"/>
      <c r="X492" s="1244"/>
      <c r="Y492" s="1244"/>
      <c r="Z492" s="1244"/>
    </row>
    <row r="493" spans="1:26" ht="19.5">
      <c r="A493" s="1267"/>
      <c r="B493" s="1268"/>
      <c r="C493" s="1268"/>
      <c r="D493" s="1277" t="s">
        <v>59</v>
      </c>
      <c r="E493" s="1268"/>
      <c r="F493" s="961"/>
      <c r="G493" s="954"/>
      <c r="H493" s="963"/>
      <c r="I493" s="830"/>
      <c r="J493" s="830"/>
      <c r="K493" s="831"/>
      <c r="L493" s="831"/>
      <c r="M493" s="831"/>
      <c r="N493" s="831"/>
      <c r="O493" s="831"/>
      <c r="P493" s="831"/>
      <c r="Q493" s="1244"/>
      <c r="R493" s="1244"/>
      <c r="S493" s="1244"/>
      <c r="T493" s="1244"/>
      <c r="U493" s="1244"/>
      <c r="V493" s="1244"/>
      <c r="W493" s="1244"/>
      <c r="X493" s="1244"/>
      <c r="Y493" s="1244"/>
      <c r="Z493" s="1244"/>
    </row>
    <row r="494" spans="1:26" ht="18.75">
      <c r="A494" s="1267"/>
      <c r="B494" s="1268"/>
      <c r="C494" s="1268"/>
      <c r="D494" s="1268"/>
      <c r="E494" s="1268" t="s">
        <v>207</v>
      </c>
      <c r="F494" s="961"/>
      <c r="G494" s="954"/>
      <c r="H494" s="963"/>
      <c r="I494" s="830"/>
      <c r="J494" s="830"/>
      <c r="K494" s="831"/>
      <c r="L494" s="831"/>
      <c r="M494" s="831"/>
      <c r="N494" s="831"/>
      <c r="O494" s="831"/>
      <c r="P494" s="831"/>
      <c r="Q494" s="1244"/>
      <c r="R494" s="1244"/>
      <c r="S494" s="1244"/>
      <c r="T494" s="1244"/>
      <c r="U494" s="1244"/>
      <c r="V494" s="1244"/>
      <c r="W494" s="1244"/>
      <c r="X494" s="1244"/>
      <c r="Y494" s="1244"/>
      <c r="Z494" s="1244"/>
    </row>
    <row r="495" spans="1:26" ht="18.75">
      <c r="A495" s="1267"/>
      <c r="B495" s="1268"/>
      <c r="C495" s="1268"/>
      <c r="D495" s="1268"/>
      <c r="E495" s="1268"/>
      <c r="F495" s="961" t="s">
        <v>215</v>
      </c>
      <c r="G495" s="954"/>
      <c r="H495" s="590" t="s">
        <v>46</v>
      </c>
      <c r="I495" s="830">
        <f ca="1">IFERROR(__xludf.DUMMYFUNCTION("IMPORTRANGE(""https://docs.google.com/spreadsheets/d/1QqKyyYR6Q21VydFLVH3TRQUabQu_ym0Zz7PgGX0-kHA/edit?usp=sharing"",""แผน!FY29"")"),540)</f>
        <v>540</v>
      </c>
      <c r="J495" s="959">
        <v>0</v>
      </c>
      <c r="K495" s="831">
        <f ca="1">IF(I495&gt;0,J495*100/I495,0)</f>
        <v>0</v>
      </c>
      <c r="L495" s="831"/>
      <c r="M495" s="831"/>
      <c r="N495" s="831"/>
      <c r="O495" s="831"/>
      <c r="P495" s="831"/>
      <c r="Q495" s="1244"/>
      <c r="R495" s="1244"/>
      <c r="S495" s="1244"/>
      <c r="T495" s="1244"/>
      <c r="U495" s="1244"/>
      <c r="V495" s="1244"/>
      <c r="W495" s="1244"/>
      <c r="X495" s="1244"/>
      <c r="Y495" s="1244"/>
      <c r="Z495" s="1244"/>
    </row>
    <row r="496" spans="1:26" ht="18.75">
      <c r="A496" s="1267"/>
      <c r="B496" s="1268"/>
      <c r="C496" s="1268"/>
      <c r="D496" s="1268"/>
      <c r="E496" s="1268"/>
      <c r="F496" s="961" t="s">
        <v>216</v>
      </c>
      <c r="G496" s="954"/>
      <c r="H496" s="590" t="s">
        <v>46</v>
      </c>
      <c r="I496" s="830"/>
      <c r="J496" s="959">
        <v>0</v>
      </c>
      <c r="K496" s="831"/>
      <c r="L496" s="831"/>
      <c r="M496" s="831"/>
      <c r="N496" s="831"/>
      <c r="O496" s="831"/>
      <c r="P496" s="831"/>
      <c r="Q496" s="1244"/>
      <c r="R496" s="1244"/>
      <c r="S496" s="1244"/>
      <c r="T496" s="1244"/>
      <c r="U496" s="1244"/>
      <c r="V496" s="1244"/>
      <c r="W496" s="1244"/>
      <c r="X496" s="1244"/>
      <c r="Y496" s="1244"/>
      <c r="Z496" s="1244"/>
    </row>
    <row r="497" spans="1:26" ht="18.75">
      <c r="A497" s="1267"/>
      <c r="B497" s="1268"/>
      <c r="C497" s="1268"/>
      <c r="D497" s="1268"/>
      <c r="E497" s="1268" t="s">
        <v>62</v>
      </c>
      <c r="F497" s="961"/>
      <c r="G497" s="954"/>
      <c r="H497" s="963"/>
      <c r="I497" s="830"/>
      <c r="J497" s="830"/>
      <c r="K497" s="831"/>
      <c r="L497" s="831"/>
      <c r="M497" s="831"/>
      <c r="N497" s="831"/>
      <c r="O497" s="831"/>
      <c r="P497" s="831"/>
      <c r="Q497" s="1244"/>
      <c r="R497" s="1244"/>
      <c r="S497" s="1244"/>
      <c r="T497" s="1244"/>
      <c r="U497" s="1244"/>
      <c r="V497" s="1244"/>
      <c r="W497" s="1244"/>
      <c r="X497" s="1244"/>
      <c r="Y497" s="1244"/>
      <c r="Z497" s="1244"/>
    </row>
    <row r="498" spans="1:26" ht="18.75">
      <c r="A498" s="1267"/>
      <c r="B498" s="1268"/>
      <c r="C498" s="1268"/>
      <c r="D498" s="1268"/>
      <c r="E498" s="961"/>
      <c r="F498" s="961" t="s">
        <v>217</v>
      </c>
      <c r="G498" s="954"/>
      <c r="H498" s="590" t="s">
        <v>46</v>
      </c>
      <c r="I498" s="830">
        <f ca="1">IFERROR(__xludf.DUMMYFUNCTION("IMPORTRANGE(""https://docs.google.com/spreadsheets/d/1QqKyyYR6Q21VydFLVH3TRQUabQu_ym0Zz7PgGX0-kHA/edit?usp=sharing"",""แผน!GA29"")"),60)</f>
        <v>60</v>
      </c>
      <c r="J498" s="959">
        <v>0</v>
      </c>
      <c r="K498" s="831">
        <f ca="1">IF(I498&gt;0,J498*100/I498,0)</f>
        <v>0</v>
      </c>
      <c r="L498" s="831"/>
      <c r="M498" s="831"/>
      <c r="N498" s="831"/>
      <c r="O498" s="831"/>
      <c r="P498" s="831"/>
      <c r="Q498" s="1244"/>
      <c r="R498" s="1244"/>
      <c r="S498" s="1244"/>
      <c r="T498" s="1244"/>
      <c r="U498" s="1244"/>
      <c r="V498" s="1244"/>
      <c r="W498" s="1244"/>
      <c r="X498" s="1244"/>
      <c r="Y498" s="1244"/>
      <c r="Z498" s="1244"/>
    </row>
    <row r="499" spans="1:26" ht="18.75">
      <c r="A499" s="1267"/>
      <c r="B499" s="1268"/>
      <c r="C499" s="1268"/>
      <c r="D499" s="1268"/>
      <c r="E499" s="961"/>
      <c r="F499" s="961" t="s">
        <v>218</v>
      </c>
      <c r="G499" s="954"/>
      <c r="H499" s="590" t="s">
        <v>46</v>
      </c>
      <c r="I499" s="830"/>
      <c r="J499" s="959">
        <v>0</v>
      </c>
      <c r="K499" s="831"/>
      <c r="L499" s="831"/>
      <c r="M499" s="831"/>
      <c r="N499" s="831"/>
      <c r="O499" s="831"/>
      <c r="P499" s="831"/>
      <c r="Q499" s="1244"/>
      <c r="R499" s="1244"/>
      <c r="S499" s="1244"/>
      <c r="T499" s="1244"/>
      <c r="U499" s="1244"/>
      <c r="V499" s="1244"/>
      <c r="W499" s="1244"/>
      <c r="X499" s="1244"/>
      <c r="Y499" s="1244"/>
      <c r="Z499" s="1244"/>
    </row>
    <row r="500" spans="1:26" ht="19.5" hidden="1">
      <c r="A500" s="594">
        <v>4</v>
      </c>
      <c r="B500" s="1278" t="s">
        <v>219</v>
      </c>
      <c r="C500" s="1279"/>
      <c r="D500" s="1280"/>
      <c r="E500" s="1280"/>
      <c r="F500" s="1280"/>
      <c r="G500" s="1281"/>
      <c r="H500" s="599" t="s">
        <v>109</v>
      </c>
      <c r="I500" s="1282"/>
      <c r="J500" s="1282">
        <f t="shared" ref="J500:J501" si="214">J516</f>
        <v>0</v>
      </c>
      <c r="K500" s="1283">
        <f t="shared" ref="K500:K501" si="215">IF(I500&gt;0,J500*100/I500,0)</f>
        <v>0</v>
      </c>
      <c r="L500" s="1284"/>
      <c r="M500" s="1284"/>
      <c r="N500" s="1284"/>
      <c r="O500" s="1284"/>
      <c r="P500" s="1284"/>
      <c r="Q500" s="1264"/>
      <c r="R500" s="1264"/>
      <c r="S500" s="1264"/>
      <c r="T500" s="1264"/>
      <c r="U500" s="1264"/>
      <c r="V500" s="1264"/>
      <c r="W500" s="1264"/>
      <c r="X500" s="1264"/>
      <c r="Y500" s="1264"/>
      <c r="Z500" s="1264"/>
    </row>
    <row r="501" spans="1:26" ht="19.5" hidden="1">
      <c r="A501" s="1285"/>
      <c r="B501" s="1286" t="s">
        <v>220</v>
      </c>
      <c r="C501" s="1286"/>
      <c r="D501" s="1287"/>
      <c r="E501" s="1287"/>
      <c r="F501" s="1287"/>
      <c r="G501" s="1288"/>
      <c r="H501" s="608" t="s">
        <v>35</v>
      </c>
      <c r="I501" s="1289"/>
      <c r="J501" s="1289">
        <f t="shared" si="214"/>
        <v>0</v>
      </c>
      <c r="K501" s="1290">
        <f t="shared" si="215"/>
        <v>0</v>
      </c>
      <c r="L501" s="1291"/>
      <c r="M501" s="1291"/>
      <c r="N501" s="1291"/>
      <c r="O501" s="1291"/>
      <c r="P501" s="1291"/>
      <c r="Q501" s="1264"/>
      <c r="R501" s="1264"/>
      <c r="S501" s="1264"/>
      <c r="T501" s="1264"/>
      <c r="U501" s="1264"/>
      <c r="V501" s="1264"/>
      <c r="W501" s="1264"/>
      <c r="X501" s="1264"/>
      <c r="Y501" s="1264"/>
      <c r="Z501" s="1264"/>
    </row>
    <row r="502" spans="1:26" ht="19.5" hidden="1">
      <c r="A502" s="1260"/>
      <c r="B502" s="1261"/>
      <c r="C502" s="1261" t="s">
        <v>16</v>
      </c>
      <c r="D502" s="1508" t="s">
        <v>17</v>
      </c>
      <c r="E502" s="1485"/>
      <c r="F502" s="1485"/>
      <c r="G502" s="1263"/>
      <c r="H502" s="612" t="s">
        <v>12</v>
      </c>
      <c r="I502" s="836"/>
      <c r="J502" s="836"/>
      <c r="K502" s="837"/>
      <c r="L502" s="1292">
        <f t="shared" ref="L502:N502" si="216">L503+L504</f>
        <v>0</v>
      </c>
      <c r="M502" s="1292">
        <f t="shared" si="216"/>
        <v>0</v>
      </c>
      <c r="N502" s="1292">
        <f t="shared" si="216"/>
        <v>0</v>
      </c>
      <c r="O502" s="1292">
        <f t="shared" ref="O502:O507" si="217">IF(L502&gt;0,N502*100/L502,0)</f>
        <v>0</v>
      </c>
      <c r="P502" s="1292">
        <f t="shared" ref="P502:P507" si="218">IF(M502&gt;0,N502*100/M502,0)</f>
        <v>0</v>
      </c>
      <c r="Q502" s="1264"/>
      <c r="R502" s="1264"/>
      <c r="S502" s="1264"/>
      <c r="T502" s="1264"/>
      <c r="U502" s="1264"/>
      <c r="V502" s="1264"/>
      <c r="W502" s="1264"/>
      <c r="X502" s="1264"/>
      <c r="Y502" s="1264"/>
      <c r="Z502" s="1264"/>
    </row>
    <row r="503" spans="1:26" ht="18.75" hidden="1">
      <c r="A503" s="1260"/>
      <c r="B503" s="1261"/>
      <c r="C503" s="1261"/>
      <c r="D503" s="1262"/>
      <c r="E503" s="1261" t="s">
        <v>184</v>
      </c>
      <c r="F503" s="1261"/>
      <c r="G503" s="1263"/>
      <c r="H503" s="165" t="s">
        <v>12</v>
      </c>
      <c r="I503" s="836"/>
      <c r="J503" s="836"/>
      <c r="K503" s="837"/>
      <c r="L503" s="837">
        <f t="shared" ref="L503:N504" si="219">L506+L513</f>
        <v>0</v>
      </c>
      <c r="M503" s="837">
        <f t="shared" si="219"/>
        <v>0</v>
      </c>
      <c r="N503" s="837">
        <f t="shared" si="219"/>
        <v>0</v>
      </c>
      <c r="O503" s="837">
        <f t="shared" si="217"/>
        <v>0</v>
      </c>
      <c r="P503" s="837">
        <f t="shared" si="218"/>
        <v>0</v>
      </c>
      <c r="Q503" s="1264"/>
      <c r="R503" s="1264"/>
      <c r="S503" s="1264"/>
      <c r="T503" s="1264"/>
      <c r="U503" s="1264"/>
      <c r="V503" s="1264"/>
      <c r="W503" s="1264"/>
      <c r="X503" s="1264"/>
      <c r="Y503" s="1264"/>
      <c r="Z503" s="1264"/>
    </row>
    <row r="504" spans="1:26" ht="18.75" hidden="1">
      <c r="A504" s="1260"/>
      <c r="B504" s="1265"/>
      <c r="C504" s="1261"/>
      <c r="D504" s="1262"/>
      <c r="E504" s="1261" t="s">
        <v>185</v>
      </c>
      <c r="F504" s="1261"/>
      <c r="G504" s="1263"/>
      <c r="H504" s="165" t="s">
        <v>12</v>
      </c>
      <c r="I504" s="836"/>
      <c r="J504" s="836"/>
      <c r="K504" s="837"/>
      <c r="L504" s="837">
        <f t="shared" si="219"/>
        <v>0</v>
      </c>
      <c r="M504" s="837">
        <f t="shared" si="219"/>
        <v>0</v>
      </c>
      <c r="N504" s="837">
        <f t="shared" si="219"/>
        <v>0</v>
      </c>
      <c r="O504" s="837">
        <f t="shared" si="217"/>
        <v>0</v>
      </c>
      <c r="P504" s="837">
        <f t="shared" si="218"/>
        <v>0</v>
      </c>
      <c r="Q504" s="1264"/>
      <c r="R504" s="1264"/>
      <c r="S504" s="1264"/>
      <c r="T504" s="1264"/>
      <c r="U504" s="1264"/>
      <c r="V504" s="1264"/>
      <c r="W504" s="1264"/>
      <c r="X504" s="1264"/>
      <c r="Y504" s="1264"/>
      <c r="Z504" s="1264"/>
    </row>
    <row r="505" spans="1:26" ht="18.75" hidden="1">
      <c r="A505" s="1260"/>
      <c r="B505" s="1265"/>
      <c r="C505" s="1261"/>
      <c r="D505" s="1293" t="s">
        <v>20</v>
      </c>
      <c r="E505" s="1261"/>
      <c r="F505" s="1261"/>
      <c r="G505" s="1263"/>
      <c r="H505" s="165" t="s">
        <v>12</v>
      </c>
      <c r="I505" s="947"/>
      <c r="J505" s="947"/>
      <c r="K505" s="948"/>
      <c r="L505" s="837">
        <f t="shared" ref="L505:N505" si="220">L506+L507</f>
        <v>0</v>
      </c>
      <c r="M505" s="837">
        <f t="shared" si="220"/>
        <v>0</v>
      </c>
      <c r="N505" s="837">
        <f t="shared" si="220"/>
        <v>0</v>
      </c>
      <c r="O505" s="837">
        <f t="shared" si="217"/>
        <v>0</v>
      </c>
      <c r="P505" s="837">
        <f t="shared" si="218"/>
        <v>0</v>
      </c>
      <c r="Q505" s="1264"/>
      <c r="R505" s="1264"/>
      <c r="S505" s="1264"/>
      <c r="T505" s="1264"/>
      <c r="U505" s="1264"/>
      <c r="V505" s="1264"/>
      <c r="W505" s="1264"/>
      <c r="X505" s="1264"/>
      <c r="Y505" s="1264"/>
      <c r="Z505" s="1264"/>
    </row>
    <row r="506" spans="1:26" ht="18.75" hidden="1">
      <c r="A506" s="1260"/>
      <c r="B506" s="1265"/>
      <c r="C506" s="1261"/>
      <c r="D506" s="1262"/>
      <c r="E506" s="1261" t="s">
        <v>184</v>
      </c>
      <c r="F506" s="1261"/>
      <c r="G506" s="1263"/>
      <c r="H506" s="165" t="s">
        <v>12</v>
      </c>
      <c r="I506" s="836"/>
      <c r="J506" s="836"/>
      <c r="K506" s="837"/>
      <c r="L506" s="837">
        <v>0</v>
      </c>
      <c r="M506" s="837">
        <v>0</v>
      </c>
      <c r="N506" s="837">
        <v>0</v>
      </c>
      <c r="O506" s="837">
        <f t="shared" si="217"/>
        <v>0</v>
      </c>
      <c r="P506" s="837">
        <f t="shared" si="218"/>
        <v>0</v>
      </c>
      <c r="Q506" s="1264"/>
      <c r="R506" s="1264"/>
      <c r="S506" s="1264"/>
      <c r="T506" s="1264"/>
      <c r="U506" s="1264"/>
      <c r="V506" s="1264"/>
      <c r="W506" s="1264"/>
      <c r="X506" s="1264"/>
      <c r="Y506" s="1264"/>
      <c r="Z506" s="1264"/>
    </row>
    <row r="507" spans="1:26" ht="18.75" hidden="1">
      <c r="A507" s="1260"/>
      <c r="B507" s="1265"/>
      <c r="C507" s="1261"/>
      <c r="D507" s="1262"/>
      <c r="E507" s="1261" t="s">
        <v>185</v>
      </c>
      <c r="F507" s="1261"/>
      <c r="G507" s="1263"/>
      <c r="H507" s="165" t="s">
        <v>12</v>
      </c>
      <c r="I507" s="836"/>
      <c r="J507" s="836"/>
      <c r="K507" s="837"/>
      <c r="L507" s="837">
        <v>0</v>
      </c>
      <c r="M507" s="837">
        <v>0</v>
      </c>
      <c r="N507" s="837">
        <f>N508+N509+N510+N511</f>
        <v>0</v>
      </c>
      <c r="O507" s="837">
        <f t="shared" si="217"/>
        <v>0</v>
      </c>
      <c r="P507" s="837">
        <f t="shared" si="218"/>
        <v>0</v>
      </c>
      <c r="Q507" s="1264"/>
      <c r="R507" s="1264"/>
      <c r="S507" s="1264"/>
      <c r="T507" s="1264"/>
      <c r="U507" s="1264"/>
      <c r="V507" s="1264"/>
      <c r="W507" s="1264"/>
      <c r="X507" s="1264"/>
      <c r="Y507" s="1264"/>
      <c r="Z507" s="1264"/>
    </row>
    <row r="508" spans="1:26" ht="18.75" hidden="1">
      <c r="A508" s="1294"/>
      <c r="B508" s="1265"/>
      <c r="C508" s="1261"/>
      <c r="D508" s="1261"/>
      <c r="E508" s="1261"/>
      <c r="F508" s="1261" t="s">
        <v>186</v>
      </c>
      <c r="G508" s="1263"/>
      <c r="H508" s="165" t="s">
        <v>12</v>
      </c>
      <c r="I508" s="836"/>
      <c r="J508" s="836"/>
      <c r="K508" s="837"/>
      <c r="L508" s="837"/>
      <c r="M508" s="837"/>
      <c r="N508" s="837">
        <v>0</v>
      </c>
      <c r="O508" s="837"/>
      <c r="P508" s="837"/>
      <c r="Q508" s="1264"/>
      <c r="R508" s="1264"/>
      <c r="S508" s="1264"/>
      <c r="T508" s="1264"/>
      <c r="U508" s="1264"/>
      <c r="V508" s="1264"/>
      <c r="W508" s="1264"/>
      <c r="X508" s="1264"/>
      <c r="Y508" s="1264"/>
      <c r="Z508" s="1264"/>
    </row>
    <row r="509" spans="1:26" ht="18.75" hidden="1">
      <c r="A509" s="1294"/>
      <c r="B509" s="1265"/>
      <c r="C509" s="1261"/>
      <c r="D509" s="1261"/>
      <c r="E509" s="1261"/>
      <c r="F509" s="1261" t="s">
        <v>187</v>
      </c>
      <c r="G509" s="1263"/>
      <c r="H509" s="165" t="s">
        <v>12</v>
      </c>
      <c r="I509" s="836"/>
      <c r="J509" s="836"/>
      <c r="K509" s="837"/>
      <c r="L509" s="837"/>
      <c r="M509" s="837"/>
      <c r="N509" s="837">
        <v>0</v>
      </c>
      <c r="O509" s="837"/>
      <c r="P509" s="837"/>
      <c r="Q509" s="1264"/>
      <c r="R509" s="1264"/>
      <c r="S509" s="1264"/>
      <c r="T509" s="1264"/>
      <c r="U509" s="1264"/>
      <c r="V509" s="1264"/>
      <c r="W509" s="1264"/>
      <c r="X509" s="1264"/>
      <c r="Y509" s="1264"/>
      <c r="Z509" s="1264"/>
    </row>
    <row r="510" spans="1:26" ht="18.75" hidden="1">
      <c r="A510" s="1294"/>
      <c r="B510" s="1265"/>
      <c r="C510" s="1265"/>
      <c r="D510" s="1265"/>
      <c r="E510" s="1261"/>
      <c r="F510" s="1261" t="s">
        <v>188</v>
      </c>
      <c r="G510" s="1263"/>
      <c r="H510" s="165" t="s">
        <v>12</v>
      </c>
      <c r="I510" s="836"/>
      <c r="J510" s="836"/>
      <c r="K510" s="837"/>
      <c r="L510" s="837"/>
      <c r="M510" s="837"/>
      <c r="N510" s="837">
        <v>0</v>
      </c>
      <c r="O510" s="837"/>
      <c r="P510" s="837"/>
      <c r="Q510" s="1264"/>
      <c r="R510" s="1264"/>
      <c r="S510" s="1264"/>
      <c r="T510" s="1264"/>
      <c r="U510" s="1264"/>
      <c r="V510" s="1264"/>
      <c r="W510" s="1264"/>
      <c r="X510" s="1264"/>
      <c r="Y510" s="1264"/>
      <c r="Z510" s="1264"/>
    </row>
    <row r="511" spans="1:26" ht="18.75" hidden="1">
      <c r="A511" s="1294"/>
      <c r="B511" s="1265"/>
      <c r="C511" s="1265"/>
      <c r="D511" s="1265"/>
      <c r="E511" s="1261"/>
      <c r="F511" s="1261" t="s">
        <v>189</v>
      </c>
      <c r="G511" s="1263"/>
      <c r="H511" s="165" t="s">
        <v>12</v>
      </c>
      <c r="I511" s="836"/>
      <c r="J511" s="836"/>
      <c r="K511" s="837"/>
      <c r="L511" s="837"/>
      <c r="M511" s="837"/>
      <c r="N511" s="837">
        <v>0</v>
      </c>
      <c r="O511" s="837"/>
      <c r="P511" s="837"/>
      <c r="Q511" s="1264"/>
      <c r="R511" s="1264"/>
      <c r="S511" s="1264"/>
      <c r="T511" s="1264"/>
      <c r="U511" s="1264"/>
      <c r="V511" s="1264"/>
      <c r="W511" s="1264"/>
      <c r="X511" s="1264"/>
      <c r="Y511" s="1264"/>
      <c r="Z511" s="1264"/>
    </row>
    <row r="512" spans="1:26" ht="18.75" hidden="1">
      <c r="A512" s="1260"/>
      <c r="B512" s="1265"/>
      <c r="C512" s="1265"/>
      <c r="D512" s="1293" t="s">
        <v>21</v>
      </c>
      <c r="E512" s="1265"/>
      <c r="F512" s="1261"/>
      <c r="G512" s="1263"/>
      <c r="H512" s="169" t="s">
        <v>12</v>
      </c>
      <c r="I512" s="947"/>
      <c r="J512" s="947"/>
      <c r="K512" s="948"/>
      <c r="L512" s="837">
        <f t="shared" ref="L512:N512" si="221">L513+L514</f>
        <v>0</v>
      </c>
      <c r="M512" s="837">
        <f t="shared" si="221"/>
        <v>0</v>
      </c>
      <c r="N512" s="837">
        <f t="shared" si="221"/>
        <v>0</v>
      </c>
      <c r="O512" s="837">
        <f t="shared" ref="O512:O514" si="222">IF(L512&gt;0,N512*100/L512,0)</f>
        <v>0</v>
      </c>
      <c r="P512" s="837">
        <f t="shared" ref="P512:P514" si="223">IF(M512&gt;0,N512*100/M512,0)</f>
        <v>0</v>
      </c>
      <c r="Q512" s="1264"/>
      <c r="R512" s="1264"/>
      <c r="S512" s="1264"/>
      <c r="T512" s="1264"/>
      <c r="U512" s="1264"/>
      <c r="V512" s="1264"/>
      <c r="W512" s="1264"/>
      <c r="X512" s="1264"/>
      <c r="Y512" s="1264"/>
      <c r="Z512" s="1264"/>
    </row>
    <row r="513" spans="1:26" ht="18.75" hidden="1">
      <c r="A513" s="1260"/>
      <c r="B513" s="1265"/>
      <c r="C513" s="1265"/>
      <c r="D513" s="1265"/>
      <c r="E513" s="1265" t="s">
        <v>18</v>
      </c>
      <c r="F513" s="1261"/>
      <c r="G513" s="1263"/>
      <c r="H513" s="165" t="s">
        <v>12</v>
      </c>
      <c r="I513" s="947"/>
      <c r="J513" s="947"/>
      <c r="K513" s="948"/>
      <c r="L513" s="837">
        <v>0</v>
      </c>
      <c r="M513" s="837">
        <v>0</v>
      </c>
      <c r="N513" s="837">
        <v>0</v>
      </c>
      <c r="O513" s="837">
        <f t="shared" si="222"/>
        <v>0</v>
      </c>
      <c r="P513" s="837">
        <f t="shared" si="223"/>
        <v>0</v>
      </c>
      <c r="Q513" s="1264"/>
      <c r="R513" s="1264"/>
      <c r="S513" s="1264"/>
      <c r="T513" s="1264"/>
      <c r="U513" s="1264"/>
      <c r="V513" s="1264"/>
      <c r="W513" s="1264"/>
      <c r="X513" s="1264"/>
      <c r="Y513" s="1264"/>
      <c r="Z513" s="1264"/>
    </row>
    <row r="514" spans="1:26" ht="18.75" hidden="1">
      <c r="A514" s="1260"/>
      <c r="B514" s="1265"/>
      <c r="C514" s="1265"/>
      <c r="D514" s="1261"/>
      <c r="E514" s="1265" t="s">
        <v>19</v>
      </c>
      <c r="F514" s="1261"/>
      <c r="G514" s="1263"/>
      <c r="H514" s="169" t="s">
        <v>12</v>
      </c>
      <c r="I514" s="947"/>
      <c r="J514" s="947"/>
      <c r="K514" s="948"/>
      <c r="L514" s="837">
        <v>0</v>
      </c>
      <c r="M514" s="837">
        <v>0</v>
      </c>
      <c r="N514" s="837">
        <v>0</v>
      </c>
      <c r="O514" s="837">
        <f t="shared" si="222"/>
        <v>0</v>
      </c>
      <c r="P514" s="837">
        <f t="shared" si="223"/>
        <v>0</v>
      </c>
      <c r="Q514" s="1264"/>
      <c r="R514" s="1264"/>
      <c r="S514" s="1264"/>
      <c r="T514" s="1264"/>
      <c r="U514" s="1264"/>
      <c r="V514" s="1264"/>
      <c r="W514" s="1264"/>
      <c r="X514" s="1264"/>
      <c r="Y514" s="1264"/>
      <c r="Z514" s="1264"/>
    </row>
    <row r="515" spans="1:26" ht="19.5" hidden="1">
      <c r="A515" s="1273"/>
      <c r="B515" s="1274"/>
      <c r="C515" s="1265" t="s">
        <v>16</v>
      </c>
      <c r="D515" s="1295" t="s">
        <v>38</v>
      </c>
      <c r="E515" s="1296"/>
      <c r="F515" s="1296"/>
      <c r="G515" s="1297"/>
      <c r="H515" s="1060"/>
      <c r="I515" s="947"/>
      <c r="J515" s="947"/>
      <c r="K515" s="948"/>
      <c r="L515" s="948"/>
      <c r="M515" s="948"/>
      <c r="N515" s="948"/>
      <c r="O515" s="948"/>
      <c r="P515" s="948"/>
      <c r="Q515" s="1264"/>
      <c r="R515" s="1264"/>
      <c r="S515" s="1264"/>
      <c r="T515" s="1264"/>
      <c r="U515" s="1264"/>
      <c r="V515" s="1264"/>
      <c r="W515" s="1264"/>
      <c r="X515" s="1264"/>
      <c r="Y515" s="1264"/>
      <c r="Z515" s="1264"/>
    </row>
    <row r="516" spans="1:26" ht="18.75" hidden="1">
      <c r="A516" s="1273"/>
      <c r="B516" s="1274"/>
      <c r="C516" s="1274"/>
      <c r="D516" s="1274" t="s">
        <v>221</v>
      </c>
      <c r="E516" s="1262"/>
      <c r="F516" s="1262"/>
      <c r="G516" s="1060"/>
      <c r="H516" s="619" t="s">
        <v>109</v>
      </c>
      <c r="I516" s="836"/>
      <c r="J516" s="836">
        <v>0</v>
      </c>
      <c r="K516" s="948">
        <f t="shared" ref="K516:K517" si="224">IF(I516&gt;0,J516*100/I516,0)</f>
        <v>0</v>
      </c>
      <c r="L516" s="948"/>
      <c r="M516" s="948"/>
      <c r="N516" s="948"/>
      <c r="O516" s="948"/>
      <c r="P516" s="948"/>
      <c r="Q516" s="1264"/>
      <c r="R516" s="1264"/>
      <c r="S516" s="1264"/>
      <c r="T516" s="1264"/>
      <c r="U516" s="1264"/>
      <c r="V516" s="1264"/>
      <c r="W516" s="1264"/>
      <c r="X516" s="1264"/>
      <c r="Y516" s="1264"/>
      <c r="Z516" s="1264"/>
    </row>
    <row r="517" spans="1:26" ht="19.5" hidden="1">
      <c r="A517" s="1273"/>
      <c r="B517" s="1274"/>
      <c r="C517" s="1274"/>
      <c r="D517" s="1274" t="s">
        <v>222</v>
      </c>
      <c r="E517" s="1262"/>
      <c r="F517" s="1262"/>
      <c r="G517" s="1060"/>
      <c r="H517" s="620" t="s">
        <v>35</v>
      </c>
      <c r="I517" s="1298"/>
      <c r="J517" s="1298">
        <f>J518+J519</f>
        <v>0</v>
      </c>
      <c r="K517" s="1299">
        <f t="shared" si="224"/>
        <v>0</v>
      </c>
      <c r="L517" s="948"/>
      <c r="M517" s="948"/>
      <c r="N517" s="948"/>
      <c r="O517" s="948"/>
      <c r="P517" s="948"/>
      <c r="Q517" s="1264"/>
      <c r="R517" s="1264"/>
      <c r="S517" s="1264"/>
      <c r="T517" s="1264"/>
      <c r="U517" s="1264"/>
      <c r="V517" s="1264"/>
      <c r="W517" s="1264"/>
      <c r="X517" s="1264"/>
      <c r="Y517" s="1264"/>
      <c r="Z517" s="1264"/>
    </row>
    <row r="518" spans="1:26" ht="18.75" hidden="1">
      <c r="A518" s="1273"/>
      <c r="B518" s="1274"/>
      <c r="C518" s="1274"/>
      <c r="D518" s="1274"/>
      <c r="E518" s="1274" t="s">
        <v>223</v>
      </c>
      <c r="F518" s="1262"/>
      <c r="G518" s="1060"/>
      <c r="H518" s="583" t="s">
        <v>35</v>
      </c>
      <c r="I518" s="836"/>
      <c r="J518" s="836"/>
      <c r="K518" s="948"/>
      <c r="L518" s="948"/>
      <c r="M518" s="948"/>
      <c r="N518" s="948"/>
      <c r="O518" s="948"/>
      <c r="P518" s="948"/>
      <c r="Q518" s="1264"/>
      <c r="R518" s="1264"/>
      <c r="S518" s="1264"/>
      <c r="T518" s="1264"/>
      <c r="U518" s="1264"/>
      <c r="V518" s="1264"/>
      <c r="W518" s="1264"/>
      <c r="X518" s="1264"/>
      <c r="Y518" s="1264"/>
      <c r="Z518" s="1264"/>
    </row>
    <row r="519" spans="1:26" ht="18.75" hidden="1">
      <c r="A519" s="1273"/>
      <c r="B519" s="1274"/>
      <c r="C519" s="1274"/>
      <c r="D519" s="1274"/>
      <c r="E519" s="1274" t="s">
        <v>224</v>
      </c>
      <c r="F519" s="1262"/>
      <c r="G519" s="1060"/>
      <c r="H519" s="619" t="s">
        <v>35</v>
      </c>
      <c r="I519" s="836"/>
      <c r="J519" s="836"/>
      <c r="K519" s="948"/>
      <c r="L519" s="948"/>
      <c r="M519" s="948"/>
      <c r="N519" s="948"/>
      <c r="O519" s="948"/>
      <c r="P519" s="948"/>
      <c r="Q519" s="1264"/>
      <c r="R519" s="1264"/>
      <c r="S519" s="1264"/>
      <c r="T519" s="1264"/>
      <c r="U519" s="1264"/>
      <c r="V519" s="1264"/>
      <c r="W519" s="1264"/>
      <c r="X519" s="1264"/>
      <c r="Y519" s="1264"/>
      <c r="Z519" s="1264"/>
    </row>
    <row r="520" spans="1:26" ht="19.5">
      <c r="A520" s="1300" t="s">
        <v>137</v>
      </c>
      <c r="B520" s="1301"/>
      <c r="C520" s="1301"/>
      <c r="D520" s="1302"/>
      <c r="E520" s="1302"/>
      <c r="F520" s="1302"/>
      <c r="G520" s="1303"/>
      <c r="H520" s="1304"/>
      <c r="I520" s="1305"/>
      <c r="J520" s="1305"/>
      <c r="K520" s="1306"/>
      <c r="L520" s="1306"/>
      <c r="M520" s="1306"/>
      <c r="N520" s="1306"/>
      <c r="O520" s="1306"/>
      <c r="P520" s="1306"/>
    </row>
    <row r="521" spans="1:26" ht="19.5" hidden="1">
      <c r="A521" s="630">
        <v>5</v>
      </c>
      <c r="B521" s="1307" t="s">
        <v>225</v>
      </c>
      <c r="C521" s="1308"/>
      <c r="D521" s="1309"/>
      <c r="E521" s="1309"/>
      <c r="F521" s="1309"/>
      <c r="G521" s="1309"/>
      <c r="H521" s="1310"/>
      <c r="I521" s="1311"/>
      <c r="J521" s="1311"/>
      <c r="K521" s="1312"/>
      <c r="L521" s="1312"/>
      <c r="M521" s="1312"/>
      <c r="N521" s="1312"/>
      <c r="O521" s="1312"/>
      <c r="P521" s="1312"/>
      <c r="Q521" s="1244"/>
      <c r="R521" s="1244"/>
      <c r="S521" s="1244"/>
      <c r="T521" s="1244"/>
      <c r="U521" s="1244"/>
      <c r="V521" s="1244"/>
      <c r="W521" s="1244"/>
      <c r="X521" s="1244"/>
      <c r="Y521" s="1244"/>
      <c r="Z521" s="1244"/>
    </row>
    <row r="522" spans="1:26" ht="19.5" hidden="1">
      <c r="A522" s="1313"/>
      <c r="B522" s="1314" t="s">
        <v>226</v>
      </c>
      <c r="C522" s="1315"/>
      <c r="D522" s="1315"/>
      <c r="E522" s="1315"/>
      <c r="F522" s="1315"/>
      <c r="G522" s="1316"/>
      <c r="H522" s="641" t="s">
        <v>35</v>
      </c>
      <c r="I522" s="1317">
        <f t="shared" ref="I522:J522" ca="1" si="225">I537</f>
        <v>0</v>
      </c>
      <c r="J522" s="1317">
        <f t="shared" ca="1" si="225"/>
        <v>0</v>
      </c>
      <c r="K522" s="1318">
        <f ca="1">IF(I522&gt;0,J522*100/I522,0)</f>
        <v>0</v>
      </c>
      <c r="L522" s="1319"/>
      <c r="M522" s="1319"/>
      <c r="N522" s="1319"/>
      <c r="O522" s="1319"/>
      <c r="P522" s="1319"/>
      <c r="Q522" s="1244"/>
      <c r="R522" s="1244"/>
      <c r="S522" s="1244"/>
      <c r="T522" s="1244"/>
      <c r="U522" s="1244"/>
      <c r="V522" s="1244"/>
      <c r="W522" s="1244"/>
      <c r="X522" s="1244"/>
      <c r="Y522" s="1244"/>
      <c r="Z522" s="1244"/>
    </row>
    <row r="523" spans="1:26" ht="19.5" hidden="1">
      <c r="A523" s="1259"/>
      <c r="B523" s="1243"/>
      <c r="C523" s="1243" t="s">
        <v>16</v>
      </c>
      <c r="D523" s="1507" t="s">
        <v>17</v>
      </c>
      <c r="E523" s="1485"/>
      <c r="F523" s="1485"/>
      <c r="G523" s="963"/>
      <c r="H523" s="563" t="s">
        <v>12</v>
      </c>
      <c r="I523" s="830"/>
      <c r="J523" s="830"/>
      <c r="K523" s="831"/>
      <c r="L523" s="967">
        <f t="shared" ref="L523:N523" ca="1" si="226">L524+L525</f>
        <v>0</v>
      </c>
      <c r="M523" s="967">
        <f t="shared" si="226"/>
        <v>0</v>
      </c>
      <c r="N523" s="967">
        <f t="shared" si="226"/>
        <v>0</v>
      </c>
      <c r="O523" s="967">
        <f t="shared" ref="O523:O528" ca="1" si="227">IF(L523&gt;0,N523*100/L523,0)</f>
        <v>0</v>
      </c>
      <c r="P523" s="967">
        <f t="shared" ref="P523:P528" si="228">IF(M523&gt;0,N523*100/M523,0)</f>
        <v>0</v>
      </c>
      <c r="Q523" s="1244"/>
      <c r="R523" s="1244"/>
      <c r="S523" s="1244"/>
      <c r="T523" s="1244"/>
      <c r="U523" s="1244"/>
      <c r="V523" s="1244"/>
      <c r="W523" s="1244"/>
      <c r="X523" s="1244"/>
      <c r="Y523" s="1244"/>
      <c r="Z523" s="1244"/>
    </row>
    <row r="524" spans="1:26" ht="18.75" hidden="1">
      <c r="A524" s="1260"/>
      <c r="B524" s="1261"/>
      <c r="C524" s="1261"/>
      <c r="D524" s="1262"/>
      <c r="E524" s="1261" t="s">
        <v>184</v>
      </c>
      <c r="F524" s="1261"/>
      <c r="G524" s="1263"/>
      <c r="H524" s="165" t="s">
        <v>12</v>
      </c>
      <c r="I524" s="836"/>
      <c r="J524" s="836"/>
      <c r="K524" s="837"/>
      <c r="L524" s="837">
        <f t="shared" ref="L524:N525" si="229">L527+L534</f>
        <v>0</v>
      </c>
      <c r="M524" s="837">
        <f t="shared" si="229"/>
        <v>0</v>
      </c>
      <c r="N524" s="837">
        <f t="shared" si="229"/>
        <v>0</v>
      </c>
      <c r="O524" s="837">
        <f t="shared" si="227"/>
        <v>0</v>
      </c>
      <c r="P524" s="837">
        <f t="shared" si="228"/>
        <v>0</v>
      </c>
      <c r="Q524" s="1264"/>
      <c r="R524" s="1264"/>
      <c r="S524" s="1264"/>
      <c r="T524" s="1264"/>
      <c r="U524" s="1264"/>
      <c r="V524" s="1264"/>
      <c r="W524" s="1264"/>
      <c r="X524" s="1264"/>
      <c r="Y524" s="1264"/>
      <c r="Z524" s="1264"/>
    </row>
    <row r="525" spans="1:26" ht="18.75" hidden="1">
      <c r="A525" s="1260"/>
      <c r="B525" s="1265"/>
      <c r="C525" s="1261"/>
      <c r="D525" s="1262"/>
      <c r="E525" s="1261" t="s">
        <v>185</v>
      </c>
      <c r="F525" s="1261"/>
      <c r="G525" s="1263"/>
      <c r="H525" s="165" t="s">
        <v>12</v>
      </c>
      <c r="I525" s="836"/>
      <c r="J525" s="836"/>
      <c r="K525" s="837"/>
      <c r="L525" s="837">
        <f t="shared" ca="1" si="229"/>
        <v>0</v>
      </c>
      <c r="M525" s="837">
        <f t="shared" si="229"/>
        <v>0</v>
      </c>
      <c r="N525" s="837">
        <f t="shared" si="229"/>
        <v>0</v>
      </c>
      <c r="O525" s="837">
        <f t="shared" ca="1" si="227"/>
        <v>0</v>
      </c>
      <c r="P525" s="837">
        <f t="shared" si="228"/>
        <v>0</v>
      </c>
      <c r="Q525" s="1264"/>
      <c r="R525" s="1264"/>
      <c r="S525" s="1264"/>
      <c r="T525" s="1264"/>
      <c r="U525" s="1264"/>
      <c r="V525" s="1264"/>
      <c r="W525" s="1264"/>
      <c r="X525" s="1264"/>
      <c r="Y525" s="1264"/>
      <c r="Z525" s="1264"/>
    </row>
    <row r="526" spans="1:26" ht="18.75" hidden="1">
      <c r="A526" s="1259"/>
      <c r="B526" s="1242"/>
      <c r="C526" s="1243"/>
      <c r="D526" s="1266" t="s">
        <v>20</v>
      </c>
      <c r="E526" s="1243"/>
      <c r="F526" s="1243"/>
      <c r="G526" s="963"/>
      <c r="H526" s="778" t="s">
        <v>12</v>
      </c>
      <c r="I526" s="944"/>
      <c r="J526" s="944"/>
      <c r="K526" s="945"/>
      <c r="L526" s="831">
        <f t="shared" ref="L526:N526" ca="1" si="230">L527+L528</f>
        <v>0</v>
      </c>
      <c r="M526" s="831">
        <f t="shared" si="230"/>
        <v>0</v>
      </c>
      <c r="N526" s="831">
        <f t="shared" si="230"/>
        <v>0</v>
      </c>
      <c r="O526" s="831">
        <f t="shared" ca="1" si="227"/>
        <v>0</v>
      </c>
      <c r="P526" s="831">
        <f t="shared" si="228"/>
        <v>0</v>
      </c>
      <c r="Q526" s="1244"/>
      <c r="R526" s="1244"/>
      <c r="S526" s="1244"/>
      <c r="T526" s="1244"/>
      <c r="U526" s="1244"/>
      <c r="V526" s="1244"/>
      <c r="W526" s="1244"/>
      <c r="X526" s="1244"/>
      <c r="Y526" s="1244"/>
      <c r="Z526" s="1244"/>
    </row>
    <row r="527" spans="1:26" ht="18.75" hidden="1">
      <c r="A527" s="1260"/>
      <c r="B527" s="1265"/>
      <c r="C527" s="1261"/>
      <c r="D527" s="1262"/>
      <c r="E527" s="1261" t="s">
        <v>184</v>
      </c>
      <c r="F527" s="1261"/>
      <c r="G527" s="1263"/>
      <c r="H527" s="165" t="s">
        <v>12</v>
      </c>
      <c r="I527" s="836"/>
      <c r="J527" s="836"/>
      <c r="K527" s="837"/>
      <c r="L527" s="837">
        <v>0</v>
      </c>
      <c r="M527" s="837">
        <v>0</v>
      </c>
      <c r="N527" s="837">
        <v>0</v>
      </c>
      <c r="O527" s="837">
        <f t="shared" si="227"/>
        <v>0</v>
      </c>
      <c r="P527" s="837">
        <f t="shared" si="228"/>
        <v>0</v>
      </c>
      <c r="Q527" s="1264"/>
      <c r="R527" s="1264"/>
      <c r="S527" s="1264"/>
      <c r="T527" s="1264"/>
      <c r="U527" s="1264"/>
      <c r="V527" s="1264"/>
      <c r="W527" s="1264"/>
      <c r="X527" s="1264"/>
      <c r="Y527" s="1264"/>
      <c r="Z527" s="1264"/>
    </row>
    <row r="528" spans="1:26" ht="18.75" hidden="1">
      <c r="A528" s="1260"/>
      <c r="B528" s="1265"/>
      <c r="C528" s="1261"/>
      <c r="D528" s="1262"/>
      <c r="E528" s="1261" t="s">
        <v>185</v>
      </c>
      <c r="F528" s="1261"/>
      <c r="G528" s="1263"/>
      <c r="H528" s="165" t="s">
        <v>12</v>
      </c>
      <c r="I528" s="836"/>
      <c r="J528" s="836"/>
      <c r="K528" s="837"/>
      <c r="L528" s="837">
        <f ca="1">IFERROR(__xludf.DUMMYFUNCTION("IMPORTRANGE(""https://docs.google.com/spreadsheets/d/1QqKyyYR6Q21VydFLVH3TRQUabQu_ym0Zz7PgGX0-kHA/edit?usp=sharing"",""แผน!GQ29"")"),0)</f>
        <v>0</v>
      </c>
      <c r="M528" s="837">
        <v>0</v>
      </c>
      <c r="N528" s="837">
        <f>N529+N530+N531+N532</f>
        <v>0</v>
      </c>
      <c r="O528" s="837">
        <f t="shared" ca="1" si="227"/>
        <v>0</v>
      </c>
      <c r="P528" s="837">
        <f t="shared" si="228"/>
        <v>0</v>
      </c>
      <c r="Q528" s="1264"/>
      <c r="R528" s="1264"/>
      <c r="S528" s="1264"/>
      <c r="T528" s="1264"/>
      <c r="U528" s="1264"/>
      <c r="V528" s="1264"/>
      <c r="W528" s="1264"/>
      <c r="X528" s="1264"/>
      <c r="Y528" s="1264"/>
      <c r="Z528" s="1264"/>
    </row>
    <row r="529" spans="1:26" ht="18.75" hidden="1">
      <c r="A529" s="1241"/>
      <c r="B529" s="1242"/>
      <c r="C529" s="1243"/>
      <c r="D529" s="1243"/>
      <c r="E529" s="1243"/>
      <c r="F529" s="1243" t="s">
        <v>186</v>
      </c>
      <c r="G529" s="963"/>
      <c r="H529" s="778" t="s">
        <v>12</v>
      </c>
      <c r="I529" s="830"/>
      <c r="J529" s="830"/>
      <c r="K529" s="831"/>
      <c r="L529" s="831"/>
      <c r="M529" s="831"/>
      <c r="N529" s="1031">
        <v>0</v>
      </c>
      <c r="O529" s="831"/>
      <c r="P529" s="831"/>
      <c r="Q529" s="1244"/>
      <c r="R529" s="1244"/>
      <c r="S529" s="1244"/>
      <c r="T529" s="1244"/>
      <c r="U529" s="1244"/>
      <c r="V529" s="1244"/>
      <c r="W529" s="1244"/>
      <c r="X529" s="1244"/>
      <c r="Y529" s="1244"/>
      <c r="Z529" s="1244"/>
    </row>
    <row r="530" spans="1:26" ht="18.75" hidden="1">
      <c r="A530" s="1241"/>
      <c r="B530" s="1242"/>
      <c r="C530" s="1243"/>
      <c r="D530" s="1243"/>
      <c r="E530" s="1243"/>
      <c r="F530" s="1243" t="s">
        <v>187</v>
      </c>
      <c r="G530" s="963"/>
      <c r="H530" s="778" t="s">
        <v>12</v>
      </c>
      <c r="I530" s="830"/>
      <c r="J530" s="830"/>
      <c r="K530" s="831"/>
      <c r="L530" s="831"/>
      <c r="M530" s="831"/>
      <c r="N530" s="1031">
        <v>0</v>
      </c>
      <c r="O530" s="831"/>
      <c r="P530" s="831"/>
      <c r="Q530" s="1244"/>
      <c r="R530" s="1244"/>
      <c r="S530" s="1244"/>
      <c r="T530" s="1244"/>
      <c r="U530" s="1244"/>
      <c r="V530" s="1244"/>
      <c r="W530" s="1244"/>
      <c r="X530" s="1244"/>
      <c r="Y530" s="1244"/>
      <c r="Z530" s="1244"/>
    </row>
    <row r="531" spans="1:26" ht="18.75" hidden="1">
      <c r="A531" s="1241"/>
      <c r="B531" s="1242"/>
      <c r="C531" s="1243"/>
      <c r="D531" s="1243"/>
      <c r="E531" s="1243"/>
      <c r="F531" s="1243" t="s">
        <v>188</v>
      </c>
      <c r="G531" s="963"/>
      <c r="H531" s="778" t="s">
        <v>12</v>
      </c>
      <c r="I531" s="830"/>
      <c r="J531" s="830"/>
      <c r="K531" s="831"/>
      <c r="L531" s="831"/>
      <c r="M531" s="831"/>
      <c r="N531" s="1031">
        <v>0</v>
      </c>
      <c r="O531" s="831"/>
      <c r="P531" s="831"/>
      <c r="Q531" s="1244"/>
      <c r="R531" s="1244"/>
      <c r="S531" s="1244"/>
      <c r="T531" s="1244"/>
      <c r="U531" s="1244"/>
      <c r="V531" s="1244"/>
      <c r="W531" s="1244"/>
      <c r="X531" s="1244"/>
      <c r="Y531" s="1244"/>
      <c r="Z531" s="1244"/>
    </row>
    <row r="532" spans="1:26" ht="18.75" hidden="1">
      <c r="A532" s="1241"/>
      <c r="B532" s="1242"/>
      <c r="C532" s="1243"/>
      <c r="D532" s="1243"/>
      <c r="E532" s="1243"/>
      <c r="F532" s="1243" t="s">
        <v>189</v>
      </c>
      <c r="G532" s="963"/>
      <c r="H532" s="778" t="s">
        <v>12</v>
      </c>
      <c r="I532" s="830"/>
      <c r="J532" s="830"/>
      <c r="K532" s="831"/>
      <c r="L532" s="831"/>
      <c r="M532" s="831"/>
      <c r="N532" s="1031">
        <v>0</v>
      </c>
      <c r="O532" s="831"/>
      <c r="P532" s="831"/>
      <c r="Q532" s="1244"/>
      <c r="R532" s="1244"/>
      <c r="S532" s="1244"/>
      <c r="T532" s="1244"/>
      <c r="U532" s="1244"/>
      <c r="V532" s="1244"/>
      <c r="W532" s="1244"/>
      <c r="X532" s="1244"/>
      <c r="Y532" s="1244"/>
      <c r="Z532" s="1244"/>
    </row>
    <row r="533" spans="1:26" ht="18.75" hidden="1">
      <c r="A533" s="1259"/>
      <c r="B533" s="1242"/>
      <c r="C533" s="1243"/>
      <c r="D533" s="1266" t="s">
        <v>21</v>
      </c>
      <c r="E533" s="1243"/>
      <c r="F533" s="1243"/>
      <c r="G533" s="963"/>
      <c r="H533" s="168" t="s">
        <v>12</v>
      </c>
      <c r="I533" s="944"/>
      <c r="J533" s="944"/>
      <c r="K533" s="945"/>
      <c r="L533" s="831">
        <f t="shared" ref="L533:N533" ca="1" si="231">L534+L535</f>
        <v>0</v>
      </c>
      <c r="M533" s="831">
        <f t="shared" si="231"/>
        <v>0</v>
      </c>
      <c r="N533" s="831">
        <f t="shared" si="231"/>
        <v>0</v>
      </c>
      <c r="O533" s="831">
        <f t="shared" ref="O533:O535" ca="1" si="232">IF(L533&gt;0,N533*100/L533,0)</f>
        <v>0</v>
      </c>
      <c r="P533" s="831">
        <f t="shared" ref="P533:P535" si="233">IF(M533&gt;0,N533*100/M533,0)</f>
        <v>0</v>
      </c>
      <c r="Q533" s="1244"/>
      <c r="R533" s="1244"/>
      <c r="S533" s="1244"/>
      <c r="T533" s="1244"/>
      <c r="U533" s="1244"/>
      <c r="V533" s="1244"/>
      <c r="W533" s="1244"/>
      <c r="X533" s="1244"/>
      <c r="Y533" s="1244"/>
      <c r="Z533" s="1244"/>
    </row>
    <row r="534" spans="1:26" ht="18.75" hidden="1">
      <c r="A534" s="1260"/>
      <c r="B534" s="1265"/>
      <c r="C534" s="1261"/>
      <c r="D534" s="1261"/>
      <c r="E534" s="1261" t="s">
        <v>18</v>
      </c>
      <c r="F534" s="1261"/>
      <c r="G534" s="1263"/>
      <c r="H534" s="165" t="s">
        <v>12</v>
      </c>
      <c r="I534" s="947"/>
      <c r="J534" s="947"/>
      <c r="K534" s="948"/>
      <c r="L534" s="837">
        <v>0</v>
      </c>
      <c r="M534" s="837">
        <v>0</v>
      </c>
      <c r="N534" s="837">
        <v>0</v>
      </c>
      <c r="O534" s="837">
        <f t="shared" si="232"/>
        <v>0</v>
      </c>
      <c r="P534" s="837">
        <f t="shared" si="233"/>
        <v>0</v>
      </c>
      <c r="Q534" s="1264"/>
      <c r="R534" s="1264"/>
      <c r="S534" s="1264"/>
      <c r="T534" s="1264"/>
      <c r="U534" s="1264"/>
      <c r="V534" s="1264"/>
      <c r="W534" s="1264"/>
      <c r="X534" s="1264"/>
      <c r="Y534" s="1264"/>
      <c r="Z534" s="1264"/>
    </row>
    <row r="535" spans="1:26" ht="18.75" hidden="1">
      <c r="A535" s="1260"/>
      <c r="B535" s="1265"/>
      <c r="C535" s="1261"/>
      <c r="D535" s="1261"/>
      <c r="E535" s="1261" t="s">
        <v>19</v>
      </c>
      <c r="F535" s="1261"/>
      <c r="G535" s="1263"/>
      <c r="H535" s="169" t="s">
        <v>12</v>
      </c>
      <c r="I535" s="947"/>
      <c r="J535" s="947"/>
      <c r="K535" s="948"/>
      <c r="L535" s="837">
        <f ca="1">IFERROR(__xludf.DUMMYFUNCTION("IMPORTRANGE(""https://docs.google.com/spreadsheets/d/1QqKyyYR6Q21VydFLVH3TRQUabQu_ym0Zz7PgGX0-kHA/edit?usp=sharing"",""แผน!GT29"")"),0)</f>
        <v>0</v>
      </c>
      <c r="M535" s="837">
        <v>0</v>
      </c>
      <c r="N535" s="837">
        <v>0</v>
      </c>
      <c r="O535" s="837">
        <f t="shared" ca="1" si="232"/>
        <v>0</v>
      </c>
      <c r="P535" s="837">
        <f t="shared" si="233"/>
        <v>0</v>
      </c>
      <c r="Q535" s="1264"/>
      <c r="R535" s="1264"/>
      <c r="S535" s="1264"/>
      <c r="T535" s="1264"/>
      <c r="U535" s="1264"/>
      <c r="V535" s="1264"/>
      <c r="W535" s="1264"/>
      <c r="X535" s="1264"/>
      <c r="Y535" s="1264"/>
      <c r="Z535" s="1264"/>
    </row>
    <row r="536" spans="1:26" ht="19.5" hidden="1">
      <c r="A536" s="1267"/>
      <c r="B536" s="1268"/>
      <c r="C536" s="1243" t="s">
        <v>16</v>
      </c>
      <c r="D536" s="1320" t="s">
        <v>38</v>
      </c>
      <c r="E536" s="1271"/>
      <c r="F536" s="1271"/>
      <c r="G536" s="1272"/>
      <c r="H536" s="954"/>
      <c r="I536" s="944"/>
      <c r="J536" s="944"/>
      <c r="K536" s="945"/>
      <c r="L536" s="945"/>
      <c r="M536" s="945"/>
      <c r="N536" s="945"/>
      <c r="O536" s="945"/>
      <c r="P536" s="945"/>
      <c r="Q536" s="1244"/>
      <c r="R536" s="1244"/>
      <c r="S536" s="1244"/>
      <c r="T536" s="1244"/>
      <c r="U536" s="1244"/>
      <c r="V536" s="1244"/>
      <c r="W536" s="1244"/>
      <c r="X536" s="1244"/>
      <c r="Y536" s="1244"/>
      <c r="Z536" s="1244"/>
    </row>
    <row r="537" spans="1:26" ht="19.5" hidden="1">
      <c r="A537" s="1241"/>
      <c r="B537" s="1242"/>
      <c r="C537" s="1243"/>
      <c r="D537" s="1243" t="s">
        <v>227</v>
      </c>
      <c r="E537" s="1243"/>
      <c r="F537" s="1243"/>
      <c r="G537" s="963"/>
      <c r="H537" s="590" t="s">
        <v>35</v>
      </c>
      <c r="I537" s="966">
        <f ca="1">IFERROR(__xludf.DUMMYFUNCTION("IMPORTRANGE(""https://docs.google.com/spreadsheets/d/1QqKyyYR6Q21VydFLVH3TRQUabQu_ym0Zz7PgGX0-kHA/edit?usp=sharing"",""แผน!GU29"")"),0)</f>
        <v>0</v>
      </c>
      <c r="J537" s="966">
        <f ca="1">IF(AND(J538=I538,J539=I539,J540=I540,J541=I541),I537,0)</f>
        <v>0</v>
      </c>
      <c r="K537" s="831">
        <f t="shared" ref="K537:K543" ca="1" si="234">IF(I537&gt;0,J537*100/I537,0)</f>
        <v>0</v>
      </c>
      <c r="L537" s="831"/>
      <c r="M537" s="831"/>
      <c r="N537" s="831"/>
      <c r="O537" s="831"/>
      <c r="P537" s="831"/>
      <c r="Q537" s="1321"/>
      <c r="R537" s="1321"/>
      <c r="S537" s="1321"/>
      <c r="T537" s="1321"/>
      <c r="U537" s="1321"/>
      <c r="V537" s="1321"/>
      <c r="W537" s="1321"/>
      <c r="X537" s="1321"/>
      <c r="Y537" s="1321"/>
      <c r="Z537" s="1321"/>
    </row>
    <row r="538" spans="1:26" ht="18.75" hidden="1">
      <c r="A538" s="1241"/>
      <c r="B538" s="1242"/>
      <c r="C538" s="1243"/>
      <c r="D538" s="1243"/>
      <c r="E538" s="1243" t="s">
        <v>228</v>
      </c>
      <c r="F538" s="1243"/>
      <c r="G538" s="963"/>
      <c r="H538" s="590" t="s">
        <v>35</v>
      </c>
      <c r="I538" s="830">
        <f ca="1">IFERROR(__xludf.DUMMYFUNCTION("IMPORTRANGE(""https://docs.google.com/spreadsheets/d/1QqKyyYR6Q21VydFLVH3TRQUabQu_ym0Zz7PgGX0-kHA/edit?usp=sharing"",""แผน!GV29"")"),0)</f>
        <v>0</v>
      </c>
      <c r="J538" s="959">
        <v>0</v>
      </c>
      <c r="K538" s="831">
        <f t="shared" ca="1" si="234"/>
        <v>0</v>
      </c>
      <c r="L538" s="831"/>
      <c r="M538" s="831"/>
      <c r="N538" s="831"/>
      <c r="O538" s="831"/>
      <c r="P538" s="831"/>
      <c r="Q538" s="1321"/>
      <c r="R538" s="1321"/>
      <c r="S538" s="1321"/>
      <c r="T538" s="1321"/>
      <c r="U538" s="1321"/>
      <c r="V538" s="1321"/>
      <c r="W538" s="1321"/>
      <c r="X538" s="1321"/>
      <c r="Y538" s="1321"/>
      <c r="Z538" s="1321"/>
    </row>
    <row r="539" spans="1:26" ht="18.75" hidden="1">
      <c r="A539" s="1241"/>
      <c r="B539" s="1242"/>
      <c r="C539" s="1243"/>
      <c r="D539" s="1243"/>
      <c r="E539" s="1243" t="s">
        <v>229</v>
      </c>
      <c r="F539" s="1243"/>
      <c r="G539" s="963"/>
      <c r="H539" s="590" t="s">
        <v>35</v>
      </c>
      <c r="I539" s="830">
        <f ca="1">IFERROR(__xludf.DUMMYFUNCTION("IMPORTRANGE(""https://docs.google.com/spreadsheets/d/1QqKyyYR6Q21VydFLVH3TRQUabQu_ym0Zz7PgGX0-kHA/edit?usp=sharing"",""แผน!GW29"")"),0)</f>
        <v>0</v>
      </c>
      <c r="J539" s="959">
        <v>0</v>
      </c>
      <c r="K539" s="831">
        <f t="shared" ca="1" si="234"/>
        <v>0</v>
      </c>
      <c r="L539" s="831"/>
      <c r="M539" s="831"/>
      <c r="N539" s="831"/>
      <c r="O539" s="831"/>
      <c r="P539" s="831"/>
      <c r="Q539" s="1321"/>
      <c r="R539" s="1321"/>
      <c r="S539" s="1321"/>
      <c r="T539" s="1321"/>
      <c r="U539" s="1321"/>
      <c r="V539" s="1321"/>
      <c r="W539" s="1321"/>
      <c r="X539" s="1321"/>
      <c r="Y539" s="1321"/>
      <c r="Z539" s="1321"/>
    </row>
    <row r="540" spans="1:26" ht="18.75" hidden="1">
      <c r="A540" s="1241"/>
      <c r="B540" s="1242"/>
      <c r="C540" s="1243"/>
      <c r="D540" s="1243"/>
      <c r="E540" s="1243" t="s">
        <v>230</v>
      </c>
      <c r="F540" s="1243"/>
      <c r="G540" s="963"/>
      <c r="H540" s="590" t="s">
        <v>35</v>
      </c>
      <c r="I540" s="830">
        <f ca="1">IFERROR(__xludf.DUMMYFUNCTION("IMPORTRANGE(""https://docs.google.com/spreadsheets/d/1QqKyyYR6Q21VydFLVH3TRQUabQu_ym0Zz7PgGX0-kHA/edit?usp=sharing"",""แผน!GX29"")"),0)</f>
        <v>0</v>
      </c>
      <c r="J540" s="959">
        <v>0</v>
      </c>
      <c r="K540" s="831">
        <f t="shared" ca="1" si="234"/>
        <v>0</v>
      </c>
      <c r="L540" s="831"/>
      <c r="M540" s="831"/>
      <c r="N540" s="831"/>
      <c r="O540" s="831"/>
      <c r="P540" s="831"/>
      <c r="Q540" s="1321"/>
      <c r="R540" s="1321"/>
      <c r="S540" s="1321"/>
      <c r="T540" s="1321"/>
      <c r="U540" s="1321"/>
      <c r="V540" s="1321"/>
      <c r="W540" s="1321"/>
      <c r="X540" s="1321"/>
      <c r="Y540" s="1321"/>
      <c r="Z540" s="1321"/>
    </row>
    <row r="541" spans="1:26" ht="18.75" hidden="1">
      <c r="A541" s="1241"/>
      <c r="B541" s="1242"/>
      <c r="C541" s="1243"/>
      <c r="D541" s="1243"/>
      <c r="E541" s="1322" t="s">
        <v>231</v>
      </c>
      <c r="F541" s="1243"/>
      <c r="G541" s="963"/>
      <c r="H541" s="590" t="s">
        <v>35</v>
      </c>
      <c r="I541" s="830">
        <f ca="1">IFERROR(__xludf.DUMMYFUNCTION("IMPORTRANGE(""https://docs.google.com/spreadsheets/d/1QqKyyYR6Q21VydFLVH3TRQUabQu_ym0Zz7PgGX0-kHA/edit?usp=sharing"",""แผน!GY29"")"),0)</f>
        <v>0</v>
      </c>
      <c r="J541" s="959">
        <v>0</v>
      </c>
      <c r="K541" s="831">
        <f t="shared" ca="1" si="234"/>
        <v>0</v>
      </c>
      <c r="L541" s="831"/>
      <c r="M541" s="831"/>
      <c r="N541" s="831"/>
      <c r="O541" s="831"/>
      <c r="P541" s="831"/>
      <c r="Q541" s="1321"/>
      <c r="R541" s="1321"/>
      <c r="S541" s="1321"/>
      <c r="T541" s="1321"/>
      <c r="U541" s="1321"/>
      <c r="V541" s="1321"/>
      <c r="W541" s="1321"/>
      <c r="X541" s="1321"/>
      <c r="Y541" s="1321"/>
      <c r="Z541" s="1321"/>
    </row>
    <row r="542" spans="1:26" ht="18.75" hidden="1">
      <c r="A542" s="1241"/>
      <c r="B542" s="1242"/>
      <c r="C542" s="1243"/>
      <c r="D542" s="1243" t="s">
        <v>59</v>
      </c>
      <c r="E542" s="1243"/>
      <c r="F542" s="1243"/>
      <c r="G542" s="963"/>
      <c r="H542" s="590" t="s">
        <v>35</v>
      </c>
      <c r="I542" s="830">
        <f ca="1">IFERROR(__xludf.DUMMYFUNCTION("IMPORTRANGE(""https://docs.google.com/spreadsheets/d/1QqKyyYR6Q21VydFLVH3TRQUabQu_ym0Zz7PgGX0-kHA/edit?usp=sharing"",""แผน!GZ29"")"),0)</f>
        <v>0</v>
      </c>
      <c r="J542" s="959">
        <v>0</v>
      </c>
      <c r="K542" s="831">
        <f t="shared" ca="1" si="234"/>
        <v>0</v>
      </c>
      <c r="L542" s="831"/>
      <c r="M542" s="831"/>
      <c r="N542" s="831"/>
      <c r="O542" s="831"/>
      <c r="P542" s="831"/>
      <c r="Q542" s="1321"/>
      <c r="R542" s="1321"/>
      <c r="S542" s="1321"/>
      <c r="T542" s="1321"/>
      <c r="U542" s="1321"/>
      <c r="V542" s="1321"/>
      <c r="W542" s="1321"/>
      <c r="X542" s="1321"/>
      <c r="Y542" s="1321"/>
      <c r="Z542" s="1321"/>
    </row>
    <row r="543" spans="1:26" ht="19.5">
      <c r="A543" s="630">
        <v>6</v>
      </c>
      <c r="B543" s="1323" t="s">
        <v>232</v>
      </c>
      <c r="C543" s="1309"/>
      <c r="D543" s="1309"/>
      <c r="E543" s="1309"/>
      <c r="F543" s="1309"/>
      <c r="G543" s="1310"/>
      <c r="H543" s="652" t="s">
        <v>46</v>
      </c>
      <c r="I543" s="1324">
        <f t="shared" ref="I543:J543" ca="1" si="235">I559</f>
        <v>60744</v>
      </c>
      <c r="J543" s="1324">
        <f t="shared" si="235"/>
        <v>0</v>
      </c>
      <c r="K543" s="1325">
        <f t="shared" ca="1" si="234"/>
        <v>0</v>
      </c>
      <c r="L543" s="1312"/>
      <c r="M543" s="1312"/>
      <c r="N543" s="1312"/>
      <c r="O543" s="1312"/>
      <c r="P543" s="1312"/>
      <c r="Q543" s="1244"/>
      <c r="R543" s="1244"/>
      <c r="S543" s="1244"/>
      <c r="T543" s="1244"/>
      <c r="U543" s="1244"/>
      <c r="V543" s="1244"/>
      <c r="W543" s="1244"/>
      <c r="X543" s="1244"/>
      <c r="Y543" s="1244"/>
      <c r="Z543" s="1244"/>
    </row>
    <row r="544" spans="1:26" ht="19.5">
      <c r="A544" s="1326"/>
      <c r="B544" s="1327"/>
      <c r="C544" s="1327" t="s">
        <v>16</v>
      </c>
      <c r="D544" s="1511" t="s">
        <v>17</v>
      </c>
      <c r="E544" s="1487"/>
      <c r="F544" s="1487"/>
      <c r="G544" s="1328"/>
      <c r="H544" s="275" t="s">
        <v>12</v>
      </c>
      <c r="I544" s="937"/>
      <c r="J544" s="937"/>
      <c r="K544" s="938"/>
      <c r="L544" s="939">
        <f t="shared" ref="L544:N544" ca="1" si="236">L545+L546</f>
        <v>368439</v>
      </c>
      <c r="M544" s="939">
        <f t="shared" si="236"/>
        <v>0</v>
      </c>
      <c r="N544" s="939">
        <f t="shared" si="236"/>
        <v>165296.5</v>
      </c>
      <c r="O544" s="939">
        <f t="shared" ref="O544:O549" ca="1" si="237">IF(L544&gt;0,N544*100/L544,0)</f>
        <v>44.864007339071051</v>
      </c>
      <c r="P544" s="939">
        <f t="shared" ref="P544:P549" si="238">IF(M544&gt;0,N544*100/M544,0)</f>
        <v>0</v>
      </c>
      <c r="Q544" s="1244"/>
      <c r="R544" s="1244"/>
      <c r="S544" s="1244"/>
      <c r="T544" s="1244"/>
      <c r="U544" s="1244"/>
      <c r="V544" s="1244"/>
      <c r="W544" s="1244"/>
      <c r="X544" s="1244"/>
      <c r="Y544" s="1244"/>
      <c r="Z544" s="1244"/>
    </row>
    <row r="545" spans="1:26" ht="18.75" hidden="1">
      <c r="A545" s="1260"/>
      <c r="B545" s="1261"/>
      <c r="C545" s="1261"/>
      <c r="D545" s="1261"/>
      <c r="E545" s="1261" t="s">
        <v>184</v>
      </c>
      <c r="F545" s="1261"/>
      <c r="G545" s="1263"/>
      <c r="H545" s="165" t="s">
        <v>12</v>
      </c>
      <c r="I545" s="836"/>
      <c r="J545" s="836"/>
      <c r="K545" s="837"/>
      <c r="L545" s="837">
        <f t="shared" ref="L545:L546" si="239">L548+L556</f>
        <v>0</v>
      </c>
      <c r="M545" s="837">
        <f t="shared" ref="M545:N546" si="240">M548+M555</f>
        <v>0</v>
      </c>
      <c r="N545" s="837">
        <f t="shared" si="240"/>
        <v>0</v>
      </c>
      <c r="O545" s="837">
        <f t="shared" si="237"/>
        <v>0</v>
      </c>
      <c r="P545" s="837">
        <f t="shared" si="238"/>
        <v>0</v>
      </c>
      <c r="Q545" s="1264"/>
      <c r="R545" s="1264"/>
      <c r="S545" s="1264"/>
      <c r="T545" s="1264"/>
      <c r="U545" s="1264"/>
      <c r="V545" s="1264"/>
      <c r="W545" s="1264"/>
      <c r="X545" s="1264"/>
      <c r="Y545" s="1264"/>
      <c r="Z545" s="1264"/>
    </row>
    <row r="546" spans="1:26" ht="18.75" hidden="1">
      <c r="A546" s="1260"/>
      <c r="B546" s="1265"/>
      <c r="C546" s="1261"/>
      <c r="D546" s="1261"/>
      <c r="E546" s="1261" t="s">
        <v>185</v>
      </c>
      <c r="F546" s="1261"/>
      <c r="G546" s="1263"/>
      <c r="H546" s="165" t="s">
        <v>12</v>
      </c>
      <c r="I546" s="836"/>
      <c r="J546" s="836"/>
      <c r="K546" s="837"/>
      <c r="L546" s="837">
        <f t="shared" ca="1" si="239"/>
        <v>368439</v>
      </c>
      <c r="M546" s="837">
        <f t="shared" si="240"/>
        <v>0</v>
      </c>
      <c r="N546" s="837">
        <f t="shared" si="240"/>
        <v>165296.5</v>
      </c>
      <c r="O546" s="837">
        <f t="shared" ca="1" si="237"/>
        <v>44.864007339071051</v>
      </c>
      <c r="P546" s="837">
        <f t="shared" si="238"/>
        <v>0</v>
      </c>
      <c r="Q546" s="1264"/>
      <c r="R546" s="1264"/>
      <c r="S546" s="1264"/>
      <c r="T546" s="1264"/>
      <c r="U546" s="1264"/>
      <c r="V546" s="1264"/>
      <c r="W546" s="1264"/>
      <c r="X546" s="1264"/>
      <c r="Y546" s="1264"/>
      <c r="Z546" s="1264"/>
    </row>
    <row r="547" spans="1:26" ht="18.75">
      <c r="A547" s="1259"/>
      <c r="B547" s="1242"/>
      <c r="C547" s="1243"/>
      <c r="D547" s="1266" t="s">
        <v>20</v>
      </c>
      <c r="E547" s="1243"/>
      <c r="F547" s="1243"/>
      <c r="G547" s="963"/>
      <c r="H547" s="778" t="s">
        <v>12</v>
      </c>
      <c r="I547" s="944"/>
      <c r="J547" s="944"/>
      <c r="K547" s="945"/>
      <c r="L547" s="831">
        <f t="shared" ref="L547:N547" ca="1" si="241">L548+L549</f>
        <v>368439</v>
      </c>
      <c r="M547" s="831">
        <f t="shared" si="241"/>
        <v>0</v>
      </c>
      <c r="N547" s="831">
        <f t="shared" si="241"/>
        <v>165296.5</v>
      </c>
      <c r="O547" s="831">
        <f t="shared" ca="1" si="237"/>
        <v>44.864007339071051</v>
      </c>
      <c r="P547" s="831">
        <f t="shared" si="238"/>
        <v>0</v>
      </c>
      <c r="Q547" s="1244"/>
      <c r="R547" s="1244"/>
      <c r="S547" s="1244"/>
      <c r="T547" s="1244"/>
      <c r="U547" s="1244"/>
      <c r="V547" s="1244"/>
      <c r="W547" s="1244"/>
      <c r="X547" s="1244"/>
      <c r="Y547" s="1244"/>
      <c r="Z547" s="1244"/>
    </row>
    <row r="548" spans="1:26" ht="18.75" hidden="1">
      <c r="A548" s="1260"/>
      <c r="B548" s="1265"/>
      <c r="C548" s="1261"/>
      <c r="D548" s="1262"/>
      <c r="E548" s="1261" t="s">
        <v>184</v>
      </c>
      <c r="F548" s="1261"/>
      <c r="G548" s="1263"/>
      <c r="H548" s="165" t="s">
        <v>12</v>
      </c>
      <c r="I548" s="836"/>
      <c r="J548" s="836"/>
      <c r="K548" s="837"/>
      <c r="L548" s="837">
        <v>0</v>
      </c>
      <c r="M548" s="837">
        <v>0</v>
      </c>
      <c r="N548" s="837">
        <v>0</v>
      </c>
      <c r="O548" s="837">
        <f t="shared" si="237"/>
        <v>0</v>
      </c>
      <c r="P548" s="837">
        <f t="shared" si="238"/>
        <v>0</v>
      </c>
      <c r="Q548" s="1264"/>
      <c r="R548" s="1264"/>
      <c r="S548" s="1264"/>
      <c r="T548" s="1264"/>
      <c r="U548" s="1264"/>
      <c r="V548" s="1264"/>
      <c r="W548" s="1264"/>
      <c r="X548" s="1264"/>
      <c r="Y548" s="1264"/>
      <c r="Z548" s="1264"/>
    </row>
    <row r="549" spans="1:26" ht="18.75" hidden="1">
      <c r="A549" s="1260"/>
      <c r="B549" s="1265"/>
      <c r="C549" s="1261"/>
      <c r="D549" s="1262"/>
      <c r="E549" s="1261" t="s">
        <v>185</v>
      </c>
      <c r="F549" s="1261"/>
      <c r="G549" s="1263"/>
      <c r="H549" s="165" t="s">
        <v>12</v>
      </c>
      <c r="I549" s="836"/>
      <c r="J549" s="836"/>
      <c r="K549" s="837"/>
      <c r="L549" s="837">
        <f ca="1">IFERROR(__xludf.DUMMYFUNCTION("IMPORTRANGE(""https://docs.google.com/spreadsheets/d/1QqKyyYR6Q21VydFLVH3TRQUabQu_ym0Zz7PgGX0-kHA/edit?usp=sharing"",""แผน!HB29"")"),368439)</f>
        <v>368439</v>
      </c>
      <c r="M549" s="837">
        <v>0</v>
      </c>
      <c r="N549" s="837">
        <f>N550+N551+N552+N553+N554</f>
        <v>165296.5</v>
      </c>
      <c r="O549" s="837">
        <f t="shared" ca="1" si="237"/>
        <v>44.864007339071051</v>
      </c>
      <c r="P549" s="837">
        <f t="shared" si="238"/>
        <v>0</v>
      </c>
      <c r="Q549" s="1264"/>
      <c r="R549" s="1264"/>
      <c r="S549" s="1264"/>
      <c r="T549" s="1264"/>
      <c r="U549" s="1264"/>
      <c r="V549" s="1264"/>
      <c r="W549" s="1264"/>
      <c r="X549" s="1264"/>
      <c r="Y549" s="1264"/>
      <c r="Z549" s="1264"/>
    </row>
    <row r="550" spans="1:26" ht="18.75">
      <c r="A550" s="1241"/>
      <c r="B550" s="1242"/>
      <c r="C550" s="1243"/>
      <c r="D550" s="1243"/>
      <c r="E550" s="1243"/>
      <c r="F550" s="1243" t="s">
        <v>186</v>
      </c>
      <c r="G550" s="963"/>
      <c r="H550" s="778" t="s">
        <v>12</v>
      </c>
      <c r="I550" s="830"/>
      <c r="J550" s="830"/>
      <c r="K550" s="831"/>
      <c r="L550" s="831"/>
      <c r="M550" s="831"/>
      <c r="N550" s="1031">
        <v>0</v>
      </c>
      <c r="O550" s="831"/>
      <c r="P550" s="831"/>
      <c r="Q550" s="1244"/>
      <c r="R550" s="1244"/>
      <c r="S550" s="1244"/>
      <c r="T550" s="1244"/>
      <c r="U550" s="1244"/>
      <c r="V550" s="1244"/>
      <c r="W550" s="1244"/>
      <c r="X550" s="1244"/>
      <c r="Y550" s="1244"/>
      <c r="Z550" s="1244"/>
    </row>
    <row r="551" spans="1:26" ht="18.75">
      <c r="A551" s="1241"/>
      <c r="B551" s="1242"/>
      <c r="C551" s="1242"/>
      <c r="D551" s="1242"/>
      <c r="E551" s="1243"/>
      <c r="F551" s="1243" t="s">
        <v>187</v>
      </c>
      <c r="G551" s="963"/>
      <c r="H551" s="778" t="s">
        <v>12</v>
      </c>
      <c r="I551" s="830"/>
      <c r="J551" s="830"/>
      <c r="K551" s="831"/>
      <c r="L551" s="831"/>
      <c r="M551" s="831"/>
      <c r="N551" s="1031">
        <v>0</v>
      </c>
      <c r="O551" s="831"/>
      <c r="P551" s="831"/>
      <c r="Q551" s="1244"/>
      <c r="R551" s="1244"/>
      <c r="S551" s="1244"/>
      <c r="T551" s="1244"/>
      <c r="U551" s="1244"/>
      <c r="V551" s="1244"/>
      <c r="W551" s="1244"/>
      <c r="X551" s="1244"/>
      <c r="Y551" s="1244"/>
      <c r="Z551" s="1244"/>
    </row>
    <row r="552" spans="1:26" ht="18.75">
      <c r="A552" s="1241"/>
      <c r="B552" s="1242"/>
      <c r="C552" s="1243"/>
      <c r="D552" s="1243"/>
      <c r="E552" s="1243"/>
      <c r="F552" s="1243" t="s">
        <v>188</v>
      </c>
      <c r="G552" s="963"/>
      <c r="H552" s="778" t="s">
        <v>12</v>
      </c>
      <c r="I552" s="830"/>
      <c r="J552" s="830"/>
      <c r="K552" s="831"/>
      <c r="L552" s="831"/>
      <c r="M552" s="831"/>
      <c r="N552" s="1031">
        <v>50728</v>
      </c>
      <c r="O552" s="831"/>
      <c r="P552" s="831"/>
      <c r="Q552" s="1244"/>
      <c r="R552" s="1244"/>
      <c r="S552" s="1244"/>
      <c r="T552" s="1244"/>
      <c r="U552" s="1244"/>
      <c r="V552" s="1244"/>
      <c r="W552" s="1244"/>
      <c r="X552" s="1244"/>
      <c r="Y552" s="1244"/>
      <c r="Z552" s="1244"/>
    </row>
    <row r="553" spans="1:26" ht="18.75">
      <c r="A553" s="1241"/>
      <c r="B553" s="1242"/>
      <c r="C553" s="1242"/>
      <c r="D553" s="1242"/>
      <c r="E553" s="1243"/>
      <c r="F553" s="1243" t="s">
        <v>189</v>
      </c>
      <c r="G553" s="963"/>
      <c r="H553" s="778" t="s">
        <v>12</v>
      </c>
      <c r="I553" s="830"/>
      <c r="J553" s="830"/>
      <c r="K553" s="831"/>
      <c r="L553" s="831"/>
      <c r="M553" s="831"/>
      <c r="N553" s="1031">
        <v>114568.5</v>
      </c>
      <c r="O553" s="831"/>
      <c r="P553" s="831"/>
      <c r="Q553" s="1244"/>
      <c r="R553" s="1244"/>
      <c r="S553" s="1244"/>
      <c r="T553" s="1244"/>
      <c r="U553" s="1244"/>
      <c r="V553" s="1244"/>
      <c r="W553" s="1244"/>
      <c r="X553" s="1244"/>
      <c r="Y553" s="1244"/>
      <c r="Z553" s="1244"/>
    </row>
    <row r="554" spans="1:26" ht="18.75">
      <c r="A554" s="1241"/>
      <c r="B554" s="1242"/>
      <c r="C554" s="1242"/>
      <c r="D554" s="1242"/>
      <c r="E554" s="1243"/>
      <c r="F554" s="1243" t="s">
        <v>233</v>
      </c>
      <c r="G554" s="963"/>
      <c r="H554" s="778" t="s">
        <v>12</v>
      </c>
      <c r="I554" s="830"/>
      <c r="J554" s="830"/>
      <c r="K554" s="831"/>
      <c r="L554" s="831"/>
      <c r="M554" s="831"/>
      <c r="N554" s="1031">
        <v>0</v>
      </c>
      <c r="O554" s="831"/>
      <c r="P554" s="831"/>
      <c r="Q554" s="1244"/>
      <c r="R554" s="1244"/>
      <c r="S554" s="1244"/>
      <c r="T554" s="1244"/>
      <c r="U554" s="1244"/>
      <c r="V554" s="1244"/>
      <c r="W554" s="1244"/>
      <c r="X554" s="1244"/>
      <c r="Y554" s="1244"/>
      <c r="Z554" s="1244"/>
    </row>
    <row r="555" spans="1:26" ht="18.75">
      <c r="A555" s="1259"/>
      <c r="B555" s="1242"/>
      <c r="C555" s="1242"/>
      <c r="D555" s="1266" t="s">
        <v>21</v>
      </c>
      <c r="E555" s="1243"/>
      <c r="F555" s="1243"/>
      <c r="G555" s="963"/>
      <c r="H555" s="168" t="s">
        <v>12</v>
      </c>
      <c r="I555" s="944"/>
      <c r="J555" s="944"/>
      <c r="K555" s="945"/>
      <c r="L555" s="831">
        <f t="shared" ref="L555:N555" ca="1" si="242">L556+L557</f>
        <v>0</v>
      </c>
      <c r="M555" s="831">
        <f t="shared" si="242"/>
        <v>0</v>
      </c>
      <c r="N555" s="831">
        <f t="shared" si="242"/>
        <v>0</v>
      </c>
      <c r="O555" s="831">
        <f t="shared" ref="O555:O557" ca="1" si="243">IF(L555&gt;0,N555*100/L555,0)</f>
        <v>0</v>
      </c>
      <c r="P555" s="831">
        <f t="shared" ref="P555:P557" si="244">IF(M555&gt;0,N555*100/M555,0)</f>
        <v>0</v>
      </c>
      <c r="Q555" s="1244"/>
      <c r="R555" s="1244"/>
      <c r="S555" s="1244"/>
      <c r="T555" s="1244"/>
      <c r="U555" s="1244"/>
      <c r="V555" s="1244"/>
      <c r="W555" s="1244"/>
      <c r="X555" s="1244"/>
      <c r="Y555" s="1244"/>
      <c r="Z555" s="1244"/>
    </row>
    <row r="556" spans="1:26" ht="18.75" hidden="1">
      <c r="A556" s="1260"/>
      <c r="B556" s="1265"/>
      <c r="C556" s="1265"/>
      <c r="D556" s="1261"/>
      <c r="E556" s="1261" t="s">
        <v>18</v>
      </c>
      <c r="F556" s="1261"/>
      <c r="G556" s="1263"/>
      <c r="H556" s="165" t="s">
        <v>12</v>
      </c>
      <c r="I556" s="947"/>
      <c r="J556" s="947"/>
      <c r="K556" s="948"/>
      <c r="L556" s="837">
        <v>0</v>
      </c>
      <c r="M556" s="837">
        <v>0</v>
      </c>
      <c r="N556" s="837">
        <v>0</v>
      </c>
      <c r="O556" s="837">
        <f t="shared" si="243"/>
        <v>0</v>
      </c>
      <c r="P556" s="837">
        <f t="shared" si="244"/>
        <v>0</v>
      </c>
      <c r="Q556" s="1264"/>
      <c r="R556" s="1264"/>
      <c r="S556" s="1264"/>
      <c r="T556" s="1264"/>
      <c r="U556" s="1264"/>
      <c r="V556" s="1264"/>
      <c r="W556" s="1264"/>
      <c r="X556" s="1264"/>
      <c r="Y556" s="1264"/>
      <c r="Z556" s="1264"/>
    </row>
    <row r="557" spans="1:26" ht="18.75" hidden="1">
      <c r="A557" s="1260"/>
      <c r="B557" s="1265"/>
      <c r="C557" s="1265"/>
      <c r="D557" s="1261"/>
      <c r="E557" s="1261" t="s">
        <v>19</v>
      </c>
      <c r="F557" s="1261"/>
      <c r="G557" s="1263"/>
      <c r="H557" s="169" t="s">
        <v>12</v>
      </c>
      <c r="I557" s="947"/>
      <c r="J557" s="947"/>
      <c r="K557" s="948"/>
      <c r="L557" s="837">
        <f ca="1">IFERROR(__xludf.DUMMYFUNCTION("IMPORTRANGE(""https://docs.google.com/spreadsheets/d/1QqKyyYR6Q21VydFLVH3TRQUabQu_ym0Zz7PgGX0-kHA/edit?usp=sharing"",""แผน!HF29"")"),0)</f>
        <v>0</v>
      </c>
      <c r="M557" s="837">
        <v>0</v>
      </c>
      <c r="N557" s="837">
        <v>0</v>
      </c>
      <c r="O557" s="837">
        <f t="shared" ca="1" si="243"/>
        <v>0</v>
      </c>
      <c r="P557" s="837">
        <f t="shared" si="244"/>
        <v>0</v>
      </c>
      <c r="Q557" s="1264"/>
      <c r="R557" s="1264"/>
      <c r="S557" s="1264"/>
      <c r="T557" s="1264"/>
      <c r="U557" s="1264"/>
      <c r="V557" s="1264"/>
      <c r="W557" s="1264"/>
      <c r="X557" s="1264"/>
      <c r="Y557" s="1264"/>
      <c r="Z557" s="1264"/>
    </row>
    <row r="558" spans="1:26" ht="19.5">
      <c r="A558" s="1267"/>
      <c r="B558" s="1268"/>
      <c r="C558" s="1242" t="s">
        <v>16</v>
      </c>
      <c r="D558" s="1320" t="s">
        <v>38</v>
      </c>
      <c r="E558" s="1271"/>
      <c r="F558" s="1271"/>
      <c r="G558" s="1272"/>
      <c r="H558" s="954"/>
      <c r="I558" s="944"/>
      <c r="J558" s="944"/>
      <c r="K558" s="945"/>
      <c r="L558" s="945"/>
      <c r="M558" s="945"/>
      <c r="N558" s="945"/>
      <c r="O558" s="945"/>
      <c r="P558" s="945"/>
      <c r="Q558" s="1244"/>
      <c r="R558" s="1244"/>
      <c r="S558" s="1244"/>
      <c r="T558" s="1244"/>
      <c r="U558" s="1244"/>
      <c r="V558" s="1244"/>
      <c r="W558" s="1244"/>
      <c r="X558" s="1244"/>
      <c r="Y558" s="1244"/>
      <c r="Z558" s="1244"/>
    </row>
    <row r="559" spans="1:26" ht="19.5">
      <c r="A559" s="1329"/>
      <c r="B559" s="1330" t="s">
        <v>234</v>
      </c>
      <c r="C559" s="1331"/>
      <c r="D559" s="1331"/>
      <c r="E559" s="1315"/>
      <c r="F559" s="1315"/>
      <c r="G559" s="1316"/>
      <c r="H559" s="661" t="s">
        <v>46</v>
      </c>
      <c r="I559" s="1317">
        <f t="shared" ref="I559:J559" ca="1" si="245">I576</f>
        <v>60744</v>
      </c>
      <c r="J559" s="1317">
        <f t="shared" si="245"/>
        <v>0</v>
      </c>
      <c r="K559" s="1318">
        <f t="shared" ref="K559:K561" ca="1" si="246">IF(I559&gt;0,J559*100/I559,0)</f>
        <v>0</v>
      </c>
      <c r="L559" s="1319"/>
      <c r="M559" s="1319"/>
      <c r="N559" s="1319"/>
      <c r="O559" s="1319"/>
      <c r="P559" s="1319"/>
      <c r="Q559" s="1244"/>
      <c r="R559" s="1244"/>
      <c r="S559" s="1244"/>
      <c r="T559" s="1244"/>
      <c r="U559" s="1244"/>
      <c r="V559" s="1244"/>
      <c r="W559" s="1244"/>
      <c r="X559" s="1244"/>
      <c r="Y559" s="1244"/>
      <c r="Z559" s="1244"/>
    </row>
    <row r="560" spans="1:26" ht="19.5">
      <c r="A560" s="1267"/>
      <c r="B560" s="1268"/>
      <c r="C560" s="1277" t="s">
        <v>235</v>
      </c>
      <c r="D560" s="1268"/>
      <c r="E560" s="961"/>
      <c r="F560" s="961"/>
      <c r="G560" s="954"/>
      <c r="H560" s="733" t="s">
        <v>46</v>
      </c>
      <c r="I560" s="965">
        <f ca="1">IFERROR(__xludf.DUMMYFUNCTION("IMPORTRANGE(""https://docs.google.com/spreadsheets/d/1QqKyyYR6Q21VydFLVH3TRQUabQu_ym0Zz7PgGX0-kHA/edit?usp=sharing"",""แผน!HH29"")"),60744)</f>
        <v>60744</v>
      </c>
      <c r="J560" s="965">
        <f t="shared" ref="J560:J561" si="247">J562+J564+J566</f>
        <v>60744</v>
      </c>
      <c r="K560" s="1109">
        <f t="shared" ca="1" si="246"/>
        <v>100</v>
      </c>
      <c r="L560" s="945"/>
      <c r="M560" s="945"/>
      <c r="N560" s="945"/>
      <c r="O560" s="945"/>
      <c r="P560" s="945"/>
      <c r="Q560" s="1244"/>
      <c r="R560" s="1244"/>
      <c r="S560" s="1244"/>
      <c r="T560" s="1244"/>
      <c r="U560" s="1244"/>
      <c r="V560" s="1244"/>
      <c r="W560" s="1244"/>
      <c r="X560" s="1244"/>
      <c r="Y560" s="1244"/>
      <c r="Z560" s="1244"/>
    </row>
    <row r="561" spans="1:26" ht="19.5">
      <c r="A561" s="1267"/>
      <c r="B561" s="1268"/>
      <c r="C561" s="1268"/>
      <c r="D561" s="961"/>
      <c r="E561" s="961"/>
      <c r="F561" s="961"/>
      <c r="G561" s="954"/>
      <c r="H561" s="733" t="s">
        <v>34</v>
      </c>
      <c r="I561" s="965">
        <f ca="1">IFERROR(__xludf.DUMMYFUNCTION("IMPORTRANGE(""https://docs.google.com/spreadsheets/d/1QqKyyYR6Q21VydFLVH3TRQUabQu_ym0Zz7PgGX0-kHA/edit?usp=sharing"",""แผน!HG29"")"),8156)</f>
        <v>8156</v>
      </c>
      <c r="J561" s="965">
        <f t="shared" si="247"/>
        <v>8156</v>
      </c>
      <c r="K561" s="1109">
        <f t="shared" ca="1" si="246"/>
        <v>100</v>
      </c>
      <c r="L561" s="945"/>
      <c r="M561" s="945"/>
      <c r="N561" s="945"/>
      <c r="O561" s="945"/>
      <c r="P561" s="945"/>
      <c r="Q561" s="1244"/>
      <c r="R561" s="1244"/>
      <c r="S561" s="1244"/>
      <c r="T561" s="1244"/>
      <c r="U561" s="1244"/>
      <c r="V561" s="1244"/>
      <c r="W561" s="1244"/>
      <c r="X561" s="1244"/>
      <c r="Y561" s="1244"/>
      <c r="Z561" s="1244"/>
    </row>
    <row r="562" spans="1:26" ht="18.75">
      <c r="A562" s="1267"/>
      <c r="B562" s="1268"/>
      <c r="C562" s="1268"/>
      <c r="D562" s="961" t="s">
        <v>236</v>
      </c>
      <c r="E562" s="961"/>
      <c r="F562" s="961"/>
      <c r="G562" s="954"/>
      <c r="H562" s="730" t="s">
        <v>46</v>
      </c>
      <c r="I562" s="944"/>
      <c r="J562" s="959">
        <v>59060</v>
      </c>
      <c r="K562" s="945"/>
      <c r="L562" s="945"/>
      <c r="M562" s="945"/>
      <c r="N562" s="945"/>
      <c r="O562" s="945"/>
      <c r="P562" s="945"/>
      <c r="Q562" s="1244"/>
      <c r="R562" s="1244"/>
      <c r="S562" s="1244"/>
      <c r="T562" s="1244"/>
      <c r="U562" s="1244"/>
      <c r="V562" s="1244"/>
      <c r="W562" s="1244"/>
      <c r="X562" s="1244"/>
      <c r="Y562" s="1244"/>
      <c r="Z562" s="1244"/>
    </row>
    <row r="563" spans="1:26" ht="18.75">
      <c r="A563" s="1267"/>
      <c r="B563" s="1268"/>
      <c r="C563" s="1268"/>
      <c r="D563" s="1268"/>
      <c r="E563" s="961"/>
      <c r="F563" s="961"/>
      <c r="G563" s="954"/>
      <c r="H563" s="730" t="s">
        <v>34</v>
      </c>
      <c r="I563" s="944"/>
      <c r="J563" s="959">
        <v>7939</v>
      </c>
      <c r="K563" s="945"/>
      <c r="L563" s="945"/>
      <c r="M563" s="945"/>
      <c r="N563" s="945"/>
      <c r="O563" s="945"/>
      <c r="P563" s="945"/>
      <c r="Q563" s="1244"/>
      <c r="R563" s="1244"/>
      <c r="S563" s="1244"/>
      <c r="T563" s="1244"/>
      <c r="U563" s="1244"/>
      <c r="V563" s="1244"/>
      <c r="W563" s="1244"/>
      <c r="X563" s="1244"/>
      <c r="Y563" s="1244"/>
      <c r="Z563" s="1244"/>
    </row>
    <row r="564" spans="1:26" ht="18.75">
      <c r="A564" s="1267"/>
      <c r="B564" s="1268"/>
      <c r="C564" s="1268"/>
      <c r="D564" s="961" t="s">
        <v>237</v>
      </c>
      <c r="E564" s="961"/>
      <c r="F564" s="961"/>
      <c r="G564" s="954"/>
      <c r="H564" s="730" t="s">
        <v>46</v>
      </c>
      <c r="I564" s="944"/>
      <c r="J564" s="959">
        <v>543</v>
      </c>
      <c r="K564" s="945"/>
      <c r="L564" s="945"/>
      <c r="M564" s="945"/>
      <c r="N564" s="945"/>
      <c r="O564" s="945"/>
      <c r="P564" s="945"/>
      <c r="Q564" s="1244"/>
      <c r="R564" s="1244"/>
      <c r="S564" s="1244"/>
      <c r="T564" s="1244"/>
      <c r="U564" s="1244"/>
      <c r="V564" s="1244"/>
      <c r="W564" s="1244"/>
      <c r="X564" s="1244"/>
      <c r="Y564" s="1244"/>
      <c r="Z564" s="1244"/>
    </row>
    <row r="565" spans="1:26" ht="18.75">
      <c r="A565" s="1267"/>
      <c r="B565" s="1268"/>
      <c r="C565" s="1268"/>
      <c r="D565" s="961"/>
      <c r="E565" s="961"/>
      <c r="F565" s="961"/>
      <c r="G565" s="954"/>
      <c r="H565" s="730" t="s">
        <v>34</v>
      </c>
      <c r="I565" s="944"/>
      <c r="J565" s="959">
        <v>67</v>
      </c>
      <c r="K565" s="945"/>
      <c r="L565" s="945"/>
      <c r="M565" s="945"/>
      <c r="N565" s="945"/>
      <c r="O565" s="945"/>
      <c r="P565" s="945"/>
      <c r="Q565" s="1244"/>
      <c r="R565" s="1244"/>
      <c r="S565" s="1244"/>
      <c r="T565" s="1244"/>
      <c r="U565" s="1244"/>
      <c r="V565" s="1244"/>
      <c r="W565" s="1244"/>
      <c r="X565" s="1244"/>
      <c r="Y565" s="1244"/>
      <c r="Z565" s="1244"/>
    </row>
    <row r="566" spans="1:26" ht="18.75">
      <c r="A566" s="1267"/>
      <c r="B566" s="1268"/>
      <c r="C566" s="1268"/>
      <c r="D566" s="961" t="s">
        <v>238</v>
      </c>
      <c r="E566" s="961"/>
      <c r="F566" s="961"/>
      <c r="G566" s="954"/>
      <c r="H566" s="730" t="s">
        <v>46</v>
      </c>
      <c r="I566" s="944"/>
      <c r="J566" s="959">
        <v>1141</v>
      </c>
      <c r="K566" s="945"/>
      <c r="L566" s="945"/>
      <c r="M566" s="945"/>
      <c r="N566" s="945"/>
      <c r="O566" s="945"/>
      <c r="P566" s="945"/>
      <c r="Q566" s="1244"/>
      <c r="R566" s="1244"/>
      <c r="S566" s="1244"/>
      <c r="T566" s="1244"/>
      <c r="U566" s="1244"/>
      <c r="V566" s="1244"/>
      <c r="W566" s="1244"/>
      <c r="X566" s="1244"/>
      <c r="Y566" s="1244"/>
      <c r="Z566" s="1244"/>
    </row>
    <row r="567" spans="1:26" ht="18.75">
      <c r="A567" s="1267"/>
      <c r="B567" s="1268"/>
      <c r="C567" s="1268"/>
      <c r="D567" s="961"/>
      <c r="E567" s="961"/>
      <c r="F567" s="961"/>
      <c r="G567" s="954"/>
      <c r="H567" s="730" t="s">
        <v>34</v>
      </c>
      <c r="I567" s="944"/>
      <c r="J567" s="959">
        <v>150</v>
      </c>
      <c r="K567" s="945"/>
      <c r="L567" s="945"/>
      <c r="M567" s="945"/>
      <c r="N567" s="945"/>
      <c r="O567" s="945"/>
      <c r="P567" s="945"/>
      <c r="Q567" s="1244"/>
      <c r="R567" s="1244"/>
      <c r="S567" s="1244"/>
      <c r="T567" s="1244"/>
      <c r="U567" s="1244"/>
      <c r="V567" s="1244"/>
      <c r="W567" s="1244"/>
      <c r="X567" s="1244"/>
      <c r="Y567" s="1244"/>
      <c r="Z567" s="1244"/>
    </row>
    <row r="568" spans="1:26" ht="19.5">
      <c r="A568" s="1267"/>
      <c r="B568" s="1268"/>
      <c r="C568" s="1277" t="s">
        <v>239</v>
      </c>
      <c r="D568" s="961"/>
      <c r="E568" s="961"/>
      <c r="F568" s="961"/>
      <c r="G568" s="954"/>
      <c r="H568" s="733" t="s">
        <v>46</v>
      </c>
      <c r="I568" s="965">
        <f ca="1">IFERROR(__xludf.DUMMYFUNCTION("IMPORTRANGE(""https://docs.google.com/spreadsheets/d/1QqKyyYR6Q21VydFLVH3TRQUabQu_ym0Zz7PgGX0-kHA/edit?usp=sharing"",""แผน!HH29"")"),60744)</f>
        <v>60744</v>
      </c>
      <c r="J568" s="966">
        <f t="shared" ref="J568:J569" si="248">J570+J572+J574</f>
        <v>25969</v>
      </c>
      <c r="K568" s="1109">
        <f t="shared" ref="K568:K569" ca="1" si="249">IF(I568&gt;0,J568*100/I568,0)</f>
        <v>42.751547477940207</v>
      </c>
      <c r="L568" s="945"/>
      <c r="M568" s="945"/>
      <c r="N568" s="945"/>
      <c r="O568" s="945"/>
      <c r="P568" s="945"/>
      <c r="Q568" s="1244"/>
      <c r="R568" s="1244"/>
      <c r="S568" s="1244"/>
      <c r="T568" s="1244"/>
      <c r="U568" s="1244"/>
      <c r="V568" s="1244"/>
      <c r="W568" s="1244"/>
      <c r="X568" s="1244"/>
      <c r="Y568" s="1244"/>
      <c r="Z568" s="1244"/>
    </row>
    <row r="569" spans="1:26" ht="19.5">
      <c r="A569" s="1267"/>
      <c r="B569" s="1268"/>
      <c r="C569" s="1268"/>
      <c r="D569" s="1268"/>
      <c r="E569" s="961"/>
      <c r="F569" s="961"/>
      <c r="G569" s="954"/>
      <c r="H569" s="733" t="s">
        <v>34</v>
      </c>
      <c r="I569" s="965">
        <f ca="1">IFERROR(__xludf.DUMMYFUNCTION("IMPORTRANGE(""https://docs.google.com/spreadsheets/d/1QqKyyYR6Q21VydFLVH3TRQUabQu_ym0Zz7PgGX0-kHA/edit?usp=sharing"",""แผน!HG29"")"),8156)</f>
        <v>8156</v>
      </c>
      <c r="J569" s="966">
        <f t="shared" si="248"/>
        <v>3089</v>
      </c>
      <c r="K569" s="1109">
        <f t="shared" ca="1" si="249"/>
        <v>37.873957822461989</v>
      </c>
      <c r="L569" s="945"/>
      <c r="M569" s="945"/>
      <c r="N569" s="945"/>
      <c r="O569" s="945"/>
      <c r="P569" s="945"/>
      <c r="Q569" s="1244"/>
      <c r="R569" s="1244"/>
      <c r="S569" s="1244"/>
      <c r="T569" s="1244"/>
      <c r="U569" s="1244"/>
      <c r="V569" s="1244"/>
      <c r="W569" s="1244"/>
      <c r="X569" s="1244"/>
      <c r="Y569" s="1244"/>
      <c r="Z569" s="1244"/>
    </row>
    <row r="570" spans="1:26" ht="18.75">
      <c r="A570" s="1267"/>
      <c r="B570" s="1268"/>
      <c r="C570" s="1268"/>
      <c r="D570" s="961" t="s">
        <v>240</v>
      </c>
      <c r="E570" s="1268"/>
      <c r="F570" s="961"/>
      <c r="G570" s="954"/>
      <c r="H570" s="730" t="s">
        <v>46</v>
      </c>
      <c r="I570" s="944"/>
      <c r="J570" s="959">
        <v>25260</v>
      </c>
      <c r="K570" s="945"/>
      <c r="L570" s="945"/>
      <c r="M570" s="945"/>
      <c r="N570" s="945"/>
      <c r="O570" s="945"/>
      <c r="P570" s="945"/>
      <c r="Q570" s="1244"/>
      <c r="R570" s="1244"/>
      <c r="S570" s="1244"/>
      <c r="T570" s="1244"/>
      <c r="U570" s="1244"/>
      <c r="V570" s="1244"/>
      <c r="W570" s="1244"/>
      <c r="X570" s="1244"/>
      <c r="Y570" s="1244"/>
      <c r="Z570" s="1244"/>
    </row>
    <row r="571" spans="1:26" ht="18.75">
      <c r="A571" s="1267"/>
      <c r="B571" s="1268"/>
      <c r="C571" s="1268"/>
      <c r="D571" s="1268"/>
      <c r="E571" s="961"/>
      <c r="F571" s="961"/>
      <c r="G571" s="954"/>
      <c r="H571" s="730" t="s">
        <v>34</v>
      </c>
      <c r="I571" s="944"/>
      <c r="J571" s="959">
        <v>3009</v>
      </c>
      <c r="K571" s="945"/>
      <c r="L571" s="945"/>
      <c r="M571" s="945"/>
      <c r="N571" s="945"/>
      <c r="O571" s="945"/>
      <c r="P571" s="945"/>
      <c r="Q571" s="1244"/>
      <c r="R571" s="1244"/>
      <c r="S571" s="1244"/>
      <c r="T571" s="1244"/>
      <c r="U571" s="1244"/>
      <c r="V571" s="1244"/>
      <c r="W571" s="1244"/>
      <c r="X571" s="1244"/>
      <c r="Y571" s="1244"/>
      <c r="Z571" s="1244"/>
    </row>
    <row r="572" spans="1:26" ht="18.75">
      <c r="A572" s="1267"/>
      <c r="B572" s="1268"/>
      <c r="C572" s="1268"/>
      <c r="D572" s="961" t="s">
        <v>241</v>
      </c>
      <c r="E572" s="961"/>
      <c r="F572" s="961"/>
      <c r="G572" s="954"/>
      <c r="H572" s="730" t="s">
        <v>46</v>
      </c>
      <c r="I572" s="944"/>
      <c r="J572" s="959">
        <v>253</v>
      </c>
      <c r="K572" s="945"/>
      <c r="L572" s="945"/>
      <c r="M572" s="945"/>
      <c r="N572" s="945"/>
      <c r="O572" s="945"/>
      <c r="P572" s="945"/>
      <c r="Q572" s="1244"/>
      <c r="R572" s="1244"/>
      <c r="S572" s="1244"/>
      <c r="T572" s="1244"/>
      <c r="U572" s="1244"/>
      <c r="V572" s="1244"/>
      <c r="W572" s="1244"/>
      <c r="X572" s="1244"/>
      <c r="Y572" s="1244"/>
      <c r="Z572" s="1244"/>
    </row>
    <row r="573" spans="1:26" ht="18.75">
      <c r="A573" s="1267"/>
      <c r="B573" s="1268"/>
      <c r="C573" s="1268"/>
      <c r="D573" s="961"/>
      <c r="E573" s="961"/>
      <c r="F573" s="961"/>
      <c r="G573" s="954"/>
      <c r="H573" s="730" t="s">
        <v>34</v>
      </c>
      <c r="I573" s="944"/>
      <c r="J573" s="959">
        <v>29</v>
      </c>
      <c r="K573" s="945"/>
      <c r="L573" s="945"/>
      <c r="M573" s="945"/>
      <c r="N573" s="945"/>
      <c r="O573" s="945"/>
      <c r="P573" s="945"/>
      <c r="Q573" s="1244"/>
      <c r="R573" s="1244"/>
      <c r="S573" s="1244"/>
      <c r="T573" s="1244"/>
      <c r="U573" s="1244"/>
      <c r="V573" s="1244"/>
      <c r="W573" s="1244"/>
      <c r="X573" s="1244"/>
      <c r="Y573" s="1244"/>
      <c r="Z573" s="1244"/>
    </row>
    <row r="574" spans="1:26" ht="18.75">
      <c r="A574" s="1267"/>
      <c r="B574" s="1268"/>
      <c r="C574" s="1268"/>
      <c r="D574" s="961" t="s">
        <v>242</v>
      </c>
      <c r="E574" s="961"/>
      <c r="F574" s="961"/>
      <c r="G574" s="954"/>
      <c r="H574" s="730" t="s">
        <v>46</v>
      </c>
      <c r="I574" s="944"/>
      <c r="J574" s="959">
        <v>456</v>
      </c>
      <c r="K574" s="945"/>
      <c r="L574" s="945"/>
      <c r="M574" s="945"/>
      <c r="N574" s="945"/>
      <c r="O574" s="945"/>
      <c r="P574" s="945"/>
      <c r="Q574" s="1244"/>
      <c r="R574" s="1244"/>
      <c r="S574" s="1244"/>
      <c r="T574" s="1244"/>
      <c r="U574" s="1244"/>
      <c r="V574" s="1244"/>
      <c r="W574" s="1244"/>
      <c r="X574" s="1244"/>
      <c r="Y574" s="1244"/>
      <c r="Z574" s="1244"/>
    </row>
    <row r="575" spans="1:26" ht="18.75">
      <c r="A575" s="1267"/>
      <c r="B575" s="1268"/>
      <c r="C575" s="1268"/>
      <c r="D575" s="1268"/>
      <c r="E575" s="961"/>
      <c r="F575" s="961"/>
      <c r="G575" s="954"/>
      <c r="H575" s="730" t="s">
        <v>34</v>
      </c>
      <c r="I575" s="944"/>
      <c r="J575" s="959">
        <v>51</v>
      </c>
      <c r="K575" s="945"/>
      <c r="L575" s="945"/>
      <c r="M575" s="945"/>
      <c r="N575" s="945"/>
      <c r="O575" s="945"/>
      <c r="P575" s="945"/>
      <c r="Q575" s="1244"/>
      <c r="R575" s="1244"/>
      <c r="S575" s="1244"/>
      <c r="T575" s="1244"/>
      <c r="U575" s="1244"/>
      <c r="V575" s="1244"/>
      <c r="W575" s="1244"/>
      <c r="X575" s="1244"/>
      <c r="Y575" s="1244"/>
      <c r="Z575" s="1244"/>
    </row>
    <row r="576" spans="1:26" ht="19.5">
      <c r="A576" s="1267"/>
      <c r="B576" s="1268"/>
      <c r="C576" s="1277" t="s">
        <v>243</v>
      </c>
      <c r="D576" s="1268"/>
      <c r="E576" s="1268"/>
      <c r="F576" s="961"/>
      <c r="G576" s="954"/>
      <c r="H576" s="733" t="s">
        <v>46</v>
      </c>
      <c r="I576" s="965">
        <f ca="1">IFERROR(__xludf.DUMMYFUNCTION("IMPORTRANGE(""https://docs.google.com/spreadsheets/d/1QqKyyYR6Q21VydFLVH3TRQUabQu_ym0Zz7PgGX0-kHA/edit?usp=sharing"",""แผน!HH29"")"),60744)</f>
        <v>60744</v>
      </c>
      <c r="J576" s="966">
        <f t="shared" ref="J576:J577" si="250">J578+J580+J582+J588+J590</f>
        <v>0</v>
      </c>
      <c r="K576" s="1109">
        <f t="shared" ref="K576:K577" ca="1" si="251">IF(I576&gt;0,J576*100/I576,0)</f>
        <v>0</v>
      </c>
      <c r="L576" s="945"/>
      <c r="M576" s="945"/>
      <c r="N576" s="945"/>
      <c r="O576" s="945"/>
      <c r="P576" s="945"/>
      <c r="Q576" s="1244"/>
      <c r="R576" s="1244"/>
      <c r="S576" s="1244"/>
      <c r="T576" s="1244"/>
      <c r="U576" s="1244"/>
      <c r="V576" s="1244"/>
      <c r="W576" s="1244"/>
      <c r="X576" s="1244"/>
      <c r="Y576" s="1244"/>
      <c r="Z576" s="1244"/>
    </row>
    <row r="577" spans="1:26" ht="19.5">
      <c r="A577" s="1267"/>
      <c r="B577" s="1268"/>
      <c r="C577" s="1268"/>
      <c r="D577" s="1268"/>
      <c r="E577" s="961"/>
      <c r="F577" s="961"/>
      <c r="G577" s="954"/>
      <c r="H577" s="733" t="s">
        <v>34</v>
      </c>
      <c r="I577" s="965">
        <f ca="1">IFERROR(__xludf.DUMMYFUNCTION("IMPORTRANGE(""https://docs.google.com/spreadsheets/d/1QqKyyYR6Q21VydFLVH3TRQUabQu_ym0Zz7PgGX0-kHA/edit?usp=sharing"",""แผน!HG29"")"),8156)</f>
        <v>8156</v>
      </c>
      <c r="J577" s="966">
        <f t="shared" si="250"/>
        <v>0</v>
      </c>
      <c r="K577" s="1109">
        <f t="shared" ca="1" si="251"/>
        <v>0</v>
      </c>
      <c r="L577" s="945"/>
      <c r="M577" s="945"/>
      <c r="N577" s="945"/>
      <c r="O577" s="945"/>
      <c r="P577" s="945"/>
      <c r="Q577" s="1244"/>
      <c r="R577" s="1244"/>
      <c r="S577" s="1244"/>
      <c r="T577" s="1244"/>
      <c r="U577" s="1244"/>
      <c r="V577" s="1244"/>
      <c r="W577" s="1244"/>
      <c r="X577" s="1244"/>
      <c r="Y577" s="1244"/>
      <c r="Z577" s="1244"/>
    </row>
    <row r="578" spans="1:26" ht="18.75">
      <c r="A578" s="1267"/>
      <c r="B578" s="1268"/>
      <c r="C578" s="1268"/>
      <c r="D578" s="961" t="s">
        <v>244</v>
      </c>
      <c r="E578" s="961"/>
      <c r="F578" s="961"/>
      <c r="G578" s="954"/>
      <c r="H578" s="730" t="s">
        <v>46</v>
      </c>
      <c r="I578" s="944"/>
      <c r="J578" s="959">
        <v>0</v>
      </c>
      <c r="K578" s="945"/>
      <c r="L578" s="945"/>
      <c r="M578" s="945"/>
      <c r="N578" s="945"/>
      <c r="O578" s="945"/>
      <c r="P578" s="945"/>
      <c r="Q578" s="1244"/>
      <c r="R578" s="1244"/>
      <c r="S578" s="1244"/>
      <c r="T578" s="1244"/>
      <c r="U578" s="1244"/>
      <c r="V578" s="1244"/>
      <c r="W578" s="1244"/>
      <c r="X578" s="1244"/>
      <c r="Y578" s="1244"/>
      <c r="Z578" s="1244"/>
    </row>
    <row r="579" spans="1:26" ht="18.75">
      <c r="A579" s="1267"/>
      <c r="B579" s="1268"/>
      <c r="C579" s="1268"/>
      <c r="D579" s="1268"/>
      <c r="E579" s="961"/>
      <c r="F579" s="961"/>
      <c r="G579" s="954"/>
      <c r="H579" s="730" t="s">
        <v>34</v>
      </c>
      <c r="I579" s="944"/>
      <c r="J579" s="959">
        <v>0</v>
      </c>
      <c r="K579" s="945"/>
      <c r="L579" s="945"/>
      <c r="M579" s="945"/>
      <c r="N579" s="945"/>
      <c r="O579" s="945"/>
      <c r="P579" s="945"/>
      <c r="Q579" s="1244"/>
      <c r="R579" s="1244"/>
      <c r="S579" s="1244"/>
      <c r="T579" s="1244"/>
      <c r="U579" s="1244"/>
      <c r="V579" s="1244"/>
      <c r="W579" s="1244"/>
      <c r="X579" s="1244"/>
      <c r="Y579" s="1244"/>
      <c r="Z579" s="1244"/>
    </row>
    <row r="580" spans="1:26" ht="18.75">
      <c r="A580" s="1267"/>
      <c r="B580" s="1268"/>
      <c r="C580" s="1268"/>
      <c r="D580" s="961" t="s">
        <v>245</v>
      </c>
      <c r="E580" s="961"/>
      <c r="F580" s="961"/>
      <c r="G580" s="954"/>
      <c r="H580" s="730" t="s">
        <v>46</v>
      </c>
      <c r="I580" s="944"/>
      <c r="J580" s="959">
        <v>0</v>
      </c>
      <c r="K580" s="945"/>
      <c r="L580" s="945"/>
      <c r="M580" s="945"/>
      <c r="N580" s="945"/>
      <c r="O580" s="945"/>
      <c r="P580" s="945"/>
      <c r="Q580" s="1244"/>
      <c r="R580" s="1244"/>
      <c r="S580" s="1244"/>
      <c r="T580" s="1244"/>
      <c r="U580" s="1244"/>
      <c r="V580" s="1244"/>
      <c r="W580" s="1244"/>
      <c r="X580" s="1244"/>
      <c r="Y580" s="1244"/>
      <c r="Z580" s="1244"/>
    </row>
    <row r="581" spans="1:26" ht="18.75">
      <c r="A581" s="1267"/>
      <c r="B581" s="1268"/>
      <c r="C581" s="1268"/>
      <c r="D581" s="1268"/>
      <c r="E581" s="961"/>
      <c r="F581" s="961"/>
      <c r="G581" s="954"/>
      <c r="H581" s="730" t="s">
        <v>34</v>
      </c>
      <c r="I581" s="944"/>
      <c r="J581" s="959">
        <v>0</v>
      </c>
      <c r="K581" s="945"/>
      <c r="L581" s="945"/>
      <c r="M581" s="945"/>
      <c r="N581" s="945"/>
      <c r="O581" s="945"/>
      <c r="P581" s="945"/>
      <c r="Q581" s="1244"/>
      <c r="R581" s="1244"/>
      <c r="S581" s="1244"/>
      <c r="T581" s="1244"/>
      <c r="U581" s="1244"/>
      <c r="V581" s="1244"/>
      <c r="W581" s="1244"/>
      <c r="X581" s="1244"/>
      <c r="Y581" s="1244"/>
      <c r="Z581" s="1244"/>
    </row>
    <row r="582" spans="1:26" ht="19.5">
      <c r="A582" s="1267"/>
      <c r="B582" s="1268"/>
      <c r="C582" s="1268"/>
      <c r="D582" s="961" t="s">
        <v>246</v>
      </c>
      <c r="E582" s="961"/>
      <c r="F582" s="961"/>
      <c r="G582" s="954"/>
      <c r="H582" s="730" t="s">
        <v>46</v>
      </c>
      <c r="I582" s="944"/>
      <c r="J582" s="966">
        <f t="shared" ref="J582:J583" si="252">J584+J586</f>
        <v>0</v>
      </c>
      <c r="K582" s="1109"/>
      <c r="L582" s="945"/>
      <c r="M582" s="945"/>
      <c r="N582" s="945"/>
      <c r="O582" s="945"/>
      <c r="P582" s="945"/>
      <c r="Q582" s="1244"/>
      <c r="R582" s="1244"/>
      <c r="S582" s="1244"/>
      <c r="T582" s="1244"/>
      <c r="U582" s="1244"/>
      <c r="V582" s="1244"/>
      <c r="W582" s="1244"/>
      <c r="X582" s="1244"/>
      <c r="Y582" s="1244"/>
      <c r="Z582" s="1244"/>
    </row>
    <row r="583" spans="1:26" ht="19.5">
      <c r="A583" s="1267"/>
      <c r="B583" s="1268"/>
      <c r="C583" s="1268"/>
      <c r="D583" s="1268"/>
      <c r="E583" s="961"/>
      <c r="F583" s="961"/>
      <c r="G583" s="954"/>
      <c r="H583" s="730" t="s">
        <v>34</v>
      </c>
      <c r="I583" s="944"/>
      <c r="J583" s="966">
        <f t="shared" si="252"/>
        <v>0</v>
      </c>
      <c r="K583" s="1109"/>
      <c r="L583" s="945"/>
      <c r="M583" s="945"/>
      <c r="N583" s="945"/>
      <c r="O583" s="945"/>
      <c r="P583" s="945"/>
      <c r="Q583" s="1244"/>
      <c r="R583" s="1244"/>
      <c r="S583" s="1244"/>
      <c r="T583" s="1244"/>
      <c r="U583" s="1244"/>
      <c r="V583" s="1244"/>
      <c r="W583" s="1244"/>
      <c r="X583" s="1244"/>
      <c r="Y583" s="1244"/>
      <c r="Z583" s="1244"/>
    </row>
    <row r="584" spans="1:26" ht="18.75">
      <c r="A584" s="1267"/>
      <c r="B584" s="1268"/>
      <c r="C584" s="1268"/>
      <c r="D584" s="1268"/>
      <c r="E584" s="961" t="s">
        <v>247</v>
      </c>
      <c r="F584" s="961"/>
      <c r="G584" s="954"/>
      <c r="H584" s="730" t="s">
        <v>46</v>
      </c>
      <c r="I584" s="944"/>
      <c r="J584" s="959">
        <v>0</v>
      </c>
      <c r="K584" s="945"/>
      <c r="L584" s="945"/>
      <c r="M584" s="945"/>
      <c r="N584" s="945"/>
      <c r="O584" s="945"/>
      <c r="P584" s="945"/>
      <c r="Q584" s="1244"/>
      <c r="R584" s="1244"/>
      <c r="S584" s="1244"/>
      <c r="T584" s="1244"/>
      <c r="U584" s="1244"/>
      <c r="V584" s="1244"/>
      <c r="W584" s="1244"/>
      <c r="X584" s="1244"/>
      <c r="Y584" s="1244"/>
      <c r="Z584" s="1244"/>
    </row>
    <row r="585" spans="1:26" ht="18.75">
      <c r="A585" s="1267"/>
      <c r="B585" s="1268"/>
      <c r="C585" s="1268"/>
      <c r="D585" s="1268"/>
      <c r="E585" s="961"/>
      <c r="F585" s="961"/>
      <c r="G585" s="954"/>
      <c r="H585" s="730" t="s">
        <v>34</v>
      </c>
      <c r="I585" s="944"/>
      <c r="J585" s="959">
        <v>0</v>
      </c>
      <c r="K585" s="945"/>
      <c r="L585" s="945"/>
      <c r="M585" s="945"/>
      <c r="N585" s="945"/>
      <c r="O585" s="945"/>
      <c r="P585" s="945"/>
      <c r="Q585" s="1244"/>
      <c r="R585" s="1244"/>
      <c r="S585" s="1244"/>
      <c r="T585" s="1244"/>
      <c r="U585" s="1244"/>
      <c r="V585" s="1244"/>
      <c r="W585" s="1244"/>
      <c r="X585" s="1244"/>
      <c r="Y585" s="1244"/>
      <c r="Z585" s="1244"/>
    </row>
    <row r="586" spans="1:26" ht="18.75">
      <c r="A586" s="1267"/>
      <c r="B586" s="1268"/>
      <c r="C586" s="1268"/>
      <c r="D586" s="1268"/>
      <c r="E586" s="961" t="s">
        <v>248</v>
      </c>
      <c r="F586" s="961"/>
      <c r="G586" s="954"/>
      <c r="H586" s="730" t="s">
        <v>46</v>
      </c>
      <c r="I586" s="944"/>
      <c r="J586" s="959">
        <v>0</v>
      </c>
      <c r="K586" s="945"/>
      <c r="L586" s="945"/>
      <c r="M586" s="945"/>
      <c r="N586" s="945"/>
      <c r="O586" s="945"/>
      <c r="P586" s="945"/>
      <c r="Q586" s="1244"/>
      <c r="R586" s="1244"/>
      <c r="S586" s="1244"/>
      <c r="T586" s="1244"/>
      <c r="U586" s="1244"/>
      <c r="V586" s="1244"/>
      <c r="W586" s="1244"/>
      <c r="X586" s="1244"/>
      <c r="Y586" s="1244"/>
      <c r="Z586" s="1244"/>
    </row>
    <row r="587" spans="1:26" ht="18.75">
      <c r="A587" s="1267"/>
      <c r="B587" s="1268"/>
      <c r="C587" s="1268"/>
      <c r="D587" s="1268"/>
      <c r="E587" s="1268"/>
      <c r="F587" s="961"/>
      <c r="G587" s="954"/>
      <c r="H587" s="730" t="s">
        <v>34</v>
      </c>
      <c r="I587" s="944"/>
      <c r="J587" s="959">
        <v>0</v>
      </c>
      <c r="K587" s="945"/>
      <c r="L587" s="945"/>
      <c r="M587" s="945"/>
      <c r="N587" s="945"/>
      <c r="O587" s="945"/>
      <c r="P587" s="945"/>
      <c r="Q587" s="1244"/>
      <c r="R587" s="1244"/>
      <c r="S587" s="1244"/>
      <c r="T587" s="1244"/>
      <c r="U587" s="1244"/>
      <c r="V587" s="1244"/>
      <c r="W587" s="1244"/>
      <c r="X587" s="1244"/>
      <c r="Y587" s="1244"/>
      <c r="Z587" s="1244"/>
    </row>
    <row r="588" spans="1:26" ht="18.75">
      <c r="A588" s="1267"/>
      <c r="B588" s="1268"/>
      <c r="C588" s="1268"/>
      <c r="D588" s="961" t="s">
        <v>249</v>
      </c>
      <c r="E588" s="961"/>
      <c r="F588" s="961"/>
      <c r="G588" s="954"/>
      <c r="H588" s="730" t="s">
        <v>46</v>
      </c>
      <c r="I588" s="944"/>
      <c r="J588" s="959">
        <v>0</v>
      </c>
      <c r="K588" s="945"/>
      <c r="L588" s="945"/>
      <c r="M588" s="945"/>
      <c r="N588" s="945"/>
      <c r="O588" s="945"/>
      <c r="P588" s="945"/>
      <c r="Q588" s="1244"/>
      <c r="R588" s="1244"/>
      <c r="S588" s="1244"/>
      <c r="T588" s="1244"/>
      <c r="U588" s="1244"/>
      <c r="V588" s="1244"/>
      <c r="W588" s="1244"/>
      <c r="X588" s="1244"/>
      <c r="Y588" s="1244"/>
      <c r="Z588" s="1244"/>
    </row>
    <row r="589" spans="1:26" ht="18.75">
      <c r="A589" s="1267"/>
      <c r="B589" s="1268"/>
      <c r="C589" s="1268"/>
      <c r="D589" s="1268"/>
      <c r="E589" s="1268"/>
      <c r="F589" s="961"/>
      <c r="G589" s="954"/>
      <c r="H589" s="730" t="s">
        <v>34</v>
      </c>
      <c r="I589" s="944"/>
      <c r="J589" s="959">
        <v>0</v>
      </c>
      <c r="K589" s="945"/>
      <c r="L589" s="945"/>
      <c r="M589" s="945"/>
      <c r="N589" s="945"/>
      <c r="O589" s="945"/>
      <c r="P589" s="945"/>
      <c r="Q589" s="1244"/>
      <c r="R589" s="1244"/>
      <c r="S589" s="1244"/>
      <c r="T589" s="1244"/>
      <c r="U589" s="1244"/>
      <c r="V589" s="1244"/>
      <c r="W589" s="1244"/>
      <c r="X589" s="1244"/>
      <c r="Y589" s="1244"/>
      <c r="Z589" s="1244"/>
    </row>
    <row r="590" spans="1:26" ht="18.75">
      <c r="A590" s="1267"/>
      <c r="B590" s="1268"/>
      <c r="C590" s="1268"/>
      <c r="D590" s="961" t="s">
        <v>250</v>
      </c>
      <c r="E590" s="961"/>
      <c r="F590" s="961"/>
      <c r="G590" s="954"/>
      <c r="H590" s="730" t="s">
        <v>46</v>
      </c>
      <c r="I590" s="944"/>
      <c r="J590" s="959">
        <v>0</v>
      </c>
      <c r="K590" s="945"/>
      <c r="L590" s="945"/>
      <c r="M590" s="945"/>
      <c r="N590" s="945"/>
      <c r="O590" s="945"/>
      <c r="P590" s="945"/>
      <c r="Q590" s="1244"/>
      <c r="R590" s="1244"/>
      <c r="S590" s="1244"/>
      <c r="T590" s="1244"/>
      <c r="U590" s="1244"/>
      <c r="V590" s="1244"/>
      <c r="W590" s="1244"/>
      <c r="X590" s="1244"/>
      <c r="Y590" s="1244"/>
      <c r="Z590" s="1244"/>
    </row>
    <row r="591" spans="1:26" ht="18.75">
      <c r="A591" s="1332"/>
      <c r="B591" s="1333"/>
      <c r="C591" s="1333"/>
      <c r="D591" s="1333"/>
      <c r="E591" s="1244"/>
      <c r="F591" s="1244"/>
      <c r="G591" s="1334"/>
      <c r="H591" s="665" t="s">
        <v>34</v>
      </c>
      <c r="I591" s="1335"/>
      <c r="J591" s="1336">
        <v>0</v>
      </c>
      <c r="K591" s="1337"/>
      <c r="L591" s="1337"/>
      <c r="M591" s="1337"/>
      <c r="N591" s="1337"/>
      <c r="O591" s="1337"/>
      <c r="P591" s="1337"/>
      <c r="Q591" s="1244"/>
      <c r="R591" s="1244"/>
      <c r="S591" s="1244"/>
      <c r="T591" s="1244"/>
      <c r="U591" s="1244"/>
      <c r="V591" s="1244"/>
      <c r="W591" s="1244"/>
      <c r="X591" s="1244"/>
      <c r="Y591" s="1244"/>
      <c r="Z591" s="1244"/>
    </row>
    <row r="592" spans="1:26" ht="19.5">
      <c r="A592" s="1329"/>
      <c r="B592" s="1330" t="s">
        <v>251</v>
      </c>
      <c r="C592" s="1331"/>
      <c r="D592" s="1331"/>
      <c r="E592" s="1315"/>
      <c r="F592" s="1315"/>
      <c r="G592" s="1316"/>
      <c r="H592" s="661" t="s">
        <v>46</v>
      </c>
      <c r="I592" s="1338">
        <f t="shared" ref="I592:J592" ca="1" si="253">I593</f>
        <v>316.11</v>
      </c>
      <c r="J592" s="1317">
        <f t="shared" si="253"/>
        <v>0</v>
      </c>
      <c r="K592" s="1318">
        <f t="shared" ref="K592:K594" ca="1" si="254">IF(I592&gt;0,J592*100/I592,0)</f>
        <v>0</v>
      </c>
      <c r="L592" s="1319"/>
      <c r="M592" s="1319"/>
      <c r="N592" s="1319"/>
      <c r="O592" s="1319"/>
      <c r="P592" s="1319"/>
      <c r="Q592" s="1244"/>
      <c r="R592" s="1244"/>
      <c r="S592" s="1244"/>
      <c r="T592" s="1244"/>
      <c r="U592" s="1244"/>
      <c r="V592" s="1244"/>
      <c r="W592" s="1244"/>
      <c r="X592" s="1244"/>
      <c r="Y592" s="1244"/>
      <c r="Z592" s="1244"/>
    </row>
    <row r="593" spans="1:26" ht="19.5">
      <c r="A593" s="1267"/>
      <c r="B593" s="1268"/>
      <c r="C593" s="1277" t="s">
        <v>252</v>
      </c>
      <c r="D593" s="1268"/>
      <c r="E593" s="1268"/>
      <c r="F593" s="961"/>
      <c r="G593" s="954"/>
      <c r="H593" s="733" t="s">
        <v>46</v>
      </c>
      <c r="I593" s="1339">
        <f ca="1">IFERROR(__xludf.DUMMYFUNCTION("IMPORTRANGE(""https://docs.google.com/spreadsheets/d/1QqKyyYR6Q21VydFLVH3TRQUabQu_ym0Zz7PgGX0-kHA/edit?usp=sharing"",""แผน!HJ29"")"),316.11)</f>
        <v>316.11</v>
      </c>
      <c r="J593" s="965">
        <f t="shared" ref="J593:J594" si="255">J595+J603+J609</f>
        <v>0</v>
      </c>
      <c r="K593" s="1109">
        <f t="shared" ca="1" si="254"/>
        <v>0</v>
      </c>
      <c r="L593" s="945"/>
      <c r="M593" s="945"/>
      <c r="N593" s="945"/>
      <c r="O593" s="945"/>
      <c r="P593" s="945"/>
      <c r="Q593" s="1244"/>
      <c r="R593" s="1244"/>
      <c r="S593" s="1244"/>
      <c r="T593" s="1244"/>
      <c r="U593" s="1244"/>
      <c r="V593" s="1244"/>
      <c r="W593" s="1244"/>
      <c r="X593" s="1244"/>
      <c r="Y593" s="1244"/>
      <c r="Z593" s="1244"/>
    </row>
    <row r="594" spans="1:26" ht="19.5">
      <c r="A594" s="1267"/>
      <c r="B594" s="1268"/>
      <c r="C594" s="1268"/>
      <c r="D594" s="1268"/>
      <c r="E594" s="961"/>
      <c r="F594" s="961"/>
      <c r="G594" s="954"/>
      <c r="H594" s="733" t="s">
        <v>34</v>
      </c>
      <c r="I594" s="965">
        <f ca="1">IFERROR(__xludf.DUMMYFUNCTION("IMPORTRANGE(""https://docs.google.com/spreadsheets/d/1QqKyyYR6Q21VydFLVH3TRQUabQu_ym0Zz7PgGX0-kHA/edit?usp=sharing"",""แผน!HI29"")"),32)</f>
        <v>32</v>
      </c>
      <c r="J594" s="965">
        <f t="shared" si="255"/>
        <v>0</v>
      </c>
      <c r="K594" s="1109">
        <f t="shared" ca="1" si="254"/>
        <v>0</v>
      </c>
      <c r="L594" s="945"/>
      <c r="M594" s="945"/>
      <c r="N594" s="945"/>
      <c r="O594" s="945"/>
      <c r="P594" s="945"/>
      <c r="Q594" s="1244"/>
      <c r="R594" s="1244"/>
      <c r="S594" s="1244"/>
      <c r="T594" s="1244"/>
      <c r="U594" s="1244"/>
      <c r="V594" s="1244"/>
      <c r="W594" s="1244"/>
      <c r="X594" s="1244"/>
      <c r="Y594" s="1244"/>
      <c r="Z594" s="1244"/>
    </row>
    <row r="595" spans="1:26" ht="18.75">
      <c r="A595" s="1267"/>
      <c r="B595" s="1268"/>
      <c r="C595" s="1268" t="s">
        <v>253</v>
      </c>
      <c r="D595" s="1268"/>
      <c r="E595" s="1268"/>
      <c r="F595" s="961"/>
      <c r="G595" s="954"/>
      <c r="H595" s="730" t="s">
        <v>46</v>
      </c>
      <c r="I595" s="944"/>
      <c r="J595" s="944">
        <f t="shared" ref="J595:J596" si="256">J597+J599</f>
        <v>0</v>
      </c>
      <c r="K595" s="945"/>
      <c r="L595" s="945"/>
      <c r="M595" s="945"/>
      <c r="N595" s="945"/>
      <c r="O595" s="945"/>
      <c r="P595" s="945"/>
      <c r="Q595" s="1244"/>
      <c r="R595" s="1244"/>
      <c r="S595" s="1244"/>
      <c r="T595" s="1244"/>
      <c r="U595" s="1244"/>
      <c r="V595" s="1244"/>
      <c r="W595" s="1244"/>
      <c r="X595" s="1244"/>
      <c r="Y595" s="1244"/>
      <c r="Z595" s="1244"/>
    </row>
    <row r="596" spans="1:26" ht="18.75">
      <c r="A596" s="1267"/>
      <c r="B596" s="1268"/>
      <c r="C596" s="1268"/>
      <c r="D596" s="1268"/>
      <c r="E596" s="961"/>
      <c r="F596" s="961"/>
      <c r="G596" s="954"/>
      <c r="H596" s="730" t="s">
        <v>34</v>
      </c>
      <c r="I596" s="944"/>
      <c r="J596" s="944">
        <f t="shared" si="256"/>
        <v>0</v>
      </c>
      <c r="K596" s="945"/>
      <c r="L596" s="945"/>
      <c r="M596" s="945"/>
      <c r="N596" s="945"/>
      <c r="O596" s="945"/>
      <c r="P596" s="945"/>
      <c r="Q596" s="1244"/>
      <c r="R596" s="1244"/>
      <c r="S596" s="1244"/>
      <c r="T596" s="1244"/>
      <c r="U596" s="1244"/>
      <c r="V596" s="1244"/>
      <c r="W596" s="1244"/>
      <c r="X596" s="1244"/>
      <c r="Y596" s="1244"/>
      <c r="Z596" s="1244"/>
    </row>
    <row r="597" spans="1:26" ht="18.75">
      <c r="A597" s="1267"/>
      <c r="B597" s="1268"/>
      <c r="C597" s="1268"/>
      <c r="D597" s="1017" t="s">
        <v>254</v>
      </c>
      <c r="E597" s="961"/>
      <c r="F597" s="961"/>
      <c r="G597" s="954"/>
      <c r="H597" s="730" t="s">
        <v>46</v>
      </c>
      <c r="I597" s="944"/>
      <c r="J597" s="959">
        <v>0</v>
      </c>
      <c r="K597" s="945"/>
      <c r="L597" s="945"/>
      <c r="M597" s="945"/>
      <c r="N597" s="945"/>
      <c r="O597" s="945"/>
      <c r="P597" s="945"/>
      <c r="Q597" s="1244"/>
      <c r="R597" s="1244"/>
      <c r="S597" s="1244"/>
      <c r="T597" s="1244"/>
      <c r="U597" s="1244"/>
      <c r="V597" s="1244"/>
      <c r="W597" s="1244"/>
      <c r="X597" s="1244"/>
      <c r="Y597" s="1244"/>
      <c r="Z597" s="1244"/>
    </row>
    <row r="598" spans="1:26" ht="18.75">
      <c r="A598" s="1267"/>
      <c r="B598" s="1268"/>
      <c r="C598" s="1268"/>
      <c r="D598" s="1268"/>
      <c r="E598" s="961"/>
      <c r="F598" s="961"/>
      <c r="G598" s="954"/>
      <c r="H598" s="730" t="s">
        <v>34</v>
      </c>
      <c r="I598" s="830"/>
      <c r="J598" s="959">
        <v>0</v>
      </c>
      <c r="K598" s="945"/>
      <c r="L598" s="945"/>
      <c r="M598" s="945"/>
      <c r="N598" s="945"/>
      <c r="O598" s="945"/>
      <c r="P598" s="945"/>
      <c r="Q598" s="1244"/>
      <c r="R598" s="1244"/>
      <c r="S598" s="1244"/>
      <c r="T598" s="1244"/>
      <c r="U598" s="1244"/>
      <c r="V598" s="1244"/>
      <c r="W598" s="1244"/>
      <c r="X598" s="1244"/>
      <c r="Y598" s="1244"/>
      <c r="Z598" s="1244"/>
    </row>
    <row r="599" spans="1:26" ht="18.75">
      <c r="A599" s="1267"/>
      <c r="B599" s="1268"/>
      <c r="C599" s="1268"/>
      <c r="D599" s="1017" t="s">
        <v>255</v>
      </c>
      <c r="E599" s="961"/>
      <c r="F599" s="961"/>
      <c r="G599" s="954"/>
      <c r="H599" s="730" t="s">
        <v>46</v>
      </c>
      <c r="I599" s="830"/>
      <c r="J599" s="959">
        <v>0</v>
      </c>
      <c r="K599" s="945"/>
      <c r="L599" s="945"/>
      <c r="M599" s="945"/>
      <c r="N599" s="945"/>
      <c r="O599" s="945"/>
      <c r="P599" s="945"/>
      <c r="Q599" s="1244"/>
      <c r="R599" s="1244"/>
      <c r="S599" s="1244"/>
      <c r="T599" s="1244"/>
      <c r="U599" s="1244"/>
      <c r="V599" s="1244"/>
      <c r="W599" s="1244"/>
      <c r="X599" s="1244"/>
      <c r="Y599" s="1244"/>
      <c r="Z599" s="1244"/>
    </row>
    <row r="600" spans="1:26" ht="18.75">
      <c r="A600" s="1267"/>
      <c r="B600" s="1268"/>
      <c r="C600" s="1268"/>
      <c r="D600" s="1268"/>
      <c r="E600" s="961"/>
      <c r="F600" s="961"/>
      <c r="G600" s="954"/>
      <c r="H600" s="730" t="s">
        <v>34</v>
      </c>
      <c r="I600" s="830"/>
      <c r="J600" s="959">
        <v>0</v>
      </c>
      <c r="K600" s="945"/>
      <c r="L600" s="945"/>
      <c r="M600" s="945"/>
      <c r="N600" s="945"/>
      <c r="O600" s="945"/>
      <c r="P600" s="945"/>
      <c r="Q600" s="1244"/>
      <c r="R600" s="1244"/>
      <c r="S600" s="1244"/>
      <c r="T600" s="1244"/>
      <c r="U600" s="1244"/>
      <c r="V600" s="1244"/>
      <c r="W600" s="1244"/>
      <c r="X600" s="1244"/>
      <c r="Y600" s="1244"/>
      <c r="Z600" s="1244"/>
    </row>
    <row r="601" spans="1:26" ht="18.75">
      <c r="A601" s="1267"/>
      <c r="B601" s="1268"/>
      <c r="C601" s="1268"/>
      <c r="D601" s="1017" t="s">
        <v>256</v>
      </c>
      <c r="E601" s="961"/>
      <c r="F601" s="961"/>
      <c r="G601" s="954"/>
      <c r="H601" s="730" t="s">
        <v>46</v>
      </c>
      <c r="I601" s="830"/>
      <c r="J601" s="959">
        <v>0</v>
      </c>
      <c r="K601" s="945"/>
      <c r="L601" s="945"/>
      <c r="M601" s="945"/>
      <c r="N601" s="945"/>
      <c r="O601" s="945"/>
      <c r="P601" s="945"/>
      <c r="Q601" s="1244"/>
      <c r="R601" s="1244"/>
      <c r="S601" s="1244"/>
      <c r="T601" s="1244"/>
      <c r="U601" s="1244"/>
      <c r="V601" s="1244"/>
      <c r="W601" s="1244"/>
      <c r="X601" s="1244"/>
      <c r="Y601" s="1244"/>
      <c r="Z601" s="1244"/>
    </row>
    <row r="602" spans="1:26" ht="18.75">
      <c r="A602" s="1267"/>
      <c r="B602" s="1268"/>
      <c r="C602" s="1268"/>
      <c r="D602" s="1268"/>
      <c r="E602" s="961"/>
      <c r="F602" s="961"/>
      <c r="G602" s="954"/>
      <c r="H602" s="730" t="s">
        <v>34</v>
      </c>
      <c r="I602" s="830"/>
      <c r="J602" s="959">
        <v>0</v>
      </c>
      <c r="K602" s="945"/>
      <c r="L602" s="945"/>
      <c r="M602" s="945"/>
      <c r="N602" s="945"/>
      <c r="O602" s="945"/>
      <c r="P602" s="945"/>
      <c r="Q602" s="1244"/>
      <c r="R602" s="1244"/>
      <c r="S602" s="1244"/>
      <c r="T602" s="1244"/>
      <c r="U602" s="1244"/>
      <c r="V602" s="1244"/>
      <c r="W602" s="1244"/>
      <c r="X602" s="1244"/>
      <c r="Y602" s="1244"/>
      <c r="Z602" s="1244"/>
    </row>
    <row r="603" spans="1:26" ht="18.75">
      <c r="A603" s="1267"/>
      <c r="B603" s="1268"/>
      <c r="C603" s="1340" t="s">
        <v>257</v>
      </c>
      <c r="D603" s="1268"/>
      <c r="E603" s="1268"/>
      <c r="F603" s="961"/>
      <c r="G603" s="954"/>
      <c r="H603" s="730" t="s">
        <v>46</v>
      </c>
      <c r="I603" s="830"/>
      <c r="J603" s="830">
        <f t="shared" ref="J603:J604" si="257">J605+J607</f>
        <v>0</v>
      </c>
      <c r="K603" s="945"/>
      <c r="L603" s="945"/>
      <c r="M603" s="945"/>
      <c r="N603" s="945"/>
      <c r="O603" s="945"/>
      <c r="P603" s="945"/>
      <c r="Q603" s="1244"/>
      <c r="R603" s="1244"/>
      <c r="S603" s="1244"/>
      <c r="T603" s="1244"/>
      <c r="U603" s="1244"/>
      <c r="V603" s="1244"/>
      <c r="W603" s="1244"/>
      <c r="X603" s="1244"/>
      <c r="Y603" s="1244"/>
      <c r="Z603" s="1244"/>
    </row>
    <row r="604" spans="1:26" ht="18.75">
      <c r="A604" s="1267"/>
      <c r="B604" s="1268"/>
      <c r="C604" s="1268"/>
      <c r="D604" s="1268"/>
      <c r="E604" s="961"/>
      <c r="F604" s="961"/>
      <c r="G604" s="954"/>
      <c r="H604" s="730" t="s">
        <v>34</v>
      </c>
      <c r="I604" s="830"/>
      <c r="J604" s="830">
        <f t="shared" si="257"/>
        <v>0</v>
      </c>
      <c r="K604" s="945"/>
      <c r="L604" s="945"/>
      <c r="M604" s="945"/>
      <c r="N604" s="945"/>
      <c r="O604" s="945"/>
      <c r="P604" s="945"/>
      <c r="Q604" s="1244"/>
      <c r="R604" s="1244"/>
      <c r="S604" s="1244"/>
      <c r="T604" s="1244"/>
      <c r="U604" s="1244"/>
      <c r="V604" s="1244"/>
      <c r="W604" s="1244"/>
      <c r="X604" s="1244"/>
      <c r="Y604" s="1244"/>
      <c r="Z604" s="1244"/>
    </row>
    <row r="605" spans="1:26" ht="18.75">
      <c r="A605" s="1267"/>
      <c r="B605" s="1268"/>
      <c r="C605" s="1268"/>
      <c r="D605" s="1340" t="s">
        <v>258</v>
      </c>
      <c r="E605" s="961"/>
      <c r="F605" s="961"/>
      <c r="G605" s="954"/>
      <c r="H605" s="730" t="s">
        <v>46</v>
      </c>
      <c r="I605" s="830"/>
      <c r="J605" s="959">
        <v>0</v>
      </c>
      <c r="K605" s="945"/>
      <c r="L605" s="945"/>
      <c r="M605" s="945"/>
      <c r="N605" s="945"/>
      <c r="O605" s="945"/>
      <c r="P605" s="945"/>
      <c r="Q605" s="1244"/>
      <c r="R605" s="1244"/>
      <c r="S605" s="1244"/>
      <c r="T605" s="1244"/>
      <c r="U605" s="1244"/>
      <c r="V605" s="1244"/>
      <c r="W605" s="1244"/>
      <c r="X605" s="1244"/>
      <c r="Y605" s="1244"/>
      <c r="Z605" s="1244"/>
    </row>
    <row r="606" spans="1:26" ht="18.75">
      <c r="A606" s="1267"/>
      <c r="B606" s="1268"/>
      <c r="C606" s="1268"/>
      <c r="D606" s="1268"/>
      <c r="E606" s="1268"/>
      <c r="F606" s="961"/>
      <c r="G606" s="954"/>
      <c r="H606" s="730" t="s">
        <v>34</v>
      </c>
      <c r="I606" s="830"/>
      <c r="J606" s="959">
        <v>0</v>
      </c>
      <c r="K606" s="945"/>
      <c r="L606" s="945"/>
      <c r="M606" s="945"/>
      <c r="N606" s="945"/>
      <c r="O606" s="945"/>
      <c r="P606" s="945"/>
      <c r="Q606" s="1244"/>
      <c r="R606" s="1244"/>
      <c r="S606" s="1244"/>
      <c r="T606" s="1244"/>
      <c r="U606" s="1244"/>
      <c r="V606" s="1244"/>
      <c r="W606" s="1244"/>
      <c r="X606" s="1244"/>
      <c r="Y606" s="1244"/>
      <c r="Z606" s="1244"/>
    </row>
    <row r="607" spans="1:26" ht="18.75">
      <c r="A607" s="1267"/>
      <c r="B607" s="1268"/>
      <c r="C607" s="1268"/>
      <c r="D607" s="1340" t="s">
        <v>259</v>
      </c>
      <c r="E607" s="1268"/>
      <c r="F607" s="961"/>
      <c r="G607" s="954"/>
      <c r="H607" s="730" t="s">
        <v>46</v>
      </c>
      <c r="I607" s="830"/>
      <c r="J607" s="959">
        <v>0</v>
      </c>
      <c r="K607" s="945"/>
      <c r="L607" s="945"/>
      <c r="M607" s="945"/>
      <c r="N607" s="945"/>
      <c r="O607" s="945"/>
      <c r="P607" s="945"/>
      <c r="Q607" s="1244"/>
      <c r="R607" s="1244"/>
      <c r="S607" s="1244"/>
      <c r="T607" s="1244"/>
      <c r="U607" s="1244"/>
      <c r="V607" s="1244"/>
      <c r="W607" s="1244"/>
      <c r="X607" s="1244"/>
      <c r="Y607" s="1244"/>
      <c r="Z607" s="1244"/>
    </row>
    <row r="608" spans="1:26" ht="18.75">
      <c r="A608" s="1267"/>
      <c r="B608" s="1268"/>
      <c r="C608" s="1268"/>
      <c r="D608" s="1268"/>
      <c r="E608" s="961"/>
      <c r="F608" s="961"/>
      <c r="G608" s="954"/>
      <c r="H608" s="730" t="s">
        <v>34</v>
      </c>
      <c r="I608" s="830"/>
      <c r="J608" s="959">
        <v>0</v>
      </c>
      <c r="K608" s="945"/>
      <c r="L608" s="945"/>
      <c r="M608" s="945"/>
      <c r="N608" s="945"/>
      <c r="O608" s="945"/>
      <c r="P608" s="945"/>
      <c r="Q608" s="1244"/>
      <c r="R608" s="1244"/>
      <c r="S608" s="1244"/>
      <c r="T608" s="1244"/>
      <c r="U608" s="1244"/>
      <c r="V608" s="1244"/>
      <c r="W608" s="1244"/>
      <c r="X608" s="1244"/>
      <c r="Y608" s="1244"/>
      <c r="Z608" s="1244"/>
    </row>
    <row r="609" spans="1:26" ht="18.75">
      <c r="A609" s="1267"/>
      <c r="B609" s="1268"/>
      <c r="C609" s="1268" t="s">
        <v>260</v>
      </c>
      <c r="D609" s="1268"/>
      <c r="E609" s="1268"/>
      <c r="F609" s="961"/>
      <c r="G609" s="954"/>
      <c r="H609" s="730" t="s">
        <v>46</v>
      </c>
      <c r="I609" s="830"/>
      <c r="J609" s="959">
        <v>0</v>
      </c>
      <c r="K609" s="945"/>
      <c r="L609" s="945"/>
      <c r="M609" s="945"/>
      <c r="N609" s="945"/>
      <c r="O609" s="945"/>
      <c r="P609" s="945"/>
      <c r="Q609" s="1244"/>
      <c r="R609" s="1244"/>
      <c r="S609" s="1244"/>
      <c r="T609" s="1244"/>
      <c r="U609" s="1244"/>
      <c r="V609" s="1244"/>
      <c r="W609" s="1244"/>
      <c r="X609" s="1244"/>
      <c r="Y609" s="1244"/>
      <c r="Z609" s="1244"/>
    </row>
    <row r="610" spans="1:26" ht="18.75">
      <c r="A610" s="1267"/>
      <c r="B610" s="1268"/>
      <c r="C610" s="1268"/>
      <c r="D610" s="1268"/>
      <c r="E610" s="961"/>
      <c r="F610" s="961"/>
      <c r="G610" s="954"/>
      <c r="H610" s="730" t="s">
        <v>34</v>
      </c>
      <c r="I610" s="830"/>
      <c r="J610" s="959">
        <v>0</v>
      </c>
      <c r="K610" s="945"/>
      <c r="L610" s="945"/>
      <c r="M610" s="945"/>
      <c r="N610" s="945"/>
      <c r="O610" s="945"/>
      <c r="P610" s="945"/>
      <c r="Q610" s="1244"/>
      <c r="R610" s="1244"/>
      <c r="S610" s="1244"/>
      <c r="T610" s="1244"/>
      <c r="U610" s="1244"/>
      <c r="V610" s="1244"/>
      <c r="W610" s="1244"/>
      <c r="X610" s="1244"/>
      <c r="Y610" s="1244"/>
      <c r="Z610" s="1244"/>
    </row>
    <row r="611" spans="1:26" ht="19.5">
      <c r="A611" s="1329"/>
      <c r="B611" s="1341" t="s">
        <v>261</v>
      </c>
      <c r="C611" s="1331"/>
      <c r="D611" s="1331"/>
      <c r="E611" s="1315"/>
      <c r="F611" s="1315"/>
      <c r="G611" s="1316"/>
      <c r="H611" s="673" t="s">
        <v>46</v>
      </c>
      <c r="I611" s="1317">
        <v>0</v>
      </c>
      <c r="J611" s="1317">
        <f>J614+J616</f>
        <v>0</v>
      </c>
      <c r="K611" s="1318">
        <f t="shared" ref="K611:K613" si="258">IF(I611&gt;0,J611*100/I611,0)</f>
        <v>0</v>
      </c>
      <c r="L611" s="1319"/>
      <c r="M611" s="1319"/>
      <c r="N611" s="1319"/>
      <c r="O611" s="1319"/>
      <c r="P611" s="1319"/>
      <c r="Q611" s="1244"/>
      <c r="R611" s="1244"/>
      <c r="S611" s="1244"/>
      <c r="T611" s="1244"/>
      <c r="U611" s="1244"/>
      <c r="V611" s="1244"/>
      <c r="W611" s="1244"/>
      <c r="X611" s="1244"/>
      <c r="Y611" s="1244"/>
      <c r="Z611" s="1244"/>
    </row>
    <row r="612" spans="1:26" ht="19.5" hidden="1">
      <c r="A612" s="1342"/>
      <c r="B612" s="1343"/>
      <c r="C612" s="1344" t="s">
        <v>262</v>
      </c>
      <c r="D612" s="1343"/>
      <c r="E612" s="1343"/>
      <c r="F612" s="1345"/>
      <c r="G612" s="1346"/>
      <c r="H612" s="680" t="s">
        <v>46</v>
      </c>
      <c r="I612" s="1347">
        <v>0</v>
      </c>
      <c r="J612" s="1347">
        <f t="shared" ref="J612:J613" si="259">J614+J616</f>
        <v>0</v>
      </c>
      <c r="K612" s="1348">
        <f t="shared" si="258"/>
        <v>0</v>
      </c>
      <c r="L612" s="1349"/>
      <c r="M612" s="1349"/>
      <c r="N612" s="1349"/>
      <c r="O612" s="1349"/>
      <c r="P612" s="1349"/>
      <c r="Q612" s="1264"/>
      <c r="R612" s="1264"/>
      <c r="S612" s="1264"/>
      <c r="T612" s="1264"/>
      <c r="U612" s="1264"/>
      <c r="V612" s="1264"/>
      <c r="W612" s="1264"/>
      <c r="X612" s="1264"/>
      <c r="Y612" s="1264"/>
      <c r="Z612" s="1264"/>
    </row>
    <row r="613" spans="1:26" ht="19.5" hidden="1">
      <c r="A613" s="1342"/>
      <c r="B613" s="1343"/>
      <c r="C613" s="1343" t="s">
        <v>263</v>
      </c>
      <c r="D613" s="1343"/>
      <c r="E613" s="1343"/>
      <c r="F613" s="1345"/>
      <c r="G613" s="1346"/>
      <c r="H613" s="680" t="s">
        <v>34</v>
      </c>
      <c r="I613" s="1347">
        <v>0</v>
      </c>
      <c r="J613" s="1347">
        <f t="shared" si="259"/>
        <v>0</v>
      </c>
      <c r="K613" s="1348">
        <f t="shared" si="258"/>
        <v>0</v>
      </c>
      <c r="L613" s="1349"/>
      <c r="M613" s="1349"/>
      <c r="N613" s="1349"/>
      <c r="O613" s="1349"/>
      <c r="P613" s="1349"/>
      <c r="Q613" s="1264"/>
      <c r="R613" s="1264"/>
      <c r="S613" s="1264"/>
      <c r="T613" s="1264"/>
      <c r="U613" s="1264"/>
      <c r="V613" s="1264"/>
      <c r="W613" s="1264"/>
      <c r="X613" s="1264"/>
      <c r="Y613" s="1264"/>
      <c r="Z613" s="1264"/>
    </row>
    <row r="614" spans="1:26" ht="18.75" hidden="1">
      <c r="A614" s="1273"/>
      <c r="B614" s="1274"/>
      <c r="C614" s="1274"/>
      <c r="D614" s="1262" t="s">
        <v>264</v>
      </c>
      <c r="E614" s="1274"/>
      <c r="F614" s="1262"/>
      <c r="G614" s="1060"/>
      <c r="H614" s="583" t="s">
        <v>46</v>
      </c>
      <c r="I614" s="836"/>
      <c r="J614" s="836">
        <v>0</v>
      </c>
      <c r="K614" s="948"/>
      <c r="L614" s="948"/>
      <c r="M614" s="948"/>
      <c r="N614" s="948"/>
      <c r="O614" s="948"/>
      <c r="P614" s="948"/>
      <c r="Q614" s="1264"/>
      <c r="R614" s="1264"/>
      <c r="S614" s="1264"/>
      <c r="T614" s="1264"/>
      <c r="U614" s="1264"/>
      <c r="V614" s="1264"/>
      <c r="W614" s="1264"/>
      <c r="X614" s="1264"/>
      <c r="Y614" s="1264"/>
      <c r="Z614" s="1264"/>
    </row>
    <row r="615" spans="1:26" ht="18.75" hidden="1">
      <c r="A615" s="1273"/>
      <c r="B615" s="1274"/>
      <c r="C615" s="1274"/>
      <c r="D615" s="1274"/>
      <c r="E615" s="1274"/>
      <c r="F615" s="1262"/>
      <c r="G615" s="1060"/>
      <c r="H615" s="583" t="s">
        <v>34</v>
      </c>
      <c r="I615" s="836"/>
      <c r="J615" s="836">
        <v>0</v>
      </c>
      <c r="K615" s="948"/>
      <c r="L615" s="948"/>
      <c r="M615" s="948"/>
      <c r="N615" s="948"/>
      <c r="O615" s="948"/>
      <c r="P615" s="948"/>
      <c r="Q615" s="1264"/>
      <c r="R615" s="1264"/>
      <c r="S615" s="1264"/>
      <c r="T615" s="1264"/>
      <c r="U615" s="1264"/>
      <c r="V615" s="1264"/>
      <c r="W615" s="1264"/>
      <c r="X615" s="1264"/>
      <c r="Y615" s="1264"/>
      <c r="Z615" s="1264"/>
    </row>
    <row r="616" spans="1:26" ht="18.75" hidden="1">
      <c r="A616" s="1273"/>
      <c r="B616" s="1274"/>
      <c r="C616" s="1274"/>
      <c r="D616" s="1350" t="s">
        <v>264</v>
      </c>
      <c r="E616" s="1262"/>
      <c r="F616" s="1262"/>
      <c r="G616" s="1060"/>
      <c r="H616" s="583" t="s">
        <v>46</v>
      </c>
      <c r="I616" s="836"/>
      <c r="J616" s="836">
        <v>0</v>
      </c>
      <c r="K616" s="948"/>
      <c r="L616" s="948"/>
      <c r="M616" s="948"/>
      <c r="N616" s="948"/>
      <c r="O616" s="948"/>
      <c r="P616" s="948"/>
      <c r="Q616" s="1264"/>
      <c r="R616" s="1264"/>
      <c r="S616" s="1264"/>
      <c r="T616" s="1264"/>
      <c r="U616" s="1264"/>
      <c r="V616" s="1264"/>
      <c r="W616" s="1264"/>
      <c r="X616" s="1264"/>
      <c r="Y616" s="1264"/>
      <c r="Z616" s="1264"/>
    </row>
    <row r="617" spans="1:26" ht="18.75" hidden="1">
      <c r="A617" s="1273"/>
      <c r="B617" s="1274"/>
      <c r="C617" s="1274"/>
      <c r="D617" s="1274"/>
      <c r="E617" s="1262"/>
      <c r="F617" s="1262"/>
      <c r="G617" s="1060"/>
      <c r="H617" s="583" t="s">
        <v>34</v>
      </c>
      <c r="I617" s="836"/>
      <c r="J617" s="836">
        <v>0</v>
      </c>
      <c r="K617" s="948"/>
      <c r="L617" s="948"/>
      <c r="M617" s="948"/>
      <c r="N617" s="948"/>
      <c r="O617" s="948"/>
      <c r="P617" s="948"/>
      <c r="Q617" s="1264"/>
      <c r="R617" s="1264"/>
      <c r="S617" s="1264"/>
      <c r="T617" s="1264"/>
      <c r="U617" s="1264"/>
      <c r="V617" s="1264"/>
      <c r="W617" s="1264"/>
      <c r="X617" s="1264"/>
      <c r="Y617" s="1264"/>
      <c r="Z617" s="1264"/>
    </row>
    <row r="618" spans="1:26" ht="18.75" hidden="1">
      <c r="A618" s="1273"/>
      <c r="B618" s="1274"/>
      <c r="C618" s="1274"/>
      <c r="D618" s="1350" t="s">
        <v>265</v>
      </c>
      <c r="E618" s="1262"/>
      <c r="F618" s="1262"/>
      <c r="G618" s="1060"/>
      <c r="H618" s="583" t="s">
        <v>46</v>
      </c>
      <c r="I618" s="836"/>
      <c r="J618" s="836">
        <v>0</v>
      </c>
      <c r="K618" s="948"/>
      <c r="L618" s="948"/>
      <c r="M618" s="948"/>
      <c r="N618" s="948"/>
      <c r="O618" s="948"/>
      <c r="P618" s="948"/>
      <c r="Q618" s="1264"/>
      <c r="R618" s="1264"/>
      <c r="S618" s="1264"/>
      <c r="T618" s="1264"/>
      <c r="U618" s="1264"/>
      <c r="V618" s="1264"/>
      <c r="W618" s="1264"/>
      <c r="X618" s="1264"/>
      <c r="Y618" s="1264"/>
      <c r="Z618" s="1264"/>
    </row>
    <row r="619" spans="1:26" ht="18.75" hidden="1">
      <c r="A619" s="1273"/>
      <c r="B619" s="1274"/>
      <c r="C619" s="1274"/>
      <c r="D619" s="1274"/>
      <c r="E619" s="1262"/>
      <c r="F619" s="1262"/>
      <c r="G619" s="1060"/>
      <c r="H619" s="583" t="s">
        <v>34</v>
      </c>
      <c r="I619" s="836"/>
      <c r="J619" s="836">
        <v>0</v>
      </c>
      <c r="K619" s="948"/>
      <c r="L619" s="948"/>
      <c r="M619" s="948"/>
      <c r="N619" s="948"/>
      <c r="O619" s="948"/>
      <c r="P619" s="948"/>
      <c r="Q619" s="1264"/>
      <c r="R619" s="1264"/>
      <c r="S619" s="1264"/>
      <c r="T619" s="1264"/>
      <c r="U619" s="1264"/>
      <c r="V619" s="1264"/>
      <c r="W619" s="1264"/>
      <c r="X619" s="1264"/>
      <c r="Y619" s="1264"/>
      <c r="Z619" s="1264"/>
    </row>
    <row r="620" spans="1:26" ht="19.5">
      <c r="A620" s="1351"/>
      <c r="B620" s="1352"/>
      <c r="C620" s="1353" t="s">
        <v>266</v>
      </c>
      <c r="D620" s="1352"/>
      <c r="E620" s="1352"/>
      <c r="F620" s="1354"/>
      <c r="G620" s="1355"/>
      <c r="H620" s="693" t="s">
        <v>46</v>
      </c>
      <c r="I620" s="1356">
        <f ca="1">IFERROR(__xludf.DUMMYFUNCTION("IMPORTRANGE(""https://docs.google.com/spreadsheets/d/1QqKyyYR6Q21VydFLVH3TRQUabQu_ym0Zz7PgGX0-kHA/edit?usp=sharing"",""แผน!HL29"")"),631)</f>
        <v>631</v>
      </c>
      <c r="J620" s="1356">
        <f t="shared" ref="J620:J621" si="260">J622+J624+J626</f>
        <v>0</v>
      </c>
      <c r="K620" s="1357">
        <f t="shared" ref="K620:K621" ca="1" si="261">IF(I620&gt;0,J620*100/I620,0)</f>
        <v>0</v>
      </c>
      <c r="L620" s="1358"/>
      <c r="M620" s="1358"/>
      <c r="N620" s="1358"/>
      <c r="O620" s="1358"/>
      <c r="P620" s="1358"/>
      <c r="Q620" s="1244"/>
      <c r="R620" s="1244"/>
      <c r="S620" s="1244"/>
      <c r="T620" s="1244"/>
      <c r="U620" s="1244"/>
      <c r="V620" s="1244"/>
      <c r="W620" s="1244"/>
      <c r="X620" s="1244"/>
      <c r="Y620" s="1244"/>
      <c r="Z620" s="1244"/>
    </row>
    <row r="621" spans="1:26" ht="19.5">
      <c r="A621" s="1351"/>
      <c r="B621" s="1352"/>
      <c r="C621" s="1352" t="s">
        <v>267</v>
      </c>
      <c r="D621" s="1352"/>
      <c r="E621" s="1352"/>
      <c r="F621" s="1354"/>
      <c r="G621" s="1355"/>
      <c r="H621" s="693" t="s">
        <v>34</v>
      </c>
      <c r="I621" s="1356">
        <f ca="1">IFERROR(__xludf.DUMMYFUNCTION("IMPORTRANGE(""https://docs.google.com/spreadsheets/d/1QqKyyYR6Q21VydFLVH3TRQUabQu_ym0Zz7PgGX0-kHA/edit?usp=sharing"",""แผน!HK29"")"),50)</f>
        <v>50</v>
      </c>
      <c r="J621" s="1356">
        <f t="shared" si="260"/>
        <v>0</v>
      </c>
      <c r="K621" s="1357">
        <f t="shared" ca="1" si="261"/>
        <v>0</v>
      </c>
      <c r="L621" s="1358"/>
      <c r="M621" s="1358"/>
      <c r="N621" s="1358"/>
      <c r="O621" s="1358"/>
      <c r="P621" s="1358"/>
      <c r="Q621" s="1244"/>
      <c r="R621" s="1244"/>
      <c r="S621" s="1244"/>
      <c r="T621" s="1244"/>
      <c r="U621" s="1244"/>
      <c r="V621" s="1244"/>
      <c r="W621" s="1244"/>
      <c r="X621" s="1244"/>
      <c r="Y621" s="1244"/>
      <c r="Z621" s="1244"/>
    </row>
    <row r="622" spans="1:26" ht="18.75">
      <c r="A622" s="1267"/>
      <c r="B622" s="1268"/>
      <c r="C622" s="1268"/>
      <c r="D622" s="1017" t="s">
        <v>268</v>
      </c>
      <c r="E622" s="961"/>
      <c r="F622" s="961"/>
      <c r="G622" s="954"/>
      <c r="H622" s="730" t="s">
        <v>46</v>
      </c>
      <c r="I622" s="830"/>
      <c r="J622" s="959">
        <v>0</v>
      </c>
      <c r="K622" s="945"/>
      <c r="L622" s="945"/>
      <c r="M622" s="945"/>
      <c r="N622" s="945"/>
      <c r="O622" s="945"/>
      <c r="P622" s="945"/>
      <c r="Q622" s="1244"/>
      <c r="R622" s="1244"/>
      <c r="S622" s="1244"/>
      <c r="T622" s="1244"/>
      <c r="U622" s="1244"/>
      <c r="V622" s="1244"/>
      <c r="W622" s="1244"/>
      <c r="X622" s="1244"/>
      <c r="Y622" s="1244"/>
      <c r="Z622" s="1244"/>
    </row>
    <row r="623" spans="1:26" ht="18.75">
      <c r="A623" s="1267"/>
      <c r="B623" s="1268"/>
      <c r="C623" s="1268"/>
      <c r="D623" s="1268"/>
      <c r="E623" s="961"/>
      <c r="F623" s="961"/>
      <c r="G623" s="954"/>
      <c r="H623" s="730" t="s">
        <v>34</v>
      </c>
      <c r="I623" s="830"/>
      <c r="J623" s="959">
        <v>0</v>
      </c>
      <c r="K623" s="945"/>
      <c r="L623" s="945"/>
      <c r="M623" s="945"/>
      <c r="N623" s="945"/>
      <c r="O623" s="945"/>
      <c r="P623" s="945"/>
      <c r="Q623" s="1244"/>
      <c r="R623" s="1244"/>
      <c r="S623" s="1244"/>
      <c r="T623" s="1244"/>
      <c r="U623" s="1244"/>
      <c r="V623" s="1244"/>
      <c r="W623" s="1244"/>
      <c r="X623" s="1244"/>
      <c r="Y623" s="1244"/>
      <c r="Z623" s="1244"/>
    </row>
    <row r="624" spans="1:26" ht="18.75">
      <c r="A624" s="1267"/>
      <c r="B624" s="1268"/>
      <c r="C624" s="1268"/>
      <c r="D624" s="1017" t="s">
        <v>264</v>
      </c>
      <c r="E624" s="961"/>
      <c r="F624" s="961"/>
      <c r="G624" s="954"/>
      <c r="H624" s="730" t="s">
        <v>46</v>
      </c>
      <c r="I624" s="830"/>
      <c r="J624" s="959">
        <v>0</v>
      </c>
      <c r="K624" s="945"/>
      <c r="L624" s="945"/>
      <c r="M624" s="945"/>
      <c r="N624" s="945"/>
      <c r="O624" s="945"/>
      <c r="P624" s="945"/>
      <c r="Q624" s="1244"/>
      <c r="R624" s="1244"/>
      <c r="S624" s="1244"/>
      <c r="T624" s="1244"/>
      <c r="U624" s="1244"/>
      <c r="V624" s="1244"/>
      <c r="W624" s="1244"/>
      <c r="X624" s="1244"/>
      <c r="Y624" s="1244"/>
      <c r="Z624" s="1244"/>
    </row>
    <row r="625" spans="1:26" ht="18.75">
      <c r="A625" s="1267"/>
      <c r="B625" s="1268"/>
      <c r="C625" s="1268"/>
      <c r="D625" s="1268"/>
      <c r="E625" s="961"/>
      <c r="F625" s="961"/>
      <c r="G625" s="954"/>
      <c r="H625" s="730" t="s">
        <v>34</v>
      </c>
      <c r="I625" s="830"/>
      <c r="J625" s="959">
        <v>0</v>
      </c>
      <c r="K625" s="945"/>
      <c r="L625" s="945"/>
      <c r="M625" s="945"/>
      <c r="N625" s="945"/>
      <c r="O625" s="945"/>
      <c r="P625" s="945"/>
      <c r="Q625" s="1244"/>
      <c r="R625" s="1244"/>
      <c r="S625" s="1244"/>
      <c r="T625" s="1244"/>
      <c r="U625" s="1244"/>
      <c r="V625" s="1244"/>
      <c r="W625" s="1244"/>
      <c r="X625" s="1244"/>
      <c r="Y625" s="1244"/>
      <c r="Z625" s="1244"/>
    </row>
    <row r="626" spans="1:26" ht="18.75">
      <c r="A626" s="1267"/>
      <c r="B626" s="1268"/>
      <c r="C626" s="1268"/>
      <c r="D626" s="1017" t="s">
        <v>269</v>
      </c>
      <c r="E626" s="961"/>
      <c r="F626" s="961"/>
      <c r="G626" s="954"/>
      <c r="H626" s="730" t="s">
        <v>46</v>
      </c>
      <c r="I626" s="830"/>
      <c r="J626" s="959">
        <v>0</v>
      </c>
      <c r="K626" s="945"/>
      <c r="L626" s="945"/>
      <c r="M626" s="945"/>
      <c r="N626" s="945"/>
      <c r="O626" s="945"/>
      <c r="P626" s="945"/>
      <c r="Q626" s="1244"/>
      <c r="R626" s="1244"/>
      <c r="S626" s="1244"/>
      <c r="T626" s="1244"/>
      <c r="U626" s="1244"/>
      <c r="V626" s="1244"/>
      <c r="W626" s="1244"/>
      <c r="X626" s="1244"/>
      <c r="Y626" s="1244"/>
      <c r="Z626" s="1244"/>
    </row>
    <row r="627" spans="1:26" ht="18.75">
      <c r="A627" s="1359"/>
      <c r="B627" s="1360"/>
      <c r="C627" s="1360"/>
      <c r="D627" s="1360"/>
      <c r="E627" s="1116"/>
      <c r="F627" s="1116"/>
      <c r="G627" s="1361"/>
      <c r="H627" s="391" t="s">
        <v>34</v>
      </c>
      <c r="I627" s="1085"/>
      <c r="J627" s="1118">
        <v>0</v>
      </c>
      <c r="K627" s="1086"/>
      <c r="L627" s="1086"/>
      <c r="M627" s="1086"/>
      <c r="N627" s="1086"/>
      <c r="O627" s="1086"/>
      <c r="P627" s="1086"/>
      <c r="Q627" s="1244"/>
      <c r="R627" s="1244"/>
      <c r="S627" s="1244"/>
      <c r="T627" s="1244"/>
      <c r="U627" s="1244"/>
      <c r="V627" s="1244"/>
      <c r="W627" s="1244"/>
      <c r="X627" s="1244"/>
      <c r="Y627" s="1244"/>
      <c r="Z627" s="1244"/>
    </row>
    <row r="628" spans="1:26" ht="19.5">
      <c r="A628" s="702">
        <v>7</v>
      </c>
      <c r="B628" s="1362" t="s">
        <v>270</v>
      </c>
      <c r="C628" s="1363"/>
      <c r="D628" s="1363"/>
      <c r="E628" s="1363"/>
      <c r="F628" s="1363"/>
      <c r="G628" s="1364"/>
      <c r="H628" s="706" t="s">
        <v>35</v>
      </c>
      <c r="I628" s="1365">
        <f t="shared" ref="I628:J628" ca="1" si="262">I651</f>
        <v>10</v>
      </c>
      <c r="J628" s="1365">
        <f t="shared" ca="1" si="262"/>
        <v>0</v>
      </c>
      <c r="K628" s="1366">
        <f ca="1">IF(I628&gt;0,J628*100/I628,0)</f>
        <v>0</v>
      </c>
      <c r="L628" s="1367"/>
      <c r="M628" s="1367"/>
      <c r="N628" s="1367"/>
      <c r="O628" s="1367"/>
      <c r="P628" s="1367"/>
      <c r="Q628" s="1244"/>
      <c r="R628" s="1244"/>
      <c r="S628" s="1244"/>
      <c r="T628" s="1244"/>
      <c r="U628" s="1244"/>
      <c r="V628" s="1244"/>
      <c r="W628" s="1244"/>
      <c r="X628" s="1244"/>
      <c r="Y628" s="1244"/>
      <c r="Z628" s="1244"/>
    </row>
    <row r="629" spans="1:26" ht="19.5">
      <c r="A629" s="1259"/>
      <c r="B629" s="1243"/>
      <c r="C629" s="1243" t="s">
        <v>16</v>
      </c>
      <c r="D629" s="1507" t="s">
        <v>17</v>
      </c>
      <c r="E629" s="1485"/>
      <c r="F629" s="1485"/>
      <c r="G629" s="963"/>
      <c r="H629" s="563" t="s">
        <v>12</v>
      </c>
      <c r="I629" s="830"/>
      <c r="J629" s="830"/>
      <c r="K629" s="831"/>
      <c r="L629" s="967">
        <f t="shared" ref="L629:N629" ca="1" si="263">L630+L631</f>
        <v>165700</v>
      </c>
      <c r="M629" s="967">
        <f t="shared" si="263"/>
        <v>0</v>
      </c>
      <c r="N629" s="967">
        <f t="shared" si="263"/>
        <v>0</v>
      </c>
      <c r="O629" s="967">
        <f t="shared" ref="O629:O634" ca="1" si="264">IF(L629&gt;0,N629*100/L629,0)</f>
        <v>0</v>
      </c>
      <c r="P629" s="967">
        <f t="shared" ref="P629:P634" si="265">IF(M629&gt;0,N629*100/M629,0)</f>
        <v>0</v>
      </c>
      <c r="Q629" s="1244"/>
      <c r="R629" s="1244"/>
      <c r="S629" s="1244"/>
      <c r="T629" s="1244"/>
      <c r="U629" s="1244"/>
      <c r="V629" s="1244"/>
      <c r="W629" s="1244"/>
      <c r="X629" s="1244"/>
      <c r="Y629" s="1244"/>
      <c r="Z629" s="1244"/>
    </row>
    <row r="630" spans="1:26" ht="18.75" hidden="1">
      <c r="A630" s="1260"/>
      <c r="B630" s="1261"/>
      <c r="C630" s="1261"/>
      <c r="D630" s="1262"/>
      <c r="E630" s="1261" t="s">
        <v>184</v>
      </c>
      <c r="F630" s="1261"/>
      <c r="G630" s="1263"/>
      <c r="H630" s="165" t="s">
        <v>12</v>
      </c>
      <c r="I630" s="836"/>
      <c r="J630" s="836"/>
      <c r="K630" s="837"/>
      <c r="L630" s="837">
        <f t="shared" ref="L630:N631" si="266">L633+L640</f>
        <v>0</v>
      </c>
      <c r="M630" s="837">
        <f t="shared" si="266"/>
        <v>0</v>
      </c>
      <c r="N630" s="837">
        <f t="shared" si="266"/>
        <v>0</v>
      </c>
      <c r="O630" s="837">
        <f t="shared" si="264"/>
        <v>0</v>
      </c>
      <c r="P630" s="837">
        <f t="shared" si="265"/>
        <v>0</v>
      </c>
      <c r="Q630" s="1264"/>
      <c r="R630" s="1264"/>
      <c r="S630" s="1264"/>
      <c r="T630" s="1264"/>
      <c r="U630" s="1264"/>
      <c r="V630" s="1264"/>
      <c r="W630" s="1264"/>
      <c r="X630" s="1264"/>
      <c r="Y630" s="1264"/>
      <c r="Z630" s="1264"/>
    </row>
    <row r="631" spans="1:26" ht="18.75" hidden="1">
      <c r="A631" s="1260"/>
      <c r="B631" s="1265"/>
      <c r="C631" s="1261"/>
      <c r="D631" s="1262"/>
      <c r="E631" s="1261" t="s">
        <v>185</v>
      </c>
      <c r="F631" s="1261"/>
      <c r="G631" s="1263"/>
      <c r="H631" s="165" t="s">
        <v>12</v>
      </c>
      <c r="I631" s="836"/>
      <c r="J631" s="836"/>
      <c r="K631" s="837"/>
      <c r="L631" s="837">
        <f t="shared" ca="1" si="266"/>
        <v>165700</v>
      </c>
      <c r="M631" s="837">
        <f t="shared" si="266"/>
        <v>0</v>
      </c>
      <c r="N631" s="837">
        <f t="shared" si="266"/>
        <v>0</v>
      </c>
      <c r="O631" s="837">
        <f t="shared" ca="1" si="264"/>
        <v>0</v>
      </c>
      <c r="P631" s="837">
        <f t="shared" si="265"/>
        <v>0</v>
      </c>
      <c r="Q631" s="1264"/>
      <c r="R631" s="1264"/>
      <c r="S631" s="1264"/>
      <c r="T631" s="1264"/>
      <c r="U631" s="1264"/>
      <c r="V631" s="1264"/>
      <c r="W631" s="1264"/>
      <c r="X631" s="1264"/>
      <c r="Y631" s="1264"/>
      <c r="Z631" s="1264"/>
    </row>
    <row r="632" spans="1:26" ht="18.75">
      <c r="A632" s="1259"/>
      <c r="B632" s="1242"/>
      <c r="C632" s="1243"/>
      <c r="D632" s="1266" t="s">
        <v>20</v>
      </c>
      <c r="E632" s="1243"/>
      <c r="F632" s="1243"/>
      <c r="G632" s="963"/>
      <c r="H632" s="778" t="s">
        <v>12</v>
      </c>
      <c r="I632" s="944"/>
      <c r="J632" s="944"/>
      <c r="K632" s="945"/>
      <c r="L632" s="831">
        <f t="shared" ref="L632:N632" ca="1" si="267">L633+L634</f>
        <v>165700</v>
      </c>
      <c r="M632" s="831">
        <f t="shared" si="267"/>
        <v>0</v>
      </c>
      <c r="N632" s="831">
        <f t="shared" si="267"/>
        <v>0</v>
      </c>
      <c r="O632" s="831">
        <f t="shared" ca="1" si="264"/>
        <v>0</v>
      </c>
      <c r="P632" s="831">
        <f t="shared" si="265"/>
        <v>0</v>
      </c>
      <c r="Q632" s="1244"/>
      <c r="R632" s="1244"/>
      <c r="S632" s="1244"/>
      <c r="T632" s="1244"/>
      <c r="U632" s="1244"/>
      <c r="V632" s="1244"/>
      <c r="W632" s="1244"/>
      <c r="X632" s="1244"/>
      <c r="Y632" s="1244"/>
      <c r="Z632" s="1244"/>
    </row>
    <row r="633" spans="1:26" ht="18.75" hidden="1">
      <c r="A633" s="1260"/>
      <c r="B633" s="1265"/>
      <c r="C633" s="1261"/>
      <c r="D633" s="1262"/>
      <c r="E633" s="1261" t="s">
        <v>184</v>
      </c>
      <c r="F633" s="1261"/>
      <c r="G633" s="1263"/>
      <c r="H633" s="165" t="s">
        <v>12</v>
      </c>
      <c r="I633" s="836"/>
      <c r="J633" s="836"/>
      <c r="K633" s="837"/>
      <c r="L633" s="837">
        <v>0</v>
      </c>
      <c r="M633" s="837">
        <v>0</v>
      </c>
      <c r="N633" s="837">
        <v>0</v>
      </c>
      <c r="O633" s="837">
        <f t="shared" si="264"/>
        <v>0</v>
      </c>
      <c r="P633" s="837">
        <f t="shared" si="265"/>
        <v>0</v>
      </c>
      <c r="Q633" s="1264"/>
      <c r="R633" s="1264"/>
      <c r="S633" s="1264"/>
      <c r="T633" s="1264"/>
      <c r="U633" s="1264"/>
      <c r="V633" s="1264"/>
      <c r="W633" s="1264"/>
      <c r="X633" s="1264"/>
      <c r="Y633" s="1264"/>
      <c r="Z633" s="1264"/>
    </row>
    <row r="634" spans="1:26" ht="18.75" hidden="1">
      <c r="A634" s="1260"/>
      <c r="B634" s="1265"/>
      <c r="C634" s="1261"/>
      <c r="D634" s="1262"/>
      <c r="E634" s="1261" t="s">
        <v>185</v>
      </c>
      <c r="F634" s="1261"/>
      <c r="G634" s="1263"/>
      <c r="H634" s="165" t="s">
        <v>12</v>
      </c>
      <c r="I634" s="836"/>
      <c r="J634" s="836"/>
      <c r="K634" s="837"/>
      <c r="L634" s="837">
        <f ca="1">IFERROR(__xludf.DUMMYFUNCTION("IMPORTRANGE(""https://docs.google.com/spreadsheets/d/1QqKyyYR6Q21VydFLVH3TRQUabQu_ym0Zz7PgGX0-kHA/edit?usp=sharing"",""แผน!HN29"")"),165700)</f>
        <v>165700</v>
      </c>
      <c r="M634" s="837">
        <v>0</v>
      </c>
      <c r="N634" s="837">
        <f>N635+N636+N637+N638</f>
        <v>0</v>
      </c>
      <c r="O634" s="837">
        <f t="shared" ca="1" si="264"/>
        <v>0</v>
      </c>
      <c r="P634" s="837">
        <f t="shared" si="265"/>
        <v>0</v>
      </c>
      <c r="Q634" s="1264"/>
      <c r="R634" s="1264"/>
      <c r="S634" s="1264"/>
      <c r="T634" s="1264"/>
      <c r="U634" s="1264"/>
      <c r="V634" s="1264"/>
      <c r="W634" s="1264"/>
      <c r="X634" s="1264"/>
      <c r="Y634" s="1264"/>
      <c r="Z634" s="1264"/>
    </row>
    <row r="635" spans="1:26" ht="18.75">
      <c r="A635" s="1241"/>
      <c r="B635" s="1242"/>
      <c r="C635" s="1243"/>
      <c r="D635" s="1243"/>
      <c r="E635" s="1243"/>
      <c r="F635" s="1243" t="s">
        <v>186</v>
      </c>
      <c r="G635" s="963"/>
      <c r="H635" s="778" t="s">
        <v>12</v>
      </c>
      <c r="I635" s="830"/>
      <c r="J635" s="830"/>
      <c r="K635" s="831"/>
      <c r="L635" s="831"/>
      <c r="M635" s="831"/>
      <c r="N635" s="1031">
        <v>0</v>
      </c>
      <c r="O635" s="831"/>
      <c r="P635" s="831"/>
      <c r="Q635" s="1244"/>
      <c r="R635" s="1244"/>
      <c r="S635" s="1244"/>
      <c r="T635" s="1244"/>
      <c r="U635" s="1244"/>
      <c r="V635" s="1244"/>
      <c r="W635" s="1244"/>
      <c r="X635" s="1244"/>
      <c r="Y635" s="1244"/>
      <c r="Z635" s="1244"/>
    </row>
    <row r="636" spans="1:26" ht="18.75">
      <c r="A636" s="1241"/>
      <c r="B636" s="1242"/>
      <c r="C636" s="1243"/>
      <c r="D636" s="1243"/>
      <c r="E636" s="1243"/>
      <c r="F636" s="1243" t="s">
        <v>187</v>
      </c>
      <c r="G636" s="963"/>
      <c r="H636" s="778" t="s">
        <v>12</v>
      </c>
      <c r="I636" s="830"/>
      <c r="J636" s="830"/>
      <c r="K636" s="831"/>
      <c r="L636" s="831"/>
      <c r="M636" s="831"/>
      <c r="N636" s="1031">
        <v>0</v>
      </c>
      <c r="O636" s="831"/>
      <c r="P636" s="831"/>
      <c r="Q636" s="1244"/>
      <c r="R636" s="1244"/>
      <c r="S636" s="1244"/>
      <c r="T636" s="1244"/>
      <c r="U636" s="1244"/>
      <c r="V636" s="1244"/>
      <c r="W636" s="1244"/>
      <c r="X636" s="1244"/>
      <c r="Y636" s="1244"/>
      <c r="Z636" s="1244"/>
    </row>
    <row r="637" spans="1:26" ht="18.75">
      <c r="A637" s="1241"/>
      <c r="B637" s="1242"/>
      <c r="C637" s="1243"/>
      <c r="D637" s="1243"/>
      <c r="E637" s="1243"/>
      <c r="F637" s="1243" t="s">
        <v>188</v>
      </c>
      <c r="G637" s="963"/>
      <c r="H637" s="778" t="s">
        <v>12</v>
      </c>
      <c r="I637" s="830"/>
      <c r="J637" s="830"/>
      <c r="K637" s="831"/>
      <c r="L637" s="831"/>
      <c r="M637" s="831"/>
      <c r="N637" s="1031">
        <v>0</v>
      </c>
      <c r="O637" s="831"/>
      <c r="P637" s="831"/>
      <c r="Q637" s="1244"/>
      <c r="R637" s="1244"/>
      <c r="S637" s="1244"/>
      <c r="T637" s="1244"/>
      <c r="U637" s="1244"/>
      <c r="V637" s="1244"/>
      <c r="W637" s="1244"/>
      <c r="X637" s="1244"/>
      <c r="Y637" s="1244"/>
      <c r="Z637" s="1244"/>
    </row>
    <row r="638" spans="1:26" ht="18.75">
      <c r="A638" s="1241"/>
      <c r="B638" s="1242"/>
      <c r="C638" s="1243"/>
      <c r="D638" s="1243"/>
      <c r="E638" s="1243"/>
      <c r="F638" s="1243" t="s">
        <v>189</v>
      </c>
      <c r="G638" s="963"/>
      <c r="H638" s="778" t="s">
        <v>12</v>
      </c>
      <c r="I638" s="830"/>
      <c r="J638" s="830"/>
      <c r="K638" s="831"/>
      <c r="L638" s="831"/>
      <c r="M638" s="831"/>
      <c r="N638" s="1031">
        <v>0</v>
      </c>
      <c r="O638" s="831"/>
      <c r="P638" s="831"/>
      <c r="Q638" s="1244"/>
      <c r="R638" s="1244"/>
      <c r="S638" s="1244"/>
      <c r="T638" s="1244"/>
      <c r="U638" s="1244"/>
      <c r="V638" s="1244"/>
      <c r="W638" s="1244"/>
      <c r="X638" s="1244"/>
      <c r="Y638" s="1244"/>
      <c r="Z638" s="1244"/>
    </row>
    <row r="639" spans="1:26" ht="18.75">
      <c r="A639" s="1259"/>
      <c r="B639" s="1242"/>
      <c r="C639" s="1243"/>
      <c r="D639" s="1266" t="s">
        <v>21</v>
      </c>
      <c r="E639" s="1243"/>
      <c r="F639" s="1243"/>
      <c r="G639" s="963"/>
      <c r="H639" s="168" t="s">
        <v>12</v>
      </c>
      <c r="I639" s="944"/>
      <c r="J639" s="944"/>
      <c r="K639" s="945"/>
      <c r="L639" s="831">
        <f t="shared" ref="L639:N639" ca="1" si="268">L640+L641</f>
        <v>0</v>
      </c>
      <c r="M639" s="831">
        <f t="shared" si="268"/>
        <v>0</v>
      </c>
      <c r="N639" s="831">
        <f t="shared" si="268"/>
        <v>0</v>
      </c>
      <c r="O639" s="831">
        <f t="shared" ref="O639:O641" ca="1" si="269">IF(L639&gt;0,N639*100/L639,0)</f>
        <v>0</v>
      </c>
      <c r="P639" s="831">
        <f t="shared" ref="P639:P641" si="270">IF(M639&gt;0,N639*100/M639,0)</f>
        <v>0</v>
      </c>
      <c r="Q639" s="1244"/>
      <c r="R639" s="1244"/>
      <c r="S639" s="1244"/>
      <c r="T639" s="1244"/>
      <c r="U639" s="1244"/>
      <c r="V639" s="1244"/>
      <c r="W639" s="1244"/>
      <c r="X639" s="1244"/>
      <c r="Y639" s="1244"/>
      <c r="Z639" s="1244"/>
    </row>
    <row r="640" spans="1:26" ht="18.75" hidden="1">
      <c r="A640" s="1260"/>
      <c r="B640" s="1265"/>
      <c r="C640" s="1261"/>
      <c r="D640" s="1261"/>
      <c r="E640" s="1261" t="s">
        <v>18</v>
      </c>
      <c r="F640" s="1261"/>
      <c r="G640" s="1263"/>
      <c r="H640" s="165" t="s">
        <v>12</v>
      </c>
      <c r="I640" s="947"/>
      <c r="J640" s="947"/>
      <c r="K640" s="948"/>
      <c r="L640" s="837">
        <v>0</v>
      </c>
      <c r="M640" s="837">
        <v>0</v>
      </c>
      <c r="N640" s="837">
        <v>0</v>
      </c>
      <c r="O640" s="837">
        <f t="shared" si="269"/>
        <v>0</v>
      </c>
      <c r="P640" s="837">
        <f t="shared" si="270"/>
        <v>0</v>
      </c>
      <c r="Q640" s="1264"/>
      <c r="R640" s="1264"/>
      <c r="S640" s="1264"/>
      <c r="T640" s="1264"/>
      <c r="U640" s="1264"/>
      <c r="V640" s="1264"/>
      <c r="W640" s="1264"/>
      <c r="X640" s="1264"/>
      <c r="Y640" s="1264"/>
      <c r="Z640" s="1264"/>
    </row>
    <row r="641" spans="1:26" ht="18.75" hidden="1">
      <c r="A641" s="1260"/>
      <c r="B641" s="1265"/>
      <c r="C641" s="1261"/>
      <c r="D641" s="1261"/>
      <c r="E641" s="1261" t="s">
        <v>19</v>
      </c>
      <c r="F641" s="1261"/>
      <c r="G641" s="1263"/>
      <c r="H641" s="169" t="s">
        <v>12</v>
      </c>
      <c r="I641" s="947"/>
      <c r="J641" s="947"/>
      <c r="K641" s="948"/>
      <c r="L641" s="837">
        <f ca="1">IFERROR(__xludf.DUMMYFUNCTION("IMPORTRANGE(""https://docs.google.com/spreadsheets/d/1QqKyyYR6Q21VydFLVH3TRQUabQu_ym0Zz7PgGX0-kHA/edit?usp=sharing"",""แผน!HQ29"")"),0)</f>
        <v>0</v>
      </c>
      <c r="M641" s="837">
        <v>0</v>
      </c>
      <c r="N641" s="837">
        <v>0</v>
      </c>
      <c r="O641" s="837">
        <f t="shared" ca="1" si="269"/>
        <v>0</v>
      </c>
      <c r="P641" s="837">
        <f t="shared" si="270"/>
        <v>0</v>
      </c>
      <c r="Q641" s="1264"/>
      <c r="R641" s="1264"/>
      <c r="S641" s="1264"/>
      <c r="T641" s="1264"/>
      <c r="U641" s="1264"/>
      <c r="V641" s="1264"/>
      <c r="W641" s="1264"/>
      <c r="X641" s="1264"/>
      <c r="Y641" s="1264"/>
      <c r="Z641" s="1264"/>
    </row>
    <row r="642" spans="1:26" ht="19.5">
      <c r="A642" s="1267"/>
      <c r="B642" s="1268"/>
      <c r="C642" s="1243" t="s">
        <v>16</v>
      </c>
      <c r="D642" s="1320" t="s">
        <v>38</v>
      </c>
      <c r="E642" s="1271"/>
      <c r="F642" s="1271"/>
      <c r="G642" s="1272"/>
      <c r="H642" s="954"/>
      <c r="I642" s="944"/>
      <c r="J642" s="944"/>
      <c r="K642" s="945"/>
      <c r="L642" s="945"/>
      <c r="M642" s="945"/>
      <c r="N642" s="945"/>
      <c r="O642" s="945"/>
      <c r="P642" s="945"/>
      <c r="Q642" s="1244"/>
      <c r="R642" s="1244"/>
      <c r="S642" s="1244"/>
      <c r="T642" s="1244"/>
      <c r="U642" s="1244"/>
      <c r="V642" s="1244"/>
      <c r="W642" s="1244"/>
      <c r="X642" s="1244"/>
      <c r="Y642" s="1244"/>
      <c r="Z642" s="1244"/>
    </row>
    <row r="643" spans="1:26" ht="18.75">
      <c r="A643" s="1368"/>
      <c r="B643" s="1242"/>
      <c r="C643" s="1243"/>
      <c r="D643" s="961"/>
      <c r="E643" s="1017" t="s">
        <v>271</v>
      </c>
      <c r="F643" s="961"/>
      <c r="G643" s="954"/>
      <c r="H643" s="730" t="s">
        <v>272</v>
      </c>
      <c r="I643" s="830">
        <f ca="1">IFERROR(__xludf.DUMMYFUNCTION("IMPORTRANGE(""https://docs.google.com/spreadsheets/d/1QqKyyYR6Q21VydFLVH3TRQUabQu_ym0Zz7PgGX0-kHA/edit?usp=sharing"",""แผน!HR29"")"),0)</f>
        <v>0</v>
      </c>
      <c r="J643" s="959">
        <v>0</v>
      </c>
      <c r="K643" s="945">
        <f t="shared" ref="K643:K652" ca="1" si="271">IF(I643&gt;0,J643*100/I643,0)</f>
        <v>0</v>
      </c>
      <c r="L643" s="945"/>
      <c r="M643" s="945"/>
      <c r="N643" s="831"/>
      <c r="O643" s="945"/>
      <c r="P643" s="945"/>
      <c r="Q643" s="1244"/>
      <c r="R643" s="1244"/>
      <c r="S643" s="1244"/>
      <c r="T643" s="1244"/>
      <c r="U643" s="1244"/>
      <c r="V643" s="1244"/>
      <c r="W643" s="1244"/>
      <c r="X643" s="1244"/>
      <c r="Y643" s="1244"/>
      <c r="Z643" s="1244"/>
    </row>
    <row r="644" spans="1:26" ht="18.75">
      <c r="A644" s="1368"/>
      <c r="B644" s="1242"/>
      <c r="C644" s="1243"/>
      <c r="D644" s="961"/>
      <c r="E644" s="1017" t="s">
        <v>273</v>
      </c>
      <c r="F644" s="961"/>
      <c r="G644" s="954"/>
      <c r="H644" s="730" t="s">
        <v>274</v>
      </c>
      <c r="I644" s="830">
        <f ca="1">IFERROR(__xludf.DUMMYFUNCTION("IMPORTRANGE(""https://docs.google.com/spreadsheets/d/1QqKyyYR6Q21VydFLVH3TRQUabQu_ym0Zz7PgGX0-kHA/edit?usp=sharing"",""แผน!HR29"")"),0)</f>
        <v>0</v>
      </c>
      <c r="J644" s="959">
        <v>0</v>
      </c>
      <c r="K644" s="945">
        <f t="shared" ca="1" si="271"/>
        <v>0</v>
      </c>
      <c r="L644" s="945"/>
      <c r="M644" s="945"/>
      <c r="N644" s="831"/>
      <c r="O644" s="945"/>
      <c r="P644" s="945"/>
      <c r="Q644" s="1244"/>
      <c r="R644" s="1244"/>
      <c r="S644" s="1244"/>
      <c r="T644" s="1244"/>
      <c r="U644" s="1244"/>
      <c r="V644" s="1244"/>
      <c r="W644" s="1244"/>
      <c r="X644" s="1244"/>
      <c r="Y644" s="1244"/>
      <c r="Z644" s="1244"/>
    </row>
    <row r="645" spans="1:26" ht="18.75">
      <c r="A645" s="1368"/>
      <c r="B645" s="1242"/>
      <c r="C645" s="1243"/>
      <c r="D645" s="961"/>
      <c r="E645" s="1017" t="s">
        <v>275</v>
      </c>
      <c r="F645" s="961"/>
      <c r="G645" s="954"/>
      <c r="H645" s="730" t="s">
        <v>34</v>
      </c>
      <c r="I645" s="830">
        <v>0</v>
      </c>
      <c r="J645" s="830">
        <f ca="1">IFERROR(__xludf.DUMMYFUNCTION("IMPORTRANGE(""https://docs.google.com/spreadsheets/d/1XWAQStnk-4SwqDmLtmXYiTMKHgktTP8We1SCoS47DrQ/edit?usp=sharing"",""จัดที่ดิน!AS29"")"),0)</f>
        <v>0</v>
      </c>
      <c r="K645" s="945">
        <f t="shared" si="271"/>
        <v>0</v>
      </c>
      <c r="L645" s="945"/>
      <c r="M645" s="945"/>
      <c r="N645" s="831"/>
      <c r="O645" s="945"/>
      <c r="P645" s="945"/>
      <c r="Q645" s="1244"/>
      <c r="R645" s="1244"/>
      <c r="S645" s="1244"/>
      <c r="T645" s="1244"/>
      <c r="U645" s="1244"/>
      <c r="V645" s="1244"/>
      <c r="W645" s="1244"/>
      <c r="X645" s="1244"/>
      <c r="Y645" s="1244"/>
      <c r="Z645" s="1244"/>
    </row>
    <row r="646" spans="1:26" ht="18.75">
      <c r="A646" s="1368"/>
      <c r="B646" s="1242"/>
      <c r="C646" s="1243"/>
      <c r="D646" s="961"/>
      <c r="E646" s="961"/>
      <c r="F646" s="961"/>
      <c r="G646" s="954"/>
      <c r="H646" s="730" t="s">
        <v>46</v>
      </c>
      <c r="I646" s="830">
        <v>0</v>
      </c>
      <c r="J646" s="830">
        <f ca="1">IFERROR(__xludf.DUMMYFUNCTION("IMPORTRANGE(""https://docs.google.com/spreadsheets/d/1XWAQStnk-4SwqDmLtmXYiTMKHgktTP8We1SCoS47DrQ/edit?usp=sharing"",""จัดที่ดิน!AT29"")"),0)</f>
        <v>0</v>
      </c>
      <c r="K646" s="831">
        <f t="shared" si="271"/>
        <v>0</v>
      </c>
      <c r="L646" s="945"/>
      <c r="M646" s="945"/>
      <c r="N646" s="831"/>
      <c r="O646" s="945"/>
      <c r="P646" s="945"/>
      <c r="Q646" s="1244"/>
      <c r="R646" s="1244"/>
      <c r="S646" s="1244"/>
      <c r="T646" s="1244"/>
      <c r="U646" s="1244"/>
      <c r="V646" s="1244"/>
      <c r="W646" s="1244"/>
      <c r="X646" s="1244"/>
      <c r="Y646" s="1244"/>
      <c r="Z646" s="1244"/>
    </row>
    <row r="647" spans="1:26" ht="18.75">
      <c r="A647" s="1368"/>
      <c r="B647" s="1242"/>
      <c r="C647" s="1243"/>
      <c r="D647" s="961"/>
      <c r="E647" s="1017" t="s">
        <v>162</v>
      </c>
      <c r="F647" s="961"/>
      <c r="G647" s="954"/>
      <c r="H647" s="730" t="s">
        <v>35</v>
      </c>
      <c r="I647" s="830">
        <f ca="1">IFERROR(__xludf.DUMMYFUNCTION("IMPORTRANGE(""https://docs.google.com/spreadsheets/d/1QqKyyYR6Q21VydFLVH3TRQUabQu_ym0Zz7PgGX0-kHA/edit?usp=sharing"",""แผน!HS29"")"),10)</f>
        <v>10</v>
      </c>
      <c r="J647" s="830">
        <f ca="1">IFERROR(__xludf.DUMMYFUNCTION("IMPORTRANGE(""https://docs.google.com/spreadsheets/d/1XWAQStnk-4SwqDmLtmXYiTMKHgktTP8We1SCoS47DrQ/edit?usp=sharing"",""จัดที่ดิน!AU29"")"),0)</f>
        <v>0</v>
      </c>
      <c r="K647" s="945">
        <f t="shared" ca="1" si="271"/>
        <v>0</v>
      </c>
      <c r="L647" s="945"/>
      <c r="M647" s="945"/>
      <c r="N647" s="945"/>
      <c r="O647" s="945"/>
      <c r="P647" s="945"/>
      <c r="Q647" s="1244"/>
      <c r="R647" s="1244"/>
      <c r="S647" s="1244"/>
      <c r="T647" s="1244"/>
      <c r="U647" s="1244"/>
      <c r="V647" s="1244"/>
      <c r="W647" s="1244"/>
      <c r="X647" s="1244"/>
      <c r="Y647" s="1244"/>
      <c r="Z647" s="1244"/>
    </row>
    <row r="648" spans="1:26" ht="18.75">
      <c r="A648" s="1368"/>
      <c r="B648" s="1242"/>
      <c r="C648" s="1243"/>
      <c r="D648" s="961"/>
      <c r="E648" s="961"/>
      <c r="F648" s="961"/>
      <c r="G648" s="954"/>
      <c r="H648" s="730" t="s">
        <v>46</v>
      </c>
      <c r="I648" s="830">
        <v>0</v>
      </c>
      <c r="J648" s="830">
        <f ca="1">IFERROR(__xludf.DUMMYFUNCTION("IMPORTRANGE(""https://docs.google.com/spreadsheets/d/1XWAQStnk-4SwqDmLtmXYiTMKHgktTP8We1SCoS47DrQ/edit?usp=sharing"",""จัดที่ดิน!AV29"")"),0)</f>
        <v>0</v>
      </c>
      <c r="K648" s="831">
        <f t="shared" si="271"/>
        <v>0</v>
      </c>
      <c r="L648" s="945"/>
      <c r="M648" s="945"/>
      <c r="N648" s="945"/>
      <c r="O648" s="945"/>
      <c r="P648" s="945"/>
      <c r="Q648" s="1244"/>
      <c r="R648" s="1244"/>
      <c r="S648" s="1244"/>
      <c r="T648" s="1244"/>
      <c r="U648" s="1244"/>
      <c r="V648" s="1244"/>
      <c r="W648" s="1244"/>
      <c r="X648" s="1244"/>
      <c r="Y648" s="1244"/>
      <c r="Z648" s="1244"/>
    </row>
    <row r="649" spans="1:26" ht="18.75">
      <c r="A649" s="1368"/>
      <c r="B649" s="1242"/>
      <c r="C649" s="1243"/>
      <c r="D649" s="961"/>
      <c r="E649" s="1017" t="s">
        <v>276</v>
      </c>
      <c r="F649" s="961"/>
      <c r="G649" s="954"/>
      <c r="H649" s="730" t="s">
        <v>35</v>
      </c>
      <c r="I649" s="830">
        <f ca="1">IFERROR(__xludf.DUMMYFUNCTION("IMPORTRANGE(""https://docs.google.com/spreadsheets/d/1QqKyyYR6Q21VydFLVH3TRQUabQu_ym0Zz7PgGX0-kHA/edit?usp=sharing"",""แผน!HS29"")"),10)</f>
        <v>10</v>
      </c>
      <c r="J649" s="830">
        <f ca="1">IFERROR(__xludf.DUMMYFUNCTION("IMPORTRANGE(""https://docs.google.com/spreadsheets/d/1XWAQStnk-4SwqDmLtmXYiTMKHgktTP8We1SCoS47DrQ/edit?usp=sharing"",""จัดที่ดิน!AW29"")"),0)</f>
        <v>0</v>
      </c>
      <c r="K649" s="945">
        <f t="shared" ca="1" si="271"/>
        <v>0</v>
      </c>
      <c r="L649" s="945"/>
      <c r="M649" s="945"/>
      <c r="N649" s="945"/>
      <c r="O649" s="945"/>
      <c r="P649" s="945"/>
      <c r="Q649" s="1244"/>
      <c r="R649" s="1244"/>
      <c r="S649" s="1244"/>
      <c r="T649" s="1244"/>
      <c r="U649" s="1244"/>
      <c r="V649" s="1244"/>
      <c r="W649" s="1244"/>
      <c r="X649" s="1244"/>
      <c r="Y649" s="1244"/>
      <c r="Z649" s="1244"/>
    </row>
    <row r="650" spans="1:26" ht="18.75">
      <c r="A650" s="1368"/>
      <c r="B650" s="1242"/>
      <c r="C650" s="1243"/>
      <c r="D650" s="961"/>
      <c r="E650" s="961"/>
      <c r="F650" s="961"/>
      <c r="G650" s="954"/>
      <c r="H650" s="730" t="s">
        <v>46</v>
      </c>
      <c r="I650" s="830">
        <v>0</v>
      </c>
      <c r="J650" s="830">
        <f ca="1">IFERROR(__xludf.DUMMYFUNCTION("IMPORTRANGE(""https://docs.google.com/spreadsheets/d/1XWAQStnk-4SwqDmLtmXYiTMKHgktTP8We1SCoS47DrQ/edit?usp=sharing"",""จัดที่ดิน!AX29"")"),0)</f>
        <v>0</v>
      </c>
      <c r="K650" s="831">
        <f t="shared" si="271"/>
        <v>0</v>
      </c>
      <c r="L650" s="945"/>
      <c r="M650" s="945"/>
      <c r="N650" s="945"/>
      <c r="O650" s="945"/>
      <c r="P650" s="945"/>
      <c r="Q650" s="1244"/>
      <c r="R650" s="1244"/>
      <c r="S650" s="1244"/>
      <c r="T650" s="1244"/>
      <c r="U650" s="1244"/>
      <c r="V650" s="1244"/>
      <c r="W650" s="1244"/>
      <c r="X650" s="1244"/>
      <c r="Y650" s="1244"/>
      <c r="Z650" s="1244"/>
    </row>
    <row r="651" spans="1:26" ht="18.75">
      <c r="A651" s="1368"/>
      <c r="B651" s="1242"/>
      <c r="C651" s="1243"/>
      <c r="D651" s="961"/>
      <c r="E651" s="1017" t="s">
        <v>277</v>
      </c>
      <c r="F651" s="961"/>
      <c r="G651" s="954"/>
      <c r="H651" s="730" t="s">
        <v>35</v>
      </c>
      <c r="I651" s="830">
        <f ca="1">IFERROR(__xludf.DUMMYFUNCTION("IMPORTRANGE(""https://docs.google.com/spreadsheets/d/1QqKyyYR6Q21VydFLVH3TRQUabQu_ym0Zz7PgGX0-kHA/edit?usp=sharing"",""แผน!HS29"")"),10)</f>
        <v>10</v>
      </c>
      <c r="J651" s="830">
        <f ca="1">IFERROR(__xludf.DUMMYFUNCTION("IMPORTRANGE(""https://docs.google.com/spreadsheets/d/1XWAQStnk-4SwqDmLtmXYiTMKHgktTP8We1SCoS47DrQ/edit?usp=sharing"",""จัดที่ดิน!AY29"")"),0)</f>
        <v>0</v>
      </c>
      <c r="K651" s="945">
        <f t="shared" ca="1" si="271"/>
        <v>0</v>
      </c>
      <c r="L651" s="945"/>
      <c r="M651" s="945"/>
      <c r="N651" s="945"/>
      <c r="O651" s="945"/>
      <c r="P651" s="945"/>
      <c r="Q651" s="1244"/>
      <c r="R651" s="1244"/>
      <c r="S651" s="1244"/>
      <c r="T651" s="1244"/>
      <c r="U651" s="1244"/>
      <c r="V651" s="1244"/>
      <c r="W651" s="1244"/>
      <c r="X651" s="1244"/>
      <c r="Y651" s="1244"/>
      <c r="Z651" s="1244"/>
    </row>
    <row r="652" spans="1:26" ht="18.75">
      <c r="A652" s="1369"/>
      <c r="B652" s="1370"/>
      <c r="C652" s="1371"/>
      <c r="D652" s="1116"/>
      <c r="E652" s="1116"/>
      <c r="F652" s="1116"/>
      <c r="G652" s="1361"/>
      <c r="H652" s="468" t="s">
        <v>46</v>
      </c>
      <c r="I652" s="1085">
        <v>0</v>
      </c>
      <c r="J652" s="1085">
        <f ca="1">IFERROR(__xludf.DUMMYFUNCTION("IMPORTRANGE(""https://docs.google.com/spreadsheets/d/1XWAQStnk-4SwqDmLtmXYiTMKHgktTP8We1SCoS47DrQ/edit?usp=sharing"",""จัดที่ดิน!AZ29"")"),0)</f>
        <v>0</v>
      </c>
      <c r="K652" s="1182">
        <f t="shared" si="271"/>
        <v>0</v>
      </c>
      <c r="L652" s="1086"/>
      <c r="M652" s="1086"/>
      <c r="N652" s="1086"/>
      <c r="O652" s="1086"/>
      <c r="P652" s="1086"/>
      <c r="Q652" s="1244"/>
      <c r="R652" s="1244"/>
      <c r="S652" s="1244"/>
      <c r="T652" s="1244"/>
      <c r="U652" s="1244"/>
      <c r="V652" s="1244"/>
      <c r="W652" s="1244"/>
      <c r="X652" s="1244"/>
      <c r="Y652" s="1244"/>
      <c r="Z652" s="1244"/>
    </row>
    <row r="653" spans="1:26" ht="19.5">
      <c r="A653" s="716">
        <v>8</v>
      </c>
      <c r="B653" s="1362" t="s">
        <v>278</v>
      </c>
      <c r="C653" s="1363"/>
      <c r="D653" s="1363"/>
      <c r="E653" s="1363"/>
      <c r="F653" s="1363"/>
      <c r="G653" s="1364"/>
      <c r="H653" s="1364"/>
      <c r="I653" s="1372"/>
      <c r="J653" s="1372"/>
      <c r="K653" s="1367"/>
      <c r="L653" s="1367"/>
      <c r="M653" s="1367"/>
      <c r="N653" s="1367"/>
      <c r="O653" s="1367"/>
      <c r="P653" s="1367"/>
      <c r="Q653" s="1244"/>
      <c r="R653" s="1244"/>
      <c r="S653" s="1244"/>
      <c r="T653" s="1244"/>
      <c r="U653" s="1244"/>
      <c r="V653" s="1244"/>
      <c r="W653" s="1244"/>
      <c r="X653" s="1244"/>
      <c r="Y653" s="1244"/>
      <c r="Z653" s="1244"/>
    </row>
    <row r="654" spans="1:26" ht="19.5">
      <c r="A654" s="1315"/>
      <c r="B654" s="1314" t="s">
        <v>279</v>
      </c>
      <c r="C654" s="1315"/>
      <c r="D654" s="1315"/>
      <c r="E654" s="1315"/>
      <c r="F654" s="1315"/>
      <c r="G654" s="1316"/>
      <c r="H654" s="673" t="s">
        <v>46</v>
      </c>
      <c r="I654" s="1317">
        <f t="shared" ref="I654:J654" ca="1" si="272">I669</f>
        <v>50</v>
      </c>
      <c r="J654" s="1317">
        <f t="shared" si="272"/>
        <v>0</v>
      </c>
      <c r="K654" s="1318">
        <f ca="1">IF(I654&gt;0,J654*100/I654,0)</f>
        <v>0</v>
      </c>
      <c r="L654" s="1319"/>
      <c r="M654" s="1319"/>
      <c r="N654" s="1319"/>
      <c r="O654" s="1319"/>
      <c r="P654" s="1319"/>
      <c r="Q654" s="1244"/>
      <c r="R654" s="1244"/>
      <c r="S654" s="1244"/>
      <c r="T654" s="1244"/>
      <c r="U654" s="1244"/>
      <c r="V654" s="1244"/>
      <c r="W654" s="1244"/>
      <c r="X654" s="1244"/>
      <c r="Y654" s="1244"/>
      <c r="Z654" s="1244"/>
    </row>
    <row r="655" spans="1:26" ht="19.5">
      <c r="A655" s="1259"/>
      <c r="B655" s="1243"/>
      <c r="C655" s="1243" t="s">
        <v>16</v>
      </c>
      <c r="D655" s="1507" t="s">
        <v>17</v>
      </c>
      <c r="E655" s="1485"/>
      <c r="F655" s="1485"/>
      <c r="G655" s="963"/>
      <c r="H655" s="563" t="s">
        <v>12</v>
      </c>
      <c r="I655" s="830"/>
      <c r="J655" s="830"/>
      <c r="K655" s="831"/>
      <c r="L655" s="967">
        <f t="shared" ref="L655:N655" ca="1" si="273">L656+L657</f>
        <v>9400</v>
      </c>
      <c r="M655" s="967">
        <f t="shared" si="273"/>
        <v>0</v>
      </c>
      <c r="N655" s="967">
        <f t="shared" si="273"/>
        <v>2500</v>
      </c>
      <c r="O655" s="967">
        <f t="shared" ref="O655:O660" ca="1" si="274">IF(L655&gt;0,N655*100/L655,0)</f>
        <v>26.595744680851062</v>
      </c>
      <c r="P655" s="967">
        <f t="shared" ref="P655:P660" si="275">IF(M655&gt;0,N655*100/M655,0)</f>
        <v>0</v>
      </c>
      <c r="Q655" s="1244"/>
      <c r="R655" s="1244"/>
      <c r="S655" s="1244"/>
      <c r="T655" s="1244"/>
      <c r="U655" s="1244"/>
      <c r="V655" s="1244"/>
      <c r="W655" s="1244"/>
      <c r="X655" s="1244"/>
      <c r="Y655" s="1244"/>
      <c r="Z655" s="1244"/>
    </row>
    <row r="656" spans="1:26" ht="18.75" hidden="1">
      <c r="A656" s="1260"/>
      <c r="B656" s="1261"/>
      <c r="C656" s="1261"/>
      <c r="D656" s="1262"/>
      <c r="E656" s="1261" t="s">
        <v>184</v>
      </c>
      <c r="F656" s="1261"/>
      <c r="G656" s="1263"/>
      <c r="H656" s="165" t="s">
        <v>12</v>
      </c>
      <c r="I656" s="836"/>
      <c r="J656" s="836"/>
      <c r="K656" s="837"/>
      <c r="L656" s="837">
        <f t="shared" ref="L656:N657" si="276">L659+L666</f>
        <v>0</v>
      </c>
      <c r="M656" s="837">
        <f t="shared" si="276"/>
        <v>0</v>
      </c>
      <c r="N656" s="837">
        <f t="shared" si="276"/>
        <v>0</v>
      </c>
      <c r="O656" s="837">
        <f t="shared" si="274"/>
        <v>0</v>
      </c>
      <c r="P656" s="837">
        <f t="shared" si="275"/>
        <v>0</v>
      </c>
      <c r="Q656" s="1264"/>
      <c r="R656" s="1264"/>
      <c r="S656" s="1264"/>
      <c r="T656" s="1264"/>
      <c r="U656" s="1264"/>
      <c r="V656" s="1264"/>
      <c r="W656" s="1264"/>
      <c r="X656" s="1264"/>
      <c r="Y656" s="1264"/>
      <c r="Z656" s="1264"/>
    </row>
    <row r="657" spans="1:26" ht="18.75" hidden="1">
      <c r="A657" s="1260"/>
      <c r="B657" s="1265"/>
      <c r="C657" s="1261"/>
      <c r="D657" s="1262"/>
      <c r="E657" s="1261" t="s">
        <v>185</v>
      </c>
      <c r="F657" s="1261"/>
      <c r="G657" s="1263"/>
      <c r="H657" s="165" t="s">
        <v>12</v>
      </c>
      <c r="I657" s="836"/>
      <c r="J657" s="836"/>
      <c r="K657" s="837"/>
      <c r="L657" s="837">
        <f t="shared" ca="1" si="276"/>
        <v>9400</v>
      </c>
      <c r="M657" s="837">
        <f t="shared" si="276"/>
        <v>0</v>
      </c>
      <c r="N657" s="837">
        <f t="shared" si="276"/>
        <v>2500</v>
      </c>
      <c r="O657" s="837">
        <f t="shared" ca="1" si="274"/>
        <v>26.595744680851062</v>
      </c>
      <c r="P657" s="837">
        <f t="shared" si="275"/>
        <v>0</v>
      </c>
      <c r="Q657" s="1264"/>
      <c r="R657" s="1264"/>
      <c r="S657" s="1264"/>
      <c r="T657" s="1264"/>
      <c r="U657" s="1264"/>
      <c r="V657" s="1264"/>
      <c r="W657" s="1264"/>
      <c r="X657" s="1264"/>
      <c r="Y657" s="1264"/>
      <c r="Z657" s="1264"/>
    </row>
    <row r="658" spans="1:26" ht="18.75">
      <c r="A658" s="1259"/>
      <c r="B658" s="1242"/>
      <c r="C658" s="1243"/>
      <c r="D658" s="1266" t="s">
        <v>20</v>
      </c>
      <c r="E658" s="1243"/>
      <c r="F658" s="1243"/>
      <c r="G658" s="963"/>
      <c r="H658" s="778" t="s">
        <v>12</v>
      </c>
      <c r="I658" s="944"/>
      <c r="J658" s="944"/>
      <c r="K658" s="945"/>
      <c r="L658" s="831">
        <f t="shared" ref="L658:N658" ca="1" si="277">L659+L660</f>
        <v>9400</v>
      </c>
      <c r="M658" s="831">
        <f t="shared" si="277"/>
        <v>0</v>
      </c>
      <c r="N658" s="831">
        <f t="shared" si="277"/>
        <v>2500</v>
      </c>
      <c r="O658" s="831">
        <f t="shared" ca="1" si="274"/>
        <v>26.595744680851062</v>
      </c>
      <c r="P658" s="831">
        <f t="shared" si="275"/>
        <v>0</v>
      </c>
      <c r="Q658" s="1244"/>
      <c r="R658" s="1244"/>
      <c r="S658" s="1244"/>
      <c r="T658" s="1244"/>
      <c r="U658" s="1244"/>
      <c r="V658" s="1244"/>
      <c r="W658" s="1244"/>
      <c r="X658" s="1244"/>
      <c r="Y658" s="1244"/>
      <c r="Z658" s="1244"/>
    </row>
    <row r="659" spans="1:26" ht="18.75" hidden="1">
      <c r="A659" s="1260"/>
      <c r="B659" s="1265"/>
      <c r="C659" s="1261"/>
      <c r="D659" s="1262"/>
      <c r="E659" s="1261" t="s">
        <v>184</v>
      </c>
      <c r="F659" s="1261"/>
      <c r="G659" s="1263"/>
      <c r="H659" s="165" t="s">
        <v>12</v>
      </c>
      <c r="I659" s="836"/>
      <c r="J659" s="836"/>
      <c r="K659" s="837"/>
      <c r="L659" s="837">
        <v>0</v>
      </c>
      <c r="M659" s="837">
        <v>0</v>
      </c>
      <c r="N659" s="837">
        <v>0</v>
      </c>
      <c r="O659" s="837">
        <f t="shared" si="274"/>
        <v>0</v>
      </c>
      <c r="P659" s="837">
        <f t="shared" si="275"/>
        <v>0</v>
      </c>
      <c r="Q659" s="1264"/>
      <c r="R659" s="1264"/>
      <c r="S659" s="1264"/>
      <c r="T659" s="1264"/>
      <c r="U659" s="1264"/>
      <c r="V659" s="1264"/>
      <c r="W659" s="1264"/>
      <c r="X659" s="1264"/>
      <c r="Y659" s="1264"/>
      <c r="Z659" s="1264"/>
    </row>
    <row r="660" spans="1:26" ht="18.75" hidden="1">
      <c r="A660" s="1260"/>
      <c r="B660" s="1265"/>
      <c r="C660" s="1261"/>
      <c r="D660" s="1262"/>
      <c r="E660" s="1261" t="s">
        <v>185</v>
      </c>
      <c r="F660" s="1261"/>
      <c r="G660" s="1263"/>
      <c r="H660" s="165" t="s">
        <v>12</v>
      </c>
      <c r="I660" s="836"/>
      <c r="J660" s="836"/>
      <c r="K660" s="837"/>
      <c r="L660" s="837">
        <f ca="1">IFERROR(__xludf.DUMMYFUNCTION("IMPORTRANGE(""https://docs.google.com/spreadsheets/d/1QqKyyYR6Q21VydFLVH3TRQUabQu_ym0Zz7PgGX0-kHA/edit?usp=sharing"",""แผน!HV29"")"),9400)</f>
        <v>9400</v>
      </c>
      <c r="M660" s="837">
        <v>0</v>
      </c>
      <c r="N660" s="837">
        <f>N661+N662+N663+N664</f>
        <v>2500</v>
      </c>
      <c r="O660" s="837">
        <f t="shared" ca="1" si="274"/>
        <v>26.595744680851062</v>
      </c>
      <c r="P660" s="837">
        <f t="shared" si="275"/>
        <v>0</v>
      </c>
      <c r="Q660" s="1264"/>
      <c r="R660" s="1264"/>
      <c r="S660" s="1264"/>
      <c r="T660" s="1264"/>
      <c r="U660" s="1264"/>
      <c r="V660" s="1264"/>
      <c r="W660" s="1264"/>
      <c r="X660" s="1264"/>
      <c r="Y660" s="1264"/>
      <c r="Z660" s="1264"/>
    </row>
    <row r="661" spans="1:26" ht="18.75">
      <c r="A661" s="1241"/>
      <c r="B661" s="1242"/>
      <c r="C661" s="1243"/>
      <c r="D661" s="1243"/>
      <c r="E661" s="1243"/>
      <c r="F661" s="1243" t="s">
        <v>186</v>
      </c>
      <c r="G661" s="963"/>
      <c r="H661" s="778" t="s">
        <v>12</v>
      </c>
      <c r="I661" s="830"/>
      <c r="J661" s="830"/>
      <c r="K661" s="831"/>
      <c r="L661" s="831"/>
      <c r="M661" s="831"/>
      <c r="N661" s="1031">
        <v>0</v>
      </c>
      <c r="O661" s="831"/>
      <c r="P661" s="831"/>
      <c r="Q661" s="1244"/>
      <c r="R661" s="1244"/>
      <c r="S661" s="1244"/>
      <c r="T661" s="1244"/>
      <c r="U661" s="1244"/>
      <c r="V661" s="1244"/>
      <c r="W661" s="1244"/>
      <c r="X661" s="1244"/>
      <c r="Y661" s="1244"/>
      <c r="Z661" s="1244"/>
    </row>
    <row r="662" spans="1:26" ht="18.75">
      <c r="A662" s="1241"/>
      <c r="B662" s="1242"/>
      <c r="C662" s="1243"/>
      <c r="D662" s="1243"/>
      <c r="E662" s="1243"/>
      <c r="F662" s="1243" t="s">
        <v>187</v>
      </c>
      <c r="G662" s="963"/>
      <c r="H662" s="778" t="s">
        <v>12</v>
      </c>
      <c r="I662" s="830"/>
      <c r="J662" s="830"/>
      <c r="K662" s="831"/>
      <c r="L662" s="831"/>
      <c r="M662" s="831"/>
      <c r="N662" s="1031">
        <v>0</v>
      </c>
      <c r="O662" s="831"/>
      <c r="P662" s="831"/>
      <c r="Q662" s="1244"/>
      <c r="R662" s="1244"/>
      <c r="S662" s="1244"/>
      <c r="T662" s="1244"/>
      <c r="U662" s="1244"/>
      <c r="V662" s="1244"/>
      <c r="W662" s="1244"/>
      <c r="X662" s="1244"/>
      <c r="Y662" s="1244"/>
      <c r="Z662" s="1244"/>
    </row>
    <row r="663" spans="1:26" ht="18.75">
      <c r="A663" s="1241"/>
      <c r="B663" s="1242"/>
      <c r="C663" s="1242"/>
      <c r="D663" s="1243"/>
      <c r="E663" s="1243"/>
      <c r="F663" s="1243" t="s">
        <v>188</v>
      </c>
      <c r="G663" s="963"/>
      <c r="H663" s="778" t="s">
        <v>12</v>
      </c>
      <c r="I663" s="830"/>
      <c r="J663" s="830"/>
      <c r="K663" s="831"/>
      <c r="L663" s="831"/>
      <c r="M663" s="831"/>
      <c r="N663" s="1031">
        <v>0</v>
      </c>
      <c r="O663" s="831"/>
      <c r="P663" s="831"/>
      <c r="Q663" s="1244"/>
      <c r="R663" s="1244"/>
      <c r="S663" s="1244"/>
      <c r="T663" s="1244"/>
      <c r="U663" s="1244"/>
      <c r="V663" s="1244"/>
      <c r="W663" s="1244"/>
      <c r="X663" s="1244"/>
      <c r="Y663" s="1244"/>
      <c r="Z663" s="1244"/>
    </row>
    <row r="664" spans="1:26" ht="18.75">
      <c r="A664" s="1241"/>
      <c r="B664" s="1242"/>
      <c r="C664" s="1242"/>
      <c r="D664" s="1242"/>
      <c r="E664" s="1243"/>
      <c r="F664" s="1243" t="s">
        <v>189</v>
      </c>
      <c r="G664" s="963"/>
      <c r="H664" s="778" t="s">
        <v>12</v>
      </c>
      <c r="I664" s="830"/>
      <c r="J664" s="830"/>
      <c r="K664" s="831"/>
      <c r="L664" s="831"/>
      <c r="M664" s="831"/>
      <c r="N664" s="1031">
        <v>2500</v>
      </c>
      <c r="O664" s="831"/>
      <c r="P664" s="831"/>
      <c r="Q664" s="1244"/>
      <c r="R664" s="1244"/>
      <c r="S664" s="1244"/>
      <c r="T664" s="1244"/>
      <c r="U664" s="1244"/>
      <c r="V664" s="1244"/>
      <c r="W664" s="1244"/>
      <c r="X664" s="1244"/>
      <c r="Y664" s="1244"/>
      <c r="Z664" s="1244"/>
    </row>
    <row r="665" spans="1:26" ht="18.75">
      <c r="A665" s="1259"/>
      <c r="B665" s="1242"/>
      <c r="C665" s="1242"/>
      <c r="D665" s="1266" t="s">
        <v>21</v>
      </c>
      <c r="E665" s="1243"/>
      <c r="F665" s="1243"/>
      <c r="G665" s="963"/>
      <c r="H665" s="168" t="s">
        <v>12</v>
      </c>
      <c r="I665" s="944"/>
      <c r="J665" s="944"/>
      <c r="K665" s="945"/>
      <c r="L665" s="831">
        <f t="shared" ref="L665:N665" si="278">L666+L667</f>
        <v>0</v>
      </c>
      <c r="M665" s="831">
        <f t="shared" si="278"/>
        <v>0</v>
      </c>
      <c r="N665" s="831">
        <f t="shared" si="278"/>
        <v>0</v>
      </c>
      <c r="O665" s="831">
        <f t="shared" ref="O665:O667" si="279">IF(L665&gt;0,N665*100/L665,0)</f>
        <v>0</v>
      </c>
      <c r="P665" s="831">
        <f t="shared" ref="P665:P667" si="280">IF(M665&gt;0,N665*100/M665,0)</f>
        <v>0</v>
      </c>
      <c r="Q665" s="1244"/>
      <c r="R665" s="1244"/>
      <c r="S665" s="1244"/>
      <c r="T665" s="1244"/>
      <c r="U665" s="1244"/>
      <c r="V665" s="1244"/>
      <c r="W665" s="1244"/>
      <c r="X665" s="1244"/>
      <c r="Y665" s="1244"/>
      <c r="Z665" s="1244"/>
    </row>
    <row r="666" spans="1:26" ht="18.75" hidden="1">
      <c r="A666" s="1260"/>
      <c r="B666" s="1265"/>
      <c r="C666" s="1265"/>
      <c r="D666" s="1265"/>
      <c r="E666" s="1261" t="s">
        <v>18</v>
      </c>
      <c r="F666" s="1261"/>
      <c r="G666" s="1263"/>
      <c r="H666" s="165" t="s">
        <v>12</v>
      </c>
      <c r="I666" s="947"/>
      <c r="J666" s="947"/>
      <c r="K666" s="948"/>
      <c r="L666" s="837">
        <v>0</v>
      </c>
      <c r="M666" s="837">
        <v>0</v>
      </c>
      <c r="N666" s="837">
        <v>0</v>
      </c>
      <c r="O666" s="837">
        <f t="shared" si="279"/>
        <v>0</v>
      </c>
      <c r="P666" s="837">
        <f t="shared" si="280"/>
        <v>0</v>
      </c>
      <c r="Q666" s="1264"/>
      <c r="R666" s="1264"/>
      <c r="S666" s="1264"/>
      <c r="T666" s="1264"/>
      <c r="U666" s="1264"/>
      <c r="V666" s="1264"/>
      <c r="W666" s="1264"/>
      <c r="X666" s="1264"/>
      <c r="Y666" s="1264"/>
      <c r="Z666" s="1264"/>
    </row>
    <row r="667" spans="1:26" ht="18.75" hidden="1">
      <c r="A667" s="1260"/>
      <c r="B667" s="1265"/>
      <c r="C667" s="1265"/>
      <c r="D667" s="1265"/>
      <c r="E667" s="1261" t="s">
        <v>19</v>
      </c>
      <c r="F667" s="1261"/>
      <c r="G667" s="1263"/>
      <c r="H667" s="169" t="s">
        <v>12</v>
      </c>
      <c r="I667" s="947"/>
      <c r="J667" s="947"/>
      <c r="K667" s="948"/>
      <c r="L667" s="837">
        <v>0</v>
      </c>
      <c r="M667" s="837">
        <v>0</v>
      </c>
      <c r="N667" s="837">
        <v>0</v>
      </c>
      <c r="O667" s="837">
        <f t="shared" si="279"/>
        <v>0</v>
      </c>
      <c r="P667" s="837">
        <f t="shared" si="280"/>
        <v>0</v>
      </c>
      <c r="Q667" s="1264"/>
      <c r="R667" s="1264"/>
      <c r="S667" s="1264"/>
      <c r="T667" s="1264"/>
      <c r="U667" s="1264"/>
      <c r="V667" s="1264"/>
      <c r="W667" s="1264"/>
      <c r="X667" s="1264"/>
      <c r="Y667" s="1264"/>
      <c r="Z667" s="1264"/>
    </row>
    <row r="668" spans="1:26" ht="19.5">
      <c r="A668" s="1267"/>
      <c r="B668" s="1268"/>
      <c r="C668" s="1242" t="s">
        <v>16</v>
      </c>
      <c r="D668" s="1269" t="s">
        <v>38</v>
      </c>
      <c r="E668" s="1271"/>
      <c r="F668" s="1271"/>
      <c r="G668" s="1272"/>
      <c r="H668" s="954"/>
      <c r="I668" s="944"/>
      <c r="J668" s="944"/>
      <c r="K668" s="945"/>
      <c r="L668" s="945"/>
      <c r="M668" s="945"/>
      <c r="N668" s="945"/>
      <c r="O668" s="945"/>
      <c r="P668" s="945"/>
      <c r="Q668" s="1244"/>
      <c r="R668" s="1244"/>
      <c r="S668" s="1244"/>
      <c r="T668" s="1244"/>
      <c r="U668" s="1244"/>
      <c r="V668" s="1244"/>
      <c r="W668" s="1244"/>
      <c r="X668" s="1244"/>
      <c r="Y668" s="1244"/>
      <c r="Z668" s="1244"/>
    </row>
    <row r="669" spans="1:26" ht="19.5">
      <c r="A669" s="1267"/>
      <c r="B669" s="1268"/>
      <c r="C669" s="1268"/>
      <c r="D669" s="1268" t="s">
        <v>280</v>
      </c>
      <c r="E669" s="961"/>
      <c r="F669" s="961"/>
      <c r="G669" s="954"/>
      <c r="H669" s="733" t="s">
        <v>46</v>
      </c>
      <c r="I669" s="966">
        <f ca="1">IFERROR(__xludf.DUMMYFUNCTION("IMPORTRANGE(""https://docs.google.com/spreadsheets/d/1QqKyyYR6Q21VydFLVH3TRQUabQu_ym0Zz7PgGX0-kHA/edit?usp=sharing"",""แผน!IA29"")"),50)</f>
        <v>50</v>
      </c>
      <c r="J669" s="966">
        <f>J675</f>
        <v>0</v>
      </c>
      <c r="K669" s="967">
        <f ca="1">IF(I669&gt;0,J669*100/I669,0)</f>
        <v>0</v>
      </c>
      <c r="L669" s="945"/>
      <c r="M669" s="945"/>
      <c r="N669" s="945"/>
      <c r="O669" s="945"/>
      <c r="P669" s="945"/>
      <c r="Q669" s="1244"/>
      <c r="R669" s="1244"/>
      <c r="S669" s="1244"/>
      <c r="T669" s="1244"/>
      <c r="U669" s="1244"/>
      <c r="V669" s="1244"/>
      <c r="W669" s="1244"/>
      <c r="X669" s="1244"/>
      <c r="Y669" s="1244"/>
      <c r="Z669" s="1244"/>
    </row>
    <row r="670" spans="1:26" ht="18.75">
      <c r="A670" s="1267"/>
      <c r="B670" s="1268"/>
      <c r="C670" s="1268"/>
      <c r="D670" s="1268"/>
      <c r="E670" s="961" t="s">
        <v>281</v>
      </c>
      <c r="F670" s="961"/>
      <c r="G670" s="954"/>
      <c r="H670" s="730" t="s">
        <v>66</v>
      </c>
      <c r="I670" s="830">
        <f ca="1">IFERROR(__xludf.DUMMYFUNCTION("IMPORTRANGE(""https://docs.google.com/spreadsheets/d/1QqKyyYR6Q21VydFLVH3TRQUabQu_ym0Zz7PgGX0-kHA/edit?usp=sharing"",""แผน!HZ29"")"),4)</f>
        <v>4</v>
      </c>
      <c r="J670" s="959">
        <v>5</v>
      </c>
      <c r="K670" s="831">
        <f ca="1">IF(I670&gt;0,(J670*100)/I670,0)</f>
        <v>125</v>
      </c>
      <c r="L670" s="945"/>
      <c r="M670" s="945"/>
      <c r="N670" s="945"/>
      <c r="O670" s="945"/>
      <c r="P670" s="945"/>
      <c r="Q670" s="1244"/>
      <c r="R670" s="1244"/>
      <c r="S670" s="1244"/>
      <c r="T670" s="1244"/>
      <c r="U670" s="1244"/>
      <c r="V670" s="1244"/>
      <c r="W670" s="1244"/>
      <c r="X670" s="1244"/>
      <c r="Y670" s="1244"/>
      <c r="Z670" s="1244"/>
    </row>
    <row r="671" spans="1:26" ht="18.75">
      <c r="A671" s="1267"/>
      <c r="B671" s="1268"/>
      <c r="C671" s="1268"/>
      <c r="D671" s="1268"/>
      <c r="E671" s="961" t="s">
        <v>282</v>
      </c>
      <c r="F671" s="961"/>
      <c r="G671" s="954"/>
      <c r="H671" s="730" t="s">
        <v>66</v>
      </c>
      <c r="I671" s="830">
        <f ca="1">IFERROR(__xludf.DUMMYFUNCTION("IMPORTRANGE(""https://docs.google.com/spreadsheets/d/1QqKyyYR6Q21VydFLVH3TRQUabQu_ym0Zz7PgGX0-kHA/edit?usp=sharing"",""แผน!HZ29"")"),4)</f>
        <v>4</v>
      </c>
      <c r="J671" s="959">
        <v>5</v>
      </c>
      <c r="K671" s="831">
        <f ca="1">IF(I$671&gt;0,J671*100/I$671,0)</f>
        <v>125</v>
      </c>
      <c r="L671" s="945"/>
      <c r="M671" s="945"/>
      <c r="N671" s="945"/>
      <c r="O671" s="945"/>
      <c r="P671" s="945"/>
      <c r="Q671" s="1244"/>
      <c r="R671" s="1244"/>
      <c r="S671" s="1244"/>
      <c r="T671" s="1244"/>
      <c r="U671" s="1244"/>
      <c r="V671" s="1244"/>
      <c r="W671" s="1244"/>
      <c r="X671" s="1244"/>
      <c r="Y671" s="1244"/>
      <c r="Z671" s="1244"/>
    </row>
    <row r="672" spans="1:26" ht="18.75">
      <c r="A672" s="1267"/>
      <c r="B672" s="1268"/>
      <c r="C672" s="1268"/>
      <c r="D672" s="1268"/>
      <c r="E672" s="961" t="s">
        <v>283</v>
      </c>
      <c r="F672" s="961"/>
      <c r="G672" s="954"/>
      <c r="H672" s="730" t="s">
        <v>46</v>
      </c>
      <c r="I672" s="830"/>
      <c r="J672" s="959">
        <v>0</v>
      </c>
      <c r="K672" s="831">
        <f t="shared" ref="K672:K675" ca="1" si="281">IF(I$669&gt;0,J672*100/I$669,0)</f>
        <v>0</v>
      </c>
      <c r="L672" s="945"/>
      <c r="M672" s="945"/>
      <c r="N672" s="945"/>
      <c r="O672" s="945"/>
      <c r="P672" s="945"/>
      <c r="Q672" s="1244"/>
      <c r="R672" s="1244"/>
      <c r="S672" s="1244"/>
      <c r="T672" s="1244"/>
      <c r="U672" s="1244"/>
      <c r="V672" s="1244"/>
      <c r="W672" s="1244"/>
      <c r="X672" s="1244"/>
      <c r="Y672" s="1244"/>
      <c r="Z672" s="1244"/>
    </row>
    <row r="673" spans="1:26" ht="18.75">
      <c r="A673" s="1267"/>
      <c r="B673" s="1268"/>
      <c r="C673" s="1268"/>
      <c r="D673" s="1268"/>
      <c r="E673" s="961" t="s">
        <v>284</v>
      </c>
      <c r="F673" s="961"/>
      <c r="G673" s="954"/>
      <c r="H673" s="730" t="s">
        <v>46</v>
      </c>
      <c r="I673" s="830"/>
      <c r="J673" s="959">
        <v>0</v>
      </c>
      <c r="K673" s="831">
        <f t="shared" ca="1" si="281"/>
        <v>0</v>
      </c>
      <c r="L673" s="945"/>
      <c r="M673" s="945"/>
      <c r="N673" s="945"/>
      <c r="O673" s="945"/>
      <c r="P673" s="945"/>
      <c r="Q673" s="1244"/>
      <c r="R673" s="1244"/>
      <c r="S673" s="1244"/>
      <c r="T673" s="1244"/>
      <c r="U673" s="1244"/>
      <c r="V673" s="1244"/>
      <c r="W673" s="1244"/>
      <c r="X673" s="1244"/>
      <c r="Y673" s="1244"/>
      <c r="Z673" s="1244"/>
    </row>
    <row r="674" spans="1:26" ht="18.75">
      <c r="A674" s="1267"/>
      <c r="B674" s="1268"/>
      <c r="C674" s="1268"/>
      <c r="D674" s="1268"/>
      <c r="E674" s="961" t="s">
        <v>285</v>
      </c>
      <c r="F674" s="961"/>
      <c r="G674" s="954"/>
      <c r="H674" s="730" t="s">
        <v>46</v>
      </c>
      <c r="I674" s="830"/>
      <c r="J674" s="959">
        <v>0</v>
      </c>
      <c r="K674" s="831">
        <f t="shared" ca="1" si="281"/>
        <v>0</v>
      </c>
      <c r="L674" s="945"/>
      <c r="M674" s="945"/>
      <c r="N674" s="945"/>
      <c r="O674" s="945"/>
      <c r="P674" s="945"/>
      <c r="Q674" s="1244"/>
      <c r="R674" s="1244"/>
      <c r="S674" s="1244"/>
      <c r="T674" s="1244"/>
      <c r="U674" s="1244"/>
      <c r="V674" s="1244"/>
      <c r="W674" s="1244"/>
      <c r="X674" s="1244"/>
      <c r="Y674" s="1244"/>
      <c r="Z674" s="1244"/>
    </row>
    <row r="675" spans="1:26" ht="19.5">
      <c r="A675" s="1267"/>
      <c r="B675" s="1268"/>
      <c r="C675" s="1268"/>
      <c r="D675" s="1268"/>
      <c r="E675" s="961" t="s">
        <v>286</v>
      </c>
      <c r="F675" s="961"/>
      <c r="G675" s="954"/>
      <c r="H675" s="730" t="s">
        <v>46</v>
      </c>
      <c r="I675" s="830"/>
      <c r="J675" s="966">
        <f>J676+J677</f>
        <v>0</v>
      </c>
      <c r="K675" s="967">
        <f t="shared" ca="1" si="281"/>
        <v>0</v>
      </c>
      <c r="L675" s="945"/>
      <c r="M675" s="945"/>
      <c r="N675" s="945"/>
      <c r="O675" s="945"/>
      <c r="P675" s="945"/>
      <c r="Q675" s="1244"/>
      <c r="R675" s="1244"/>
      <c r="S675" s="1244"/>
      <c r="T675" s="1244"/>
      <c r="U675" s="1244"/>
      <c r="V675" s="1244"/>
      <c r="W675" s="1244"/>
      <c r="X675" s="1244"/>
      <c r="Y675" s="1244"/>
      <c r="Z675" s="1244"/>
    </row>
    <row r="676" spans="1:26" ht="18.75">
      <c r="A676" s="1267"/>
      <c r="B676" s="1268"/>
      <c r="C676" s="1268"/>
      <c r="D676" s="1268"/>
      <c r="E676" s="961"/>
      <c r="F676" s="961" t="s">
        <v>287</v>
      </c>
      <c r="G676" s="954"/>
      <c r="H676" s="730" t="s">
        <v>46</v>
      </c>
      <c r="I676" s="830"/>
      <c r="J676" s="959">
        <v>0</v>
      </c>
      <c r="K676" s="831"/>
      <c r="L676" s="945"/>
      <c r="M676" s="945"/>
      <c r="N676" s="945"/>
      <c r="O676" s="945"/>
      <c r="P676" s="945"/>
      <c r="Q676" s="1244"/>
      <c r="R676" s="1244"/>
      <c r="S676" s="1244"/>
      <c r="T676" s="1244"/>
      <c r="U676" s="1244"/>
      <c r="V676" s="1244"/>
      <c r="W676" s="1244"/>
      <c r="X676" s="1244"/>
      <c r="Y676" s="1244"/>
      <c r="Z676" s="1244"/>
    </row>
    <row r="677" spans="1:26" ht="18.75">
      <c r="A677" s="1267"/>
      <c r="B677" s="1268"/>
      <c r="C677" s="1268"/>
      <c r="D677" s="1268"/>
      <c r="E677" s="961"/>
      <c r="F677" s="961" t="s">
        <v>288</v>
      </c>
      <c r="G677" s="954"/>
      <c r="H677" s="730" t="s">
        <v>46</v>
      </c>
      <c r="I677" s="830"/>
      <c r="J677" s="959">
        <v>0</v>
      </c>
      <c r="K677" s="831"/>
      <c r="L677" s="945"/>
      <c r="M677" s="945"/>
      <c r="N677" s="945"/>
      <c r="O677" s="945"/>
      <c r="P677" s="945"/>
      <c r="Q677" s="1244"/>
      <c r="R677" s="1244"/>
      <c r="S677" s="1244"/>
      <c r="T677" s="1244"/>
      <c r="U677" s="1244"/>
      <c r="V677" s="1244"/>
      <c r="W677" s="1244"/>
      <c r="X677" s="1244"/>
      <c r="Y677" s="1244"/>
      <c r="Z677" s="1244"/>
    </row>
    <row r="678" spans="1:26" ht="19.5">
      <c r="A678" s="1267"/>
      <c r="B678" s="1268"/>
      <c r="C678" s="1268"/>
      <c r="D678" s="1268" t="s">
        <v>289</v>
      </c>
      <c r="E678" s="961"/>
      <c r="F678" s="961"/>
      <c r="G678" s="954"/>
      <c r="H678" s="730" t="s">
        <v>46</v>
      </c>
      <c r="I678" s="966">
        <f ca="1">IFERROR(__xludf.DUMMYFUNCTION("IMPORTRANGE(""https://docs.google.com/spreadsheets/d/1QqKyyYR6Q21VydFLVH3TRQUabQu_ym0Zz7PgGX0-kHA/edit?usp=sharing"",""แผน!IB29"")"),0)</f>
        <v>0</v>
      </c>
      <c r="J678" s="966">
        <f>J679</f>
        <v>0</v>
      </c>
      <c r="K678" s="967">
        <f ca="1">IF(I678&gt;0,J678*100/I678,0)</f>
        <v>0</v>
      </c>
      <c r="L678" s="945"/>
      <c r="M678" s="945"/>
      <c r="N678" s="945"/>
      <c r="O678" s="945"/>
      <c r="P678" s="945"/>
      <c r="Q678" s="1244"/>
      <c r="R678" s="1244"/>
      <c r="S678" s="1244"/>
      <c r="T678" s="1244"/>
      <c r="U678" s="1244"/>
      <c r="V678" s="1244"/>
      <c r="W678" s="1244"/>
      <c r="X678" s="1244"/>
      <c r="Y678" s="1244"/>
      <c r="Z678" s="1244"/>
    </row>
    <row r="679" spans="1:26" ht="18.75">
      <c r="A679" s="1267"/>
      <c r="B679" s="1268"/>
      <c r="C679" s="1268"/>
      <c r="D679" s="1268"/>
      <c r="E679" s="961" t="s">
        <v>290</v>
      </c>
      <c r="F679" s="961"/>
      <c r="G679" s="954"/>
      <c r="H679" s="730" t="s">
        <v>46</v>
      </c>
      <c r="I679" s="830"/>
      <c r="J679" s="830">
        <f>J680+J681</f>
        <v>0</v>
      </c>
      <c r="K679" s="831"/>
      <c r="L679" s="945"/>
      <c r="M679" s="945"/>
      <c r="N679" s="945"/>
      <c r="O679" s="945"/>
      <c r="P679" s="945"/>
      <c r="Q679" s="1244"/>
      <c r="R679" s="1244"/>
      <c r="S679" s="1244"/>
      <c r="T679" s="1244"/>
      <c r="U679" s="1244"/>
      <c r="V679" s="1244"/>
      <c r="W679" s="1244"/>
      <c r="X679" s="1244"/>
      <c r="Y679" s="1244"/>
      <c r="Z679" s="1244"/>
    </row>
    <row r="680" spans="1:26" ht="18.75">
      <c r="A680" s="1267"/>
      <c r="B680" s="1268"/>
      <c r="C680" s="1268"/>
      <c r="D680" s="1268"/>
      <c r="E680" s="961"/>
      <c r="F680" s="961" t="s">
        <v>287</v>
      </c>
      <c r="G680" s="954"/>
      <c r="H680" s="730" t="s">
        <v>46</v>
      </c>
      <c r="I680" s="830"/>
      <c r="J680" s="959">
        <v>0</v>
      </c>
      <c r="K680" s="831"/>
      <c r="L680" s="945"/>
      <c r="M680" s="945"/>
      <c r="N680" s="945"/>
      <c r="O680" s="945"/>
      <c r="P680" s="945"/>
      <c r="Q680" s="1244"/>
      <c r="R680" s="1244"/>
      <c r="S680" s="1244"/>
      <c r="T680" s="1244"/>
      <c r="U680" s="1244"/>
      <c r="V680" s="1244"/>
      <c r="W680" s="1244"/>
      <c r="X680" s="1244"/>
      <c r="Y680" s="1244"/>
      <c r="Z680" s="1244"/>
    </row>
    <row r="681" spans="1:26" ht="18.75">
      <c r="A681" s="1267"/>
      <c r="B681" s="1268"/>
      <c r="C681" s="1268"/>
      <c r="D681" s="1268"/>
      <c r="E681" s="961"/>
      <c r="F681" s="961" t="s">
        <v>288</v>
      </c>
      <c r="G681" s="954"/>
      <c r="H681" s="730" t="s">
        <v>46</v>
      </c>
      <c r="I681" s="830"/>
      <c r="J681" s="959">
        <v>0</v>
      </c>
      <c r="K681" s="831"/>
      <c r="L681" s="945"/>
      <c r="M681" s="945"/>
      <c r="N681" s="945"/>
      <c r="O681" s="945"/>
      <c r="P681" s="945"/>
      <c r="Q681" s="1244"/>
      <c r="R681" s="1244"/>
      <c r="S681" s="1244"/>
      <c r="T681" s="1244"/>
      <c r="U681" s="1244"/>
      <c r="V681" s="1244"/>
      <c r="W681" s="1244"/>
      <c r="X681" s="1244"/>
      <c r="Y681" s="1244"/>
      <c r="Z681" s="1244"/>
    </row>
    <row r="682" spans="1:26" ht="18.75">
      <c r="A682" s="1267"/>
      <c r="B682" s="1268"/>
      <c r="C682" s="1268"/>
      <c r="D682" s="1268"/>
      <c r="E682" s="961" t="s">
        <v>291</v>
      </c>
      <c r="F682" s="961"/>
      <c r="G682" s="954"/>
      <c r="H682" s="730" t="s">
        <v>46</v>
      </c>
      <c r="I682" s="830"/>
      <c r="J682" s="959">
        <v>0</v>
      </c>
      <c r="K682" s="831"/>
      <c r="L682" s="945"/>
      <c r="M682" s="945"/>
      <c r="N682" s="945"/>
      <c r="O682" s="945"/>
      <c r="P682" s="945"/>
      <c r="Q682" s="1244"/>
      <c r="R682" s="1244"/>
      <c r="S682" s="1244"/>
      <c r="T682" s="1244"/>
      <c r="U682" s="1244"/>
      <c r="V682" s="1244"/>
      <c r="W682" s="1244"/>
      <c r="X682" s="1244"/>
      <c r="Y682" s="1244"/>
      <c r="Z682" s="1244"/>
    </row>
    <row r="683" spans="1:26" ht="18.75">
      <c r="A683" s="1267"/>
      <c r="B683" s="1268"/>
      <c r="C683" s="1268"/>
      <c r="D683" s="1268"/>
      <c r="E683" s="961"/>
      <c r="F683" s="961" t="s">
        <v>292</v>
      </c>
      <c r="G683" s="954"/>
      <c r="H683" s="730" t="s">
        <v>46</v>
      </c>
      <c r="I683" s="830"/>
      <c r="J683" s="959">
        <v>0</v>
      </c>
      <c r="K683" s="831"/>
      <c r="L683" s="945"/>
      <c r="M683" s="945"/>
      <c r="N683" s="945"/>
      <c r="O683" s="945"/>
      <c r="P683" s="945"/>
      <c r="Q683" s="1244"/>
      <c r="R683" s="1244"/>
      <c r="S683" s="1244"/>
      <c r="T683" s="1244"/>
      <c r="U683" s="1244"/>
      <c r="V683" s="1244"/>
      <c r="W683" s="1244"/>
      <c r="X683" s="1244"/>
      <c r="Y683" s="1244"/>
      <c r="Z683" s="1244"/>
    </row>
    <row r="684" spans="1:26" ht="19.5" hidden="1">
      <c r="A684" s="1373"/>
      <c r="B684" s="1374" t="s">
        <v>293</v>
      </c>
      <c r="C684" s="1373"/>
      <c r="D684" s="1373"/>
      <c r="E684" s="1373"/>
      <c r="F684" s="1373"/>
      <c r="G684" s="1375"/>
      <c r="H684" s="1375"/>
      <c r="I684" s="1376"/>
      <c r="J684" s="1376"/>
      <c r="K684" s="1377"/>
      <c r="L684" s="1377"/>
      <c r="M684" s="1377"/>
      <c r="N684" s="1377"/>
      <c r="O684" s="1377"/>
      <c r="P684" s="1377"/>
      <c r="Q684" s="1244"/>
      <c r="R684" s="1244"/>
      <c r="S684" s="1244"/>
      <c r="T684" s="1244"/>
      <c r="U684" s="1244"/>
      <c r="V684" s="1244"/>
      <c r="W684" s="1244"/>
      <c r="X684" s="1244"/>
      <c r="Y684" s="1244"/>
      <c r="Z684" s="1244"/>
    </row>
    <row r="685" spans="1:26" ht="19.5" hidden="1">
      <c r="A685" s="1259"/>
      <c r="B685" s="1243"/>
      <c r="C685" s="1243" t="s">
        <v>16</v>
      </c>
      <c r="D685" s="1507" t="s">
        <v>17</v>
      </c>
      <c r="E685" s="1485"/>
      <c r="F685" s="1485"/>
      <c r="G685" s="963"/>
      <c r="H685" s="563" t="s">
        <v>12</v>
      </c>
      <c r="I685" s="830"/>
      <c r="J685" s="830"/>
      <c r="K685" s="831"/>
      <c r="L685" s="967">
        <f t="shared" ref="L685:N685" ca="1" si="282">L686+L687</f>
        <v>0</v>
      </c>
      <c r="M685" s="967">
        <f t="shared" si="282"/>
        <v>0</v>
      </c>
      <c r="N685" s="967">
        <f t="shared" si="282"/>
        <v>0</v>
      </c>
      <c r="O685" s="967">
        <f t="shared" ref="O685:O688" ca="1" si="283">IF(L685&gt;0,N685*100/L685,0)</f>
        <v>0</v>
      </c>
      <c r="P685" s="967">
        <f t="shared" ref="P685:P688" si="284">IF(M685&gt;0,N685*100/M685,0)</f>
        <v>0</v>
      </c>
      <c r="Q685" s="1244"/>
      <c r="R685" s="1244"/>
      <c r="S685" s="1244"/>
      <c r="T685" s="1244"/>
      <c r="U685" s="1244"/>
      <c r="V685" s="1244"/>
      <c r="W685" s="1244"/>
      <c r="X685" s="1244"/>
      <c r="Y685" s="1244"/>
      <c r="Z685" s="1244"/>
    </row>
    <row r="686" spans="1:26" ht="18.75" hidden="1">
      <c r="A686" s="1260"/>
      <c r="B686" s="1261"/>
      <c r="C686" s="1261"/>
      <c r="D686" s="1262"/>
      <c r="E686" s="1261" t="s">
        <v>184</v>
      </c>
      <c r="F686" s="1261"/>
      <c r="G686" s="1263"/>
      <c r="H686" s="165" t="s">
        <v>12</v>
      </c>
      <c r="I686" s="836"/>
      <c r="J686" s="836"/>
      <c r="K686" s="837"/>
      <c r="L686" s="837">
        <f t="shared" ref="L686:N687" si="285">L689+L696</f>
        <v>0</v>
      </c>
      <c r="M686" s="837">
        <f t="shared" si="285"/>
        <v>0</v>
      </c>
      <c r="N686" s="837">
        <f t="shared" si="285"/>
        <v>0</v>
      </c>
      <c r="O686" s="837">
        <f t="shared" si="283"/>
        <v>0</v>
      </c>
      <c r="P686" s="837">
        <f t="shared" si="284"/>
        <v>0</v>
      </c>
      <c r="Q686" s="1264"/>
      <c r="R686" s="1264"/>
      <c r="S686" s="1264"/>
      <c r="T686" s="1264"/>
      <c r="U686" s="1264"/>
      <c r="V686" s="1264"/>
      <c r="W686" s="1264"/>
      <c r="X686" s="1264"/>
      <c r="Y686" s="1264"/>
      <c r="Z686" s="1264"/>
    </row>
    <row r="687" spans="1:26" ht="18.75" hidden="1">
      <c r="A687" s="1260"/>
      <c r="B687" s="1265"/>
      <c r="C687" s="1261"/>
      <c r="D687" s="1262"/>
      <c r="E687" s="1261" t="s">
        <v>185</v>
      </c>
      <c r="F687" s="1261"/>
      <c r="G687" s="1263"/>
      <c r="H687" s="165" t="s">
        <v>12</v>
      </c>
      <c r="I687" s="836"/>
      <c r="J687" s="836"/>
      <c r="K687" s="837"/>
      <c r="L687" s="837">
        <f t="shared" ca="1" si="285"/>
        <v>0</v>
      </c>
      <c r="M687" s="837">
        <f t="shared" si="285"/>
        <v>0</v>
      </c>
      <c r="N687" s="837">
        <f t="shared" si="285"/>
        <v>0</v>
      </c>
      <c r="O687" s="837">
        <f t="shared" ca="1" si="283"/>
        <v>0</v>
      </c>
      <c r="P687" s="837">
        <f t="shared" si="284"/>
        <v>0</v>
      </c>
      <c r="Q687" s="1264"/>
      <c r="R687" s="1264"/>
      <c r="S687" s="1264"/>
      <c r="T687" s="1264"/>
      <c r="U687" s="1264"/>
      <c r="V687" s="1264"/>
      <c r="W687" s="1264"/>
      <c r="X687" s="1264"/>
      <c r="Y687" s="1264"/>
      <c r="Z687" s="1264"/>
    </row>
    <row r="688" spans="1:26" ht="18.75" hidden="1">
      <c r="A688" s="1259"/>
      <c r="B688" s="1242"/>
      <c r="C688" s="1243"/>
      <c r="D688" s="1266" t="s">
        <v>20</v>
      </c>
      <c r="E688" s="1243"/>
      <c r="F688" s="1243"/>
      <c r="G688" s="963"/>
      <c r="H688" s="778" t="s">
        <v>12</v>
      </c>
      <c r="I688" s="944"/>
      <c r="J688" s="944"/>
      <c r="K688" s="945"/>
      <c r="L688" s="831">
        <f t="shared" ref="L688:N688" ca="1" si="286">L689+L690</f>
        <v>0</v>
      </c>
      <c r="M688" s="831">
        <f t="shared" si="286"/>
        <v>0</v>
      </c>
      <c r="N688" s="831">
        <f t="shared" si="286"/>
        <v>0</v>
      </c>
      <c r="O688" s="831">
        <f t="shared" ca="1" si="283"/>
        <v>0</v>
      </c>
      <c r="P688" s="831">
        <f t="shared" si="284"/>
        <v>0</v>
      </c>
      <c r="Q688" s="1244"/>
      <c r="R688" s="1244"/>
      <c r="S688" s="1244"/>
      <c r="T688" s="1244"/>
      <c r="U688" s="1244"/>
      <c r="V688" s="1244"/>
      <c r="W688" s="1244"/>
      <c r="X688" s="1244"/>
      <c r="Y688" s="1244"/>
      <c r="Z688" s="1244"/>
    </row>
    <row r="689" spans="1:26" ht="18.75" hidden="1">
      <c r="A689" s="1260"/>
      <c r="B689" s="1265"/>
      <c r="C689" s="1261"/>
      <c r="D689" s="1262"/>
      <c r="E689" s="1261" t="s">
        <v>184</v>
      </c>
      <c r="F689" s="1261"/>
      <c r="G689" s="1263"/>
      <c r="H689" s="165" t="s">
        <v>12</v>
      </c>
      <c r="I689" s="836"/>
      <c r="J689" s="836"/>
      <c r="K689" s="837"/>
      <c r="L689" s="837">
        <v>0</v>
      </c>
      <c r="M689" s="837">
        <v>0</v>
      </c>
      <c r="N689" s="837">
        <v>0</v>
      </c>
      <c r="O689" s="837"/>
      <c r="P689" s="837"/>
      <c r="Q689" s="1264"/>
      <c r="R689" s="1264"/>
      <c r="S689" s="1264"/>
      <c r="T689" s="1264"/>
      <c r="U689" s="1264"/>
      <c r="V689" s="1264"/>
      <c r="W689" s="1264"/>
      <c r="X689" s="1264"/>
      <c r="Y689" s="1264"/>
      <c r="Z689" s="1264"/>
    </row>
    <row r="690" spans="1:26" ht="18.75" hidden="1">
      <c r="A690" s="1260"/>
      <c r="B690" s="1265"/>
      <c r="C690" s="1261"/>
      <c r="D690" s="1262"/>
      <c r="E690" s="1261" t="s">
        <v>185</v>
      </c>
      <c r="F690" s="1261"/>
      <c r="G690" s="1263"/>
      <c r="H690" s="165" t="s">
        <v>12</v>
      </c>
      <c r="I690" s="836"/>
      <c r="J690" s="836"/>
      <c r="K690" s="837"/>
      <c r="L690" s="837">
        <f ca="1">IFERROR(__xludf.DUMMYFUNCTION("IMPORTRANGE(""https://docs.google.com/spreadsheets/d/1QqKyyYR6Q21VydFLVH3TRQUabQu_ym0Zz7PgGX0-kHA/edit?usp=sharing"",""แผน!HW29"")"),0)</f>
        <v>0</v>
      </c>
      <c r="M690" s="837">
        <v>0</v>
      </c>
      <c r="N690" s="837">
        <f>N691+N692+N693+N694</f>
        <v>0</v>
      </c>
      <c r="O690" s="837">
        <f ca="1">IF(L690&gt;0,N690*100/L690,0)</f>
        <v>0</v>
      </c>
      <c r="P690" s="837">
        <f>IF(M690&gt;0,N690*100/M690,0)</f>
        <v>0</v>
      </c>
      <c r="Q690" s="1264"/>
      <c r="R690" s="1264"/>
      <c r="S690" s="1264"/>
      <c r="T690" s="1264"/>
      <c r="U690" s="1264"/>
      <c r="V690" s="1264"/>
      <c r="W690" s="1264"/>
      <c r="X690" s="1264"/>
      <c r="Y690" s="1264"/>
      <c r="Z690" s="1264"/>
    </row>
    <row r="691" spans="1:26" ht="18.75" hidden="1">
      <c r="A691" s="1241"/>
      <c r="B691" s="1242"/>
      <c r="C691" s="1243"/>
      <c r="D691" s="1243"/>
      <c r="E691" s="1243"/>
      <c r="F691" s="1243" t="s">
        <v>186</v>
      </c>
      <c r="G691" s="963"/>
      <c r="H691" s="778" t="s">
        <v>12</v>
      </c>
      <c r="I691" s="830"/>
      <c r="J691" s="830"/>
      <c r="K691" s="831"/>
      <c r="L691" s="831"/>
      <c r="M691" s="831"/>
      <c r="N691" s="1031">
        <v>0</v>
      </c>
      <c r="O691" s="831"/>
      <c r="P691" s="831"/>
      <c r="Q691" s="1244"/>
      <c r="R691" s="1244"/>
      <c r="S691" s="1244"/>
      <c r="T691" s="1244"/>
      <c r="U691" s="1244"/>
      <c r="V691" s="1244"/>
      <c r="W691" s="1244"/>
      <c r="X691" s="1244"/>
      <c r="Y691" s="1244"/>
      <c r="Z691" s="1244"/>
    </row>
    <row r="692" spans="1:26" ht="18.75" hidden="1">
      <c r="A692" s="1241"/>
      <c r="B692" s="1242"/>
      <c r="C692" s="1243"/>
      <c r="D692" s="1243"/>
      <c r="E692" s="1243"/>
      <c r="F692" s="1243" t="s">
        <v>187</v>
      </c>
      <c r="G692" s="963"/>
      <c r="H692" s="778" t="s">
        <v>12</v>
      </c>
      <c r="I692" s="830"/>
      <c r="J692" s="830"/>
      <c r="K692" s="831"/>
      <c r="L692" s="831"/>
      <c r="M692" s="831"/>
      <c r="N692" s="1031">
        <v>0</v>
      </c>
      <c r="O692" s="831"/>
      <c r="P692" s="831"/>
      <c r="Q692" s="1244"/>
      <c r="R692" s="1244"/>
      <c r="S692" s="1244"/>
      <c r="T692" s="1244"/>
      <c r="U692" s="1244"/>
      <c r="V692" s="1244"/>
      <c r="W692" s="1244"/>
      <c r="X692" s="1244"/>
      <c r="Y692" s="1244"/>
      <c r="Z692" s="1244"/>
    </row>
    <row r="693" spans="1:26" ht="18.75" hidden="1">
      <c r="A693" s="1241"/>
      <c r="B693" s="1242"/>
      <c r="C693" s="1243"/>
      <c r="D693" s="1243"/>
      <c r="E693" s="1243"/>
      <c r="F693" s="1243" t="s">
        <v>188</v>
      </c>
      <c r="G693" s="963"/>
      <c r="H693" s="778" t="s">
        <v>12</v>
      </c>
      <c r="I693" s="830"/>
      <c r="J693" s="830"/>
      <c r="K693" s="831"/>
      <c r="L693" s="831"/>
      <c r="M693" s="831"/>
      <c r="N693" s="1031">
        <v>0</v>
      </c>
      <c r="O693" s="831"/>
      <c r="P693" s="831"/>
      <c r="Q693" s="1244"/>
      <c r="R693" s="1244"/>
      <c r="S693" s="1244"/>
      <c r="T693" s="1244"/>
      <c r="U693" s="1244"/>
      <c r="V693" s="1244"/>
      <c r="W693" s="1244"/>
      <c r="X693" s="1244"/>
      <c r="Y693" s="1244"/>
      <c r="Z693" s="1244"/>
    </row>
    <row r="694" spans="1:26" ht="18.75" hidden="1">
      <c r="A694" s="1241"/>
      <c r="B694" s="1242"/>
      <c r="C694" s="1243"/>
      <c r="D694" s="1243"/>
      <c r="E694" s="1243"/>
      <c r="F694" s="1243" t="s">
        <v>189</v>
      </c>
      <c r="G694" s="963"/>
      <c r="H694" s="778" t="s">
        <v>12</v>
      </c>
      <c r="I694" s="830"/>
      <c r="J694" s="830"/>
      <c r="K694" s="831"/>
      <c r="L694" s="831"/>
      <c r="M694" s="831"/>
      <c r="N694" s="1031">
        <v>0</v>
      </c>
      <c r="O694" s="831"/>
      <c r="P694" s="831"/>
      <c r="Q694" s="1244"/>
      <c r="R694" s="1244"/>
      <c r="S694" s="1244"/>
      <c r="T694" s="1244"/>
      <c r="U694" s="1244"/>
      <c r="V694" s="1244"/>
      <c r="W694" s="1244"/>
      <c r="X694" s="1244"/>
      <c r="Y694" s="1244"/>
      <c r="Z694" s="1244"/>
    </row>
    <row r="695" spans="1:26" ht="18.75" hidden="1">
      <c r="A695" s="1259"/>
      <c r="B695" s="1242"/>
      <c r="C695" s="1243"/>
      <c r="D695" s="1266" t="s">
        <v>21</v>
      </c>
      <c r="E695" s="1243"/>
      <c r="F695" s="1243"/>
      <c r="G695" s="963"/>
      <c r="H695" s="168" t="s">
        <v>12</v>
      </c>
      <c r="I695" s="944"/>
      <c r="J695" s="944"/>
      <c r="K695" s="945"/>
      <c r="L695" s="831">
        <f t="shared" ref="L695:N695" si="287">L696+L697</f>
        <v>0</v>
      </c>
      <c r="M695" s="831">
        <f t="shared" si="287"/>
        <v>0</v>
      </c>
      <c r="N695" s="831">
        <f t="shared" si="287"/>
        <v>0</v>
      </c>
      <c r="O695" s="831">
        <f t="shared" ref="O695:O697" si="288">IF(L695&gt;0,N695*100/L695,0)</f>
        <v>0</v>
      </c>
      <c r="P695" s="831">
        <f t="shared" ref="P695:P697" si="289">IF(M695&gt;0,N695*100/M695,0)</f>
        <v>0</v>
      </c>
      <c r="Q695" s="1244"/>
      <c r="R695" s="1244"/>
      <c r="S695" s="1244"/>
      <c r="T695" s="1244"/>
      <c r="U695" s="1244"/>
      <c r="V695" s="1244"/>
      <c r="W695" s="1244"/>
      <c r="X695" s="1244"/>
      <c r="Y695" s="1244"/>
      <c r="Z695" s="1244"/>
    </row>
    <row r="696" spans="1:26" ht="18.75" hidden="1">
      <c r="A696" s="1260"/>
      <c r="B696" s="1265"/>
      <c r="C696" s="1261"/>
      <c r="D696" s="1261"/>
      <c r="E696" s="1261" t="s">
        <v>18</v>
      </c>
      <c r="F696" s="1261"/>
      <c r="G696" s="1263"/>
      <c r="H696" s="165" t="s">
        <v>12</v>
      </c>
      <c r="I696" s="947"/>
      <c r="J696" s="947"/>
      <c r="K696" s="948"/>
      <c r="L696" s="837">
        <v>0</v>
      </c>
      <c r="M696" s="837">
        <v>0</v>
      </c>
      <c r="N696" s="837">
        <v>0</v>
      </c>
      <c r="O696" s="837">
        <f t="shared" si="288"/>
        <v>0</v>
      </c>
      <c r="P696" s="837">
        <f t="shared" si="289"/>
        <v>0</v>
      </c>
      <c r="Q696" s="1264"/>
      <c r="R696" s="1264"/>
      <c r="S696" s="1264"/>
      <c r="T696" s="1264"/>
      <c r="U696" s="1264"/>
      <c r="V696" s="1264"/>
      <c r="W696" s="1264"/>
      <c r="X696" s="1264"/>
      <c r="Y696" s="1264"/>
      <c r="Z696" s="1264"/>
    </row>
    <row r="697" spans="1:26" ht="18.75" hidden="1">
      <c r="A697" s="1260"/>
      <c r="B697" s="1265"/>
      <c r="C697" s="1261"/>
      <c r="D697" s="1261"/>
      <c r="E697" s="1261" t="s">
        <v>19</v>
      </c>
      <c r="F697" s="1261"/>
      <c r="G697" s="1263"/>
      <c r="H697" s="169" t="s">
        <v>12</v>
      </c>
      <c r="I697" s="947"/>
      <c r="J697" s="947"/>
      <c r="K697" s="948"/>
      <c r="L697" s="837">
        <v>0</v>
      </c>
      <c r="M697" s="837">
        <v>0</v>
      </c>
      <c r="N697" s="837">
        <v>0</v>
      </c>
      <c r="O697" s="837">
        <f t="shared" si="288"/>
        <v>0</v>
      </c>
      <c r="P697" s="837">
        <f t="shared" si="289"/>
        <v>0</v>
      </c>
      <c r="Q697" s="1264"/>
      <c r="R697" s="1264"/>
      <c r="S697" s="1264"/>
      <c r="T697" s="1264"/>
      <c r="U697" s="1264"/>
      <c r="V697" s="1264"/>
      <c r="W697" s="1264"/>
      <c r="X697" s="1264"/>
      <c r="Y697" s="1264"/>
      <c r="Z697" s="1264"/>
    </row>
    <row r="698" spans="1:26" ht="19.5" hidden="1">
      <c r="A698" s="1267"/>
      <c r="B698" s="1268"/>
      <c r="C698" s="1243" t="s">
        <v>16</v>
      </c>
      <c r="D698" s="1378" t="s">
        <v>38</v>
      </c>
      <c r="E698" s="1271"/>
      <c r="F698" s="1271"/>
      <c r="G698" s="1272"/>
      <c r="H698" s="954"/>
      <c r="I698" s="944"/>
      <c r="J698" s="944"/>
      <c r="K698" s="945"/>
      <c r="L698" s="945"/>
      <c r="M698" s="945"/>
      <c r="N698" s="945"/>
      <c r="O698" s="945"/>
      <c r="P698" s="945"/>
      <c r="Q698" s="1244"/>
      <c r="R698" s="1244"/>
      <c r="S698" s="1244"/>
      <c r="T698" s="1244"/>
      <c r="U698" s="1244"/>
      <c r="V698" s="1244"/>
      <c r="W698" s="1244"/>
      <c r="X698" s="1244"/>
      <c r="Y698" s="1244"/>
      <c r="Z698" s="1244"/>
    </row>
    <row r="699" spans="1:26" ht="18.75" hidden="1">
      <c r="A699" s="1368"/>
      <c r="B699" s="1243"/>
      <c r="C699" s="1243"/>
      <c r="D699" s="1243" t="s">
        <v>294</v>
      </c>
      <c r="E699" s="1243"/>
      <c r="F699" s="1243"/>
      <c r="G699" s="963"/>
      <c r="H699" s="730" t="s">
        <v>46</v>
      </c>
      <c r="I699" s="1379">
        <f ca="1">IFERROR(__xludf.DUMMYFUNCTION("IMPORTRANGE(""https://docs.google.com/spreadsheets/d/1QqKyyYR6Q21VydFLVH3TRQUabQu_ym0Zz7PgGX0-kHA/edit?usp=sharing"",""แผน!IC29"")"),0)</f>
        <v>0</v>
      </c>
      <c r="J699" s="830">
        <f ca="1">IFERROR(__xludf.DUMMYFUNCTION("IMPORTRANGE(""https://docs.google.com/spreadsheets/d/1XWAQStnk-4SwqDmLtmXYiTMKHgktTP8We1SCoS47DrQ/edit?usp=sharing"",""จัดที่ดิน!BB29"")"),0)</f>
        <v>0</v>
      </c>
      <c r="K699" s="831">
        <f t="shared" ref="K699:K701" ca="1" si="290">IF(I699&gt;0,J699*100/I699,0)</f>
        <v>0</v>
      </c>
      <c r="L699" s="831"/>
      <c r="M699" s="963"/>
      <c r="N699" s="1380"/>
      <c r="O699" s="831"/>
      <c r="P699" s="831"/>
      <c r="Q699" s="1244"/>
      <c r="R699" s="1244"/>
      <c r="S699" s="1244"/>
      <c r="T699" s="1244"/>
      <c r="U699" s="1244"/>
      <c r="V699" s="1244"/>
      <c r="W699" s="1244"/>
      <c r="X699" s="1244"/>
      <c r="Y699" s="1244"/>
      <c r="Z699" s="1244"/>
    </row>
    <row r="700" spans="1:26" ht="18.75" hidden="1">
      <c r="A700" s="1368"/>
      <c r="B700" s="1243"/>
      <c r="C700" s="1243"/>
      <c r="D700" s="1243" t="s">
        <v>295</v>
      </c>
      <c r="E700" s="1243"/>
      <c r="F700" s="1243"/>
      <c r="G700" s="963"/>
      <c r="H700" s="730" t="s">
        <v>35</v>
      </c>
      <c r="I700" s="1379">
        <f ca="1">IFERROR(__xludf.DUMMYFUNCTION("IMPORTRANGE(""https://docs.google.com/spreadsheets/d/1QqKyyYR6Q21VydFLVH3TRQUabQu_ym0Zz7PgGX0-kHA/edit?usp=sharing"",""แผน!ID29"")"),0)</f>
        <v>0</v>
      </c>
      <c r="J700" s="830">
        <f ca="1">IFERROR(__xludf.DUMMYFUNCTION("IMPORTRANGE(""https://docs.google.com/spreadsheets/d/1XWAQStnk-4SwqDmLtmXYiTMKHgktTP8We1SCoS47DrQ/edit?usp=sharing"",""จัดที่ดิน!BD29"")"),0)</f>
        <v>0</v>
      </c>
      <c r="K700" s="831">
        <f t="shared" ca="1" si="290"/>
        <v>0</v>
      </c>
      <c r="L700" s="831"/>
      <c r="M700" s="963"/>
      <c r="N700" s="1380"/>
      <c r="O700" s="831"/>
      <c r="P700" s="831"/>
      <c r="Q700" s="1244"/>
      <c r="R700" s="1244"/>
      <c r="S700" s="1244"/>
      <c r="T700" s="1244"/>
      <c r="U700" s="1244"/>
      <c r="V700" s="1244"/>
      <c r="W700" s="1244"/>
      <c r="X700" s="1244"/>
      <c r="Y700" s="1244"/>
      <c r="Z700" s="1244"/>
    </row>
    <row r="701" spans="1:26" ht="19.5" hidden="1">
      <c r="A701" s="1368"/>
      <c r="B701" s="1243"/>
      <c r="C701" s="1243"/>
      <c r="D701" s="1243" t="s">
        <v>296</v>
      </c>
      <c r="E701" s="1243"/>
      <c r="F701" s="1243"/>
      <c r="G701" s="963"/>
      <c r="H701" s="733" t="s">
        <v>46</v>
      </c>
      <c r="I701" s="1381">
        <f ca="1">IFERROR(__xludf.DUMMYFUNCTION("IMPORTRANGE(""https://docs.google.com/spreadsheets/d/1QqKyyYR6Q21VydFLVH3TRQUabQu_ym0Zz7PgGX0-kHA/edit?usp=sharing"",""แผน!IE29"")"),0)</f>
        <v>0</v>
      </c>
      <c r="J701" s="966">
        <f>J704+J707</f>
        <v>0</v>
      </c>
      <c r="K701" s="967">
        <f t="shared" ca="1" si="290"/>
        <v>0</v>
      </c>
      <c r="L701" s="831"/>
      <c r="M701" s="963"/>
      <c r="N701" s="1380"/>
      <c r="O701" s="831"/>
      <c r="P701" s="831"/>
      <c r="Q701" s="1244"/>
      <c r="R701" s="1244"/>
      <c r="S701" s="1244"/>
      <c r="T701" s="1244"/>
      <c r="U701" s="1244"/>
      <c r="V701" s="1244"/>
      <c r="W701" s="1244"/>
      <c r="X701" s="1244"/>
      <c r="Y701" s="1244"/>
      <c r="Z701" s="1244"/>
    </row>
    <row r="702" spans="1:26" ht="18.75" hidden="1">
      <c r="A702" s="1368"/>
      <c r="B702" s="1243"/>
      <c r="C702" s="1243"/>
      <c r="D702" s="1243"/>
      <c r="E702" s="1243" t="s">
        <v>297</v>
      </c>
      <c r="F702" s="1243"/>
      <c r="G702" s="963"/>
      <c r="H702" s="730" t="s">
        <v>35</v>
      </c>
      <c r="I702" s="1379"/>
      <c r="J702" s="959">
        <v>0</v>
      </c>
      <c r="K702" s="831"/>
      <c r="L702" s="831"/>
      <c r="M702" s="963"/>
      <c r="N702" s="1380"/>
      <c r="O702" s="831"/>
      <c r="P702" s="831"/>
      <c r="Q702" s="1244"/>
      <c r="R702" s="1244"/>
      <c r="S702" s="1244"/>
      <c r="T702" s="1244"/>
      <c r="U702" s="1244"/>
      <c r="V702" s="1244"/>
      <c r="W702" s="1244"/>
      <c r="X702" s="1244"/>
      <c r="Y702" s="1244"/>
      <c r="Z702" s="1244"/>
    </row>
    <row r="703" spans="1:26" ht="18.75" hidden="1">
      <c r="A703" s="1368"/>
      <c r="B703" s="1243"/>
      <c r="C703" s="1243"/>
      <c r="D703" s="1243"/>
      <c r="E703" s="1243"/>
      <c r="F703" s="1243"/>
      <c r="G703" s="963"/>
      <c r="H703" s="730" t="s">
        <v>34</v>
      </c>
      <c r="I703" s="1379"/>
      <c r="J703" s="959">
        <v>0</v>
      </c>
      <c r="K703" s="831"/>
      <c r="L703" s="831"/>
      <c r="M703" s="963"/>
      <c r="N703" s="1380"/>
      <c r="O703" s="831"/>
      <c r="P703" s="831"/>
      <c r="Q703" s="1244"/>
      <c r="R703" s="1244"/>
      <c r="S703" s="1244"/>
      <c r="T703" s="1244"/>
      <c r="U703" s="1244"/>
      <c r="V703" s="1244"/>
      <c r="W703" s="1244"/>
      <c r="X703" s="1244"/>
      <c r="Y703" s="1244"/>
      <c r="Z703" s="1244"/>
    </row>
    <row r="704" spans="1:26" ht="18.75" hidden="1">
      <c r="A704" s="1368"/>
      <c r="B704" s="1243"/>
      <c r="C704" s="1243"/>
      <c r="D704" s="1243"/>
      <c r="E704" s="1243"/>
      <c r="F704" s="1243"/>
      <c r="G704" s="963"/>
      <c r="H704" s="730" t="s">
        <v>46</v>
      </c>
      <c r="I704" s="1379">
        <f ca="1">IFERROR(__xludf.DUMMYFUNCTION("IMPORTRANGE(""https://docs.google.com/spreadsheets/d/1QqKyyYR6Q21VydFLVH3TRQUabQu_ym0Zz7PgGX0-kHA/edit?usp=sharing"",""แผน!IF29"")"),0)</f>
        <v>0</v>
      </c>
      <c r="J704" s="959">
        <v>0</v>
      </c>
      <c r="K704" s="831"/>
      <c r="L704" s="831"/>
      <c r="M704" s="963"/>
      <c r="N704" s="1380"/>
      <c r="O704" s="831"/>
      <c r="P704" s="831"/>
      <c r="Q704" s="1244"/>
      <c r="R704" s="1244"/>
      <c r="S704" s="1244"/>
      <c r="T704" s="1244"/>
      <c r="U704" s="1244"/>
      <c r="V704" s="1244"/>
      <c r="W704" s="1244"/>
      <c r="X704" s="1244"/>
      <c r="Y704" s="1244"/>
      <c r="Z704" s="1244"/>
    </row>
    <row r="705" spans="1:26" ht="18.75" hidden="1">
      <c r="A705" s="1368"/>
      <c r="B705" s="1243"/>
      <c r="C705" s="1243"/>
      <c r="D705" s="1243"/>
      <c r="E705" s="1243" t="s">
        <v>298</v>
      </c>
      <c r="F705" s="1243"/>
      <c r="G705" s="963"/>
      <c r="H705" s="730" t="s">
        <v>35</v>
      </c>
      <c r="I705" s="1379"/>
      <c r="J705" s="959">
        <v>0</v>
      </c>
      <c r="K705" s="831"/>
      <c r="L705" s="831"/>
      <c r="M705" s="963"/>
      <c r="N705" s="1380"/>
      <c r="O705" s="831"/>
      <c r="P705" s="831"/>
      <c r="Q705" s="1244"/>
      <c r="R705" s="1244"/>
      <c r="S705" s="1244"/>
      <c r="T705" s="1244"/>
      <c r="U705" s="1244"/>
      <c r="V705" s="1244"/>
      <c r="W705" s="1244"/>
      <c r="X705" s="1244"/>
      <c r="Y705" s="1244"/>
      <c r="Z705" s="1244"/>
    </row>
    <row r="706" spans="1:26" ht="18.75" hidden="1">
      <c r="A706" s="1368"/>
      <c r="B706" s="1243"/>
      <c r="C706" s="1243"/>
      <c r="D706" s="1243"/>
      <c r="E706" s="1243"/>
      <c r="F706" s="1243"/>
      <c r="G706" s="963"/>
      <c r="H706" s="730" t="s">
        <v>34</v>
      </c>
      <c r="I706" s="1379"/>
      <c r="J706" s="959">
        <v>0</v>
      </c>
      <c r="K706" s="831"/>
      <c r="L706" s="831"/>
      <c r="M706" s="963"/>
      <c r="N706" s="1380"/>
      <c r="O706" s="831"/>
      <c r="P706" s="831"/>
      <c r="Q706" s="1244"/>
      <c r="R706" s="1244"/>
      <c r="S706" s="1244"/>
      <c r="T706" s="1244"/>
      <c r="U706" s="1244"/>
      <c r="V706" s="1244"/>
      <c r="W706" s="1244"/>
      <c r="X706" s="1244"/>
      <c r="Y706" s="1244"/>
      <c r="Z706" s="1244"/>
    </row>
    <row r="707" spans="1:26" ht="18.75" hidden="1">
      <c r="A707" s="1368"/>
      <c r="B707" s="1243"/>
      <c r="C707" s="1243"/>
      <c r="D707" s="1243"/>
      <c r="E707" s="1243"/>
      <c r="F707" s="1243"/>
      <c r="G707" s="963"/>
      <c r="H707" s="730" t="s">
        <v>46</v>
      </c>
      <c r="I707" s="1379">
        <f ca="1">IFERROR(__xludf.DUMMYFUNCTION("IMPORTRANGE(""https://docs.google.com/spreadsheets/d/1QqKyyYR6Q21VydFLVH3TRQUabQu_ym0Zz7PgGX0-kHA/edit?usp=sharing"",""แผน!IG29"")"),0)</f>
        <v>0</v>
      </c>
      <c r="J707" s="959">
        <v>0</v>
      </c>
      <c r="K707" s="831"/>
      <c r="L707" s="831"/>
      <c r="M707" s="963"/>
      <c r="N707" s="1380"/>
      <c r="O707" s="831"/>
      <c r="P707" s="831"/>
      <c r="Q707" s="1244"/>
      <c r="R707" s="1244"/>
      <c r="S707" s="1244"/>
      <c r="T707" s="1244"/>
      <c r="U707" s="1244"/>
      <c r="V707" s="1244"/>
      <c r="W707" s="1244"/>
      <c r="X707" s="1244"/>
      <c r="Y707" s="1244"/>
      <c r="Z707" s="1244"/>
    </row>
    <row r="708" spans="1:26" ht="19.5" hidden="1">
      <c r="A708" s="1368"/>
      <c r="B708" s="1243"/>
      <c r="C708" s="1243"/>
      <c r="D708" s="1322" t="s">
        <v>299</v>
      </c>
      <c r="E708" s="1243"/>
      <c r="F708" s="1243"/>
      <c r="G708" s="963"/>
      <c r="H708" s="733" t="s">
        <v>46</v>
      </c>
      <c r="I708" s="1381">
        <f ca="1">IFERROR(__xludf.DUMMYFUNCTION("IMPORTRANGE(""https://docs.google.com/spreadsheets/d/1QqKyyYR6Q21VydFLVH3TRQUabQu_ym0Zz7PgGX0-kHA/edit?usp=sharing"",""แผน!IH29"")"),0)</f>
        <v>0</v>
      </c>
      <c r="J708" s="966">
        <f>J714+J717</f>
        <v>0</v>
      </c>
      <c r="K708" s="967">
        <f ca="1">IF(I708&gt;0,J708*100/I708,0)</f>
        <v>0</v>
      </c>
      <c r="L708" s="831"/>
      <c r="M708" s="963"/>
      <c r="N708" s="1380"/>
      <c r="O708" s="831"/>
      <c r="P708" s="831"/>
      <c r="Q708" s="1244"/>
      <c r="R708" s="1244"/>
      <c r="S708" s="1244"/>
      <c r="T708" s="1244"/>
      <c r="U708" s="1244"/>
      <c r="V708" s="1244"/>
      <c r="W708" s="1244"/>
      <c r="X708" s="1244"/>
      <c r="Y708" s="1244"/>
      <c r="Z708" s="1244"/>
    </row>
    <row r="709" spans="1:26" ht="18.75" hidden="1">
      <c r="A709" s="1368"/>
      <c r="B709" s="1243"/>
      <c r="C709" s="1243"/>
      <c r="D709" s="1243"/>
      <c r="E709" s="1243" t="s">
        <v>300</v>
      </c>
      <c r="F709" s="1243"/>
      <c r="G709" s="963"/>
      <c r="H709" s="730" t="s">
        <v>34</v>
      </c>
      <c r="I709" s="1379"/>
      <c r="J709" s="959">
        <v>0</v>
      </c>
      <c r="K709" s="831"/>
      <c r="L709" s="1380"/>
      <c r="M709" s="963"/>
      <c r="N709" s="1380"/>
      <c r="O709" s="831"/>
      <c r="P709" s="831"/>
      <c r="Q709" s="1244"/>
      <c r="R709" s="1244"/>
      <c r="S709" s="1244"/>
      <c r="T709" s="1244"/>
      <c r="U709" s="1244"/>
      <c r="V709" s="1244"/>
      <c r="W709" s="1244"/>
      <c r="X709" s="1244"/>
      <c r="Y709" s="1244"/>
      <c r="Z709" s="1244"/>
    </row>
    <row r="710" spans="1:26" ht="18.75" hidden="1">
      <c r="A710" s="1368"/>
      <c r="B710" s="1243"/>
      <c r="C710" s="1243"/>
      <c r="D710" s="1243"/>
      <c r="E710" s="1243"/>
      <c r="F710" s="1243"/>
      <c r="G710" s="963"/>
      <c r="H710" s="730" t="s">
        <v>46</v>
      </c>
      <c r="I710" s="1379"/>
      <c r="J710" s="959">
        <v>0</v>
      </c>
      <c r="K710" s="831"/>
      <c r="L710" s="1380"/>
      <c r="M710" s="963"/>
      <c r="N710" s="1380"/>
      <c r="O710" s="831"/>
      <c r="P710" s="831"/>
      <c r="Q710" s="1244"/>
      <c r="R710" s="1244"/>
      <c r="S710" s="1244"/>
      <c r="T710" s="1244"/>
      <c r="U710" s="1244"/>
      <c r="V710" s="1244"/>
      <c r="W710" s="1244"/>
      <c r="X710" s="1244"/>
      <c r="Y710" s="1244"/>
      <c r="Z710" s="1244"/>
    </row>
    <row r="711" spans="1:26" ht="18.75" hidden="1">
      <c r="A711" s="1368"/>
      <c r="B711" s="1243"/>
      <c r="C711" s="1243"/>
      <c r="D711" s="1243"/>
      <c r="E711" s="1243" t="s">
        <v>301</v>
      </c>
      <c r="F711" s="1243"/>
      <c r="G711" s="963"/>
      <c r="H711" s="954"/>
      <c r="I711" s="1379"/>
      <c r="J711" s="830"/>
      <c r="K711" s="831"/>
      <c r="L711" s="1380"/>
      <c r="M711" s="963"/>
      <c r="N711" s="1380"/>
      <c r="O711" s="831"/>
      <c r="P711" s="831"/>
      <c r="Q711" s="1244"/>
      <c r="R711" s="1244"/>
      <c r="S711" s="1244"/>
      <c r="T711" s="1244"/>
      <c r="U711" s="1244"/>
      <c r="V711" s="1244"/>
      <c r="W711" s="1244"/>
      <c r="X711" s="1244"/>
      <c r="Y711" s="1244"/>
      <c r="Z711" s="1244"/>
    </row>
    <row r="712" spans="1:26" ht="18.75" hidden="1">
      <c r="A712" s="1368"/>
      <c r="B712" s="1243"/>
      <c r="C712" s="1243"/>
      <c r="D712" s="1243"/>
      <c r="E712" s="1243"/>
      <c r="F712" s="1243" t="s">
        <v>302</v>
      </c>
      <c r="G712" s="963"/>
      <c r="H712" s="730" t="s">
        <v>35</v>
      </c>
      <c r="I712" s="1379"/>
      <c r="J712" s="959">
        <v>0</v>
      </c>
      <c r="K712" s="831"/>
      <c r="L712" s="1380"/>
      <c r="M712" s="963"/>
      <c r="N712" s="1380"/>
      <c r="O712" s="831"/>
      <c r="P712" s="831"/>
      <c r="Q712" s="1244"/>
      <c r="R712" s="1244"/>
      <c r="S712" s="1244"/>
      <c r="T712" s="1244"/>
      <c r="U712" s="1244"/>
      <c r="V712" s="1244"/>
      <c r="W712" s="1244"/>
      <c r="X712" s="1244"/>
      <c r="Y712" s="1244"/>
      <c r="Z712" s="1244"/>
    </row>
    <row r="713" spans="1:26" ht="18.75" hidden="1">
      <c r="A713" s="1368"/>
      <c r="B713" s="1243"/>
      <c r="C713" s="1243"/>
      <c r="D713" s="1243"/>
      <c r="E713" s="1243"/>
      <c r="F713" s="1243"/>
      <c r="G713" s="963"/>
      <c r="H713" s="730" t="s">
        <v>34</v>
      </c>
      <c r="I713" s="1379"/>
      <c r="J713" s="959">
        <v>0</v>
      </c>
      <c r="K713" s="831"/>
      <c r="L713" s="1380"/>
      <c r="M713" s="963"/>
      <c r="N713" s="1380"/>
      <c r="O713" s="831"/>
      <c r="P713" s="831"/>
      <c r="Q713" s="1244"/>
      <c r="R713" s="1244"/>
      <c r="S713" s="1244"/>
      <c r="T713" s="1244"/>
      <c r="U713" s="1244"/>
      <c r="V713" s="1244"/>
      <c r="W713" s="1244"/>
      <c r="X713" s="1244"/>
      <c r="Y713" s="1244"/>
      <c r="Z713" s="1244"/>
    </row>
    <row r="714" spans="1:26" ht="18.75" hidden="1">
      <c r="A714" s="1368"/>
      <c r="B714" s="1243"/>
      <c r="C714" s="1243"/>
      <c r="D714" s="1243"/>
      <c r="E714" s="1243"/>
      <c r="F714" s="1243"/>
      <c r="G714" s="963"/>
      <c r="H714" s="730" t="s">
        <v>46</v>
      </c>
      <c r="I714" s="1379"/>
      <c r="J714" s="959">
        <v>0</v>
      </c>
      <c r="K714" s="831"/>
      <c r="L714" s="1380"/>
      <c r="M714" s="963"/>
      <c r="N714" s="1380"/>
      <c r="O714" s="831"/>
      <c r="P714" s="831"/>
      <c r="Q714" s="1244"/>
      <c r="R714" s="1244"/>
      <c r="S714" s="1244"/>
      <c r="T714" s="1244"/>
      <c r="U714" s="1244"/>
      <c r="V714" s="1244"/>
      <c r="W714" s="1244"/>
      <c r="X714" s="1244"/>
      <c r="Y714" s="1244"/>
      <c r="Z714" s="1244"/>
    </row>
    <row r="715" spans="1:26" ht="18.75" hidden="1">
      <c r="A715" s="1368"/>
      <c r="B715" s="1243"/>
      <c r="C715" s="1243"/>
      <c r="D715" s="1243"/>
      <c r="E715" s="1243"/>
      <c r="F715" s="1243" t="s">
        <v>303</v>
      </c>
      <c r="G715" s="963"/>
      <c r="H715" s="730" t="s">
        <v>35</v>
      </c>
      <c r="I715" s="1379"/>
      <c r="J715" s="959">
        <v>0</v>
      </c>
      <c r="K715" s="831"/>
      <c r="L715" s="1380"/>
      <c r="M715" s="963"/>
      <c r="N715" s="1380"/>
      <c r="O715" s="831"/>
      <c r="P715" s="831"/>
      <c r="Q715" s="1244"/>
      <c r="R715" s="1244"/>
      <c r="S715" s="1244"/>
      <c r="T715" s="1244"/>
      <c r="U715" s="1244"/>
      <c r="V715" s="1244"/>
      <c r="W715" s="1244"/>
      <c r="X715" s="1244"/>
      <c r="Y715" s="1244"/>
      <c r="Z715" s="1244"/>
    </row>
    <row r="716" spans="1:26" ht="18.75" hidden="1">
      <c r="A716" s="1368"/>
      <c r="B716" s="1243"/>
      <c r="C716" s="1243"/>
      <c r="D716" s="1243"/>
      <c r="E716" s="1243"/>
      <c r="F716" s="1243"/>
      <c r="G716" s="963"/>
      <c r="H716" s="730" t="s">
        <v>34</v>
      </c>
      <c r="I716" s="1379"/>
      <c r="J716" s="959">
        <v>0</v>
      </c>
      <c r="K716" s="831"/>
      <c r="L716" s="1380"/>
      <c r="M716" s="963"/>
      <c r="N716" s="1380"/>
      <c r="O716" s="831"/>
      <c r="P716" s="831"/>
      <c r="Q716" s="1244"/>
      <c r="R716" s="1244"/>
      <c r="S716" s="1244"/>
      <c r="T716" s="1244"/>
      <c r="U716" s="1244"/>
      <c r="V716" s="1244"/>
      <c r="W716" s="1244"/>
      <c r="X716" s="1244"/>
      <c r="Y716" s="1244"/>
      <c r="Z716" s="1244"/>
    </row>
    <row r="717" spans="1:26" ht="18.75" hidden="1">
      <c r="A717" s="1368"/>
      <c r="B717" s="1243"/>
      <c r="C717" s="1243"/>
      <c r="D717" s="1243"/>
      <c r="E717" s="1243"/>
      <c r="F717" s="1243"/>
      <c r="G717" s="963"/>
      <c r="H717" s="730" t="s">
        <v>46</v>
      </c>
      <c r="I717" s="1379"/>
      <c r="J717" s="959">
        <v>0</v>
      </c>
      <c r="K717" s="831"/>
      <c r="L717" s="1380"/>
      <c r="M717" s="963"/>
      <c r="N717" s="1380"/>
      <c r="O717" s="831"/>
      <c r="P717" s="831"/>
      <c r="Q717" s="1244"/>
      <c r="R717" s="1244"/>
      <c r="S717" s="1244"/>
      <c r="T717" s="1244"/>
      <c r="U717" s="1244"/>
      <c r="V717" s="1244"/>
      <c r="W717" s="1244"/>
      <c r="X717" s="1244"/>
      <c r="Y717" s="1244"/>
      <c r="Z717" s="1244"/>
    </row>
    <row r="718" spans="1:26" ht="18.75" hidden="1">
      <c r="A718" s="1368"/>
      <c r="B718" s="1243"/>
      <c r="C718" s="1243"/>
      <c r="D718" s="1243" t="s">
        <v>304</v>
      </c>
      <c r="E718" s="1243"/>
      <c r="F718" s="1243"/>
      <c r="G718" s="963"/>
      <c r="H718" s="730" t="s">
        <v>35</v>
      </c>
      <c r="I718" s="1379"/>
      <c r="J718" s="830">
        <f ca="1">IFERROR(__xludf.DUMMYFUNCTION("IMPORTRANGE(""https://docs.google.com/spreadsheets/d/1XWAQStnk-4SwqDmLtmXYiTMKHgktTP8We1SCoS47DrQ/edit?usp=sharing"",""จัดที่ดิน!BF29"")"),0)</f>
        <v>0</v>
      </c>
      <c r="K718" s="831"/>
      <c r="L718" s="831"/>
      <c r="M718" s="963"/>
      <c r="N718" s="1380"/>
      <c r="O718" s="831"/>
      <c r="P718" s="831"/>
      <c r="Q718" s="1244"/>
      <c r="R718" s="1244"/>
      <c r="S718" s="1244"/>
      <c r="T718" s="1244"/>
      <c r="U718" s="1244"/>
      <c r="V718" s="1244"/>
      <c r="W718" s="1244"/>
      <c r="X718" s="1244"/>
      <c r="Y718" s="1244"/>
      <c r="Z718" s="1244"/>
    </row>
    <row r="719" spans="1:26" ht="18.75" hidden="1">
      <c r="A719" s="1368"/>
      <c r="B719" s="1243"/>
      <c r="C719" s="1243"/>
      <c r="D719" s="1243"/>
      <c r="E719" s="1243"/>
      <c r="F719" s="1243"/>
      <c r="G719" s="963"/>
      <c r="H719" s="730" t="s">
        <v>34</v>
      </c>
      <c r="I719" s="1379"/>
      <c r="J719" s="830">
        <f ca="1">IFERROR(__xludf.DUMMYFUNCTION("IMPORTRANGE(""https://docs.google.com/spreadsheets/d/1XWAQStnk-4SwqDmLtmXYiTMKHgktTP8We1SCoS47DrQ/edit?usp=sharing"",""จัดที่ดิน!BG29"")"),0)</f>
        <v>0</v>
      </c>
      <c r="K719" s="831"/>
      <c r="L719" s="1380"/>
      <c r="M719" s="963"/>
      <c r="N719" s="1380"/>
      <c r="O719" s="831"/>
      <c r="P719" s="831"/>
      <c r="Q719" s="1244"/>
      <c r="R719" s="1244"/>
      <c r="S719" s="1244"/>
      <c r="T719" s="1244"/>
      <c r="U719" s="1244"/>
      <c r="V719" s="1244"/>
      <c r="W719" s="1244"/>
      <c r="X719" s="1244"/>
      <c r="Y719" s="1244"/>
      <c r="Z719" s="1244"/>
    </row>
    <row r="720" spans="1:26" ht="18.75" hidden="1">
      <c r="A720" s="1368"/>
      <c r="B720" s="1243"/>
      <c r="C720" s="1243"/>
      <c r="D720" s="1243"/>
      <c r="E720" s="1243"/>
      <c r="F720" s="1243"/>
      <c r="G720" s="963"/>
      <c r="H720" s="730" t="s">
        <v>46</v>
      </c>
      <c r="I720" s="1379">
        <f ca="1">IFERROR(__xludf.DUMMYFUNCTION("IMPORTRANGE(""https://docs.google.com/spreadsheets/d/1QqKyyYR6Q21VydFLVH3TRQUabQu_ym0Zz7PgGX0-kHA/edit?usp=sharing"",""แผน!II29"")"),0)</f>
        <v>0</v>
      </c>
      <c r="J720" s="830">
        <f ca="1">IFERROR(__xludf.DUMMYFUNCTION("IMPORTRANGE(""https://docs.google.com/spreadsheets/d/1XWAQStnk-4SwqDmLtmXYiTMKHgktTP8We1SCoS47DrQ/edit?usp=sharing"",""จัดที่ดิน!BH29"")"),0)</f>
        <v>0</v>
      </c>
      <c r="K720" s="831">
        <f t="shared" ref="K720:K723" ca="1" si="291">IF(I720&gt;0,J720*100/I720,0)</f>
        <v>0</v>
      </c>
      <c r="L720" s="1380"/>
      <c r="M720" s="963"/>
      <c r="N720" s="1380"/>
      <c r="O720" s="831"/>
      <c r="P720" s="831"/>
      <c r="Q720" s="1244"/>
      <c r="R720" s="1244"/>
      <c r="S720" s="1244"/>
      <c r="T720" s="1244"/>
      <c r="U720" s="1244"/>
      <c r="V720" s="1244"/>
      <c r="W720" s="1244"/>
      <c r="X720" s="1244"/>
      <c r="Y720" s="1244"/>
      <c r="Z720" s="1244"/>
    </row>
    <row r="721" spans="1:26" ht="19.5" hidden="1">
      <c r="A721" s="1368"/>
      <c r="B721" s="1243"/>
      <c r="C721" s="1243"/>
      <c r="D721" s="1243" t="s">
        <v>305</v>
      </c>
      <c r="E721" s="1243"/>
      <c r="F721" s="1243"/>
      <c r="G721" s="963"/>
      <c r="H721" s="733" t="s">
        <v>35</v>
      </c>
      <c r="I721" s="1381">
        <f ca="1">IFERROR(__xludf.DUMMYFUNCTION("IMPORTRANGE(""https://docs.google.com/spreadsheets/d/1QqKyyYR6Q21VydFLVH3TRQUabQu_ym0Zz7PgGX0-kHA/edit?usp=sharing"",""แผน!IJ29"")"),0)</f>
        <v>0</v>
      </c>
      <c r="J721" s="966">
        <f ca="1">J723+J726</f>
        <v>0</v>
      </c>
      <c r="K721" s="967">
        <f t="shared" ca="1" si="291"/>
        <v>0</v>
      </c>
      <c r="L721" s="1380"/>
      <c r="M721" s="963"/>
      <c r="N721" s="1380"/>
      <c r="O721" s="831"/>
      <c r="P721" s="831"/>
      <c r="Q721" s="1244"/>
      <c r="R721" s="1244"/>
      <c r="S721" s="1244"/>
      <c r="T721" s="1244"/>
      <c r="U721" s="1244"/>
      <c r="V721" s="1244"/>
      <c r="W721" s="1244"/>
      <c r="X721" s="1244"/>
      <c r="Y721" s="1244"/>
      <c r="Z721" s="1244"/>
    </row>
    <row r="722" spans="1:26" ht="19.5" hidden="1">
      <c r="A722" s="1368"/>
      <c r="B722" s="1243"/>
      <c r="C722" s="1243"/>
      <c r="D722" s="1243"/>
      <c r="E722" s="1243"/>
      <c r="F722" s="1243"/>
      <c r="G722" s="963"/>
      <c r="H722" s="733" t="s">
        <v>46</v>
      </c>
      <c r="I722" s="1381">
        <f ca="1">IFERROR(__xludf.DUMMYFUNCTION("IMPORTRANGE(""https://docs.google.com/spreadsheets/d/1QqKyyYR6Q21VydFLVH3TRQUabQu_ym0Zz7PgGX0-kHA/edit?usp=sharing"",""แผน!IK29"")"),0)</f>
        <v>0</v>
      </c>
      <c r="J722" s="966">
        <f ca="1">J725+J728</f>
        <v>0</v>
      </c>
      <c r="K722" s="967">
        <f t="shared" ca="1" si="291"/>
        <v>0</v>
      </c>
      <c r="L722" s="831"/>
      <c r="M722" s="963"/>
      <c r="N722" s="1380"/>
      <c r="O722" s="831"/>
      <c r="P722" s="831"/>
      <c r="Q722" s="1244"/>
      <c r="R722" s="1244"/>
      <c r="S722" s="1244"/>
      <c r="T722" s="1244"/>
      <c r="U722" s="1244"/>
      <c r="V722" s="1244"/>
      <c r="W722" s="1244"/>
      <c r="X722" s="1244"/>
      <c r="Y722" s="1244"/>
      <c r="Z722" s="1244"/>
    </row>
    <row r="723" spans="1:26" ht="18.75" hidden="1">
      <c r="A723" s="1368"/>
      <c r="B723" s="1243"/>
      <c r="C723" s="1243"/>
      <c r="D723" s="1243"/>
      <c r="E723" s="1243" t="s">
        <v>306</v>
      </c>
      <c r="F723" s="1243"/>
      <c r="G723" s="963"/>
      <c r="H723" s="730" t="s">
        <v>35</v>
      </c>
      <c r="I723" s="1379">
        <f ca="1">IFERROR(__xludf.DUMMYFUNCTION("IMPORTRANGE(""https://docs.google.com/spreadsheets/d/1QqKyyYR6Q21VydFLVH3TRQUabQu_ym0Zz7PgGX0-kHA/edit?usp=sharing"",""แผน!IL29"")"),0)</f>
        <v>0</v>
      </c>
      <c r="J723" s="830">
        <f ca="1">IFERROR(__xludf.DUMMYFUNCTION("IMPORTRANGE(""https://docs.google.com/spreadsheets/d/1XWAQStnk-4SwqDmLtmXYiTMKHgktTP8We1SCoS47DrQ/edit?usp=sharing"",""จัดที่ดิน!BM29"")"),0)</f>
        <v>0</v>
      </c>
      <c r="K723" s="831">
        <f t="shared" ca="1" si="291"/>
        <v>0</v>
      </c>
      <c r="L723" s="831"/>
      <c r="M723" s="963"/>
      <c r="N723" s="1380"/>
      <c r="O723" s="831"/>
      <c r="P723" s="831"/>
      <c r="Q723" s="1244"/>
      <c r="R723" s="1244"/>
      <c r="S723" s="1244"/>
      <c r="T723" s="1244"/>
      <c r="U723" s="1244"/>
      <c r="V723" s="1244"/>
      <c r="W723" s="1244"/>
      <c r="X723" s="1244"/>
      <c r="Y723" s="1244"/>
      <c r="Z723" s="1244"/>
    </row>
    <row r="724" spans="1:26" ht="18.75" hidden="1">
      <c r="A724" s="1368"/>
      <c r="B724" s="1243"/>
      <c r="C724" s="1243"/>
      <c r="D724" s="1243"/>
      <c r="E724" s="1243"/>
      <c r="F724" s="1243"/>
      <c r="G724" s="963"/>
      <c r="H724" s="730" t="s">
        <v>34</v>
      </c>
      <c r="I724" s="1379"/>
      <c r="J724" s="830">
        <f ca="1">IFERROR(__xludf.DUMMYFUNCTION("IMPORTRANGE(""https://docs.google.com/spreadsheets/d/1XWAQStnk-4SwqDmLtmXYiTMKHgktTP8We1SCoS47DrQ/edit?usp=sharing"",""จัดที่ดิน!BN29"")"),0)</f>
        <v>0</v>
      </c>
      <c r="K724" s="831"/>
      <c r="L724" s="1380"/>
      <c r="M724" s="963"/>
      <c r="N724" s="1380"/>
      <c r="O724" s="831"/>
      <c r="P724" s="831"/>
      <c r="Q724" s="1244"/>
      <c r="R724" s="1244"/>
      <c r="S724" s="1244"/>
      <c r="T724" s="1244"/>
      <c r="U724" s="1244"/>
      <c r="V724" s="1244"/>
      <c r="W724" s="1244"/>
      <c r="X724" s="1244"/>
      <c r="Y724" s="1244"/>
      <c r="Z724" s="1244"/>
    </row>
    <row r="725" spans="1:26" ht="18.75" hidden="1">
      <c r="A725" s="1368"/>
      <c r="B725" s="1243"/>
      <c r="C725" s="1243"/>
      <c r="D725" s="1243"/>
      <c r="E725" s="1243"/>
      <c r="F725" s="1243"/>
      <c r="G725" s="963"/>
      <c r="H725" s="730" t="s">
        <v>46</v>
      </c>
      <c r="I725" s="1379">
        <f ca="1">IFERROR(__xludf.DUMMYFUNCTION("IMPORTRANGE(""https://docs.google.com/spreadsheets/d/1QqKyyYR6Q21VydFLVH3TRQUabQu_ym0Zz7PgGX0-kHA/edit?usp=sharing"",""แผน!IM29"")"),0)</f>
        <v>0</v>
      </c>
      <c r="J725" s="830">
        <f ca="1">IFERROR(__xludf.DUMMYFUNCTION("IMPORTRANGE(""https://docs.google.com/spreadsheets/d/1XWAQStnk-4SwqDmLtmXYiTMKHgktTP8We1SCoS47DrQ/edit?usp=sharing"",""จัดที่ดิน!BO29"")"),0)</f>
        <v>0</v>
      </c>
      <c r="K725" s="831">
        <f t="shared" ref="K725:K726" ca="1" si="292">IF(I725&gt;0,J725*100/I725,0)</f>
        <v>0</v>
      </c>
      <c r="L725" s="1380"/>
      <c r="M725" s="963"/>
      <c r="N725" s="1380"/>
      <c r="O725" s="831"/>
      <c r="P725" s="831"/>
      <c r="Q725" s="1244"/>
      <c r="R725" s="1244"/>
      <c r="S725" s="1244"/>
      <c r="T725" s="1244"/>
      <c r="U725" s="1244"/>
      <c r="V725" s="1244"/>
      <c r="W725" s="1244"/>
      <c r="X725" s="1244"/>
      <c r="Y725" s="1244"/>
      <c r="Z725" s="1244"/>
    </row>
    <row r="726" spans="1:26" ht="18.75" hidden="1">
      <c r="A726" s="1368"/>
      <c r="B726" s="1243"/>
      <c r="C726" s="1243"/>
      <c r="D726" s="1243"/>
      <c r="E726" s="1243" t="s">
        <v>307</v>
      </c>
      <c r="F726" s="1243"/>
      <c r="G726" s="963"/>
      <c r="H726" s="730" t="s">
        <v>35</v>
      </c>
      <c r="I726" s="1379">
        <f ca="1">IFERROR(__xludf.DUMMYFUNCTION("IMPORTRANGE(""https://docs.google.com/spreadsheets/d/1QqKyyYR6Q21VydFLVH3TRQUabQu_ym0Zz7PgGX0-kHA/edit?usp=sharing"",""แผน!IN29"")"),0)</f>
        <v>0</v>
      </c>
      <c r="J726" s="830">
        <f ca="1">IFERROR(__xludf.DUMMYFUNCTION("IMPORTRANGE(""https://docs.google.com/spreadsheets/d/1XWAQStnk-4SwqDmLtmXYiTMKHgktTP8We1SCoS47DrQ/edit?usp=sharing"",""จัดที่ดิน!BR29"")"),0)</f>
        <v>0</v>
      </c>
      <c r="K726" s="831">
        <f t="shared" ca="1" si="292"/>
        <v>0</v>
      </c>
      <c r="L726" s="831"/>
      <c r="M726" s="963"/>
      <c r="N726" s="1380"/>
      <c r="O726" s="831"/>
      <c r="P726" s="831"/>
      <c r="Q726" s="1244"/>
      <c r="R726" s="1244"/>
      <c r="S726" s="1244"/>
      <c r="T726" s="1244"/>
      <c r="U726" s="1244"/>
      <c r="V726" s="1244"/>
      <c r="W726" s="1244"/>
      <c r="X726" s="1244"/>
      <c r="Y726" s="1244"/>
      <c r="Z726" s="1244"/>
    </row>
    <row r="727" spans="1:26" ht="18.75" hidden="1">
      <c r="A727" s="1368"/>
      <c r="B727" s="1243"/>
      <c r="C727" s="1243"/>
      <c r="D727" s="1243"/>
      <c r="E727" s="1243"/>
      <c r="F727" s="1243"/>
      <c r="G727" s="963"/>
      <c r="H727" s="730" t="s">
        <v>34</v>
      </c>
      <c r="I727" s="1379"/>
      <c r="J727" s="830">
        <f ca="1">IFERROR(__xludf.DUMMYFUNCTION("IMPORTRANGE(""https://docs.google.com/spreadsheets/d/1XWAQStnk-4SwqDmLtmXYiTMKHgktTP8We1SCoS47DrQ/edit?usp=sharing"",""จัดที่ดิน!BS29"")"),0)</f>
        <v>0</v>
      </c>
      <c r="K727" s="831"/>
      <c r="L727" s="1380"/>
      <c r="M727" s="963"/>
      <c r="N727" s="1380"/>
      <c r="O727" s="831"/>
      <c r="P727" s="831"/>
      <c r="Q727" s="1244"/>
      <c r="R727" s="1244"/>
      <c r="S727" s="1244"/>
      <c r="T727" s="1244"/>
      <c r="U727" s="1244"/>
      <c r="V727" s="1244"/>
      <c r="W727" s="1244"/>
      <c r="X727" s="1244"/>
      <c r="Y727" s="1244"/>
      <c r="Z727" s="1244"/>
    </row>
    <row r="728" spans="1:26" ht="18.75" hidden="1">
      <c r="A728" s="1368"/>
      <c r="B728" s="1243"/>
      <c r="C728" s="1243"/>
      <c r="D728" s="1243"/>
      <c r="E728" s="1243"/>
      <c r="F728" s="1243"/>
      <c r="G728" s="963"/>
      <c r="H728" s="730" t="s">
        <v>46</v>
      </c>
      <c r="I728" s="1379">
        <f ca="1">IFERROR(__xludf.DUMMYFUNCTION("IMPORTRANGE(""https://docs.google.com/spreadsheets/d/1QqKyyYR6Q21VydFLVH3TRQUabQu_ym0Zz7PgGX0-kHA/edit?usp=sharing"",""แผน!IO29"")"),0)</f>
        <v>0</v>
      </c>
      <c r="J728" s="830">
        <f ca="1">IFERROR(__xludf.DUMMYFUNCTION("IMPORTRANGE(""https://docs.google.com/spreadsheets/d/1XWAQStnk-4SwqDmLtmXYiTMKHgktTP8We1SCoS47DrQ/edit?usp=sharing"",""จัดที่ดิน!BT29"")"),0)</f>
        <v>0</v>
      </c>
      <c r="K728" s="831">
        <f t="shared" ref="K728:K729" ca="1" si="293">IF(I728&gt;0,J728*100/I728,0)</f>
        <v>0</v>
      </c>
      <c r="L728" s="1380"/>
      <c r="M728" s="963"/>
      <c r="N728" s="1380"/>
      <c r="O728" s="831"/>
      <c r="P728" s="831"/>
      <c r="Q728" s="1244"/>
      <c r="R728" s="1244"/>
      <c r="S728" s="1244"/>
      <c r="T728" s="1244"/>
      <c r="U728" s="1244"/>
      <c r="V728" s="1244"/>
      <c r="W728" s="1244"/>
      <c r="X728" s="1244"/>
      <c r="Y728" s="1244"/>
      <c r="Z728" s="1244"/>
    </row>
    <row r="729" spans="1:26" ht="19.5" hidden="1">
      <c r="A729" s="1368"/>
      <c r="B729" s="1243"/>
      <c r="C729" s="1243"/>
      <c r="D729" s="1243" t="s">
        <v>308</v>
      </c>
      <c r="E729" s="1243"/>
      <c r="F729" s="1243"/>
      <c r="G729" s="963"/>
      <c r="H729" s="733" t="s">
        <v>46</v>
      </c>
      <c r="I729" s="1381">
        <f ca="1">IFERROR(__xludf.DUMMYFUNCTION("IMPORTRANGE(""https://docs.google.com/spreadsheets/d/1QqKyyYR6Q21VydFLVH3TRQUabQu_ym0Zz7PgGX0-kHA/edit?usp=sharing"",""แผน!IP29"")"),0)</f>
        <v>0</v>
      </c>
      <c r="J729" s="966">
        <f>J732+J735</f>
        <v>0</v>
      </c>
      <c r="K729" s="967">
        <f t="shared" ca="1" si="293"/>
        <v>0</v>
      </c>
      <c r="L729" s="831"/>
      <c r="M729" s="963"/>
      <c r="N729" s="1380"/>
      <c r="O729" s="831"/>
      <c r="P729" s="831"/>
      <c r="Q729" s="1244"/>
      <c r="R729" s="1244"/>
      <c r="S729" s="1244"/>
      <c r="T729" s="1244"/>
      <c r="U729" s="1244"/>
      <c r="V729" s="1244"/>
      <c r="W729" s="1244"/>
      <c r="X729" s="1244"/>
      <c r="Y729" s="1244"/>
      <c r="Z729" s="1244"/>
    </row>
    <row r="730" spans="1:26" ht="18.75" hidden="1">
      <c r="A730" s="1368"/>
      <c r="B730" s="1243"/>
      <c r="C730" s="1243"/>
      <c r="D730" s="1243"/>
      <c r="E730" s="1243" t="s">
        <v>309</v>
      </c>
      <c r="F730" s="1243"/>
      <c r="G730" s="963"/>
      <c r="H730" s="730" t="s">
        <v>35</v>
      </c>
      <c r="I730" s="1379"/>
      <c r="J730" s="959">
        <v>0</v>
      </c>
      <c r="K730" s="831"/>
      <c r="L730" s="1380"/>
      <c r="M730" s="831"/>
      <c r="N730" s="1380"/>
      <c r="O730" s="831"/>
      <c r="P730" s="831"/>
      <c r="Q730" s="1244"/>
      <c r="R730" s="1244"/>
      <c r="S730" s="1244"/>
      <c r="T730" s="1244"/>
      <c r="U730" s="1244"/>
      <c r="V730" s="1244"/>
      <c r="W730" s="1244"/>
      <c r="X730" s="1244"/>
      <c r="Y730" s="1244"/>
      <c r="Z730" s="1244"/>
    </row>
    <row r="731" spans="1:26" ht="18.75" hidden="1">
      <c r="A731" s="1368"/>
      <c r="B731" s="1243"/>
      <c r="C731" s="1243"/>
      <c r="D731" s="1243"/>
      <c r="E731" s="1243"/>
      <c r="F731" s="1243"/>
      <c r="G731" s="963"/>
      <c r="H731" s="730" t="s">
        <v>34</v>
      </c>
      <c r="I731" s="1379"/>
      <c r="J731" s="959">
        <v>0</v>
      </c>
      <c r="K731" s="831"/>
      <c r="L731" s="1380"/>
      <c r="M731" s="831"/>
      <c r="N731" s="1380"/>
      <c r="O731" s="831"/>
      <c r="P731" s="831"/>
      <c r="Q731" s="1244"/>
      <c r="R731" s="1244"/>
      <c r="S731" s="1244"/>
      <c r="T731" s="1244"/>
      <c r="U731" s="1244"/>
      <c r="V731" s="1244"/>
      <c r="W731" s="1244"/>
      <c r="X731" s="1244"/>
      <c r="Y731" s="1244"/>
      <c r="Z731" s="1244"/>
    </row>
    <row r="732" spans="1:26" ht="18.75" hidden="1">
      <c r="A732" s="1368"/>
      <c r="B732" s="1243"/>
      <c r="C732" s="1243"/>
      <c r="D732" s="1243"/>
      <c r="E732" s="1243"/>
      <c r="F732" s="1243"/>
      <c r="G732" s="963"/>
      <c r="H732" s="730" t="s">
        <v>46</v>
      </c>
      <c r="I732" s="1379"/>
      <c r="J732" s="959">
        <v>0</v>
      </c>
      <c r="K732" s="831"/>
      <c r="L732" s="1380"/>
      <c r="M732" s="831"/>
      <c r="N732" s="1380"/>
      <c r="O732" s="831"/>
      <c r="P732" s="831"/>
      <c r="Q732" s="1244"/>
      <c r="R732" s="1244"/>
      <c r="S732" s="1244"/>
      <c r="T732" s="1244"/>
      <c r="U732" s="1244"/>
      <c r="V732" s="1244"/>
      <c r="W732" s="1244"/>
      <c r="X732" s="1244"/>
      <c r="Y732" s="1244"/>
      <c r="Z732" s="1244"/>
    </row>
    <row r="733" spans="1:26" ht="18.75" hidden="1">
      <c r="A733" s="1368"/>
      <c r="B733" s="1243"/>
      <c r="C733" s="1243"/>
      <c r="D733" s="1243"/>
      <c r="E733" s="1243" t="s">
        <v>310</v>
      </c>
      <c r="F733" s="1243"/>
      <c r="G733" s="963"/>
      <c r="H733" s="730" t="s">
        <v>35</v>
      </c>
      <c r="I733" s="1379"/>
      <c r="J733" s="959">
        <v>0</v>
      </c>
      <c r="K733" s="831"/>
      <c r="L733" s="1380"/>
      <c r="M733" s="831"/>
      <c r="N733" s="1380"/>
      <c r="O733" s="831"/>
      <c r="P733" s="831"/>
      <c r="Q733" s="1244"/>
      <c r="R733" s="1244"/>
      <c r="S733" s="1244"/>
      <c r="T733" s="1244"/>
      <c r="U733" s="1244"/>
      <c r="V733" s="1244"/>
      <c r="W733" s="1244"/>
      <c r="X733" s="1244"/>
      <c r="Y733" s="1244"/>
      <c r="Z733" s="1244"/>
    </row>
    <row r="734" spans="1:26" ht="18.75" hidden="1">
      <c r="A734" s="1368"/>
      <c r="B734" s="1243"/>
      <c r="C734" s="1243"/>
      <c r="D734" s="1243"/>
      <c r="E734" s="1243"/>
      <c r="F734" s="1243"/>
      <c r="G734" s="963"/>
      <c r="H734" s="730" t="s">
        <v>34</v>
      </c>
      <c r="I734" s="1379"/>
      <c r="J734" s="959">
        <v>0</v>
      </c>
      <c r="K734" s="831"/>
      <c r="L734" s="1380"/>
      <c r="M734" s="831"/>
      <c r="N734" s="1380"/>
      <c r="O734" s="831"/>
      <c r="P734" s="831"/>
      <c r="Q734" s="1244"/>
      <c r="R734" s="1244"/>
      <c r="S734" s="1244"/>
      <c r="T734" s="1244"/>
      <c r="U734" s="1244"/>
      <c r="V734" s="1244"/>
      <c r="W734" s="1244"/>
      <c r="X734" s="1244"/>
      <c r="Y734" s="1244"/>
      <c r="Z734" s="1244"/>
    </row>
    <row r="735" spans="1:26" ht="19.5" hidden="1">
      <c r="A735" s="1382"/>
      <c r="B735" s="1383" t="s">
        <v>311</v>
      </c>
      <c r="C735" s="1116"/>
      <c r="D735" s="1116"/>
      <c r="E735" s="1116"/>
      <c r="F735" s="1116"/>
      <c r="G735" s="1361"/>
      <c r="H735" s="391" t="s">
        <v>46</v>
      </c>
      <c r="I735" s="1384"/>
      <c r="J735" s="1118">
        <v>0</v>
      </c>
      <c r="K735" s="1182"/>
      <c r="L735" s="1385"/>
      <c r="M735" s="1182"/>
      <c r="N735" s="1385"/>
      <c r="O735" s="1182"/>
      <c r="P735" s="1182"/>
      <c r="Q735" s="1244"/>
      <c r="R735" s="1244"/>
      <c r="S735" s="1244"/>
      <c r="T735" s="1244"/>
      <c r="U735" s="1244"/>
      <c r="V735" s="1244"/>
      <c r="W735" s="1244"/>
      <c r="X735" s="1244"/>
      <c r="Y735" s="1244"/>
      <c r="Z735" s="1244"/>
    </row>
    <row r="736" spans="1:26" ht="19.5" hidden="1">
      <c r="A736" s="740">
        <v>9</v>
      </c>
      <c r="B736" s="1386" t="s">
        <v>312</v>
      </c>
      <c r="C736" s="1387"/>
      <c r="D736" s="1387"/>
      <c r="E736" s="1387"/>
      <c r="F736" s="1387"/>
      <c r="G736" s="1388"/>
      <c r="H736" s="744" t="s">
        <v>46</v>
      </c>
      <c r="I736" s="1389"/>
      <c r="J736" s="1389">
        <f>J751</f>
        <v>0</v>
      </c>
      <c r="K736" s="1390">
        <f>IF(I736&gt;0,J736*100/I736,0)</f>
        <v>0</v>
      </c>
      <c r="L736" s="1391"/>
      <c r="M736" s="1391"/>
      <c r="N736" s="1391"/>
      <c r="O736" s="1391"/>
      <c r="P736" s="1391"/>
      <c r="Q736" s="1264"/>
      <c r="R736" s="1264"/>
      <c r="S736" s="1264"/>
      <c r="T736" s="1264"/>
      <c r="U736" s="1264"/>
      <c r="V736" s="1264"/>
      <c r="W736" s="1264"/>
      <c r="X736" s="1264"/>
      <c r="Y736" s="1264"/>
      <c r="Z736" s="1264"/>
    </row>
    <row r="737" spans="1:26" ht="19.5" hidden="1">
      <c r="A737" s="1260"/>
      <c r="B737" s="1261"/>
      <c r="C737" s="1261" t="s">
        <v>16</v>
      </c>
      <c r="D737" s="1508" t="s">
        <v>17</v>
      </c>
      <c r="E737" s="1485"/>
      <c r="F737" s="1485"/>
      <c r="G737" s="1263"/>
      <c r="H737" s="612" t="s">
        <v>12</v>
      </c>
      <c r="I737" s="836"/>
      <c r="J737" s="836"/>
      <c r="K737" s="837"/>
      <c r="L737" s="1292">
        <f t="shared" ref="L737:N737" si="294">L738+L739</f>
        <v>0</v>
      </c>
      <c r="M737" s="1292">
        <f t="shared" si="294"/>
        <v>0</v>
      </c>
      <c r="N737" s="1292">
        <f t="shared" si="294"/>
        <v>0</v>
      </c>
      <c r="O737" s="1292">
        <f t="shared" ref="O737:O742" si="295">IF(L737&gt;0,N737*100/L737,0)</f>
        <v>0</v>
      </c>
      <c r="P737" s="1292">
        <f t="shared" ref="P737:P742" si="296">IF(M737&gt;0,N737*100/M737,0)</f>
        <v>0</v>
      </c>
      <c r="Q737" s="1264"/>
      <c r="R737" s="1264"/>
      <c r="S737" s="1264"/>
      <c r="T737" s="1264"/>
      <c r="U737" s="1264"/>
      <c r="V737" s="1264"/>
      <c r="W737" s="1264"/>
      <c r="X737" s="1264"/>
      <c r="Y737" s="1264"/>
      <c r="Z737" s="1264"/>
    </row>
    <row r="738" spans="1:26" ht="18.75" hidden="1">
      <c r="A738" s="1260"/>
      <c r="B738" s="1261"/>
      <c r="C738" s="1261"/>
      <c r="D738" s="1262"/>
      <c r="E738" s="1261" t="s">
        <v>184</v>
      </c>
      <c r="F738" s="1261"/>
      <c r="G738" s="1263"/>
      <c r="H738" s="165" t="s">
        <v>12</v>
      </c>
      <c r="I738" s="836"/>
      <c r="J738" s="836"/>
      <c r="K738" s="837"/>
      <c r="L738" s="837">
        <f t="shared" ref="L738:N739" si="297">L741+L748</f>
        <v>0</v>
      </c>
      <c r="M738" s="837">
        <f t="shared" si="297"/>
        <v>0</v>
      </c>
      <c r="N738" s="837">
        <f t="shared" si="297"/>
        <v>0</v>
      </c>
      <c r="O738" s="837">
        <f t="shared" si="295"/>
        <v>0</v>
      </c>
      <c r="P738" s="837">
        <f t="shared" si="296"/>
        <v>0</v>
      </c>
      <c r="Q738" s="1264"/>
      <c r="R738" s="1264"/>
      <c r="S738" s="1264"/>
      <c r="T738" s="1264"/>
      <c r="U738" s="1264"/>
      <c r="V738" s="1264"/>
      <c r="W738" s="1264"/>
      <c r="X738" s="1264"/>
      <c r="Y738" s="1264"/>
      <c r="Z738" s="1264"/>
    </row>
    <row r="739" spans="1:26" ht="18.75" hidden="1">
      <c r="A739" s="1260"/>
      <c r="B739" s="1265"/>
      <c r="C739" s="1261"/>
      <c r="D739" s="1262"/>
      <c r="E739" s="1261" t="s">
        <v>185</v>
      </c>
      <c r="F739" s="1261"/>
      <c r="G739" s="1263"/>
      <c r="H739" s="165" t="s">
        <v>12</v>
      </c>
      <c r="I739" s="836"/>
      <c r="J739" s="836"/>
      <c r="K739" s="837"/>
      <c r="L739" s="837">
        <f t="shared" si="297"/>
        <v>0</v>
      </c>
      <c r="M739" s="837">
        <f t="shared" si="297"/>
        <v>0</v>
      </c>
      <c r="N739" s="837">
        <f t="shared" si="297"/>
        <v>0</v>
      </c>
      <c r="O739" s="837">
        <f t="shared" si="295"/>
        <v>0</v>
      </c>
      <c r="P739" s="837">
        <f t="shared" si="296"/>
        <v>0</v>
      </c>
      <c r="Q739" s="1264"/>
      <c r="R739" s="1264"/>
      <c r="S739" s="1264"/>
      <c r="T739" s="1264"/>
      <c r="U739" s="1264"/>
      <c r="V739" s="1264"/>
      <c r="W739" s="1264"/>
      <c r="X739" s="1264"/>
      <c r="Y739" s="1264"/>
      <c r="Z739" s="1264"/>
    </row>
    <row r="740" spans="1:26" ht="19.5" hidden="1">
      <c r="A740" s="1260"/>
      <c r="B740" s="1265"/>
      <c r="C740" s="1261"/>
      <c r="D740" s="1392" t="s">
        <v>20</v>
      </c>
      <c r="E740" s="1261"/>
      <c r="F740" s="1261"/>
      <c r="G740" s="1263"/>
      <c r="H740" s="612" t="s">
        <v>12</v>
      </c>
      <c r="I740" s="947"/>
      <c r="J740" s="947"/>
      <c r="K740" s="948"/>
      <c r="L740" s="1292">
        <f t="shared" ref="L740:N740" si="298">L741+L742</f>
        <v>0</v>
      </c>
      <c r="M740" s="1292">
        <f t="shared" si="298"/>
        <v>0</v>
      </c>
      <c r="N740" s="1292">
        <f t="shared" si="298"/>
        <v>0</v>
      </c>
      <c r="O740" s="1292">
        <f t="shared" si="295"/>
        <v>0</v>
      </c>
      <c r="P740" s="1292">
        <f t="shared" si="296"/>
        <v>0</v>
      </c>
      <c r="Q740" s="1264"/>
      <c r="R740" s="1264"/>
      <c r="S740" s="1264"/>
      <c r="T740" s="1264"/>
      <c r="U740" s="1264"/>
      <c r="V740" s="1264"/>
      <c r="W740" s="1264"/>
      <c r="X740" s="1264"/>
      <c r="Y740" s="1264"/>
      <c r="Z740" s="1264"/>
    </row>
    <row r="741" spans="1:26" ht="18.75" hidden="1">
      <c r="A741" s="1260"/>
      <c r="B741" s="1265"/>
      <c r="C741" s="1261"/>
      <c r="D741" s="1262"/>
      <c r="E741" s="1261" t="s">
        <v>184</v>
      </c>
      <c r="F741" s="1261"/>
      <c r="G741" s="1263"/>
      <c r="H741" s="165" t="s">
        <v>12</v>
      </c>
      <c r="I741" s="836"/>
      <c r="J741" s="836"/>
      <c r="K741" s="837"/>
      <c r="L741" s="837">
        <v>0</v>
      </c>
      <c r="M741" s="837">
        <v>0</v>
      </c>
      <c r="N741" s="837">
        <v>0</v>
      </c>
      <c r="O741" s="837">
        <f t="shared" si="295"/>
        <v>0</v>
      </c>
      <c r="P741" s="837">
        <f t="shared" si="296"/>
        <v>0</v>
      </c>
      <c r="Q741" s="1264"/>
      <c r="R741" s="1264"/>
      <c r="S741" s="1264"/>
      <c r="T741" s="1264"/>
      <c r="U741" s="1264"/>
      <c r="V741" s="1264"/>
      <c r="W741" s="1264"/>
      <c r="X741" s="1264"/>
      <c r="Y741" s="1264"/>
      <c r="Z741" s="1264"/>
    </row>
    <row r="742" spans="1:26" ht="18.75" hidden="1">
      <c r="A742" s="1260"/>
      <c r="B742" s="1265"/>
      <c r="C742" s="1261"/>
      <c r="D742" s="1262"/>
      <c r="E742" s="1261" t="s">
        <v>185</v>
      </c>
      <c r="F742" s="1261"/>
      <c r="G742" s="1263"/>
      <c r="H742" s="165" t="s">
        <v>12</v>
      </c>
      <c r="I742" s="836"/>
      <c r="J742" s="836"/>
      <c r="K742" s="837"/>
      <c r="L742" s="837">
        <v>0</v>
      </c>
      <c r="M742" s="837">
        <v>0</v>
      </c>
      <c r="N742" s="837">
        <f>N743+N744+N745+N746</f>
        <v>0</v>
      </c>
      <c r="O742" s="837">
        <f t="shared" si="295"/>
        <v>0</v>
      </c>
      <c r="P742" s="837">
        <f t="shared" si="296"/>
        <v>0</v>
      </c>
      <c r="Q742" s="1264"/>
      <c r="R742" s="1264"/>
      <c r="S742" s="1264"/>
      <c r="T742" s="1264"/>
      <c r="U742" s="1264"/>
      <c r="V742" s="1264"/>
      <c r="W742" s="1264"/>
      <c r="X742" s="1264"/>
      <c r="Y742" s="1264"/>
      <c r="Z742" s="1264"/>
    </row>
    <row r="743" spans="1:26" ht="18.75" hidden="1">
      <c r="A743" s="1294"/>
      <c r="B743" s="1265"/>
      <c r="C743" s="1261"/>
      <c r="D743" s="1261"/>
      <c r="E743" s="1261"/>
      <c r="F743" s="1261" t="s">
        <v>186</v>
      </c>
      <c r="G743" s="1263"/>
      <c r="H743" s="165" t="s">
        <v>12</v>
      </c>
      <c r="I743" s="836"/>
      <c r="J743" s="836"/>
      <c r="K743" s="837"/>
      <c r="L743" s="837"/>
      <c r="M743" s="837"/>
      <c r="N743" s="837"/>
      <c r="O743" s="837"/>
      <c r="P743" s="837"/>
      <c r="Q743" s="1264"/>
      <c r="R743" s="1264"/>
      <c r="S743" s="1264"/>
      <c r="T743" s="1264"/>
      <c r="U743" s="1264"/>
      <c r="V743" s="1264"/>
      <c r="W743" s="1264"/>
      <c r="X743" s="1264"/>
      <c r="Y743" s="1264"/>
      <c r="Z743" s="1264"/>
    </row>
    <row r="744" spans="1:26" ht="18.75" hidden="1">
      <c r="A744" s="1294"/>
      <c r="B744" s="1265"/>
      <c r="C744" s="1261"/>
      <c r="D744" s="1261"/>
      <c r="E744" s="1261"/>
      <c r="F744" s="1261" t="s">
        <v>187</v>
      </c>
      <c r="G744" s="1263"/>
      <c r="H744" s="165" t="s">
        <v>12</v>
      </c>
      <c r="I744" s="836"/>
      <c r="J744" s="836"/>
      <c r="K744" s="837"/>
      <c r="L744" s="837"/>
      <c r="M744" s="837"/>
      <c r="N744" s="837"/>
      <c r="O744" s="837"/>
      <c r="P744" s="837"/>
      <c r="Q744" s="1264"/>
      <c r="R744" s="1264"/>
      <c r="S744" s="1264"/>
      <c r="T744" s="1264"/>
      <c r="U744" s="1264"/>
      <c r="V744" s="1264"/>
      <c r="W744" s="1264"/>
      <c r="X744" s="1264"/>
      <c r="Y744" s="1264"/>
      <c r="Z744" s="1264"/>
    </row>
    <row r="745" spans="1:26" ht="18.75" hidden="1">
      <c r="A745" s="1294"/>
      <c r="B745" s="1265"/>
      <c r="C745" s="1261"/>
      <c r="D745" s="1261"/>
      <c r="E745" s="1261"/>
      <c r="F745" s="1261" t="s">
        <v>188</v>
      </c>
      <c r="G745" s="1263"/>
      <c r="H745" s="165" t="s">
        <v>12</v>
      </c>
      <c r="I745" s="836"/>
      <c r="J745" s="836"/>
      <c r="K745" s="837"/>
      <c r="L745" s="837"/>
      <c r="M745" s="837"/>
      <c r="N745" s="837"/>
      <c r="O745" s="837"/>
      <c r="P745" s="837"/>
      <c r="Q745" s="1264"/>
      <c r="R745" s="1264"/>
      <c r="S745" s="1264"/>
      <c r="T745" s="1264"/>
      <c r="U745" s="1264"/>
      <c r="V745" s="1264"/>
      <c r="W745" s="1264"/>
      <c r="X745" s="1264"/>
      <c r="Y745" s="1264"/>
      <c r="Z745" s="1264"/>
    </row>
    <row r="746" spans="1:26" ht="18.75" hidden="1">
      <c r="A746" s="1294"/>
      <c r="B746" s="1265"/>
      <c r="C746" s="1261"/>
      <c r="D746" s="1261"/>
      <c r="E746" s="1261"/>
      <c r="F746" s="1261" t="s">
        <v>189</v>
      </c>
      <c r="G746" s="1263"/>
      <c r="H746" s="165" t="s">
        <v>12</v>
      </c>
      <c r="I746" s="836"/>
      <c r="J746" s="836"/>
      <c r="K746" s="837"/>
      <c r="L746" s="837"/>
      <c r="M746" s="837"/>
      <c r="N746" s="837"/>
      <c r="O746" s="837"/>
      <c r="P746" s="837"/>
      <c r="Q746" s="1264"/>
      <c r="R746" s="1264"/>
      <c r="S746" s="1264"/>
      <c r="T746" s="1264"/>
      <c r="U746" s="1264"/>
      <c r="V746" s="1264"/>
      <c r="W746" s="1264"/>
      <c r="X746" s="1264"/>
      <c r="Y746" s="1264"/>
      <c r="Z746" s="1264"/>
    </row>
    <row r="747" spans="1:26" ht="19.5" hidden="1">
      <c r="A747" s="1260"/>
      <c r="B747" s="1265"/>
      <c r="C747" s="1261"/>
      <c r="D747" s="1392" t="s">
        <v>21</v>
      </c>
      <c r="E747" s="1261"/>
      <c r="F747" s="1261"/>
      <c r="G747" s="1263"/>
      <c r="H747" s="749" t="s">
        <v>12</v>
      </c>
      <c r="I747" s="947"/>
      <c r="J747" s="947"/>
      <c r="K747" s="948"/>
      <c r="L747" s="1292">
        <f t="shared" ref="L747:N747" si="299">L748+L749</f>
        <v>0</v>
      </c>
      <c r="M747" s="1292">
        <f t="shared" si="299"/>
        <v>0</v>
      </c>
      <c r="N747" s="1292">
        <f t="shared" si="299"/>
        <v>0</v>
      </c>
      <c r="O747" s="1292">
        <f t="shared" ref="O747:O749" si="300">IF(L747&gt;0,N747*100/L747,0)</f>
        <v>0</v>
      </c>
      <c r="P747" s="1292">
        <f t="shared" ref="P747:P749" si="301">IF(M747&gt;0,N747*100/M747,0)</f>
        <v>0</v>
      </c>
      <c r="Q747" s="1264"/>
      <c r="R747" s="1264"/>
      <c r="S747" s="1264"/>
      <c r="T747" s="1264"/>
      <c r="U747" s="1264"/>
      <c r="V747" s="1264"/>
      <c r="W747" s="1264"/>
      <c r="X747" s="1264"/>
      <c r="Y747" s="1264"/>
      <c r="Z747" s="1264"/>
    </row>
    <row r="748" spans="1:26" ht="18.75" hidden="1">
      <c r="A748" s="1260"/>
      <c r="B748" s="1265"/>
      <c r="C748" s="1261"/>
      <c r="D748" s="1261"/>
      <c r="E748" s="1261" t="s">
        <v>18</v>
      </c>
      <c r="F748" s="1261"/>
      <c r="G748" s="1263"/>
      <c r="H748" s="165" t="s">
        <v>12</v>
      </c>
      <c r="I748" s="947"/>
      <c r="J748" s="947"/>
      <c r="K748" s="948"/>
      <c r="L748" s="837">
        <v>0</v>
      </c>
      <c r="M748" s="837">
        <v>0</v>
      </c>
      <c r="N748" s="837">
        <v>0</v>
      </c>
      <c r="O748" s="837">
        <f t="shared" si="300"/>
        <v>0</v>
      </c>
      <c r="P748" s="837">
        <f t="shared" si="301"/>
        <v>0</v>
      </c>
      <c r="Q748" s="1264"/>
      <c r="R748" s="1264"/>
      <c r="S748" s="1264"/>
      <c r="T748" s="1264"/>
      <c r="U748" s="1264"/>
      <c r="V748" s="1264"/>
      <c r="W748" s="1264"/>
      <c r="X748" s="1264"/>
      <c r="Y748" s="1264"/>
      <c r="Z748" s="1264"/>
    </row>
    <row r="749" spans="1:26" ht="18.75" hidden="1">
      <c r="A749" s="1260"/>
      <c r="B749" s="1265"/>
      <c r="C749" s="1261"/>
      <c r="D749" s="1261"/>
      <c r="E749" s="1261" t="s">
        <v>19</v>
      </c>
      <c r="F749" s="1261"/>
      <c r="G749" s="1263"/>
      <c r="H749" s="169" t="s">
        <v>12</v>
      </c>
      <c r="I749" s="947"/>
      <c r="J749" s="947"/>
      <c r="K749" s="948"/>
      <c r="L749" s="837">
        <v>0</v>
      </c>
      <c r="M749" s="837">
        <v>0</v>
      </c>
      <c r="N749" s="837">
        <v>0</v>
      </c>
      <c r="O749" s="837">
        <f t="shared" si="300"/>
        <v>0</v>
      </c>
      <c r="P749" s="837">
        <f t="shared" si="301"/>
        <v>0</v>
      </c>
      <c r="Q749" s="1264"/>
      <c r="R749" s="1264"/>
      <c r="S749" s="1264"/>
      <c r="T749" s="1264"/>
      <c r="U749" s="1264"/>
      <c r="V749" s="1264"/>
      <c r="W749" s="1264"/>
      <c r="X749" s="1264"/>
      <c r="Y749" s="1264"/>
      <c r="Z749" s="1264"/>
    </row>
    <row r="750" spans="1:26" ht="19.5" hidden="1">
      <c r="A750" s="1273"/>
      <c r="B750" s="1274"/>
      <c r="C750" s="1261" t="s">
        <v>16</v>
      </c>
      <c r="D750" s="1393" t="s">
        <v>38</v>
      </c>
      <c r="E750" s="1296"/>
      <c r="F750" s="1296"/>
      <c r="G750" s="1297"/>
      <c r="H750" s="1060"/>
      <c r="I750" s="947"/>
      <c r="J750" s="947"/>
      <c r="K750" s="948"/>
      <c r="L750" s="948"/>
      <c r="M750" s="948"/>
      <c r="N750" s="948"/>
      <c r="O750" s="948"/>
      <c r="P750" s="948"/>
      <c r="Q750" s="1264"/>
      <c r="R750" s="1264"/>
      <c r="S750" s="1264"/>
      <c r="T750" s="1264"/>
      <c r="U750" s="1264"/>
      <c r="V750" s="1264"/>
      <c r="W750" s="1264"/>
      <c r="X750" s="1264"/>
      <c r="Y750" s="1264"/>
      <c r="Z750" s="1264"/>
    </row>
    <row r="751" spans="1:26" ht="18.75" hidden="1">
      <c r="A751" s="1294"/>
      <c r="B751" s="1265"/>
      <c r="C751" s="1261"/>
      <c r="D751" s="1261"/>
      <c r="E751" s="1261" t="s">
        <v>313</v>
      </c>
      <c r="F751" s="1261"/>
      <c r="G751" s="1263"/>
      <c r="H751" s="165" t="s">
        <v>46</v>
      </c>
      <c r="I751" s="836"/>
      <c r="J751" s="836"/>
      <c r="K751" s="837"/>
      <c r="L751" s="837"/>
      <c r="M751" s="837"/>
      <c r="N751" s="837"/>
      <c r="O751" s="837"/>
      <c r="P751" s="837"/>
      <c r="Q751" s="1264"/>
      <c r="R751" s="1264"/>
      <c r="S751" s="1264"/>
      <c r="T751" s="1264"/>
      <c r="U751" s="1264"/>
      <c r="V751" s="1264"/>
      <c r="W751" s="1264"/>
      <c r="X751" s="1264"/>
      <c r="Y751" s="1264"/>
      <c r="Z751" s="1264"/>
    </row>
    <row r="752" spans="1:26" ht="18.75" hidden="1">
      <c r="A752" s="1294"/>
      <c r="B752" s="1265"/>
      <c r="C752" s="1261"/>
      <c r="D752" s="1261"/>
      <c r="E752" s="1261"/>
      <c r="F752" s="1261"/>
      <c r="G752" s="1263"/>
      <c r="H752" s="165" t="s">
        <v>314</v>
      </c>
      <c r="I752" s="836"/>
      <c r="J752" s="836"/>
      <c r="K752" s="837"/>
      <c r="L752" s="837"/>
      <c r="M752" s="837"/>
      <c r="N752" s="837"/>
      <c r="O752" s="837"/>
      <c r="P752" s="837"/>
      <c r="Q752" s="1264"/>
      <c r="R752" s="1264"/>
      <c r="S752" s="1264"/>
      <c r="T752" s="1264"/>
      <c r="U752" s="1264"/>
      <c r="V752" s="1264"/>
      <c r="W752" s="1264"/>
      <c r="X752" s="1264"/>
      <c r="Y752" s="1264"/>
      <c r="Z752" s="1264"/>
    </row>
    <row r="753" spans="1:26" ht="19.5" hidden="1">
      <c r="A753" s="751">
        <v>10</v>
      </c>
      <c r="B753" s="1394" t="s">
        <v>315</v>
      </c>
      <c r="C753" s="1395"/>
      <c r="D753" s="1395"/>
      <c r="E753" s="1395"/>
      <c r="F753" s="1395"/>
      <c r="G753" s="1396"/>
      <c r="H753" s="755" t="s">
        <v>46</v>
      </c>
      <c r="I753" s="1397"/>
      <c r="J753" s="1397">
        <f>J768</f>
        <v>0</v>
      </c>
      <c r="K753" s="1398">
        <f>IF(I753&gt;0,J753*100/I753,0)</f>
        <v>0</v>
      </c>
      <c r="L753" s="1399"/>
      <c r="M753" s="1399"/>
      <c r="N753" s="1399"/>
      <c r="O753" s="1399"/>
      <c r="P753" s="1399"/>
      <c r="Q753" s="1264"/>
      <c r="R753" s="1264"/>
      <c r="S753" s="1264"/>
      <c r="T753" s="1264"/>
      <c r="U753" s="1264"/>
      <c r="V753" s="1264"/>
      <c r="W753" s="1264"/>
      <c r="X753" s="1264"/>
      <c r="Y753" s="1264"/>
      <c r="Z753" s="1264"/>
    </row>
    <row r="754" spans="1:26" ht="19.5" hidden="1">
      <c r="A754" s="1260"/>
      <c r="B754" s="1261"/>
      <c r="C754" s="1261" t="s">
        <v>16</v>
      </c>
      <c r="D754" s="1508" t="s">
        <v>17</v>
      </c>
      <c r="E754" s="1485"/>
      <c r="F754" s="1485"/>
      <c r="G754" s="1263"/>
      <c r="H754" s="612" t="s">
        <v>12</v>
      </c>
      <c r="I754" s="836"/>
      <c r="J754" s="836"/>
      <c r="K754" s="837"/>
      <c r="L754" s="1292">
        <f t="shared" ref="L754:N754" si="302">L755+L756</f>
        <v>0</v>
      </c>
      <c r="M754" s="1292">
        <f t="shared" si="302"/>
        <v>0</v>
      </c>
      <c r="N754" s="1292">
        <f t="shared" si="302"/>
        <v>0</v>
      </c>
      <c r="O754" s="1292">
        <f t="shared" ref="O754:O759" si="303">IF(L754&gt;0,N754*100/L754,0)</f>
        <v>0</v>
      </c>
      <c r="P754" s="1292">
        <f t="shared" ref="P754:P759" si="304">IF(M754&gt;0,N754*100/M754,0)</f>
        <v>0</v>
      </c>
      <c r="Q754" s="1264"/>
      <c r="R754" s="1264"/>
      <c r="S754" s="1264"/>
      <c r="T754" s="1264"/>
      <c r="U754" s="1264"/>
      <c r="V754" s="1264"/>
      <c r="W754" s="1264"/>
      <c r="X754" s="1264"/>
      <c r="Y754" s="1264"/>
      <c r="Z754" s="1264"/>
    </row>
    <row r="755" spans="1:26" ht="18.75" hidden="1">
      <c r="A755" s="1260"/>
      <c r="B755" s="1261"/>
      <c r="C755" s="1261"/>
      <c r="D755" s="1262"/>
      <c r="E755" s="1261" t="s">
        <v>184</v>
      </c>
      <c r="F755" s="1261"/>
      <c r="G755" s="1263"/>
      <c r="H755" s="165" t="s">
        <v>12</v>
      </c>
      <c r="I755" s="836"/>
      <c r="J755" s="836"/>
      <c r="K755" s="837"/>
      <c r="L755" s="837">
        <f t="shared" ref="L755:N756" si="305">L758+L765</f>
        <v>0</v>
      </c>
      <c r="M755" s="837">
        <f t="shared" si="305"/>
        <v>0</v>
      </c>
      <c r="N755" s="837">
        <f t="shared" si="305"/>
        <v>0</v>
      </c>
      <c r="O755" s="837">
        <f t="shared" si="303"/>
        <v>0</v>
      </c>
      <c r="P755" s="837">
        <f t="shared" si="304"/>
        <v>0</v>
      </c>
      <c r="Q755" s="1264"/>
      <c r="R755" s="1264"/>
      <c r="S755" s="1264"/>
      <c r="T755" s="1264"/>
      <c r="U755" s="1264"/>
      <c r="V755" s="1264"/>
      <c r="W755" s="1264"/>
      <c r="X755" s="1264"/>
      <c r="Y755" s="1264"/>
      <c r="Z755" s="1264"/>
    </row>
    <row r="756" spans="1:26" ht="18.75" hidden="1">
      <c r="A756" s="1260"/>
      <c r="B756" s="1265"/>
      <c r="C756" s="1261"/>
      <c r="D756" s="1262"/>
      <c r="E756" s="1261" t="s">
        <v>185</v>
      </c>
      <c r="F756" s="1261"/>
      <c r="G756" s="1263"/>
      <c r="H756" s="165" t="s">
        <v>12</v>
      </c>
      <c r="I756" s="836"/>
      <c r="J756" s="836"/>
      <c r="K756" s="837"/>
      <c r="L756" s="837">
        <f t="shared" si="305"/>
        <v>0</v>
      </c>
      <c r="M756" s="837">
        <f t="shared" si="305"/>
        <v>0</v>
      </c>
      <c r="N756" s="837">
        <f t="shared" si="305"/>
        <v>0</v>
      </c>
      <c r="O756" s="837">
        <f t="shared" si="303"/>
        <v>0</v>
      </c>
      <c r="P756" s="837">
        <f t="shared" si="304"/>
        <v>0</v>
      </c>
      <c r="Q756" s="1264"/>
      <c r="R756" s="1264"/>
      <c r="S756" s="1264"/>
      <c r="T756" s="1264"/>
      <c r="U756" s="1264"/>
      <c r="V756" s="1264"/>
      <c r="W756" s="1264"/>
      <c r="X756" s="1264"/>
      <c r="Y756" s="1264"/>
      <c r="Z756" s="1264"/>
    </row>
    <row r="757" spans="1:26" ht="19.5" hidden="1">
      <c r="A757" s="1260"/>
      <c r="B757" s="1265"/>
      <c r="C757" s="1261"/>
      <c r="D757" s="1392" t="s">
        <v>20</v>
      </c>
      <c r="E757" s="1261"/>
      <c r="F757" s="1261"/>
      <c r="G757" s="1263"/>
      <c r="H757" s="612" t="s">
        <v>12</v>
      </c>
      <c r="I757" s="947"/>
      <c r="J757" s="947"/>
      <c r="K757" s="948"/>
      <c r="L757" s="1292">
        <f t="shared" ref="L757:N757" si="306">L758+L759</f>
        <v>0</v>
      </c>
      <c r="M757" s="1292">
        <f t="shared" si="306"/>
        <v>0</v>
      </c>
      <c r="N757" s="1292">
        <f t="shared" si="306"/>
        <v>0</v>
      </c>
      <c r="O757" s="1292">
        <f t="shared" si="303"/>
        <v>0</v>
      </c>
      <c r="P757" s="1292">
        <f t="shared" si="304"/>
        <v>0</v>
      </c>
      <c r="Q757" s="1264"/>
      <c r="R757" s="1264"/>
      <c r="S757" s="1264"/>
      <c r="T757" s="1264"/>
      <c r="U757" s="1264"/>
      <c r="V757" s="1264"/>
      <c r="W757" s="1264"/>
      <c r="X757" s="1264"/>
      <c r="Y757" s="1264"/>
      <c r="Z757" s="1264"/>
    </row>
    <row r="758" spans="1:26" ht="18.75" hidden="1">
      <c r="A758" s="1260"/>
      <c r="B758" s="1265"/>
      <c r="C758" s="1261"/>
      <c r="D758" s="1262"/>
      <c r="E758" s="1261" t="s">
        <v>184</v>
      </c>
      <c r="F758" s="1261"/>
      <c r="G758" s="1263"/>
      <c r="H758" s="165" t="s">
        <v>12</v>
      </c>
      <c r="I758" s="836"/>
      <c r="J758" s="836"/>
      <c r="K758" s="837"/>
      <c r="L758" s="837">
        <v>0</v>
      </c>
      <c r="M758" s="837">
        <v>0</v>
      </c>
      <c r="N758" s="837">
        <v>0</v>
      </c>
      <c r="O758" s="837">
        <f t="shared" si="303"/>
        <v>0</v>
      </c>
      <c r="P758" s="837">
        <f t="shared" si="304"/>
        <v>0</v>
      </c>
      <c r="Q758" s="1264"/>
      <c r="R758" s="1264"/>
      <c r="S758" s="1264"/>
      <c r="T758" s="1264"/>
      <c r="U758" s="1264"/>
      <c r="V758" s="1264"/>
      <c r="W758" s="1264"/>
      <c r="X758" s="1264"/>
      <c r="Y758" s="1264"/>
      <c r="Z758" s="1264"/>
    </row>
    <row r="759" spans="1:26" ht="18.75" hidden="1">
      <c r="A759" s="1260"/>
      <c r="B759" s="1265"/>
      <c r="C759" s="1261"/>
      <c r="D759" s="1262"/>
      <c r="E759" s="1261" t="s">
        <v>185</v>
      </c>
      <c r="F759" s="1261"/>
      <c r="G759" s="1263"/>
      <c r="H759" s="165" t="s">
        <v>12</v>
      </c>
      <c r="I759" s="836"/>
      <c r="J759" s="836"/>
      <c r="K759" s="837"/>
      <c r="L759" s="837">
        <v>0</v>
      </c>
      <c r="M759" s="837">
        <v>0</v>
      </c>
      <c r="N759" s="837">
        <f>N760+N761+N762+N763</f>
        <v>0</v>
      </c>
      <c r="O759" s="837">
        <f t="shared" si="303"/>
        <v>0</v>
      </c>
      <c r="P759" s="837">
        <f t="shared" si="304"/>
        <v>0</v>
      </c>
      <c r="Q759" s="1264"/>
      <c r="R759" s="1264"/>
      <c r="S759" s="1264"/>
      <c r="T759" s="1264"/>
      <c r="U759" s="1264"/>
      <c r="V759" s="1264"/>
      <c r="W759" s="1264"/>
      <c r="X759" s="1264"/>
      <c r="Y759" s="1264"/>
      <c r="Z759" s="1264"/>
    </row>
    <row r="760" spans="1:26" ht="18.75" hidden="1">
      <c r="A760" s="1294"/>
      <c r="B760" s="1265"/>
      <c r="C760" s="1261"/>
      <c r="D760" s="1261"/>
      <c r="E760" s="1261"/>
      <c r="F760" s="1261" t="s">
        <v>186</v>
      </c>
      <c r="G760" s="1263"/>
      <c r="H760" s="165" t="s">
        <v>12</v>
      </c>
      <c r="I760" s="836"/>
      <c r="J760" s="836"/>
      <c r="K760" s="837"/>
      <c r="L760" s="837"/>
      <c r="M760" s="837"/>
      <c r="N760" s="837"/>
      <c r="O760" s="837"/>
      <c r="P760" s="837"/>
      <c r="Q760" s="1264"/>
      <c r="R760" s="1264"/>
      <c r="S760" s="1264"/>
      <c r="T760" s="1264"/>
      <c r="U760" s="1264"/>
      <c r="V760" s="1264"/>
      <c r="W760" s="1264"/>
      <c r="X760" s="1264"/>
      <c r="Y760" s="1264"/>
      <c r="Z760" s="1264"/>
    </row>
    <row r="761" spans="1:26" ht="18.75" hidden="1">
      <c r="A761" s="1294"/>
      <c r="B761" s="1265"/>
      <c r="C761" s="1261"/>
      <c r="D761" s="1261"/>
      <c r="E761" s="1261"/>
      <c r="F761" s="1261" t="s">
        <v>187</v>
      </c>
      <c r="G761" s="1263"/>
      <c r="H761" s="165" t="s">
        <v>12</v>
      </c>
      <c r="I761" s="836"/>
      <c r="J761" s="836"/>
      <c r="K761" s="837"/>
      <c r="L761" s="837"/>
      <c r="M761" s="837"/>
      <c r="N761" s="837"/>
      <c r="O761" s="837"/>
      <c r="P761" s="837"/>
      <c r="Q761" s="1264"/>
      <c r="R761" s="1264"/>
      <c r="S761" s="1264"/>
      <c r="T761" s="1264"/>
      <c r="U761" s="1264"/>
      <c r="V761" s="1264"/>
      <c r="W761" s="1264"/>
      <c r="X761" s="1264"/>
      <c r="Y761" s="1264"/>
      <c r="Z761" s="1264"/>
    </row>
    <row r="762" spans="1:26" ht="18.75" hidden="1">
      <c r="A762" s="1294"/>
      <c r="B762" s="1265"/>
      <c r="C762" s="1261"/>
      <c r="D762" s="1261"/>
      <c r="E762" s="1261"/>
      <c r="F762" s="1261" t="s">
        <v>188</v>
      </c>
      <c r="G762" s="1263"/>
      <c r="H762" s="165" t="s">
        <v>12</v>
      </c>
      <c r="I762" s="836"/>
      <c r="J762" s="836"/>
      <c r="K762" s="837"/>
      <c r="L762" s="837"/>
      <c r="M762" s="837"/>
      <c r="N762" s="837"/>
      <c r="O762" s="837"/>
      <c r="P762" s="837"/>
      <c r="Q762" s="1264"/>
      <c r="R762" s="1264"/>
      <c r="S762" s="1264"/>
      <c r="T762" s="1264"/>
      <c r="U762" s="1264"/>
      <c r="V762" s="1264"/>
      <c r="W762" s="1264"/>
      <c r="X762" s="1264"/>
      <c r="Y762" s="1264"/>
      <c r="Z762" s="1264"/>
    </row>
    <row r="763" spans="1:26" ht="18.75" hidden="1">
      <c r="A763" s="1294"/>
      <c r="B763" s="1265"/>
      <c r="C763" s="1261"/>
      <c r="D763" s="1261"/>
      <c r="E763" s="1261"/>
      <c r="F763" s="1261" t="s">
        <v>189</v>
      </c>
      <c r="G763" s="1263"/>
      <c r="H763" s="165" t="s">
        <v>12</v>
      </c>
      <c r="I763" s="836"/>
      <c r="J763" s="836"/>
      <c r="K763" s="837"/>
      <c r="L763" s="837"/>
      <c r="M763" s="837"/>
      <c r="N763" s="837"/>
      <c r="O763" s="837"/>
      <c r="P763" s="837"/>
      <c r="Q763" s="1264"/>
      <c r="R763" s="1264"/>
      <c r="S763" s="1264"/>
      <c r="T763" s="1264"/>
      <c r="U763" s="1264"/>
      <c r="V763" s="1264"/>
      <c r="W763" s="1264"/>
      <c r="X763" s="1264"/>
      <c r="Y763" s="1264"/>
      <c r="Z763" s="1264"/>
    </row>
    <row r="764" spans="1:26" ht="19.5" hidden="1">
      <c r="A764" s="1260"/>
      <c r="B764" s="1265"/>
      <c r="C764" s="1261"/>
      <c r="D764" s="1392" t="s">
        <v>21</v>
      </c>
      <c r="E764" s="1261"/>
      <c r="F764" s="1261"/>
      <c r="G764" s="1263"/>
      <c r="H764" s="749" t="s">
        <v>12</v>
      </c>
      <c r="I764" s="947"/>
      <c r="J764" s="947"/>
      <c r="K764" s="948"/>
      <c r="L764" s="1292">
        <f t="shared" ref="L764:N764" si="307">L765+L766</f>
        <v>0</v>
      </c>
      <c r="M764" s="1292">
        <f t="shared" si="307"/>
        <v>0</v>
      </c>
      <c r="N764" s="1292">
        <f t="shared" si="307"/>
        <v>0</v>
      </c>
      <c r="O764" s="1292">
        <f t="shared" ref="O764:O766" si="308">IF(L764&gt;0,N764*100/L764,0)</f>
        <v>0</v>
      </c>
      <c r="P764" s="1292">
        <f t="shared" ref="P764:P766" si="309">IF(M764&gt;0,N764*100/M764,0)</f>
        <v>0</v>
      </c>
      <c r="Q764" s="1264"/>
      <c r="R764" s="1264"/>
      <c r="S764" s="1264"/>
      <c r="T764" s="1264"/>
      <c r="U764" s="1264"/>
      <c r="V764" s="1264"/>
      <c r="W764" s="1264"/>
      <c r="X764" s="1264"/>
      <c r="Y764" s="1264"/>
      <c r="Z764" s="1264"/>
    </row>
    <row r="765" spans="1:26" ht="18.75" hidden="1">
      <c r="A765" s="1260"/>
      <c r="B765" s="1265"/>
      <c r="C765" s="1261"/>
      <c r="D765" s="1261"/>
      <c r="E765" s="1261" t="s">
        <v>18</v>
      </c>
      <c r="F765" s="1261"/>
      <c r="G765" s="1263"/>
      <c r="H765" s="165" t="s">
        <v>12</v>
      </c>
      <c r="I765" s="947"/>
      <c r="J765" s="947"/>
      <c r="K765" s="948"/>
      <c r="L765" s="837">
        <v>0</v>
      </c>
      <c r="M765" s="837">
        <v>0</v>
      </c>
      <c r="N765" s="837">
        <v>0</v>
      </c>
      <c r="O765" s="837">
        <f t="shared" si="308"/>
        <v>0</v>
      </c>
      <c r="P765" s="837">
        <f t="shared" si="309"/>
        <v>0</v>
      </c>
      <c r="Q765" s="1264"/>
      <c r="R765" s="1264"/>
      <c r="S765" s="1264"/>
      <c r="T765" s="1264"/>
      <c r="U765" s="1264"/>
      <c r="V765" s="1264"/>
      <c r="W765" s="1264"/>
      <c r="X765" s="1264"/>
      <c r="Y765" s="1264"/>
      <c r="Z765" s="1264"/>
    </row>
    <row r="766" spans="1:26" ht="18.75" hidden="1">
      <c r="A766" s="1260"/>
      <c r="B766" s="1265"/>
      <c r="C766" s="1261"/>
      <c r="D766" s="1261"/>
      <c r="E766" s="1261" t="s">
        <v>19</v>
      </c>
      <c r="F766" s="1261"/>
      <c r="G766" s="1263"/>
      <c r="H766" s="169" t="s">
        <v>12</v>
      </c>
      <c r="I766" s="947"/>
      <c r="J766" s="947"/>
      <c r="K766" s="948"/>
      <c r="L766" s="837">
        <v>0</v>
      </c>
      <c r="M766" s="837">
        <v>0</v>
      </c>
      <c r="N766" s="837">
        <v>0</v>
      </c>
      <c r="O766" s="837">
        <f t="shared" si="308"/>
        <v>0</v>
      </c>
      <c r="P766" s="837">
        <f t="shared" si="309"/>
        <v>0</v>
      </c>
      <c r="Q766" s="1264"/>
      <c r="R766" s="1264"/>
      <c r="S766" s="1264"/>
      <c r="T766" s="1264"/>
      <c r="U766" s="1264"/>
      <c r="V766" s="1264"/>
      <c r="W766" s="1264"/>
      <c r="X766" s="1264"/>
      <c r="Y766" s="1264"/>
      <c r="Z766" s="1264"/>
    </row>
    <row r="767" spans="1:26" ht="19.5" hidden="1">
      <c r="A767" s="1273"/>
      <c r="B767" s="1274"/>
      <c r="C767" s="1261" t="s">
        <v>16</v>
      </c>
      <c r="D767" s="1393" t="s">
        <v>38</v>
      </c>
      <c r="E767" s="1296"/>
      <c r="F767" s="1296"/>
      <c r="G767" s="1297"/>
      <c r="H767" s="1060"/>
      <c r="I767" s="947"/>
      <c r="J767" s="947"/>
      <c r="K767" s="948"/>
      <c r="L767" s="948"/>
      <c r="M767" s="948"/>
      <c r="N767" s="948"/>
      <c r="O767" s="948"/>
      <c r="P767" s="948"/>
      <c r="Q767" s="1264"/>
      <c r="R767" s="1264"/>
      <c r="S767" s="1264"/>
      <c r="T767" s="1264"/>
      <c r="U767" s="1264"/>
      <c r="V767" s="1264"/>
      <c r="W767" s="1264"/>
      <c r="X767" s="1264"/>
      <c r="Y767" s="1264"/>
      <c r="Z767" s="1264"/>
    </row>
    <row r="768" spans="1:26" ht="18.75" hidden="1">
      <c r="A768" s="1294"/>
      <c r="B768" s="1265"/>
      <c r="C768" s="1261"/>
      <c r="D768" s="1261"/>
      <c r="E768" s="1261" t="s">
        <v>316</v>
      </c>
      <c r="F768" s="1261"/>
      <c r="G768" s="1263"/>
      <c r="H768" s="165" t="s">
        <v>46</v>
      </c>
      <c r="I768" s="836"/>
      <c r="J768" s="836"/>
      <c r="K768" s="837"/>
      <c r="L768" s="837"/>
      <c r="M768" s="837"/>
      <c r="N768" s="837"/>
      <c r="O768" s="837"/>
      <c r="P768" s="837"/>
      <c r="Q768" s="1264"/>
      <c r="R768" s="1264"/>
      <c r="S768" s="1264"/>
      <c r="T768" s="1264"/>
      <c r="U768" s="1264"/>
      <c r="V768" s="1264"/>
      <c r="W768" s="1264"/>
      <c r="X768" s="1264"/>
      <c r="Y768" s="1264"/>
      <c r="Z768" s="1264"/>
    </row>
    <row r="769" spans="1:26" ht="19.5" hidden="1">
      <c r="A769" s="759">
        <v>11</v>
      </c>
      <c r="B769" s="1400" t="s">
        <v>317</v>
      </c>
      <c r="C769" s="1401"/>
      <c r="D769" s="1401"/>
      <c r="E769" s="1401"/>
      <c r="F769" s="1401"/>
      <c r="G769" s="1402"/>
      <c r="H769" s="763" t="s">
        <v>46</v>
      </c>
      <c r="I769" s="1403"/>
      <c r="J769" s="1403">
        <f>J784</f>
        <v>0</v>
      </c>
      <c r="K769" s="1404">
        <f>IF(I769&gt;0,J769*100/I769,0)</f>
        <v>0</v>
      </c>
      <c r="L769" s="1405"/>
      <c r="M769" s="1405"/>
      <c r="N769" s="1405"/>
      <c r="O769" s="1405"/>
      <c r="P769" s="1405"/>
      <c r="Q769" s="1264"/>
      <c r="R769" s="1264"/>
      <c r="S769" s="1264"/>
      <c r="T769" s="1264"/>
      <c r="U769" s="1264"/>
      <c r="V769" s="1264"/>
      <c r="W769" s="1264"/>
      <c r="X769" s="1264"/>
      <c r="Y769" s="1264"/>
      <c r="Z769" s="1264"/>
    </row>
    <row r="770" spans="1:26" ht="19.5" hidden="1">
      <c r="A770" s="1260"/>
      <c r="B770" s="1261"/>
      <c r="C770" s="1261" t="s">
        <v>16</v>
      </c>
      <c r="D770" s="1508" t="s">
        <v>17</v>
      </c>
      <c r="E770" s="1485"/>
      <c r="F770" s="1485"/>
      <c r="G770" s="1263"/>
      <c r="H770" s="612" t="s">
        <v>12</v>
      </c>
      <c r="I770" s="836"/>
      <c r="J770" s="836"/>
      <c r="K770" s="837"/>
      <c r="L770" s="1292">
        <f t="shared" ref="L770:N770" si="310">L771+L772</f>
        <v>0</v>
      </c>
      <c r="M770" s="1292">
        <f t="shared" si="310"/>
        <v>0</v>
      </c>
      <c r="N770" s="1292">
        <f t="shared" si="310"/>
        <v>0</v>
      </c>
      <c r="O770" s="1292">
        <f t="shared" ref="O770:O775" si="311">IF(L770&gt;0,N770*100/L770,0)</f>
        <v>0</v>
      </c>
      <c r="P770" s="1292">
        <f t="shared" ref="P770:P775" si="312">IF(M770&gt;0,N770*100/M770,0)</f>
        <v>0</v>
      </c>
      <c r="Q770" s="1264"/>
      <c r="R770" s="1264"/>
      <c r="S770" s="1264"/>
      <c r="T770" s="1264"/>
      <c r="U770" s="1264"/>
      <c r="V770" s="1264"/>
      <c r="W770" s="1264"/>
      <c r="X770" s="1264"/>
      <c r="Y770" s="1264"/>
      <c r="Z770" s="1264"/>
    </row>
    <row r="771" spans="1:26" ht="18.75" hidden="1">
      <c r="A771" s="1260"/>
      <c r="B771" s="1261"/>
      <c r="C771" s="1261"/>
      <c r="D771" s="1262"/>
      <c r="E771" s="1261" t="s">
        <v>184</v>
      </c>
      <c r="F771" s="1261"/>
      <c r="G771" s="1263"/>
      <c r="H771" s="165" t="s">
        <v>12</v>
      </c>
      <c r="I771" s="836"/>
      <c r="J771" s="836"/>
      <c r="K771" s="837"/>
      <c r="L771" s="837">
        <f t="shared" ref="L771:N772" si="313">L774+L781</f>
        <v>0</v>
      </c>
      <c r="M771" s="837">
        <f t="shared" si="313"/>
        <v>0</v>
      </c>
      <c r="N771" s="837">
        <f t="shared" si="313"/>
        <v>0</v>
      </c>
      <c r="O771" s="837">
        <f t="shared" si="311"/>
        <v>0</v>
      </c>
      <c r="P771" s="837">
        <f t="shared" si="312"/>
        <v>0</v>
      </c>
      <c r="Q771" s="1264"/>
      <c r="R771" s="1264"/>
      <c r="S771" s="1264"/>
      <c r="T771" s="1264"/>
      <c r="U771" s="1264"/>
      <c r="V771" s="1264"/>
      <c r="W771" s="1264"/>
      <c r="X771" s="1264"/>
      <c r="Y771" s="1264"/>
      <c r="Z771" s="1264"/>
    </row>
    <row r="772" spans="1:26" ht="18.75" hidden="1">
      <c r="A772" s="1260"/>
      <c r="B772" s="1265"/>
      <c r="C772" s="1261"/>
      <c r="D772" s="1262"/>
      <c r="E772" s="1261" t="s">
        <v>185</v>
      </c>
      <c r="F772" s="1261"/>
      <c r="G772" s="1263"/>
      <c r="H772" s="165" t="s">
        <v>12</v>
      </c>
      <c r="I772" s="836"/>
      <c r="J772" s="836"/>
      <c r="K772" s="837"/>
      <c r="L772" s="837">
        <f t="shared" si="313"/>
        <v>0</v>
      </c>
      <c r="M772" s="837">
        <f t="shared" si="313"/>
        <v>0</v>
      </c>
      <c r="N772" s="837">
        <f t="shared" si="313"/>
        <v>0</v>
      </c>
      <c r="O772" s="837">
        <f t="shared" si="311"/>
        <v>0</v>
      </c>
      <c r="P772" s="837">
        <f t="shared" si="312"/>
        <v>0</v>
      </c>
      <c r="Q772" s="1264"/>
      <c r="R772" s="1264"/>
      <c r="S772" s="1264"/>
      <c r="T772" s="1264"/>
      <c r="U772" s="1264"/>
      <c r="V772" s="1264"/>
      <c r="W772" s="1264"/>
      <c r="X772" s="1264"/>
      <c r="Y772" s="1264"/>
      <c r="Z772" s="1264"/>
    </row>
    <row r="773" spans="1:26" ht="19.5" hidden="1">
      <c r="A773" s="1260"/>
      <c r="B773" s="1265"/>
      <c r="C773" s="1261"/>
      <c r="D773" s="1392" t="s">
        <v>20</v>
      </c>
      <c r="E773" s="1261"/>
      <c r="F773" s="1261"/>
      <c r="G773" s="1263"/>
      <c r="H773" s="612" t="s">
        <v>12</v>
      </c>
      <c r="I773" s="947"/>
      <c r="J773" s="947"/>
      <c r="K773" s="948"/>
      <c r="L773" s="1292">
        <f t="shared" ref="L773:N773" si="314">L774+L775</f>
        <v>0</v>
      </c>
      <c r="M773" s="1292">
        <f t="shared" si="314"/>
        <v>0</v>
      </c>
      <c r="N773" s="1292">
        <f t="shared" si="314"/>
        <v>0</v>
      </c>
      <c r="O773" s="1292">
        <f t="shared" si="311"/>
        <v>0</v>
      </c>
      <c r="P773" s="1292">
        <f t="shared" si="312"/>
        <v>0</v>
      </c>
      <c r="Q773" s="1264"/>
      <c r="R773" s="1264"/>
      <c r="S773" s="1264"/>
      <c r="T773" s="1264"/>
      <c r="U773" s="1264"/>
      <c r="V773" s="1264"/>
      <c r="W773" s="1264"/>
      <c r="X773" s="1264"/>
      <c r="Y773" s="1264"/>
      <c r="Z773" s="1264"/>
    </row>
    <row r="774" spans="1:26" ht="18.75" hidden="1">
      <c r="A774" s="1260"/>
      <c r="B774" s="1265"/>
      <c r="C774" s="1261"/>
      <c r="D774" s="1262"/>
      <c r="E774" s="1261" t="s">
        <v>184</v>
      </c>
      <c r="F774" s="1261"/>
      <c r="G774" s="1263"/>
      <c r="H774" s="165" t="s">
        <v>12</v>
      </c>
      <c r="I774" s="836"/>
      <c r="J774" s="836"/>
      <c r="K774" s="837"/>
      <c r="L774" s="837">
        <v>0</v>
      </c>
      <c r="M774" s="837">
        <v>0</v>
      </c>
      <c r="N774" s="837">
        <v>0</v>
      </c>
      <c r="O774" s="837">
        <f t="shared" si="311"/>
        <v>0</v>
      </c>
      <c r="P774" s="837">
        <f t="shared" si="312"/>
        <v>0</v>
      </c>
      <c r="Q774" s="1264"/>
      <c r="R774" s="1264"/>
      <c r="S774" s="1264"/>
      <c r="T774" s="1264"/>
      <c r="U774" s="1264"/>
      <c r="V774" s="1264"/>
      <c r="W774" s="1264"/>
      <c r="X774" s="1264"/>
      <c r="Y774" s="1264"/>
      <c r="Z774" s="1264"/>
    </row>
    <row r="775" spans="1:26" ht="18.75" hidden="1">
      <c r="A775" s="1260"/>
      <c r="B775" s="1265"/>
      <c r="C775" s="1261"/>
      <c r="D775" s="1262"/>
      <c r="E775" s="1261" t="s">
        <v>185</v>
      </c>
      <c r="F775" s="1261"/>
      <c r="G775" s="1263"/>
      <c r="H775" s="165" t="s">
        <v>12</v>
      </c>
      <c r="I775" s="836"/>
      <c r="J775" s="836"/>
      <c r="K775" s="837"/>
      <c r="L775" s="837">
        <v>0</v>
      </c>
      <c r="M775" s="837">
        <v>0</v>
      </c>
      <c r="N775" s="837">
        <f>N776+N777+N778+N779</f>
        <v>0</v>
      </c>
      <c r="O775" s="837">
        <f t="shared" si="311"/>
        <v>0</v>
      </c>
      <c r="P775" s="837">
        <f t="shared" si="312"/>
        <v>0</v>
      </c>
      <c r="Q775" s="1264"/>
      <c r="R775" s="1264"/>
      <c r="S775" s="1264"/>
      <c r="T775" s="1264"/>
      <c r="U775" s="1264"/>
      <c r="V775" s="1264"/>
      <c r="W775" s="1264"/>
      <c r="X775" s="1264"/>
      <c r="Y775" s="1264"/>
      <c r="Z775" s="1264"/>
    </row>
    <row r="776" spans="1:26" ht="18.75" hidden="1">
      <c r="A776" s="1294"/>
      <c r="B776" s="1265"/>
      <c r="C776" s="1261"/>
      <c r="D776" s="1261"/>
      <c r="E776" s="1261"/>
      <c r="F776" s="1261" t="s">
        <v>186</v>
      </c>
      <c r="G776" s="1263"/>
      <c r="H776" s="165" t="s">
        <v>12</v>
      </c>
      <c r="I776" s="836"/>
      <c r="J776" s="836"/>
      <c r="K776" s="837"/>
      <c r="L776" s="837"/>
      <c r="M776" s="837"/>
      <c r="N776" s="837"/>
      <c r="O776" s="837"/>
      <c r="P776" s="837"/>
      <c r="Q776" s="1264"/>
      <c r="R776" s="1264"/>
      <c r="S776" s="1264"/>
      <c r="T776" s="1264"/>
      <c r="U776" s="1264"/>
      <c r="V776" s="1264"/>
      <c r="W776" s="1264"/>
      <c r="X776" s="1264"/>
      <c r="Y776" s="1264"/>
      <c r="Z776" s="1264"/>
    </row>
    <row r="777" spans="1:26" ht="18.75" hidden="1">
      <c r="A777" s="1294"/>
      <c r="B777" s="1265"/>
      <c r="C777" s="1261"/>
      <c r="D777" s="1261"/>
      <c r="E777" s="1261"/>
      <c r="F777" s="1261" t="s">
        <v>187</v>
      </c>
      <c r="G777" s="1263"/>
      <c r="H777" s="165" t="s">
        <v>12</v>
      </c>
      <c r="I777" s="836"/>
      <c r="J777" s="836"/>
      <c r="K777" s="837"/>
      <c r="L777" s="837"/>
      <c r="M777" s="837"/>
      <c r="N777" s="837"/>
      <c r="O777" s="837"/>
      <c r="P777" s="837"/>
      <c r="Q777" s="1264"/>
      <c r="R777" s="1264"/>
      <c r="S777" s="1264"/>
      <c r="T777" s="1264"/>
      <c r="U777" s="1264"/>
      <c r="V777" s="1264"/>
      <c r="W777" s="1264"/>
      <c r="X777" s="1264"/>
      <c r="Y777" s="1264"/>
      <c r="Z777" s="1264"/>
    </row>
    <row r="778" spans="1:26" ht="18.75" hidden="1">
      <c r="A778" s="1294"/>
      <c r="B778" s="1265"/>
      <c r="C778" s="1261"/>
      <c r="D778" s="1261"/>
      <c r="E778" s="1261"/>
      <c r="F778" s="1261" t="s">
        <v>188</v>
      </c>
      <c r="G778" s="1263"/>
      <c r="H778" s="165" t="s">
        <v>12</v>
      </c>
      <c r="I778" s="836"/>
      <c r="J778" s="836"/>
      <c r="K778" s="837"/>
      <c r="L778" s="837"/>
      <c r="M778" s="837"/>
      <c r="N778" s="837"/>
      <c r="O778" s="837"/>
      <c r="P778" s="837"/>
      <c r="Q778" s="1264"/>
      <c r="R778" s="1264"/>
      <c r="S778" s="1264"/>
      <c r="T778" s="1264"/>
      <c r="U778" s="1264"/>
      <c r="V778" s="1264"/>
      <c r="W778" s="1264"/>
      <c r="X778" s="1264"/>
      <c r="Y778" s="1264"/>
      <c r="Z778" s="1264"/>
    </row>
    <row r="779" spans="1:26" ht="18.75" hidden="1">
      <c r="A779" s="1294"/>
      <c r="B779" s="1265"/>
      <c r="C779" s="1261"/>
      <c r="D779" s="1261"/>
      <c r="E779" s="1261"/>
      <c r="F779" s="1261" t="s">
        <v>189</v>
      </c>
      <c r="G779" s="1263"/>
      <c r="H779" s="165" t="s">
        <v>12</v>
      </c>
      <c r="I779" s="836"/>
      <c r="J779" s="836"/>
      <c r="K779" s="837"/>
      <c r="L779" s="837"/>
      <c r="M779" s="837"/>
      <c r="N779" s="837"/>
      <c r="O779" s="837"/>
      <c r="P779" s="837"/>
      <c r="Q779" s="1264"/>
      <c r="R779" s="1264"/>
      <c r="S779" s="1264"/>
      <c r="T779" s="1264"/>
      <c r="U779" s="1264"/>
      <c r="V779" s="1264"/>
      <c r="W779" s="1264"/>
      <c r="X779" s="1264"/>
      <c r="Y779" s="1264"/>
      <c r="Z779" s="1264"/>
    </row>
    <row r="780" spans="1:26" ht="19.5" hidden="1">
      <c r="A780" s="1260"/>
      <c r="B780" s="1265"/>
      <c r="C780" s="1261"/>
      <c r="D780" s="1392" t="s">
        <v>21</v>
      </c>
      <c r="E780" s="1261"/>
      <c r="F780" s="1261"/>
      <c r="G780" s="1263"/>
      <c r="H780" s="749" t="s">
        <v>12</v>
      </c>
      <c r="I780" s="947"/>
      <c r="J780" s="947"/>
      <c r="K780" s="948"/>
      <c r="L780" s="1292">
        <f t="shared" ref="L780:N780" si="315">L781+L782</f>
        <v>0</v>
      </c>
      <c r="M780" s="1292">
        <f t="shared" si="315"/>
        <v>0</v>
      </c>
      <c r="N780" s="1292">
        <f t="shared" si="315"/>
        <v>0</v>
      </c>
      <c r="O780" s="1292">
        <f t="shared" ref="O780:O782" si="316">IF(L780&gt;0,N780*100/L780,0)</f>
        <v>0</v>
      </c>
      <c r="P780" s="1292">
        <f t="shared" ref="P780:P782" si="317">IF(M780&gt;0,N780*100/M780,0)</f>
        <v>0</v>
      </c>
      <c r="Q780" s="1264"/>
      <c r="R780" s="1264"/>
      <c r="S780" s="1264"/>
      <c r="T780" s="1264"/>
      <c r="U780" s="1264"/>
      <c r="V780" s="1264"/>
      <c r="W780" s="1264"/>
      <c r="X780" s="1264"/>
      <c r="Y780" s="1264"/>
      <c r="Z780" s="1264"/>
    </row>
    <row r="781" spans="1:26" ht="18.75" hidden="1">
      <c r="A781" s="1260"/>
      <c r="B781" s="1265"/>
      <c r="C781" s="1261"/>
      <c r="D781" s="1261"/>
      <c r="E781" s="1261" t="s">
        <v>18</v>
      </c>
      <c r="F781" s="1261"/>
      <c r="G781" s="1263"/>
      <c r="H781" s="165" t="s">
        <v>12</v>
      </c>
      <c r="I781" s="947"/>
      <c r="J781" s="947"/>
      <c r="K781" s="948"/>
      <c r="L781" s="837">
        <v>0</v>
      </c>
      <c r="M781" s="837">
        <v>0</v>
      </c>
      <c r="N781" s="837">
        <v>0</v>
      </c>
      <c r="O781" s="837">
        <f t="shared" si="316"/>
        <v>0</v>
      </c>
      <c r="P781" s="837">
        <f t="shared" si="317"/>
        <v>0</v>
      </c>
      <c r="Q781" s="1264"/>
      <c r="R781" s="1264"/>
      <c r="S781" s="1264"/>
      <c r="T781" s="1264"/>
      <c r="U781" s="1264"/>
      <c r="V781" s="1264"/>
      <c r="W781" s="1264"/>
      <c r="X781" s="1264"/>
      <c r="Y781" s="1264"/>
      <c r="Z781" s="1264"/>
    </row>
    <row r="782" spans="1:26" ht="18.75" hidden="1">
      <c r="A782" s="1260"/>
      <c r="B782" s="1265"/>
      <c r="C782" s="1261"/>
      <c r="D782" s="1261"/>
      <c r="E782" s="1261" t="s">
        <v>19</v>
      </c>
      <c r="F782" s="1261"/>
      <c r="G782" s="1263"/>
      <c r="H782" s="169" t="s">
        <v>12</v>
      </c>
      <c r="I782" s="947"/>
      <c r="J782" s="947"/>
      <c r="K782" s="948"/>
      <c r="L782" s="837">
        <v>0</v>
      </c>
      <c r="M782" s="837">
        <v>0</v>
      </c>
      <c r="N782" s="837">
        <v>0</v>
      </c>
      <c r="O782" s="837">
        <f t="shared" si="316"/>
        <v>0</v>
      </c>
      <c r="P782" s="837">
        <f t="shared" si="317"/>
        <v>0</v>
      </c>
      <c r="Q782" s="1264"/>
      <c r="R782" s="1264"/>
      <c r="S782" s="1264"/>
      <c r="T782" s="1264"/>
      <c r="U782" s="1264"/>
      <c r="V782" s="1264"/>
      <c r="W782" s="1264"/>
      <c r="X782" s="1264"/>
      <c r="Y782" s="1264"/>
      <c r="Z782" s="1264"/>
    </row>
    <row r="783" spans="1:26" ht="19.5" hidden="1">
      <c r="A783" s="1273"/>
      <c r="B783" s="1274"/>
      <c r="C783" s="1261" t="s">
        <v>16</v>
      </c>
      <c r="D783" s="1393" t="s">
        <v>38</v>
      </c>
      <c r="E783" s="1296"/>
      <c r="F783" s="1296"/>
      <c r="G783" s="1297"/>
      <c r="H783" s="1406"/>
      <c r="I783" s="947"/>
      <c r="J783" s="947"/>
      <c r="K783" s="948"/>
      <c r="L783" s="948"/>
      <c r="M783" s="948"/>
      <c r="N783" s="948"/>
      <c r="O783" s="948"/>
      <c r="P783" s="948"/>
      <c r="Q783" s="1264"/>
      <c r="R783" s="1264"/>
      <c r="S783" s="1264"/>
      <c r="T783" s="1264"/>
      <c r="U783" s="1264"/>
      <c r="V783" s="1264"/>
      <c r="W783" s="1264"/>
      <c r="X783" s="1264"/>
      <c r="Y783" s="1264"/>
      <c r="Z783" s="1264"/>
    </row>
    <row r="784" spans="1:26" ht="18.75" hidden="1">
      <c r="A784" s="1294"/>
      <c r="B784" s="1265"/>
      <c r="C784" s="1261"/>
      <c r="D784" s="1261"/>
      <c r="E784" s="1261" t="s">
        <v>318</v>
      </c>
      <c r="F784" s="1261"/>
      <c r="G784" s="1263"/>
      <c r="H784" s="165" t="s">
        <v>46</v>
      </c>
      <c r="I784" s="836"/>
      <c r="J784" s="836"/>
      <c r="K784" s="837"/>
      <c r="L784" s="837"/>
      <c r="M784" s="837"/>
      <c r="N784" s="837"/>
      <c r="O784" s="837"/>
      <c r="P784" s="837"/>
      <c r="Q784" s="1264"/>
      <c r="R784" s="1264"/>
      <c r="S784" s="1264"/>
      <c r="T784" s="1264"/>
      <c r="U784" s="1264"/>
      <c r="V784" s="1264"/>
      <c r="W784" s="1264"/>
      <c r="X784" s="1264"/>
      <c r="Y784" s="1264"/>
      <c r="Z784" s="1264"/>
    </row>
    <row r="785" spans="1:26" ht="19.5">
      <c r="A785" s="768">
        <v>12</v>
      </c>
      <c r="B785" s="1407" t="s">
        <v>319</v>
      </c>
      <c r="C785" s="1408"/>
      <c r="D785" s="1408"/>
      <c r="E785" s="1408"/>
      <c r="F785" s="1408"/>
      <c r="G785" s="1409"/>
      <c r="H785" s="1444" t="s">
        <v>46</v>
      </c>
      <c r="I785" s="1445">
        <f t="shared" ref="I785:J785" ca="1" si="318">I801+I803</f>
        <v>5000</v>
      </c>
      <c r="J785" s="1445">
        <f t="shared" ca="1" si="318"/>
        <v>2395</v>
      </c>
      <c r="K785" s="1446">
        <f ca="1">IF(I785&gt;0,J785*100/I785,0)</f>
        <v>47.9</v>
      </c>
      <c r="L785" s="1412"/>
      <c r="M785" s="1412"/>
      <c r="N785" s="1412"/>
      <c r="O785" s="1412"/>
      <c r="P785" s="1412"/>
      <c r="Q785" s="1244"/>
      <c r="R785" s="1244"/>
      <c r="S785" s="1244"/>
      <c r="T785" s="1244"/>
      <c r="U785" s="1244"/>
      <c r="V785" s="1244"/>
      <c r="W785" s="1244"/>
      <c r="X785" s="1244"/>
      <c r="Y785" s="1244"/>
      <c r="Z785" s="1244"/>
    </row>
    <row r="786" spans="1:26" ht="19.5">
      <c r="A786" s="1259"/>
      <c r="B786" s="1242"/>
      <c r="C786" s="1243" t="s">
        <v>16</v>
      </c>
      <c r="D786" s="1507" t="s">
        <v>17</v>
      </c>
      <c r="E786" s="1485"/>
      <c r="F786" s="1485"/>
      <c r="G786" s="963"/>
      <c r="H786" s="1447" t="s">
        <v>12</v>
      </c>
      <c r="I786" s="1448"/>
      <c r="J786" s="1448"/>
      <c r="K786" s="1449"/>
      <c r="L786" s="967">
        <f t="shared" ref="L786:N786" ca="1" si="319">L787+L788</f>
        <v>319200</v>
      </c>
      <c r="M786" s="967">
        <f t="shared" si="319"/>
        <v>0</v>
      </c>
      <c r="N786" s="967">
        <f t="shared" si="319"/>
        <v>207601</v>
      </c>
      <c r="O786" s="967">
        <f t="shared" ref="O786:O791" ca="1" si="320">IF(L786&gt;0,N786*100/L786,0)</f>
        <v>65.037907268170429</v>
      </c>
      <c r="P786" s="967">
        <f t="shared" ref="P786:P791" si="321">IF(M786&gt;0,N786*100/M786,0)</f>
        <v>0</v>
      </c>
      <c r="Q786" s="1244"/>
      <c r="R786" s="1244"/>
      <c r="S786" s="1244"/>
      <c r="T786" s="1244"/>
      <c r="U786" s="1244"/>
      <c r="V786" s="1244"/>
      <c r="W786" s="1244"/>
      <c r="X786" s="1244"/>
      <c r="Y786" s="1244"/>
      <c r="Z786" s="1244"/>
    </row>
    <row r="787" spans="1:26" ht="18.75" hidden="1">
      <c r="A787" s="1260"/>
      <c r="B787" s="1265"/>
      <c r="C787" s="1261"/>
      <c r="D787" s="1262"/>
      <c r="E787" s="1261" t="s">
        <v>184</v>
      </c>
      <c r="F787" s="1261"/>
      <c r="G787" s="1263"/>
      <c r="H787" s="1450" t="s">
        <v>12</v>
      </c>
      <c r="I787" s="1448"/>
      <c r="J787" s="1448"/>
      <c r="K787" s="1449"/>
      <c r="L787" s="837">
        <f t="shared" ref="L787:N788" si="322">L790+L797</f>
        <v>0</v>
      </c>
      <c r="M787" s="837">
        <f t="shared" si="322"/>
        <v>0</v>
      </c>
      <c r="N787" s="837">
        <f t="shared" si="322"/>
        <v>0</v>
      </c>
      <c r="O787" s="837">
        <f t="shared" si="320"/>
        <v>0</v>
      </c>
      <c r="P787" s="837">
        <f t="shared" si="321"/>
        <v>0</v>
      </c>
      <c r="Q787" s="1264"/>
      <c r="R787" s="1264"/>
      <c r="S787" s="1264"/>
      <c r="T787" s="1264"/>
      <c r="U787" s="1264"/>
      <c r="V787" s="1264"/>
      <c r="W787" s="1264"/>
      <c r="X787" s="1264"/>
      <c r="Y787" s="1264"/>
      <c r="Z787" s="1264"/>
    </row>
    <row r="788" spans="1:26" ht="18.75" hidden="1">
      <c r="A788" s="1260"/>
      <c r="B788" s="1265"/>
      <c r="C788" s="1265"/>
      <c r="D788" s="1274"/>
      <c r="E788" s="1261" t="s">
        <v>185</v>
      </c>
      <c r="F788" s="1261"/>
      <c r="G788" s="1263"/>
      <c r="H788" s="1450" t="s">
        <v>12</v>
      </c>
      <c r="I788" s="1448"/>
      <c r="J788" s="1448"/>
      <c r="K788" s="1449"/>
      <c r="L788" s="837">
        <f t="shared" ca="1" si="322"/>
        <v>319200</v>
      </c>
      <c r="M788" s="837">
        <f t="shared" si="322"/>
        <v>0</v>
      </c>
      <c r="N788" s="837">
        <f t="shared" si="322"/>
        <v>207601</v>
      </c>
      <c r="O788" s="837">
        <f t="shared" ca="1" si="320"/>
        <v>65.037907268170429</v>
      </c>
      <c r="P788" s="837">
        <f t="shared" si="321"/>
        <v>0</v>
      </c>
      <c r="Q788" s="1264"/>
      <c r="R788" s="1264"/>
      <c r="S788" s="1264"/>
      <c r="T788" s="1264"/>
      <c r="U788" s="1264"/>
      <c r="V788" s="1264"/>
      <c r="W788" s="1264"/>
      <c r="X788" s="1264"/>
      <c r="Y788" s="1264"/>
      <c r="Z788" s="1264"/>
    </row>
    <row r="789" spans="1:26" ht="18.75">
      <c r="A789" s="1259"/>
      <c r="B789" s="1242"/>
      <c r="C789" s="1242"/>
      <c r="D789" s="1266" t="s">
        <v>20</v>
      </c>
      <c r="E789" s="1243"/>
      <c r="F789" s="1243"/>
      <c r="G789" s="963"/>
      <c r="H789" s="1451" t="s">
        <v>12</v>
      </c>
      <c r="I789" s="1452"/>
      <c r="J789" s="1452"/>
      <c r="K789" s="1453"/>
      <c r="L789" s="831">
        <f t="shared" ref="L789:N789" ca="1" si="323">L790+L791</f>
        <v>319200</v>
      </c>
      <c r="M789" s="831">
        <f t="shared" si="323"/>
        <v>0</v>
      </c>
      <c r="N789" s="831">
        <f t="shared" si="323"/>
        <v>207601</v>
      </c>
      <c r="O789" s="831">
        <f t="shared" ca="1" si="320"/>
        <v>65.037907268170429</v>
      </c>
      <c r="P789" s="831">
        <f t="shared" si="321"/>
        <v>0</v>
      </c>
      <c r="Q789" s="1244"/>
      <c r="R789" s="1244"/>
      <c r="S789" s="1244"/>
      <c r="T789" s="1244"/>
      <c r="U789" s="1244"/>
      <c r="V789" s="1244"/>
      <c r="W789" s="1244"/>
      <c r="X789" s="1244"/>
      <c r="Y789" s="1244"/>
      <c r="Z789" s="1244"/>
    </row>
    <row r="790" spans="1:26" ht="18.75" hidden="1">
      <c r="A790" s="1260"/>
      <c r="B790" s="1265"/>
      <c r="C790" s="1265"/>
      <c r="D790" s="1274"/>
      <c r="E790" s="1261" t="s">
        <v>184</v>
      </c>
      <c r="F790" s="1261"/>
      <c r="G790" s="1263"/>
      <c r="H790" s="1450" t="s">
        <v>12</v>
      </c>
      <c r="I790" s="1448"/>
      <c r="J790" s="1448"/>
      <c r="K790" s="1449"/>
      <c r="L790" s="837">
        <v>0</v>
      </c>
      <c r="M790" s="837">
        <v>0</v>
      </c>
      <c r="N790" s="837">
        <v>0</v>
      </c>
      <c r="O790" s="837">
        <f t="shared" si="320"/>
        <v>0</v>
      </c>
      <c r="P790" s="837">
        <f t="shared" si="321"/>
        <v>0</v>
      </c>
      <c r="Q790" s="1264"/>
      <c r="R790" s="1264"/>
      <c r="S790" s="1264"/>
      <c r="T790" s="1264"/>
      <c r="U790" s="1264"/>
      <c r="V790" s="1264"/>
      <c r="W790" s="1264"/>
      <c r="X790" s="1264"/>
      <c r="Y790" s="1264"/>
      <c r="Z790" s="1264"/>
    </row>
    <row r="791" spans="1:26" ht="18.75" hidden="1">
      <c r="A791" s="1260"/>
      <c r="B791" s="1265"/>
      <c r="C791" s="1265"/>
      <c r="D791" s="1274"/>
      <c r="E791" s="1261" t="s">
        <v>185</v>
      </c>
      <c r="F791" s="1261"/>
      <c r="G791" s="1263"/>
      <c r="H791" s="1450" t="s">
        <v>12</v>
      </c>
      <c r="I791" s="1448"/>
      <c r="J791" s="1448"/>
      <c r="K791" s="1449"/>
      <c r="L791" s="837">
        <f ca="1">IFERROR(__xludf.DUMMYFUNCTION("IMPORTRANGE(""https://docs.google.com/spreadsheets/d/1QqKyyYR6Q21VydFLVH3TRQUabQu_ym0Zz7PgGX0-kHA/edit?usp=sharing"",""แผน!JJ29"")"),319200)</f>
        <v>319200</v>
      </c>
      <c r="M791" s="837">
        <v>0</v>
      </c>
      <c r="N791" s="837">
        <f>N792+N793+N794+N795</f>
        <v>207601</v>
      </c>
      <c r="O791" s="837">
        <f t="shared" ca="1" si="320"/>
        <v>65.037907268170429</v>
      </c>
      <c r="P791" s="837">
        <f t="shared" si="321"/>
        <v>0</v>
      </c>
      <c r="Q791" s="1264"/>
      <c r="R791" s="1264"/>
      <c r="S791" s="1264"/>
      <c r="T791" s="1264"/>
      <c r="U791" s="1264"/>
      <c r="V791" s="1264"/>
      <c r="W791" s="1264"/>
      <c r="X791" s="1264"/>
      <c r="Y791" s="1264"/>
      <c r="Z791" s="1264"/>
    </row>
    <row r="792" spans="1:26" ht="18.75">
      <c r="A792" s="1241"/>
      <c r="B792" s="1242"/>
      <c r="C792" s="1243"/>
      <c r="D792" s="1243"/>
      <c r="E792" s="1243"/>
      <c r="F792" s="1243" t="s">
        <v>186</v>
      </c>
      <c r="G792" s="963"/>
      <c r="H792" s="1451" t="s">
        <v>12</v>
      </c>
      <c r="I792" s="1448"/>
      <c r="J792" s="1448"/>
      <c r="K792" s="1449"/>
      <c r="L792" s="831"/>
      <c r="M792" s="831"/>
      <c r="N792" s="1031">
        <v>0</v>
      </c>
      <c r="O792" s="831"/>
      <c r="P792" s="831"/>
      <c r="Q792" s="1244"/>
      <c r="R792" s="1244"/>
      <c r="S792" s="1244"/>
      <c r="T792" s="1244"/>
      <c r="U792" s="1244"/>
      <c r="V792" s="1244"/>
      <c r="W792" s="1244"/>
      <c r="X792" s="1244"/>
      <c r="Y792" s="1244"/>
      <c r="Z792" s="1244"/>
    </row>
    <row r="793" spans="1:26" ht="18.75">
      <c r="A793" s="1241"/>
      <c r="B793" s="1242"/>
      <c r="C793" s="1243"/>
      <c r="D793" s="1243"/>
      <c r="E793" s="1243"/>
      <c r="F793" s="1243" t="s">
        <v>187</v>
      </c>
      <c r="G793" s="963"/>
      <c r="H793" s="1451" t="s">
        <v>12</v>
      </c>
      <c r="I793" s="1448"/>
      <c r="J793" s="1448"/>
      <c r="K793" s="1449"/>
      <c r="L793" s="831"/>
      <c r="M793" s="831"/>
      <c r="N793" s="1031">
        <v>0</v>
      </c>
      <c r="O793" s="831"/>
      <c r="P793" s="831"/>
      <c r="Q793" s="1244"/>
      <c r="R793" s="1244"/>
      <c r="S793" s="1244"/>
      <c r="T793" s="1244"/>
      <c r="U793" s="1244"/>
      <c r="V793" s="1244"/>
      <c r="W793" s="1244"/>
      <c r="X793" s="1244"/>
      <c r="Y793" s="1244"/>
      <c r="Z793" s="1244"/>
    </row>
    <row r="794" spans="1:26" ht="18.75">
      <c r="A794" s="1241"/>
      <c r="B794" s="1242"/>
      <c r="C794" s="1243"/>
      <c r="D794" s="1243"/>
      <c r="E794" s="1243"/>
      <c r="F794" s="1243" t="s">
        <v>188</v>
      </c>
      <c r="G794" s="963"/>
      <c r="H794" s="1451" t="s">
        <v>12</v>
      </c>
      <c r="I794" s="1448"/>
      <c r="J794" s="1448"/>
      <c r="K794" s="1449"/>
      <c r="L794" s="831"/>
      <c r="M794" s="831"/>
      <c r="N794" s="1031">
        <v>79395</v>
      </c>
      <c r="O794" s="831"/>
      <c r="P794" s="831"/>
      <c r="Q794" s="1244"/>
      <c r="R794" s="1244"/>
      <c r="S794" s="1244"/>
      <c r="T794" s="1244"/>
      <c r="U794" s="1244"/>
      <c r="V794" s="1244"/>
      <c r="W794" s="1244"/>
      <c r="X794" s="1244"/>
      <c r="Y794" s="1244"/>
      <c r="Z794" s="1244"/>
    </row>
    <row r="795" spans="1:26" ht="18.75">
      <c r="A795" s="1241"/>
      <c r="B795" s="1242"/>
      <c r="C795" s="1243"/>
      <c r="D795" s="1243"/>
      <c r="E795" s="1243"/>
      <c r="F795" s="1243" t="s">
        <v>189</v>
      </c>
      <c r="G795" s="963"/>
      <c r="H795" s="1451" t="s">
        <v>12</v>
      </c>
      <c r="I795" s="1448"/>
      <c r="J795" s="1448"/>
      <c r="K795" s="1449"/>
      <c r="L795" s="831"/>
      <c r="M795" s="831"/>
      <c r="N795" s="1031">
        <v>128206</v>
      </c>
      <c r="O795" s="831"/>
      <c r="P795" s="831"/>
      <c r="Q795" s="1244"/>
      <c r="R795" s="1244"/>
      <c r="S795" s="1244"/>
      <c r="T795" s="1244"/>
      <c r="U795" s="1244"/>
      <c r="V795" s="1244"/>
      <c r="W795" s="1244"/>
      <c r="X795" s="1244"/>
      <c r="Y795" s="1244"/>
      <c r="Z795" s="1244"/>
    </row>
    <row r="796" spans="1:26" ht="18.75">
      <c r="A796" s="1259"/>
      <c r="B796" s="1242"/>
      <c r="C796" s="1243"/>
      <c r="D796" s="1266" t="s">
        <v>21</v>
      </c>
      <c r="E796" s="1243"/>
      <c r="F796" s="1243"/>
      <c r="G796" s="963"/>
      <c r="H796" s="1454" t="s">
        <v>12</v>
      </c>
      <c r="I796" s="1452"/>
      <c r="J796" s="1452"/>
      <c r="K796" s="1453"/>
      <c r="L796" s="831">
        <f t="shared" ref="L796:N796" si="324">L797+L798</f>
        <v>0</v>
      </c>
      <c r="M796" s="831">
        <f t="shared" si="324"/>
        <v>0</v>
      </c>
      <c r="N796" s="831">
        <f t="shared" si="324"/>
        <v>0</v>
      </c>
      <c r="O796" s="831">
        <f t="shared" ref="O796:O798" si="325">IF(L796&gt;0,N796*100/L796,0)</f>
        <v>0</v>
      </c>
      <c r="P796" s="831">
        <f t="shared" ref="P796:P798" si="326">IF(M796&gt;0,N796*100/M796,0)</f>
        <v>0</v>
      </c>
      <c r="Q796" s="1244"/>
      <c r="R796" s="1244"/>
      <c r="S796" s="1244"/>
      <c r="T796" s="1244"/>
      <c r="U796" s="1244"/>
      <c r="V796" s="1244"/>
      <c r="W796" s="1244"/>
      <c r="X796" s="1244"/>
      <c r="Y796" s="1244"/>
      <c r="Z796" s="1244"/>
    </row>
    <row r="797" spans="1:26" ht="18.75" hidden="1">
      <c r="A797" s="1260"/>
      <c r="B797" s="1265"/>
      <c r="C797" s="1261"/>
      <c r="D797" s="1261"/>
      <c r="E797" s="1261" t="s">
        <v>18</v>
      </c>
      <c r="F797" s="1261"/>
      <c r="G797" s="1263"/>
      <c r="H797" s="1450" t="s">
        <v>12</v>
      </c>
      <c r="I797" s="1452"/>
      <c r="J797" s="1452"/>
      <c r="K797" s="1453"/>
      <c r="L797" s="837">
        <v>0</v>
      </c>
      <c r="M797" s="837">
        <v>0</v>
      </c>
      <c r="N797" s="837">
        <v>0</v>
      </c>
      <c r="O797" s="837">
        <f t="shared" si="325"/>
        <v>0</v>
      </c>
      <c r="P797" s="837">
        <f t="shared" si="326"/>
        <v>0</v>
      </c>
      <c r="Q797" s="1264"/>
      <c r="R797" s="1264"/>
      <c r="S797" s="1264"/>
      <c r="T797" s="1264"/>
      <c r="U797" s="1264"/>
      <c r="V797" s="1264"/>
      <c r="W797" s="1264"/>
      <c r="X797" s="1264"/>
      <c r="Y797" s="1264"/>
      <c r="Z797" s="1264"/>
    </row>
    <row r="798" spans="1:26" ht="18.75" hidden="1">
      <c r="A798" s="1260"/>
      <c r="B798" s="1265"/>
      <c r="C798" s="1261"/>
      <c r="D798" s="1261"/>
      <c r="E798" s="1261" t="s">
        <v>19</v>
      </c>
      <c r="F798" s="1261"/>
      <c r="G798" s="1263"/>
      <c r="H798" s="1455" t="s">
        <v>12</v>
      </c>
      <c r="I798" s="1452"/>
      <c r="J798" s="1452"/>
      <c r="K798" s="1453"/>
      <c r="L798" s="837">
        <v>0</v>
      </c>
      <c r="M798" s="837">
        <v>0</v>
      </c>
      <c r="N798" s="837">
        <v>0</v>
      </c>
      <c r="O798" s="837">
        <f t="shared" si="325"/>
        <v>0</v>
      </c>
      <c r="P798" s="837">
        <f t="shared" si="326"/>
        <v>0</v>
      </c>
      <c r="Q798" s="1264"/>
      <c r="R798" s="1264"/>
      <c r="S798" s="1264"/>
      <c r="T798" s="1264"/>
      <c r="U798" s="1264"/>
      <c r="V798" s="1264"/>
      <c r="W798" s="1264"/>
      <c r="X798" s="1264"/>
      <c r="Y798" s="1264"/>
      <c r="Z798" s="1264"/>
    </row>
    <row r="799" spans="1:26" ht="19.5">
      <c r="A799" s="1267"/>
      <c r="B799" s="1268"/>
      <c r="C799" s="1243" t="s">
        <v>16</v>
      </c>
      <c r="D799" s="1378" t="s">
        <v>38</v>
      </c>
      <c r="E799" s="1271"/>
      <c r="F799" s="1271"/>
      <c r="G799" s="1272"/>
      <c r="H799" s="1456"/>
      <c r="I799" s="1452"/>
      <c r="J799" s="1452"/>
      <c r="K799" s="1453"/>
      <c r="L799" s="945"/>
      <c r="M799" s="945"/>
      <c r="N799" s="945"/>
      <c r="O799" s="945"/>
      <c r="P799" s="945"/>
      <c r="Q799" s="1244"/>
      <c r="R799" s="1244"/>
      <c r="S799" s="1244"/>
      <c r="T799" s="1244"/>
      <c r="U799" s="1244"/>
      <c r="V799" s="1244"/>
      <c r="W799" s="1244"/>
      <c r="X799" s="1244"/>
      <c r="Y799" s="1244"/>
      <c r="Z799" s="1244"/>
    </row>
    <row r="800" spans="1:26" ht="18.75">
      <c r="A800" s="1267"/>
      <c r="B800" s="1268"/>
      <c r="C800" s="1268"/>
      <c r="D800" s="1268"/>
      <c r="E800" s="961"/>
      <c r="F800" s="961" t="s">
        <v>320</v>
      </c>
      <c r="G800" s="954"/>
      <c r="H800" s="1457" t="s">
        <v>34</v>
      </c>
      <c r="I800" s="1452"/>
      <c r="J800" s="1458">
        <f ca="1">IFERROR(__xludf.DUMMYFUNCTION("IMPORTRANGE(""https://docs.google.com/spreadsheets/d/1MaWodYyGHDf7siQLGxnXhG4mBNTNIuy296niS2xXulU/edit?usp=sharing"",""RTK!H29"")"),239)</f>
        <v>239</v>
      </c>
      <c r="K800" s="1449"/>
      <c r="L800" s="831"/>
      <c r="M800" s="831"/>
      <c r="N800" s="831"/>
      <c r="O800" s="945"/>
      <c r="P800" s="945"/>
      <c r="Q800" s="1244"/>
      <c r="R800" s="1244"/>
      <c r="S800" s="1244"/>
      <c r="T800" s="1244"/>
      <c r="U800" s="1244"/>
      <c r="V800" s="1244"/>
      <c r="W800" s="1244"/>
      <c r="X800" s="1244"/>
      <c r="Y800" s="1244"/>
      <c r="Z800" s="1244"/>
    </row>
    <row r="801" spans="1:26" ht="18.75">
      <c r="A801" s="1267"/>
      <c r="B801" s="1268"/>
      <c r="C801" s="1268"/>
      <c r="D801" s="1268"/>
      <c r="E801" s="961"/>
      <c r="F801" s="961"/>
      <c r="G801" s="954"/>
      <c r="H801" s="1451" t="s">
        <v>46</v>
      </c>
      <c r="I801" s="1458">
        <f ca="1">IFERROR(__xludf.DUMMYFUNCTION("IMPORTRANGE(""https://docs.google.com/spreadsheets/d/1MaWodYyGHDf7siQLGxnXhG4mBNTNIuy296niS2xXulU/edit?usp=sharing"",""RTK!G29"")"),5000)</f>
        <v>5000</v>
      </c>
      <c r="J801" s="1459">
        <f ca="1">IFERROR(__xludf.DUMMYFUNCTION("IMPORTRANGE(""https://docs.google.com/spreadsheets/d/1MaWodYyGHDf7siQLGxnXhG4mBNTNIuy296niS2xXulU/edit?usp=sharing"",""RTK!I29"")"),2395)</f>
        <v>2395</v>
      </c>
      <c r="K801" s="1460">
        <f ca="1">IF(I801&gt;0,J801*100/I801,0)</f>
        <v>47.9</v>
      </c>
      <c r="L801" s="831"/>
      <c r="M801" s="831"/>
      <c r="N801" s="831"/>
      <c r="O801" s="945"/>
      <c r="P801" s="945"/>
      <c r="Q801" s="1244"/>
      <c r="R801" s="1244"/>
      <c r="S801" s="1244"/>
      <c r="T801" s="1244"/>
      <c r="U801" s="1244"/>
      <c r="V801" s="1244"/>
      <c r="W801" s="1244"/>
      <c r="X801" s="1244"/>
      <c r="Y801" s="1244"/>
      <c r="Z801" s="1244"/>
    </row>
    <row r="802" spans="1:26" ht="18.75">
      <c r="A802" s="1273"/>
      <c r="B802" s="1274"/>
      <c r="C802" s="1274"/>
      <c r="D802" s="1274"/>
      <c r="E802" s="1262"/>
      <c r="F802" s="1416" t="s">
        <v>321</v>
      </c>
      <c r="G802" s="1060"/>
      <c r="H802" s="1457" t="s">
        <v>34</v>
      </c>
      <c r="I802" s="1452"/>
      <c r="J802" s="1458">
        <f ca="1">IFERROR(__xludf.DUMMYFUNCTION("IMPORTRANGE(""https://docs.google.com/spreadsheets/d/1MaWodYyGHDf7siQLGxnXhG4mBNTNIuy296niS2xXulU/edit?usp=sharing"",""RTK!L29"")"),0)</f>
        <v>0</v>
      </c>
      <c r="K802" s="1449"/>
      <c r="L802" s="948"/>
      <c r="M802" s="948"/>
      <c r="N802" s="948"/>
      <c r="O802" s="948"/>
      <c r="P802" s="948"/>
      <c r="Q802" s="1264"/>
      <c r="R802" s="1264"/>
      <c r="S802" s="1264"/>
      <c r="T802" s="1264"/>
      <c r="U802" s="1264"/>
      <c r="V802" s="1264"/>
      <c r="W802" s="1264"/>
      <c r="X802" s="1264"/>
      <c r="Y802" s="1264"/>
      <c r="Z802" s="1264"/>
    </row>
    <row r="803" spans="1:26" ht="18.75">
      <c r="A803" s="1273"/>
      <c r="B803" s="1274"/>
      <c r="C803" s="1274"/>
      <c r="D803" s="1274"/>
      <c r="E803" s="1262"/>
      <c r="F803" s="1262"/>
      <c r="G803" s="1060"/>
      <c r="H803" s="1457" t="s">
        <v>46</v>
      </c>
      <c r="I803" s="1458">
        <f ca="1">IFERROR(__xludf.DUMMYFUNCTION("IMPORTRANGE(""https://docs.google.com/spreadsheets/d/1MaWodYyGHDf7siQLGxnXhG4mBNTNIuy296niS2xXulU/edit?usp=sharing"",""RTK!K29"")"),0)</f>
        <v>0</v>
      </c>
      <c r="J803" s="1459">
        <f ca="1">IFERROR(__xludf.DUMMYFUNCTION("IMPORTRANGE(""https://docs.google.com/spreadsheets/d/1MaWodYyGHDf7siQLGxnXhG4mBNTNIuy296niS2xXulU/edit?usp=sharing"",""RTK!M29"")"),0)</f>
        <v>0</v>
      </c>
      <c r="K803" s="1460">
        <f t="shared" ref="K803:K804" ca="1" si="327">IF(I803&gt;0,J803*100/I803,0)</f>
        <v>0</v>
      </c>
      <c r="L803" s="948"/>
      <c r="M803" s="948"/>
      <c r="N803" s="948"/>
      <c r="O803" s="948"/>
      <c r="P803" s="948"/>
      <c r="Q803" s="1264"/>
      <c r="R803" s="1264"/>
      <c r="S803" s="1264"/>
      <c r="T803" s="1264"/>
      <c r="U803" s="1264"/>
      <c r="V803" s="1264"/>
      <c r="W803" s="1264"/>
      <c r="X803" s="1264"/>
      <c r="Y803" s="1264"/>
      <c r="Z803" s="1264"/>
    </row>
    <row r="804" spans="1:26" ht="19.5" hidden="1">
      <c r="A804" s="759">
        <v>13</v>
      </c>
      <c r="B804" s="1400" t="s">
        <v>322</v>
      </c>
      <c r="C804" s="1401"/>
      <c r="D804" s="1419"/>
      <c r="E804" s="1401"/>
      <c r="F804" s="1401"/>
      <c r="G804" s="1402"/>
      <c r="H804" s="763" t="s">
        <v>46</v>
      </c>
      <c r="I804" s="1403"/>
      <c r="J804" s="1403">
        <f>J819</f>
        <v>0</v>
      </c>
      <c r="K804" s="1404">
        <f t="shared" si="327"/>
        <v>0</v>
      </c>
      <c r="L804" s="1405"/>
      <c r="M804" s="1405"/>
      <c r="N804" s="1405"/>
      <c r="O804" s="1405"/>
      <c r="P804" s="1405"/>
      <c r="Q804" s="1264"/>
      <c r="R804" s="1264"/>
      <c r="S804" s="1264"/>
      <c r="T804" s="1264"/>
      <c r="U804" s="1264"/>
      <c r="V804" s="1264"/>
      <c r="W804" s="1264"/>
      <c r="X804" s="1264"/>
      <c r="Y804" s="1264"/>
      <c r="Z804" s="1264"/>
    </row>
    <row r="805" spans="1:26" ht="19.5" hidden="1">
      <c r="A805" s="1260"/>
      <c r="B805" s="1261"/>
      <c r="C805" s="1261" t="s">
        <v>16</v>
      </c>
      <c r="D805" s="1508" t="s">
        <v>17</v>
      </c>
      <c r="E805" s="1485"/>
      <c r="F805" s="1485"/>
      <c r="G805" s="1263"/>
      <c r="H805" s="612" t="s">
        <v>12</v>
      </c>
      <c r="I805" s="836"/>
      <c r="J805" s="836"/>
      <c r="K805" s="837"/>
      <c r="L805" s="1292">
        <f t="shared" ref="L805:N805" si="328">L806+L807</f>
        <v>0</v>
      </c>
      <c r="M805" s="1292">
        <f t="shared" si="328"/>
        <v>0</v>
      </c>
      <c r="N805" s="1292">
        <f t="shared" si="328"/>
        <v>0</v>
      </c>
      <c r="O805" s="1292">
        <f t="shared" ref="O805:O810" si="329">IF(L805&gt;0,N805*100/L805,0)</f>
        <v>0</v>
      </c>
      <c r="P805" s="1292">
        <f t="shared" ref="P805:P810" si="330">IF(M805&gt;0,N805*100/M805,0)</f>
        <v>0</v>
      </c>
      <c r="Q805" s="1264"/>
      <c r="R805" s="1264"/>
      <c r="S805" s="1264"/>
      <c r="T805" s="1264"/>
      <c r="U805" s="1264"/>
      <c r="V805" s="1264"/>
      <c r="W805" s="1264"/>
      <c r="X805" s="1264"/>
      <c r="Y805" s="1264"/>
      <c r="Z805" s="1264"/>
    </row>
    <row r="806" spans="1:26" ht="18.75" hidden="1">
      <c r="A806" s="1260"/>
      <c r="B806" s="1261"/>
      <c r="C806" s="1261"/>
      <c r="D806" s="1274"/>
      <c r="E806" s="1261" t="s">
        <v>184</v>
      </c>
      <c r="F806" s="1261"/>
      <c r="G806" s="1263"/>
      <c r="H806" s="165" t="s">
        <v>12</v>
      </c>
      <c r="I806" s="836"/>
      <c r="J806" s="836"/>
      <c r="K806" s="837"/>
      <c r="L806" s="837">
        <f t="shared" ref="L806:N807" si="331">L809+L816</f>
        <v>0</v>
      </c>
      <c r="M806" s="837">
        <f t="shared" si="331"/>
        <v>0</v>
      </c>
      <c r="N806" s="837">
        <f t="shared" si="331"/>
        <v>0</v>
      </c>
      <c r="O806" s="837">
        <f t="shared" si="329"/>
        <v>0</v>
      </c>
      <c r="P806" s="837">
        <f t="shared" si="330"/>
        <v>0</v>
      </c>
      <c r="Q806" s="1264"/>
      <c r="R806" s="1264"/>
      <c r="S806" s="1264"/>
      <c r="T806" s="1264"/>
      <c r="U806" s="1264"/>
      <c r="V806" s="1264"/>
      <c r="W806" s="1264"/>
      <c r="X806" s="1264"/>
      <c r="Y806" s="1264"/>
      <c r="Z806" s="1264"/>
    </row>
    <row r="807" spans="1:26" ht="18.75" hidden="1">
      <c r="A807" s="1260"/>
      <c r="B807" s="1261"/>
      <c r="C807" s="1261"/>
      <c r="D807" s="1274"/>
      <c r="E807" s="1261" t="s">
        <v>185</v>
      </c>
      <c r="F807" s="1261"/>
      <c r="G807" s="1263"/>
      <c r="H807" s="165" t="s">
        <v>12</v>
      </c>
      <c r="I807" s="836"/>
      <c r="J807" s="836"/>
      <c r="K807" s="837"/>
      <c r="L807" s="837">
        <f t="shared" si="331"/>
        <v>0</v>
      </c>
      <c r="M807" s="837">
        <f t="shared" si="331"/>
        <v>0</v>
      </c>
      <c r="N807" s="837">
        <f t="shared" si="331"/>
        <v>0</v>
      </c>
      <c r="O807" s="837">
        <f t="shared" si="329"/>
        <v>0</v>
      </c>
      <c r="P807" s="837">
        <f t="shared" si="330"/>
        <v>0</v>
      </c>
      <c r="Q807" s="1264"/>
      <c r="R807" s="1264"/>
      <c r="S807" s="1264"/>
      <c r="T807" s="1264"/>
      <c r="U807" s="1264"/>
      <c r="V807" s="1264"/>
      <c r="W807" s="1264"/>
      <c r="X807" s="1264"/>
      <c r="Y807" s="1264"/>
      <c r="Z807" s="1264"/>
    </row>
    <row r="808" spans="1:26" ht="19.5" hidden="1">
      <c r="A808" s="1260"/>
      <c r="B808" s="1265"/>
      <c r="C808" s="1261"/>
      <c r="D808" s="1509" t="s">
        <v>20</v>
      </c>
      <c r="E808" s="1485"/>
      <c r="F808" s="1485"/>
      <c r="G808" s="1263"/>
      <c r="H808" s="612" t="s">
        <v>12</v>
      </c>
      <c r="I808" s="947"/>
      <c r="J808" s="947"/>
      <c r="K808" s="948"/>
      <c r="L808" s="1292">
        <f t="shared" ref="L808:N808" si="332">L809+L810</f>
        <v>0</v>
      </c>
      <c r="M808" s="1292">
        <f t="shared" si="332"/>
        <v>0</v>
      </c>
      <c r="N808" s="1292">
        <f t="shared" si="332"/>
        <v>0</v>
      </c>
      <c r="O808" s="1292">
        <f t="shared" si="329"/>
        <v>0</v>
      </c>
      <c r="P808" s="1292">
        <f t="shared" si="330"/>
        <v>0</v>
      </c>
      <c r="Q808" s="1264"/>
      <c r="R808" s="1264"/>
      <c r="S808" s="1264"/>
      <c r="T808" s="1264"/>
      <c r="U808" s="1264"/>
      <c r="V808" s="1264"/>
      <c r="W808" s="1264"/>
      <c r="X808" s="1264"/>
      <c r="Y808" s="1264"/>
      <c r="Z808" s="1264"/>
    </row>
    <row r="809" spans="1:26" ht="18.75" hidden="1">
      <c r="A809" s="1260"/>
      <c r="B809" s="1261"/>
      <c r="C809" s="1261"/>
      <c r="D809" s="1274"/>
      <c r="E809" s="1261" t="s">
        <v>184</v>
      </c>
      <c r="F809" s="1261"/>
      <c r="G809" s="1263"/>
      <c r="H809" s="165" t="s">
        <v>12</v>
      </c>
      <c r="I809" s="836"/>
      <c r="J809" s="836"/>
      <c r="K809" s="837"/>
      <c r="L809" s="837">
        <v>0</v>
      </c>
      <c r="M809" s="837">
        <v>0</v>
      </c>
      <c r="N809" s="837">
        <v>0</v>
      </c>
      <c r="O809" s="837">
        <f t="shared" si="329"/>
        <v>0</v>
      </c>
      <c r="P809" s="837">
        <f t="shared" si="330"/>
        <v>0</v>
      </c>
      <c r="Q809" s="1264"/>
      <c r="R809" s="1264"/>
      <c r="S809" s="1264"/>
      <c r="T809" s="1264"/>
      <c r="U809" s="1264"/>
      <c r="V809" s="1264"/>
      <c r="W809" s="1264"/>
      <c r="X809" s="1264"/>
      <c r="Y809" s="1264"/>
      <c r="Z809" s="1264"/>
    </row>
    <row r="810" spans="1:26" ht="18.75" hidden="1">
      <c r="A810" s="1260"/>
      <c r="B810" s="1261"/>
      <c r="C810" s="1261"/>
      <c r="D810" s="1274"/>
      <c r="E810" s="1261" t="s">
        <v>185</v>
      </c>
      <c r="F810" s="1261"/>
      <c r="G810" s="1263"/>
      <c r="H810" s="165" t="s">
        <v>12</v>
      </c>
      <c r="I810" s="836"/>
      <c r="J810" s="836"/>
      <c r="K810" s="837"/>
      <c r="L810" s="837">
        <v>0</v>
      </c>
      <c r="M810" s="837">
        <v>0</v>
      </c>
      <c r="N810" s="837">
        <f>N811+N812+N813+N814</f>
        <v>0</v>
      </c>
      <c r="O810" s="837">
        <f t="shared" si="329"/>
        <v>0</v>
      </c>
      <c r="P810" s="837">
        <f t="shared" si="330"/>
        <v>0</v>
      </c>
      <c r="Q810" s="1264"/>
      <c r="R810" s="1264"/>
      <c r="S810" s="1264"/>
      <c r="T810" s="1264"/>
      <c r="U810" s="1264"/>
      <c r="V810" s="1264"/>
      <c r="W810" s="1264"/>
      <c r="X810" s="1264"/>
      <c r="Y810" s="1264"/>
      <c r="Z810" s="1264"/>
    </row>
    <row r="811" spans="1:26" ht="18.75" hidden="1">
      <c r="A811" s="1294"/>
      <c r="B811" s="1265"/>
      <c r="C811" s="1261"/>
      <c r="D811" s="1265"/>
      <c r="E811" s="1261"/>
      <c r="F811" s="1261" t="s">
        <v>186</v>
      </c>
      <c r="G811" s="1263"/>
      <c r="H811" s="165" t="s">
        <v>12</v>
      </c>
      <c r="I811" s="836"/>
      <c r="J811" s="836"/>
      <c r="K811" s="837"/>
      <c r="L811" s="837"/>
      <c r="M811" s="837"/>
      <c r="N811" s="837"/>
      <c r="O811" s="837"/>
      <c r="P811" s="837"/>
      <c r="Q811" s="1264"/>
      <c r="R811" s="1264"/>
      <c r="S811" s="1264"/>
      <c r="T811" s="1264"/>
      <c r="U811" s="1264"/>
      <c r="V811" s="1264"/>
      <c r="W811" s="1264"/>
      <c r="X811" s="1264"/>
      <c r="Y811" s="1264"/>
      <c r="Z811" s="1264"/>
    </row>
    <row r="812" spans="1:26" ht="18.75" hidden="1">
      <c r="A812" s="1294"/>
      <c r="B812" s="1265"/>
      <c r="C812" s="1261"/>
      <c r="D812" s="1265"/>
      <c r="E812" s="1261"/>
      <c r="F812" s="1261" t="s">
        <v>187</v>
      </c>
      <c r="G812" s="1263"/>
      <c r="H812" s="165" t="s">
        <v>12</v>
      </c>
      <c r="I812" s="836"/>
      <c r="J812" s="836"/>
      <c r="K812" s="837"/>
      <c r="L812" s="837"/>
      <c r="M812" s="837"/>
      <c r="N812" s="837"/>
      <c r="O812" s="837"/>
      <c r="P812" s="837"/>
      <c r="Q812" s="1264"/>
      <c r="R812" s="1264"/>
      <c r="S812" s="1264"/>
      <c r="T812" s="1264"/>
      <c r="U812" s="1264"/>
      <c r="V812" s="1264"/>
      <c r="W812" s="1264"/>
      <c r="X812" s="1264"/>
      <c r="Y812" s="1264"/>
      <c r="Z812" s="1264"/>
    </row>
    <row r="813" spans="1:26" ht="18.75" hidden="1">
      <c r="A813" s="1294"/>
      <c r="B813" s="1265"/>
      <c r="C813" s="1261"/>
      <c r="D813" s="1265"/>
      <c r="E813" s="1261"/>
      <c r="F813" s="1261" t="s">
        <v>188</v>
      </c>
      <c r="G813" s="1263"/>
      <c r="H813" s="165" t="s">
        <v>12</v>
      </c>
      <c r="I813" s="836"/>
      <c r="J813" s="836"/>
      <c r="K813" s="837"/>
      <c r="L813" s="837"/>
      <c r="M813" s="837"/>
      <c r="N813" s="837"/>
      <c r="O813" s="837"/>
      <c r="P813" s="837"/>
      <c r="Q813" s="1264"/>
      <c r="R813" s="1264"/>
      <c r="S813" s="1264"/>
      <c r="T813" s="1264"/>
      <c r="U813" s="1264"/>
      <c r="V813" s="1264"/>
      <c r="W813" s="1264"/>
      <c r="X813" s="1264"/>
      <c r="Y813" s="1264"/>
      <c r="Z813" s="1264"/>
    </row>
    <row r="814" spans="1:26" ht="18.75" hidden="1">
      <c r="A814" s="1294"/>
      <c r="B814" s="1265"/>
      <c r="C814" s="1261"/>
      <c r="D814" s="1265"/>
      <c r="E814" s="1261"/>
      <c r="F814" s="1261" t="s">
        <v>189</v>
      </c>
      <c r="G814" s="1263"/>
      <c r="H814" s="165" t="s">
        <v>12</v>
      </c>
      <c r="I814" s="836"/>
      <c r="J814" s="836"/>
      <c r="K814" s="837"/>
      <c r="L814" s="837"/>
      <c r="M814" s="837"/>
      <c r="N814" s="837"/>
      <c r="O814" s="837"/>
      <c r="P814" s="837"/>
      <c r="Q814" s="1264"/>
      <c r="R814" s="1264"/>
      <c r="S814" s="1264"/>
      <c r="T814" s="1264"/>
      <c r="U814" s="1264"/>
      <c r="V814" s="1264"/>
      <c r="W814" s="1264"/>
      <c r="X814" s="1264"/>
      <c r="Y814" s="1264"/>
      <c r="Z814" s="1264"/>
    </row>
    <row r="815" spans="1:26" ht="19.5" hidden="1">
      <c r="A815" s="1260"/>
      <c r="B815" s="1265"/>
      <c r="C815" s="1261"/>
      <c r="D815" s="1509" t="s">
        <v>21</v>
      </c>
      <c r="E815" s="1485"/>
      <c r="F815" s="1485"/>
      <c r="G815" s="1263"/>
      <c r="H815" s="749" t="s">
        <v>12</v>
      </c>
      <c r="I815" s="947"/>
      <c r="J815" s="947"/>
      <c r="K815" s="948"/>
      <c r="L815" s="1292">
        <f t="shared" ref="L815:N815" si="333">L816+L817</f>
        <v>0</v>
      </c>
      <c r="M815" s="1292">
        <f t="shared" si="333"/>
        <v>0</v>
      </c>
      <c r="N815" s="1292">
        <f t="shared" si="333"/>
        <v>0</v>
      </c>
      <c r="O815" s="1292">
        <f t="shared" ref="O815:O817" si="334">IF(L815&gt;0,N815*100/L815,0)</f>
        <v>0</v>
      </c>
      <c r="P815" s="1292">
        <f t="shared" ref="P815:P817" si="335">IF(M815&gt;0,N815*100/M815,0)</f>
        <v>0</v>
      </c>
      <c r="Q815" s="1264"/>
      <c r="R815" s="1264"/>
      <c r="S815" s="1264"/>
      <c r="T815" s="1264"/>
      <c r="U815" s="1264"/>
      <c r="V815" s="1264"/>
      <c r="W815" s="1264"/>
      <c r="X815" s="1264"/>
      <c r="Y815" s="1264"/>
      <c r="Z815" s="1264"/>
    </row>
    <row r="816" spans="1:26" ht="18.75" hidden="1">
      <c r="A816" s="1260"/>
      <c r="B816" s="1265"/>
      <c r="C816" s="1261"/>
      <c r="D816" s="1265"/>
      <c r="E816" s="1261" t="s">
        <v>18</v>
      </c>
      <c r="F816" s="1261"/>
      <c r="G816" s="1263"/>
      <c r="H816" s="165" t="s">
        <v>12</v>
      </c>
      <c r="I816" s="947"/>
      <c r="J816" s="947"/>
      <c r="K816" s="948"/>
      <c r="L816" s="837">
        <v>0</v>
      </c>
      <c r="M816" s="837">
        <v>0</v>
      </c>
      <c r="N816" s="837">
        <v>0</v>
      </c>
      <c r="O816" s="837">
        <f t="shared" si="334"/>
        <v>0</v>
      </c>
      <c r="P816" s="837">
        <f t="shared" si="335"/>
        <v>0</v>
      </c>
      <c r="Q816" s="1264"/>
      <c r="R816" s="1264"/>
      <c r="S816" s="1264"/>
      <c r="T816" s="1264"/>
      <c r="U816" s="1264"/>
      <c r="V816" s="1264"/>
      <c r="W816" s="1264"/>
      <c r="X816" s="1264"/>
      <c r="Y816" s="1264"/>
      <c r="Z816" s="1264"/>
    </row>
    <row r="817" spans="1:26" ht="18.75" hidden="1">
      <c r="A817" s="1260"/>
      <c r="B817" s="1265"/>
      <c r="C817" s="1261"/>
      <c r="D817" s="1265"/>
      <c r="E817" s="1261" t="s">
        <v>19</v>
      </c>
      <c r="F817" s="1261"/>
      <c r="G817" s="1263"/>
      <c r="H817" s="169" t="s">
        <v>12</v>
      </c>
      <c r="I817" s="947"/>
      <c r="J817" s="947"/>
      <c r="K817" s="948"/>
      <c r="L817" s="837">
        <v>0</v>
      </c>
      <c r="M817" s="837">
        <v>0</v>
      </c>
      <c r="N817" s="837">
        <v>0</v>
      </c>
      <c r="O817" s="837">
        <f t="shared" si="334"/>
        <v>0</v>
      </c>
      <c r="P817" s="837">
        <f t="shared" si="335"/>
        <v>0</v>
      </c>
      <c r="Q817" s="1264"/>
      <c r="R817" s="1264"/>
      <c r="S817" s="1264"/>
      <c r="T817" s="1264"/>
      <c r="U817" s="1264"/>
      <c r="V817" s="1264"/>
      <c r="W817" s="1264"/>
      <c r="X817" s="1264"/>
      <c r="Y817" s="1264"/>
      <c r="Z817" s="1264"/>
    </row>
    <row r="818" spans="1:26" ht="19.5" hidden="1">
      <c r="A818" s="1273"/>
      <c r="B818" s="1274"/>
      <c r="C818" s="1261" t="s">
        <v>16</v>
      </c>
      <c r="D818" s="1420" t="s">
        <v>38</v>
      </c>
      <c r="E818" s="1296"/>
      <c r="F818" s="1296"/>
      <c r="G818" s="1297"/>
      <c r="H818" s="1060"/>
      <c r="I818" s="947"/>
      <c r="J818" s="947"/>
      <c r="K818" s="948"/>
      <c r="L818" s="948"/>
      <c r="M818" s="948"/>
      <c r="N818" s="948"/>
      <c r="O818" s="948"/>
      <c r="P818" s="948"/>
      <c r="Q818" s="1264"/>
      <c r="R818" s="1264"/>
      <c r="S818" s="1264"/>
      <c r="T818" s="1264"/>
      <c r="U818" s="1264"/>
      <c r="V818" s="1264"/>
      <c r="W818" s="1264"/>
      <c r="X818" s="1264"/>
      <c r="Y818" s="1264"/>
      <c r="Z818" s="1264"/>
    </row>
    <row r="819" spans="1:26" ht="19.5" hidden="1" thickBot="1">
      <c r="A819" s="1421"/>
      <c r="B819" s="1422"/>
      <c r="C819" s="1423"/>
      <c r="D819" s="1422"/>
      <c r="E819" s="1423" t="s">
        <v>323</v>
      </c>
      <c r="F819" s="1423"/>
      <c r="G819" s="1424"/>
      <c r="H819" s="792" t="s">
        <v>46</v>
      </c>
      <c r="I819" s="1425"/>
      <c r="J819" s="1425"/>
      <c r="K819" s="1426"/>
      <c r="L819" s="1426"/>
      <c r="M819" s="1426"/>
      <c r="N819" s="1426"/>
      <c r="O819" s="1426"/>
      <c r="P819" s="1426"/>
      <c r="Q819" s="1264"/>
      <c r="R819" s="1264"/>
      <c r="S819" s="1264"/>
      <c r="T819" s="1264"/>
      <c r="U819" s="1264"/>
      <c r="V819" s="1264"/>
      <c r="W819" s="1264"/>
      <c r="X819" s="1264"/>
      <c r="Y819" s="1264"/>
      <c r="Z819" s="1264"/>
    </row>
    <row r="820" spans="1:26" ht="19.5">
      <c r="A820" s="1427" t="s">
        <v>333</v>
      </c>
      <c r="B820" s="1428"/>
      <c r="C820" s="1428"/>
      <c r="D820" s="1429"/>
      <c r="E820" s="1428"/>
      <c r="F820" s="1428"/>
      <c r="G820" s="1430"/>
      <c r="H820" s="143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32"/>
      <c r="J820" s="1432"/>
      <c r="K820" s="1433"/>
      <c r="L820" s="1433"/>
      <c r="M820" s="1433"/>
      <c r="N820" s="1433"/>
      <c r="O820" s="1433"/>
      <c r="P820" s="1433"/>
      <c r="Q820" s="1244"/>
      <c r="R820" s="1244"/>
      <c r="S820" s="1244"/>
      <c r="T820" s="1244"/>
      <c r="U820" s="1244"/>
      <c r="V820" s="1244"/>
      <c r="W820" s="1244"/>
      <c r="X820" s="1244"/>
      <c r="Y820" s="1244"/>
      <c r="Z820" s="1244"/>
    </row>
    <row r="821" spans="1:26" ht="18.75">
      <c r="A821" s="1368"/>
      <c r="B821" s="1243" t="s">
        <v>325</v>
      </c>
      <c r="C821" s="1243"/>
      <c r="D821" s="1242"/>
      <c r="E821" s="1243"/>
      <c r="F821" s="1243"/>
      <c r="G821" s="963"/>
      <c r="H821" s="590" t="s">
        <v>12</v>
      </c>
      <c r="I821" s="830">
        <f ca="1">IFERROR(__xludf.DUMMYFUNCTION("IMPORTRANGE(""https://docs.google.com/spreadsheets/d/19vJNZY_5yjcGF2XGBMNZRCAIB0Kwfpjp8YEOfu-bneM/edit?usp=sharing"",""งานกองทุน!D29"")"),21303672.5)</f>
        <v>21303672.5</v>
      </c>
      <c r="J821" s="830">
        <f ca="1">IFERROR(__xludf.DUMMYFUNCTION("IMPORTRANGE(""https://docs.google.com/spreadsheets/d/19vJNZY_5yjcGF2XGBMNZRCAIB0Kwfpjp8YEOfu-bneM/edit?usp=sharing"",""งานกองทุน!F29"")"),8822317.04)</f>
        <v>8822317.0399999991</v>
      </c>
      <c r="K821" s="831">
        <f t="shared" ref="K821:K828" ca="1" si="336">IF(I821&gt;0,J821*100/I821,0)</f>
        <v>41.412188626162923</v>
      </c>
      <c r="L821" s="831"/>
      <c r="M821" s="831"/>
      <c r="N821" s="831"/>
      <c r="O821" s="831"/>
      <c r="P821" s="831"/>
      <c r="Q821" s="1244"/>
      <c r="R821" s="1244"/>
      <c r="S821" s="1244"/>
      <c r="T821" s="1244"/>
      <c r="U821" s="1244"/>
      <c r="V821" s="1244"/>
      <c r="W821" s="1244"/>
      <c r="X821" s="1244"/>
      <c r="Y821" s="1244"/>
      <c r="Z821" s="1244"/>
    </row>
    <row r="822" spans="1:26" ht="18.75">
      <c r="A822" s="1368"/>
      <c r="B822" s="1243"/>
      <c r="C822" s="1243"/>
      <c r="D822" s="1242"/>
      <c r="E822" s="1243"/>
      <c r="F822" s="1243"/>
      <c r="G822" s="963"/>
      <c r="H822" s="590" t="s">
        <v>35</v>
      </c>
      <c r="I822" s="830">
        <f ca="1">IFERROR(__xludf.DUMMYFUNCTION("IMPORTRANGE(""https://docs.google.com/spreadsheets/d/19vJNZY_5yjcGF2XGBMNZRCAIB0Kwfpjp8YEOfu-bneM/edit?usp=sharing"",""งานกองทุน!C29"")"),831)</f>
        <v>831</v>
      </c>
      <c r="J822" s="830">
        <f ca="1">IFERROR(__xludf.DUMMYFUNCTION("IMPORTRANGE(""https://docs.google.com/spreadsheets/d/19vJNZY_5yjcGF2XGBMNZRCAIB0Kwfpjp8YEOfu-bneM/edit?usp=sharing"",""งานกองทุน!E29"")"),462)</f>
        <v>462</v>
      </c>
      <c r="K822" s="831">
        <f t="shared" ca="1" si="336"/>
        <v>55.595667870036102</v>
      </c>
      <c r="L822" s="831"/>
      <c r="M822" s="831"/>
      <c r="N822" s="831"/>
      <c r="O822" s="831"/>
      <c r="P822" s="831"/>
      <c r="Q822" s="1244"/>
      <c r="R822" s="1244"/>
      <c r="S822" s="1244"/>
      <c r="T822" s="1244"/>
      <c r="U822" s="1244"/>
      <c r="V822" s="1244"/>
      <c r="W822" s="1244"/>
      <c r="X822" s="1244"/>
      <c r="Y822" s="1244"/>
      <c r="Z822" s="1244"/>
    </row>
    <row r="823" spans="1:26" ht="18.75">
      <c r="A823" s="1368"/>
      <c r="B823" s="1243" t="s">
        <v>326</v>
      </c>
      <c r="C823" s="1243"/>
      <c r="D823" s="1242"/>
      <c r="E823" s="1243"/>
      <c r="F823" s="1243"/>
      <c r="G823" s="963"/>
      <c r="H823" s="590" t="s">
        <v>12</v>
      </c>
      <c r="I823" s="830">
        <f ca="1">IFERROR(__xludf.DUMMYFUNCTION("IMPORTRANGE(""https://docs.google.com/spreadsheets/d/19vJNZY_5yjcGF2XGBMNZRCAIB0Kwfpjp8YEOfu-bneM/edit?usp=sharing"",""งานกองทุน!I29"")"),18967351.47)</f>
        <v>18967351.469999999</v>
      </c>
      <c r="J823" s="830">
        <f ca="1">IFERROR(__xludf.DUMMYFUNCTION("IMPORTRANGE(""https://docs.google.com/spreadsheets/d/19vJNZY_5yjcGF2XGBMNZRCAIB0Kwfpjp8YEOfu-bneM/edit?usp=sharing"",""งานกองทุน!K29"")"),1127766.23)</f>
        <v>1127766.23</v>
      </c>
      <c r="K823" s="831">
        <f t="shared" ca="1" si="336"/>
        <v>5.9458287140603083</v>
      </c>
      <c r="L823" s="831"/>
      <c r="M823" s="831"/>
      <c r="N823" s="831"/>
      <c r="O823" s="831"/>
      <c r="P823" s="831"/>
      <c r="Q823" s="1244"/>
      <c r="R823" s="1244"/>
      <c r="S823" s="1244"/>
      <c r="T823" s="1244"/>
      <c r="U823" s="1244"/>
      <c r="V823" s="1244"/>
      <c r="W823" s="1244"/>
      <c r="X823" s="1244"/>
      <c r="Y823" s="1244"/>
      <c r="Z823" s="1244"/>
    </row>
    <row r="824" spans="1:26" ht="18.75">
      <c r="A824" s="1368"/>
      <c r="B824" s="1243"/>
      <c r="C824" s="1243"/>
      <c r="D824" s="1242"/>
      <c r="E824" s="1243"/>
      <c r="F824" s="1243"/>
      <c r="G824" s="963"/>
      <c r="H824" s="590" t="s">
        <v>35</v>
      </c>
      <c r="I824" s="830">
        <f ca="1">IFERROR(__xludf.DUMMYFUNCTION("IMPORTRANGE(""https://docs.google.com/spreadsheets/d/19vJNZY_5yjcGF2XGBMNZRCAIB0Kwfpjp8YEOfu-bneM/edit?usp=sharing"",""งานกองทุน!H29"")"),678)</f>
        <v>678</v>
      </c>
      <c r="J824" s="830">
        <f ca="1">IFERROR(__xludf.DUMMYFUNCTION("IMPORTRANGE(""https://docs.google.com/spreadsheets/d/19vJNZY_5yjcGF2XGBMNZRCAIB0Kwfpjp8YEOfu-bneM/edit?usp=sharing"",""งานกองทุน!J29"")"),175)</f>
        <v>175</v>
      </c>
      <c r="K824" s="831">
        <f t="shared" ca="1" si="336"/>
        <v>25.811209439528024</v>
      </c>
      <c r="L824" s="831"/>
      <c r="M824" s="831"/>
      <c r="N824" s="831"/>
      <c r="O824" s="831"/>
      <c r="P824" s="831"/>
      <c r="Q824" s="1244"/>
      <c r="R824" s="1244"/>
      <c r="S824" s="1244"/>
      <c r="T824" s="1244"/>
      <c r="U824" s="1244"/>
      <c r="V824" s="1244"/>
      <c r="W824" s="1244"/>
      <c r="X824" s="1244"/>
      <c r="Y824" s="1244"/>
      <c r="Z824" s="1244"/>
    </row>
    <row r="825" spans="1:26" ht="18.75">
      <c r="A825" s="1368"/>
      <c r="B825" s="1243" t="s">
        <v>327</v>
      </c>
      <c r="C825" s="1243"/>
      <c r="D825" s="1242"/>
      <c r="E825" s="1243"/>
      <c r="F825" s="1243"/>
      <c r="G825" s="963"/>
      <c r="H825" s="590" t="s">
        <v>12</v>
      </c>
      <c r="I825" s="830">
        <f ca="1">IFERROR(__xludf.DUMMYFUNCTION("IMPORTRANGE(""https://docs.google.com/spreadsheets/d/19vJNZY_5yjcGF2XGBMNZRCAIB0Kwfpjp8YEOfu-bneM/edit?usp=sharing"",""งานกองทุน!N29"")"),1520163.09)</f>
        <v>1520163.09</v>
      </c>
      <c r="J825" s="830">
        <f ca="1">IFERROR(__xludf.DUMMYFUNCTION("IMPORTRANGE(""https://docs.google.com/spreadsheets/d/19vJNZY_5yjcGF2XGBMNZRCAIB0Kwfpjp8YEOfu-bneM/edit?usp=sharing"",""งานกองทุน!P29"")"),426585.8)</f>
        <v>426585.8</v>
      </c>
      <c r="K825" s="831">
        <f t="shared" ca="1" si="336"/>
        <v>28.061844338030859</v>
      </c>
      <c r="L825" s="831"/>
      <c r="M825" s="831"/>
      <c r="N825" s="831"/>
      <c r="O825" s="831"/>
      <c r="P825" s="831"/>
      <c r="Q825" s="1244"/>
      <c r="R825" s="1244"/>
      <c r="S825" s="1244"/>
      <c r="T825" s="1244"/>
      <c r="U825" s="1244"/>
      <c r="V825" s="1244"/>
      <c r="W825" s="1244"/>
      <c r="X825" s="1244"/>
      <c r="Y825" s="1244"/>
      <c r="Z825" s="1244"/>
    </row>
    <row r="826" spans="1:26" ht="18.75">
      <c r="A826" s="1368"/>
      <c r="B826" s="1243"/>
      <c r="C826" s="1243"/>
      <c r="D826" s="1242"/>
      <c r="E826" s="1243"/>
      <c r="F826" s="1243"/>
      <c r="G826" s="963"/>
      <c r="H826" s="590" t="s">
        <v>35</v>
      </c>
      <c r="I826" s="830">
        <f ca="1">IFERROR(__xludf.DUMMYFUNCTION("IMPORTRANGE(""https://docs.google.com/spreadsheets/d/19vJNZY_5yjcGF2XGBMNZRCAIB0Kwfpjp8YEOfu-bneM/edit?usp=sharing"",""งานกองทุน!M29"")"),76)</f>
        <v>76</v>
      </c>
      <c r="J826" s="830">
        <f ca="1">IFERROR(__xludf.DUMMYFUNCTION("IMPORTRANGE(""https://docs.google.com/spreadsheets/d/19vJNZY_5yjcGF2XGBMNZRCAIB0Kwfpjp8YEOfu-bneM/edit?usp=sharing"",""งานกองทุน!O29"")"),36)</f>
        <v>36</v>
      </c>
      <c r="K826" s="831">
        <f t="shared" ca="1" si="336"/>
        <v>47.368421052631582</v>
      </c>
      <c r="L826" s="831"/>
      <c r="M826" s="831"/>
      <c r="N826" s="831"/>
      <c r="O826" s="831"/>
      <c r="P826" s="831"/>
      <c r="Q826" s="1244"/>
      <c r="R826" s="1244"/>
      <c r="S826" s="1244"/>
      <c r="T826" s="1244"/>
      <c r="U826" s="1244"/>
      <c r="V826" s="1244"/>
      <c r="W826" s="1244"/>
      <c r="X826" s="1244"/>
      <c r="Y826" s="1244"/>
      <c r="Z826" s="1244"/>
    </row>
    <row r="827" spans="1:26" ht="18.75">
      <c r="A827" s="1368"/>
      <c r="B827" s="1243" t="s">
        <v>328</v>
      </c>
      <c r="C827" s="1243"/>
      <c r="D827" s="1242"/>
      <c r="E827" s="1243"/>
      <c r="F827" s="1243"/>
      <c r="G827" s="963"/>
      <c r="H827" s="590" t="s">
        <v>12</v>
      </c>
      <c r="I827" s="830">
        <f ca="1">IFERROR(__xludf.DUMMYFUNCTION("IMPORTRANGE(""https://docs.google.com/spreadsheets/d/19vJNZY_5yjcGF2XGBMNZRCAIB0Kwfpjp8YEOfu-bneM/edit?usp=sharing"",""งานกองทุน!S29"")"),14130000)</f>
        <v>14130000</v>
      </c>
      <c r="J827" s="830">
        <f ca="1">IFERROR(__xludf.DUMMYFUNCTION("IMPORTRANGE(""https://docs.google.com/spreadsheets/d/19vJNZY_5yjcGF2XGBMNZRCAIB0Kwfpjp8YEOfu-bneM/edit?usp=sharing"",""งานกองทุน!U29"")"),9260000)</f>
        <v>9260000</v>
      </c>
      <c r="K827" s="831">
        <f t="shared" ca="1" si="336"/>
        <v>65.534324133050248</v>
      </c>
      <c r="L827" s="831"/>
      <c r="M827" s="831"/>
      <c r="N827" s="831"/>
      <c r="O827" s="831"/>
      <c r="P827" s="831"/>
      <c r="Q827" s="1244"/>
      <c r="R827" s="1244"/>
      <c r="S827" s="1244"/>
      <c r="T827" s="1244"/>
      <c r="U827" s="1244"/>
      <c r="V827" s="1244"/>
      <c r="W827" s="1244"/>
      <c r="X827" s="1244"/>
      <c r="Y827" s="1244"/>
      <c r="Z827" s="1244"/>
    </row>
    <row r="828" spans="1:26" ht="18.75">
      <c r="A828" s="1369"/>
      <c r="B828" s="1371"/>
      <c r="C828" s="1371"/>
      <c r="D828" s="1370"/>
      <c r="E828" s="1371"/>
      <c r="F828" s="1371"/>
      <c r="G828" s="1434"/>
      <c r="H828" s="802" t="s">
        <v>35</v>
      </c>
      <c r="I828" s="1085">
        <f ca="1">IFERROR(__xludf.DUMMYFUNCTION("IMPORTRANGE(""https://docs.google.com/spreadsheets/d/19vJNZY_5yjcGF2XGBMNZRCAIB0Kwfpjp8YEOfu-bneM/edit?usp=sharing"",""งานกองทุน!R29"")"),565)</f>
        <v>565</v>
      </c>
      <c r="J828" s="1085">
        <f ca="1">IFERROR(__xludf.DUMMYFUNCTION("IMPORTRANGE(""https://docs.google.com/spreadsheets/d/19vJNZY_5yjcGF2XGBMNZRCAIB0Kwfpjp8YEOfu-bneM/edit?usp=sharing"",""งานกองทุน!T29"")"),196)</f>
        <v>196</v>
      </c>
      <c r="K828" s="1182">
        <f t="shared" ca="1" si="336"/>
        <v>34.690265486725664</v>
      </c>
      <c r="L828" s="1182"/>
      <c r="M828" s="1182"/>
      <c r="N828" s="1182"/>
      <c r="O828" s="1182"/>
      <c r="P828" s="1182"/>
      <c r="Q828" s="1244"/>
      <c r="R828" s="1244"/>
      <c r="S828" s="1244"/>
      <c r="T828" s="1244"/>
      <c r="U828" s="1244"/>
      <c r="V828" s="1244"/>
      <c r="W828" s="1244"/>
      <c r="X828" s="1244"/>
      <c r="Y828" s="1244"/>
      <c r="Z828" s="124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93779-21DF-4340-9F8D-91C5798FE6B6}">
  <sheetPr>
    <outlinePr summaryBelow="0" summaryRight="0"/>
    <pageSetUpPr fitToPage="1"/>
  </sheetPr>
  <dimension ref="A1:Z828"/>
  <sheetViews>
    <sheetView view="pageBreakPreview" zoomScale="60" zoomScaleNormal="70" workbookViewId="0">
      <pane ySplit="6" topLeftCell="A7" activePane="bottomLeft" state="frozen"/>
      <selection activeCell="Q24" sqref="Q24"/>
      <selection pane="bottomLeft" activeCell="Q24" sqref="Q24"/>
    </sheetView>
  </sheetViews>
  <sheetFormatPr defaultColWidth="12.5703125" defaultRowHeight="15.75" customHeight="1"/>
  <cols>
    <col min="1" max="3" width="3.28515625" style="803" customWidth="1"/>
    <col min="4" max="6" width="5.85546875" style="803" customWidth="1"/>
    <col min="7" max="7" width="56.42578125" style="803" customWidth="1"/>
    <col min="8" max="8" width="9.42578125" style="803" customWidth="1"/>
    <col min="9" max="9" width="18.7109375" style="803" bestFit="1" customWidth="1"/>
    <col min="10" max="10" width="16.85546875" style="803" bestFit="1" customWidth="1"/>
    <col min="11" max="11" width="12.5703125" style="803" bestFit="1" customWidth="1"/>
    <col min="12" max="14" width="21.28515625" style="803" bestFit="1" customWidth="1"/>
    <col min="15" max="15" width="20.140625" style="803" bestFit="1" customWidth="1"/>
    <col min="16" max="16" width="22" style="803" bestFit="1" customWidth="1"/>
    <col min="17" max="16384" width="12.5703125" style="803"/>
  </cols>
  <sheetData>
    <row r="1" spans="1:26" ht="19.5">
      <c r="A1" s="1498" t="s">
        <v>0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</row>
    <row r="2" spans="1:26" ht="19.5">
      <c r="A2" s="1498" t="s">
        <v>355</v>
      </c>
      <c r="B2" s="1516"/>
      <c r="C2" s="1516"/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  <c r="O2" s="1516"/>
      <c r="P2" s="1516"/>
    </row>
    <row r="3" spans="1:26" ht="19.5">
      <c r="A3" s="1498" t="s">
        <v>329</v>
      </c>
      <c r="B3" s="1516"/>
      <c r="C3" s="1516"/>
      <c r="D3" s="1516"/>
      <c r="E3" s="1516"/>
      <c r="F3" s="1516"/>
      <c r="G3" s="1516"/>
      <c r="H3" s="1516"/>
      <c r="I3" s="1516"/>
      <c r="J3" s="1516"/>
      <c r="K3" s="1516"/>
      <c r="L3" s="1516"/>
      <c r="M3" s="1516"/>
      <c r="N3" s="1516"/>
      <c r="O3" s="1516"/>
      <c r="P3" s="1516"/>
    </row>
    <row r="4" spans="1:26" ht="12.75">
      <c r="A4" s="804"/>
      <c r="B4" s="804"/>
      <c r="C4" s="804"/>
      <c r="D4" s="804"/>
      <c r="E4" s="804"/>
      <c r="F4" s="804"/>
      <c r="G4" s="804"/>
      <c r="H4" s="804"/>
      <c r="I4" s="804"/>
      <c r="J4" s="805"/>
      <c r="K4" s="806"/>
      <c r="L4" s="805"/>
      <c r="M4" s="805"/>
      <c r="N4" s="805"/>
      <c r="O4" s="804"/>
      <c r="P4" s="804"/>
    </row>
    <row r="5" spans="1:26" ht="19.5">
      <c r="A5" s="1504" t="s">
        <v>2</v>
      </c>
      <c r="B5" s="1516"/>
      <c r="C5" s="1516"/>
      <c r="D5" s="1516"/>
      <c r="E5" s="1516"/>
      <c r="F5" s="1516"/>
      <c r="G5" s="1505"/>
      <c r="H5" s="1500" t="s">
        <v>3</v>
      </c>
      <c r="I5" s="1501" t="s">
        <v>4</v>
      </c>
      <c r="J5" s="1494"/>
      <c r="K5" s="1495"/>
      <c r="L5" s="1502" t="s">
        <v>5</v>
      </c>
      <c r="M5" s="1495"/>
      <c r="N5" s="1503" t="s">
        <v>6</v>
      </c>
      <c r="O5" s="1494"/>
      <c r="P5" s="1495"/>
    </row>
    <row r="6" spans="1:26" ht="19.5">
      <c r="A6" s="1506"/>
      <c r="B6" s="1494"/>
      <c r="C6" s="1494"/>
      <c r="D6" s="1494"/>
      <c r="E6" s="1494"/>
      <c r="F6" s="1494"/>
      <c r="G6" s="1495"/>
      <c r="H6" s="14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12" t="s">
        <v>15</v>
      </c>
      <c r="B7" s="1494"/>
      <c r="C7" s="1494"/>
      <c r="D7" s="1494"/>
      <c r="E7" s="1494"/>
      <c r="F7" s="1494"/>
      <c r="G7" s="1495"/>
      <c r="H7" s="807"/>
      <c r="I7" s="808"/>
      <c r="J7" s="808"/>
      <c r="K7" s="809"/>
      <c r="L7" s="809"/>
      <c r="M7" s="809"/>
      <c r="N7" s="809"/>
      <c r="O7" s="809"/>
      <c r="P7" s="809"/>
    </row>
    <row r="8" spans="1:26" ht="19.5">
      <c r="A8" s="810"/>
      <c r="B8" s="811"/>
      <c r="C8" s="812" t="s">
        <v>16</v>
      </c>
      <c r="D8" s="813" t="s">
        <v>17</v>
      </c>
      <c r="E8" s="811"/>
      <c r="F8" s="811"/>
      <c r="G8" s="814"/>
      <c r="H8" s="19" t="s">
        <v>12</v>
      </c>
      <c r="I8" s="815"/>
      <c r="J8" s="815"/>
      <c r="K8" s="816"/>
      <c r="L8" s="817">
        <f t="shared" ref="L8:N8" ca="1" si="0">L9+L10</f>
        <v>7425653</v>
      </c>
      <c r="M8" s="817">
        <f t="shared" ca="1" si="0"/>
        <v>3788894</v>
      </c>
      <c r="N8" s="817">
        <f t="shared" ca="1" si="0"/>
        <v>3092812.5199999996</v>
      </c>
      <c r="O8" s="817">
        <f t="shared" ref="O8:O16" ca="1" si="1">IF(L8&gt;0,N8*100/L8,0)</f>
        <v>41.650377683955867</v>
      </c>
      <c r="P8" s="817">
        <f t="shared" ref="P8:P16" ca="1" si="2">IF(M8&gt;0,N8*100/M8,0)</f>
        <v>81.628372818030783</v>
      </c>
      <c r="Q8" s="818"/>
      <c r="R8" s="818"/>
      <c r="S8" s="818"/>
      <c r="T8" s="818"/>
      <c r="U8" s="818"/>
      <c r="V8" s="818"/>
      <c r="W8" s="818"/>
      <c r="X8" s="818"/>
      <c r="Y8" s="818"/>
      <c r="Z8" s="818"/>
    </row>
    <row r="9" spans="1:26" ht="18.75" hidden="1">
      <c r="A9" s="819"/>
      <c r="B9" s="820"/>
      <c r="C9" s="820"/>
      <c r="D9" s="820"/>
      <c r="E9" s="821" t="s">
        <v>18</v>
      </c>
      <c r="F9" s="820"/>
      <c r="G9" s="822"/>
      <c r="H9" s="28" t="s">
        <v>12</v>
      </c>
      <c r="I9" s="823"/>
      <c r="J9" s="823"/>
      <c r="K9" s="824"/>
      <c r="L9" s="824">
        <f t="shared" ref="L9:N10" si="3">L12+L15</f>
        <v>0</v>
      </c>
      <c r="M9" s="824">
        <f t="shared" si="3"/>
        <v>0</v>
      </c>
      <c r="N9" s="824">
        <f t="shared" si="3"/>
        <v>0</v>
      </c>
      <c r="O9" s="824">
        <f t="shared" si="1"/>
        <v>0</v>
      </c>
      <c r="P9" s="824">
        <f t="shared" si="2"/>
        <v>0</v>
      </c>
      <c r="Q9" s="825"/>
      <c r="R9" s="825"/>
      <c r="S9" s="825"/>
      <c r="T9" s="825"/>
      <c r="U9" s="825"/>
      <c r="V9" s="825"/>
      <c r="W9" s="825"/>
      <c r="X9" s="825"/>
      <c r="Y9" s="825"/>
      <c r="Z9" s="825"/>
    </row>
    <row r="10" spans="1:26" ht="18.75" hidden="1">
      <c r="A10" s="819"/>
      <c r="B10" s="820"/>
      <c r="C10" s="820"/>
      <c r="D10" s="820"/>
      <c r="E10" s="821" t="s">
        <v>19</v>
      </c>
      <c r="F10" s="820"/>
      <c r="G10" s="822"/>
      <c r="H10" s="28" t="s">
        <v>12</v>
      </c>
      <c r="I10" s="823"/>
      <c r="J10" s="823"/>
      <c r="K10" s="824"/>
      <c r="L10" s="824">
        <f t="shared" ca="1" si="3"/>
        <v>7425653</v>
      </c>
      <c r="M10" s="824">
        <f t="shared" ca="1" si="3"/>
        <v>3788894</v>
      </c>
      <c r="N10" s="824">
        <f t="shared" ca="1" si="3"/>
        <v>3092812.5199999996</v>
      </c>
      <c r="O10" s="824">
        <f t="shared" ca="1" si="1"/>
        <v>41.650377683955867</v>
      </c>
      <c r="P10" s="824">
        <f t="shared" ca="1" si="2"/>
        <v>81.628372818030783</v>
      </c>
      <c r="Q10" s="825"/>
      <c r="R10" s="825"/>
      <c r="S10" s="825"/>
      <c r="T10" s="825"/>
      <c r="U10" s="825"/>
      <c r="V10" s="825"/>
      <c r="W10" s="825"/>
      <c r="X10" s="825"/>
      <c r="Y10" s="825"/>
      <c r="Z10" s="825"/>
    </row>
    <row r="11" spans="1:26" ht="18.75">
      <c r="A11" s="826"/>
      <c r="B11" s="827"/>
      <c r="C11" s="827"/>
      <c r="D11" s="828" t="s">
        <v>20</v>
      </c>
      <c r="E11" s="827"/>
      <c r="F11" s="827"/>
      <c r="G11" s="829"/>
      <c r="H11" s="590" t="s">
        <v>12</v>
      </c>
      <c r="I11" s="830"/>
      <c r="J11" s="830"/>
      <c r="K11" s="831"/>
      <c r="L11" s="831">
        <f t="shared" ref="L11:N11" ca="1" si="4">L12+L13</f>
        <v>6921353</v>
      </c>
      <c r="M11" s="831">
        <f t="shared" ca="1" si="4"/>
        <v>3284594</v>
      </c>
      <c r="N11" s="831">
        <f t="shared" ca="1" si="4"/>
        <v>2588512.5199999996</v>
      </c>
      <c r="O11" s="831">
        <f t="shared" ca="1" si="1"/>
        <v>37.398938040004595</v>
      </c>
      <c r="P11" s="831">
        <f t="shared" ca="1" si="2"/>
        <v>78.807685820530622</v>
      </c>
      <c r="Q11" s="818"/>
      <c r="R11" s="818"/>
      <c r="S11" s="818"/>
      <c r="T11" s="818"/>
      <c r="U11" s="818"/>
      <c r="V11" s="818"/>
      <c r="W11" s="818"/>
      <c r="X11" s="818"/>
      <c r="Y11" s="818"/>
      <c r="Z11" s="818"/>
    </row>
    <row r="12" spans="1:26" ht="18.75" hidden="1">
      <c r="A12" s="832"/>
      <c r="B12" s="833"/>
      <c r="C12" s="833"/>
      <c r="D12" s="833"/>
      <c r="E12" s="834" t="s">
        <v>18</v>
      </c>
      <c r="F12" s="833"/>
      <c r="G12" s="835"/>
      <c r="H12" s="43" t="s">
        <v>12</v>
      </c>
      <c r="I12" s="836"/>
      <c r="J12" s="836"/>
      <c r="K12" s="837"/>
      <c r="L12" s="837">
        <f t="shared" ref="L12:N13" si="5">L22+L32</f>
        <v>0</v>
      </c>
      <c r="M12" s="837">
        <f t="shared" si="5"/>
        <v>0</v>
      </c>
      <c r="N12" s="837">
        <f t="shared" si="5"/>
        <v>0</v>
      </c>
      <c r="O12" s="837">
        <f t="shared" si="1"/>
        <v>0</v>
      </c>
      <c r="P12" s="837">
        <f t="shared" si="2"/>
        <v>0</v>
      </c>
      <c r="Q12" s="825"/>
      <c r="R12" s="825"/>
      <c r="S12" s="825"/>
      <c r="T12" s="825"/>
      <c r="U12" s="825"/>
      <c r="V12" s="825"/>
      <c r="W12" s="825"/>
      <c r="X12" s="825"/>
      <c r="Y12" s="825"/>
      <c r="Z12" s="825"/>
    </row>
    <row r="13" spans="1:26" ht="18.75" hidden="1">
      <c r="A13" s="832"/>
      <c r="B13" s="833"/>
      <c r="C13" s="833"/>
      <c r="D13" s="833"/>
      <c r="E13" s="834" t="s">
        <v>19</v>
      </c>
      <c r="F13" s="833"/>
      <c r="G13" s="835"/>
      <c r="H13" s="43" t="s">
        <v>12</v>
      </c>
      <c r="I13" s="836"/>
      <c r="J13" s="836"/>
      <c r="K13" s="837"/>
      <c r="L13" s="837">
        <f t="shared" ca="1" si="5"/>
        <v>6921353</v>
      </c>
      <c r="M13" s="837">
        <f t="shared" ca="1" si="5"/>
        <v>3284594</v>
      </c>
      <c r="N13" s="837">
        <f t="shared" ca="1" si="5"/>
        <v>2588512.5199999996</v>
      </c>
      <c r="O13" s="837">
        <f t="shared" ca="1" si="1"/>
        <v>37.398938040004595</v>
      </c>
      <c r="P13" s="837">
        <f t="shared" ca="1" si="2"/>
        <v>78.807685820530622</v>
      </c>
      <c r="Q13" s="825"/>
      <c r="R13" s="825"/>
      <c r="S13" s="825"/>
      <c r="T13" s="825"/>
      <c r="U13" s="825"/>
      <c r="V13" s="825"/>
      <c r="W13" s="825"/>
      <c r="X13" s="825"/>
      <c r="Y13" s="825"/>
      <c r="Z13" s="825"/>
    </row>
    <row r="14" spans="1:26" ht="18.75">
      <c r="A14" s="826"/>
      <c r="B14" s="827"/>
      <c r="C14" s="827"/>
      <c r="D14" s="828" t="s">
        <v>21</v>
      </c>
      <c r="E14" s="827"/>
      <c r="F14" s="827"/>
      <c r="G14" s="829"/>
      <c r="H14" s="590" t="s">
        <v>12</v>
      </c>
      <c r="I14" s="830"/>
      <c r="J14" s="830"/>
      <c r="K14" s="831"/>
      <c r="L14" s="831">
        <f t="shared" ref="L14:N14" ca="1" si="6">L15+L16</f>
        <v>504300</v>
      </c>
      <c r="M14" s="831">
        <f t="shared" ca="1" si="6"/>
        <v>504300</v>
      </c>
      <c r="N14" s="831">
        <f t="shared" ca="1" si="6"/>
        <v>504300</v>
      </c>
      <c r="O14" s="831">
        <f t="shared" ca="1" si="1"/>
        <v>100</v>
      </c>
      <c r="P14" s="831">
        <f t="shared" ca="1" si="2"/>
        <v>100</v>
      </c>
      <c r="Q14" s="818"/>
      <c r="R14" s="818"/>
      <c r="S14" s="818"/>
      <c r="T14" s="818"/>
      <c r="U14" s="818"/>
      <c r="V14" s="818"/>
      <c r="W14" s="818"/>
      <c r="X14" s="818"/>
      <c r="Y14" s="818"/>
      <c r="Z14" s="818"/>
    </row>
    <row r="15" spans="1:26" ht="18.75" hidden="1">
      <c r="A15" s="832"/>
      <c r="B15" s="833"/>
      <c r="C15" s="833"/>
      <c r="D15" s="833"/>
      <c r="E15" s="834" t="s">
        <v>18</v>
      </c>
      <c r="F15" s="833"/>
      <c r="G15" s="835"/>
      <c r="H15" s="43" t="s">
        <v>12</v>
      </c>
      <c r="I15" s="836"/>
      <c r="J15" s="836"/>
      <c r="K15" s="837"/>
      <c r="L15" s="837">
        <f t="shared" ref="L15:N16" si="7">L25+L35</f>
        <v>0</v>
      </c>
      <c r="M15" s="837">
        <f t="shared" si="7"/>
        <v>0</v>
      </c>
      <c r="N15" s="837">
        <f t="shared" si="7"/>
        <v>0</v>
      </c>
      <c r="O15" s="837">
        <f t="shared" si="1"/>
        <v>0</v>
      </c>
      <c r="P15" s="837">
        <f t="shared" si="2"/>
        <v>0</v>
      </c>
      <c r="Q15" s="825"/>
      <c r="R15" s="825"/>
      <c r="S15" s="825"/>
      <c r="T15" s="825"/>
      <c r="U15" s="825"/>
      <c r="V15" s="825"/>
      <c r="W15" s="825"/>
      <c r="X15" s="825"/>
      <c r="Y15" s="825"/>
      <c r="Z15" s="825"/>
    </row>
    <row r="16" spans="1:26" ht="18.75" hidden="1">
      <c r="A16" s="838"/>
      <c r="B16" s="839"/>
      <c r="C16" s="839"/>
      <c r="D16" s="839"/>
      <c r="E16" s="840" t="s">
        <v>19</v>
      </c>
      <c r="F16" s="839"/>
      <c r="G16" s="841"/>
      <c r="H16" s="50" t="s">
        <v>12</v>
      </c>
      <c r="I16" s="842"/>
      <c r="J16" s="842"/>
      <c r="K16" s="843"/>
      <c r="L16" s="843">
        <f t="shared" ca="1" si="7"/>
        <v>504300</v>
      </c>
      <c r="M16" s="843">
        <f t="shared" ca="1" si="7"/>
        <v>504300</v>
      </c>
      <c r="N16" s="843">
        <f t="shared" ca="1" si="7"/>
        <v>504300</v>
      </c>
      <c r="O16" s="843">
        <f t="shared" ca="1" si="1"/>
        <v>100</v>
      </c>
      <c r="P16" s="843">
        <f t="shared" ca="1" si="2"/>
        <v>100</v>
      </c>
      <c r="Q16" s="825"/>
      <c r="R16" s="825"/>
      <c r="S16" s="825"/>
      <c r="T16" s="825"/>
      <c r="U16" s="825"/>
      <c r="V16" s="825"/>
      <c r="W16" s="825"/>
      <c r="X16" s="825"/>
      <c r="Y16" s="825"/>
      <c r="Z16" s="825"/>
    </row>
    <row r="17" spans="1:26" ht="19.5">
      <c r="A17" s="1512" t="s">
        <v>22</v>
      </c>
      <c r="B17" s="1494"/>
      <c r="C17" s="1494"/>
      <c r="D17" s="1494"/>
      <c r="E17" s="1494"/>
      <c r="F17" s="1494"/>
      <c r="G17" s="1495"/>
      <c r="H17" s="807"/>
      <c r="I17" s="808"/>
      <c r="J17" s="808"/>
      <c r="K17" s="809"/>
      <c r="L17" s="809"/>
      <c r="M17" s="809"/>
      <c r="N17" s="809"/>
      <c r="O17" s="809"/>
      <c r="P17" s="809"/>
    </row>
    <row r="18" spans="1:26" ht="19.5">
      <c r="A18" s="810"/>
      <c r="B18" s="811"/>
      <c r="C18" s="812" t="s">
        <v>16</v>
      </c>
      <c r="D18" s="813" t="s">
        <v>17</v>
      </c>
      <c r="E18" s="811"/>
      <c r="F18" s="811"/>
      <c r="G18" s="814"/>
      <c r="H18" s="19" t="s">
        <v>12</v>
      </c>
      <c r="I18" s="815"/>
      <c r="J18" s="815"/>
      <c r="K18" s="816"/>
      <c r="L18" s="817">
        <f t="shared" ref="L18:N18" ca="1" si="8">L19+L20</f>
        <v>4499887</v>
      </c>
      <c r="M18" s="817">
        <f t="shared" ca="1" si="8"/>
        <v>3788894</v>
      </c>
      <c r="N18" s="817">
        <f t="shared" ca="1" si="8"/>
        <v>2394164.8199999998</v>
      </c>
      <c r="O18" s="817">
        <f t="shared" ref="O18:O26" ca="1" si="9">IF(L18&gt;0,N18*100/L18,0)</f>
        <v>53.204998703300767</v>
      </c>
      <c r="P18" s="817">
        <f t="shared" ref="P18:P26" ca="1" si="10">IF(M18&gt;0,N18*100/M18,0)</f>
        <v>63.189015580800088</v>
      </c>
      <c r="Q18" s="818"/>
      <c r="R18" s="818"/>
      <c r="S18" s="818"/>
      <c r="T18" s="818"/>
      <c r="U18" s="818"/>
      <c r="V18" s="818"/>
      <c r="W18" s="818"/>
      <c r="X18" s="818"/>
      <c r="Y18" s="818"/>
      <c r="Z18" s="818"/>
    </row>
    <row r="19" spans="1:26" ht="18.75" hidden="1">
      <c r="A19" s="819"/>
      <c r="B19" s="820"/>
      <c r="C19" s="820"/>
      <c r="D19" s="820"/>
      <c r="E19" s="821" t="s">
        <v>18</v>
      </c>
      <c r="F19" s="820"/>
      <c r="G19" s="822"/>
      <c r="H19" s="28" t="s">
        <v>12</v>
      </c>
      <c r="I19" s="823"/>
      <c r="J19" s="823"/>
      <c r="K19" s="824"/>
      <c r="L19" s="824">
        <f t="shared" ref="L19:N20" si="11">L22+L25</f>
        <v>0</v>
      </c>
      <c r="M19" s="824">
        <f t="shared" si="11"/>
        <v>0</v>
      </c>
      <c r="N19" s="824">
        <f t="shared" si="11"/>
        <v>0</v>
      </c>
      <c r="O19" s="824">
        <f t="shared" si="9"/>
        <v>0</v>
      </c>
      <c r="P19" s="824">
        <f t="shared" si="10"/>
        <v>0</v>
      </c>
      <c r="Q19" s="825"/>
      <c r="R19" s="825"/>
      <c r="S19" s="825"/>
      <c r="T19" s="825"/>
      <c r="U19" s="825"/>
      <c r="V19" s="825"/>
      <c r="W19" s="825"/>
      <c r="X19" s="825"/>
      <c r="Y19" s="825"/>
      <c r="Z19" s="825"/>
    </row>
    <row r="20" spans="1:26" ht="18.75" hidden="1">
      <c r="A20" s="819"/>
      <c r="B20" s="820"/>
      <c r="C20" s="820"/>
      <c r="D20" s="820"/>
      <c r="E20" s="821" t="s">
        <v>19</v>
      </c>
      <c r="F20" s="820"/>
      <c r="G20" s="822"/>
      <c r="H20" s="28" t="s">
        <v>12</v>
      </c>
      <c r="I20" s="823"/>
      <c r="J20" s="823"/>
      <c r="K20" s="824"/>
      <c r="L20" s="824">
        <f t="shared" ca="1" si="11"/>
        <v>4499887</v>
      </c>
      <c r="M20" s="824">
        <f t="shared" ca="1" si="11"/>
        <v>3788894</v>
      </c>
      <c r="N20" s="824">
        <f t="shared" ca="1" si="11"/>
        <v>2394164.8199999998</v>
      </c>
      <c r="O20" s="824">
        <f t="shared" ca="1" si="9"/>
        <v>53.204998703300767</v>
      </c>
      <c r="P20" s="824">
        <f t="shared" ca="1" si="10"/>
        <v>63.189015580800088</v>
      </c>
      <c r="Q20" s="825"/>
      <c r="R20" s="825"/>
      <c r="S20" s="825"/>
      <c r="T20" s="825"/>
      <c r="U20" s="825"/>
      <c r="V20" s="825"/>
      <c r="W20" s="825"/>
      <c r="X20" s="825"/>
      <c r="Y20" s="825"/>
      <c r="Z20" s="825"/>
    </row>
    <row r="21" spans="1:26" ht="18.75">
      <c r="A21" s="826"/>
      <c r="B21" s="827"/>
      <c r="C21" s="827"/>
      <c r="D21" s="828" t="s">
        <v>20</v>
      </c>
      <c r="E21" s="827"/>
      <c r="F21" s="827"/>
      <c r="G21" s="829"/>
      <c r="H21" s="590" t="s">
        <v>12</v>
      </c>
      <c r="I21" s="830"/>
      <c r="J21" s="830"/>
      <c r="K21" s="831"/>
      <c r="L21" s="831">
        <f t="shared" ref="L21:N21" ca="1" si="12">L22+L23</f>
        <v>3995587</v>
      </c>
      <c r="M21" s="831">
        <f t="shared" ca="1" si="12"/>
        <v>3284594</v>
      </c>
      <c r="N21" s="831">
        <f t="shared" ca="1" si="12"/>
        <v>1889864.8199999998</v>
      </c>
      <c r="O21" s="831">
        <f t="shared" ca="1" si="9"/>
        <v>47.298802904304168</v>
      </c>
      <c r="P21" s="831">
        <f t="shared" ca="1" si="10"/>
        <v>57.53724265464772</v>
      </c>
      <c r="Q21" s="818"/>
      <c r="R21" s="818"/>
      <c r="S21" s="818"/>
      <c r="T21" s="818"/>
      <c r="U21" s="818"/>
      <c r="V21" s="818"/>
      <c r="W21" s="818"/>
      <c r="X21" s="818"/>
      <c r="Y21" s="818"/>
      <c r="Z21" s="818"/>
    </row>
    <row r="22" spans="1:26" ht="18.75" hidden="1">
      <c r="A22" s="832"/>
      <c r="B22" s="833"/>
      <c r="C22" s="833"/>
      <c r="D22" s="833"/>
      <c r="E22" s="834" t="s">
        <v>18</v>
      </c>
      <c r="F22" s="833"/>
      <c r="G22" s="835"/>
      <c r="H22" s="43" t="s">
        <v>12</v>
      </c>
      <c r="I22" s="836"/>
      <c r="J22" s="836"/>
      <c r="K22" s="837"/>
      <c r="L22" s="837">
        <f t="shared" ref="L22:N23" si="13">L45+L57+L70+L92+L123+L136+L153+L185+L169+L265+L281+L302+L319+L332+L349+L393+L406</f>
        <v>0</v>
      </c>
      <c r="M22" s="837">
        <f t="shared" si="13"/>
        <v>0</v>
      </c>
      <c r="N22" s="837">
        <f t="shared" si="13"/>
        <v>0</v>
      </c>
      <c r="O22" s="837">
        <f t="shared" si="9"/>
        <v>0</v>
      </c>
      <c r="P22" s="837">
        <f t="shared" si="10"/>
        <v>0</v>
      </c>
      <c r="Q22" s="825"/>
      <c r="R22" s="825"/>
      <c r="S22" s="825"/>
      <c r="T22" s="825"/>
      <c r="U22" s="825"/>
      <c r="V22" s="825"/>
      <c r="W22" s="825"/>
      <c r="X22" s="825"/>
      <c r="Y22" s="825"/>
      <c r="Z22" s="825"/>
    </row>
    <row r="23" spans="1:26" ht="18.75" hidden="1">
      <c r="A23" s="832"/>
      <c r="B23" s="833"/>
      <c r="C23" s="833"/>
      <c r="D23" s="833"/>
      <c r="E23" s="834" t="s">
        <v>19</v>
      </c>
      <c r="F23" s="833"/>
      <c r="G23" s="835"/>
      <c r="H23" s="43" t="s">
        <v>12</v>
      </c>
      <c r="I23" s="836"/>
      <c r="J23" s="836"/>
      <c r="K23" s="837"/>
      <c r="L23" s="837">
        <f t="shared" ca="1" si="13"/>
        <v>3995587</v>
      </c>
      <c r="M23" s="837">
        <f t="shared" ca="1" si="13"/>
        <v>3284594</v>
      </c>
      <c r="N23" s="837">
        <f t="shared" ca="1" si="13"/>
        <v>1889864.8199999998</v>
      </c>
      <c r="O23" s="837">
        <f t="shared" ca="1" si="9"/>
        <v>47.298802904304168</v>
      </c>
      <c r="P23" s="837">
        <f t="shared" ca="1" si="10"/>
        <v>57.53724265464772</v>
      </c>
      <c r="Q23" s="825"/>
      <c r="R23" s="825"/>
      <c r="S23" s="825"/>
      <c r="T23" s="825"/>
      <c r="U23" s="825"/>
      <c r="V23" s="825"/>
      <c r="W23" s="825"/>
      <c r="X23" s="825"/>
      <c r="Y23" s="825"/>
      <c r="Z23" s="825"/>
    </row>
    <row r="24" spans="1:26" ht="18.75">
      <c r="A24" s="826"/>
      <c r="B24" s="827"/>
      <c r="C24" s="827"/>
      <c r="D24" s="828" t="s">
        <v>21</v>
      </c>
      <c r="E24" s="827"/>
      <c r="F24" s="827"/>
      <c r="G24" s="829"/>
      <c r="H24" s="590" t="s">
        <v>12</v>
      </c>
      <c r="I24" s="830"/>
      <c r="J24" s="830"/>
      <c r="K24" s="831"/>
      <c r="L24" s="831">
        <f t="shared" ref="L24:N24" ca="1" si="14">L25+L26</f>
        <v>504300</v>
      </c>
      <c r="M24" s="831">
        <f t="shared" ca="1" si="14"/>
        <v>504300</v>
      </c>
      <c r="N24" s="831">
        <f t="shared" ca="1" si="14"/>
        <v>504300</v>
      </c>
      <c r="O24" s="831">
        <f t="shared" ca="1" si="9"/>
        <v>100</v>
      </c>
      <c r="P24" s="831">
        <f t="shared" ca="1" si="10"/>
        <v>100</v>
      </c>
      <c r="Q24" s="818"/>
      <c r="R24" s="818"/>
      <c r="S24" s="818"/>
      <c r="T24" s="818"/>
      <c r="U24" s="818"/>
      <c r="V24" s="818"/>
      <c r="W24" s="818"/>
      <c r="X24" s="818"/>
      <c r="Y24" s="818"/>
      <c r="Z24" s="818"/>
    </row>
    <row r="25" spans="1:26" ht="18.75" hidden="1">
      <c r="A25" s="832"/>
      <c r="B25" s="833"/>
      <c r="C25" s="833"/>
      <c r="D25" s="833"/>
      <c r="E25" s="834" t="s">
        <v>18</v>
      </c>
      <c r="F25" s="833"/>
      <c r="G25" s="835"/>
      <c r="H25" s="43" t="s">
        <v>12</v>
      </c>
      <c r="I25" s="836"/>
      <c r="J25" s="836"/>
      <c r="K25" s="837"/>
      <c r="L25" s="837">
        <f t="shared" ref="L25:N26" si="15">L48+L60+L73+L95+L126+L139+L156+L188+L172+L268+L284+L305+L322+L335+L352+L396+L409</f>
        <v>0</v>
      </c>
      <c r="M25" s="837">
        <f t="shared" si="15"/>
        <v>0</v>
      </c>
      <c r="N25" s="837">
        <f t="shared" si="15"/>
        <v>0</v>
      </c>
      <c r="O25" s="837">
        <f t="shared" si="9"/>
        <v>0</v>
      </c>
      <c r="P25" s="837">
        <f t="shared" si="10"/>
        <v>0</v>
      </c>
      <c r="Q25" s="825"/>
      <c r="R25" s="825"/>
      <c r="S25" s="825"/>
      <c r="T25" s="825"/>
      <c r="U25" s="825"/>
      <c r="V25" s="825"/>
      <c r="W25" s="825"/>
      <c r="X25" s="825"/>
      <c r="Y25" s="825"/>
      <c r="Z25" s="825"/>
    </row>
    <row r="26" spans="1:26" ht="18.75" hidden="1">
      <c r="A26" s="838"/>
      <c r="B26" s="839"/>
      <c r="C26" s="839"/>
      <c r="D26" s="839"/>
      <c r="E26" s="840" t="s">
        <v>19</v>
      </c>
      <c r="F26" s="839"/>
      <c r="G26" s="841"/>
      <c r="H26" s="50" t="s">
        <v>12</v>
      </c>
      <c r="I26" s="842"/>
      <c r="J26" s="842"/>
      <c r="K26" s="843"/>
      <c r="L26" s="843">
        <f t="shared" ca="1" si="15"/>
        <v>504300</v>
      </c>
      <c r="M26" s="843">
        <f t="shared" ca="1" si="15"/>
        <v>504300</v>
      </c>
      <c r="N26" s="843">
        <f t="shared" ca="1" si="15"/>
        <v>504300</v>
      </c>
      <c r="O26" s="843">
        <f t="shared" ca="1" si="9"/>
        <v>100</v>
      </c>
      <c r="P26" s="843">
        <f t="shared" ca="1" si="10"/>
        <v>100</v>
      </c>
      <c r="Q26" s="825"/>
      <c r="R26" s="825"/>
      <c r="S26" s="825"/>
      <c r="T26" s="825"/>
      <c r="U26" s="825"/>
      <c r="V26" s="825"/>
      <c r="W26" s="825"/>
      <c r="X26" s="825"/>
      <c r="Y26" s="825"/>
      <c r="Z26" s="825"/>
    </row>
    <row r="27" spans="1:26" ht="19.5">
      <c r="A27" s="1512" t="s">
        <v>23</v>
      </c>
      <c r="B27" s="1494"/>
      <c r="C27" s="1494"/>
      <c r="D27" s="1494"/>
      <c r="E27" s="1494"/>
      <c r="F27" s="1494"/>
      <c r="G27" s="1495"/>
      <c r="H27" s="807"/>
      <c r="I27" s="808"/>
      <c r="J27" s="808"/>
      <c r="K27" s="809"/>
      <c r="L27" s="809"/>
      <c r="M27" s="809"/>
      <c r="N27" s="809"/>
      <c r="O27" s="809"/>
      <c r="P27" s="809"/>
    </row>
    <row r="28" spans="1:26" ht="19.5">
      <c r="A28" s="810"/>
      <c r="B28" s="811"/>
      <c r="C28" s="812" t="s">
        <v>16</v>
      </c>
      <c r="D28" s="813" t="s">
        <v>17</v>
      </c>
      <c r="E28" s="811"/>
      <c r="F28" s="811"/>
      <c r="G28" s="814"/>
      <c r="H28" s="19" t="s">
        <v>12</v>
      </c>
      <c r="I28" s="815"/>
      <c r="J28" s="815"/>
      <c r="K28" s="816"/>
      <c r="L28" s="817">
        <f t="shared" ref="L28:N28" ca="1" si="16">L29+L30</f>
        <v>2925766</v>
      </c>
      <c r="M28" s="817">
        <f t="shared" si="16"/>
        <v>0</v>
      </c>
      <c r="N28" s="817">
        <f t="shared" si="16"/>
        <v>698647.7</v>
      </c>
      <c r="O28" s="817">
        <f t="shared" ref="O28:O37" ca="1" si="17">IF(L28&gt;0,N28*100/L28,0)</f>
        <v>23.879137976174444</v>
      </c>
      <c r="P28" s="817">
        <f t="shared" ref="P28:P37" si="18">IF(M28&gt;0,N28*100/M28,0)</f>
        <v>0</v>
      </c>
      <c r="Q28" s="818"/>
      <c r="R28" s="818"/>
      <c r="S28" s="818"/>
      <c r="T28" s="818"/>
      <c r="U28" s="818"/>
      <c r="V28" s="818"/>
      <c r="W28" s="818"/>
      <c r="X28" s="818"/>
      <c r="Y28" s="818"/>
      <c r="Z28" s="818"/>
    </row>
    <row r="29" spans="1:26" ht="18.75" hidden="1">
      <c r="A29" s="819"/>
      <c r="B29" s="820"/>
      <c r="C29" s="820"/>
      <c r="D29" s="820"/>
      <c r="E29" s="821" t="s">
        <v>18</v>
      </c>
      <c r="F29" s="820"/>
      <c r="G29" s="822"/>
      <c r="H29" s="28" t="s">
        <v>12</v>
      </c>
      <c r="I29" s="823"/>
      <c r="J29" s="823"/>
      <c r="K29" s="824"/>
      <c r="L29" s="824">
        <f t="shared" ref="L29:N30" si="19">L32+L35</f>
        <v>0</v>
      </c>
      <c r="M29" s="824">
        <f t="shared" si="19"/>
        <v>0</v>
      </c>
      <c r="N29" s="824">
        <f t="shared" si="19"/>
        <v>0</v>
      </c>
      <c r="O29" s="824">
        <f t="shared" si="17"/>
        <v>0</v>
      </c>
      <c r="P29" s="824">
        <f t="shared" si="18"/>
        <v>0</v>
      </c>
      <c r="Q29" s="825"/>
      <c r="R29" s="825"/>
      <c r="S29" s="825"/>
      <c r="T29" s="825"/>
      <c r="U29" s="825"/>
      <c r="V29" s="825"/>
      <c r="W29" s="825"/>
      <c r="X29" s="825"/>
      <c r="Y29" s="825"/>
      <c r="Z29" s="825"/>
    </row>
    <row r="30" spans="1:26" ht="18.75" hidden="1">
      <c r="A30" s="819"/>
      <c r="B30" s="820"/>
      <c r="C30" s="820"/>
      <c r="D30" s="820"/>
      <c r="E30" s="821" t="s">
        <v>19</v>
      </c>
      <c r="F30" s="820"/>
      <c r="G30" s="822"/>
      <c r="H30" s="28" t="s">
        <v>12</v>
      </c>
      <c r="I30" s="823"/>
      <c r="J30" s="823"/>
      <c r="K30" s="824"/>
      <c r="L30" s="824">
        <f t="shared" ca="1" si="19"/>
        <v>2925766</v>
      </c>
      <c r="M30" s="824">
        <f t="shared" si="19"/>
        <v>0</v>
      </c>
      <c r="N30" s="824">
        <f t="shared" si="19"/>
        <v>698647.7</v>
      </c>
      <c r="O30" s="824">
        <f t="shared" ca="1" si="17"/>
        <v>23.879137976174444</v>
      </c>
      <c r="P30" s="824">
        <f t="shared" si="18"/>
        <v>0</v>
      </c>
      <c r="Q30" s="825"/>
      <c r="R30" s="825"/>
      <c r="S30" s="825"/>
      <c r="T30" s="825"/>
      <c r="U30" s="825"/>
      <c r="V30" s="825"/>
      <c r="W30" s="825"/>
      <c r="X30" s="825"/>
      <c r="Y30" s="825"/>
      <c r="Z30" s="825"/>
    </row>
    <row r="31" spans="1:26" ht="18.75">
      <c r="A31" s="826"/>
      <c r="B31" s="827"/>
      <c r="C31" s="827"/>
      <c r="D31" s="828" t="s">
        <v>20</v>
      </c>
      <c r="E31" s="827"/>
      <c r="F31" s="827"/>
      <c r="G31" s="829"/>
      <c r="H31" s="590" t="s">
        <v>12</v>
      </c>
      <c r="I31" s="830"/>
      <c r="J31" s="830"/>
      <c r="K31" s="831"/>
      <c r="L31" s="831">
        <f t="shared" ref="L31:N31" ca="1" si="20">L32+L33</f>
        <v>2925766</v>
      </c>
      <c r="M31" s="831">
        <f t="shared" si="20"/>
        <v>0</v>
      </c>
      <c r="N31" s="831">
        <f t="shared" si="20"/>
        <v>698647.7</v>
      </c>
      <c r="O31" s="831">
        <f t="shared" ca="1" si="17"/>
        <v>23.879137976174444</v>
      </c>
      <c r="P31" s="831">
        <f t="shared" si="18"/>
        <v>0</v>
      </c>
      <c r="Q31" s="818"/>
      <c r="R31" s="818"/>
      <c r="S31" s="818"/>
      <c r="T31" s="818"/>
      <c r="U31" s="818"/>
      <c r="V31" s="818"/>
      <c r="W31" s="818"/>
      <c r="X31" s="818"/>
      <c r="Y31" s="818"/>
      <c r="Z31" s="818"/>
    </row>
    <row r="32" spans="1:26" ht="18.75" hidden="1">
      <c r="A32" s="832"/>
      <c r="B32" s="833"/>
      <c r="C32" s="833"/>
      <c r="D32" s="833"/>
      <c r="E32" s="834" t="s">
        <v>18</v>
      </c>
      <c r="F32" s="833"/>
      <c r="G32" s="835"/>
      <c r="H32" s="43" t="s">
        <v>12</v>
      </c>
      <c r="I32" s="836"/>
      <c r="J32" s="836"/>
      <c r="K32" s="837"/>
      <c r="L32" s="837">
        <f t="shared" ref="L32:N33" si="21">L423+L448+L471+L506+L527+L548+L633+L659+L689+L741+L758+L774+L790+L809</f>
        <v>0</v>
      </c>
      <c r="M32" s="837">
        <f t="shared" si="21"/>
        <v>0</v>
      </c>
      <c r="N32" s="837">
        <f t="shared" si="21"/>
        <v>0</v>
      </c>
      <c r="O32" s="837">
        <f t="shared" si="17"/>
        <v>0</v>
      </c>
      <c r="P32" s="837">
        <f t="shared" si="18"/>
        <v>0</v>
      </c>
      <c r="Q32" s="825"/>
      <c r="R32" s="825"/>
      <c r="S32" s="825"/>
      <c r="T32" s="825"/>
      <c r="U32" s="825"/>
      <c r="V32" s="825"/>
      <c r="W32" s="825"/>
      <c r="X32" s="825"/>
      <c r="Y32" s="825"/>
      <c r="Z32" s="825"/>
    </row>
    <row r="33" spans="1:26" ht="18.75" hidden="1">
      <c r="A33" s="832"/>
      <c r="B33" s="833"/>
      <c r="C33" s="833"/>
      <c r="D33" s="833"/>
      <c r="E33" s="834" t="s">
        <v>19</v>
      </c>
      <c r="F33" s="833"/>
      <c r="G33" s="835"/>
      <c r="H33" s="43" t="s">
        <v>12</v>
      </c>
      <c r="I33" s="836"/>
      <c r="J33" s="836"/>
      <c r="K33" s="837"/>
      <c r="L33" s="837">
        <f t="shared" ca="1" si="21"/>
        <v>2925766</v>
      </c>
      <c r="M33" s="837">
        <f t="shared" si="21"/>
        <v>0</v>
      </c>
      <c r="N33" s="837">
        <f t="shared" si="21"/>
        <v>698647.7</v>
      </c>
      <c r="O33" s="837">
        <f t="shared" ca="1" si="17"/>
        <v>23.879137976174444</v>
      </c>
      <c r="P33" s="837">
        <f t="shared" si="18"/>
        <v>0</v>
      </c>
      <c r="Q33" s="825"/>
      <c r="R33" s="825"/>
      <c r="S33" s="825"/>
      <c r="T33" s="825"/>
      <c r="U33" s="825"/>
      <c r="V33" s="825"/>
      <c r="W33" s="825"/>
      <c r="X33" s="825"/>
      <c r="Y33" s="825"/>
      <c r="Z33" s="825"/>
    </row>
    <row r="34" spans="1:26" ht="18.75">
      <c r="A34" s="826"/>
      <c r="B34" s="827"/>
      <c r="C34" s="827"/>
      <c r="D34" s="828" t="s">
        <v>21</v>
      </c>
      <c r="E34" s="827"/>
      <c r="F34" s="827"/>
      <c r="G34" s="829"/>
      <c r="H34" s="590" t="s">
        <v>12</v>
      </c>
      <c r="I34" s="830"/>
      <c r="J34" s="830"/>
      <c r="K34" s="831"/>
      <c r="L34" s="831">
        <f t="shared" ref="L34:N34" ca="1" si="22">L35+L36</f>
        <v>0</v>
      </c>
      <c r="M34" s="831">
        <f t="shared" si="22"/>
        <v>0</v>
      </c>
      <c r="N34" s="831">
        <f t="shared" si="22"/>
        <v>0</v>
      </c>
      <c r="O34" s="831">
        <f t="shared" ca="1" si="17"/>
        <v>0</v>
      </c>
      <c r="P34" s="831">
        <f t="shared" si="18"/>
        <v>0</v>
      </c>
      <c r="Q34" s="818"/>
      <c r="R34" s="818"/>
      <c r="S34" s="818"/>
      <c r="T34" s="818"/>
      <c r="U34" s="818"/>
      <c r="V34" s="818"/>
      <c r="W34" s="818"/>
      <c r="X34" s="818"/>
      <c r="Y34" s="818"/>
      <c r="Z34" s="818"/>
    </row>
    <row r="35" spans="1:26" ht="18.75" hidden="1">
      <c r="A35" s="832"/>
      <c r="B35" s="833"/>
      <c r="C35" s="833"/>
      <c r="D35" s="833"/>
      <c r="E35" s="834" t="s">
        <v>18</v>
      </c>
      <c r="F35" s="833"/>
      <c r="G35" s="835"/>
      <c r="H35" s="43" t="s">
        <v>12</v>
      </c>
      <c r="I35" s="836"/>
      <c r="J35" s="836"/>
      <c r="K35" s="837"/>
      <c r="L35" s="837">
        <f t="shared" ref="L35:N36" si="23">L430+L455+L478+L513+L534+L556+L640+L666+L696+L748+L765+L781+L797+L816</f>
        <v>0</v>
      </c>
      <c r="M35" s="837">
        <f t="shared" si="23"/>
        <v>0</v>
      </c>
      <c r="N35" s="837">
        <f t="shared" si="23"/>
        <v>0</v>
      </c>
      <c r="O35" s="837">
        <f t="shared" si="17"/>
        <v>0</v>
      </c>
      <c r="P35" s="837">
        <f t="shared" si="18"/>
        <v>0</v>
      </c>
      <c r="Q35" s="825"/>
      <c r="R35" s="825"/>
      <c r="S35" s="825"/>
      <c r="T35" s="825"/>
      <c r="U35" s="825"/>
      <c r="V35" s="825"/>
      <c r="W35" s="825"/>
      <c r="X35" s="825"/>
      <c r="Y35" s="825"/>
      <c r="Z35" s="825"/>
    </row>
    <row r="36" spans="1:26" ht="18.75" hidden="1">
      <c r="A36" s="838"/>
      <c r="B36" s="839"/>
      <c r="C36" s="839"/>
      <c r="D36" s="839"/>
      <c r="E36" s="840" t="s">
        <v>19</v>
      </c>
      <c r="F36" s="839"/>
      <c r="G36" s="841"/>
      <c r="H36" s="50" t="s">
        <v>12</v>
      </c>
      <c r="I36" s="842"/>
      <c r="J36" s="842"/>
      <c r="K36" s="843"/>
      <c r="L36" s="843">
        <f t="shared" ca="1" si="23"/>
        <v>0</v>
      </c>
      <c r="M36" s="843">
        <f t="shared" si="23"/>
        <v>0</v>
      </c>
      <c r="N36" s="843">
        <f t="shared" si="23"/>
        <v>0</v>
      </c>
      <c r="O36" s="843">
        <f t="shared" ca="1" si="17"/>
        <v>0</v>
      </c>
      <c r="P36" s="843">
        <f t="shared" si="18"/>
        <v>0</v>
      </c>
      <c r="Q36" s="825"/>
      <c r="R36" s="825"/>
      <c r="S36" s="825"/>
      <c r="T36" s="825"/>
      <c r="U36" s="825"/>
      <c r="V36" s="825"/>
      <c r="W36" s="825"/>
      <c r="X36" s="825"/>
      <c r="Y36" s="825"/>
      <c r="Z36" s="825"/>
    </row>
    <row r="37" spans="1:26" ht="19.5">
      <c r="A37" s="844" t="s">
        <v>24</v>
      </c>
      <c r="B37" s="845"/>
      <c r="C37" s="845"/>
      <c r="D37" s="845"/>
      <c r="E37" s="845"/>
      <c r="F37" s="845"/>
      <c r="G37" s="846"/>
      <c r="H37" s="847"/>
      <c r="I37" s="848"/>
      <c r="J37" s="848"/>
      <c r="K37" s="849"/>
      <c r="L37" s="850">
        <f t="shared" ref="L37:N37" ca="1" si="24">L41+L53+L66+L88+L119+L132+L149+L165+L181+L261+L277+L298+L315+L328+L345+L389+L402</f>
        <v>4499887</v>
      </c>
      <c r="M37" s="850">
        <f t="shared" ca="1" si="24"/>
        <v>3788894</v>
      </c>
      <c r="N37" s="850">
        <f t="shared" ca="1" si="24"/>
        <v>2394164.8199999998</v>
      </c>
      <c r="O37" s="850">
        <f t="shared" ca="1" si="17"/>
        <v>53.204998703300767</v>
      </c>
      <c r="P37" s="850">
        <f t="shared" ca="1" si="18"/>
        <v>63.189015580800088</v>
      </c>
    </row>
    <row r="38" spans="1:26" ht="19.5">
      <c r="A38" s="851" t="s">
        <v>25</v>
      </c>
      <c r="B38" s="852"/>
      <c r="C38" s="852"/>
      <c r="D38" s="852"/>
      <c r="E38" s="852"/>
      <c r="F38" s="852"/>
      <c r="G38" s="853"/>
      <c r="H38" s="854"/>
      <c r="I38" s="855"/>
      <c r="J38" s="855"/>
      <c r="K38" s="856"/>
      <c r="L38" s="856"/>
      <c r="M38" s="856"/>
      <c r="N38" s="856"/>
      <c r="O38" s="856"/>
      <c r="P38" s="856"/>
    </row>
    <row r="39" spans="1:26" ht="19.5">
      <c r="A39" s="857"/>
      <c r="B39" s="858" t="s">
        <v>26</v>
      </c>
      <c r="C39" s="859"/>
      <c r="D39" s="859"/>
      <c r="E39" s="859"/>
      <c r="F39" s="859"/>
      <c r="G39" s="860"/>
      <c r="H39" s="861"/>
      <c r="I39" s="862"/>
      <c r="J39" s="862"/>
      <c r="K39" s="863"/>
      <c r="L39" s="863"/>
      <c r="M39" s="863"/>
      <c r="N39" s="863"/>
      <c r="O39" s="863"/>
      <c r="P39" s="863"/>
    </row>
    <row r="40" spans="1:26" ht="19.5">
      <c r="A40" s="864"/>
      <c r="B40" s="1513" t="s">
        <v>27</v>
      </c>
      <c r="C40" s="1485"/>
      <c r="D40" s="1485"/>
      <c r="E40" s="1485"/>
      <c r="F40" s="1485"/>
      <c r="G40" s="1491"/>
      <c r="H40" s="865"/>
      <c r="I40" s="866"/>
      <c r="J40" s="866"/>
      <c r="K40" s="867"/>
      <c r="L40" s="867"/>
      <c r="M40" s="867"/>
      <c r="N40" s="867"/>
      <c r="O40" s="867"/>
      <c r="P40" s="867"/>
    </row>
    <row r="41" spans="1:26" ht="19.5">
      <c r="A41" s="868"/>
      <c r="B41" s="869"/>
      <c r="C41" s="870" t="s">
        <v>16</v>
      </c>
      <c r="D41" s="871" t="s">
        <v>17</v>
      </c>
      <c r="E41" s="869"/>
      <c r="F41" s="869"/>
      <c r="G41" s="872"/>
      <c r="H41" s="82" t="s">
        <v>12</v>
      </c>
      <c r="I41" s="873"/>
      <c r="J41" s="873"/>
      <c r="K41" s="874"/>
      <c r="L41" s="875">
        <f t="shared" ref="L41:N41" ca="1" si="25">L42+L43</f>
        <v>794042</v>
      </c>
      <c r="M41" s="875">
        <f t="shared" ca="1" si="25"/>
        <v>807109</v>
      </c>
      <c r="N41" s="875">
        <f t="shared" ca="1" si="25"/>
        <v>459716</v>
      </c>
      <c r="O41" s="875">
        <f t="shared" ref="O41:O49" ca="1" si="26">IF(L41&gt;0,N41*100/L41,0)</f>
        <v>57.895678062369498</v>
      </c>
      <c r="P41" s="875">
        <f t="shared" ref="P41:P49" ca="1" si="27">IF(M41&gt;0,N41*100/M41,0)</f>
        <v>56.958353828293326</v>
      </c>
      <c r="Q41" s="818"/>
      <c r="R41" s="818"/>
      <c r="S41" s="818"/>
      <c r="T41" s="818"/>
      <c r="U41" s="818"/>
      <c r="V41" s="818"/>
      <c r="W41" s="818"/>
      <c r="X41" s="818"/>
      <c r="Y41" s="818"/>
      <c r="Z41" s="818"/>
    </row>
    <row r="42" spans="1:26" ht="18.75" hidden="1">
      <c r="A42" s="876"/>
      <c r="B42" s="877"/>
      <c r="C42" s="877"/>
      <c r="D42" s="877"/>
      <c r="E42" s="878" t="s">
        <v>18</v>
      </c>
      <c r="F42" s="877"/>
      <c r="G42" s="879"/>
      <c r="H42" s="90" t="s">
        <v>12</v>
      </c>
      <c r="I42" s="880"/>
      <c r="J42" s="880"/>
      <c r="K42" s="881"/>
      <c r="L42" s="881">
        <f t="shared" ref="L42:N43" si="28">L45+L48</f>
        <v>0</v>
      </c>
      <c r="M42" s="881">
        <f t="shared" si="28"/>
        <v>0</v>
      </c>
      <c r="N42" s="881">
        <f t="shared" si="28"/>
        <v>0</v>
      </c>
      <c r="O42" s="881">
        <f t="shared" si="26"/>
        <v>0</v>
      </c>
      <c r="P42" s="881">
        <f t="shared" si="27"/>
        <v>0</v>
      </c>
      <c r="Q42" s="825"/>
      <c r="R42" s="825"/>
      <c r="S42" s="825"/>
      <c r="T42" s="825"/>
      <c r="U42" s="825"/>
      <c r="V42" s="825"/>
      <c r="W42" s="825"/>
      <c r="X42" s="825"/>
      <c r="Y42" s="825"/>
      <c r="Z42" s="825"/>
    </row>
    <row r="43" spans="1:26" ht="18.75" hidden="1">
      <c r="A43" s="876"/>
      <c r="B43" s="877"/>
      <c r="C43" s="877"/>
      <c r="D43" s="877"/>
      <c r="E43" s="878" t="s">
        <v>19</v>
      </c>
      <c r="F43" s="877"/>
      <c r="G43" s="879"/>
      <c r="H43" s="90" t="s">
        <v>12</v>
      </c>
      <c r="I43" s="880"/>
      <c r="J43" s="880"/>
      <c r="K43" s="881"/>
      <c r="L43" s="881">
        <f t="shared" ca="1" si="28"/>
        <v>794042</v>
      </c>
      <c r="M43" s="881">
        <f t="shared" ca="1" si="28"/>
        <v>807109</v>
      </c>
      <c r="N43" s="881">
        <f t="shared" ca="1" si="28"/>
        <v>459716</v>
      </c>
      <c r="O43" s="881">
        <f t="shared" ca="1" si="26"/>
        <v>57.895678062369498</v>
      </c>
      <c r="P43" s="881">
        <f t="shared" ca="1" si="27"/>
        <v>56.958353828293326</v>
      </c>
      <c r="Q43" s="825"/>
      <c r="R43" s="825"/>
      <c r="S43" s="825"/>
      <c r="T43" s="825"/>
      <c r="U43" s="825"/>
      <c r="V43" s="825"/>
      <c r="W43" s="825"/>
      <c r="X43" s="825"/>
      <c r="Y43" s="825"/>
      <c r="Z43" s="825"/>
    </row>
    <row r="44" spans="1:26" ht="18.75">
      <c r="A44" s="826"/>
      <c r="B44" s="827"/>
      <c r="C44" s="827"/>
      <c r="D44" s="828" t="s">
        <v>20</v>
      </c>
      <c r="E44" s="827"/>
      <c r="F44" s="827"/>
      <c r="G44" s="829"/>
      <c r="H44" s="590" t="s">
        <v>12</v>
      </c>
      <c r="I44" s="830"/>
      <c r="J44" s="830"/>
      <c r="K44" s="831"/>
      <c r="L44" s="831">
        <f t="shared" ref="L44:N44" ca="1" si="29">L45+L46</f>
        <v>794042</v>
      </c>
      <c r="M44" s="831">
        <f t="shared" ca="1" si="29"/>
        <v>807109</v>
      </c>
      <c r="N44" s="831">
        <f t="shared" ca="1" si="29"/>
        <v>459716</v>
      </c>
      <c r="O44" s="831">
        <f t="shared" ca="1" si="26"/>
        <v>57.895678062369498</v>
      </c>
      <c r="P44" s="831">
        <f t="shared" ca="1" si="27"/>
        <v>56.958353828293326</v>
      </c>
      <c r="Q44" s="818"/>
      <c r="R44" s="818"/>
      <c r="S44" s="818"/>
      <c r="T44" s="818"/>
      <c r="U44" s="818"/>
      <c r="V44" s="818"/>
      <c r="W44" s="818"/>
      <c r="X44" s="818"/>
      <c r="Y44" s="818"/>
      <c r="Z44" s="818"/>
    </row>
    <row r="45" spans="1:26" ht="18.75" hidden="1">
      <c r="A45" s="832"/>
      <c r="B45" s="833"/>
      <c r="C45" s="833"/>
      <c r="D45" s="833"/>
      <c r="E45" s="834" t="s">
        <v>18</v>
      </c>
      <c r="F45" s="833"/>
      <c r="G45" s="835"/>
      <c r="H45" s="43" t="s">
        <v>12</v>
      </c>
      <c r="I45" s="836"/>
      <c r="J45" s="836"/>
      <c r="K45" s="837"/>
      <c r="L45" s="837">
        <v>0</v>
      </c>
      <c r="M45" s="837">
        <v>0</v>
      </c>
      <c r="N45" s="837">
        <v>0</v>
      </c>
      <c r="O45" s="837">
        <f t="shared" si="26"/>
        <v>0</v>
      </c>
      <c r="P45" s="837">
        <f t="shared" si="27"/>
        <v>0</v>
      </c>
      <c r="Q45" s="825"/>
      <c r="R45" s="825"/>
      <c r="S45" s="825"/>
      <c r="T45" s="825"/>
      <c r="U45" s="825"/>
      <c r="V45" s="825"/>
      <c r="W45" s="825"/>
      <c r="X45" s="825"/>
      <c r="Y45" s="825"/>
      <c r="Z45" s="825"/>
    </row>
    <row r="46" spans="1:26" ht="18.75" hidden="1">
      <c r="A46" s="832"/>
      <c r="B46" s="833"/>
      <c r="C46" s="833"/>
      <c r="D46" s="833"/>
      <c r="E46" s="834" t="s">
        <v>19</v>
      </c>
      <c r="F46" s="833"/>
      <c r="G46" s="835"/>
      <c r="H46" s="43" t="s">
        <v>12</v>
      </c>
      <c r="I46" s="836"/>
      <c r="J46" s="836"/>
      <c r="K46" s="837"/>
      <c r="L46" s="837">
        <f ca="1">IFERROR(__xludf.DUMMYFUNCTION("IMPORTRANGE(""https://docs.google.com/spreadsheets/d/1MeEWN-I1oV_STSDYn1IFDPWt_1FKiwhDph83XaGc0o0/edit?usp=sharing"",""งบพรบ!M30"")"),794042)</f>
        <v>794042</v>
      </c>
      <c r="M46" s="837">
        <f ca="1">IFERROR(__xludf.DUMMYFUNCTION("IMPORTRANGE(""https://docs.google.com/spreadsheets/d/1MeEWN-I1oV_STSDYn1IFDPWt_1FKiwhDph83XaGc0o0/edit?usp=sharing"",""งบพรบ!R30"")"),807109)</f>
        <v>807109</v>
      </c>
      <c r="N46" s="837">
        <f ca="1">IFERROR(__xludf.DUMMYFUNCTION("IMPORTRANGE(""https://docs.google.com/spreadsheets/d/1MeEWN-I1oV_STSDYn1IFDPWt_1FKiwhDph83XaGc0o0/edit?usp=sharing"",""งบพรบ!T30"")"),459716)</f>
        <v>459716</v>
      </c>
      <c r="O46" s="837">
        <f t="shared" ca="1" si="26"/>
        <v>57.895678062369498</v>
      </c>
      <c r="P46" s="837">
        <f t="shared" ca="1" si="27"/>
        <v>56.958353828293326</v>
      </c>
      <c r="Q46" s="825"/>
      <c r="R46" s="825"/>
      <c r="S46" s="825"/>
      <c r="T46" s="825"/>
      <c r="U46" s="825"/>
      <c r="V46" s="825"/>
      <c r="W46" s="825"/>
      <c r="X46" s="825"/>
      <c r="Y46" s="825"/>
      <c r="Z46" s="825"/>
    </row>
    <row r="47" spans="1:26" ht="18.75">
      <c r="A47" s="826"/>
      <c r="B47" s="827"/>
      <c r="C47" s="827"/>
      <c r="D47" s="828" t="s">
        <v>21</v>
      </c>
      <c r="E47" s="827"/>
      <c r="F47" s="827"/>
      <c r="G47" s="829"/>
      <c r="H47" s="590" t="s">
        <v>12</v>
      </c>
      <c r="I47" s="830"/>
      <c r="J47" s="830"/>
      <c r="K47" s="831"/>
      <c r="L47" s="831">
        <f t="shared" ref="L47:N47" ca="1" si="30">L48+L49</f>
        <v>0</v>
      </c>
      <c r="M47" s="831">
        <f t="shared" ca="1" si="30"/>
        <v>0</v>
      </c>
      <c r="N47" s="831">
        <f t="shared" ca="1" si="30"/>
        <v>0</v>
      </c>
      <c r="O47" s="831">
        <f t="shared" ca="1" si="26"/>
        <v>0</v>
      </c>
      <c r="P47" s="831">
        <f t="shared" ca="1" si="27"/>
        <v>0</v>
      </c>
      <c r="Q47" s="818"/>
      <c r="R47" s="818"/>
      <c r="S47" s="818"/>
      <c r="T47" s="818"/>
      <c r="U47" s="818"/>
      <c r="V47" s="818"/>
      <c r="W47" s="818"/>
      <c r="X47" s="818"/>
      <c r="Y47" s="818"/>
      <c r="Z47" s="818"/>
    </row>
    <row r="48" spans="1:26" ht="18.75" hidden="1">
      <c r="A48" s="832"/>
      <c r="B48" s="833"/>
      <c r="C48" s="833"/>
      <c r="D48" s="833"/>
      <c r="E48" s="834" t="s">
        <v>18</v>
      </c>
      <c r="F48" s="833"/>
      <c r="G48" s="835"/>
      <c r="H48" s="43" t="s">
        <v>12</v>
      </c>
      <c r="I48" s="836"/>
      <c r="J48" s="836"/>
      <c r="K48" s="837"/>
      <c r="L48" s="837">
        <v>0</v>
      </c>
      <c r="M48" s="837">
        <v>0</v>
      </c>
      <c r="N48" s="837">
        <v>0</v>
      </c>
      <c r="O48" s="837">
        <f t="shared" si="26"/>
        <v>0</v>
      </c>
      <c r="P48" s="837">
        <f t="shared" si="27"/>
        <v>0</v>
      </c>
      <c r="Q48" s="825"/>
      <c r="R48" s="825"/>
      <c r="S48" s="825"/>
      <c r="T48" s="825"/>
      <c r="U48" s="825"/>
      <c r="V48" s="825"/>
      <c r="W48" s="825"/>
      <c r="X48" s="825"/>
      <c r="Y48" s="825"/>
      <c r="Z48" s="825"/>
    </row>
    <row r="49" spans="1:26" ht="18.75" hidden="1">
      <c r="A49" s="838"/>
      <c r="B49" s="839"/>
      <c r="C49" s="839"/>
      <c r="D49" s="839"/>
      <c r="E49" s="840" t="s">
        <v>19</v>
      </c>
      <c r="F49" s="839"/>
      <c r="G49" s="841"/>
      <c r="H49" s="50" t="s">
        <v>12</v>
      </c>
      <c r="I49" s="842"/>
      <c r="J49" s="842"/>
      <c r="K49" s="843"/>
      <c r="L49" s="843">
        <f ca="1">IFERROR(__xludf.DUMMYFUNCTION("IMPORTRANGE(""https://docs.google.com/spreadsheets/d/1MeEWN-I1oV_STSDYn1IFDPWt_1FKiwhDph83XaGc0o0/edit?usp=sharing"",""งบพรบ!P30"")"),0)</f>
        <v>0</v>
      </c>
      <c r="M49" s="843">
        <f ca="1">IFERROR(__xludf.DUMMYFUNCTION("IMPORTRANGE(""https://docs.google.com/spreadsheets/d/1MeEWN-I1oV_STSDYn1IFDPWt_1FKiwhDph83XaGc0o0/edit?usp=sharing"",""งบพรบ!S30"")"),0)</f>
        <v>0</v>
      </c>
      <c r="N49" s="843">
        <f ca="1">IFERROR(__xludf.DUMMYFUNCTION("IMPORTRANGE(""https://docs.google.com/spreadsheets/d/1MeEWN-I1oV_STSDYn1IFDPWt_1FKiwhDph83XaGc0o0/edit?usp=sharing"",""งบพรบ!U30"")"),0)</f>
        <v>0</v>
      </c>
      <c r="O49" s="843">
        <f t="shared" ca="1" si="26"/>
        <v>0</v>
      </c>
      <c r="P49" s="843">
        <f t="shared" ca="1" si="27"/>
        <v>0</v>
      </c>
      <c r="Q49" s="825"/>
      <c r="R49" s="825"/>
      <c r="S49" s="825"/>
      <c r="T49" s="825"/>
      <c r="U49" s="825"/>
      <c r="V49" s="825"/>
      <c r="W49" s="825"/>
      <c r="X49" s="825"/>
      <c r="Y49" s="825"/>
      <c r="Z49" s="825"/>
    </row>
    <row r="50" spans="1:26" ht="19.5">
      <c r="A50" s="1514" t="s">
        <v>28</v>
      </c>
      <c r="B50" s="1494"/>
      <c r="C50" s="1494"/>
      <c r="D50" s="1494"/>
      <c r="E50" s="1494"/>
      <c r="F50" s="1494"/>
      <c r="G50" s="1495"/>
      <c r="H50" s="882"/>
      <c r="I50" s="883"/>
      <c r="J50" s="883"/>
      <c r="K50" s="884"/>
      <c r="L50" s="884"/>
      <c r="M50" s="884"/>
      <c r="N50" s="884"/>
      <c r="O50" s="884"/>
      <c r="P50" s="884"/>
    </row>
    <row r="51" spans="1:26" ht="19.5">
      <c r="A51" s="885"/>
      <c r="B51" s="1515" t="s">
        <v>29</v>
      </c>
      <c r="C51" s="1485"/>
      <c r="D51" s="1485"/>
      <c r="E51" s="1485"/>
      <c r="F51" s="1485"/>
      <c r="G51" s="1491"/>
      <c r="H51" s="886"/>
      <c r="I51" s="887"/>
      <c r="J51" s="887"/>
      <c r="K51" s="888"/>
      <c r="L51" s="888"/>
      <c r="M51" s="888"/>
      <c r="N51" s="888"/>
      <c r="O51" s="888"/>
      <c r="P51" s="888"/>
    </row>
    <row r="52" spans="1:26" ht="19.5">
      <c r="A52" s="889"/>
      <c r="B52" s="890" t="s">
        <v>30</v>
      </c>
      <c r="C52" s="891"/>
      <c r="D52" s="891"/>
      <c r="E52" s="891"/>
      <c r="F52" s="891"/>
      <c r="G52" s="892"/>
      <c r="H52" s="893"/>
      <c r="I52" s="894"/>
      <c r="J52" s="894"/>
      <c r="K52" s="895"/>
      <c r="L52" s="895"/>
      <c r="M52" s="895"/>
      <c r="N52" s="895"/>
      <c r="O52" s="895"/>
      <c r="P52" s="895"/>
    </row>
    <row r="53" spans="1:26" ht="19.5">
      <c r="A53" s="896"/>
      <c r="B53" s="897"/>
      <c r="C53" s="898" t="s">
        <v>16</v>
      </c>
      <c r="D53" s="899" t="s">
        <v>17</v>
      </c>
      <c r="E53" s="897"/>
      <c r="F53" s="897"/>
      <c r="G53" s="900"/>
      <c r="H53" s="113" t="s">
        <v>12</v>
      </c>
      <c r="I53" s="901"/>
      <c r="J53" s="901"/>
      <c r="K53" s="902"/>
      <c r="L53" s="903">
        <f t="shared" ref="L53:N53" ca="1" si="31">L54+L55</f>
        <v>1135900</v>
      </c>
      <c r="M53" s="903">
        <f t="shared" ca="1" si="31"/>
        <v>939425</v>
      </c>
      <c r="N53" s="903">
        <f t="shared" ca="1" si="31"/>
        <v>801184.36</v>
      </c>
      <c r="O53" s="903">
        <f t="shared" ref="O53:O61" ca="1" si="32">IF(L53&gt;0,N53*100/L53,0)</f>
        <v>70.533001144466937</v>
      </c>
      <c r="P53" s="903">
        <f t="shared" ref="P53:P61" ca="1" si="33">IF(M53&gt;0,N53*100/M53,0)</f>
        <v>85.284547462543571</v>
      </c>
      <c r="Q53" s="818"/>
      <c r="R53" s="818"/>
      <c r="S53" s="818"/>
      <c r="T53" s="818"/>
      <c r="U53" s="818"/>
      <c r="V53" s="818"/>
      <c r="W53" s="818"/>
      <c r="X53" s="818"/>
      <c r="Y53" s="818"/>
      <c r="Z53" s="818"/>
    </row>
    <row r="54" spans="1:26" ht="18.75" hidden="1">
      <c r="A54" s="904"/>
      <c r="B54" s="905"/>
      <c r="C54" s="905"/>
      <c r="D54" s="905"/>
      <c r="E54" s="906" t="s">
        <v>18</v>
      </c>
      <c r="F54" s="905"/>
      <c r="G54" s="907"/>
      <c r="H54" s="121" t="s">
        <v>12</v>
      </c>
      <c r="I54" s="908"/>
      <c r="J54" s="908"/>
      <c r="K54" s="909"/>
      <c r="L54" s="909">
        <f t="shared" ref="L54:N55" si="34">L57+L60</f>
        <v>0</v>
      </c>
      <c r="M54" s="909">
        <f t="shared" si="34"/>
        <v>0</v>
      </c>
      <c r="N54" s="909">
        <f t="shared" si="34"/>
        <v>0</v>
      </c>
      <c r="O54" s="909">
        <f t="shared" si="32"/>
        <v>0</v>
      </c>
      <c r="P54" s="909">
        <f t="shared" si="33"/>
        <v>0</v>
      </c>
      <c r="Q54" s="825"/>
      <c r="R54" s="825"/>
      <c r="S54" s="825"/>
      <c r="T54" s="825"/>
      <c r="U54" s="825"/>
      <c r="V54" s="825"/>
      <c r="W54" s="825"/>
      <c r="X54" s="825"/>
      <c r="Y54" s="825"/>
      <c r="Z54" s="825"/>
    </row>
    <row r="55" spans="1:26" ht="18.75" hidden="1">
      <c r="A55" s="904"/>
      <c r="B55" s="905"/>
      <c r="C55" s="905"/>
      <c r="D55" s="905"/>
      <c r="E55" s="906" t="s">
        <v>19</v>
      </c>
      <c r="F55" s="905"/>
      <c r="G55" s="907"/>
      <c r="H55" s="121" t="s">
        <v>12</v>
      </c>
      <c r="I55" s="908"/>
      <c r="J55" s="908"/>
      <c r="K55" s="909"/>
      <c r="L55" s="909">
        <f t="shared" ca="1" si="34"/>
        <v>1135900</v>
      </c>
      <c r="M55" s="909">
        <f t="shared" ca="1" si="34"/>
        <v>939425</v>
      </c>
      <c r="N55" s="909">
        <f t="shared" ca="1" si="34"/>
        <v>801184.36</v>
      </c>
      <c r="O55" s="909">
        <f t="shared" ca="1" si="32"/>
        <v>70.533001144466937</v>
      </c>
      <c r="P55" s="909">
        <f t="shared" ca="1" si="33"/>
        <v>85.284547462543571</v>
      </c>
      <c r="Q55" s="825"/>
      <c r="R55" s="825"/>
      <c r="S55" s="825"/>
      <c r="T55" s="825"/>
      <c r="U55" s="825"/>
      <c r="V55" s="825"/>
      <c r="W55" s="825"/>
      <c r="X55" s="825"/>
      <c r="Y55" s="825"/>
      <c r="Z55" s="825"/>
    </row>
    <row r="56" spans="1:26" ht="18.75">
      <c r="A56" s="826"/>
      <c r="B56" s="827"/>
      <c r="C56" s="827"/>
      <c r="D56" s="828" t="s">
        <v>20</v>
      </c>
      <c r="E56" s="827"/>
      <c r="F56" s="827"/>
      <c r="G56" s="829"/>
      <c r="H56" s="590" t="s">
        <v>12</v>
      </c>
      <c r="I56" s="830"/>
      <c r="J56" s="830"/>
      <c r="K56" s="831"/>
      <c r="L56" s="831">
        <f t="shared" ref="L56:N56" ca="1" si="35">L57+L58</f>
        <v>785900</v>
      </c>
      <c r="M56" s="831">
        <f t="shared" ca="1" si="35"/>
        <v>589425</v>
      </c>
      <c r="N56" s="831">
        <f t="shared" ca="1" si="35"/>
        <v>451184.36</v>
      </c>
      <c r="O56" s="831">
        <f t="shared" ca="1" si="32"/>
        <v>57.409894388599056</v>
      </c>
      <c r="P56" s="831">
        <f t="shared" ca="1" si="33"/>
        <v>76.546525851465418</v>
      </c>
      <c r="Q56" s="818"/>
      <c r="R56" s="818"/>
      <c r="S56" s="818"/>
      <c r="T56" s="818"/>
      <c r="U56" s="818"/>
      <c r="V56" s="818"/>
      <c r="W56" s="818"/>
      <c r="X56" s="818"/>
      <c r="Y56" s="818"/>
      <c r="Z56" s="818"/>
    </row>
    <row r="57" spans="1:26" ht="18.75" hidden="1">
      <c r="A57" s="832"/>
      <c r="B57" s="833"/>
      <c r="C57" s="833"/>
      <c r="D57" s="833"/>
      <c r="E57" s="834" t="s">
        <v>18</v>
      </c>
      <c r="F57" s="833"/>
      <c r="G57" s="835"/>
      <c r="H57" s="43" t="s">
        <v>12</v>
      </c>
      <c r="I57" s="836"/>
      <c r="J57" s="836"/>
      <c r="K57" s="837"/>
      <c r="L57" s="837">
        <v>0</v>
      </c>
      <c r="M57" s="837">
        <v>0</v>
      </c>
      <c r="N57" s="837">
        <v>0</v>
      </c>
      <c r="O57" s="837">
        <f t="shared" si="32"/>
        <v>0</v>
      </c>
      <c r="P57" s="837">
        <f t="shared" si="33"/>
        <v>0</v>
      </c>
      <c r="Q57" s="825"/>
      <c r="R57" s="825"/>
      <c r="S57" s="825"/>
      <c r="T57" s="825"/>
      <c r="U57" s="825"/>
      <c r="V57" s="825"/>
      <c r="W57" s="825"/>
      <c r="X57" s="825"/>
      <c r="Y57" s="825"/>
      <c r="Z57" s="825"/>
    </row>
    <row r="58" spans="1:26" ht="18.75" hidden="1">
      <c r="A58" s="832"/>
      <c r="B58" s="833"/>
      <c r="C58" s="833"/>
      <c r="D58" s="833"/>
      <c r="E58" s="834" t="s">
        <v>19</v>
      </c>
      <c r="F58" s="833"/>
      <c r="G58" s="835"/>
      <c r="H58" s="43" t="s">
        <v>12</v>
      </c>
      <c r="I58" s="836"/>
      <c r="J58" s="836"/>
      <c r="K58" s="837"/>
      <c r="L58" s="837">
        <f ca="1">IFERROR(__xludf.DUMMYFUNCTION("IMPORTRANGE(""https://docs.google.com/spreadsheets/d/1MeEWN-I1oV_STSDYn1IFDPWt_1FKiwhDph83XaGc0o0/edit?usp=sharing"",""งบพรบ!W30"")"),785900)</f>
        <v>785900</v>
      </c>
      <c r="M58" s="837">
        <f ca="1">IFERROR(__xludf.DUMMYFUNCTION("IMPORTRANGE(""https://docs.google.com/spreadsheets/d/1MeEWN-I1oV_STSDYn1IFDPWt_1FKiwhDph83XaGc0o0/edit?usp=sharing"",""งบพรบ!AB30"")"),589425)</f>
        <v>589425</v>
      </c>
      <c r="N58" s="837">
        <f ca="1">IFERROR(__xludf.DUMMYFUNCTION("IMPORTRANGE(""https://docs.google.com/spreadsheets/d/1MeEWN-I1oV_STSDYn1IFDPWt_1FKiwhDph83XaGc0o0/edit?usp=sharing"",""งบพรบ!AD30"")"),451184.36)</f>
        <v>451184.36</v>
      </c>
      <c r="O58" s="837">
        <f t="shared" ca="1" si="32"/>
        <v>57.409894388599056</v>
      </c>
      <c r="P58" s="837">
        <f t="shared" ca="1" si="33"/>
        <v>76.546525851465418</v>
      </c>
      <c r="Q58" s="825"/>
      <c r="R58" s="825"/>
      <c r="S58" s="825"/>
      <c r="T58" s="825"/>
      <c r="U58" s="825"/>
      <c r="V58" s="825"/>
      <c r="W58" s="825"/>
      <c r="X58" s="825"/>
      <c r="Y58" s="825"/>
      <c r="Z58" s="825"/>
    </row>
    <row r="59" spans="1:26" ht="18.75">
      <c r="A59" s="826"/>
      <c r="B59" s="827"/>
      <c r="C59" s="827"/>
      <c r="D59" s="828" t="s">
        <v>21</v>
      </c>
      <c r="E59" s="827"/>
      <c r="F59" s="827"/>
      <c r="G59" s="829"/>
      <c r="H59" s="590" t="s">
        <v>12</v>
      </c>
      <c r="I59" s="830"/>
      <c r="J59" s="830"/>
      <c r="K59" s="831"/>
      <c r="L59" s="831">
        <f t="shared" ref="L59:N59" ca="1" si="36">L60+L61</f>
        <v>350000</v>
      </c>
      <c r="M59" s="831">
        <f t="shared" ca="1" si="36"/>
        <v>350000</v>
      </c>
      <c r="N59" s="831">
        <f t="shared" ca="1" si="36"/>
        <v>350000</v>
      </c>
      <c r="O59" s="831">
        <f t="shared" ca="1" si="32"/>
        <v>100</v>
      </c>
      <c r="P59" s="831">
        <f t="shared" ca="1" si="33"/>
        <v>100</v>
      </c>
      <c r="Q59" s="818"/>
      <c r="R59" s="818"/>
      <c r="S59" s="818"/>
      <c r="T59" s="818"/>
      <c r="U59" s="818"/>
      <c r="V59" s="818"/>
      <c r="W59" s="818"/>
      <c r="X59" s="818"/>
      <c r="Y59" s="818"/>
      <c r="Z59" s="818"/>
    </row>
    <row r="60" spans="1:26" ht="18.75" hidden="1">
      <c r="A60" s="832"/>
      <c r="B60" s="833"/>
      <c r="C60" s="833"/>
      <c r="D60" s="833"/>
      <c r="E60" s="834" t="s">
        <v>18</v>
      </c>
      <c r="F60" s="833"/>
      <c r="G60" s="835"/>
      <c r="H60" s="43" t="s">
        <v>12</v>
      </c>
      <c r="I60" s="836"/>
      <c r="J60" s="836"/>
      <c r="K60" s="837"/>
      <c r="L60" s="837">
        <v>0</v>
      </c>
      <c r="M60" s="837">
        <v>0</v>
      </c>
      <c r="N60" s="837">
        <v>0</v>
      </c>
      <c r="O60" s="837">
        <f t="shared" si="32"/>
        <v>0</v>
      </c>
      <c r="P60" s="837">
        <f t="shared" si="33"/>
        <v>0</v>
      </c>
      <c r="Q60" s="825"/>
      <c r="R60" s="825"/>
      <c r="S60" s="825"/>
      <c r="T60" s="825"/>
      <c r="U60" s="825"/>
      <c r="V60" s="825"/>
      <c r="W60" s="825"/>
      <c r="X60" s="825"/>
      <c r="Y60" s="825"/>
      <c r="Z60" s="825"/>
    </row>
    <row r="61" spans="1:26" ht="18.75" hidden="1">
      <c r="A61" s="838"/>
      <c r="B61" s="839"/>
      <c r="C61" s="839"/>
      <c r="D61" s="839"/>
      <c r="E61" s="840" t="s">
        <v>19</v>
      </c>
      <c r="F61" s="839"/>
      <c r="G61" s="841"/>
      <c r="H61" s="50" t="s">
        <v>12</v>
      </c>
      <c r="I61" s="842"/>
      <c r="J61" s="842"/>
      <c r="K61" s="843"/>
      <c r="L61" s="843">
        <f ca="1">IFERROR(__xludf.DUMMYFUNCTION("IMPORTRANGE(""https://docs.google.com/spreadsheets/d/1MeEWN-I1oV_STSDYn1IFDPWt_1FKiwhDph83XaGc0o0/edit?usp=sharing"",""งบพรบ!Z30"")"),350000)</f>
        <v>350000</v>
      </c>
      <c r="M61" s="843">
        <f ca="1">IFERROR(__xludf.DUMMYFUNCTION("IMPORTRANGE(""https://docs.google.com/spreadsheets/d/1MeEWN-I1oV_STSDYn1IFDPWt_1FKiwhDph83XaGc0o0/edit?usp=sharing"",""งบพรบ!AC30"")"),350000)</f>
        <v>350000</v>
      </c>
      <c r="N61" s="843">
        <f ca="1">IFERROR(__xludf.DUMMYFUNCTION("IMPORTRANGE(""https://docs.google.com/spreadsheets/d/1MeEWN-I1oV_STSDYn1IFDPWt_1FKiwhDph83XaGc0o0/edit?usp=sharing"",""งบพรบ!AE30"")"),350000)</f>
        <v>350000</v>
      </c>
      <c r="O61" s="843">
        <f t="shared" ca="1" si="32"/>
        <v>100</v>
      </c>
      <c r="P61" s="843">
        <f t="shared" ca="1" si="33"/>
        <v>100</v>
      </c>
      <c r="Q61" s="825"/>
      <c r="R61" s="825"/>
      <c r="S61" s="825"/>
      <c r="T61" s="825"/>
      <c r="U61" s="825"/>
      <c r="V61" s="825"/>
      <c r="W61" s="825"/>
      <c r="X61" s="825"/>
      <c r="Y61" s="825"/>
      <c r="Z61" s="825"/>
    </row>
    <row r="62" spans="1:26" ht="19.5">
      <c r="A62" s="910" t="s">
        <v>31</v>
      </c>
      <c r="B62" s="911"/>
      <c r="C62" s="911"/>
      <c r="D62" s="911"/>
      <c r="E62" s="912"/>
      <c r="F62" s="912"/>
      <c r="G62" s="913"/>
      <c r="H62" s="914"/>
      <c r="I62" s="915"/>
      <c r="J62" s="915"/>
      <c r="K62" s="916"/>
      <c r="L62" s="916"/>
      <c r="M62" s="916"/>
      <c r="N62" s="916"/>
      <c r="O62" s="916"/>
      <c r="P62" s="916"/>
    </row>
    <row r="63" spans="1:26" ht="19.5">
      <c r="A63" s="917" t="s">
        <v>32</v>
      </c>
      <c r="B63" s="918"/>
      <c r="C63" s="919"/>
      <c r="D63" s="918"/>
      <c r="E63" s="918"/>
      <c r="F63" s="918"/>
      <c r="G63" s="920"/>
      <c r="H63" s="921"/>
      <c r="I63" s="922"/>
      <c r="J63" s="922"/>
      <c r="K63" s="923"/>
      <c r="L63" s="923"/>
      <c r="M63" s="923"/>
      <c r="N63" s="923"/>
      <c r="O63" s="923"/>
      <c r="P63" s="923"/>
    </row>
    <row r="64" spans="1:26" ht="19.5">
      <c r="A64" s="924"/>
      <c r="B64" s="925" t="s">
        <v>33</v>
      </c>
      <c r="C64" s="926"/>
      <c r="D64" s="927"/>
      <c r="E64" s="926"/>
      <c r="F64" s="926"/>
      <c r="G64" s="928"/>
      <c r="H64" s="205" t="s">
        <v>34</v>
      </c>
      <c r="I64" s="929">
        <f t="shared" ref="I64:J65" ca="1" si="37">I76</f>
        <v>1</v>
      </c>
      <c r="J64" s="929">
        <f t="shared" si="37"/>
        <v>1</v>
      </c>
      <c r="K64" s="930">
        <f t="shared" ref="K64:K65" ca="1" si="38">IF(I64&gt;0,J64*100/I64,0)</f>
        <v>100</v>
      </c>
      <c r="L64" s="931"/>
      <c r="M64" s="931"/>
      <c r="N64" s="931"/>
      <c r="O64" s="931"/>
      <c r="P64" s="931"/>
    </row>
    <row r="65" spans="1:26" ht="19.5">
      <c r="A65" s="924"/>
      <c r="B65" s="926"/>
      <c r="C65" s="926"/>
      <c r="D65" s="927"/>
      <c r="E65" s="926"/>
      <c r="F65" s="926"/>
      <c r="G65" s="928"/>
      <c r="H65" s="205" t="s">
        <v>35</v>
      </c>
      <c r="I65" s="929">
        <f t="shared" ca="1" si="37"/>
        <v>32</v>
      </c>
      <c r="J65" s="929">
        <f t="shared" si="37"/>
        <v>32</v>
      </c>
      <c r="K65" s="930">
        <f t="shared" ca="1" si="38"/>
        <v>100</v>
      </c>
      <c r="L65" s="931"/>
      <c r="M65" s="931"/>
      <c r="N65" s="931"/>
      <c r="O65" s="931"/>
      <c r="P65" s="931"/>
    </row>
    <row r="66" spans="1:26" ht="19.5">
      <c r="A66" s="932"/>
      <c r="B66" s="933"/>
      <c r="C66" s="934" t="s">
        <v>16</v>
      </c>
      <c r="D66" s="935" t="s">
        <v>17</v>
      </c>
      <c r="E66" s="933"/>
      <c r="F66" s="933"/>
      <c r="G66" s="936"/>
      <c r="H66" s="152" t="s">
        <v>12</v>
      </c>
      <c r="I66" s="937"/>
      <c r="J66" s="937"/>
      <c r="K66" s="938"/>
      <c r="L66" s="939">
        <f t="shared" ref="L66:N66" ca="1" si="39">L67+L68</f>
        <v>880200</v>
      </c>
      <c r="M66" s="939">
        <f t="shared" ca="1" si="39"/>
        <v>660500</v>
      </c>
      <c r="N66" s="939">
        <f t="shared" ca="1" si="39"/>
        <v>341276</v>
      </c>
      <c r="O66" s="939">
        <f t="shared" ref="O66:O74" ca="1" si="40">IF(L66&gt;0,N66*100/L66,0)</f>
        <v>38.772551692797094</v>
      </c>
      <c r="P66" s="939">
        <f t="shared" ref="P66:P74" ca="1" si="41">IF(M66&gt;0,N66*100/M66,0)</f>
        <v>51.669341408024223</v>
      </c>
      <c r="Q66" s="818"/>
      <c r="R66" s="818"/>
      <c r="S66" s="818"/>
      <c r="T66" s="818"/>
      <c r="U66" s="818"/>
      <c r="V66" s="818"/>
      <c r="W66" s="818"/>
      <c r="X66" s="818"/>
      <c r="Y66" s="818"/>
      <c r="Z66" s="818"/>
    </row>
    <row r="67" spans="1:26" ht="18.75" hidden="1">
      <c r="A67" s="940"/>
      <c r="B67" s="833"/>
      <c r="C67" s="833"/>
      <c r="D67" s="833"/>
      <c r="E67" s="834" t="s">
        <v>18</v>
      </c>
      <c r="F67" s="833"/>
      <c r="G67" s="941"/>
      <c r="H67" s="158" t="s">
        <v>12</v>
      </c>
      <c r="I67" s="836"/>
      <c r="J67" s="836"/>
      <c r="K67" s="837"/>
      <c r="L67" s="837">
        <f t="shared" ref="L67:N68" si="42">L70+L73</f>
        <v>0</v>
      </c>
      <c r="M67" s="837">
        <f t="shared" si="42"/>
        <v>0</v>
      </c>
      <c r="N67" s="837">
        <f t="shared" si="42"/>
        <v>0</v>
      </c>
      <c r="O67" s="837">
        <f t="shared" si="40"/>
        <v>0</v>
      </c>
      <c r="P67" s="837">
        <f t="shared" si="41"/>
        <v>0</v>
      </c>
      <c r="Q67" s="825"/>
      <c r="R67" s="825"/>
      <c r="S67" s="825"/>
      <c r="T67" s="825"/>
      <c r="U67" s="825"/>
      <c r="V67" s="825"/>
      <c r="W67" s="825"/>
      <c r="X67" s="825"/>
      <c r="Y67" s="825"/>
      <c r="Z67" s="825"/>
    </row>
    <row r="68" spans="1:26" ht="18.75" hidden="1">
      <c r="A68" s="940"/>
      <c r="B68" s="833"/>
      <c r="C68" s="833"/>
      <c r="D68" s="833"/>
      <c r="E68" s="834" t="s">
        <v>19</v>
      </c>
      <c r="F68" s="833"/>
      <c r="G68" s="941"/>
      <c r="H68" s="158" t="s">
        <v>12</v>
      </c>
      <c r="I68" s="836"/>
      <c r="J68" s="836"/>
      <c r="K68" s="837"/>
      <c r="L68" s="837">
        <f t="shared" ca="1" si="42"/>
        <v>880200</v>
      </c>
      <c r="M68" s="837">
        <f t="shared" ca="1" si="42"/>
        <v>660500</v>
      </c>
      <c r="N68" s="837">
        <f t="shared" ca="1" si="42"/>
        <v>341276</v>
      </c>
      <c r="O68" s="837">
        <f t="shared" ca="1" si="40"/>
        <v>38.772551692797094</v>
      </c>
      <c r="P68" s="837">
        <f t="shared" ca="1" si="41"/>
        <v>51.669341408024223</v>
      </c>
      <c r="Q68" s="825"/>
      <c r="R68" s="825"/>
      <c r="S68" s="825"/>
      <c r="T68" s="825"/>
      <c r="U68" s="825"/>
      <c r="V68" s="825"/>
      <c r="W68" s="825"/>
      <c r="X68" s="825"/>
      <c r="Y68" s="825"/>
      <c r="Z68" s="825"/>
    </row>
    <row r="69" spans="1:26" ht="18.75">
      <c r="A69" s="942"/>
      <c r="B69" s="827"/>
      <c r="C69" s="943"/>
      <c r="D69" s="828" t="s">
        <v>20</v>
      </c>
      <c r="E69" s="827"/>
      <c r="F69" s="827"/>
      <c r="G69" s="829"/>
      <c r="H69" s="778" t="s">
        <v>12</v>
      </c>
      <c r="I69" s="944"/>
      <c r="J69" s="944"/>
      <c r="K69" s="945"/>
      <c r="L69" s="831">
        <f t="shared" ref="L69:N69" ca="1" si="43">L70+L71</f>
        <v>880200</v>
      </c>
      <c r="M69" s="831">
        <f t="shared" ca="1" si="43"/>
        <v>660500</v>
      </c>
      <c r="N69" s="831">
        <f t="shared" ca="1" si="43"/>
        <v>341276</v>
      </c>
      <c r="O69" s="831">
        <f t="shared" ca="1" si="40"/>
        <v>38.772551692797094</v>
      </c>
      <c r="P69" s="831">
        <f t="shared" ca="1" si="41"/>
        <v>51.669341408024223</v>
      </c>
      <c r="Q69" s="818"/>
      <c r="R69" s="818"/>
      <c r="S69" s="818"/>
      <c r="T69" s="818"/>
      <c r="U69" s="818"/>
      <c r="V69" s="818"/>
      <c r="W69" s="818"/>
      <c r="X69" s="818"/>
      <c r="Y69" s="818"/>
      <c r="Z69" s="818"/>
    </row>
    <row r="70" spans="1:26" ht="19.5" hidden="1">
      <c r="A70" s="940"/>
      <c r="B70" s="833"/>
      <c r="C70" s="946"/>
      <c r="D70" s="833"/>
      <c r="E70" s="834" t="s">
        <v>36</v>
      </c>
      <c r="F70" s="833"/>
      <c r="G70" s="941"/>
      <c r="H70" s="165" t="s">
        <v>12</v>
      </c>
      <c r="I70" s="947"/>
      <c r="J70" s="947"/>
      <c r="K70" s="948"/>
      <c r="L70" s="837">
        <v>0</v>
      </c>
      <c r="M70" s="837">
        <v>0</v>
      </c>
      <c r="N70" s="837">
        <v>0</v>
      </c>
      <c r="O70" s="837">
        <f t="shared" si="40"/>
        <v>0</v>
      </c>
      <c r="P70" s="837">
        <f t="shared" si="41"/>
        <v>0</v>
      </c>
      <c r="Q70" s="825"/>
      <c r="R70" s="825"/>
      <c r="S70" s="825"/>
      <c r="T70" s="825"/>
      <c r="U70" s="825"/>
      <c r="V70" s="825"/>
      <c r="W70" s="825"/>
      <c r="X70" s="825"/>
      <c r="Y70" s="825"/>
      <c r="Z70" s="825"/>
    </row>
    <row r="71" spans="1:26" ht="19.5" hidden="1">
      <c r="A71" s="940"/>
      <c r="B71" s="833"/>
      <c r="C71" s="946"/>
      <c r="D71" s="833"/>
      <c r="E71" s="834" t="s">
        <v>37</v>
      </c>
      <c r="F71" s="833"/>
      <c r="G71" s="941"/>
      <c r="H71" s="165" t="s">
        <v>12</v>
      </c>
      <c r="I71" s="947"/>
      <c r="J71" s="947"/>
      <c r="K71" s="948"/>
      <c r="L71" s="837">
        <f ca="1">IFERROR(__xludf.DUMMYFUNCTION("IMPORTRANGE(""https://docs.google.com/spreadsheets/d/1MeEWN-I1oV_STSDYn1IFDPWt_1FKiwhDph83XaGc0o0/edit?usp=sharing"",""งบพรบ!AG30"")"),880200)</f>
        <v>880200</v>
      </c>
      <c r="M71" s="837">
        <f ca="1">IFERROR(__xludf.DUMMYFUNCTION("IMPORTRANGE(""https://docs.google.com/spreadsheets/d/1MeEWN-I1oV_STSDYn1IFDPWt_1FKiwhDph83XaGc0o0/edit?usp=sharing"",""งบพรบ!AL30"")"),660500)</f>
        <v>660500</v>
      </c>
      <c r="N71" s="837">
        <f ca="1">IFERROR(__xludf.DUMMYFUNCTION("IMPORTRANGE(""https://docs.google.com/spreadsheets/d/1MeEWN-I1oV_STSDYn1IFDPWt_1FKiwhDph83XaGc0o0/edit?usp=sharing"",""งบพรบ!AN30"")"),341276)</f>
        <v>341276</v>
      </c>
      <c r="O71" s="837">
        <f t="shared" ca="1" si="40"/>
        <v>38.772551692797094</v>
      </c>
      <c r="P71" s="837">
        <f t="shared" ca="1" si="41"/>
        <v>51.669341408024223</v>
      </c>
      <c r="Q71" s="825"/>
      <c r="R71" s="825"/>
      <c r="S71" s="825"/>
      <c r="T71" s="825"/>
      <c r="U71" s="825"/>
      <c r="V71" s="825"/>
      <c r="W71" s="825"/>
      <c r="X71" s="825"/>
      <c r="Y71" s="825"/>
      <c r="Z71" s="825"/>
    </row>
    <row r="72" spans="1:26" ht="18.75">
      <c r="A72" s="942"/>
      <c r="B72" s="827"/>
      <c r="C72" s="943"/>
      <c r="D72" s="828" t="s">
        <v>21</v>
      </c>
      <c r="E72" s="827"/>
      <c r="F72" s="827"/>
      <c r="G72" s="829"/>
      <c r="H72" s="168" t="s">
        <v>12</v>
      </c>
      <c r="I72" s="944"/>
      <c r="J72" s="944"/>
      <c r="K72" s="945"/>
      <c r="L72" s="831">
        <f t="shared" ref="L72:N72" ca="1" si="44">L73+L74</f>
        <v>0</v>
      </c>
      <c r="M72" s="831">
        <f t="shared" ca="1" si="44"/>
        <v>0</v>
      </c>
      <c r="N72" s="831">
        <f t="shared" ca="1" si="44"/>
        <v>0</v>
      </c>
      <c r="O72" s="831">
        <f t="shared" ca="1" si="40"/>
        <v>0</v>
      </c>
      <c r="P72" s="831">
        <f t="shared" ca="1" si="41"/>
        <v>0</v>
      </c>
      <c r="Q72" s="818"/>
      <c r="R72" s="818"/>
      <c r="S72" s="818"/>
      <c r="T72" s="818"/>
      <c r="U72" s="818"/>
      <c r="V72" s="818"/>
      <c r="W72" s="818"/>
      <c r="X72" s="818"/>
      <c r="Y72" s="818"/>
      <c r="Z72" s="818"/>
    </row>
    <row r="73" spans="1:26" ht="19.5" hidden="1">
      <c r="A73" s="940"/>
      <c r="B73" s="833"/>
      <c r="C73" s="946"/>
      <c r="D73" s="833"/>
      <c r="E73" s="834" t="s">
        <v>18</v>
      </c>
      <c r="F73" s="833"/>
      <c r="G73" s="941"/>
      <c r="H73" s="165" t="s">
        <v>12</v>
      </c>
      <c r="I73" s="947"/>
      <c r="J73" s="947"/>
      <c r="K73" s="948"/>
      <c r="L73" s="837">
        <v>0</v>
      </c>
      <c r="M73" s="837"/>
      <c r="N73" s="837"/>
      <c r="O73" s="837">
        <f t="shared" si="40"/>
        <v>0</v>
      </c>
      <c r="P73" s="837">
        <f t="shared" si="41"/>
        <v>0</v>
      </c>
      <c r="Q73" s="825"/>
      <c r="R73" s="825"/>
      <c r="S73" s="825"/>
      <c r="T73" s="825"/>
      <c r="U73" s="825"/>
      <c r="V73" s="825"/>
      <c r="W73" s="825"/>
      <c r="X73" s="825"/>
      <c r="Y73" s="825"/>
      <c r="Z73" s="825"/>
    </row>
    <row r="74" spans="1:26" ht="19.5" hidden="1">
      <c r="A74" s="940"/>
      <c r="B74" s="833"/>
      <c r="C74" s="946"/>
      <c r="D74" s="833"/>
      <c r="E74" s="834" t="s">
        <v>19</v>
      </c>
      <c r="F74" s="833"/>
      <c r="G74" s="941"/>
      <c r="H74" s="169" t="s">
        <v>12</v>
      </c>
      <c r="I74" s="947"/>
      <c r="J74" s="947"/>
      <c r="K74" s="948"/>
      <c r="L74" s="837">
        <f ca="1">IFERROR(__xludf.DUMMYFUNCTION("IMPORTRANGE(""https://docs.google.com/spreadsheets/d/1MeEWN-I1oV_STSDYn1IFDPWt_1FKiwhDph83XaGc0o0/edit?usp=sharing"",""งบพรบ!AJ30"")"),0)</f>
        <v>0</v>
      </c>
      <c r="M74" s="837">
        <f ca="1">IFERROR(__xludf.DUMMYFUNCTION("IMPORTRANGE(""https://docs.google.com/spreadsheets/d/1MeEWN-I1oV_STSDYn1IFDPWt_1FKiwhDph83XaGc0o0/edit?usp=sharing"",""งบพรบ!AM30"")"),0)</f>
        <v>0</v>
      </c>
      <c r="N74" s="837">
        <f ca="1">IFERROR(__xludf.DUMMYFUNCTION("IMPORTRANGE(""https://docs.google.com/spreadsheets/d/1MeEWN-I1oV_STSDYn1IFDPWt_1FKiwhDph83XaGc0o0/edit?usp=sharing"",""งบพรบ!AO30"")"),0)</f>
        <v>0</v>
      </c>
      <c r="O74" s="837">
        <f t="shared" ca="1" si="40"/>
        <v>0</v>
      </c>
      <c r="P74" s="837">
        <f t="shared" ca="1" si="41"/>
        <v>0</v>
      </c>
      <c r="Q74" s="825"/>
      <c r="R74" s="825"/>
      <c r="S74" s="825"/>
      <c r="T74" s="825"/>
      <c r="U74" s="825"/>
      <c r="V74" s="825"/>
      <c r="W74" s="825"/>
      <c r="X74" s="825"/>
      <c r="Y74" s="825"/>
      <c r="Z74" s="825"/>
    </row>
    <row r="75" spans="1:26" ht="19.5">
      <c r="A75" s="949"/>
      <c r="B75" s="950"/>
      <c r="C75" s="946" t="s">
        <v>16</v>
      </c>
      <c r="D75" s="951" t="s">
        <v>38</v>
      </c>
      <c r="E75" s="952"/>
      <c r="F75" s="952"/>
      <c r="G75" s="953"/>
      <c r="H75" s="954"/>
      <c r="I75" s="944"/>
      <c r="J75" s="944"/>
      <c r="K75" s="945"/>
      <c r="L75" s="945"/>
      <c r="M75" s="945"/>
      <c r="N75" s="945"/>
      <c r="O75" s="945"/>
      <c r="P75" s="945"/>
    </row>
    <row r="76" spans="1:26" ht="19.5">
      <c r="A76" s="949"/>
      <c r="B76" s="950"/>
      <c r="C76" s="950"/>
      <c r="D76" s="955" t="s">
        <v>39</v>
      </c>
      <c r="E76" s="956"/>
      <c r="F76" s="957"/>
      <c r="G76" s="958"/>
      <c r="H76" s="180" t="s">
        <v>34</v>
      </c>
      <c r="I76" s="830">
        <f t="shared" ref="I76:J77" ca="1" si="45">I78+I80+I82</f>
        <v>1</v>
      </c>
      <c r="J76" s="830">
        <f t="shared" si="45"/>
        <v>1</v>
      </c>
      <c r="K76" s="945">
        <f t="shared" ref="K76:K84" ca="1" si="46">IF(I76&gt;0,J76*100/I76,0)</f>
        <v>100</v>
      </c>
      <c r="L76" s="945"/>
      <c r="M76" s="945"/>
      <c r="N76" s="945"/>
      <c r="O76" s="945"/>
      <c r="P76" s="945"/>
    </row>
    <row r="77" spans="1:26" ht="19.5">
      <c r="A77" s="949"/>
      <c r="B77" s="950"/>
      <c r="C77" s="950"/>
      <c r="D77" s="950"/>
      <c r="E77" s="957"/>
      <c r="F77" s="957"/>
      <c r="G77" s="958"/>
      <c r="H77" s="180" t="s">
        <v>35</v>
      </c>
      <c r="I77" s="830">
        <f t="shared" ca="1" si="45"/>
        <v>32</v>
      </c>
      <c r="J77" s="830">
        <f t="shared" si="45"/>
        <v>32</v>
      </c>
      <c r="K77" s="945">
        <f t="shared" ca="1" si="46"/>
        <v>100</v>
      </c>
      <c r="L77" s="945"/>
      <c r="M77" s="945"/>
      <c r="N77" s="945"/>
      <c r="O77" s="945"/>
      <c r="P77" s="945"/>
    </row>
    <row r="78" spans="1:26" ht="18.75">
      <c r="A78" s="949"/>
      <c r="B78" s="950"/>
      <c r="C78" s="950"/>
      <c r="D78" s="950"/>
      <c r="E78" s="956" t="s">
        <v>40</v>
      </c>
      <c r="F78" s="956"/>
      <c r="G78" s="958"/>
      <c r="H78" s="730" t="s">
        <v>34</v>
      </c>
      <c r="I78" s="944">
        <f ca="1">IFERROR(__xludf.DUMMYFUNCTION("IMPORTRANGE(""https://docs.google.com/spreadsheets/d/1QqKyyYR6Q21VydFLVH3TRQUabQu_ym0Zz7PgGX0-kHA/edit?usp=sharing"",""แผน!H30"")"),0)</f>
        <v>0</v>
      </c>
      <c r="J78" s="959">
        <v>0</v>
      </c>
      <c r="K78" s="945">
        <f t="shared" ca="1" si="46"/>
        <v>0</v>
      </c>
      <c r="L78" s="945"/>
      <c r="M78" s="945"/>
      <c r="N78" s="945"/>
      <c r="O78" s="945"/>
      <c r="P78" s="945"/>
    </row>
    <row r="79" spans="1:26" ht="18.75">
      <c r="A79" s="949"/>
      <c r="B79" s="950"/>
      <c r="C79" s="950"/>
      <c r="D79" s="950"/>
      <c r="E79" s="957"/>
      <c r="F79" s="957"/>
      <c r="G79" s="958"/>
      <c r="H79" s="730" t="s">
        <v>35</v>
      </c>
      <c r="I79" s="944">
        <f ca="1">IFERROR(__xludf.DUMMYFUNCTION("IMPORTRANGE(""https://docs.google.com/spreadsheets/d/1QqKyyYR6Q21VydFLVH3TRQUabQu_ym0Zz7PgGX0-kHA/edit?usp=sharing"",""แผน!I30"")"),0)</f>
        <v>0</v>
      </c>
      <c r="J79" s="959">
        <v>0</v>
      </c>
      <c r="K79" s="945">
        <f t="shared" ca="1" si="46"/>
        <v>0</v>
      </c>
      <c r="L79" s="945"/>
      <c r="M79" s="945"/>
      <c r="N79" s="945"/>
      <c r="O79" s="945"/>
      <c r="P79" s="945"/>
    </row>
    <row r="80" spans="1:26" ht="18.75">
      <c r="A80" s="949"/>
      <c r="B80" s="950"/>
      <c r="C80" s="950"/>
      <c r="D80" s="950"/>
      <c r="E80" s="956" t="s">
        <v>41</v>
      </c>
      <c r="F80" s="956"/>
      <c r="G80" s="958"/>
      <c r="H80" s="730" t="s">
        <v>34</v>
      </c>
      <c r="I80" s="944">
        <f ca="1">IFERROR(__xludf.DUMMYFUNCTION("IMPORTRANGE(""https://docs.google.com/spreadsheets/d/1QqKyyYR6Q21VydFLVH3TRQUabQu_ym0Zz7PgGX0-kHA/edit?usp=sharing"",""แผน!F30"")"),1)</f>
        <v>1</v>
      </c>
      <c r="J80" s="959">
        <v>1</v>
      </c>
      <c r="K80" s="945">
        <f t="shared" ca="1" si="46"/>
        <v>100</v>
      </c>
      <c r="L80" s="945"/>
      <c r="M80" s="945"/>
      <c r="N80" s="945"/>
      <c r="O80" s="945"/>
      <c r="P80" s="945"/>
    </row>
    <row r="81" spans="1:26" ht="18.75">
      <c r="A81" s="949"/>
      <c r="B81" s="950"/>
      <c r="C81" s="950"/>
      <c r="D81" s="950"/>
      <c r="E81" s="957"/>
      <c r="F81" s="957"/>
      <c r="G81" s="958"/>
      <c r="H81" s="730" t="s">
        <v>35</v>
      </c>
      <c r="I81" s="944">
        <f ca="1">IFERROR(__xludf.DUMMYFUNCTION("IMPORTRANGE(""https://docs.google.com/spreadsheets/d/1QqKyyYR6Q21VydFLVH3TRQUabQu_ym0Zz7PgGX0-kHA/edit?usp=sharing"",""แผน!G30"")"),32)</f>
        <v>32</v>
      </c>
      <c r="J81" s="959">
        <v>32</v>
      </c>
      <c r="K81" s="945">
        <f t="shared" ca="1" si="46"/>
        <v>100</v>
      </c>
      <c r="L81" s="945"/>
      <c r="M81" s="945"/>
      <c r="N81" s="945"/>
      <c r="O81" s="945"/>
      <c r="P81" s="945"/>
    </row>
    <row r="82" spans="1:26" ht="18.75">
      <c r="A82" s="949"/>
      <c r="B82" s="950"/>
      <c r="C82" s="950"/>
      <c r="D82" s="950"/>
      <c r="E82" s="956" t="s">
        <v>42</v>
      </c>
      <c r="F82" s="956"/>
      <c r="G82" s="958"/>
      <c r="H82" s="730" t="s">
        <v>34</v>
      </c>
      <c r="I82" s="944">
        <f ca="1">IFERROR(__xludf.DUMMYFUNCTION("IMPORTRANGE(""https://docs.google.com/spreadsheets/d/1QqKyyYR6Q21VydFLVH3TRQUabQu_ym0Zz7PgGX0-kHA/edit?usp=sharing"",""แผน!D30"")"),0)</f>
        <v>0</v>
      </c>
      <c r="J82" s="959">
        <v>0</v>
      </c>
      <c r="K82" s="945">
        <f t="shared" ca="1" si="46"/>
        <v>0</v>
      </c>
      <c r="L82" s="945"/>
      <c r="M82" s="945"/>
      <c r="N82" s="945"/>
      <c r="O82" s="945"/>
      <c r="P82" s="945"/>
    </row>
    <row r="83" spans="1:26" ht="18.75">
      <c r="A83" s="949"/>
      <c r="B83" s="950"/>
      <c r="C83" s="950"/>
      <c r="D83" s="950"/>
      <c r="E83" s="957"/>
      <c r="F83" s="957"/>
      <c r="G83" s="958"/>
      <c r="H83" s="730" t="s">
        <v>35</v>
      </c>
      <c r="I83" s="944">
        <f ca="1">IFERROR(__xludf.DUMMYFUNCTION("IMPORTRANGE(""https://docs.google.com/spreadsheets/d/1QqKyyYR6Q21VydFLVH3TRQUabQu_ym0Zz7PgGX0-kHA/edit?usp=sharing"",""แผน!E30"")"),0)</f>
        <v>0</v>
      </c>
      <c r="J83" s="959">
        <v>0</v>
      </c>
      <c r="K83" s="945">
        <f t="shared" ca="1" si="46"/>
        <v>0</v>
      </c>
      <c r="L83" s="945"/>
      <c r="M83" s="945"/>
      <c r="N83" s="945"/>
      <c r="O83" s="945"/>
      <c r="P83" s="945"/>
    </row>
    <row r="84" spans="1:26" ht="18.75">
      <c r="A84" s="949"/>
      <c r="B84" s="950"/>
      <c r="C84" s="950"/>
      <c r="D84" s="955" t="s">
        <v>43</v>
      </c>
      <c r="E84" s="956"/>
      <c r="F84" s="957"/>
      <c r="G84" s="958"/>
      <c r="H84" s="777" t="s">
        <v>34</v>
      </c>
      <c r="I84" s="944">
        <f ca="1">IFERROR(__xludf.DUMMYFUNCTION("IMPORTRANGE(""https://docs.google.com/spreadsheets/d/1QqKyyYR6Q21VydFLVH3TRQUabQu_ym0Zz7PgGX0-kHA/edit?usp=sharing"",""แผน!J30"")"),1)</f>
        <v>1</v>
      </c>
      <c r="J84" s="959">
        <v>1</v>
      </c>
      <c r="K84" s="945">
        <f t="shared" ca="1" si="46"/>
        <v>100</v>
      </c>
      <c r="L84" s="945"/>
      <c r="M84" s="945"/>
      <c r="N84" s="945"/>
      <c r="O84" s="945"/>
      <c r="P84" s="945"/>
    </row>
    <row r="85" spans="1:26" ht="19.5">
      <c r="A85" s="917" t="s">
        <v>44</v>
      </c>
      <c r="B85" s="918"/>
      <c r="C85" s="919"/>
      <c r="D85" s="918"/>
      <c r="E85" s="918"/>
      <c r="F85" s="918"/>
      <c r="G85" s="920"/>
      <c r="H85" s="921"/>
      <c r="I85" s="922"/>
      <c r="J85" s="922"/>
      <c r="K85" s="923"/>
      <c r="L85" s="923"/>
      <c r="M85" s="923"/>
      <c r="N85" s="923"/>
      <c r="O85" s="923"/>
      <c r="P85" s="923"/>
    </row>
    <row r="86" spans="1:26" ht="19.5">
      <c r="A86" s="924"/>
      <c r="B86" s="925" t="s">
        <v>45</v>
      </c>
      <c r="C86" s="926"/>
      <c r="D86" s="927"/>
      <c r="E86" s="926"/>
      <c r="F86" s="926"/>
      <c r="G86" s="928"/>
      <c r="H86" s="205" t="s">
        <v>46</v>
      </c>
      <c r="I86" s="929">
        <f t="shared" ref="I86:J87" ca="1" si="47">I98</f>
        <v>60</v>
      </c>
      <c r="J86" s="929">
        <f t="shared" si="47"/>
        <v>60</v>
      </c>
      <c r="K86" s="930">
        <f t="shared" ref="K86:K87" ca="1" si="48">IF(I86&gt;0,J86*100/I86,0)</f>
        <v>100</v>
      </c>
      <c r="L86" s="931"/>
      <c r="M86" s="931"/>
      <c r="N86" s="931"/>
      <c r="O86" s="931"/>
      <c r="P86" s="931"/>
    </row>
    <row r="87" spans="1:26" ht="19.5">
      <c r="A87" s="924"/>
      <c r="B87" s="926"/>
      <c r="C87" s="926"/>
      <c r="D87" s="927"/>
      <c r="E87" s="926"/>
      <c r="F87" s="926"/>
      <c r="G87" s="928"/>
      <c r="H87" s="205" t="s">
        <v>35</v>
      </c>
      <c r="I87" s="929">
        <f t="shared" ca="1" si="47"/>
        <v>20</v>
      </c>
      <c r="J87" s="929">
        <f t="shared" si="47"/>
        <v>20</v>
      </c>
      <c r="K87" s="930">
        <f t="shared" ca="1" si="48"/>
        <v>100</v>
      </c>
      <c r="L87" s="931"/>
      <c r="M87" s="931"/>
      <c r="N87" s="931"/>
      <c r="O87" s="931"/>
      <c r="P87" s="931"/>
    </row>
    <row r="88" spans="1:26" ht="19.5">
      <c r="A88" s="932"/>
      <c r="B88" s="933"/>
      <c r="C88" s="934" t="s">
        <v>16</v>
      </c>
      <c r="D88" s="935" t="s">
        <v>17</v>
      </c>
      <c r="E88" s="933"/>
      <c r="F88" s="933"/>
      <c r="G88" s="936"/>
      <c r="H88" s="152" t="s">
        <v>12</v>
      </c>
      <c r="I88" s="937"/>
      <c r="J88" s="937"/>
      <c r="K88" s="938"/>
      <c r="L88" s="939">
        <f t="shared" ref="L88:N88" ca="1" si="49">L89+L90</f>
        <v>111180</v>
      </c>
      <c r="M88" s="939">
        <f t="shared" ca="1" si="49"/>
        <v>73730</v>
      </c>
      <c r="N88" s="939">
        <f t="shared" ca="1" si="49"/>
        <v>40005</v>
      </c>
      <c r="O88" s="939">
        <f t="shared" ref="O88:O96" ca="1" si="50">IF(L88&gt;0,N88*100/L88,0)</f>
        <v>35.982191041554238</v>
      </c>
      <c r="P88" s="939">
        <f t="shared" ref="P88:P96" ca="1" si="51">IF(M88&gt;0,N88*100/M88,0)</f>
        <v>54.258782042587818</v>
      </c>
      <c r="Q88" s="818"/>
      <c r="R88" s="818"/>
      <c r="S88" s="818"/>
      <c r="T88" s="818"/>
      <c r="U88" s="818"/>
      <c r="V88" s="818"/>
      <c r="W88" s="818"/>
      <c r="X88" s="818"/>
      <c r="Y88" s="818"/>
      <c r="Z88" s="818"/>
    </row>
    <row r="89" spans="1:26" ht="18.75" hidden="1">
      <c r="A89" s="940"/>
      <c r="B89" s="833"/>
      <c r="C89" s="833"/>
      <c r="D89" s="833"/>
      <c r="E89" s="834" t="s">
        <v>18</v>
      </c>
      <c r="F89" s="833"/>
      <c r="G89" s="941"/>
      <c r="H89" s="158" t="s">
        <v>12</v>
      </c>
      <c r="I89" s="836"/>
      <c r="J89" s="836"/>
      <c r="K89" s="837"/>
      <c r="L89" s="837">
        <f t="shared" ref="L89:N90" si="52">L92+L95</f>
        <v>0</v>
      </c>
      <c r="M89" s="837">
        <f t="shared" si="52"/>
        <v>0</v>
      </c>
      <c r="N89" s="837">
        <f t="shared" si="52"/>
        <v>0</v>
      </c>
      <c r="O89" s="837">
        <f t="shared" si="50"/>
        <v>0</v>
      </c>
      <c r="P89" s="837">
        <f t="shared" si="51"/>
        <v>0</v>
      </c>
      <c r="Q89" s="825"/>
      <c r="R89" s="825"/>
      <c r="S89" s="825"/>
      <c r="T89" s="825"/>
      <c r="U89" s="825"/>
      <c r="V89" s="825"/>
      <c r="W89" s="825"/>
      <c r="X89" s="825"/>
      <c r="Y89" s="825"/>
      <c r="Z89" s="825"/>
    </row>
    <row r="90" spans="1:26" ht="18.75" hidden="1">
      <c r="A90" s="940"/>
      <c r="B90" s="833"/>
      <c r="C90" s="833"/>
      <c r="D90" s="833"/>
      <c r="E90" s="834" t="s">
        <v>19</v>
      </c>
      <c r="F90" s="833"/>
      <c r="G90" s="941"/>
      <c r="H90" s="158" t="s">
        <v>12</v>
      </c>
      <c r="I90" s="836"/>
      <c r="J90" s="836"/>
      <c r="K90" s="837"/>
      <c r="L90" s="837">
        <f t="shared" ca="1" si="52"/>
        <v>111180</v>
      </c>
      <c r="M90" s="837">
        <f t="shared" ca="1" si="52"/>
        <v>73730</v>
      </c>
      <c r="N90" s="837">
        <f t="shared" ca="1" si="52"/>
        <v>40005</v>
      </c>
      <c r="O90" s="837">
        <f t="shared" ca="1" si="50"/>
        <v>35.982191041554238</v>
      </c>
      <c r="P90" s="837">
        <f t="shared" ca="1" si="51"/>
        <v>54.258782042587818</v>
      </c>
      <c r="Q90" s="825"/>
      <c r="R90" s="825"/>
      <c r="S90" s="825"/>
      <c r="T90" s="825"/>
      <c r="U90" s="825"/>
      <c r="V90" s="825"/>
      <c r="W90" s="825"/>
      <c r="X90" s="825"/>
      <c r="Y90" s="825"/>
      <c r="Z90" s="825"/>
    </row>
    <row r="91" spans="1:26" ht="18.75">
      <c r="A91" s="942"/>
      <c r="B91" s="827"/>
      <c r="C91" s="943"/>
      <c r="D91" s="828" t="s">
        <v>20</v>
      </c>
      <c r="E91" s="827"/>
      <c r="F91" s="827"/>
      <c r="G91" s="829"/>
      <c r="H91" s="778" t="s">
        <v>12</v>
      </c>
      <c r="I91" s="944"/>
      <c r="J91" s="944"/>
      <c r="K91" s="945"/>
      <c r="L91" s="831">
        <f t="shared" ref="L91:N91" ca="1" si="53">L92+L93</f>
        <v>111180</v>
      </c>
      <c r="M91" s="831">
        <f t="shared" ca="1" si="53"/>
        <v>73730</v>
      </c>
      <c r="N91" s="831">
        <f t="shared" ca="1" si="53"/>
        <v>40005</v>
      </c>
      <c r="O91" s="831">
        <f t="shared" ca="1" si="50"/>
        <v>35.982191041554238</v>
      </c>
      <c r="P91" s="831">
        <f t="shared" ca="1" si="51"/>
        <v>54.258782042587818</v>
      </c>
      <c r="Q91" s="818"/>
      <c r="R91" s="818"/>
      <c r="S91" s="818"/>
      <c r="T91" s="818"/>
      <c r="U91" s="818"/>
      <c r="V91" s="818"/>
      <c r="W91" s="818"/>
      <c r="X91" s="818"/>
      <c r="Y91" s="818"/>
      <c r="Z91" s="818"/>
    </row>
    <row r="92" spans="1:26" ht="19.5" hidden="1">
      <c r="A92" s="940"/>
      <c r="B92" s="833"/>
      <c r="C92" s="946"/>
      <c r="D92" s="833"/>
      <c r="E92" s="834" t="s">
        <v>36</v>
      </c>
      <c r="F92" s="833"/>
      <c r="G92" s="941"/>
      <c r="H92" s="165" t="s">
        <v>12</v>
      </c>
      <c r="I92" s="947"/>
      <c r="J92" s="947"/>
      <c r="K92" s="948"/>
      <c r="L92" s="837">
        <v>0</v>
      </c>
      <c r="M92" s="837">
        <v>0</v>
      </c>
      <c r="N92" s="837">
        <v>0</v>
      </c>
      <c r="O92" s="837">
        <f t="shared" si="50"/>
        <v>0</v>
      </c>
      <c r="P92" s="837">
        <f t="shared" si="51"/>
        <v>0</v>
      </c>
      <c r="Q92" s="825"/>
      <c r="R92" s="825"/>
      <c r="S92" s="825"/>
      <c r="T92" s="825"/>
      <c r="U92" s="825"/>
      <c r="V92" s="825"/>
      <c r="W92" s="825"/>
      <c r="X92" s="825"/>
      <c r="Y92" s="825"/>
      <c r="Z92" s="825"/>
    </row>
    <row r="93" spans="1:26" ht="19.5" hidden="1">
      <c r="A93" s="940"/>
      <c r="B93" s="833"/>
      <c r="C93" s="946"/>
      <c r="D93" s="833"/>
      <c r="E93" s="834" t="s">
        <v>37</v>
      </c>
      <c r="F93" s="833"/>
      <c r="G93" s="941"/>
      <c r="H93" s="165" t="s">
        <v>12</v>
      </c>
      <c r="I93" s="947"/>
      <c r="J93" s="947"/>
      <c r="K93" s="948"/>
      <c r="L93" s="837">
        <f ca="1">IFERROR(__xludf.DUMMYFUNCTION("IMPORTRANGE(""https://docs.google.com/spreadsheets/d/1MeEWN-I1oV_STSDYn1IFDPWt_1FKiwhDph83XaGc0o0/edit?usp=sharing"",""งบพรบ!AQ30"")"),111180)</f>
        <v>111180</v>
      </c>
      <c r="M93" s="837">
        <f ca="1">IFERROR(__xludf.DUMMYFUNCTION("IMPORTRANGE(""https://docs.google.com/spreadsheets/d/1MeEWN-I1oV_STSDYn1IFDPWt_1FKiwhDph83XaGc0o0/edit?usp=sharing"",""งบพรบ!AV30"")"),73730)</f>
        <v>73730</v>
      </c>
      <c r="N93" s="837">
        <f ca="1">IFERROR(__xludf.DUMMYFUNCTION("IMPORTRANGE(""https://docs.google.com/spreadsheets/d/1MeEWN-I1oV_STSDYn1IFDPWt_1FKiwhDph83XaGc0o0/edit?usp=sharing"",""งบพรบ!AX30"")"),40005)</f>
        <v>40005</v>
      </c>
      <c r="O93" s="837">
        <f t="shared" ca="1" si="50"/>
        <v>35.982191041554238</v>
      </c>
      <c r="P93" s="837">
        <f t="shared" ca="1" si="51"/>
        <v>54.258782042587818</v>
      </c>
      <c r="Q93" s="825"/>
      <c r="R93" s="825"/>
      <c r="S93" s="825"/>
      <c r="T93" s="825"/>
      <c r="U93" s="825"/>
      <c r="V93" s="825"/>
      <c r="W93" s="825"/>
      <c r="X93" s="825"/>
      <c r="Y93" s="825"/>
      <c r="Z93" s="825"/>
    </row>
    <row r="94" spans="1:26" ht="18.75">
      <c r="A94" s="942"/>
      <c r="B94" s="827"/>
      <c r="C94" s="943"/>
      <c r="D94" s="828" t="s">
        <v>21</v>
      </c>
      <c r="E94" s="827"/>
      <c r="F94" s="827"/>
      <c r="G94" s="829"/>
      <c r="H94" s="168" t="s">
        <v>12</v>
      </c>
      <c r="I94" s="944"/>
      <c r="J94" s="944"/>
      <c r="K94" s="945"/>
      <c r="L94" s="831">
        <f t="shared" ref="L94:N94" ca="1" si="54">L95+L96</f>
        <v>0</v>
      </c>
      <c r="M94" s="831">
        <f t="shared" ca="1" si="54"/>
        <v>0</v>
      </c>
      <c r="N94" s="831">
        <f t="shared" ca="1" si="54"/>
        <v>0</v>
      </c>
      <c r="O94" s="831">
        <f t="shared" ca="1" si="50"/>
        <v>0</v>
      </c>
      <c r="P94" s="831">
        <f t="shared" ca="1" si="51"/>
        <v>0</v>
      </c>
      <c r="Q94" s="818"/>
      <c r="R94" s="818"/>
      <c r="S94" s="818"/>
      <c r="T94" s="818"/>
      <c r="U94" s="818"/>
      <c r="V94" s="818"/>
      <c r="W94" s="818"/>
      <c r="X94" s="818"/>
      <c r="Y94" s="818"/>
      <c r="Z94" s="818"/>
    </row>
    <row r="95" spans="1:26" ht="19.5" hidden="1">
      <c r="A95" s="940"/>
      <c r="B95" s="833"/>
      <c r="C95" s="946"/>
      <c r="D95" s="833"/>
      <c r="E95" s="834" t="s">
        <v>18</v>
      </c>
      <c r="F95" s="833"/>
      <c r="G95" s="941"/>
      <c r="H95" s="165" t="s">
        <v>12</v>
      </c>
      <c r="I95" s="947"/>
      <c r="J95" s="947"/>
      <c r="K95" s="948"/>
      <c r="L95" s="837">
        <v>0</v>
      </c>
      <c r="M95" s="837">
        <v>0</v>
      </c>
      <c r="N95" s="837">
        <v>0</v>
      </c>
      <c r="O95" s="837">
        <f t="shared" si="50"/>
        <v>0</v>
      </c>
      <c r="P95" s="837">
        <f t="shared" si="51"/>
        <v>0</v>
      </c>
      <c r="Q95" s="825"/>
      <c r="R95" s="825"/>
      <c r="S95" s="825"/>
      <c r="T95" s="825"/>
      <c r="U95" s="825"/>
      <c r="V95" s="825"/>
      <c r="W95" s="825"/>
      <c r="X95" s="825"/>
      <c r="Y95" s="825"/>
      <c r="Z95" s="825"/>
    </row>
    <row r="96" spans="1:26" ht="19.5" hidden="1">
      <c r="A96" s="940"/>
      <c r="B96" s="833"/>
      <c r="C96" s="946"/>
      <c r="D96" s="833"/>
      <c r="E96" s="834" t="s">
        <v>19</v>
      </c>
      <c r="F96" s="833"/>
      <c r="G96" s="941"/>
      <c r="H96" s="169" t="s">
        <v>12</v>
      </c>
      <c r="I96" s="947"/>
      <c r="J96" s="947"/>
      <c r="K96" s="948"/>
      <c r="L96" s="837">
        <f ca="1">IFERROR(__xludf.DUMMYFUNCTION("IMPORTRANGE(""https://docs.google.com/spreadsheets/d/1MeEWN-I1oV_STSDYn1IFDPWt_1FKiwhDph83XaGc0o0/edit?usp=sharing"",""งบพรบ!AT30"")"),0)</f>
        <v>0</v>
      </c>
      <c r="M96" s="837">
        <f ca="1">IFERROR(__xludf.DUMMYFUNCTION("IMPORTRANGE(""https://docs.google.com/spreadsheets/d/1MeEWN-I1oV_STSDYn1IFDPWt_1FKiwhDph83XaGc0o0/edit?usp=sharing"",""งบพรบ!AW30"")"),0)</f>
        <v>0</v>
      </c>
      <c r="N96" s="837">
        <f ca="1">IFERROR(__xludf.DUMMYFUNCTION("IMPORTRANGE(""https://docs.google.com/spreadsheets/d/1MeEWN-I1oV_STSDYn1IFDPWt_1FKiwhDph83XaGc0o0/edit?usp=sharing"",""งบพรบ!AY30"")"),0)</f>
        <v>0</v>
      </c>
      <c r="O96" s="837">
        <f t="shared" ca="1" si="50"/>
        <v>0</v>
      </c>
      <c r="P96" s="837">
        <f t="shared" ca="1" si="51"/>
        <v>0</v>
      </c>
      <c r="Q96" s="825"/>
      <c r="R96" s="825"/>
      <c r="S96" s="825"/>
      <c r="T96" s="825"/>
      <c r="U96" s="825"/>
      <c r="V96" s="825"/>
      <c r="W96" s="825"/>
      <c r="X96" s="825"/>
      <c r="Y96" s="825"/>
      <c r="Z96" s="825"/>
    </row>
    <row r="97" spans="1:16" ht="19.5">
      <c r="A97" s="949"/>
      <c r="B97" s="950"/>
      <c r="C97" s="946" t="s">
        <v>16</v>
      </c>
      <c r="D97" s="951" t="s">
        <v>38</v>
      </c>
      <c r="E97" s="952"/>
      <c r="F97" s="952"/>
      <c r="G97" s="953"/>
      <c r="H97" s="954"/>
      <c r="I97" s="944"/>
      <c r="J97" s="830"/>
      <c r="K97" s="831"/>
      <c r="L97" s="831"/>
      <c r="M97" s="831"/>
      <c r="N97" s="831"/>
      <c r="O97" s="945"/>
      <c r="P97" s="945"/>
    </row>
    <row r="98" spans="1:16" ht="18.75">
      <c r="A98" s="949"/>
      <c r="B98" s="950"/>
      <c r="C98" s="950"/>
      <c r="D98" s="956" t="s">
        <v>47</v>
      </c>
      <c r="E98" s="956"/>
      <c r="F98" s="957"/>
      <c r="G98" s="958"/>
      <c r="H98" s="590" t="s">
        <v>46</v>
      </c>
      <c r="I98" s="830">
        <f ca="1">IFERROR(__xludf.DUMMYFUNCTION("IMPORTRANGE(""https://docs.google.com/spreadsheets/d/1QqKyyYR6Q21VydFLVH3TRQUabQu_ym0Zz7PgGX0-kHA/edit?usp=sharing"",""แผน!K30"")"),60)</f>
        <v>60</v>
      </c>
      <c r="J98" s="830">
        <f>J102</f>
        <v>60</v>
      </c>
      <c r="K98" s="831">
        <f t="shared" ref="K98:K100" ca="1" si="55">IF(I98&gt;0,J98*100/I98,0)</f>
        <v>100</v>
      </c>
      <c r="L98" s="831"/>
      <c r="M98" s="831"/>
      <c r="N98" s="831"/>
      <c r="O98" s="945"/>
      <c r="P98" s="945"/>
    </row>
    <row r="99" spans="1:16" ht="18.75">
      <c r="A99" s="949"/>
      <c r="B99" s="950"/>
      <c r="C99" s="950"/>
      <c r="D99" s="956" t="s">
        <v>48</v>
      </c>
      <c r="E99" s="956"/>
      <c r="F99" s="957"/>
      <c r="G99" s="958"/>
      <c r="H99" s="590" t="s">
        <v>35</v>
      </c>
      <c r="I99" s="830">
        <f ca="1">IFERROR(__xludf.DUMMYFUNCTION("IMPORTRANGE(""https://docs.google.com/spreadsheets/d/1QqKyyYR6Q21VydFLVH3TRQUabQu_ym0Zz7PgGX0-kHA/edit?usp=sharing"",""แผน!L30"")"),20)</f>
        <v>20</v>
      </c>
      <c r="J99" s="830">
        <f>J104</f>
        <v>20</v>
      </c>
      <c r="K99" s="831">
        <f t="shared" ca="1" si="55"/>
        <v>100</v>
      </c>
      <c r="L99" s="831"/>
      <c r="M99" s="831"/>
      <c r="N99" s="831"/>
      <c r="O99" s="945"/>
      <c r="P99" s="945"/>
    </row>
    <row r="100" spans="1:16" ht="18.75">
      <c r="A100" s="949"/>
      <c r="B100" s="950"/>
      <c r="C100" s="950"/>
      <c r="D100" s="950"/>
      <c r="E100" s="957"/>
      <c r="F100" s="957"/>
      <c r="G100" s="958"/>
      <c r="H100" s="590" t="s">
        <v>49</v>
      </c>
      <c r="I100" s="830">
        <f ca="1">IFERROR(__xludf.DUMMYFUNCTION("IMPORTRANGE(""https://docs.google.com/spreadsheets/d/1QqKyyYR6Q21VydFLVH3TRQUabQu_ym0Zz7PgGX0-kHA/edit?usp=sharing"",""แผน!M30"")"),2)</f>
        <v>2</v>
      </c>
      <c r="J100" s="830">
        <f>J107+J110</f>
        <v>2</v>
      </c>
      <c r="K100" s="831">
        <f t="shared" ca="1" si="55"/>
        <v>100</v>
      </c>
      <c r="L100" s="831"/>
      <c r="M100" s="831"/>
      <c r="N100" s="831"/>
      <c r="O100" s="945"/>
      <c r="P100" s="945"/>
    </row>
    <row r="101" spans="1:16" ht="19.5">
      <c r="A101" s="949"/>
      <c r="B101" s="950"/>
      <c r="C101" s="950"/>
      <c r="D101" s="957"/>
      <c r="E101" s="960" t="s">
        <v>50</v>
      </c>
      <c r="F101" s="957"/>
      <c r="G101" s="958"/>
      <c r="H101" s="590"/>
      <c r="I101" s="830"/>
      <c r="J101" s="830"/>
      <c r="K101" s="831"/>
      <c r="L101" s="831"/>
      <c r="M101" s="831"/>
      <c r="N101" s="831"/>
      <c r="O101" s="945"/>
      <c r="P101" s="945"/>
    </row>
    <row r="102" spans="1:16" ht="18.75">
      <c r="A102" s="949"/>
      <c r="B102" s="950"/>
      <c r="C102" s="950"/>
      <c r="D102" s="957"/>
      <c r="E102" s="961" t="s">
        <v>47</v>
      </c>
      <c r="F102" s="957"/>
      <c r="G102" s="958"/>
      <c r="H102" s="590" t="s">
        <v>46</v>
      </c>
      <c r="I102" s="830">
        <f ca="1">IFERROR(__xludf.DUMMYFUNCTION("IMPORTRANGE(""https://docs.google.com/spreadsheets/d/1QqKyyYR6Q21VydFLVH3TRQUabQu_ym0Zz7PgGX0-kHA/edit?usp=sharing"",""แผน!N30"")"),60)</f>
        <v>60</v>
      </c>
      <c r="J102" s="959">
        <v>60</v>
      </c>
      <c r="K102" s="831">
        <f t="shared" ref="K102:K104" ca="1" si="56">IF(I102&gt;0,J102*100/I102,0)</f>
        <v>100</v>
      </c>
      <c r="L102" s="831"/>
      <c r="M102" s="831"/>
      <c r="N102" s="831"/>
      <c r="O102" s="945"/>
      <c r="P102" s="945"/>
    </row>
    <row r="103" spans="1:16" ht="19.5">
      <c r="A103" s="949"/>
      <c r="B103" s="950"/>
      <c r="C103" s="950"/>
      <c r="D103" s="957"/>
      <c r="E103" s="956" t="s">
        <v>51</v>
      </c>
      <c r="F103" s="957"/>
      <c r="G103" s="958"/>
      <c r="H103" s="590" t="s">
        <v>35</v>
      </c>
      <c r="I103" s="830">
        <f ca="1">IFERROR(__xludf.DUMMYFUNCTION("IMPORTRANGE(""https://docs.google.com/spreadsheets/d/1QqKyyYR6Q21VydFLVH3TRQUabQu_ym0Zz7PgGX0-kHA/edit?usp=sharing"",""แผน!O30"")"),20)</f>
        <v>20</v>
      </c>
      <c r="J103" s="959">
        <v>20</v>
      </c>
      <c r="K103" s="831">
        <f t="shared" ca="1" si="56"/>
        <v>100</v>
      </c>
      <c r="L103" s="831"/>
      <c r="M103" s="831"/>
      <c r="N103" s="831"/>
      <c r="O103" s="945"/>
      <c r="P103" s="945"/>
    </row>
    <row r="104" spans="1:16" ht="18.75">
      <c r="A104" s="949"/>
      <c r="B104" s="950"/>
      <c r="C104" s="950"/>
      <c r="D104" s="957"/>
      <c r="E104" s="962" t="s">
        <v>52</v>
      </c>
      <c r="F104" s="957"/>
      <c r="G104" s="958"/>
      <c r="H104" s="590" t="s">
        <v>35</v>
      </c>
      <c r="I104" s="830">
        <f ca="1">IFERROR(__xludf.DUMMYFUNCTION("IMPORTRANGE(""https://docs.google.com/spreadsheets/d/1QqKyyYR6Q21VydFLVH3TRQUabQu_ym0Zz7PgGX0-kHA/edit?usp=sharing"",""แผน!O30"")"),20)</f>
        <v>20</v>
      </c>
      <c r="J104" s="959">
        <v>20</v>
      </c>
      <c r="K104" s="831">
        <f t="shared" ca="1" si="56"/>
        <v>100</v>
      </c>
      <c r="L104" s="831"/>
      <c r="M104" s="831"/>
      <c r="N104" s="831"/>
      <c r="O104" s="945"/>
      <c r="P104" s="945"/>
    </row>
    <row r="105" spans="1:16" ht="19.5">
      <c r="A105" s="949"/>
      <c r="B105" s="950"/>
      <c r="C105" s="950"/>
      <c r="D105" s="957"/>
      <c r="E105" s="960" t="s">
        <v>53</v>
      </c>
      <c r="F105" s="957"/>
      <c r="G105" s="958"/>
      <c r="H105" s="963"/>
      <c r="I105" s="830"/>
      <c r="J105" s="830"/>
      <c r="K105" s="831"/>
      <c r="L105" s="831"/>
      <c r="M105" s="831"/>
      <c r="N105" s="831"/>
      <c r="O105" s="945"/>
      <c r="P105" s="945"/>
    </row>
    <row r="106" spans="1:16" ht="19.5">
      <c r="A106" s="949"/>
      <c r="B106" s="950"/>
      <c r="C106" s="950"/>
      <c r="D106" s="957"/>
      <c r="E106" s="956" t="s">
        <v>54</v>
      </c>
      <c r="F106" s="957"/>
      <c r="G106" s="958"/>
      <c r="H106" s="590" t="s">
        <v>49</v>
      </c>
      <c r="I106" s="830">
        <f ca="1">IFERROR(__xludf.DUMMYFUNCTION("IMPORTRANGE(""https://docs.google.com/spreadsheets/d/1QqKyyYR6Q21VydFLVH3TRQUabQu_ym0Zz7PgGX0-kHA/edit?usp=sharing"",""แผน!P30"")"),1)</f>
        <v>1</v>
      </c>
      <c r="J106" s="959">
        <v>1</v>
      </c>
      <c r="K106" s="831">
        <f t="shared" ref="K106:K107" ca="1" si="57">IF(I106&gt;0,J106*100/I106,0)</f>
        <v>100</v>
      </c>
      <c r="L106" s="831"/>
      <c r="M106" s="831"/>
      <c r="N106" s="831"/>
      <c r="O106" s="945"/>
      <c r="P106" s="945"/>
    </row>
    <row r="107" spans="1:16" ht="18.75">
      <c r="A107" s="949"/>
      <c r="B107" s="950"/>
      <c r="C107" s="950"/>
      <c r="D107" s="957"/>
      <c r="E107" s="962" t="s">
        <v>55</v>
      </c>
      <c r="F107" s="957"/>
      <c r="G107" s="958"/>
      <c r="H107" s="590" t="s">
        <v>49</v>
      </c>
      <c r="I107" s="830">
        <f ca="1">IFERROR(__xludf.DUMMYFUNCTION("IMPORTRANGE(""https://docs.google.com/spreadsheets/d/1QqKyyYR6Q21VydFLVH3TRQUabQu_ym0Zz7PgGX0-kHA/edit?usp=sharing"",""แผน!P30"")"),1)</f>
        <v>1</v>
      </c>
      <c r="J107" s="959">
        <v>1</v>
      </c>
      <c r="K107" s="831">
        <f t="shared" ca="1" si="57"/>
        <v>100</v>
      </c>
      <c r="L107" s="831"/>
      <c r="M107" s="831"/>
      <c r="N107" s="831"/>
      <c r="O107" s="945"/>
      <c r="P107" s="945"/>
    </row>
    <row r="108" spans="1:16" ht="19.5">
      <c r="A108" s="949"/>
      <c r="B108" s="950"/>
      <c r="C108" s="950"/>
      <c r="D108" s="957"/>
      <c r="E108" s="960" t="s">
        <v>56</v>
      </c>
      <c r="F108" s="957"/>
      <c r="G108" s="958"/>
      <c r="H108" s="963"/>
      <c r="I108" s="830"/>
      <c r="J108" s="830"/>
      <c r="K108" s="831"/>
      <c r="L108" s="831"/>
      <c r="M108" s="831"/>
      <c r="N108" s="831"/>
      <c r="O108" s="945"/>
      <c r="P108" s="945"/>
    </row>
    <row r="109" spans="1:16" ht="19.5">
      <c r="A109" s="949"/>
      <c r="B109" s="950"/>
      <c r="C109" s="950"/>
      <c r="D109" s="957"/>
      <c r="E109" s="956" t="s">
        <v>57</v>
      </c>
      <c r="F109" s="957"/>
      <c r="G109" s="958"/>
      <c r="H109" s="590" t="s">
        <v>49</v>
      </c>
      <c r="I109" s="830">
        <f ca="1">IFERROR(__xludf.DUMMYFUNCTION("IMPORTRANGE(""https://docs.google.com/spreadsheets/d/1QqKyyYR6Q21VydFLVH3TRQUabQu_ym0Zz7PgGX0-kHA/edit?usp=sharing"",""แผน!Q30"")"),1)</f>
        <v>1</v>
      </c>
      <c r="J109" s="959">
        <v>1</v>
      </c>
      <c r="K109" s="831">
        <f t="shared" ref="K109:K116" ca="1" si="58">IF(I109&gt;0,J109*100/I109,0)</f>
        <v>100</v>
      </c>
      <c r="L109" s="831"/>
      <c r="M109" s="831"/>
      <c r="N109" s="831"/>
      <c r="O109" s="945"/>
      <c r="P109" s="945"/>
    </row>
    <row r="110" spans="1:16" ht="18.75">
      <c r="A110" s="949"/>
      <c r="B110" s="950"/>
      <c r="C110" s="950"/>
      <c r="D110" s="957"/>
      <c r="E110" s="964" t="s">
        <v>58</v>
      </c>
      <c r="F110" s="957"/>
      <c r="G110" s="958"/>
      <c r="H110" s="590" t="s">
        <v>49</v>
      </c>
      <c r="I110" s="830">
        <f ca="1">IFERROR(__xludf.DUMMYFUNCTION("IMPORTRANGE(""https://docs.google.com/spreadsheets/d/1QqKyyYR6Q21VydFLVH3TRQUabQu_ym0Zz7PgGX0-kHA/edit?usp=sharing"",""แผน!Q30"")"),1)</f>
        <v>1</v>
      </c>
      <c r="J110" s="959">
        <v>1</v>
      </c>
      <c r="K110" s="831">
        <f t="shared" ca="1" si="58"/>
        <v>100</v>
      </c>
      <c r="L110" s="831"/>
      <c r="M110" s="831"/>
      <c r="N110" s="831"/>
      <c r="O110" s="945"/>
      <c r="P110" s="945"/>
    </row>
    <row r="111" spans="1:16" ht="19.5">
      <c r="A111" s="949"/>
      <c r="B111" s="950"/>
      <c r="C111" s="950"/>
      <c r="D111" s="960" t="s">
        <v>59</v>
      </c>
      <c r="E111" s="960"/>
      <c r="F111" s="957"/>
      <c r="G111" s="958"/>
      <c r="H111" s="733" t="s">
        <v>35</v>
      </c>
      <c r="I111" s="965">
        <f ca="1">IFERROR(__xludf.DUMMYFUNCTION("IMPORTRANGE(""https://docs.google.com/spreadsheets/d/1QqKyyYR6Q21VydFLVH3TRQUabQu_ym0Zz7PgGX0-kHA/edit?usp=sharing"",""แผน!R30"")"),20)</f>
        <v>20</v>
      </c>
      <c r="J111" s="966">
        <f>J114</f>
        <v>0</v>
      </c>
      <c r="K111" s="967">
        <f t="shared" ca="1" si="58"/>
        <v>0</v>
      </c>
      <c r="L111" s="831"/>
      <c r="M111" s="831"/>
      <c r="N111" s="831"/>
      <c r="O111" s="945"/>
      <c r="P111" s="945"/>
    </row>
    <row r="112" spans="1:16" ht="19.5">
      <c r="A112" s="949"/>
      <c r="B112" s="950"/>
      <c r="C112" s="950"/>
      <c r="D112" s="950"/>
      <c r="E112" s="957"/>
      <c r="F112" s="957"/>
      <c r="G112" s="958"/>
      <c r="H112" s="196" t="s">
        <v>49</v>
      </c>
      <c r="I112" s="965">
        <f t="shared" ref="I112:J112" ca="1" si="59">I115+I116</f>
        <v>2</v>
      </c>
      <c r="J112" s="966">
        <f t="shared" si="59"/>
        <v>0</v>
      </c>
      <c r="K112" s="967">
        <f t="shared" ca="1" si="58"/>
        <v>0</v>
      </c>
      <c r="L112" s="831"/>
      <c r="M112" s="831"/>
      <c r="N112" s="831"/>
      <c r="O112" s="945"/>
      <c r="P112" s="945"/>
    </row>
    <row r="113" spans="1:26" ht="19.5">
      <c r="A113" s="949"/>
      <c r="B113" s="950"/>
      <c r="C113" s="950"/>
      <c r="D113" s="950"/>
      <c r="E113" s="968" t="s">
        <v>60</v>
      </c>
      <c r="F113" s="957"/>
      <c r="G113" s="958"/>
      <c r="H113" s="198" t="s">
        <v>35</v>
      </c>
      <c r="I113" s="944">
        <f ca="1">IFERROR(__xludf.DUMMYFUNCTION("IMPORTRANGE(""https://docs.google.com/spreadsheets/d/1QqKyyYR6Q21VydFLVH3TRQUabQu_ym0Zz7PgGX0-kHA/edit?usp=sharing"",""แผน!R30"")"),20)</f>
        <v>20</v>
      </c>
      <c r="J113" s="959">
        <v>0</v>
      </c>
      <c r="K113" s="831">
        <f t="shared" ca="1" si="58"/>
        <v>0</v>
      </c>
      <c r="L113" s="831"/>
      <c r="M113" s="831"/>
      <c r="N113" s="831"/>
      <c r="O113" s="945"/>
      <c r="P113" s="945"/>
    </row>
    <row r="114" spans="1:26" ht="19.5">
      <c r="A114" s="949"/>
      <c r="B114" s="950"/>
      <c r="C114" s="950"/>
      <c r="D114" s="950"/>
      <c r="E114" s="956" t="s">
        <v>61</v>
      </c>
      <c r="F114" s="957"/>
      <c r="G114" s="958"/>
      <c r="H114" s="199" t="s">
        <v>35</v>
      </c>
      <c r="I114" s="944">
        <f ca="1">IFERROR(__xludf.DUMMYFUNCTION("IMPORTRANGE(""https://docs.google.com/spreadsheets/d/1QqKyyYR6Q21VydFLVH3TRQUabQu_ym0Zz7PgGX0-kHA/edit?usp=sharing"",""แผน!R30"")"),20)</f>
        <v>20</v>
      </c>
      <c r="J114" s="959">
        <v>0</v>
      </c>
      <c r="K114" s="831">
        <f t="shared" ca="1" si="58"/>
        <v>0</v>
      </c>
      <c r="L114" s="831"/>
      <c r="M114" s="831"/>
      <c r="N114" s="831"/>
      <c r="O114" s="945"/>
      <c r="P114" s="945"/>
    </row>
    <row r="115" spans="1:26" ht="18.75">
      <c r="A115" s="949"/>
      <c r="B115" s="950"/>
      <c r="C115" s="950"/>
      <c r="D115" s="950"/>
      <c r="E115" s="956" t="s">
        <v>62</v>
      </c>
      <c r="F115" s="957"/>
      <c r="G115" s="958"/>
      <c r="H115" s="199" t="s">
        <v>49</v>
      </c>
      <c r="I115" s="944">
        <f ca="1">IFERROR(__xludf.DUMMYFUNCTION("IMPORTRANGE(""https://docs.google.com/spreadsheets/d/1QqKyyYR6Q21VydFLVH3TRQUabQu_ym0Zz7PgGX0-kHA/edit?usp=sharing"",""แผน!S30"")"),1)</f>
        <v>1</v>
      </c>
      <c r="J115" s="959">
        <v>0</v>
      </c>
      <c r="K115" s="831">
        <f t="shared" ca="1" si="58"/>
        <v>0</v>
      </c>
      <c r="L115" s="831"/>
      <c r="M115" s="831"/>
      <c r="N115" s="831"/>
      <c r="O115" s="945"/>
      <c r="P115" s="945"/>
    </row>
    <row r="116" spans="1:26" ht="18.75">
      <c r="A116" s="949"/>
      <c r="B116" s="950"/>
      <c r="C116" s="950"/>
      <c r="D116" s="950"/>
      <c r="E116" s="956" t="s">
        <v>63</v>
      </c>
      <c r="F116" s="957"/>
      <c r="G116" s="958"/>
      <c r="H116" s="199" t="s">
        <v>49</v>
      </c>
      <c r="I116" s="944">
        <f ca="1">IFERROR(__xludf.DUMMYFUNCTION("IMPORTRANGE(""https://docs.google.com/spreadsheets/d/1QqKyyYR6Q21VydFLVH3TRQUabQu_ym0Zz7PgGX0-kHA/edit?usp=sharing"",""แผน!T30"")"),1)</f>
        <v>1</v>
      </c>
      <c r="J116" s="959">
        <v>0</v>
      </c>
      <c r="K116" s="831">
        <f t="shared" ca="1" si="58"/>
        <v>0</v>
      </c>
      <c r="L116" s="831"/>
      <c r="M116" s="831"/>
      <c r="N116" s="831"/>
      <c r="O116" s="945"/>
      <c r="P116" s="945"/>
    </row>
    <row r="117" spans="1:26" ht="19.5" hidden="1">
      <c r="A117" s="917" t="s">
        <v>64</v>
      </c>
      <c r="B117" s="918"/>
      <c r="C117" s="969"/>
      <c r="D117" s="918"/>
      <c r="E117" s="918"/>
      <c r="F117" s="918"/>
      <c r="G117" s="918"/>
      <c r="H117" s="970"/>
      <c r="I117" s="971"/>
      <c r="J117" s="971"/>
      <c r="K117" s="972"/>
      <c r="L117" s="923"/>
      <c r="M117" s="923"/>
      <c r="N117" s="923"/>
      <c r="O117" s="923"/>
      <c r="P117" s="923"/>
    </row>
    <row r="118" spans="1:26" ht="19.5" hidden="1">
      <c r="A118" s="924"/>
      <c r="B118" s="925" t="s">
        <v>65</v>
      </c>
      <c r="C118" s="973"/>
      <c r="D118" s="927"/>
      <c r="E118" s="926"/>
      <c r="F118" s="926"/>
      <c r="G118" s="928"/>
      <c r="H118" s="205"/>
      <c r="I118" s="974"/>
      <c r="J118" s="974"/>
      <c r="K118" s="931"/>
      <c r="L118" s="931"/>
      <c r="M118" s="931"/>
      <c r="N118" s="931"/>
      <c r="O118" s="931"/>
      <c r="P118" s="931"/>
    </row>
    <row r="119" spans="1:26" ht="19.5" hidden="1">
      <c r="A119" s="932"/>
      <c r="B119" s="933"/>
      <c r="C119" s="934" t="s">
        <v>16</v>
      </c>
      <c r="D119" s="935" t="s">
        <v>17</v>
      </c>
      <c r="E119" s="933"/>
      <c r="F119" s="933"/>
      <c r="G119" s="936"/>
      <c r="H119" s="152" t="s">
        <v>12</v>
      </c>
      <c r="I119" s="937"/>
      <c r="J119" s="937"/>
      <c r="K119" s="938"/>
      <c r="L119" s="939">
        <f t="shared" ref="L119:N119" ca="1" si="60">L120+L121</f>
        <v>0</v>
      </c>
      <c r="M119" s="939">
        <f t="shared" ca="1" si="60"/>
        <v>0</v>
      </c>
      <c r="N119" s="939">
        <f t="shared" ca="1" si="60"/>
        <v>0</v>
      </c>
      <c r="O119" s="939">
        <f t="shared" ref="O119:O127" ca="1" si="61">IF(L119&gt;0,N119*100/L119,0)</f>
        <v>0</v>
      </c>
      <c r="P119" s="939">
        <f t="shared" ref="P119:P127" ca="1" si="62">IF(M119&gt;0,N119*100/M119,0)</f>
        <v>0</v>
      </c>
      <c r="Q119" s="818"/>
      <c r="R119" s="818"/>
      <c r="S119" s="818"/>
      <c r="T119" s="818"/>
      <c r="U119" s="818"/>
      <c r="V119" s="818"/>
      <c r="W119" s="818"/>
      <c r="X119" s="818"/>
      <c r="Y119" s="818"/>
      <c r="Z119" s="818"/>
    </row>
    <row r="120" spans="1:26" ht="18.75" hidden="1">
      <c r="A120" s="940"/>
      <c r="B120" s="833"/>
      <c r="C120" s="833"/>
      <c r="D120" s="833"/>
      <c r="E120" s="834" t="s">
        <v>18</v>
      </c>
      <c r="F120" s="833"/>
      <c r="G120" s="941"/>
      <c r="H120" s="158" t="s">
        <v>12</v>
      </c>
      <c r="I120" s="836"/>
      <c r="J120" s="836"/>
      <c r="K120" s="837"/>
      <c r="L120" s="837">
        <f t="shared" ref="L120:N121" si="63">L123+L126</f>
        <v>0</v>
      </c>
      <c r="M120" s="837">
        <f t="shared" si="63"/>
        <v>0</v>
      </c>
      <c r="N120" s="837">
        <f t="shared" si="63"/>
        <v>0</v>
      </c>
      <c r="O120" s="837">
        <f t="shared" si="61"/>
        <v>0</v>
      </c>
      <c r="P120" s="837">
        <f t="shared" si="62"/>
        <v>0</v>
      </c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</row>
    <row r="121" spans="1:26" ht="18.75" hidden="1">
      <c r="A121" s="940"/>
      <c r="B121" s="833"/>
      <c r="C121" s="833"/>
      <c r="D121" s="833"/>
      <c r="E121" s="834" t="s">
        <v>19</v>
      </c>
      <c r="F121" s="833"/>
      <c r="G121" s="941"/>
      <c r="H121" s="158" t="s">
        <v>12</v>
      </c>
      <c r="I121" s="836"/>
      <c r="J121" s="836"/>
      <c r="K121" s="837"/>
      <c r="L121" s="837">
        <f t="shared" ca="1" si="63"/>
        <v>0</v>
      </c>
      <c r="M121" s="837">
        <f t="shared" ca="1" si="63"/>
        <v>0</v>
      </c>
      <c r="N121" s="837">
        <f t="shared" ca="1" si="63"/>
        <v>0</v>
      </c>
      <c r="O121" s="837">
        <f t="shared" ca="1" si="61"/>
        <v>0</v>
      </c>
      <c r="P121" s="837">
        <f t="shared" ca="1" si="62"/>
        <v>0</v>
      </c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</row>
    <row r="122" spans="1:26" ht="18.75" hidden="1">
      <c r="A122" s="942"/>
      <c r="B122" s="827"/>
      <c r="C122" s="943"/>
      <c r="D122" s="828" t="s">
        <v>20</v>
      </c>
      <c r="E122" s="827"/>
      <c r="F122" s="827"/>
      <c r="G122" s="829"/>
      <c r="H122" s="778" t="s">
        <v>12</v>
      </c>
      <c r="I122" s="944"/>
      <c r="J122" s="944"/>
      <c r="K122" s="945"/>
      <c r="L122" s="831">
        <f t="shared" ref="L122:N122" ca="1" si="64">L123+L124</f>
        <v>0</v>
      </c>
      <c r="M122" s="831">
        <f t="shared" ca="1" si="64"/>
        <v>0</v>
      </c>
      <c r="N122" s="831">
        <f t="shared" ca="1" si="64"/>
        <v>0</v>
      </c>
      <c r="O122" s="831">
        <f t="shared" ca="1" si="61"/>
        <v>0</v>
      </c>
      <c r="P122" s="831">
        <f t="shared" ca="1" si="62"/>
        <v>0</v>
      </c>
      <c r="Q122" s="818"/>
      <c r="R122" s="818"/>
      <c r="S122" s="818"/>
      <c r="T122" s="818"/>
      <c r="U122" s="818"/>
      <c r="V122" s="818"/>
      <c r="W122" s="818"/>
      <c r="X122" s="818"/>
      <c r="Y122" s="818"/>
      <c r="Z122" s="818"/>
    </row>
    <row r="123" spans="1:26" ht="18.75" hidden="1">
      <c r="A123" s="940"/>
      <c r="B123" s="833"/>
      <c r="C123" s="834"/>
      <c r="D123" s="833"/>
      <c r="E123" s="834" t="s">
        <v>36</v>
      </c>
      <c r="F123" s="833"/>
      <c r="G123" s="941"/>
      <c r="H123" s="165" t="s">
        <v>12</v>
      </c>
      <c r="I123" s="947"/>
      <c r="J123" s="947"/>
      <c r="K123" s="948"/>
      <c r="L123" s="837">
        <v>0</v>
      </c>
      <c r="M123" s="837">
        <v>0</v>
      </c>
      <c r="N123" s="837">
        <v>0</v>
      </c>
      <c r="O123" s="837">
        <f t="shared" si="61"/>
        <v>0</v>
      </c>
      <c r="P123" s="837">
        <f t="shared" si="62"/>
        <v>0</v>
      </c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</row>
    <row r="124" spans="1:26" ht="18.75" hidden="1">
      <c r="A124" s="940"/>
      <c r="B124" s="833"/>
      <c r="C124" s="834"/>
      <c r="D124" s="833"/>
      <c r="E124" s="834" t="s">
        <v>37</v>
      </c>
      <c r="F124" s="833"/>
      <c r="G124" s="941"/>
      <c r="H124" s="165" t="s">
        <v>12</v>
      </c>
      <c r="I124" s="947"/>
      <c r="J124" s="947"/>
      <c r="K124" s="948"/>
      <c r="L124" s="837">
        <f ca="1">IFERROR(__xludf.DUMMYFUNCTION("IMPORTRANGE(""https://docs.google.com/spreadsheets/d/1MeEWN-I1oV_STSDYn1IFDPWt_1FKiwhDph83XaGc0o0/edit?usp=sharing"",""งบพรบ!BA30"")"),0)</f>
        <v>0</v>
      </c>
      <c r="M124" s="837">
        <f ca="1">IFERROR(__xludf.DUMMYFUNCTION("IMPORTRANGE(""https://docs.google.com/spreadsheets/d/1MeEWN-I1oV_STSDYn1IFDPWt_1FKiwhDph83XaGc0o0/edit?usp=sharing"",""งบพรบ!BF30"")"),0)</f>
        <v>0</v>
      </c>
      <c r="N124" s="837">
        <f ca="1">IFERROR(__xludf.DUMMYFUNCTION("IMPORTRANGE(""https://docs.google.com/spreadsheets/d/1MeEWN-I1oV_STSDYn1IFDPWt_1FKiwhDph83XaGc0o0/edit?usp=sharing"",""งบพรบ!BH30"")"),0)</f>
        <v>0</v>
      </c>
      <c r="O124" s="837">
        <f t="shared" ca="1" si="61"/>
        <v>0</v>
      </c>
      <c r="P124" s="837">
        <f t="shared" ca="1" si="62"/>
        <v>0</v>
      </c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</row>
    <row r="125" spans="1:26" ht="18.75" hidden="1">
      <c r="A125" s="942"/>
      <c r="B125" s="827"/>
      <c r="C125" s="943"/>
      <c r="D125" s="828" t="s">
        <v>21</v>
      </c>
      <c r="E125" s="827"/>
      <c r="F125" s="827"/>
      <c r="G125" s="829"/>
      <c r="H125" s="168" t="s">
        <v>12</v>
      </c>
      <c r="I125" s="944"/>
      <c r="J125" s="944"/>
      <c r="K125" s="945"/>
      <c r="L125" s="831">
        <f t="shared" ref="L125:N125" ca="1" si="65">L126+L127</f>
        <v>0</v>
      </c>
      <c r="M125" s="831">
        <f t="shared" ca="1" si="65"/>
        <v>0</v>
      </c>
      <c r="N125" s="831">
        <f t="shared" ca="1" si="65"/>
        <v>0</v>
      </c>
      <c r="O125" s="831">
        <f t="shared" ca="1" si="61"/>
        <v>0</v>
      </c>
      <c r="P125" s="831">
        <f t="shared" ca="1" si="62"/>
        <v>0</v>
      </c>
      <c r="Q125" s="818"/>
      <c r="R125" s="818"/>
      <c r="S125" s="818"/>
      <c r="T125" s="818"/>
      <c r="U125" s="818"/>
      <c r="V125" s="818"/>
      <c r="W125" s="818"/>
      <c r="X125" s="818"/>
      <c r="Y125" s="818"/>
      <c r="Z125" s="818"/>
    </row>
    <row r="126" spans="1:26" ht="19.5" hidden="1">
      <c r="A126" s="940"/>
      <c r="B126" s="833"/>
      <c r="C126" s="946"/>
      <c r="D126" s="833"/>
      <c r="E126" s="834" t="s">
        <v>18</v>
      </c>
      <c r="F126" s="833"/>
      <c r="G126" s="941"/>
      <c r="H126" s="165" t="s">
        <v>12</v>
      </c>
      <c r="I126" s="947"/>
      <c r="J126" s="947"/>
      <c r="K126" s="948"/>
      <c r="L126" s="837">
        <v>0</v>
      </c>
      <c r="M126" s="837">
        <v>0</v>
      </c>
      <c r="N126" s="837">
        <v>0</v>
      </c>
      <c r="O126" s="837">
        <f t="shared" si="61"/>
        <v>0</v>
      </c>
      <c r="P126" s="837">
        <f t="shared" si="62"/>
        <v>0</v>
      </c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</row>
    <row r="127" spans="1:26" ht="19.5" hidden="1">
      <c r="A127" s="940"/>
      <c r="B127" s="833"/>
      <c r="C127" s="946"/>
      <c r="D127" s="833"/>
      <c r="E127" s="834" t="s">
        <v>19</v>
      </c>
      <c r="F127" s="833"/>
      <c r="G127" s="941"/>
      <c r="H127" s="169" t="s">
        <v>12</v>
      </c>
      <c r="I127" s="947"/>
      <c r="J127" s="947"/>
      <c r="K127" s="948"/>
      <c r="L127" s="837">
        <f ca="1">IFERROR(__xludf.DUMMYFUNCTION("IMPORTRANGE(""https://docs.google.com/spreadsheets/d/1MeEWN-I1oV_STSDYn1IFDPWt_1FKiwhDph83XaGc0o0/edit?usp=sharing"",""งบพรบ!BD30"")"),0)</f>
        <v>0</v>
      </c>
      <c r="M127" s="837">
        <f ca="1">IFERROR(__xludf.DUMMYFUNCTION("IMPORTRANGE(""https://docs.google.com/spreadsheets/d/1MeEWN-I1oV_STSDYn1IFDPWt_1FKiwhDph83XaGc0o0/edit?usp=sharing"",""งบพรบ!BG30"")"),0)</f>
        <v>0</v>
      </c>
      <c r="N127" s="837">
        <f ca="1">IFERROR(__xludf.DUMMYFUNCTION("IMPORTRANGE(""https://docs.google.com/spreadsheets/d/1MeEWN-I1oV_STSDYn1IFDPWt_1FKiwhDph83XaGc0o0/edit?usp=sharing"",""งบพรบ!BI30"")"),0)</f>
        <v>0</v>
      </c>
      <c r="O127" s="837">
        <f t="shared" ca="1" si="61"/>
        <v>0</v>
      </c>
      <c r="P127" s="837">
        <f t="shared" ca="1" si="62"/>
        <v>0</v>
      </c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</row>
    <row r="128" spans="1:26" ht="19.5">
      <c r="A128" s="917" t="s">
        <v>67</v>
      </c>
      <c r="B128" s="918"/>
      <c r="C128" s="969"/>
      <c r="D128" s="918"/>
      <c r="E128" s="918"/>
      <c r="F128" s="918"/>
      <c r="G128" s="918"/>
      <c r="H128" s="970"/>
      <c r="I128" s="971"/>
      <c r="J128" s="971"/>
      <c r="K128" s="972"/>
      <c r="L128" s="923"/>
      <c r="M128" s="923"/>
      <c r="N128" s="923"/>
      <c r="O128" s="923"/>
      <c r="P128" s="923"/>
    </row>
    <row r="129" spans="1:26" ht="19.5">
      <c r="A129" s="924"/>
      <c r="B129" s="925" t="s">
        <v>68</v>
      </c>
      <c r="C129" s="973"/>
      <c r="D129" s="927"/>
      <c r="E129" s="926"/>
      <c r="F129" s="926"/>
      <c r="G129" s="926"/>
      <c r="H129" s="207"/>
      <c r="I129" s="974"/>
      <c r="J129" s="974"/>
      <c r="K129" s="931"/>
      <c r="L129" s="931"/>
      <c r="M129" s="931"/>
      <c r="N129" s="931"/>
      <c r="O129" s="931"/>
      <c r="P129" s="931"/>
    </row>
    <row r="130" spans="1:26" ht="19.5">
      <c r="A130" s="924"/>
      <c r="B130" s="925"/>
      <c r="C130" s="975" t="s">
        <v>69</v>
      </c>
      <c r="D130" s="927"/>
      <c r="E130" s="926"/>
      <c r="F130" s="926"/>
      <c r="G130" s="928"/>
      <c r="H130" s="205" t="s">
        <v>66</v>
      </c>
      <c r="I130" s="929">
        <f t="shared" ref="I130:J130" ca="1" si="66">I146</f>
        <v>1</v>
      </c>
      <c r="J130" s="929">
        <f t="shared" si="66"/>
        <v>1</v>
      </c>
      <c r="K130" s="930">
        <f t="shared" ref="K130:K131" ca="1" si="67">IF(I130&gt;0,J130*100/I130,0)</f>
        <v>100</v>
      </c>
      <c r="L130" s="931"/>
      <c r="M130" s="931"/>
      <c r="N130" s="931"/>
      <c r="O130" s="931"/>
      <c r="P130" s="931"/>
    </row>
    <row r="131" spans="1:26" ht="19.5">
      <c r="A131" s="924"/>
      <c r="B131" s="925"/>
      <c r="C131" s="975" t="s">
        <v>70</v>
      </c>
      <c r="D131" s="927"/>
      <c r="E131" s="926"/>
      <c r="F131" s="926"/>
      <c r="G131" s="928"/>
      <c r="H131" s="205" t="s">
        <v>35</v>
      </c>
      <c r="I131" s="929">
        <f t="shared" ref="I131:J131" ca="1" si="68">I143</f>
        <v>10</v>
      </c>
      <c r="J131" s="929">
        <f t="shared" ca="1" si="68"/>
        <v>0</v>
      </c>
      <c r="K131" s="930">
        <f t="shared" ca="1" si="67"/>
        <v>0</v>
      </c>
      <c r="L131" s="931"/>
      <c r="M131" s="931"/>
      <c r="N131" s="931"/>
      <c r="O131" s="931"/>
      <c r="P131" s="931"/>
    </row>
    <row r="132" spans="1:26" ht="19.5">
      <c r="A132" s="932"/>
      <c r="B132" s="933"/>
      <c r="C132" s="934" t="s">
        <v>16</v>
      </c>
      <c r="D132" s="935" t="s">
        <v>17</v>
      </c>
      <c r="E132" s="933"/>
      <c r="F132" s="933"/>
      <c r="G132" s="936"/>
      <c r="H132" s="152" t="s">
        <v>12</v>
      </c>
      <c r="I132" s="937"/>
      <c r="J132" s="937"/>
      <c r="K132" s="938"/>
      <c r="L132" s="939">
        <f t="shared" ref="L132:N132" ca="1" si="69">L133+L134</f>
        <v>151655</v>
      </c>
      <c r="M132" s="939">
        <f t="shared" ca="1" si="69"/>
        <v>146900</v>
      </c>
      <c r="N132" s="939">
        <f t="shared" ca="1" si="69"/>
        <v>111095</v>
      </c>
      <c r="O132" s="939">
        <f t="shared" ref="O132:O140" ca="1" si="70">IF(L132&gt;0,N132*100/L132,0)</f>
        <v>73.255085556031787</v>
      </c>
      <c r="P132" s="939">
        <f t="shared" ref="P132:P140" ca="1" si="71">IF(M132&gt;0,N132*100/M132,0)</f>
        <v>75.626276378488768</v>
      </c>
      <c r="Q132" s="818"/>
      <c r="R132" s="818"/>
      <c r="S132" s="818"/>
      <c r="T132" s="818"/>
      <c r="U132" s="818"/>
      <c r="V132" s="818"/>
      <c r="W132" s="818"/>
      <c r="X132" s="818"/>
      <c r="Y132" s="818"/>
      <c r="Z132" s="818"/>
    </row>
    <row r="133" spans="1:26" ht="18.75" hidden="1">
      <c r="A133" s="940"/>
      <c r="B133" s="833"/>
      <c r="C133" s="833"/>
      <c r="D133" s="833"/>
      <c r="E133" s="834" t="s">
        <v>18</v>
      </c>
      <c r="F133" s="833"/>
      <c r="G133" s="941"/>
      <c r="H133" s="158" t="s">
        <v>12</v>
      </c>
      <c r="I133" s="836"/>
      <c r="J133" s="836"/>
      <c r="K133" s="837"/>
      <c r="L133" s="837">
        <f t="shared" ref="L133:N134" si="72">L136+L139</f>
        <v>0</v>
      </c>
      <c r="M133" s="837">
        <f t="shared" si="72"/>
        <v>0</v>
      </c>
      <c r="N133" s="837">
        <f t="shared" si="72"/>
        <v>0</v>
      </c>
      <c r="O133" s="837">
        <f t="shared" si="70"/>
        <v>0</v>
      </c>
      <c r="P133" s="837">
        <f t="shared" si="71"/>
        <v>0</v>
      </c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</row>
    <row r="134" spans="1:26" ht="18.75" hidden="1">
      <c r="A134" s="940"/>
      <c r="B134" s="833"/>
      <c r="C134" s="833"/>
      <c r="D134" s="833"/>
      <c r="E134" s="834" t="s">
        <v>19</v>
      </c>
      <c r="F134" s="833"/>
      <c r="G134" s="941"/>
      <c r="H134" s="158" t="s">
        <v>12</v>
      </c>
      <c r="I134" s="836"/>
      <c r="J134" s="836"/>
      <c r="K134" s="837"/>
      <c r="L134" s="837">
        <f t="shared" ca="1" si="72"/>
        <v>151655</v>
      </c>
      <c r="M134" s="837">
        <f t="shared" ca="1" si="72"/>
        <v>146900</v>
      </c>
      <c r="N134" s="837">
        <f t="shared" ca="1" si="72"/>
        <v>111095</v>
      </c>
      <c r="O134" s="837">
        <f t="shared" ca="1" si="70"/>
        <v>73.255085556031787</v>
      </c>
      <c r="P134" s="837">
        <f t="shared" ca="1" si="71"/>
        <v>75.626276378488768</v>
      </c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</row>
    <row r="135" spans="1:26" ht="18.75">
      <c r="A135" s="942"/>
      <c r="B135" s="827"/>
      <c r="C135" s="943"/>
      <c r="D135" s="828" t="s">
        <v>20</v>
      </c>
      <c r="E135" s="827"/>
      <c r="F135" s="827"/>
      <c r="G135" s="829"/>
      <c r="H135" s="778" t="s">
        <v>12</v>
      </c>
      <c r="I135" s="944"/>
      <c r="J135" s="944"/>
      <c r="K135" s="945"/>
      <c r="L135" s="831">
        <f t="shared" ref="L135:N135" ca="1" si="73">L136+L137</f>
        <v>48655</v>
      </c>
      <c r="M135" s="831">
        <f t="shared" ca="1" si="73"/>
        <v>43900</v>
      </c>
      <c r="N135" s="831">
        <f t="shared" ca="1" si="73"/>
        <v>8095</v>
      </c>
      <c r="O135" s="831">
        <f t="shared" ca="1" si="70"/>
        <v>16.637550097626143</v>
      </c>
      <c r="P135" s="831">
        <f t="shared" ca="1" si="71"/>
        <v>18.439635535307517</v>
      </c>
      <c r="Q135" s="818"/>
      <c r="R135" s="818"/>
      <c r="S135" s="818"/>
      <c r="T135" s="818"/>
      <c r="U135" s="818"/>
      <c r="V135" s="818"/>
      <c r="W135" s="818"/>
      <c r="X135" s="818"/>
      <c r="Y135" s="818"/>
      <c r="Z135" s="818"/>
    </row>
    <row r="136" spans="1:26" ht="19.5" hidden="1">
      <c r="A136" s="940"/>
      <c r="B136" s="833"/>
      <c r="C136" s="946"/>
      <c r="D136" s="833"/>
      <c r="E136" s="834" t="s">
        <v>36</v>
      </c>
      <c r="F136" s="833"/>
      <c r="G136" s="941"/>
      <c r="H136" s="165" t="s">
        <v>12</v>
      </c>
      <c r="I136" s="947"/>
      <c r="J136" s="947"/>
      <c r="K136" s="948"/>
      <c r="L136" s="837">
        <v>0</v>
      </c>
      <c r="M136" s="837">
        <v>0</v>
      </c>
      <c r="N136" s="837">
        <v>0</v>
      </c>
      <c r="O136" s="837">
        <f t="shared" si="70"/>
        <v>0</v>
      </c>
      <c r="P136" s="837">
        <f t="shared" si="71"/>
        <v>0</v>
      </c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</row>
    <row r="137" spans="1:26" ht="19.5" hidden="1">
      <c r="A137" s="940"/>
      <c r="B137" s="833"/>
      <c r="C137" s="946"/>
      <c r="D137" s="833"/>
      <c r="E137" s="834" t="s">
        <v>37</v>
      </c>
      <c r="F137" s="833"/>
      <c r="G137" s="941"/>
      <c r="H137" s="165" t="s">
        <v>12</v>
      </c>
      <c r="I137" s="947"/>
      <c r="J137" s="947"/>
      <c r="K137" s="948"/>
      <c r="L137" s="837">
        <f ca="1">IFERROR(__xludf.DUMMYFUNCTION("IMPORTRANGE(""https://docs.google.com/spreadsheets/d/1MeEWN-I1oV_STSDYn1IFDPWt_1FKiwhDph83XaGc0o0/edit?usp=sharing"",""งบพรบ!BK30"")"),48655)</f>
        <v>48655</v>
      </c>
      <c r="M137" s="837">
        <f ca="1">IFERROR(__xludf.DUMMYFUNCTION("IMPORTRANGE(""https://docs.google.com/spreadsheets/d/1MeEWN-I1oV_STSDYn1IFDPWt_1FKiwhDph83XaGc0o0/edit?usp=sharing"",""งบพรบ!BP30"")"),43900)</f>
        <v>43900</v>
      </c>
      <c r="N137" s="837">
        <f ca="1">IFERROR(__xludf.DUMMYFUNCTION("IMPORTRANGE(""https://docs.google.com/spreadsheets/d/1MeEWN-I1oV_STSDYn1IFDPWt_1FKiwhDph83XaGc0o0/edit?usp=sharing"",""งบพรบ!BR30"")"),8095)</f>
        <v>8095</v>
      </c>
      <c r="O137" s="837">
        <f t="shared" ca="1" si="70"/>
        <v>16.637550097626143</v>
      </c>
      <c r="P137" s="837">
        <f t="shared" ca="1" si="71"/>
        <v>18.439635535307517</v>
      </c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</row>
    <row r="138" spans="1:26" ht="18.75">
      <c r="A138" s="942"/>
      <c r="B138" s="827"/>
      <c r="C138" s="943"/>
      <c r="D138" s="828" t="s">
        <v>21</v>
      </c>
      <c r="E138" s="827"/>
      <c r="F138" s="827"/>
      <c r="G138" s="829"/>
      <c r="H138" s="168" t="s">
        <v>12</v>
      </c>
      <c r="I138" s="944"/>
      <c r="J138" s="944"/>
      <c r="K138" s="945"/>
      <c r="L138" s="831">
        <f t="shared" ref="L138:N138" ca="1" si="74">L139+L140</f>
        <v>103000</v>
      </c>
      <c r="M138" s="831">
        <f t="shared" ca="1" si="74"/>
        <v>103000</v>
      </c>
      <c r="N138" s="831">
        <f t="shared" ca="1" si="74"/>
        <v>103000</v>
      </c>
      <c r="O138" s="831">
        <f t="shared" ca="1" si="70"/>
        <v>100</v>
      </c>
      <c r="P138" s="831">
        <f t="shared" ca="1" si="71"/>
        <v>100</v>
      </c>
      <c r="Q138" s="818"/>
      <c r="R138" s="818"/>
      <c r="S138" s="818"/>
      <c r="T138" s="818"/>
      <c r="U138" s="818"/>
      <c r="V138" s="818"/>
      <c r="W138" s="818"/>
      <c r="X138" s="818"/>
      <c r="Y138" s="818"/>
      <c r="Z138" s="818"/>
    </row>
    <row r="139" spans="1:26" ht="19.5" hidden="1">
      <c r="A139" s="940"/>
      <c r="B139" s="833"/>
      <c r="C139" s="946"/>
      <c r="D139" s="833"/>
      <c r="E139" s="834" t="s">
        <v>18</v>
      </c>
      <c r="F139" s="833"/>
      <c r="G139" s="941"/>
      <c r="H139" s="165" t="s">
        <v>12</v>
      </c>
      <c r="I139" s="947"/>
      <c r="J139" s="947"/>
      <c r="K139" s="948"/>
      <c r="L139" s="837">
        <v>0</v>
      </c>
      <c r="M139" s="837">
        <v>0</v>
      </c>
      <c r="N139" s="837">
        <v>0</v>
      </c>
      <c r="O139" s="837">
        <f t="shared" si="70"/>
        <v>0</v>
      </c>
      <c r="P139" s="837">
        <f t="shared" si="71"/>
        <v>0</v>
      </c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</row>
    <row r="140" spans="1:26" ht="19.5" hidden="1">
      <c r="A140" s="940"/>
      <c r="B140" s="833"/>
      <c r="C140" s="946"/>
      <c r="D140" s="833"/>
      <c r="E140" s="834" t="s">
        <v>19</v>
      </c>
      <c r="F140" s="833"/>
      <c r="G140" s="941"/>
      <c r="H140" s="169" t="s">
        <v>12</v>
      </c>
      <c r="I140" s="947"/>
      <c r="J140" s="947"/>
      <c r="K140" s="948"/>
      <c r="L140" s="837">
        <f ca="1">IFERROR(__xludf.DUMMYFUNCTION("IMPORTRANGE(""https://docs.google.com/spreadsheets/d/1MeEWN-I1oV_STSDYn1IFDPWt_1FKiwhDph83XaGc0o0/edit?usp=sharing"",""งบพรบ!BN30"")"),103000)</f>
        <v>103000</v>
      </c>
      <c r="M140" s="837">
        <f ca="1">IFERROR(__xludf.DUMMYFUNCTION("IMPORTRANGE(""https://docs.google.com/spreadsheets/d/1MeEWN-I1oV_STSDYn1IFDPWt_1FKiwhDph83XaGc0o0/edit?usp=sharing"",""งบพรบ!BQ30"")"),103000)</f>
        <v>103000</v>
      </c>
      <c r="N140" s="837">
        <f ca="1">IFERROR(__xludf.DUMMYFUNCTION("IMPORTRANGE(""https://docs.google.com/spreadsheets/d/1MeEWN-I1oV_STSDYn1IFDPWt_1FKiwhDph83XaGc0o0/edit?usp=sharing"",""งบพรบ!BS30"")"),103000)</f>
        <v>103000</v>
      </c>
      <c r="O140" s="837">
        <f t="shared" ca="1" si="70"/>
        <v>100</v>
      </c>
      <c r="P140" s="837">
        <f t="shared" ca="1" si="71"/>
        <v>100</v>
      </c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</row>
    <row r="141" spans="1:26" ht="19.5">
      <c r="A141" s="949"/>
      <c r="B141" s="950"/>
      <c r="C141" s="934" t="s">
        <v>16</v>
      </c>
      <c r="D141" s="951" t="s">
        <v>38</v>
      </c>
      <c r="E141" s="952"/>
      <c r="F141" s="952"/>
      <c r="G141" s="953"/>
      <c r="H141" s="168"/>
      <c r="I141" s="830"/>
      <c r="J141" s="830"/>
      <c r="K141" s="831"/>
      <c r="L141" s="831"/>
      <c r="M141" s="831"/>
      <c r="N141" s="831"/>
      <c r="O141" s="831"/>
      <c r="P141" s="831"/>
    </row>
    <row r="142" spans="1:26" ht="19.5">
      <c r="A142" s="942"/>
      <c r="B142" s="827"/>
      <c r="C142" s="976"/>
      <c r="D142" s="943" t="s">
        <v>71</v>
      </c>
      <c r="E142" s="828"/>
      <c r="F142" s="827"/>
      <c r="G142" s="977"/>
      <c r="H142" s="168"/>
      <c r="I142" s="830"/>
      <c r="J142" s="959">
        <v>0</v>
      </c>
      <c r="K142" s="831"/>
      <c r="L142" s="831"/>
      <c r="M142" s="831"/>
      <c r="N142" s="831"/>
      <c r="O142" s="831"/>
      <c r="P142" s="831"/>
    </row>
    <row r="143" spans="1:26" ht="19.5">
      <c r="A143" s="942"/>
      <c r="B143" s="827"/>
      <c r="C143" s="976"/>
      <c r="D143" s="943" t="s">
        <v>72</v>
      </c>
      <c r="E143" s="828"/>
      <c r="F143" s="827"/>
      <c r="G143" s="977"/>
      <c r="H143" s="168" t="s">
        <v>35</v>
      </c>
      <c r="I143" s="830">
        <f ca="1">I145</f>
        <v>10</v>
      </c>
      <c r="J143" s="830">
        <f ca="1">IF(AND(J144&gt;=I144,J145&gt;=I145),J145,0)</f>
        <v>0</v>
      </c>
      <c r="K143" s="831">
        <f t="shared" ref="K143:K146" ca="1" si="75">IF(I143&gt;0,J143*100/I143,0)</f>
        <v>0</v>
      </c>
      <c r="L143" s="831"/>
      <c r="M143" s="831"/>
      <c r="N143" s="831"/>
      <c r="O143" s="831"/>
      <c r="P143" s="831"/>
    </row>
    <row r="144" spans="1:26" ht="19.5">
      <c r="A144" s="942"/>
      <c r="B144" s="827"/>
      <c r="C144" s="976"/>
      <c r="D144" s="957"/>
      <c r="E144" s="943" t="s">
        <v>73</v>
      </c>
      <c r="F144" s="827"/>
      <c r="G144" s="977"/>
      <c r="H144" s="168" t="s">
        <v>35</v>
      </c>
      <c r="I144" s="830">
        <f ca="1">IFERROR(__xludf.DUMMYFUNCTION("IMPORTRANGE(""https://docs.google.com/spreadsheets/d/1QqKyyYR6Q21VydFLVH3TRQUabQu_ym0Zz7PgGX0-kHA/edit?usp=sharing"",""แผน!U30"")"),5)</f>
        <v>5</v>
      </c>
      <c r="J144" s="959">
        <v>10</v>
      </c>
      <c r="K144" s="831">
        <f t="shared" ca="1" si="75"/>
        <v>200</v>
      </c>
      <c r="L144" s="831"/>
      <c r="M144" s="831"/>
      <c r="N144" s="831"/>
      <c r="O144" s="831"/>
      <c r="P144" s="831"/>
    </row>
    <row r="145" spans="1:26" ht="19.5">
      <c r="A145" s="942"/>
      <c r="B145" s="827"/>
      <c r="C145" s="976"/>
      <c r="D145" s="957"/>
      <c r="E145" s="943" t="s">
        <v>74</v>
      </c>
      <c r="F145" s="827"/>
      <c r="G145" s="977"/>
      <c r="H145" s="168" t="s">
        <v>35</v>
      </c>
      <c r="I145" s="830">
        <f ca="1">IFERROR(__xludf.DUMMYFUNCTION("IMPORTRANGE(""https://docs.google.com/spreadsheets/d/1QqKyyYR6Q21VydFLVH3TRQUabQu_ym0Zz7PgGX0-kHA/edit?usp=sharing"",""แผน!V30"")"),10)</f>
        <v>10</v>
      </c>
      <c r="J145" s="959">
        <v>0</v>
      </c>
      <c r="K145" s="831">
        <f t="shared" ca="1" si="75"/>
        <v>0</v>
      </c>
      <c r="L145" s="831"/>
      <c r="M145" s="831"/>
      <c r="N145" s="831"/>
      <c r="O145" s="831"/>
      <c r="P145" s="831"/>
    </row>
    <row r="146" spans="1:26" ht="19.5">
      <c r="A146" s="942"/>
      <c r="B146" s="827"/>
      <c r="C146" s="976"/>
      <c r="D146" s="943" t="s">
        <v>75</v>
      </c>
      <c r="E146" s="828"/>
      <c r="F146" s="827"/>
      <c r="G146" s="977"/>
      <c r="H146" s="168" t="s">
        <v>66</v>
      </c>
      <c r="I146" s="830">
        <f ca="1">IFERROR(__xludf.DUMMYFUNCTION("IMPORTRANGE(""https://docs.google.com/spreadsheets/d/1QqKyyYR6Q21VydFLVH3TRQUabQu_ym0Zz7PgGX0-kHA/edit?usp=sharing"",""แผน!W30"")"),1)</f>
        <v>1</v>
      </c>
      <c r="J146" s="959">
        <v>1</v>
      </c>
      <c r="K146" s="831">
        <f t="shared" ca="1" si="75"/>
        <v>100</v>
      </c>
      <c r="L146" s="831"/>
      <c r="M146" s="831"/>
      <c r="N146" s="831"/>
      <c r="O146" s="831"/>
      <c r="P146" s="831"/>
    </row>
    <row r="147" spans="1:26" ht="19.5">
      <c r="A147" s="917" t="s">
        <v>76</v>
      </c>
      <c r="B147" s="918"/>
      <c r="C147" s="969"/>
      <c r="D147" s="918"/>
      <c r="E147" s="918"/>
      <c r="F147" s="918"/>
      <c r="G147" s="918"/>
      <c r="H147" s="970"/>
      <c r="I147" s="971"/>
      <c r="J147" s="971"/>
      <c r="K147" s="972"/>
      <c r="L147" s="923"/>
      <c r="M147" s="923"/>
      <c r="N147" s="923"/>
      <c r="O147" s="923"/>
      <c r="P147" s="923"/>
    </row>
    <row r="148" spans="1:26" ht="19.5">
      <c r="A148" s="978"/>
      <c r="B148" s="925" t="s">
        <v>77</v>
      </c>
      <c r="C148" s="925"/>
      <c r="D148" s="925"/>
      <c r="E148" s="979"/>
      <c r="F148" s="980"/>
      <c r="G148" s="981"/>
      <c r="H148" s="221" t="s">
        <v>35</v>
      </c>
      <c r="I148" s="929">
        <f t="shared" ref="I148:J148" ca="1" si="76">I159</f>
        <v>20</v>
      </c>
      <c r="J148" s="929">
        <f t="shared" si="76"/>
        <v>20</v>
      </c>
      <c r="K148" s="930">
        <f ca="1">IF(I148&gt;0,J148*100/I148,0)</f>
        <v>100</v>
      </c>
      <c r="L148" s="930"/>
      <c r="M148" s="930"/>
      <c r="N148" s="930"/>
      <c r="O148" s="930"/>
      <c r="P148" s="930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32"/>
      <c r="B149" s="933"/>
      <c r="C149" s="934" t="s">
        <v>16</v>
      </c>
      <c r="D149" s="935" t="s">
        <v>17</v>
      </c>
      <c r="E149" s="933"/>
      <c r="F149" s="933"/>
      <c r="G149" s="936"/>
      <c r="H149" s="152" t="s">
        <v>12</v>
      </c>
      <c r="I149" s="937"/>
      <c r="J149" s="937"/>
      <c r="K149" s="938"/>
      <c r="L149" s="939">
        <f t="shared" ref="L149:N149" ca="1" si="77">L150+L151</f>
        <v>10000</v>
      </c>
      <c r="M149" s="939">
        <f t="shared" ca="1" si="77"/>
        <v>10000</v>
      </c>
      <c r="N149" s="939">
        <f t="shared" ca="1" si="77"/>
        <v>0</v>
      </c>
      <c r="O149" s="939">
        <f t="shared" ref="O149:O157" ca="1" si="78">IF(L149&gt;0,N149*100/L149,0)</f>
        <v>0</v>
      </c>
      <c r="P149" s="939">
        <f t="shared" ref="P149:P157" ca="1" si="79">IF(M149&gt;0,N149*100/M149,0)</f>
        <v>0</v>
      </c>
      <c r="Q149" s="818"/>
      <c r="R149" s="818"/>
      <c r="S149" s="818"/>
      <c r="T149" s="818"/>
      <c r="U149" s="818"/>
      <c r="V149" s="818"/>
      <c r="W149" s="818"/>
      <c r="X149" s="818"/>
      <c r="Y149" s="818"/>
      <c r="Z149" s="818"/>
    </row>
    <row r="150" spans="1:26" ht="18.75" hidden="1">
      <c r="A150" s="940"/>
      <c r="B150" s="833"/>
      <c r="C150" s="833"/>
      <c r="D150" s="833"/>
      <c r="E150" s="834" t="s">
        <v>18</v>
      </c>
      <c r="F150" s="833"/>
      <c r="G150" s="941"/>
      <c r="H150" s="158" t="s">
        <v>12</v>
      </c>
      <c r="I150" s="836"/>
      <c r="J150" s="836"/>
      <c r="K150" s="837"/>
      <c r="L150" s="837">
        <f t="shared" ref="L150:N151" si="80">L153+L156</f>
        <v>0</v>
      </c>
      <c r="M150" s="837">
        <f t="shared" si="80"/>
        <v>0</v>
      </c>
      <c r="N150" s="837">
        <f t="shared" si="80"/>
        <v>0</v>
      </c>
      <c r="O150" s="837">
        <f t="shared" si="78"/>
        <v>0</v>
      </c>
      <c r="P150" s="837">
        <f t="shared" si="79"/>
        <v>0</v>
      </c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</row>
    <row r="151" spans="1:26" ht="18.75" hidden="1">
      <c r="A151" s="940"/>
      <c r="B151" s="833"/>
      <c r="C151" s="833"/>
      <c r="D151" s="833"/>
      <c r="E151" s="834" t="s">
        <v>19</v>
      </c>
      <c r="F151" s="833"/>
      <c r="G151" s="941"/>
      <c r="H151" s="158" t="s">
        <v>12</v>
      </c>
      <c r="I151" s="836"/>
      <c r="J151" s="836"/>
      <c r="K151" s="837"/>
      <c r="L151" s="837">
        <f t="shared" ca="1" si="80"/>
        <v>10000</v>
      </c>
      <c r="M151" s="837">
        <f t="shared" ca="1" si="80"/>
        <v>10000</v>
      </c>
      <c r="N151" s="837">
        <f t="shared" ca="1" si="80"/>
        <v>0</v>
      </c>
      <c r="O151" s="837">
        <f t="shared" ca="1" si="78"/>
        <v>0</v>
      </c>
      <c r="P151" s="837">
        <f t="shared" ca="1" si="79"/>
        <v>0</v>
      </c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</row>
    <row r="152" spans="1:26" ht="18.75">
      <c r="A152" s="942"/>
      <c r="B152" s="827"/>
      <c r="C152" s="943"/>
      <c r="D152" s="828" t="s">
        <v>20</v>
      </c>
      <c r="E152" s="827"/>
      <c r="F152" s="827"/>
      <c r="G152" s="829"/>
      <c r="H152" s="778" t="s">
        <v>12</v>
      </c>
      <c r="I152" s="944"/>
      <c r="J152" s="944"/>
      <c r="K152" s="945"/>
      <c r="L152" s="831">
        <f t="shared" ref="L152:N152" ca="1" si="81">L153+L154</f>
        <v>10000</v>
      </c>
      <c r="M152" s="831">
        <f t="shared" ca="1" si="81"/>
        <v>10000</v>
      </c>
      <c r="N152" s="831">
        <f t="shared" ca="1" si="81"/>
        <v>0</v>
      </c>
      <c r="O152" s="831">
        <f t="shared" ca="1" si="78"/>
        <v>0</v>
      </c>
      <c r="P152" s="831">
        <f t="shared" ca="1" si="79"/>
        <v>0</v>
      </c>
      <c r="Q152" s="818"/>
      <c r="R152" s="818"/>
      <c r="S152" s="818"/>
      <c r="T152" s="818"/>
      <c r="U152" s="818"/>
      <c r="V152" s="818"/>
      <c r="W152" s="818"/>
      <c r="X152" s="818"/>
      <c r="Y152" s="818"/>
      <c r="Z152" s="818"/>
    </row>
    <row r="153" spans="1:26" ht="19.5" hidden="1">
      <c r="A153" s="940"/>
      <c r="B153" s="833"/>
      <c r="C153" s="946"/>
      <c r="D153" s="833"/>
      <c r="E153" s="834" t="s">
        <v>36</v>
      </c>
      <c r="F153" s="833"/>
      <c r="G153" s="941"/>
      <c r="H153" s="165" t="s">
        <v>12</v>
      </c>
      <c r="I153" s="947"/>
      <c r="J153" s="947"/>
      <c r="K153" s="948"/>
      <c r="L153" s="837">
        <v>0</v>
      </c>
      <c r="M153" s="837">
        <v>0</v>
      </c>
      <c r="N153" s="837">
        <v>0</v>
      </c>
      <c r="O153" s="837">
        <f t="shared" si="78"/>
        <v>0</v>
      </c>
      <c r="P153" s="837">
        <f t="shared" si="79"/>
        <v>0</v>
      </c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</row>
    <row r="154" spans="1:26" ht="19.5" hidden="1">
      <c r="A154" s="940"/>
      <c r="B154" s="833"/>
      <c r="C154" s="946"/>
      <c r="D154" s="833"/>
      <c r="E154" s="834" t="s">
        <v>37</v>
      </c>
      <c r="F154" s="833"/>
      <c r="G154" s="941"/>
      <c r="H154" s="165" t="s">
        <v>12</v>
      </c>
      <c r="I154" s="947"/>
      <c r="J154" s="947"/>
      <c r="K154" s="948"/>
      <c r="L154" s="837">
        <f ca="1">IFERROR(__xludf.DUMMYFUNCTION("IMPORTRANGE(""https://docs.google.com/spreadsheets/d/1MeEWN-I1oV_STSDYn1IFDPWt_1FKiwhDph83XaGc0o0/edit?usp=sharing"",""งบพรบ!BU30"")"),10000)</f>
        <v>10000</v>
      </c>
      <c r="M154" s="837">
        <f ca="1">IFERROR(__xludf.DUMMYFUNCTION("IMPORTRANGE(""https://docs.google.com/spreadsheets/d/1MeEWN-I1oV_STSDYn1IFDPWt_1FKiwhDph83XaGc0o0/edit?usp=sharing"",""งบพรบ!BZ30"")"),10000)</f>
        <v>10000</v>
      </c>
      <c r="N154" s="837">
        <f ca="1">IFERROR(__xludf.DUMMYFUNCTION("IMPORTRANGE(""https://docs.google.com/spreadsheets/d/1MeEWN-I1oV_STSDYn1IFDPWt_1FKiwhDph83XaGc0o0/edit?usp=sharing"",""งบพรบ!CB30"")"),0)</f>
        <v>0</v>
      </c>
      <c r="O154" s="837">
        <f t="shared" ca="1" si="78"/>
        <v>0</v>
      </c>
      <c r="P154" s="837">
        <f t="shared" ca="1" si="79"/>
        <v>0</v>
      </c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</row>
    <row r="155" spans="1:26" ht="18.75">
      <c r="A155" s="942"/>
      <c r="B155" s="827"/>
      <c r="C155" s="943"/>
      <c r="D155" s="828" t="s">
        <v>21</v>
      </c>
      <c r="E155" s="827"/>
      <c r="F155" s="827"/>
      <c r="G155" s="829"/>
      <c r="H155" s="168" t="s">
        <v>12</v>
      </c>
      <c r="I155" s="944"/>
      <c r="J155" s="944"/>
      <c r="K155" s="945"/>
      <c r="L155" s="831">
        <f t="shared" ref="L155:N155" ca="1" si="82">L156+L157</f>
        <v>0</v>
      </c>
      <c r="M155" s="831">
        <f t="shared" ca="1" si="82"/>
        <v>0</v>
      </c>
      <c r="N155" s="831">
        <f t="shared" ca="1" si="82"/>
        <v>0</v>
      </c>
      <c r="O155" s="831">
        <f t="shared" ca="1" si="78"/>
        <v>0</v>
      </c>
      <c r="P155" s="831">
        <f t="shared" ca="1" si="79"/>
        <v>0</v>
      </c>
      <c r="Q155" s="818"/>
      <c r="R155" s="818"/>
      <c r="S155" s="818"/>
      <c r="T155" s="818"/>
      <c r="U155" s="818"/>
      <c r="V155" s="818"/>
      <c r="W155" s="818"/>
      <c r="X155" s="818"/>
      <c r="Y155" s="818"/>
      <c r="Z155" s="818"/>
    </row>
    <row r="156" spans="1:26" ht="19.5" hidden="1">
      <c r="A156" s="940"/>
      <c r="B156" s="833"/>
      <c r="C156" s="946"/>
      <c r="D156" s="833"/>
      <c r="E156" s="834" t="s">
        <v>18</v>
      </c>
      <c r="F156" s="833"/>
      <c r="G156" s="941"/>
      <c r="H156" s="165" t="s">
        <v>12</v>
      </c>
      <c r="I156" s="947"/>
      <c r="J156" s="947"/>
      <c r="K156" s="948"/>
      <c r="L156" s="837">
        <v>0</v>
      </c>
      <c r="M156" s="837">
        <v>0</v>
      </c>
      <c r="N156" s="837">
        <v>0</v>
      </c>
      <c r="O156" s="837">
        <f t="shared" si="78"/>
        <v>0</v>
      </c>
      <c r="P156" s="837">
        <f t="shared" si="79"/>
        <v>0</v>
      </c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</row>
    <row r="157" spans="1:26" ht="19.5" hidden="1">
      <c r="A157" s="940"/>
      <c r="B157" s="833"/>
      <c r="C157" s="946"/>
      <c r="D157" s="833"/>
      <c r="E157" s="834" t="s">
        <v>19</v>
      </c>
      <c r="F157" s="833"/>
      <c r="G157" s="941"/>
      <c r="H157" s="169" t="s">
        <v>12</v>
      </c>
      <c r="I157" s="947"/>
      <c r="J157" s="947"/>
      <c r="K157" s="948"/>
      <c r="L157" s="837">
        <f ca="1">IFERROR(__xludf.DUMMYFUNCTION("IMPORTRANGE(""https://docs.google.com/spreadsheets/d/1MeEWN-I1oV_STSDYn1IFDPWt_1FKiwhDph83XaGc0o0/edit?usp=sharing"",""งบพรบ!BX30"")"),0)</f>
        <v>0</v>
      </c>
      <c r="M157" s="837">
        <f ca="1">IFERROR(__xludf.DUMMYFUNCTION("IMPORTRANGE(""https://docs.google.com/spreadsheets/d/1MeEWN-I1oV_STSDYn1IFDPWt_1FKiwhDph83XaGc0o0/edit?usp=sharing"",""งบพรบ!CA30"")"),0)</f>
        <v>0</v>
      </c>
      <c r="N157" s="837">
        <f ca="1">IFERROR(__xludf.DUMMYFUNCTION("IMPORTRANGE(""https://docs.google.com/spreadsheets/d/1MeEWN-I1oV_STSDYn1IFDPWt_1FKiwhDph83XaGc0o0/edit?usp=sharing"",""งบพรบ!CC30"")"),0)</f>
        <v>0</v>
      </c>
      <c r="O157" s="837">
        <f t="shared" ca="1" si="78"/>
        <v>0</v>
      </c>
      <c r="P157" s="837">
        <f t="shared" ca="1" si="79"/>
        <v>0</v>
      </c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</row>
    <row r="158" spans="1:26" ht="19.5">
      <c r="A158" s="949"/>
      <c r="B158" s="950"/>
      <c r="C158" s="946" t="s">
        <v>16</v>
      </c>
      <c r="D158" s="951" t="s">
        <v>38</v>
      </c>
      <c r="E158" s="952"/>
      <c r="F158" s="952"/>
      <c r="G158" s="953"/>
      <c r="H158" s="168"/>
      <c r="I158" s="830"/>
      <c r="J158" s="830"/>
      <c r="K158" s="831"/>
      <c r="L158" s="831"/>
      <c r="M158" s="831"/>
      <c r="N158" s="831"/>
      <c r="O158" s="831"/>
      <c r="P158" s="831"/>
    </row>
    <row r="159" spans="1:26" ht="19.5">
      <c r="A159" s="942"/>
      <c r="B159" s="827"/>
      <c r="C159" s="976"/>
      <c r="D159" s="943" t="s">
        <v>78</v>
      </c>
      <c r="E159" s="828"/>
      <c r="F159" s="827"/>
      <c r="G159" s="977"/>
      <c r="H159" s="168" t="s">
        <v>35</v>
      </c>
      <c r="I159" s="830">
        <f ca="1">IFERROR(__xludf.DUMMYFUNCTION("IMPORTRANGE(""https://docs.google.com/spreadsheets/d/1QqKyyYR6Q21VydFLVH3TRQUabQu_ym0Zz7PgGX0-kHA/edit?usp=sharing"",""แผน!X30"")"),20)</f>
        <v>20</v>
      </c>
      <c r="J159" s="959">
        <v>20</v>
      </c>
      <c r="K159" s="831">
        <f ca="1">IF(I159&gt;0,J159*100/I159,0)</f>
        <v>100</v>
      </c>
      <c r="L159" s="831"/>
      <c r="M159" s="831"/>
      <c r="N159" s="831"/>
      <c r="O159" s="831"/>
      <c r="P159" s="831"/>
    </row>
    <row r="160" spans="1:26" ht="19.5" hidden="1">
      <c r="A160" s="940"/>
      <c r="B160" s="833"/>
      <c r="C160" s="946"/>
      <c r="D160" s="834" t="s">
        <v>79</v>
      </c>
      <c r="E160" s="982"/>
      <c r="F160" s="833"/>
      <c r="G160" s="941"/>
      <c r="H160" s="169" t="s">
        <v>35</v>
      </c>
      <c r="I160" s="836"/>
      <c r="J160" s="836"/>
      <c r="K160" s="837"/>
      <c r="L160" s="837"/>
      <c r="M160" s="837"/>
      <c r="N160" s="837"/>
      <c r="O160" s="837"/>
      <c r="P160" s="83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983"/>
      <c r="B161" s="984"/>
      <c r="C161" s="985"/>
      <c r="D161" s="986" t="s">
        <v>80</v>
      </c>
      <c r="E161" s="987"/>
      <c r="F161" s="984"/>
      <c r="G161" s="988"/>
      <c r="H161" s="232" t="s">
        <v>35</v>
      </c>
      <c r="I161" s="989"/>
      <c r="J161" s="989"/>
      <c r="K161" s="990"/>
      <c r="L161" s="990"/>
      <c r="M161" s="990"/>
      <c r="N161" s="990"/>
      <c r="O161" s="990"/>
      <c r="P161" s="990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991" t="s">
        <v>81</v>
      </c>
      <c r="B162" s="992"/>
      <c r="C162" s="992"/>
      <c r="D162" s="992"/>
      <c r="E162" s="993"/>
      <c r="F162" s="993"/>
      <c r="G162" s="994"/>
      <c r="H162" s="995"/>
      <c r="I162" s="996"/>
      <c r="J162" s="996"/>
      <c r="K162" s="997"/>
      <c r="L162" s="997"/>
      <c r="M162" s="997"/>
      <c r="N162" s="997"/>
      <c r="O162" s="997"/>
      <c r="P162" s="997"/>
    </row>
    <row r="163" spans="1:26" ht="19.5">
      <c r="A163" s="998" t="s">
        <v>82</v>
      </c>
      <c r="B163" s="999"/>
      <c r="C163" s="999"/>
      <c r="D163" s="1000"/>
      <c r="E163" s="1000"/>
      <c r="F163" s="1000"/>
      <c r="G163" s="1001"/>
      <c r="H163" s="1002"/>
      <c r="I163" s="1003"/>
      <c r="J163" s="1003"/>
      <c r="K163" s="1004"/>
      <c r="L163" s="1004"/>
      <c r="M163" s="1004"/>
      <c r="N163" s="1004"/>
      <c r="O163" s="1004"/>
      <c r="P163" s="1004"/>
    </row>
    <row r="164" spans="1:26" ht="19.5">
      <c r="A164" s="1005"/>
      <c r="B164" s="1006" t="s">
        <v>83</v>
      </c>
      <c r="C164" s="1007"/>
      <c r="D164" s="952"/>
      <c r="E164" s="952"/>
      <c r="F164" s="952"/>
      <c r="G164" s="953"/>
      <c r="H164" s="252" t="s">
        <v>35</v>
      </c>
      <c r="I164" s="1008">
        <f t="shared" ref="I164:J164" ca="1" si="83">I174+I177</f>
        <v>10</v>
      </c>
      <c r="J164" s="1008">
        <f t="shared" si="83"/>
        <v>10</v>
      </c>
      <c r="K164" s="1009">
        <f ca="1">IF(I164&gt;0,J164*100/I164,0)</f>
        <v>100</v>
      </c>
      <c r="L164" s="1010"/>
      <c r="M164" s="1010"/>
      <c r="N164" s="1010"/>
      <c r="O164" s="1010"/>
      <c r="P164" s="1010"/>
    </row>
    <row r="165" spans="1:26" ht="19.5">
      <c r="A165" s="932"/>
      <c r="B165" s="933"/>
      <c r="C165" s="934" t="s">
        <v>16</v>
      </c>
      <c r="D165" s="935" t="s">
        <v>17</v>
      </c>
      <c r="E165" s="933"/>
      <c r="F165" s="933"/>
      <c r="G165" s="936"/>
      <c r="H165" s="152" t="s">
        <v>12</v>
      </c>
      <c r="I165" s="937"/>
      <c r="J165" s="937"/>
      <c r="K165" s="938"/>
      <c r="L165" s="939">
        <f t="shared" ref="L165:N165" ca="1" si="84">L166+L167</f>
        <v>21050</v>
      </c>
      <c r="M165" s="939">
        <f t="shared" ca="1" si="84"/>
        <v>31820</v>
      </c>
      <c r="N165" s="939">
        <f t="shared" ca="1" si="84"/>
        <v>30380</v>
      </c>
      <c r="O165" s="939">
        <f t="shared" ref="O165:O173" ca="1" si="85">IF(L165&gt;0,N165*100/L165,0)</f>
        <v>144.3230403800475</v>
      </c>
      <c r="P165" s="939">
        <f t="shared" ref="P165:P173" ca="1" si="86">IF(M165&gt;0,N165*100/M165,0)</f>
        <v>95.474544311753618</v>
      </c>
      <c r="Q165" s="818"/>
      <c r="R165" s="818"/>
      <c r="S165" s="818"/>
      <c r="T165" s="818"/>
      <c r="U165" s="818"/>
      <c r="V165" s="818"/>
      <c r="W165" s="818"/>
      <c r="X165" s="818"/>
      <c r="Y165" s="818"/>
      <c r="Z165" s="818"/>
    </row>
    <row r="166" spans="1:26" ht="18.75" hidden="1">
      <c r="A166" s="940"/>
      <c r="B166" s="833"/>
      <c r="C166" s="833"/>
      <c r="D166" s="833"/>
      <c r="E166" s="834" t="s">
        <v>18</v>
      </c>
      <c r="F166" s="833"/>
      <c r="G166" s="941"/>
      <c r="H166" s="158" t="s">
        <v>12</v>
      </c>
      <c r="I166" s="836"/>
      <c r="J166" s="836"/>
      <c r="K166" s="837"/>
      <c r="L166" s="837">
        <f t="shared" ref="L166:N167" si="87">L169+L172</f>
        <v>0</v>
      </c>
      <c r="M166" s="837">
        <f t="shared" si="87"/>
        <v>0</v>
      </c>
      <c r="N166" s="837">
        <f t="shared" si="87"/>
        <v>0</v>
      </c>
      <c r="O166" s="837">
        <f t="shared" si="85"/>
        <v>0</v>
      </c>
      <c r="P166" s="837">
        <f t="shared" si="86"/>
        <v>0</v>
      </c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</row>
    <row r="167" spans="1:26" ht="18.75" hidden="1">
      <c r="A167" s="940"/>
      <c r="B167" s="833"/>
      <c r="C167" s="833"/>
      <c r="D167" s="833"/>
      <c r="E167" s="834" t="s">
        <v>19</v>
      </c>
      <c r="F167" s="833"/>
      <c r="G167" s="941"/>
      <c r="H167" s="158" t="s">
        <v>12</v>
      </c>
      <c r="I167" s="836"/>
      <c r="J167" s="836"/>
      <c r="K167" s="837"/>
      <c r="L167" s="837">
        <f t="shared" ca="1" si="87"/>
        <v>21050</v>
      </c>
      <c r="M167" s="837">
        <f t="shared" ca="1" si="87"/>
        <v>31820</v>
      </c>
      <c r="N167" s="837">
        <f t="shared" ca="1" si="87"/>
        <v>30380</v>
      </c>
      <c r="O167" s="837">
        <f t="shared" ca="1" si="85"/>
        <v>144.3230403800475</v>
      </c>
      <c r="P167" s="837">
        <f t="shared" ca="1" si="86"/>
        <v>95.474544311753618</v>
      </c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</row>
    <row r="168" spans="1:26" ht="18.75">
      <c r="A168" s="942"/>
      <c r="B168" s="827"/>
      <c r="C168" s="943"/>
      <c r="D168" s="828" t="s">
        <v>20</v>
      </c>
      <c r="E168" s="827"/>
      <c r="F168" s="827"/>
      <c r="G168" s="829"/>
      <c r="H168" s="778" t="s">
        <v>12</v>
      </c>
      <c r="I168" s="944"/>
      <c r="J168" s="944"/>
      <c r="K168" s="945"/>
      <c r="L168" s="831">
        <f t="shared" ref="L168:N168" ca="1" si="88">L169+L170</f>
        <v>21050</v>
      </c>
      <c r="M168" s="831">
        <f t="shared" ca="1" si="88"/>
        <v>31820</v>
      </c>
      <c r="N168" s="831">
        <f t="shared" ca="1" si="88"/>
        <v>30380</v>
      </c>
      <c r="O168" s="831">
        <f t="shared" ca="1" si="85"/>
        <v>144.3230403800475</v>
      </c>
      <c r="P168" s="831">
        <f t="shared" ca="1" si="86"/>
        <v>95.474544311753618</v>
      </c>
      <c r="Q168" s="818"/>
      <c r="R168" s="818"/>
      <c r="S168" s="818"/>
      <c r="T168" s="818"/>
      <c r="U168" s="818"/>
      <c r="V168" s="818"/>
      <c r="W168" s="818"/>
      <c r="X168" s="818"/>
      <c r="Y168" s="818"/>
      <c r="Z168" s="818"/>
    </row>
    <row r="169" spans="1:26" ht="19.5" hidden="1">
      <c r="A169" s="940"/>
      <c r="B169" s="833"/>
      <c r="C169" s="946"/>
      <c r="D169" s="833"/>
      <c r="E169" s="834" t="s">
        <v>36</v>
      </c>
      <c r="F169" s="833"/>
      <c r="G169" s="941"/>
      <c r="H169" s="165" t="s">
        <v>12</v>
      </c>
      <c r="I169" s="947"/>
      <c r="J169" s="947"/>
      <c r="K169" s="948"/>
      <c r="L169" s="837">
        <v>0</v>
      </c>
      <c r="M169" s="837">
        <v>0</v>
      </c>
      <c r="N169" s="837">
        <v>0</v>
      </c>
      <c r="O169" s="837">
        <f t="shared" si="85"/>
        <v>0</v>
      </c>
      <c r="P169" s="837">
        <f t="shared" si="86"/>
        <v>0</v>
      </c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</row>
    <row r="170" spans="1:26" ht="19.5" hidden="1">
      <c r="A170" s="940"/>
      <c r="B170" s="833"/>
      <c r="C170" s="946"/>
      <c r="D170" s="833"/>
      <c r="E170" s="834" t="s">
        <v>37</v>
      </c>
      <c r="F170" s="833"/>
      <c r="G170" s="941"/>
      <c r="H170" s="165" t="s">
        <v>12</v>
      </c>
      <c r="I170" s="947"/>
      <c r="J170" s="947"/>
      <c r="K170" s="948"/>
      <c r="L170" s="837">
        <f ca="1">IFERROR(__xludf.DUMMYFUNCTION("IMPORTRANGE(""https://docs.google.com/spreadsheets/d/1MeEWN-I1oV_STSDYn1IFDPWt_1FKiwhDph83XaGc0o0/edit?usp=sharing"",""งบพรบ!CE30"")"),21050)</f>
        <v>21050</v>
      </c>
      <c r="M170" s="837">
        <f ca="1">IFERROR(__xludf.DUMMYFUNCTION("IMPORTRANGE(""https://docs.google.com/spreadsheets/d/1MeEWN-I1oV_STSDYn1IFDPWt_1FKiwhDph83XaGc0o0/edit?usp=sharing"",""งบพรบ!CJ30"")"),31820)</f>
        <v>31820</v>
      </c>
      <c r="N170" s="837">
        <f ca="1">IFERROR(__xludf.DUMMYFUNCTION("IMPORTRANGE(""https://docs.google.com/spreadsheets/d/1MeEWN-I1oV_STSDYn1IFDPWt_1FKiwhDph83XaGc0o0/edit?usp=sharing"",""งบพรบ!CL30"")"),30380)</f>
        <v>30380</v>
      </c>
      <c r="O170" s="837">
        <f t="shared" ca="1" si="85"/>
        <v>144.3230403800475</v>
      </c>
      <c r="P170" s="837">
        <f t="shared" ca="1" si="86"/>
        <v>95.474544311753618</v>
      </c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</row>
    <row r="171" spans="1:26" ht="18.75">
      <c r="A171" s="942"/>
      <c r="B171" s="827"/>
      <c r="C171" s="943"/>
      <c r="D171" s="828" t="s">
        <v>21</v>
      </c>
      <c r="E171" s="827"/>
      <c r="F171" s="827"/>
      <c r="G171" s="829"/>
      <c r="H171" s="168" t="s">
        <v>12</v>
      </c>
      <c r="I171" s="944"/>
      <c r="J171" s="944"/>
      <c r="K171" s="945"/>
      <c r="L171" s="831">
        <f t="shared" ref="L171:N171" ca="1" si="89">L172+L173</f>
        <v>0</v>
      </c>
      <c r="M171" s="831">
        <f t="shared" ca="1" si="89"/>
        <v>0</v>
      </c>
      <c r="N171" s="831">
        <f t="shared" ca="1" si="89"/>
        <v>0</v>
      </c>
      <c r="O171" s="831">
        <f t="shared" ca="1" si="85"/>
        <v>0</v>
      </c>
      <c r="P171" s="831">
        <f t="shared" ca="1" si="86"/>
        <v>0</v>
      </c>
      <c r="Q171" s="818"/>
      <c r="R171" s="818"/>
      <c r="S171" s="818"/>
      <c r="T171" s="818"/>
      <c r="U171" s="818"/>
      <c r="V171" s="818"/>
      <c r="W171" s="818"/>
      <c r="X171" s="818"/>
      <c r="Y171" s="818"/>
      <c r="Z171" s="818"/>
    </row>
    <row r="172" spans="1:26" ht="19.5" hidden="1">
      <c r="A172" s="940"/>
      <c r="B172" s="833"/>
      <c r="C172" s="946"/>
      <c r="D172" s="833"/>
      <c r="E172" s="834" t="s">
        <v>18</v>
      </c>
      <c r="F172" s="833"/>
      <c r="G172" s="941"/>
      <c r="H172" s="165" t="s">
        <v>12</v>
      </c>
      <c r="I172" s="947"/>
      <c r="J172" s="947"/>
      <c r="K172" s="948"/>
      <c r="L172" s="837">
        <v>0</v>
      </c>
      <c r="M172" s="837">
        <v>0</v>
      </c>
      <c r="N172" s="837">
        <v>0</v>
      </c>
      <c r="O172" s="837">
        <f t="shared" si="85"/>
        <v>0</v>
      </c>
      <c r="P172" s="837">
        <f t="shared" si="86"/>
        <v>0</v>
      </c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</row>
    <row r="173" spans="1:26" ht="19.5" hidden="1">
      <c r="A173" s="940"/>
      <c r="B173" s="833"/>
      <c r="C173" s="946"/>
      <c r="D173" s="833"/>
      <c r="E173" s="834" t="s">
        <v>19</v>
      </c>
      <c r="F173" s="833"/>
      <c r="G173" s="941"/>
      <c r="H173" s="169" t="s">
        <v>12</v>
      </c>
      <c r="I173" s="947"/>
      <c r="J173" s="947"/>
      <c r="K173" s="948"/>
      <c r="L173" s="837">
        <f ca="1">IFERROR(__xludf.DUMMYFUNCTION("IMPORTRANGE(""https://docs.google.com/spreadsheets/d/1MeEWN-I1oV_STSDYn1IFDPWt_1FKiwhDph83XaGc0o0/edit?usp=sharing"",""งบพรบ!CH30"")"),0)</f>
        <v>0</v>
      </c>
      <c r="M173" s="837">
        <f ca="1">IFERROR(__xludf.DUMMYFUNCTION("IMPORTRANGE(""https://docs.google.com/spreadsheets/d/1MeEWN-I1oV_STSDYn1IFDPWt_1FKiwhDph83XaGc0o0/edit?usp=sharing"",""งบพรบ!CK30"")"),0)</f>
        <v>0</v>
      </c>
      <c r="N173" s="837">
        <f ca="1">IFERROR(__xludf.DUMMYFUNCTION("IMPORTRANGE(""https://docs.google.com/spreadsheets/d/1MeEWN-I1oV_STSDYn1IFDPWt_1FKiwhDph83XaGc0o0/edit?usp=sharing"",""งบพรบ!CM30"")"),0)</f>
        <v>0</v>
      </c>
      <c r="O173" s="837">
        <f t="shared" ca="1" si="85"/>
        <v>0</v>
      </c>
      <c r="P173" s="837">
        <f t="shared" ca="1" si="86"/>
        <v>0</v>
      </c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</row>
    <row r="174" spans="1:26" ht="19.5">
      <c r="A174" s="1011"/>
      <c r="B174" s="1012"/>
      <c r="C174" s="1013" t="s">
        <v>84</v>
      </c>
      <c r="D174" s="1012"/>
      <c r="E174" s="1012"/>
      <c r="F174" s="1012"/>
      <c r="G174" s="1014"/>
      <c r="H174" s="260" t="s">
        <v>35</v>
      </c>
      <c r="I174" s="1015">
        <f t="shared" ref="I174:J174" ca="1" si="90">I176</f>
        <v>10</v>
      </c>
      <c r="J174" s="1015">
        <f t="shared" si="90"/>
        <v>10</v>
      </c>
      <c r="K174" s="1016">
        <f ca="1">IF(I174&gt;0,J174*100/I174,0)</f>
        <v>100</v>
      </c>
      <c r="L174" s="1016"/>
      <c r="M174" s="1016"/>
      <c r="N174" s="1016"/>
      <c r="O174" s="1016"/>
      <c r="P174" s="1016"/>
    </row>
    <row r="175" spans="1:26" ht="19.5">
      <c r="A175" s="949"/>
      <c r="B175" s="950"/>
      <c r="C175" s="946" t="s">
        <v>16</v>
      </c>
      <c r="D175" s="951" t="s">
        <v>38</v>
      </c>
      <c r="E175" s="952"/>
      <c r="F175" s="952"/>
      <c r="G175" s="953"/>
      <c r="H175" s="954"/>
      <c r="I175" s="944"/>
      <c r="J175" s="944"/>
      <c r="K175" s="945"/>
      <c r="L175" s="945"/>
      <c r="M175" s="945"/>
      <c r="N175" s="945"/>
      <c r="O175" s="945"/>
      <c r="P175" s="945"/>
    </row>
    <row r="176" spans="1:26" ht="18.75">
      <c r="A176" s="949"/>
      <c r="B176" s="950"/>
      <c r="C176" s="950"/>
      <c r="D176" s="1017" t="s">
        <v>85</v>
      </c>
      <c r="E176" s="957"/>
      <c r="F176" s="957"/>
      <c r="G176" s="958"/>
      <c r="H176" s="590" t="s">
        <v>35</v>
      </c>
      <c r="I176" s="830">
        <f ca="1">IFERROR(__xludf.DUMMYFUNCTION("IMPORTRANGE(""https://docs.google.com/spreadsheets/d/1QqKyyYR6Q21VydFLVH3TRQUabQu_ym0Zz7PgGX0-kHA/edit?usp=sharing"",""แผน!Y30"")"),10)</f>
        <v>10</v>
      </c>
      <c r="J176" s="959">
        <v>10</v>
      </c>
      <c r="K176" s="945">
        <f ca="1">IF(I176&gt;0,J176*100/I176,0)</f>
        <v>100</v>
      </c>
      <c r="L176" s="945"/>
      <c r="M176" s="945"/>
      <c r="N176" s="945"/>
      <c r="O176" s="945"/>
      <c r="P176" s="945"/>
    </row>
    <row r="177" spans="1:26" ht="19.5" hidden="1">
      <c r="A177" s="1011"/>
      <c r="B177" s="1018"/>
      <c r="C177" s="1019" t="s">
        <v>86</v>
      </c>
      <c r="D177" s="1018"/>
      <c r="E177" s="1012"/>
      <c r="F177" s="1012"/>
      <c r="G177" s="1014"/>
      <c r="H177" s="266" t="s">
        <v>35</v>
      </c>
      <c r="I177" s="1015"/>
      <c r="J177" s="1015">
        <f>J179</f>
        <v>0</v>
      </c>
      <c r="K177" s="1016"/>
      <c r="L177" s="1016"/>
      <c r="M177" s="1016"/>
      <c r="N177" s="1016"/>
      <c r="O177" s="1016"/>
      <c r="P177" s="1016"/>
    </row>
    <row r="178" spans="1:26" ht="19.5" hidden="1">
      <c r="A178" s="949"/>
      <c r="B178" s="950"/>
      <c r="C178" s="946" t="s">
        <v>16</v>
      </c>
      <c r="D178" s="1020" t="s">
        <v>38</v>
      </c>
      <c r="E178" s="952"/>
      <c r="F178" s="952"/>
      <c r="G178" s="953"/>
      <c r="H178" s="954"/>
      <c r="I178" s="944"/>
      <c r="J178" s="944"/>
      <c r="K178" s="945"/>
      <c r="L178" s="945"/>
      <c r="M178" s="945"/>
      <c r="N178" s="945"/>
      <c r="O178" s="945"/>
      <c r="P178" s="945"/>
    </row>
    <row r="179" spans="1:26" ht="18.75" hidden="1">
      <c r="A179" s="949"/>
      <c r="B179" s="950"/>
      <c r="C179" s="950"/>
      <c r="D179" s="1021" t="s">
        <v>87</v>
      </c>
      <c r="E179" s="957"/>
      <c r="F179" s="1022"/>
      <c r="G179" s="958"/>
      <c r="H179" s="43" t="s">
        <v>35</v>
      </c>
      <c r="I179" s="830"/>
      <c r="J179" s="830"/>
      <c r="K179" s="945"/>
      <c r="L179" s="945"/>
      <c r="M179" s="945"/>
      <c r="N179" s="945"/>
      <c r="O179" s="945"/>
      <c r="P179" s="945"/>
    </row>
    <row r="180" spans="1:26" ht="19.5">
      <c r="A180" s="1005"/>
      <c r="B180" s="1006" t="s">
        <v>88</v>
      </c>
      <c r="C180" s="1007"/>
      <c r="D180" s="952"/>
      <c r="E180" s="952"/>
      <c r="F180" s="952"/>
      <c r="G180" s="953"/>
      <c r="H180" s="252" t="s">
        <v>35</v>
      </c>
      <c r="I180" s="1008">
        <f t="shared" ref="I180:J180" ca="1" si="91">I225+I226</f>
        <v>0</v>
      </c>
      <c r="J180" s="1008">
        <f t="shared" si="91"/>
        <v>0</v>
      </c>
      <c r="K180" s="1009">
        <f ca="1">IF(I180&gt;0,J180*100/I180,0)</f>
        <v>0</v>
      </c>
      <c r="L180" s="1010"/>
      <c r="M180" s="1010"/>
      <c r="N180" s="1010"/>
      <c r="O180" s="1010"/>
      <c r="P180" s="1010"/>
    </row>
    <row r="181" spans="1:26" ht="19.5">
      <c r="A181" s="932"/>
      <c r="B181" s="933"/>
      <c r="C181" s="934" t="s">
        <v>16</v>
      </c>
      <c r="D181" s="935" t="s">
        <v>17</v>
      </c>
      <c r="E181" s="933"/>
      <c r="F181" s="933"/>
      <c r="G181" s="936"/>
      <c r="H181" s="152" t="s">
        <v>12</v>
      </c>
      <c r="I181" s="937"/>
      <c r="J181" s="937"/>
      <c r="K181" s="938"/>
      <c r="L181" s="939">
        <f t="shared" ref="L181:N181" ca="1" si="92">L182+L183</f>
        <v>63500</v>
      </c>
      <c r="M181" s="939">
        <f t="shared" ca="1" si="92"/>
        <v>48500</v>
      </c>
      <c r="N181" s="939">
        <f t="shared" ca="1" si="92"/>
        <v>24375</v>
      </c>
      <c r="O181" s="939">
        <f t="shared" ref="O181:O189" ca="1" si="93">IF(L181&gt;0,N181*100/L181,0)</f>
        <v>38.385826771653541</v>
      </c>
      <c r="P181" s="939">
        <f t="shared" ref="P181:P189" ca="1" si="94">IF(M181&gt;0,N181*100/M181,0)</f>
        <v>50.257731958762889</v>
      </c>
      <c r="Q181" s="818"/>
      <c r="R181" s="818"/>
      <c r="S181" s="818"/>
      <c r="T181" s="818"/>
      <c r="U181" s="818"/>
      <c r="V181" s="818"/>
      <c r="W181" s="818"/>
      <c r="X181" s="818"/>
      <c r="Y181" s="818"/>
      <c r="Z181" s="818"/>
    </row>
    <row r="182" spans="1:26" ht="18.75" hidden="1">
      <c r="A182" s="940"/>
      <c r="B182" s="833"/>
      <c r="C182" s="833"/>
      <c r="D182" s="833"/>
      <c r="E182" s="834" t="s">
        <v>18</v>
      </c>
      <c r="F182" s="833"/>
      <c r="G182" s="941"/>
      <c r="H182" s="158" t="s">
        <v>12</v>
      </c>
      <c r="I182" s="836"/>
      <c r="J182" s="836"/>
      <c r="K182" s="837"/>
      <c r="L182" s="837">
        <f t="shared" ref="L182:N183" si="95">L185+L188</f>
        <v>0</v>
      </c>
      <c r="M182" s="837">
        <f t="shared" si="95"/>
        <v>0</v>
      </c>
      <c r="N182" s="837">
        <f t="shared" si="95"/>
        <v>0</v>
      </c>
      <c r="O182" s="837">
        <f t="shared" si="93"/>
        <v>0</v>
      </c>
      <c r="P182" s="837">
        <f t="shared" si="94"/>
        <v>0</v>
      </c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</row>
    <row r="183" spans="1:26" ht="18.75" hidden="1">
      <c r="A183" s="940"/>
      <c r="B183" s="833"/>
      <c r="C183" s="833"/>
      <c r="D183" s="833"/>
      <c r="E183" s="834" t="s">
        <v>19</v>
      </c>
      <c r="F183" s="833"/>
      <c r="G183" s="941"/>
      <c r="H183" s="158" t="s">
        <v>12</v>
      </c>
      <c r="I183" s="836"/>
      <c r="J183" s="836"/>
      <c r="K183" s="837"/>
      <c r="L183" s="837">
        <f t="shared" ca="1" si="95"/>
        <v>63500</v>
      </c>
      <c r="M183" s="837">
        <f t="shared" ca="1" si="95"/>
        <v>48500</v>
      </c>
      <c r="N183" s="837">
        <f t="shared" ca="1" si="95"/>
        <v>24375</v>
      </c>
      <c r="O183" s="837">
        <f t="shared" ca="1" si="93"/>
        <v>38.385826771653541</v>
      </c>
      <c r="P183" s="837">
        <f t="shared" ca="1" si="94"/>
        <v>50.257731958762889</v>
      </c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</row>
    <row r="184" spans="1:26" ht="18.75">
      <c r="A184" s="942"/>
      <c r="B184" s="827"/>
      <c r="C184" s="943"/>
      <c r="D184" s="828" t="s">
        <v>20</v>
      </c>
      <c r="E184" s="827"/>
      <c r="F184" s="827"/>
      <c r="G184" s="829"/>
      <c r="H184" s="778" t="s">
        <v>12</v>
      </c>
      <c r="I184" s="944"/>
      <c r="J184" s="944"/>
      <c r="K184" s="945"/>
      <c r="L184" s="831">
        <f t="shared" ref="L184:N184" ca="1" si="96">L185+L186</f>
        <v>63500</v>
      </c>
      <c r="M184" s="831">
        <f t="shared" ca="1" si="96"/>
        <v>48500</v>
      </c>
      <c r="N184" s="831">
        <f t="shared" ca="1" si="96"/>
        <v>24375</v>
      </c>
      <c r="O184" s="831">
        <f t="shared" ca="1" si="93"/>
        <v>38.385826771653541</v>
      </c>
      <c r="P184" s="831">
        <f t="shared" ca="1" si="94"/>
        <v>50.257731958762889</v>
      </c>
      <c r="Q184" s="818"/>
      <c r="R184" s="818"/>
      <c r="S184" s="818"/>
      <c r="T184" s="818"/>
      <c r="U184" s="818"/>
      <c r="V184" s="818"/>
      <c r="W184" s="818"/>
      <c r="X184" s="818"/>
      <c r="Y184" s="818"/>
      <c r="Z184" s="818"/>
    </row>
    <row r="185" spans="1:26" ht="19.5" hidden="1">
      <c r="A185" s="940"/>
      <c r="B185" s="833"/>
      <c r="C185" s="946"/>
      <c r="D185" s="833"/>
      <c r="E185" s="834" t="s">
        <v>36</v>
      </c>
      <c r="F185" s="833"/>
      <c r="G185" s="941"/>
      <c r="H185" s="165" t="s">
        <v>12</v>
      </c>
      <c r="I185" s="947"/>
      <c r="J185" s="947"/>
      <c r="K185" s="948"/>
      <c r="L185" s="837">
        <v>0</v>
      </c>
      <c r="M185" s="837">
        <v>0</v>
      </c>
      <c r="N185" s="837">
        <v>0</v>
      </c>
      <c r="O185" s="837">
        <f t="shared" si="93"/>
        <v>0</v>
      </c>
      <c r="P185" s="837">
        <f t="shared" si="94"/>
        <v>0</v>
      </c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</row>
    <row r="186" spans="1:26" ht="19.5" hidden="1">
      <c r="A186" s="940"/>
      <c r="B186" s="833"/>
      <c r="C186" s="946"/>
      <c r="D186" s="833"/>
      <c r="E186" s="834" t="s">
        <v>37</v>
      </c>
      <c r="F186" s="833"/>
      <c r="G186" s="941"/>
      <c r="H186" s="165" t="s">
        <v>12</v>
      </c>
      <c r="I186" s="947"/>
      <c r="J186" s="947"/>
      <c r="K186" s="948"/>
      <c r="L186" s="837">
        <f ca="1">IFERROR(__xludf.DUMMYFUNCTION("IMPORTRANGE(""https://docs.google.com/spreadsheets/d/1MeEWN-I1oV_STSDYn1IFDPWt_1FKiwhDph83XaGc0o0/edit?usp=sharing"",""งบพรบ!CO30"")"),63500)</f>
        <v>63500</v>
      </c>
      <c r="M186" s="837">
        <f ca="1">IFERROR(__xludf.DUMMYFUNCTION("IMPORTRANGE(""https://docs.google.com/spreadsheets/d/1MeEWN-I1oV_STSDYn1IFDPWt_1FKiwhDph83XaGc0o0/edit?usp=sharing"",""งบพรบ!CT30"")"),48500)</f>
        <v>48500</v>
      </c>
      <c r="N186" s="837">
        <f ca="1">IFERROR(__xludf.DUMMYFUNCTION("IMPORTRANGE(""https://docs.google.com/spreadsheets/d/1MeEWN-I1oV_STSDYn1IFDPWt_1FKiwhDph83XaGc0o0/edit?usp=sharing"",""งบพรบ!CV30"")"),24375)</f>
        <v>24375</v>
      </c>
      <c r="O186" s="837">
        <f t="shared" ca="1" si="93"/>
        <v>38.385826771653541</v>
      </c>
      <c r="P186" s="837">
        <f t="shared" ca="1" si="94"/>
        <v>50.257731958762889</v>
      </c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</row>
    <row r="187" spans="1:26" ht="18.75">
      <c r="A187" s="942"/>
      <c r="B187" s="827"/>
      <c r="C187" s="943"/>
      <c r="D187" s="828" t="s">
        <v>21</v>
      </c>
      <c r="E187" s="827"/>
      <c r="F187" s="827"/>
      <c r="G187" s="829"/>
      <c r="H187" s="168" t="s">
        <v>12</v>
      </c>
      <c r="I187" s="944"/>
      <c r="J187" s="944"/>
      <c r="K187" s="945"/>
      <c r="L187" s="831">
        <f t="shared" ref="L187:N187" ca="1" si="97">L188+L189</f>
        <v>0</v>
      </c>
      <c r="M187" s="831">
        <f t="shared" ca="1" si="97"/>
        <v>0</v>
      </c>
      <c r="N187" s="831">
        <f t="shared" ca="1" si="97"/>
        <v>0</v>
      </c>
      <c r="O187" s="831">
        <f t="shared" ca="1" si="93"/>
        <v>0</v>
      </c>
      <c r="P187" s="831">
        <f t="shared" ca="1" si="94"/>
        <v>0</v>
      </c>
      <c r="Q187" s="818"/>
      <c r="R187" s="818"/>
      <c r="S187" s="818"/>
      <c r="T187" s="818"/>
      <c r="U187" s="818"/>
      <c r="V187" s="818"/>
      <c r="W187" s="818"/>
      <c r="X187" s="818"/>
      <c r="Y187" s="818"/>
      <c r="Z187" s="818"/>
    </row>
    <row r="188" spans="1:26" ht="19.5" hidden="1">
      <c r="A188" s="940"/>
      <c r="B188" s="833"/>
      <c r="C188" s="946"/>
      <c r="D188" s="833"/>
      <c r="E188" s="834" t="s">
        <v>18</v>
      </c>
      <c r="F188" s="833"/>
      <c r="G188" s="941"/>
      <c r="H188" s="165" t="s">
        <v>12</v>
      </c>
      <c r="I188" s="947"/>
      <c r="J188" s="947"/>
      <c r="K188" s="948"/>
      <c r="L188" s="837">
        <v>0</v>
      </c>
      <c r="M188" s="837">
        <v>0</v>
      </c>
      <c r="N188" s="837">
        <v>0</v>
      </c>
      <c r="O188" s="837">
        <f t="shared" si="93"/>
        <v>0</v>
      </c>
      <c r="P188" s="837">
        <f t="shared" si="94"/>
        <v>0</v>
      </c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</row>
    <row r="189" spans="1:26" ht="19.5" hidden="1">
      <c r="A189" s="940"/>
      <c r="B189" s="833"/>
      <c r="C189" s="946"/>
      <c r="D189" s="833"/>
      <c r="E189" s="834" t="s">
        <v>19</v>
      </c>
      <c r="F189" s="833"/>
      <c r="G189" s="941"/>
      <c r="H189" s="169" t="s">
        <v>12</v>
      </c>
      <c r="I189" s="947"/>
      <c r="J189" s="947"/>
      <c r="K189" s="948"/>
      <c r="L189" s="837">
        <f ca="1">IFERROR(__xludf.DUMMYFUNCTION("IMPORTRANGE(""https://docs.google.com/spreadsheets/d/1MeEWN-I1oV_STSDYn1IFDPWt_1FKiwhDph83XaGc0o0/edit?usp=sharing"",""งบพรบ!CR30"")"),0)</f>
        <v>0</v>
      </c>
      <c r="M189" s="837">
        <f ca="1">IFERROR(__xludf.DUMMYFUNCTION("IMPORTRANGE(""https://docs.google.com/spreadsheets/d/1MeEWN-I1oV_STSDYn1IFDPWt_1FKiwhDph83XaGc0o0/edit?usp=sharing"",""งบพรบ!CU30"")"),0)</f>
        <v>0</v>
      </c>
      <c r="N189" s="837">
        <f ca="1">IFERROR(__xludf.DUMMYFUNCTION("IMPORTRANGE(""https://docs.google.com/spreadsheets/d/1MeEWN-I1oV_STSDYn1IFDPWt_1FKiwhDph83XaGc0o0/edit?usp=sharing"",""งบพรบ!CW30"")"),0)</f>
        <v>0</v>
      </c>
      <c r="O189" s="837">
        <f t="shared" ca="1" si="93"/>
        <v>0</v>
      </c>
      <c r="P189" s="837">
        <f t="shared" ca="1" si="94"/>
        <v>0</v>
      </c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</row>
    <row r="190" spans="1:26" ht="19.5">
      <c r="A190" s="1011"/>
      <c r="B190" s="1018"/>
      <c r="C190" s="1023" t="s">
        <v>89</v>
      </c>
      <c r="D190" s="1012"/>
      <c r="E190" s="1012"/>
      <c r="F190" s="1012"/>
      <c r="G190" s="1014"/>
      <c r="H190" s="260" t="s">
        <v>90</v>
      </c>
      <c r="I190" s="1024">
        <f t="shared" ref="I190:J190" ca="1" si="98">I193</f>
        <v>4</v>
      </c>
      <c r="J190" s="1024">
        <f t="shared" si="98"/>
        <v>2</v>
      </c>
      <c r="K190" s="1025">
        <f ca="1">IF(I190&gt;0,J190*100/I190,0)</f>
        <v>50</v>
      </c>
      <c r="L190" s="1016"/>
      <c r="M190" s="1016"/>
      <c r="N190" s="1016"/>
      <c r="O190" s="1016"/>
      <c r="P190" s="1016"/>
    </row>
    <row r="191" spans="1:26" ht="19.5">
      <c r="A191" s="932"/>
      <c r="B191" s="933"/>
      <c r="C191" s="934" t="s">
        <v>16</v>
      </c>
      <c r="D191" s="1026" t="s">
        <v>17</v>
      </c>
      <c r="E191" s="933"/>
      <c r="F191" s="933"/>
      <c r="G191" s="936"/>
      <c r="H191" s="275" t="s">
        <v>12</v>
      </c>
      <c r="I191" s="937"/>
      <c r="J191" s="937"/>
      <c r="K191" s="938"/>
      <c r="L191" s="939">
        <f ca="1">IFERROR(__xludf.DUMMYFUNCTION("IMPORTRANGE(""https://docs.google.com/spreadsheets/d/1QqKyyYR6Q21VydFLVH3TRQUabQu_ym0Zz7PgGX0-kHA/edit?usp=sharing"",""แผน!Z30"")"),6000)</f>
        <v>6000</v>
      </c>
      <c r="M191" s="939"/>
      <c r="N191" s="1027">
        <v>1180</v>
      </c>
      <c r="O191" s="939">
        <f ca="1">IF(L191&gt;0,N191*100/L191,0)</f>
        <v>19.666666666666668</v>
      </c>
      <c r="P191" s="939">
        <f>IF(M191&gt;0,N191*100/M191,0)</f>
        <v>0</v>
      </c>
      <c r="Q191" s="818"/>
      <c r="R191" s="818"/>
      <c r="S191" s="818"/>
      <c r="T191" s="818"/>
      <c r="U191" s="818"/>
      <c r="V191" s="818"/>
      <c r="W191" s="818"/>
      <c r="X191" s="818"/>
      <c r="Y191" s="818"/>
      <c r="Z191" s="818"/>
    </row>
    <row r="192" spans="1:26" ht="19.5">
      <c r="A192" s="949"/>
      <c r="B192" s="950"/>
      <c r="C192" s="976" t="s">
        <v>16</v>
      </c>
      <c r="D192" s="951" t="s">
        <v>38</v>
      </c>
      <c r="E192" s="952"/>
      <c r="F192" s="952"/>
      <c r="G192" s="953"/>
      <c r="H192" s="954"/>
      <c r="I192" s="830"/>
      <c r="J192" s="830"/>
      <c r="K192" s="831"/>
      <c r="L192" s="831"/>
      <c r="M192" s="831"/>
      <c r="N192" s="831"/>
      <c r="O192" s="831"/>
      <c r="P192" s="831"/>
      <c r="Q192" s="818"/>
      <c r="R192" s="818"/>
      <c r="S192" s="818"/>
      <c r="T192" s="818"/>
      <c r="U192" s="818"/>
      <c r="V192" s="818"/>
      <c r="W192" s="818"/>
      <c r="X192" s="818"/>
      <c r="Y192" s="818"/>
      <c r="Z192" s="818"/>
    </row>
    <row r="193" spans="1:26" ht="18.75">
      <c r="A193" s="949"/>
      <c r="B193" s="950"/>
      <c r="C193" s="950"/>
      <c r="D193" s="956" t="s">
        <v>91</v>
      </c>
      <c r="E193" s="957"/>
      <c r="F193" s="957"/>
      <c r="G193" s="958"/>
      <c r="H193" s="730" t="s">
        <v>90</v>
      </c>
      <c r="I193" s="830">
        <f ca="1">IFERROR(__xludf.DUMMYFUNCTION("IMPORTRANGE(""https://docs.google.com/spreadsheets/d/1QqKyyYR6Q21VydFLVH3TRQUabQu_ym0Zz7PgGX0-kHA/edit?usp=sharing"",""แผน!AC30"")"),4)</f>
        <v>4</v>
      </c>
      <c r="J193" s="959">
        <v>2</v>
      </c>
      <c r="K193" s="831">
        <f ca="1">IF(I193&gt;0,J193*100/I193,0)</f>
        <v>50</v>
      </c>
      <c r="L193" s="831"/>
      <c r="M193" s="831"/>
      <c r="N193" s="831"/>
      <c r="O193" s="831"/>
      <c r="P193" s="831"/>
      <c r="Q193" s="818"/>
      <c r="R193" s="818"/>
      <c r="S193" s="818"/>
      <c r="T193" s="818"/>
      <c r="U193" s="818"/>
      <c r="V193" s="818"/>
      <c r="W193" s="818"/>
      <c r="X193" s="818"/>
      <c r="Y193" s="818"/>
      <c r="Z193" s="818"/>
    </row>
    <row r="194" spans="1:26" ht="18.75">
      <c r="A194" s="949"/>
      <c r="B194" s="950"/>
      <c r="C194" s="950"/>
      <c r="D194" s="956" t="s">
        <v>92</v>
      </c>
      <c r="E194" s="957"/>
      <c r="F194" s="957"/>
      <c r="G194" s="958"/>
      <c r="H194" s="277" t="s">
        <v>35</v>
      </c>
      <c r="I194" s="830"/>
      <c r="J194" s="830">
        <f>J195+J196</f>
        <v>40</v>
      </c>
      <c r="K194" s="831"/>
      <c r="L194" s="831"/>
      <c r="M194" s="831"/>
      <c r="N194" s="831"/>
      <c r="O194" s="831"/>
      <c r="P194" s="831"/>
      <c r="Q194" s="818"/>
      <c r="R194" s="818"/>
      <c r="S194" s="818"/>
      <c r="T194" s="818"/>
      <c r="U194" s="818"/>
      <c r="V194" s="818"/>
      <c r="W194" s="818"/>
      <c r="X194" s="818"/>
      <c r="Y194" s="818"/>
      <c r="Z194" s="818"/>
    </row>
    <row r="195" spans="1:26" ht="18.75">
      <c r="A195" s="949"/>
      <c r="B195" s="950"/>
      <c r="C195" s="950"/>
      <c r="D195" s="950"/>
      <c r="E195" s="956" t="s">
        <v>93</v>
      </c>
      <c r="F195" s="957"/>
      <c r="G195" s="958"/>
      <c r="H195" s="277" t="s">
        <v>35</v>
      </c>
      <c r="I195" s="830"/>
      <c r="J195" s="959">
        <v>40</v>
      </c>
      <c r="K195" s="831"/>
      <c r="L195" s="831"/>
      <c r="M195" s="831"/>
      <c r="N195" s="831"/>
      <c r="O195" s="831"/>
      <c r="P195" s="831"/>
      <c r="Q195" s="818"/>
      <c r="R195" s="818"/>
      <c r="S195" s="818"/>
      <c r="T195" s="818"/>
      <c r="U195" s="818"/>
      <c r="V195" s="818"/>
      <c r="W195" s="818"/>
      <c r="X195" s="818"/>
      <c r="Y195" s="818"/>
      <c r="Z195" s="818"/>
    </row>
    <row r="196" spans="1:26" ht="18.75">
      <c r="A196" s="949"/>
      <c r="B196" s="950"/>
      <c r="C196" s="950"/>
      <c r="D196" s="950"/>
      <c r="E196" s="956" t="s">
        <v>94</v>
      </c>
      <c r="F196" s="957"/>
      <c r="G196" s="958"/>
      <c r="H196" s="277" t="s">
        <v>35</v>
      </c>
      <c r="I196" s="830"/>
      <c r="J196" s="959">
        <v>0</v>
      </c>
      <c r="K196" s="831"/>
      <c r="L196" s="831"/>
      <c r="M196" s="831"/>
      <c r="N196" s="831"/>
      <c r="O196" s="831"/>
      <c r="P196" s="831"/>
      <c r="Q196" s="818"/>
      <c r="R196" s="818"/>
      <c r="S196" s="818"/>
      <c r="T196" s="818"/>
      <c r="U196" s="818"/>
      <c r="V196" s="818"/>
      <c r="W196" s="818"/>
      <c r="X196" s="818"/>
      <c r="Y196" s="818"/>
      <c r="Z196" s="818"/>
    </row>
    <row r="197" spans="1:26" ht="19.5">
      <c r="A197" s="1011"/>
      <c r="B197" s="1018"/>
      <c r="C197" s="1023" t="s">
        <v>95</v>
      </c>
      <c r="D197" s="1012"/>
      <c r="E197" s="1012"/>
      <c r="F197" s="1012"/>
      <c r="G197" s="1014"/>
      <c r="H197" s="278" t="s">
        <v>96</v>
      </c>
      <c r="I197" s="1024">
        <f t="shared" ref="I197:J197" ca="1" si="99">I204</f>
        <v>3</v>
      </c>
      <c r="J197" s="1024">
        <f t="shared" si="99"/>
        <v>3</v>
      </c>
      <c r="K197" s="1025">
        <f ca="1">IF(I197&gt;0,J197*100/I197,0)</f>
        <v>100</v>
      </c>
      <c r="L197" s="1016"/>
      <c r="M197" s="1016"/>
      <c r="N197" s="1016"/>
      <c r="O197" s="1016"/>
      <c r="P197" s="1016"/>
    </row>
    <row r="198" spans="1:26" ht="19.5">
      <c r="A198" s="932"/>
      <c r="B198" s="933"/>
      <c r="C198" s="934" t="s">
        <v>16</v>
      </c>
      <c r="D198" s="1026" t="s">
        <v>17</v>
      </c>
      <c r="E198" s="933"/>
      <c r="F198" s="933"/>
      <c r="G198" s="936"/>
      <c r="H198" s="275" t="s">
        <v>12</v>
      </c>
      <c r="I198" s="1028"/>
      <c r="J198" s="1028"/>
      <c r="K198" s="1029"/>
      <c r="L198" s="939">
        <f ca="1">L199+L200+L201+L202</f>
        <v>39000</v>
      </c>
      <c r="M198" s="939"/>
      <c r="N198" s="939">
        <f>N199+N200+N201+N202</f>
        <v>23295</v>
      </c>
      <c r="O198" s="939">
        <f ca="1">IF(L198&gt;0,N198*100/L198,0)</f>
        <v>59.730769230769234</v>
      </c>
      <c r="P198" s="939">
        <f>IF(M198&gt;0,N198*100/M198,0)</f>
        <v>0</v>
      </c>
      <c r="Q198" s="818"/>
      <c r="R198" s="818"/>
      <c r="S198" s="818"/>
      <c r="T198" s="818"/>
      <c r="U198" s="818"/>
      <c r="V198" s="818"/>
      <c r="W198" s="818"/>
      <c r="X198" s="818"/>
      <c r="Y198" s="818"/>
      <c r="Z198" s="818"/>
    </row>
    <row r="199" spans="1:26" ht="18.75">
      <c r="A199" s="942"/>
      <c r="B199" s="1030"/>
      <c r="C199" s="827"/>
      <c r="D199" s="943" t="s">
        <v>97</v>
      </c>
      <c r="E199" s="827"/>
      <c r="F199" s="827"/>
      <c r="G199" s="829"/>
      <c r="H199" s="778" t="s">
        <v>12</v>
      </c>
      <c r="I199" s="944"/>
      <c r="J199" s="944"/>
      <c r="K199" s="945"/>
      <c r="L199" s="831">
        <f ca="1">IFERROR(__xludf.DUMMYFUNCTION("IMPORTRANGE(""https://docs.google.com/spreadsheets/d/1QqKyyYR6Q21VydFLVH3TRQUabQu_ym0Zz7PgGX0-kHA/edit?usp=sharing"",""แผน!AE30"")"),3000)</f>
        <v>3000</v>
      </c>
      <c r="M199" s="831"/>
      <c r="N199" s="1031">
        <v>0</v>
      </c>
      <c r="O199" s="831"/>
      <c r="P199" s="831"/>
      <c r="Q199" s="818"/>
      <c r="R199" s="818"/>
      <c r="S199" s="818"/>
      <c r="T199" s="818"/>
      <c r="U199" s="818"/>
      <c r="V199" s="818"/>
      <c r="W199" s="818"/>
      <c r="X199" s="818"/>
      <c r="Y199" s="818"/>
      <c r="Z199" s="818"/>
    </row>
    <row r="200" spans="1:26" ht="19.5">
      <c r="A200" s="1032"/>
      <c r="B200" s="1030"/>
      <c r="C200" s="976"/>
      <c r="D200" s="943" t="s">
        <v>98</v>
      </c>
      <c r="E200" s="827"/>
      <c r="F200" s="827"/>
      <c r="G200" s="829"/>
      <c r="H200" s="590" t="s">
        <v>12</v>
      </c>
      <c r="I200" s="830"/>
      <c r="J200" s="830"/>
      <c r="K200" s="831"/>
      <c r="L200" s="831">
        <f ca="1">IFERROR(__xludf.DUMMYFUNCTION("IMPORTRANGE(""https://docs.google.com/spreadsheets/d/1QqKyyYR6Q21VydFLVH3TRQUabQu_ym0Zz7PgGX0-kHA/edit?usp=sharing"",""แผน!AF30"")"),24000)</f>
        <v>24000</v>
      </c>
      <c r="M200" s="831"/>
      <c r="N200" s="1031">
        <v>23295</v>
      </c>
      <c r="O200" s="831"/>
      <c r="P200" s="831"/>
      <c r="Q200" s="1033"/>
      <c r="R200" s="1033"/>
      <c r="S200" s="1033"/>
      <c r="T200" s="1033"/>
      <c r="U200" s="1033"/>
      <c r="V200" s="1033"/>
      <c r="W200" s="1033"/>
      <c r="X200" s="1033"/>
      <c r="Y200" s="1033"/>
      <c r="Z200" s="1033"/>
    </row>
    <row r="201" spans="1:26" ht="19.5">
      <c r="A201" s="1032"/>
      <c r="B201" s="1030"/>
      <c r="C201" s="976"/>
      <c r="D201" s="943" t="s">
        <v>99</v>
      </c>
      <c r="E201" s="827"/>
      <c r="F201" s="827"/>
      <c r="G201" s="829"/>
      <c r="H201" s="590" t="s">
        <v>12</v>
      </c>
      <c r="I201" s="830"/>
      <c r="J201" s="830"/>
      <c r="K201" s="831"/>
      <c r="L201" s="831">
        <f ca="1">IFERROR(__xludf.DUMMYFUNCTION("IMPORTRANGE(""https://docs.google.com/spreadsheets/d/1QqKyyYR6Q21VydFLVH3TRQUabQu_ym0Zz7PgGX0-kHA/edit?usp=sharing"",""แผน!AG30"")"),12000)</f>
        <v>12000</v>
      </c>
      <c r="M201" s="831"/>
      <c r="N201" s="1031">
        <v>0</v>
      </c>
      <c r="O201" s="831"/>
      <c r="P201" s="831"/>
      <c r="Q201" s="1033"/>
      <c r="R201" s="1033"/>
      <c r="S201" s="1033"/>
      <c r="T201" s="1033"/>
      <c r="U201" s="1033"/>
      <c r="V201" s="1033"/>
      <c r="W201" s="1033"/>
      <c r="X201" s="1033"/>
      <c r="Y201" s="1033"/>
      <c r="Z201" s="1033"/>
    </row>
    <row r="202" spans="1:26" ht="19.5">
      <c r="A202" s="1032"/>
      <c r="B202" s="1030"/>
      <c r="C202" s="976"/>
      <c r="D202" s="943" t="s">
        <v>100</v>
      </c>
      <c r="E202" s="827"/>
      <c r="F202" s="827"/>
      <c r="G202" s="829"/>
      <c r="H202" s="590" t="s">
        <v>12</v>
      </c>
      <c r="I202" s="830"/>
      <c r="J202" s="830"/>
      <c r="K202" s="831"/>
      <c r="L202" s="831">
        <f ca="1">IFERROR(__xludf.DUMMYFUNCTION("IMPORTRANGE(""https://docs.google.com/spreadsheets/d/1QqKyyYR6Q21VydFLVH3TRQUabQu_ym0Zz7PgGX0-kHA/edit?usp=sharing"",""แผน!AH30"")"),0)</f>
        <v>0</v>
      </c>
      <c r="M202" s="831"/>
      <c r="N202" s="1031">
        <v>0</v>
      </c>
      <c r="O202" s="831"/>
      <c r="P202" s="831"/>
      <c r="Q202" s="1033"/>
      <c r="R202" s="1033"/>
      <c r="S202" s="1033"/>
      <c r="T202" s="1033"/>
      <c r="U202" s="1033"/>
      <c r="V202" s="1033"/>
      <c r="W202" s="1033"/>
      <c r="X202" s="1033"/>
      <c r="Y202" s="1033"/>
      <c r="Z202" s="1033"/>
    </row>
    <row r="203" spans="1:26" ht="19.5">
      <c r="A203" s="949"/>
      <c r="B203" s="950"/>
      <c r="C203" s="976" t="s">
        <v>16</v>
      </c>
      <c r="D203" s="951" t="s">
        <v>38</v>
      </c>
      <c r="E203" s="952"/>
      <c r="F203" s="952"/>
      <c r="G203" s="953"/>
      <c r="H203" s="954"/>
      <c r="I203" s="944"/>
      <c r="J203" s="944"/>
      <c r="K203" s="945"/>
      <c r="L203" s="945"/>
      <c r="M203" s="945"/>
      <c r="N203" s="945"/>
      <c r="O203" s="945"/>
      <c r="P203" s="945"/>
      <c r="Q203" s="818"/>
      <c r="R203" s="818"/>
      <c r="S203" s="818"/>
      <c r="T203" s="818"/>
      <c r="U203" s="818"/>
      <c r="V203" s="818"/>
      <c r="W203" s="818"/>
      <c r="X203" s="818"/>
      <c r="Y203" s="818"/>
      <c r="Z203" s="818"/>
    </row>
    <row r="204" spans="1:26" ht="18.75">
      <c r="A204" s="949"/>
      <c r="B204" s="950"/>
      <c r="C204" s="950"/>
      <c r="D204" s="955" t="s">
        <v>101</v>
      </c>
      <c r="E204" s="957"/>
      <c r="F204" s="957"/>
      <c r="G204" s="958"/>
      <c r="H204" s="954" t="s">
        <v>96</v>
      </c>
      <c r="I204" s="830">
        <f ca="1">IFERROR(__xludf.DUMMYFUNCTION("IMPORTRANGE(""https://docs.google.com/spreadsheets/d/1QqKyyYR6Q21VydFLVH3TRQUabQu_ym0Zz7PgGX0-kHA/edit?usp=sharing"",""แผน!AI30"")"),3)</f>
        <v>3</v>
      </c>
      <c r="J204" s="959">
        <v>3</v>
      </c>
      <c r="K204" s="945">
        <f ca="1">IF(I204&gt;0,J204*100/I204,0)</f>
        <v>100</v>
      </c>
      <c r="L204" s="831"/>
      <c r="M204" s="831"/>
      <c r="N204" s="831"/>
      <c r="O204" s="831"/>
      <c r="P204" s="831"/>
      <c r="Q204" s="818"/>
      <c r="R204" s="818"/>
      <c r="S204" s="818"/>
      <c r="T204" s="818"/>
      <c r="U204" s="818"/>
      <c r="V204" s="818"/>
      <c r="W204" s="818"/>
      <c r="X204" s="818"/>
      <c r="Y204" s="818"/>
      <c r="Z204" s="818"/>
    </row>
    <row r="205" spans="1:26" ht="18.75">
      <c r="A205" s="949"/>
      <c r="B205" s="950"/>
      <c r="C205" s="950"/>
      <c r="D205" s="956" t="s">
        <v>59</v>
      </c>
      <c r="E205" s="957"/>
      <c r="F205" s="957"/>
      <c r="G205" s="958"/>
      <c r="H205" s="954"/>
      <c r="I205" s="830"/>
      <c r="J205" s="830"/>
      <c r="K205" s="945"/>
      <c r="L205" s="831"/>
      <c r="M205" s="831"/>
      <c r="N205" s="831"/>
      <c r="O205" s="831"/>
      <c r="P205" s="831"/>
      <c r="Q205" s="818"/>
      <c r="R205" s="818"/>
      <c r="S205" s="818"/>
      <c r="T205" s="818"/>
      <c r="U205" s="818"/>
      <c r="V205" s="818"/>
      <c r="W205" s="818"/>
      <c r="X205" s="818"/>
      <c r="Y205" s="818"/>
      <c r="Z205" s="818"/>
    </row>
    <row r="206" spans="1:26" ht="18.75">
      <c r="A206" s="949"/>
      <c r="B206" s="950"/>
      <c r="C206" s="950"/>
      <c r="D206" s="957"/>
      <c r="E206" s="968" t="s">
        <v>102</v>
      </c>
      <c r="F206" s="1034"/>
      <c r="G206" s="1035"/>
      <c r="H206" s="1036" t="s">
        <v>96</v>
      </c>
      <c r="I206" s="830">
        <v>3</v>
      </c>
      <c r="J206" s="959">
        <v>3</v>
      </c>
      <c r="K206" s="945">
        <f t="shared" ref="K206:K208" si="100">IF(I206&gt;0,J206*100/I206,0)</f>
        <v>100</v>
      </c>
      <c r="L206" s="831"/>
      <c r="M206" s="831"/>
      <c r="N206" s="831"/>
      <c r="O206" s="831"/>
      <c r="P206" s="831"/>
      <c r="Q206" s="818"/>
      <c r="R206" s="818"/>
      <c r="S206" s="818"/>
      <c r="T206" s="818"/>
      <c r="U206" s="818"/>
      <c r="V206" s="818"/>
      <c r="W206" s="818"/>
      <c r="X206" s="818"/>
      <c r="Y206" s="818"/>
      <c r="Z206" s="818"/>
    </row>
    <row r="207" spans="1:26" ht="18.75">
      <c r="A207" s="949"/>
      <c r="B207" s="950"/>
      <c r="C207" s="950"/>
      <c r="D207" s="956"/>
      <c r="E207" s="956" t="s">
        <v>103</v>
      </c>
      <c r="F207" s="957"/>
      <c r="G207" s="957"/>
      <c r="H207" s="290" t="s">
        <v>104</v>
      </c>
      <c r="I207" s="830">
        <v>0</v>
      </c>
      <c r="J207" s="959">
        <v>0</v>
      </c>
      <c r="K207" s="945">
        <f t="shared" si="100"/>
        <v>0</v>
      </c>
      <c r="L207" s="831"/>
      <c r="M207" s="831"/>
      <c r="N207" s="831"/>
      <c r="O207" s="831"/>
      <c r="P207" s="831"/>
      <c r="Q207" s="818"/>
      <c r="R207" s="818"/>
      <c r="S207" s="818"/>
      <c r="T207" s="818"/>
      <c r="U207" s="818"/>
      <c r="V207" s="818"/>
      <c r="W207" s="818"/>
      <c r="X207" s="818"/>
      <c r="Y207" s="818"/>
      <c r="Z207" s="818"/>
    </row>
    <row r="208" spans="1:26" ht="19.5" hidden="1">
      <c r="A208" s="1011"/>
      <c r="B208" s="1018"/>
      <c r="C208" s="1023" t="s">
        <v>105</v>
      </c>
      <c r="D208" s="1012"/>
      <c r="E208" s="1012"/>
      <c r="F208" s="1037"/>
      <c r="G208" s="1014"/>
      <c r="H208" s="278" t="s">
        <v>96</v>
      </c>
      <c r="I208" s="1024">
        <f t="shared" ref="I208:J208" ca="1" si="101">I215</f>
        <v>0</v>
      </c>
      <c r="J208" s="1024">
        <f t="shared" si="101"/>
        <v>0</v>
      </c>
      <c r="K208" s="1025">
        <f t="shared" ca="1" si="100"/>
        <v>0</v>
      </c>
      <c r="L208" s="1016"/>
      <c r="M208" s="1016"/>
      <c r="N208" s="1016"/>
      <c r="O208" s="1016"/>
      <c r="P208" s="1016"/>
    </row>
    <row r="209" spans="1:26" ht="19.5" hidden="1">
      <c r="A209" s="932"/>
      <c r="B209" s="933"/>
      <c r="C209" s="934" t="s">
        <v>16</v>
      </c>
      <c r="D209" s="1026" t="s">
        <v>17</v>
      </c>
      <c r="E209" s="933"/>
      <c r="F209" s="933"/>
      <c r="G209" s="936"/>
      <c r="H209" s="275" t="s">
        <v>12</v>
      </c>
      <c r="I209" s="1028"/>
      <c r="J209" s="1028"/>
      <c r="K209" s="1029"/>
      <c r="L209" s="939">
        <f ca="1">L210+L211+L212</f>
        <v>0</v>
      </c>
      <c r="M209" s="939"/>
      <c r="N209" s="939">
        <f>N210+N211+N212</f>
        <v>0</v>
      </c>
      <c r="O209" s="939">
        <f ca="1">IF(L209&gt;0,N209*100/L209,0)</f>
        <v>0</v>
      </c>
      <c r="P209" s="939">
        <f>IF(M209&gt;0,N209*100/M209,0)</f>
        <v>0</v>
      </c>
      <c r="Q209" s="818"/>
      <c r="R209" s="818"/>
      <c r="S209" s="818"/>
      <c r="T209" s="818"/>
      <c r="U209" s="818"/>
      <c r="V209" s="818"/>
      <c r="W209" s="818"/>
      <c r="X209" s="818"/>
      <c r="Y209" s="818"/>
      <c r="Z209" s="818"/>
    </row>
    <row r="210" spans="1:26" ht="18.75" hidden="1">
      <c r="A210" s="942"/>
      <c r="B210" s="1030"/>
      <c r="C210" s="827"/>
      <c r="D210" s="943" t="s">
        <v>97</v>
      </c>
      <c r="E210" s="827"/>
      <c r="F210" s="827"/>
      <c r="G210" s="829"/>
      <c r="H210" s="778" t="s">
        <v>12</v>
      </c>
      <c r="I210" s="944"/>
      <c r="J210" s="944"/>
      <c r="K210" s="945"/>
      <c r="L210" s="831">
        <f ca="1">IFERROR(__xludf.DUMMYFUNCTION("IMPORTRANGE(""https://docs.google.com/spreadsheets/d/1QqKyyYR6Q21VydFLVH3TRQUabQu_ym0Zz7PgGX0-kHA/edit?usp=sharing"",""แผน!AK30"")"),0)</f>
        <v>0</v>
      </c>
      <c r="M210" s="831"/>
      <c r="N210" s="1031">
        <v>0</v>
      </c>
      <c r="O210" s="831"/>
      <c r="P210" s="831"/>
      <c r="Q210" s="818"/>
      <c r="R210" s="818"/>
      <c r="S210" s="818"/>
      <c r="T210" s="818"/>
      <c r="U210" s="818"/>
      <c r="V210" s="818"/>
      <c r="W210" s="818"/>
      <c r="X210" s="818"/>
      <c r="Y210" s="818"/>
      <c r="Z210" s="818"/>
    </row>
    <row r="211" spans="1:26" ht="19.5" hidden="1">
      <c r="A211" s="1032"/>
      <c r="B211" s="1030"/>
      <c r="C211" s="1038"/>
      <c r="D211" s="943" t="s">
        <v>99</v>
      </c>
      <c r="E211" s="827"/>
      <c r="F211" s="827"/>
      <c r="G211" s="829"/>
      <c r="H211" s="778" t="s">
        <v>12</v>
      </c>
      <c r="I211" s="830"/>
      <c r="J211" s="830"/>
      <c r="K211" s="831"/>
      <c r="L211" s="831">
        <f ca="1">IFERROR(__xludf.DUMMYFUNCTION("IMPORTRANGE(""https://docs.google.com/spreadsheets/d/1QqKyyYR6Q21VydFLVH3TRQUabQu_ym0Zz7PgGX0-kHA/edit?usp=sharing"",""แผน!AL30"")"),0)</f>
        <v>0</v>
      </c>
      <c r="M211" s="831"/>
      <c r="N211" s="1031">
        <v>0</v>
      </c>
      <c r="O211" s="831"/>
      <c r="P211" s="831"/>
      <c r="Q211" s="1033"/>
      <c r="R211" s="1033"/>
      <c r="S211" s="1033"/>
      <c r="T211" s="1033"/>
      <c r="U211" s="1033"/>
      <c r="V211" s="1033"/>
      <c r="W211" s="1033"/>
      <c r="X211" s="1033"/>
      <c r="Y211" s="1033"/>
      <c r="Z211" s="1033"/>
    </row>
    <row r="212" spans="1:26" ht="19.5" hidden="1">
      <c r="A212" s="1032"/>
      <c r="B212" s="1030"/>
      <c r="C212" s="1038"/>
      <c r="D212" s="943" t="s">
        <v>98</v>
      </c>
      <c r="E212" s="827"/>
      <c r="F212" s="827"/>
      <c r="G212" s="829"/>
      <c r="H212" s="778" t="s">
        <v>12</v>
      </c>
      <c r="I212" s="830"/>
      <c r="J212" s="830"/>
      <c r="K212" s="831"/>
      <c r="L212" s="831">
        <f ca="1">IFERROR(__xludf.DUMMYFUNCTION("IMPORTRANGE(""https://docs.google.com/spreadsheets/d/1QqKyyYR6Q21VydFLVH3TRQUabQu_ym0Zz7PgGX0-kHA/edit?usp=sharing"",""แผน!AM30"")"),0)</f>
        <v>0</v>
      </c>
      <c r="M212" s="831"/>
      <c r="N212" s="1031">
        <v>0</v>
      </c>
      <c r="O212" s="831"/>
      <c r="P212" s="831"/>
      <c r="Q212" s="1033"/>
      <c r="R212" s="1033"/>
      <c r="S212" s="1033"/>
      <c r="T212" s="1033"/>
      <c r="U212" s="1033"/>
      <c r="V212" s="1033"/>
      <c r="W212" s="1033"/>
      <c r="X212" s="1033"/>
      <c r="Y212" s="1033"/>
      <c r="Z212" s="1033"/>
    </row>
    <row r="213" spans="1:26" ht="19.5" hidden="1">
      <c r="A213" s="949"/>
      <c r="B213" s="950"/>
      <c r="C213" s="1038" t="s">
        <v>16</v>
      </c>
      <c r="D213" s="951" t="s">
        <v>38</v>
      </c>
      <c r="E213" s="952"/>
      <c r="F213" s="952"/>
      <c r="G213" s="953"/>
      <c r="H213" s="954"/>
      <c r="I213" s="944"/>
      <c r="J213" s="830"/>
      <c r="K213" s="831"/>
      <c r="L213" s="831"/>
      <c r="M213" s="831"/>
      <c r="N213" s="831"/>
      <c r="O213" s="945"/>
      <c r="P213" s="945"/>
      <c r="Q213" s="818"/>
      <c r="R213" s="818"/>
      <c r="S213" s="818"/>
      <c r="T213" s="818"/>
      <c r="U213" s="818"/>
      <c r="V213" s="818"/>
      <c r="W213" s="818"/>
      <c r="X213" s="818"/>
      <c r="Y213" s="818"/>
      <c r="Z213" s="818"/>
    </row>
    <row r="214" spans="1:26" ht="18.75" hidden="1">
      <c r="A214" s="949"/>
      <c r="B214" s="950"/>
      <c r="C214" s="950"/>
      <c r="D214" s="955" t="s">
        <v>106</v>
      </c>
      <c r="E214" s="957"/>
      <c r="F214" s="957"/>
      <c r="G214" s="958"/>
      <c r="H214" s="954" t="s">
        <v>96</v>
      </c>
      <c r="I214" s="830">
        <f ca="1">IFERROR(__xludf.DUMMYFUNCTION("IMPORTRANGE(""https://docs.google.com/spreadsheets/d/1QqKyyYR6Q21VydFLVH3TRQUabQu_ym0Zz7PgGX0-kHA/edit?usp=sharing"",""แผน!AN30"")"),0)</f>
        <v>0</v>
      </c>
      <c r="J214" s="959">
        <v>0</v>
      </c>
      <c r="K214" s="831">
        <f t="shared" ref="K214:K216" ca="1" si="102">IF(I214&gt;0,J214*100/I214,0)</f>
        <v>0</v>
      </c>
      <c r="L214" s="831"/>
      <c r="M214" s="831"/>
      <c r="N214" s="831"/>
      <c r="O214" s="831"/>
      <c r="P214" s="831"/>
      <c r="Q214" s="818"/>
      <c r="R214" s="818"/>
      <c r="S214" s="818"/>
      <c r="T214" s="818"/>
      <c r="U214" s="818"/>
      <c r="V214" s="818"/>
      <c r="W214" s="818"/>
      <c r="X214" s="818"/>
      <c r="Y214" s="818"/>
      <c r="Z214" s="818"/>
    </row>
    <row r="215" spans="1:26" ht="18.75" hidden="1">
      <c r="A215" s="949"/>
      <c r="B215" s="950"/>
      <c r="C215" s="950"/>
      <c r="D215" s="955" t="s">
        <v>107</v>
      </c>
      <c r="E215" s="957"/>
      <c r="F215" s="957"/>
      <c r="G215" s="958"/>
      <c r="H215" s="954" t="s">
        <v>96</v>
      </c>
      <c r="I215" s="830">
        <f ca="1">IFERROR(__xludf.DUMMYFUNCTION("IMPORTRANGE(""https://docs.google.com/spreadsheets/d/1QqKyyYR6Q21VydFLVH3TRQUabQu_ym0Zz7PgGX0-kHA/edit?usp=sharing"",""แผน!AN30"")"),0)</f>
        <v>0</v>
      </c>
      <c r="J215" s="959">
        <v>0</v>
      </c>
      <c r="K215" s="831">
        <f t="shared" ca="1" si="102"/>
        <v>0</v>
      </c>
      <c r="L215" s="831"/>
      <c r="M215" s="831"/>
      <c r="N215" s="831"/>
      <c r="O215" s="831"/>
      <c r="P215" s="831"/>
      <c r="Q215" s="818"/>
      <c r="R215" s="818"/>
      <c r="S215" s="818"/>
      <c r="T215" s="818"/>
      <c r="U215" s="818"/>
      <c r="V215" s="818"/>
      <c r="W215" s="818"/>
      <c r="X215" s="818"/>
      <c r="Y215" s="818"/>
      <c r="Z215" s="818"/>
    </row>
    <row r="216" spans="1:26" ht="19.5">
      <c r="A216" s="1011"/>
      <c r="B216" s="1018"/>
      <c r="C216" s="1023" t="s">
        <v>108</v>
      </c>
      <c r="D216" s="1012"/>
      <c r="E216" s="1012"/>
      <c r="F216" s="1037"/>
      <c r="G216" s="1014"/>
      <c r="H216" s="260" t="s">
        <v>109</v>
      </c>
      <c r="I216" s="1024">
        <f t="shared" ref="I216:J216" ca="1" si="103">I224</f>
        <v>50000</v>
      </c>
      <c r="J216" s="1024">
        <f t="shared" si="103"/>
        <v>0</v>
      </c>
      <c r="K216" s="1025">
        <f t="shared" ca="1" si="102"/>
        <v>0</v>
      </c>
      <c r="L216" s="1016"/>
      <c r="M216" s="1016"/>
      <c r="N216" s="1016"/>
      <c r="O216" s="1016"/>
      <c r="P216" s="1016"/>
    </row>
    <row r="217" spans="1:26" ht="19.5">
      <c r="A217" s="932"/>
      <c r="B217" s="933"/>
      <c r="C217" s="934" t="s">
        <v>16</v>
      </c>
      <c r="D217" s="1026" t="s">
        <v>17</v>
      </c>
      <c r="E217" s="933"/>
      <c r="F217" s="933"/>
      <c r="G217" s="936"/>
      <c r="H217" s="275" t="s">
        <v>12</v>
      </c>
      <c r="I217" s="1028"/>
      <c r="J217" s="1028"/>
      <c r="K217" s="1029"/>
      <c r="L217" s="939">
        <f ca="1">L218+L219+L220</f>
        <v>18500</v>
      </c>
      <c r="M217" s="939"/>
      <c r="N217" s="939">
        <f>N218+N219+N220</f>
        <v>0</v>
      </c>
      <c r="O217" s="939">
        <f ca="1">IF(L217&gt;0,N217*100/L217,0)</f>
        <v>0</v>
      </c>
      <c r="P217" s="939">
        <f>IF(M217&gt;0,N217*100/M217,0)</f>
        <v>0</v>
      </c>
      <c r="Q217" s="818"/>
      <c r="R217" s="818"/>
      <c r="S217" s="818"/>
      <c r="T217" s="818"/>
      <c r="U217" s="818"/>
      <c r="V217" s="818"/>
      <c r="W217" s="818"/>
      <c r="X217" s="818"/>
      <c r="Y217" s="818"/>
      <c r="Z217" s="818"/>
    </row>
    <row r="218" spans="1:26" ht="18.75">
      <c r="A218" s="942"/>
      <c r="B218" s="1030"/>
      <c r="C218" s="827"/>
      <c r="D218" s="943" t="s">
        <v>97</v>
      </c>
      <c r="E218" s="827"/>
      <c r="F218" s="827"/>
      <c r="G218" s="829"/>
      <c r="H218" s="778" t="s">
        <v>12</v>
      </c>
      <c r="I218" s="944"/>
      <c r="J218" s="944"/>
      <c r="K218" s="945"/>
      <c r="L218" s="831">
        <f ca="1">IFERROR(__xludf.DUMMYFUNCTION("IMPORTRANGE(""https://docs.google.com/spreadsheets/d/1QqKyyYR6Q21VydFLVH3TRQUabQu_ym0Zz7PgGX0-kHA/edit?usp=sharing"",""แผน!AP30"")"),5000)</f>
        <v>5000</v>
      </c>
      <c r="M218" s="831"/>
      <c r="N218" s="1031">
        <v>0</v>
      </c>
      <c r="O218" s="831"/>
      <c r="P218" s="831"/>
      <c r="Q218" s="818"/>
      <c r="R218" s="818"/>
      <c r="S218" s="818"/>
      <c r="T218" s="818"/>
      <c r="U218" s="818"/>
      <c r="V218" s="818"/>
      <c r="W218" s="818"/>
      <c r="X218" s="818"/>
      <c r="Y218" s="818"/>
      <c r="Z218" s="818"/>
    </row>
    <row r="219" spans="1:26" ht="19.5">
      <c r="A219" s="1032"/>
      <c r="B219" s="1030"/>
      <c r="C219" s="1038"/>
      <c r="D219" s="943" t="s">
        <v>110</v>
      </c>
      <c r="E219" s="827"/>
      <c r="F219" s="827"/>
      <c r="G219" s="829"/>
      <c r="H219" s="778" t="s">
        <v>12</v>
      </c>
      <c r="I219" s="830"/>
      <c r="J219" s="830"/>
      <c r="K219" s="831"/>
      <c r="L219" s="831">
        <f ca="1">IFERROR(__xludf.DUMMYFUNCTION("IMPORTRANGE(""https://docs.google.com/spreadsheets/d/1QqKyyYR6Q21VydFLVH3TRQUabQu_ym0Zz7PgGX0-kHA/edit?usp=sharing"",""แผน!AQ30"")"),13500)</f>
        <v>13500</v>
      </c>
      <c r="M219" s="831"/>
      <c r="N219" s="1031">
        <v>0</v>
      </c>
      <c r="O219" s="831"/>
      <c r="P219" s="831"/>
      <c r="Q219" s="1033"/>
      <c r="R219" s="1033"/>
      <c r="S219" s="1033"/>
      <c r="T219" s="1033"/>
      <c r="U219" s="1033"/>
      <c r="V219" s="1033"/>
      <c r="W219" s="1033"/>
      <c r="X219" s="1033"/>
      <c r="Y219" s="1033"/>
      <c r="Z219" s="1033"/>
    </row>
    <row r="220" spans="1:26" ht="19.5">
      <c r="A220" s="1032"/>
      <c r="B220" s="1030"/>
      <c r="C220" s="1038"/>
      <c r="D220" s="943" t="s">
        <v>98</v>
      </c>
      <c r="E220" s="827"/>
      <c r="F220" s="827"/>
      <c r="G220" s="829"/>
      <c r="H220" s="778" t="s">
        <v>12</v>
      </c>
      <c r="I220" s="830"/>
      <c r="J220" s="830"/>
      <c r="K220" s="831"/>
      <c r="L220" s="831">
        <f ca="1">IFERROR(__xludf.DUMMYFUNCTION("IMPORTRANGE(""https://docs.google.com/spreadsheets/d/1QqKyyYR6Q21VydFLVH3TRQUabQu_ym0Zz7PgGX0-kHA/edit?usp=sharing"",""แผน!AR30"")"),0)</f>
        <v>0</v>
      </c>
      <c r="M220" s="831"/>
      <c r="N220" s="1031">
        <v>0</v>
      </c>
      <c r="O220" s="831"/>
      <c r="P220" s="831"/>
      <c r="Q220" s="1033"/>
      <c r="R220" s="1033"/>
      <c r="S220" s="1033"/>
      <c r="T220" s="1033"/>
      <c r="U220" s="1033"/>
      <c r="V220" s="1033"/>
      <c r="W220" s="1033"/>
      <c r="X220" s="1033"/>
      <c r="Y220" s="1033"/>
      <c r="Z220" s="1033"/>
    </row>
    <row r="221" spans="1:26" ht="19.5">
      <c r="A221" s="949"/>
      <c r="B221" s="950"/>
      <c r="C221" s="1038" t="s">
        <v>16</v>
      </c>
      <c r="D221" s="951" t="s">
        <v>38</v>
      </c>
      <c r="E221" s="952"/>
      <c r="F221" s="952"/>
      <c r="G221" s="953"/>
      <c r="H221" s="954"/>
      <c r="I221" s="944"/>
      <c r="J221" s="944"/>
      <c r="K221" s="945"/>
      <c r="L221" s="945"/>
      <c r="M221" s="945"/>
      <c r="N221" s="945"/>
      <c r="O221" s="945"/>
      <c r="P221" s="945"/>
      <c r="Q221" s="818"/>
      <c r="R221" s="818"/>
      <c r="S221" s="818"/>
      <c r="T221" s="818"/>
      <c r="U221" s="818"/>
      <c r="V221" s="818"/>
      <c r="W221" s="818"/>
      <c r="X221" s="818"/>
      <c r="Y221" s="818"/>
      <c r="Z221" s="818"/>
    </row>
    <row r="222" spans="1:26" ht="18.75">
      <c r="A222" s="949"/>
      <c r="B222" s="950"/>
      <c r="C222" s="950"/>
      <c r="D222" s="943" t="s">
        <v>111</v>
      </c>
      <c r="E222" s="957"/>
      <c r="F222" s="957"/>
      <c r="G222" s="958"/>
      <c r="H222" s="954"/>
      <c r="I222" s="830"/>
      <c r="J222" s="830"/>
      <c r="K222" s="945"/>
      <c r="L222" s="945"/>
      <c r="M222" s="945"/>
      <c r="N222" s="945"/>
      <c r="O222" s="945"/>
      <c r="P222" s="945"/>
      <c r="Q222" s="818"/>
      <c r="R222" s="818"/>
      <c r="S222" s="818"/>
      <c r="T222" s="818"/>
      <c r="U222" s="818"/>
      <c r="V222" s="818"/>
      <c r="W222" s="818"/>
      <c r="X222" s="818"/>
      <c r="Y222" s="818"/>
      <c r="Z222" s="818"/>
    </row>
    <row r="223" spans="1:26" ht="18.75">
      <c r="A223" s="949"/>
      <c r="B223" s="950"/>
      <c r="C223" s="950"/>
      <c r="D223" s="950"/>
      <c r="E223" s="955" t="s">
        <v>112</v>
      </c>
      <c r="F223" s="957"/>
      <c r="G223" s="958"/>
      <c r="H223" s="730" t="s">
        <v>109</v>
      </c>
      <c r="I223" s="830">
        <f ca="1">IFERROR(__xludf.DUMMYFUNCTION("IMPORTRANGE(""https://docs.google.com/spreadsheets/d/1QqKyyYR6Q21VydFLVH3TRQUabQu_ym0Zz7PgGX0-kHA/edit?usp=sharing"",""แผน!AT30"")"),50000)</f>
        <v>50000</v>
      </c>
      <c r="J223" s="959">
        <v>0</v>
      </c>
      <c r="K223" s="945">
        <f t="shared" ref="K223:K226" ca="1" si="104">IF(I223&gt;0,J223*100/I223,0)</f>
        <v>0</v>
      </c>
      <c r="L223" s="945"/>
      <c r="M223" s="945"/>
      <c r="N223" s="945"/>
      <c r="O223" s="945"/>
      <c r="P223" s="945"/>
      <c r="Q223" s="818"/>
      <c r="R223" s="818"/>
      <c r="S223" s="818"/>
      <c r="T223" s="818"/>
      <c r="U223" s="818"/>
      <c r="V223" s="818"/>
      <c r="W223" s="818"/>
      <c r="X223" s="818"/>
      <c r="Y223" s="818"/>
      <c r="Z223" s="818"/>
    </row>
    <row r="224" spans="1:26" ht="18.75">
      <c r="A224" s="949"/>
      <c r="B224" s="950"/>
      <c r="C224" s="950"/>
      <c r="D224" s="950"/>
      <c r="E224" s="955" t="s">
        <v>113</v>
      </c>
      <c r="F224" s="957"/>
      <c r="G224" s="958"/>
      <c r="H224" s="730" t="s">
        <v>109</v>
      </c>
      <c r="I224" s="830">
        <f ca="1">IFERROR(__xludf.DUMMYFUNCTION("IMPORTRANGE(""https://docs.google.com/spreadsheets/d/1QqKyyYR6Q21VydFLVH3TRQUabQu_ym0Zz7PgGX0-kHA/edit?usp=sharing"",""แผน!AT30"")"),50000)</f>
        <v>50000</v>
      </c>
      <c r="J224" s="959">
        <v>0</v>
      </c>
      <c r="K224" s="945">
        <f t="shared" ca="1" si="104"/>
        <v>0</v>
      </c>
      <c r="L224" s="831"/>
      <c r="M224" s="831"/>
      <c r="N224" s="831"/>
      <c r="O224" s="831"/>
      <c r="P224" s="831"/>
      <c r="Q224" s="818"/>
      <c r="R224" s="818"/>
      <c r="S224" s="818"/>
      <c r="T224" s="818"/>
      <c r="U224" s="818"/>
      <c r="V224" s="818"/>
      <c r="W224" s="818"/>
      <c r="X224" s="818"/>
      <c r="Y224" s="818"/>
      <c r="Z224" s="818"/>
    </row>
    <row r="225" spans="1:26" ht="18.75">
      <c r="A225" s="949"/>
      <c r="B225" s="950"/>
      <c r="C225" s="950"/>
      <c r="D225" s="943" t="s">
        <v>114</v>
      </c>
      <c r="E225" s="957"/>
      <c r="F225" s="957"/>
      <c r="G225" s="958"/>
      <c r="H225" s="730" t="s">
        <v>35</v>
      </c>
      <c r="I225" s="830">
        <f ca="1">IFERROR(__xludf.DUMMYFUNCTION("IMPORTRANGE(""https://docs.google.com/spreadsheets/d/1QqKyyYR6Q21VydFLVH3TRQUabQu_ym0Zz7PgGX0-kHA/edit?usp=sharing"",""แผน!AS30"")"),0)</f>
        <v>0</v>
      </c>
      <c r="J225" s="959">
        <v>0</v>
      </c>
      <c r="K225" s="945">
        <f t="shared" ca="1" si="104"/>
        <v>0</v>
      </c>
      <c r="L225" s="831"/>
      <c r="M225" s="831"/>
      <c r="N225" s="831"/>
      <c r="O225" s="831"/>
      <c r="P225" s="831"/>
      <c r="Q225" s="818"/>
      <c r="R225" s="818"/>
      <c r="S225" s="818"/>
      <c r="T225" s="818"/>
      <c r="U225" s="818"/>
      <c r="V225" s="818"/>
      <c r="W225" s="818"/>
      <c r="X225" s="818"/>
      <c r="Y225" s="818"/>
      <c r="Z225" s="818"/>
    </row>
    <row r="226" spans="1:26" ht="19.5" hidden="1">
      <c r="A226" s="1011"/>
      <c r="B226" s="1018"/>
      <c r="C226" s="1039" t="s">
        <v>115</v>
      </c>
      <c r="D226" s="1012"/>
      <c r="E226" s="1012"/>
      <c r="F226" s="1012"/>
      <c r="G226" s="1014"/>
      <c r="H226" s="266" t="s">
        <v>35</v>
      </c>
      <c r="I226" s="1040">
        <f t="shared" ref="I226:J226" ca="1" si="105">I237+I248</f>
        <v>0</v>
      </c>
      <c r="J226" s="1040">
        <f t="shared" si="105"/>
        <v>0</v>
      </c>
      <c r="K226" s="1041">
        <f t="shared" ca="1" si="104"/>
        <v>0</v>
      </c>
      <c r="L226" s="1016"/>
      <c r="M226" s="1016"/>
      <c r="N226" s="1016"/>
      <c r="O226" s="1016"/>
      <c r="P226" s="1016"/>
    </row>
    <row r="227" spans="1:26" ht="19.5" hidden="1">
      <c r="A227" s="1042"/>
      <c r="B227" s="1043"/>
      <c r="C227" s="1044" t="s">
        <v>16</v>
      </c>
      <c r="D227" s="1045" t="s">
        <v>17</v>
      </c>
      <c r="E227" s="1043"/>
      <c r="F227" s="1043"/>
      <c r="G227" s="1046"/>
      <c r="H227" s="1047" t="s">
        <v>12</v>
      </c>
      <c r="I227" s="1048"/>
      <c r="J227" s="1048"/>
      <c r="K227" s="1049"/>
      <c r="L227" s="1050">
        <f t="shared" ref="L227:L231" ca="1" si="106">L238+L249</f>
        <v>0</v>
      </c>
      <c r="M227" s="1050"/>
      <c r="N227" s="1050">
        <f t="shared" ref="N227:N231" si="107">N238+N249</f>
        <v>0</v>
      </c>
      <c r="O227" s="1051"/>
      <c r="P227" s="1051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</row>
    <row r="228" spans="1:26" ht="18.75" hidden="1">
      <c r="A228" s="940"/>
      <c r="B228" s="1052"/>
      <c r="C228" s="833"/>
      <c r="D228" s="834" t="s">
        <v>97</v>
      </c>
      <c r="E228" s="833"/>
      <c r="F228" s="833"/>
      <c r="G228" s="835"/>
      <c r="H228" s="165" t="s">
        <v>12</v>
      </c>
      <c r="I228" s="947"/>
      <c r="J228" s="947"/>
      <c r="K228" s="948"/>
      <c r="L228" s="837">
        <f t="shared" ca="1" si="106"/>
        <v>0</v>
      </c>
      <c r="M228" s="837"/>
      <c r="N228" s="837">
        <f t="shared" si="107"/>
        <v>0</v>
      </c>
      <c r="O228" s="837"/>
      <c r="P228" s="837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</row>
    <row r="229" spans="1:26" ht="19.5" hidden="1">
      <c r="A229" s="1053"/>
      <c r="B229" s="1052"/>
      <c r="C229" s="1054"/>
      <c r="D229" s="834" t="s">
        <v>98</v>
      </c>
      <c r="E229" s="833"/>
      <c r="F229" s="833"/>
      <c r="G229" s="835"/>
      <c r="H229" s="165" t="s">
        <v>12</v>
      </c>
      <c r="I229" s="836"/>
      <c r="J229" s="836"/>
      <c r="K229" s="837"/>
      <c r="L229" s="837">
        <f t="shared" ca="1" si="106"/>
        <v>0</v>
      </c>
      <c r="M229" s="837"/>
      <c r="N229" s="837">
        <f t="shared" si="107"/>
        <v>0</v>
      </c>
      <c r="O229" s="837"/>
      <c r="P229" s="837"/>
      <c r="Q229" s="1055"/>
      <c r="R229" s="1055"/>
      <c r="S229" s="1055"/>
      <c r="T229" s="1055"/>
      <c r="U229" s="1055"/>
      <c r="V229" s="1055"/>
      <c r="W229" s="1055"/>
      <c r="X229" s="1055"/>
      <c r="Y229" s="1055"/>
      <c r="Z229" s="1055"/>
    </row>
    <row r="230" spans="1:26" ht="19.5" hidden="1">
      <c r="A230" s="1053"/>
      <c r="B230" s="1052"/>
      <c r="C230" s="1054"/>
      <c r="D230" s="834" t="s">
        <v>116</v>
      </c>
      <c r="E230" s="833"/>
      <c r="F230" s="833"/>
      <c r="G230" s="835"/>
      <c r="H230" s="165" t="s">
        <v>12</v>
      </c>
      <c r="I230" s="836"/>
      <c r="J230" s="836"/>
      <c r="K230" s="837"/>
      <c r="L230" s="837">
        <f t="shared" ca="1" si="106"/>
        <v>0</v>
      </c>
      <c r="M230" s="837"/>
      <c r="N230" s="837">
        <f t="shared" si="107"/>
        <v>0</v>
      </c>
      <c r="O230" s="837"/>
      <c r="P230" s="837"/>
      <c r="Q230" s="1055"/>
      <c r="R230" s="1055"/>
      <c r="S230" s="1055"/>
      <c r="T230" s="1055"/>
      <c r="U230" s="1055"/>
      <c r="V230" s="1055"/>
      <c r="W230" s="1055"/>
      <c r="X230" s="1055"/>
      <c r="Y230" s="1055"/>
      <c r="Z230" s="1055"/>
    </row>
    <row r="231" spans="1:26" ht="19.5" hidden="1">
      <c r="A231" s="1053"/>
      <c r="B231" s="1052"/>
      <c r="C231" s="1054"/>
      <c r="D231" s="834" t="s">
        <v>100</v>
      </c>
      <c r="E231" s="833"/>
      <c r="F231" s="833"/>
      <c r="G231" s="835"/>
      <c r="H231" s="165" t="s">
        <v>12</v>
      </c>
      <c r="I231" s="836"/>
      <c r="J231" s="836"/>
      <c r="K231" s="837"/>
      <c r="L231" s="837">
        <f t="shared" ca="1" si="106"/>
        <v>0</v>
      </c>
      <c r="M231" s="837"/>
      <c r="N231" s="837">
        <f t="shared" si="107"/>
        <v>0</v>
      </c>
      <c r="O231" s="837"/>
      <c r="P231" s="837"/>
      <c r="Q231" s="1055"/>
      <c r="R231" s="1055"/>
      <c r="S231" s="1055"/>
      <c r="T231" s="1055"/>
      <c r="U231" s="1055"/>
      <c r="V231" s="1055"/>
      <c r="W231" s="1055"/>
      <c r="X231" s="1055"/>
      <c r="Y231" s="1055"/>
      <c r="Z231" s="1055"/>
    </row>
    <row r="232" spans="1:26" ht="19.5" hidden="1">
      <c r="A232" s="1056"/>
      <c r="B232" s="1057"/>
      <c r="C232" s="1054" t="s">
        <v>16</v>
      </c>
      <c r="D232" s="1020" t="s">
        <v>38</v>
      </c>
      <c r="E232" s="1058"/>
      <c r="F232" s="1058"/>
      <c r="G232" s="1059"/>
      <c r="H232" s="1060"/>
      <c r="I232" s="947"/>
      <c r="J232" s="836"/>
      <c r="K232" s="837"/>
      <c r="L232" s="837"/>
      <c r="M232" s="837"/>
      <c r="N232" s="837"/>
      <c r="O232" s="948"/>
      <c r="P232" s="948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</row>
    <row r="233" spans="1:26" ht="18.75" hidden="1">
      <c r="A233" s="1056"/>
      <c r="B233" s="1057"/>
      <c r="C233" s="1057"/>
      <c r="D233" s="1022" t="s">
        <v>117</v>
      </c>
      <c r="E233" s="1061"/>
      <c r="F233" s="1061"/>
      <c r="G233" s="1062"/>
      <c r="H233" s="583" t="s">
        <v>35</v>
      </c>
      <c r="I233" s="836">
        <f t="shared" ref="I233:J233" ca="1" si="108">I244+I255</f>
        <v>0</v>
      </c>
      <c r="J233" s="836">
        <f t="shared" si="108"/>
        <v>0</v>
      </c>
      <c r="K233" s="837">
        <f ca="1">IF(I233&gt;0,J233*100/I233,0)</f>
        <v>0</v>
      </c>
      <c r="L233" s="837"/>
      <c r="M233" s="837"/>
      <c r="N233" s="837"/>
      <c r="O233" s="837"/>
      <c r="P233" s="837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</row>
    <row r="234" spans="1:26" ht="18.75" hidden="1">
      <c r="A234" s="1056"/>
      <c r="B234" s="1057"/>
      <c r="C234" s="1057"/>
      <c r="D234" s="1063" t="s">
        <v>43</v>
      </c>
      <c r="E234" s="1061"/>
      <c r="F234" s="1061"/>
      <c r="G234" s="1062"/>
      <c r="H234" s="583"/>
      <c r="I234" s="836"/>
      <c r="J234" s="836"/>
      <c r="K234" s="837"/>
      <c r="L234" s="837"/>
      <c r="M234" s="837"/>
      <c r="N234" s="837"/>
      <c r="O234" s="948"/>
      <c r="P234" s="948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</row>
    <row r="235" spans="1:26" ht="18.75" hidden="1">
      <c r="A235" s="1056"/>
      <c r="B235" s="1057"/>
      <c r="C235" s="1057"/>
      <c r="D235" s="1057"/>
      <c r="E235" s="1021" t="s">
        <v>118</v>
      </c>
      <c r="F235" s="1061"/>
      <c r="G235" s="1062"/>
      <c r="H235" s="583" t="s">
        <v>35</v>
      </c>
      <c r="I235" s="836">
        <f t="shared" ref="I235:J236" si="109">I246+I257</f>
        <v>0</v>
      </c>
      <c r="J235" s="836">
        <f t="shared" si="109"/>
        <v>0</v>
      </c>
      <c r="K235" s="837">
        <f t="shared" ref="K235:K237" si="110">IF(I235&gt;0,J235*100/I235,0)</f>
        <v>0</v>
      </c>
      <c r="L235" s="837"/>
      <c r="M235" s="837"/>
      <c r="N235" s="837"/>
      <c r="O235" s="837"/>
      <c r="P235" s="837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</row>
    <row r="236" spans="1:26" ht="18.75" hidden="1">
      <c r="A236" s="1056"/>
      <c r="B236" s="1057"/>
      <c r="C236" s="1057"/>
      <c r="D236" s="1057"/>
      <c r="E236" s="1021" t="s">
        <v>119</v>
      </c>
      <c r="F236" s="1061"/>
      <c r="G236" s="1062"/>
      <c r="H236" s="583" t="s">
        <v>66</v>
      </c>
      <c r="I236" s="836">
        <f t="shared" si="109"/>
        <v>0</v>
      </c>
      <c r="J236" s="836">
        <f t="shared" si="109"/>
        <v>0</v>
      </c>
      <c r="K236" s="837">
        <f t="shared" si="110"/>
        <v>0</v>
      </c>
      <c r="L236" s="837"/>
      <c r="M236" s="837"/>
      <c r="N236" s="837"/>
      <c r="O236" s="837"/>
      <c r="P236" s="837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</row>
    <row r="237" spans="1:26" ht="19.5" hidden="1">
      <c r="A237" s="1011"/>
      <c r="B237" s="1018"/>
      <c r="C237" s="1023" t="s">
        <v>331</v>
      </c>
      <c r="D237" s="1012"/>
      <c r="E237" s="1012"/>
      <c r="F237" s="1012"/>
      <c r="G237" s="1014"/>
      <c r="H237" s="260" t="s">
        <v>35</v>
      </c>
      <c r="I237" s="1024">
        <f t="shared" ref="I237:J237" ca="1" si="111">I244</f>
        <v>0</v>
      </c>
      <c r="J237" s="1024">
        <f t="shared" si="111"/>
        <v>0</v>
      </c>
      <c r="K237" s="1025">
        <f t="shared" ca="1" si="110"/>
        <v>0</v>
      </c>
      <c r="L237" s="1016"/>
      <c r="M237" s="1016"/>
      <c r="N237" s="1016"/>
      <c r="O237" s="1016"/>
      <c r="P237" s="1016"/>
    </row>
    <row r="238" spans="1:26" ht="19.5" hidden="1">
      <c r="A238" s="932"/>
      <c r="B238" s="933"/>
      <c r="C238" s="934" t="s">
        <v>16</v>
      </c>
      <c r="D238" s="935" t="s">
        <v>17</v>
      </c>
      <c r="E238" s="933"/>
      <c r="F238" s="933"/>
      <c r="G238" s="936"/>
      <c r="H238" s="275" t="s">
        <v>12</v>
      </c>
      <c r="I238" s="1028"/>
      <c r="J238" s="1028"/>
      <c r="K238" s="1029"/>
      <c r="L238" s="939">
        <f ca="1">L239+L240+L241+L242</f>
        <v>0</v>
      </c>
      <c r="M238" s="939"/>
      <c r="N238" s="939">
        <f>N239+N240+N241+N242</f>
        <v>0</v>
      </c>
      <c r="O238" s="939">
        <f ca="1">IF(L238&gt;0,N238*100/L238,0)</f>
        <v>0</v>
      </c>
      <c r="P238" s="939">
        <f>IF(M238&gt;0,N238*100/M238,0)</f>
        <v>0</v>
      </c>
      <c r="Q238" s="818"/>
      <c r="R238" s="818"/>
      <c r="S238" s="818"/>
      <c r="T238" s="818"/>
      <c r="U238" s="818"/>
      <c r="V238" s="818"/>
      <c r="W238" s="818"/>
      <c r="X238" s="818"/>
      <c r="Y238" s="818"/>
      <c r="Z238" s="818"/>
    </row>
    <row r="239" spans="1:26" ht="18.75" hidden="1">
      <c r="A239" s="1064"/>
      <c r="B239" s="1065"/>
      <c r="C239" s="1066"/>
      <c r="D239" s="1067" t="s">
        <v>97</v>
      </c>
      <c r="E239" s="1066"/>
      <c r="F239" s="1066"/>
      <c r="G239" s="1068"/>
      <c r="H239" s="319" t="s">
        <v>12</v>
      </c>
      <c r="I239" s="1069"/>
      <c r="J239" s="1069"/>
      <c r="K239" s="1070"/>
      <c r="L239" s="1071">
        <f ca="1">IFERROR(__xludf.DUMMYFUNCTION("IMPORTRANGE(""https://docs.google.com/spreadsheets/d/1QqKyyYR6Q21VydFLVH3TRQUabQu_ym0Zz7PgGX0-kHA/edit?usp=sharing"",""แผน!AV30"")"),0)</f>
        <v>0</v>
      </c>
      <c r="M239" s="1071"/>
      <c r="N239" s="1072">
        <v>0</v>
      </c>
      <c r="O239" s="1071"/>
      <c r="P239" s="1071"/>
      <c r="Q239" s="1073"/>
      <c r="R239" s="1073"/>
      <c r="S239" s="1073"/>
      <c r="T239" s="1073"/>
      <c r="U239" s="1073"/>
      <c r="V239" s="1073"/>
      <c r="W239" s="1073"/>
      <c r="X239" s="1073"/>
      <c r="Y239" s="1073"/>
      <c r="Z239" s="1073"/>
    </row>
    <row r="240" spans="1:26" ht="19.5" hidden="1">
      <c r="A240" s="1074"/>
      <c r="B240" s="1065"/>
      <c r="C240" s="1075"/>
      <c r="D240" s="1067" t="s">
        <v>98</v>
      </c>
      <c r="E240" s="1066"/>
      <c r="F240" s="1066"/>
      <c r="G240" s="1068"/>
      <c r="H240" s="319" t="s">
        <v>12</v>
      </c>
      <c r="I240" s="1076"/>
      <c r="J240" s="1076"/>
      <c r="K240" s="1071"/>
      <c r="L240" s="1071">
        <f ca="1">IFERROR(__xludf.DUMMYFUNCTION("IMPORTRANGE(""https://docs.google.com/spreadsheets/d/1QqKyyYR6Q21VydFLVH3TRQUabQu_ym0Zz7PgGX0-kHA/edit?usp=sharing"",""แผน!AW30"")"),0)</f>
        <v>0</v>
      </c>
      <c r="M240" s="1071"/>
      <c r="N240" s="1072">
        <v>0</v>
      </c>
      <c r="O240" s="1071"/>
      <c r="P240" s="1071"/>
      <c r="Q240" s="1077"/>
      <c r="R240" s="1077"/>
      <c r="S240" s="1077"/>
      <c r="T240" s="1077"/>
      <c r="U240" s="1077"/>
      <c r="V240" s="1077"/>
      <c r="W240" s="1077"/>
      <c r="X240" s="1077"/>
      <c r="Y240" s="1077"/>
      <c r="Z240" s="1077"/>
    </row>
    <row r="241" spans="1:26" ht="19.5" hidden="1">
      <c r="A241" s="1074"/>
      <c r="B241" s="1065"/>
      <c r="C241" s="1075"/>
      <c r="D241" s="1067" t="s">
        <v>116</v>
      </c>
      <c r="E241" s="1066"/>
      <c r="F241" s="1066"/>
      <c r="G241" s="1068"/>
      <c r="H241" s="319" t="s">
        <v>12</v>
      </c>
      <c r="I241" s="1076"/>
      <c r="J241" s="1076"/>
      <c r="K241" s="1071"/>
      <c r="L241" s="1071">
        <f ca="1">IFERROR(__xludf.DUMMYFUNCTION("IMPORTRANGE(""https://docs.google.com/spreadsheets/d/1QqKyyYR6Q21VydFLVH3TRQUabQu_ym0Zz7PgGX0-kHA/edit?usp=sharing"",""แผน!AX30"")"),0)</f>
        <v>0</v>
      </c>
      <c r="M241" s="1071"/>
      <c r="N241" s="1072">
        <v>0</v>
      </c>
      <c r="O241" s="1071"/>
      <c r="P241" s="1071"/>
      <c r="Q241" s="1077"/>
      <c r="R241" s="1077"/>
      <c r="S241" s="1077"/>
      <c r="T241" s="1077"/>
      <c r="U241" s="1077"/>
      <c r="V241" s="1077"/>
      <c r="W241" s="1077"/>
      <c r="X241" s="1077"/>
      <c r="Y241" s="1077"/>
      <c r="Z241" s="1077"/>
    </row>
    <row r="242" spans="1:26" ht="19.5" hidden="1">
      <c r="A242" s="1074"/>
      <c r="B242" s="1065"/>
      <c r="C242" s="1075"/>
      <c r="D242" s="1067" t="s">
        <v>100</v>
      </c>
      <c r="E242" s="1066"/>
      <c r="F242" s="1066"/>
      <c r="G242" s="1068"/>
      <c r="H242" s="319" t="s">
        <v>12</v>
      </c>
      <c r="I242" s="1076"/>
      <c r="J242" s="1076"/>
      <c r="K242" s="1071"/>
      <c r="L242" s="1071">
        <f ca="1">IFERROR(__xludf.DUMMYFUNCTION("IMPORTRANGE(""https://docs.google.com/spreadsheets/d/1QqKyyYR6Q21VydFLVH3TRQUabQu_ym0Zz7PgGX0-kHA/edit?usp=sharing"",""แผน!AY30"")"),0)</f>
        <v>0</v>
      </c>
      <c r="M242" s="1071"/>
      <c r="N242" s="1072">
        <v>0</v>
      </c>
      <c r="O242" s="1071"/>
      <c r="P242" s="1071"/>
      <c r="Q242" s="1077"/>
      <c r="R242" s="1077"/>
      <c r="S242" s="1077"/>
      <c r="T242" s="1077"/>
      <c r="U242" s="1077"/>
      <c r="V242" s="1077"/>
      <c r="W242" s="1077"/>
      <c r="X242" s="1077"/>
      <c r="Y242" s="1077"/>
      <c r="Z242" s="1077"/>
    </row>
    <row r="243" spans="1:26" ht="19.5" hidden="1">
      <c r="A243" s="949"/>
      <c r="B243" s="950"/>
      <c r="C243" s="1038" t="s">
        <v>16</v>
      </c>
      <c r="D243" s="951" t="s">
        <v>38</v>
      </c>
      <c r="E243" s="952"/>
      <c r="F243" s="952"/>
      <c r="G243" s="953"/>
      <c r="H243" s="954"/>
      <c r="I243" s="944"/>
      <c r="J243" s="830"/>
      <c r="K243" s="831"/>
      <c r="L243" s="831"/>
      <c r="M243" s="831"/>
      <c r="N243" s="831"/>
      <c r="O243" s="945"/>
      <c r="P243" s="945"/>
      <c r="Q243" s="818"/>
      <c r="R243" s="818"/>
      <c r="S243" s="818"/>
      <c r="T243" s="818"/>
      <c r="U243" s="818"/>
      <c r="V243" s="818"/>
      <c r="W243" s="818"/>
      <c r="X243" s="818"/>
      <c r="Y243" s="818"/>
      <c r="Z243" s="818"/>
    </row>
    <row r="244" spans="1:26" ht="18.75" hidden="1">
      <c r="A244" s="949"/>
      <c r="B244" s="950"/>
      <c r="C244" s="950"/>
      <c r="D244" s="956" t="s">
        <v>117</v>
      </c>
      <c r="E244" s="957"/>
      <c r="F244" s="957"/>
      <c r="G244" s="958"/>
      <c r="H244" s="730" t="s">
        <v>35</v>
      </c>
      <c r="I244" s="830">
        <f ca="1">IFERROR(__xludf.DUMMYFUNCTION("IMPORTRANGE(""https://docs.google.com/spreadsheets/d/1QqKyyYR6Q21VydFLVH3TRQUabQu_ym0Zz7PgGX0-kHA/edit?usp=sharing"",""แผน!BE30"")"),0)</f>
        <v>0</v>
      </c>
      <c r="J244" s="959">
        <v>0</v>
      </c>
      <c r="K244" s="831">
        <f ca="1">IF(I244&gt;0,J244*100/I244,0)</f>
        <v>0</v>
      </c>
      <c r="L244" s="831"/>
      <c r="M244" s="831"/>
      <c r="N244" s="831"/>
      <c r="O244" s="831"/>
      <c r="P244" s="831"/>
      <c r="Q244" s="818"/>
      <c r="R244" s="818"/>
      <c r="S244" s="818"/>
      <c r="T244" s="818"/>
      <c r="U244" s="818"/>
      <c r="V244" s="818"/>
      <c r="W244" s="818"/>
      <c r="X244" s="818"/>
      <c r="Y244" s="818"/>
      <c r="Z244" s="818"/>
    </row>
    <row r="245" spans="1:26" ht="18.75" hidden="1">
      <c r="A245" s="949"/>
      <c r="B245" s="950"/>
      <c r="C245" s="950"/>
      <c r="D245" s="1078" t="s">
        <v>43</v>
      </c>
      <c r="E245" s="957"/>
      <c r="F245" s="957"/>
      <c r="G245" s="958"/>
      <c r="H245" s="730"/>
      <c r="I245" s="830"/>
      <c r="J245" s="830"/>
      <c r="K245" s="831"/>
      <c r="L245" s="831"/>
      <c r="M245" s="831"/>
      <c r="N245" s="831"/>
      <c r="O245" s="945"/>
      <c r="P245" s="945"/>
      <c r="Q245" s="818"/>
      <c r="R245" s="818"/>
      <c r="S245" s="818"/>
      <c r="T245" s="818"/>
      <c r="U245" s="818"/>
      <c r="V245" s="818"/>
      <c r="W245" s="818"/>
      <c r="X245" s="818"/>
      <c r="Y245" s="818"/>
      <c r="Z245" s="818"/>
    </row>
    <row r="246" spans="1:26" ht="18.75" hidden="1">
      <c r="A246" s="949"/>
      <c r="B246" s="950"/>
      <c r="C246" s="950"/>
      <c r="D246" s="950"/>
      <c r="E246" s="955" t="s">
        <v>118</v>
      </c>
      <c r="F246" s="957"/>
      <c r="G246" s="958"/>
      <c r="H246" s="730" t="s">
        <v>35</v>
      </c>
      <c r="I246" s="830"/>
      <c r="J246" s="959">
        <v>0</v>
      </c>
      <c r="K246" s="831">
        <f t="shared" ref="K246:K248" si="112">IF(I246&gt;0,J246*100/I246,0)</f>
        <v>0</v>
      </c>
      <c r="L246" s="831"/>
      <c r="M246" s="831"/>
      <c r="N246" s="831"/>
      <c r="O246" s="831"/>
      <c r="P246" s="831"/>
      <c r="Q246" s="818"/>
      <c r="R246" s="818"/>
      <c r="S246" s="818"/>
      <c r="T246" s="818"/>
      <c r="U246" s="818"/>
      <c r="V246" s="818"/>
      <c r="W246" s="818"/>
      <c r="X246" s="818"/>
      <c r="Y246" s="818"/>
      <c r="Z246" s="818"/>
    </row>
    <row r="247" spans="1:26" ht="18.75" hidden="1">
      <c r="A247" s="949"/>
      <c r="B247" s="950"/>
      <c r="C247" s="950"/>
      <c r="D247" s="950"/>
      <c r="E247" s="955" t="s">
        <v>119</v>
      </c>
      <c r="F247" s="957"/>
      <c r="G247" s="958"/>
      <c r="H247" s="730" t="s">
        <v>66</v>
      </c>
      <c r="I247" s="830"/>
      <c r="J247" s="959">
        <v>0</v>
      </c>
      <c r="K247" s="831">
        <f t="shared" si="112"/>
        <v>0</v>
      </c>
      <c r="L247" s="831"/>
      <c r="M247" s="831"/>
      <c r="N247" s="831"/>
      <c r="O247" s="831"/>
      <c r="P247" s="831"/>
      <c r="Q247" s="818"/>
      <c r="R247" s="818"/>
      <c r="S247" s="818"/>
      <c r="T247" s="818"/>
      <c r="U247" s="818"/>
      <c r="V247" s="818"/>
      <c r="W247" s="818"/>
      <c r="X247" s="818"/>
      <c r="Y247" s="818"/>
      <c r="Z247" s="818"/>
    </row>
    <row r="248" spans="1:26" ht="19.5" hidden="1">
      <c r="A248" s="1011"/>
      <c r="B248" s="1018"/>
      <c r="C248" s="1023" t="s">
        <v>332</v>
      </c>
      <c r="D248" s="1012"/>
      <c r="E248" s="1012"/>
      <c r="F248" s="1012"/>
      <c r="G248" s="1014"/>
      <c r="H248" s="260" t="s">
        <v>35</v>
      </c>
      <c r="I248" s="1024">
        <f t="shared" ref="I248:J248" ca="1" si="113">I255</f>
        <v>0</v>
      </c>
      <c r="J248" s="1024">
        <f t="shared" si="113"/>
        <v>0</v>
      </c>
      <c r="K248" s="1025">
        <f t="shared" ca="1" si="112"/>
        <v>0</v>
      </c>
      <c r="L248" s="1016"/>
      <c r="M248" s="1016"/>
      <c r="N248" s="1016"/>
      <c r="O248" s="1016"/>
      <c r="P248" s="1016"/>
    </row>
    <row r="249" spans="1:26" ht="19.5" hidden="1">
      <c r="A249" s="932"/>
      <c r="B249" s="933"/>
      <c r="C249" s="934" t="s">
        <v>16</v>
      </c>
      <c r="D249" s="1026" t="s">
        <v>17</v>
      </c>
      <c r="E249" s="933"/>
      <c r="F249" s="933"/>
      <c r="G249" s="936"/>
      <c r="H249" s="275" t="s">
        <v>12</v>
      </c>
      <c r="I249" s="1028"/>
      <c r="J249" s="1028"/>
      <c r="K249" s="1029"/>
      <c r="L249" s="939">
        <f ca="1">L250+L251+L252+L253</f>
        <v>0</v>
      </c>
      <c r="M249" s="939"/>
      <c r="N249" s="939">
        <f>N250+N251+N252+N253</f>
        <v>0</v>
      </c>
      <c r="O249" s="939">
        <f ca="1">IF(L249&gt;0,N249*100/L249,0)</f>
        <v>0</v>
      </c>
      <c r="P249" s="939">
        <f>IF(M249&gt;0,N249*100/M249,0)</f>
        <v>0</v>
      </c>
      <c r="Q249" s="818"/>
      <c r="R249" s="818"/>
      <c r="S249" s="818"/>
      <c r="T249" s="818"/>
      <c r="U249" s="818"/>
      <c r="V249" s="818"/>
      <c r="W249" s="818"/>
      <c r="X249" s="818"/>
      <c r="Y249" s="818"/>
      <c r="Z249" s="818"/>
    </row>
    <row r="250" spans="1:26" ht="18.75" hidden="1">
      <c r="A250" s="1064"/>
      <c r="B250" s="1065"/>
      <c r="C250" s="1066"/>
      <c r="D250" s="1067" t="s">
        <v>97</v>
      </c>
      <c r="E250" s="1066"/>
      <c r="F250" s="1066"/>
      <c r="G250" s="1068"/>
      <c r="H250" s="319" t="s">
        <v>12</v>
      </c>
      <c r="I250" s="1069"/>
      <c r="J250" s="1069"/>
      <c r="K250" s="1070"/>
      <c r="L250" s="1071">
        <f ca="1">IFERROR(__xludf.DUMMYFUNCTION("IMPORTRANGE(""https://docs.google.com/spreadsheets/d/1QqKyyYR6Q21VydFLVH3TRQUabQu_ym0Zz7PgGX0-kHA/edit?usp=sharing"",""แผน!AZ30"")"),0)</f>
        <v>0</v>
      </c>
      <c r="M250" s="1071"/>
      <c r="N250" s="1072">
        <v>0</v>
      </c>
      <c r="O250" s="1071"/>
      <c r="P250" s="1071"/>
      <c r="Q250" s="1073"/>
      <c r="R250" s="1073"/>
      <c r="S250" s="1073"/>
      <c r="T250" s="1073"/>
      <c r="U250" s="1073"/>
      <c r="V250" s="1073"/>
      <c r="W250" s="1073"/>
      <c r="X250" s="1073"/>
      <c r="Y250" s="1073"/>
      <c r="Z250" s="1073"/>
    </row>
    <row r="251" spans="1:26" ht="19.5" hidden="1">
      <c r="A251" s="1074"/>
      <c r="B251" s="1065"/>
      <c r="C251" s="1075"/>
      <c r="D251" s="1067" t="s">
        <v>98</v>
      </c>
      <c r="E251" s="1066"/>
      <c r="F251" s="1066"/>
      <c r="G251" s="1068"/>
      <c r="H251" s="319" t="s">
        <v>12</v>
      </c>
      <c r="I251" s="1076"/>
      <c r="J251" s="1076"/>
      <c r="K251" s="1071"/>
      <c r="L251" s="1071">
        <f ca="1">IFERROR(__xludf.DUMMYFUNCTION("IMPORTRANGE(""https://docs.google.com/spreadsheets/d/1QqKyyYR6Q21VydFLVH3TRQUabQu_ym0Zz7PgGX0-kHA/edit?usp=sharing"",""แผน!BA30"")"),0)</f>
        <v>0</v>
      </c>
      <c r="M251" s="1071"/>
      <c r="N251" s="1072">
        <v>0</v>
      </c>
      <c r="O251" s="1071"/>
      <c r="P251" s="1071"/>
      <c r="Q251" s="1077"/>
      <c r="R251" s="1077"/>
      <c r="S251" s="1077"/>
      <c r="T251" s="1077"/>
      <c r="U251" s="1077"/>
      <c r="V251" s="1077"/>
      <c r="W251" s="1077"/>
      <c r="X251" s="1077"/>
      <c r="Y251" s="1077"/>
      <c r="Z251" s="1077"/>
    </row>
    <row r="252" spans="1:26" ht="19.5" hidden="1">
      <c r="A252" s="1074"/>
      <c r="B252" s="1065"/>
      <c r="C252" s="1075"/>
      <c r="D252" s="1067" t="s">
        <v>116</v>
      </c>
      <c r="E252" s="1066"/>
      <c r="F252" s="1066"/>
      <c r="G252" s="1068"/>
      <c r="H252" s="319" t="s">
        <v>12</v>
      </c>
      <c r="I252" s="1076"/>
      <c r="J252" s="1076"/>
      <c r="K252" s="1071"/>
      <c r="L252" s="1071">
        <f ca="1">IFERROR(__xludf.DUMMYFUNCTION("IMPORTRANGE(""https://docs.google.com/spreadsheets/d/1QqKyyYR6Q21VydFLVH3TRQUabQu_ym0Zz7PgGX0-kHA/edit?usp=sharing"",""แผน!BB30"")"),0)</f>
        <v>0</v>
      </c>
      <c r="M252" s="1071"/>
      <c r="N252" s="1072">
        <v>0</v>
      </c>
      <c r="O252" s="1071"/>
      <c r="P252" s="1071"/>
      <c r="Q252" s="1077"/>
      <c r="R252" s="1077"/>
      <c r="S252" s="1077"/>
      <c r="T252" s="1077"/>
      <c r="U252" s="1077"/>
      <c r="V252" s="1077"/>
      <c r="W252" s="1077"/>
      <c r="X252" s="1077"/>
      <c r="Y252" s="1077"/>
      <c r="Z252" s="1077"/>
    </row>
    <row r="253" spans="1:26" ht="19.5" hidden="1">
      <c r="A253" s="1074"/>
      <c r="B253" s="1065"/>
      <c r="C253" s="1075"/>
      <c r="D253" s="1067" t="s">
        <v>100</v>
      </c>
      <c r="E253" s="1066"/>
      <c r="F253" s="1066"/>
      <c r="G253" s="1068"/>
      <c r="H253" s="319" t="s">
        <v>12</v>
      </c>
      <c r="I253" s="1076"/>
      <c r="J253" s="1076"/>
      <c r="K253" s="1071"/>
      <c r="L253" s="1071">
        <f ca="1">IFERROR(__xludf.DUMMYFUNCTION("IMPORTRANGE(""https://docs.google.com/spreadsheets/d/1QqKyyYR6Q21VydFLVH3TRQUabQu_ym0Zz7PgGX0-kHA/edit?usp=sharing"",""แผน!BC30"")"),0)</f>
        <v>0</v>
      </c>
      <c r="M253" s="1071"/>
      <c r="N253" s="1072">
        <v>0</v>
      </c>
      <c r="O253" s="1071"/>
      <c r="P253" s="1071"/>
      <c r="Q253" s="1077"/>
      <c r="R253" s="1077"/>
      <c r="S253" s="1077"/>
      <c r="T253" s="1077"/>
      <c r="U253" s="1077"/>
      <c r="V253" s="1077"/>
      <c r="W253" s="1077"/>
      <c r="X253" s="1077"/>
      <c r="Y253" s="1077"/>
      <c r="Z253" s="1077"/>
    </row>
    <row r="254" spans="1:26" ht="19.5" hidden="1">
      <c r="A254" s="949"/>
      <c r="B254" s="950"/>
      <c r="C254" s="1038" t="s">
        <v>16</v>
      </c>
      <c r="D254" s="951" t="s">
        <v>38</v>
      </c>
      <c r="E254" s="952"/>
      <c r="F254" s="952"/>
      <c r="G254" s="953"/>
      <c r="H254" s="954"/>
      <c r="I254" s="944"/>
      <c r="J254" s="830"/>
      <c r="K254" s="831"/>
      <c r="L254" s="831"/>
      <c r="M254" s="831"/>
      <c r="N254" s="831"/>
      <c r="O254" s="945"/>
      <c r="P254" s="945"/>
      <c r="Q254" s="818"/>
      <c r="R254" s="818"/>
      <c r="S254" s="818"/>
      <c r="T254" s="818"/>
      <c r="U254" s="818"/>
      <c r="V254" s="818"/>
      <c r="W254" s="818"/>
      <c r="X254" s="818"/>
      <c r="Y254" s="818"/>
      <c r="Z254" s="818"/>
    </row>
    <row r="255" spans="1:26" ht="18.75" hidden="1">
      <c r="A255" s="949"/>
      <c r="B255" s="950"/>
      <c r="C255" s="950"/>
      <c r="D255" s="956" t="s">
        <v>117</v>
      </c>
      <c r="E255" s="957"/>
      <c r="F255" s="957"/>
      <c r="G255" s="958"/>
      <c r="H255" s="730" t="s">
        <v>35</v>
      </c>
      <c r="I255" s="830">
        <f ca="1">IFERROR(__xludf.DUMMYFUNCTION("IMPORTRANGE(""https://docs.google.com/spreadsheets/d/1QqKyyYR6Q21VydFLVH3TRQUabQu_ym0Zz7PgGX0-kHA/edit?usp=sharing"",""แผน!BF30"")"),0)</f>
        <v>0</v>
      </c>
      <c r="J255" s="959">
        <v>0</v>
      </c>
      <c r="K255" s="831">
        <f ca="1">IF(I255&gt;0,J255*100/I255,0)</f>
        <v>0</v>
      </c>
      <c r="L255" s="831"/>
      <c r="M255" s="831"/>
      <c r="N255" s="831"/>
      <c r="O255" s="831"/>
      <c r="P255" s="831"/>
      <c r="Q255" s="818"/>
      <c r="R255" s="818"/>
      <c r="S255" s="818"/>
      <c r="T255" s="818"/>
      <c r="U255" s="818"/>
      <c r="V255" s="818"/>
      <c r="W255" s="818"/>
      <c r="X255" s="818"/>
      <c r="Y255" s="818"/>
      <c r="Z255" s="818"/>
    </row>
    <row r="256" spans="1:26" ht="18.75" hidden="1">
      <c r="A256" s="949"/>
      <c r="B256" s="950"/>
      <c r="C256" s="950"/>
      <c r="D256" s="1078" t="s">
        <v>43</v>
      </c>
      <c r="E256" s="957"/>
      <c r="F256" s="957"/>
      <c r="G256" s="958"/>
      <c r="H256" s="730"/>
      <c r="I256" s="830"/>
      <c r="J256" s="830"/>
      <c r="K256" s="831"/>
      <c r="L256" s="831"/>
      <c r="M256" s="831"/>
      <c r="N256" s="831"/>
      <c r="O256" s="945"/>
      <c r="P256" s="945"/>
      <c r="Q256" s="818"/>
      <c r="R256" s="818"/>
      <c r="S256" s="818"/>
      <c r="T256" s="818"/>
      <c r="U256" s="818"/>
      <c r="V256" s="818"/>
      <c r="W256" s="818"/>
      <c r="X256" s="818"/>
      <c r="Y256" s="818"/>
      <c r="Z256" s="818"/>
    </row>
    <row r="257" spans="1:26" ht="18.75" hidden="1">
      <c r="A257" s="949"/>
      <c r="B257" s="950"/>
      <c r="C257" s="950"/>
      <c r="D257" s="950"/>
      <c r="E257" s="955" t="s">
        <v>118</v>
      </c>
      <c r="F257" s="957"/>
      <c r="G257" s="958"/>
      <c r="H257" s="730" t="s">
        <v>35</v>
      </c>
      <c r="I257" s="830"/>
      <c r="J257" s="959">
        <v>0</v>
      </c>
      <c r="K257" s="831">
        <f t="shared" ref="K257:K258" si="114">IF(I257&gt;0,J257*100/I257,0)</f>
        <v>0</v>
      </c>
      <c r="L257" s="831"/>
      <c r="M257" s="831"/>
      <c r="N257" s="831"/>
      <c r="O257" s="831"/>
      <c r="P257" s="831"/>
      <c r="Q257" s="818"/>
      <c r="R257" s="818"/>
      <c r="S257" s="818"/>
      <c r="T257" s="818"/>
      <c r="U257" s="818"/>
      <c r="V257" s="818"/>
      <c r="W257" s="818"/>
      <c r="X257" s="818"/>
      <c r="Y257" s="818"/>
      <c r="Z257" s="818"/>
    </row>
    <row r="258" spans="1:26" ht="18.75" hidden="1">
      <c r="A258" s="949"/>
      <c r="B258" s="950"/>
      <c r="C258" s="950"/>
      <c r="D258" s="950"/>
      <c r="E258" s="955" t="s">
        <v>119</v>
      </c>
      <c r="F258" s="957"/>
      <c r="G258" s="958"/>
      <c r="H258" s="730" t="s">
        <v>66</v>
      </c>
      <c r="I258" s="830"/>
      <c r="J258" s="959">
        <v>0</v>
      </c>
      <c r="K258" s="831">
        <f t="shared" si="114"/>
        <v>0</v>
      </c>
      <c r="L258" s="831"/>
      <c r="M258" s="831"/>
      <c r="N258" s="831"/>
      <c r="O258" s="831"/>
      <c r="P258" s="831"/>
      <c r="Q258" s="818"/>
      <c r="R258" s="818"/>
      <c r="S258" s="818"/>
      <c r="T258" s="818"/>
      <c r="U258" s="818"/>
      <c r="V258" s="818"/>
      <c r="W258" s="818"/>
      <c r="X258" s="818"/>
      <c r="Y258" s="818"/>
      <c r="Z258" s="818"/>
    </row>
    <row r="259" spans="1:26" ht="19.5">
      <c r="A259" s="998" t="s">
        <v>122</v>
      </c>
      <c r="B259" s="999"/>
      <c r="C259" s="999"/>
      <c r="D259" s="1000"/>
      <c r="E259" s="1000"/>
      <c r="F259" s="1000"/>
      <c r="G259" s="1001"/>
      <c r="H259" s="1002"/>
      <c r="I259" s="1003"/>
      <c r="J259" s="1003"/>
      <c r="K259" s="1004"/>
      <c r="L259" s="1004"/>
      <c r="M259" s="1004"/>
      <c r="N259" s="1004"/>
      <c r="O259" s="1004"/>
      <c r="P259" s="1004"/>
    </row>
    <row r="260" spans="1:26" ht="19.5">
      <c r="A260" s="1005"/>
      <c r="B260" s="1006" t="s">
        <v>123</v>
      </c>
      <c r="C260" s="1007"/>
      <c r="D260" s="952"/>
      <c r="E260" s="952"/>
      <c r="F260" s="952"/>
      <c r="G260" s="953"/>
      <c r="H260" s="252" t="s">
        <v>35</v>
      </c>
      <c r="I260" s="1008">
        <f t="shared" ref="I260:J260" ca="1" si="115">I271</f>
        <v>24</v>
      </c>
      <c r="J260" s="1008">
        <f t="shared" si="115"/>
        <v>0</v>
      </c>
      <c r="K260" s="1009">
        <f ca="1">IF(I260&gt;0,J260*100/I260,0)</f>
        <v>0</v>
      </c>
      <c r="L260" s="1010"/>
      <c r="M260" s="1010"/>
      <c r="N260" s="1010"/>
      <c r="O260" s="1010"/>
      <c r="P260" s="1010"/>
    </row>
    <row r="261" spans="1:26" ht="19.5">
      <c r="A261" s="932"/>
      <c r="B261" s="933"/>
      <c r="C261" s="934" t="s">
        <v>16</v>
      </c>
      <c r="D261" s="935" t="s">
        <v>17</v>
      </c>
      <c r="E261" s="933"/>
      <c r="F261" s="933"/>
      <c r="G261" s="936"/>
      <c r="H261" s="152" t="s">
        <v>12</v>
      </c>
      <c r="I261" s="937"/>
      <c r="J261" s="937"/>
      <c r="K261" s="938"/>
      <c r="L261" s="939">
        <f t="shared" ref="L261:N261" ca="1" si="116">L262+L263</f>
        <v>28800</v>
      </c>
      <c r="M261" s="939">
        <f t="shared" ca="1" si="116"/>
        <v>25800</v>
      </c>
      <c r="N261" s="939">
        <f t="shared" ca="1" si="116"/>
        <v>0</v>
      </c>
      <c r="O261" s="939">
        <f t="shared" ref="O261:O269" ca="1" si="117">IF(L261&gt;0,N261*100/L261,0)</f>
        <v>0</v>
      </c>
      <c r="P261" s="939">
        <f t="shared" ref="P261:P269" ca="1" si="118">IF(M261&gt;0,N261*100/M261,0)</f>
        <v>0</v>
      </c>
      <c r="Q261" s="818"/>
      <c r="R261" s="818"/>
      <c r="S261" s="818"/>
      <c r="T261" s="818"/>
      <c r="U261" s="818"/>
      <c r="V261" s="818"/>
      <c r="W261" s="818"/>
      <c r="X261" s="818"/>
      <c r="Y261" s="818"/>
      <c r="Z261" s="818"/>
    </row>
    <row r="262" spans="1:26" ht="18.75" hidden="1">
      <c r="A262" s="940"/>
      <c r="B262" s="833"/>
      <c r="C262" s="833"/>
      <c r="D262" s="833"/>
      <c r="E262" s="834" t="s">
        <v>18</v>
      </c>
      <c r="F262" s="833"/>
      <c r="G262" s="941"/>
      <c r="H262" s="158" t="s">
        <v>12</v>
      </c>
      <c r="I262" s="836"/>
      <c r="J262" s="836"/>
      <c r="K262" s="837"/>
      <c r="L262" s="837">
        <f t="shared" ref="L262:N263" si="119">L265+L268</f>
        <v>0</v>
      </c>
      <c r="M262" s="837">
        <f t="shared" si="119"/>
        <v>0</v>
      </c>
      <c r="N262" s="837">
        <f t="shared" si="119"/>
        <v>0</v>
      </c>
      <c r="O262" s="837">
        <f t="shared" si="117"/>
        <v>0</v>
      </c>
      <c r="P262" s="837">
        <f t="shared" si="118"/>
        <v>0</v>
      </c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</row>
    <row r="263" spans="1:26" ht="18.75" hidden="1">
      <c r="A263" s="940"/>
      <c r="B263" s="833"/>
      <c r="C263" s="833"/>
      <c r="D263" s="833"/>
      <c r="E263" s="834" t="s">
        <v>19</v>
      </c>
      <c r="F263" s="833"/>
      <c r="G263" s="941"/>
      <c r="H263" s="158" t="s">
        <v>12</v>
      </c>
      <c r="I263" s="836"/>
      <c r="J263" s="836"/>
      <c r="K263" s="837"/>
      <c r="L263" s="837">
        <f t="shared" ca="1" si="119"/>
        <v>28800</v>
      </c>
      <c r="M263" s="837">
        <f t="shared" ca="1" si="119"/>
        <v>25800</v>
      </c>
      <c r="N263" s="837">
        <f t="shared" ca="1" si="119"/>
        <v>0</v>
      </c>
      <c r="O263" s="837">
        <f t="shared" ca="1" si="117"/>
        <v>0</v>
      </c>
      <c r="P263" s="837">
        <f t="shared" ca="1" si="118"/>
        <v>0</v>
      </c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</row>
    <row r="264" spans="1:26" ht="18.75">
      <c r="A264" s="942"/>
      <c r="B264" s="827"/>
      <c r="C264" s="943"/>
      <c r="D264" s="828" t="s">
        <v>20</v>
      </c>
      <c r="E264" s="827"/>
      <c r="F264" s="827"/>
      <c r="G264" s="829"/>
      <c r="H264" s="778" t="s">
        <v>12</v>
      </c>
      <c r="I264" s="944"/>
      <c r="J264" s="944"/>
      <c r="K264" s="945"/>
      <c r="L264" s="831">
        <f t="shared" ref="L264:N264" ca="1" si="120">L265+L266</f>
        <v>28800</v>
      </c>
      <c r="M264" s="831">
        <f t="shared" ca="1" si="120"/>
        <v>25800</v>
      </c>
      <c r="N264" s="831">
        <f t="shared" ca="1" si="120"/>
        <v>0</v>
      </c>
      <c r="O264" s="831">
        <f t="shared" ca="1" si="117"/>
        <v>0</v>
      </c>
      <c r="P264" s="831">
        <f t="shared" ca="1" si="118"/>
        <v>0</v>
      </c>
      <c r="Q264" s="818"/>
      <c r="R264" s="818"/>
      <c r="S264" s="818"/>
      <c r="T264" s="818"/>
      <c r="U264" s="818"/>
      <c r="V264" s="818"/>
      <c r="W264" s="818"/>
      <c r="X264" s="818"/>
      <c r="Y264" s="818"/>
      <c r="Z264" s="818"/>
    </row>
    <row r="265" spans="1:26" ht="19.5" hidden="1">
      <c r="A265" s="940"/>
      <c r="B265" s="833"/>
      <c r="C265" s="946"/>
      <c r="D265" s="833"/>
      <c r="E265" s="834" t="s">
        <v>36</v>
      </c>
      <c r="F265" s="833"/>
      <c r="G265" s="941"/>
      <c r="H265" s="165" t="s">
        <v>12</v>
      </c>
      <c r="I265" s="947"/>
      <c r="J265" s="947"/>
      <c r="K265" s="948"/>
      <c r="L265" s="837">
        <v>0</v>
      </c>
      <c r="M265" s="837">
        <v>0</v>
      </c>
      <c r="N265" s="837">
        <v>0</v>
      </c>
      <c r="O265" s="837">
        <f t="shared" si="117"/>
        <v>0</v>
      </c>
      <c r="P265" s="837">
        <f t="shared" si="118"/>
        <v>0</v>
      </c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</row>
    <row r="266" spans="1:26" ht="19.5" hidden="1">
      <c r="A266" s="940"/>
      <c r="B266" s="833"/>
      <c r="C266" s="946"/>
      <c r="D266" s="833"/>
      <c r="E266" s="834" t="s">
        <v>37</v>
      </c>
      <c r="F266" s="833"/>
      <c r="G266" s="941"/>
      <c r="H266" s="165" t="s">
        <v>12</v>
      </c>
      <c r="I266" s="947"/>
      <c r="J266" s="947"/>
      <c r="K266" s="948"/>
      <c r="L266" s="837">
        <f ca="1">IFERROR(__xludf.DUMMYFUNCTION("IMPORTRANGE(""https://docs.google.com/spreadsheets/d/1MeEWN-I1oV_STSDYn1IFDPWt_1FKiwhDph83XaGc0o0/edit?usp=sharing"",""งบพรบ!CY30"")"),28800)</f>
        <v>28800</v>
      </c>
      <c r="M266" s="837">
        <f ca="1">IFERROR(__xludf.DUMMYFUNCTION("IMPORTRANGE(""https://docs.google.com/spreadsheets/d/1MeEWN-I1oV_STSDYn1IFDPWt_1FKiwhDph83XaGc0o0/edit?usp=sharing"",""งบพรบ!DD30"")"),25800)</f>
        <v>25800</v>
      </c>
      <c r="N266" s="837">
        <f ca="1">IFERROR(__xludf.DUMMYFUNCTION("IMPORTRANGE(""https://docs.google.com/spreadsheets/d/1MeEWN-I1oV_STSDYn1IFDPWt_1FKiwhDph83XaGc0o0/edit?usp=sharing"",""งบพรบ!DF30"")"),0)</f>
        <v>0</v>
      </c>
      <c r="O266" s="837">
        <f t="shared" ca="1" si="117"/>
        <v>0</v>
      </c>
      <c r="P266" s="837">
        <f t="shared" ca="1" si="118"/>
        <v>0</v>
      </c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</row>
    <row r="267" spans="1:26" ht="18.75">
      <c r="A267" s="942"/>
      <c r="B267" s="827"/>
      <c r="C267" s="943"/>
      <c r="D267" s="828" t="s">
        <v>21</v>
      </c>
      <c r="E267" s="827"/>
      <c r="F267" s="827"/>
      <c r="G267" s="829"/>
      <c r="H267" s="168" t="s">
        <v>12</v>
      </c>
      <c r="I267" s="944"/>
      <c r="J267" s="944"/>
      <c r="K267" s="945"/>
      <c r="L267" s="831">
        <f t="shared" ref="L267:N267" ca="1" si="121">L268+L269</f>
        <v>0</v>
      </c>
      <c r="M267" s="831">
        <f t="shared" ca="1" si="121"/>
        <v>0</v>
      </c>
      <c r="N267" s="831">
        <f t="shared" ca="1" si="121"/>
        <v>0</v>
      </c>
      <c r="O267" s="831">
        <f t="shared" ca="1" si="117"/>
        <v>0</v>
      </c>
      <c r="P267" s="831">
        <f t="shared" ca="1" si="118"/>
        <v>0</v>
      </c>
      <c r="Q267" s="818"/>
      <c r="R267" s="818"/>
      <c r="S267" s="818"/>
      <c r="T267" s="818"/>
      <c r="U267" s="818"/>
      <c r="V267" s="818"/>
      <c r="W267" s="818"/>
      <c r="X267" s="818"/>
      <c r="Y267" s="818"/>
      <c r="Z267" s="818"/>
    </row>
    <row r="268" spans="1:26" ht="19.5" hidden="1">
      <c r="A268" s="940"/>
      <c r="B268" s="833"/>
      <c r="C268" s="946"/>
      <c r="D268" s="833"/>
      <c r="E268" s="834" t="s">
        <v>18</v>
      </c>
      <c r="F268" s="833"/>
      <c r="G268" s="941"/>
      <c r="H268" s="165" t="s">
        <v>12</v>
      </c>
      <c r="I268" s="947"/>
      <c r="J268" s="947"/>
      <c r="K268" s="948"/>
      <c r="L268" s="837">
        <v>0</v>
      </c>
      <c r="M268" s="837">
        <v>0</v>
      </c>
      <c r="N268" s="837">
        <v>0</v>
      </c>
      <c r="O268" s="837">
        <f t="shared" si="117"/>
        <v>0</v>
      </c>
      <c r="P268" s="837">
        <f t="shared" si="118"/>
        <v>0</v>
      </c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</row>
    <row r="269" spans="1:26" ht="19.5" hidden="1">
      <c r="A269" s="940"/>
      <c r="B269" s="833"/>
      <c r="C269" s="946"/>
      <c r="D269" s="833"/>
      <c r="E269" s="834" t="s">
        <v>19</v>
      </c>
      <c r="F269" s="833"/>
      <c r="G269" s="941"/>
      <c r="H269" s="169" t="s">
        <v>12</v>
      </c>
      <c r="I269" s="947"/>
      <c r="J269" s="947"/>
      <c r="K269" s="948"/>
      <c r="L269" s="837">
        <f ca="1">IFERROR(__xludf.DUMMYFUNCTION("IMPORTRANGE(""https://docs.google.com/spreadsheets/d/1MeEWN-I1oV_STSDYn1IFDPWt_1FKiwhDph83XaGc0o0/edit?usp=sharing"",""งบพรบ!DB30"")"),0)</f>
        <v>0</v>
      </c>
      <c r="M269" s="837">
        <f ca="1">IFERROR(__xludf.DUMMYFUNCTION("IMPORTRANGE(""https://docs.google.com/spreadsheets/d/1MeEWN-I1oV_STSDYn1IFDPWt_1FKiwhDph83XaGc0o0/edit?usp=sharing"",""งบพรบ!DE30"")"),0)</f>
        <v>0</v>
      </c>
      <c r="N269" s="837">
        <f ca="1">IFERROR(__xludf.DUMMYFUNCTION("IMPORTRANGE(""https://docs.google.com/spreadsheets/d/1MeEWN-I1oV_STSDYn1IFDPWt_1FKiwhDph83XaGc0o0/edit?usp=sharing"",""งบพรบ!DG30"")"),0)</f>
        <v>0</v>
      </c>
      <c r="O269" s="837">
        <f t="shared" ca="1" si="117"/>
        <v>0</v>
      </c>
      <c r="P269" s="837">
        <f t="shared" ca="1" si="118"/>
        <v>0</v>
      </c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</row>
    <row r="270" spans="1:26" ht="19.5">
      <c r="A270" s="949"/>
      <c r="B270" s="950"/>
      <c r="C270" s="943" t="s">
        <v>16</v>
      </c>
      <c r="D270" s="951" t="s">
        <v>38</v>
      </c>
      <c r="E270" s="952"/>
      <c r="F270" s="952"/>
      <c r="G270" s="953"/>
      <c r="H270" s="954"/>
      <c r="I270" s="944"/>
      <c r="J270" s="944"/>
      <c r="K270" s="945"/>
      <c r="L270" s="945"/>
      <c r="M270" s="945"/>
      <c r="N270" s="945"/>
      <c r="O270" s="945"/>
      <c r="P270" s="945"/>
    </row>
    <row r="271" spans="1:26" ht="18.75">
      <c r="A271" s="949"/>
      <c r="B271" s="950"/>
      <c r="C271" s="950"/>
      <c r="D271" s="1079" t="s">
        <v>124</v>
      </c>
      <c r="E271" s="957"/>
      <c r="F271" s="1022"/>
      <c r="G271" s="958"/>
      <c r="H271" s="346" t="s">
        <v>35</v>
      </c>
      <c r="I271" s="830">
        <f ca="1">IFERROR(__xludf.DUMMYFUNCTION("IMPORTRANGE(""https://docs.google.com/spreadsheets/d/1QqKyyYR6Q21VydFLVH3TRQUabQu_ym0Zz7PgGX0-kHA/edit?usp=sharing"",""แผน!EA30"")"),24)</f>
        <v>24</v>
      </c>
      <c r="J271" s="959">
        <v>0</v>
      </c>
      <c r="K271" s="945">
        <f ca="1">IF(I271&gt;0,J271*100/I271,0)</f>
        <v>0</v>
      </c>
      <c r="L271" s="945"/>
      <c r="M271" s="945"/>
      <c r="N271" s="945"/>
      <c r="O271" s="945"/>
      <c r="P271" s="945"/>
    </row>
    <row r="272" spans="1:26" ht="18.75" hidden="1">
      <c r="A272" s="1080"/>
      <c r="B272" s="1081"/>
      <c r="C272" s="1081"/>
      <c r="D272" s="1082" t="s">
        <v>125</v>
      </c>
      <c r="E272" s="1083"/>
      <c r="F272" s="1083"/>
      <c r="G272" s="1084"/>
      <c r="H272" s="50" t="s">
        <v>35</v>
      </c>
      <c r="I272" s="1085">
        <v>0</v>
      </c>
      <c r="J272" s="1085">
        <v>0</v>
      </c>
      <c r="K272" s="1086">
        <v>0</v>
      </c>
      <c r="L272" s="1086"/>
      <c r="M272" s="1086"/>
      <c r="N272" s="1086"/>
      <c r="O272" s="1086"/>
      <c r="P272" s="1086"/>
    </row>
    <row r="273" spans="1:26" ht="19.5">
      <c r="A273" s="1087" t="s">
        <v>126</v>
      </c>
      <c r="B273" s="1088"/>
      <c r="C273" s="1088"/>
      <c r="D273" s="1088"/>
      <c r="E273" s="1089"/>
      <c r="F273" s="1089"/>
      <c r="G273" s="1090"/>
      <c r="H273" s="1091"/>
      <c r="I273" s="1092"/>
      <c r="J273" s="1092"/>
      <c r="K273" s="1093"/>
      <c r="L273" s="1093"/>
      <c r="M273" s="1093"/>
      <c r="N273" s="1093"/>
      <c r="O273" s="1093"/>
      <c r="P273" s="1093"/>
    </row>
    <row r="274" spans="1:26" ht="19.5">
      <c r="A274" s="1094" t="s">
        <v>127</v>
      </c>
      <c r="B274" s="1095"/>
      <c r="C274" s="1096"/>
      <c r="D274" s="1095"/>
      <c r="E274" s="1095"/>
      <c r="F274" s="1095"/>
      <c r="G274" s="1095"/>
      <c r="H274" s="1097"/>
      <c r="I274" s="1098"/>
      <c r="J274" s="1099"/>
      <c r="K274" s="1100"/>
      <c r="L274" s="1100"/>
      <c r="M274" s="1100"/>
      <c r="N274" s="1100"/>
      <c r="O274" s="1100"/>
      <c r="P274" s="1100"/>
    </row>
    <row r="275" spans="1:26" ht="19.5">
      <c r="A275" s="1101"/>
      <c r="B275" s="1102" t="s">
        <v>128</v>
      </c>
      <c r="C275" s="1103"/>
      <c r="D275" s="1104"/>
      <c r="E275" s="1103"/>
      <c r="F275" s="1103"/>
      <c r="G275" s="1105"/>
      <c r="H275" s="374" t="s">
        <v>35</v>
      </c>
      <c r="I275" s="1106">
        <f t="shared" ref="I275:J275" ca="1" si="122">I288</f>
        <v>20</v>
      </c>
      <c r="J275" s="1106">
        <f t="shared" ca="1" si="122"/>
        <v>0</v>
      </c>
      <c r="K275" s="1107">
        <f t="shared" ref="K275:K276" ca="1" si="123">IF(I275&gt;0,J275*100/I275,0)</f>
        <v>0</v>
      </c>
      <c r="L275" s="1108"/>
      <c r="M275" s="1108"/>
      <c r="N275" s="1108"/>
      <c r="O275" s="1108"/>
      <c r="P275" s="1108"/>
    </row>
    <row r="276" spans="1:26" ht="19.5">
      <c r="A276" s="1101"/>
      <c r="B276" s="1102"/>
      <c r="C276" s="1103"/>
      <c r="D276" s="1104"/>
      <c r="E276" s="1103"/>
      <c r="F276" s="1103"/>
      <c r="G276" s="1105"/>
      <c r="H276" s="374" t="s">
        <v>46</v>
      </c>
      <c r="I276" s="1106">
        <f t="shared" ref="I276:J276" ca="1" si="124">I287</f>
        <v>200</v>
      </c>
      <c r="J276" s="1106">
        <f t="shared" si="124"/>
        <v>200</v>
      </c>
      <c r="K276" s="1107">
        <f t="shared" ca="1" si="123"/>
        <v>100</v>
      </c>
      <c r="L276" s="1108"/>
      <c r="M276" s="1108"/>
      <c r="N276" s="1108"/>
      <c r="O276" s="1108"/>
      <c r="P276" s="1108"/>
    </row>
    <row r="277" spans="1:26" ht="19.5">
      <c r="A277" s="932"/>
      <c r="B277" s="933"/>
      <c r="C277" s="934" t="s">
        <v>16</v>
      </c>
      <c r="D277" s="935" t="s">
        <v>17</v>
      </c>
      <c r="E277" s="933"/>
      <c r="F277" s="933"/>
      <c r="G277" s="936"/>
      <c r="H277" s="152" t="s">
        <v>12</v>
      </c>
      <c r="I277" s="937"/>
      <c r="J277" s="937"/>
      <c r="K277" s="938"/>
      <c r="L277" s="939">
        <f t="shared" ref="L277:N277" ca="1" si="125">L278+L279</f>
        <v>229340</v>
      </c>
      <c r="M277" s="939">
        <f t="shared" ca="1" si="125"/>
        <v>152770</v>
      </c>
      <c r="N277" s="939">
        <f t="shared" ca="1" si="125"/>
        <v>106441.26</v>
      </c>
      <c r="O277" s="939">
        <f t="shared" ref="O277:O285" ca="1" si="126">IF(L277&gt;0,N277*100/L277,0)</f>
        <v>46.411990930496209</v>
      </c>
      <c r="P277" s="939">
        <f t="shared" ref="P277:P285" ca="1" si="127">IF(M277&gt;0,N277*100/M277,0)</f>
        <v>69.674189958761531</v>
      </c>
      <c r="Q277" s="818"/>
      <c r="R277" s="818"/>
      <c r="S277" s="818"/>
      <c r="T277" s="818"/>
      <c r="U277" s="818"/>
      <c r="V277" s="818"/>
      <c r="W277" s="818"/>
      <c r="X277" s="818"/>
      <c r="Y277" s="818"/>
      <c r="Z277" s="818"/>
    </row>
    <row r="278" spans="1:26" ht="18.75" hidden="1">
      <c r="A278" s="940"/>
      <c r="B278" s="833"/>
      <c r="C278" s="833"/>
      <c r="D278" s="833"/>
      <c r="E278" s="834" t="s">
        <v>18</v>
      </c>
      <c r="F278" s="833"/>
      <c r="G278" s="941"/>
      <c r="H278" s="158" t="s">
        <v>12</v>
      </c>
      <c r="I278" s="836"/>
      <c r="J278" s="836"/>
      <c r="K278" s="837"/>
      <c r="L278" s="837">
        <f t="shared" ref="L278:N279" si="128">L281+L284</f>
        <v>0</v>
      </c>
      <c r="M278" s="837">
        <f t="shared" si="128"/>
        <v>0</v>
      </c>
      <c r="N278" s="837">
        <f t="shared" si="128"/>
        <v>0</v>
      </c>
      <c r="O278" s="837">
        <f t="shared" si="126"/>
        <v>0</v>
      </c>
      <c r="P278" s="837">
        <f t="shared" si="127"/>
        <v>0</v>
      </c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</row>
    <row r="279" spans="1:26" ht="18.75" hidden="1">
      <c r="A279" s="940"/>
      <c r="B279" s="833"/>
      <c r="C279" s="833"/>
      <c r="D279" s="833"/>
      <c r="E279" s="834" t="s">
        <v>19</v>
      </c>
      <c r="F279" s="833"/>
      <c r="G279" s="941"/>
      <c r="H279" s="158" t="s">
        <v>12</v>
      </c>
      <c r="I279" s="836"/>
      <c r="J279" s="836"/>
      <c r="K279" s="837"/>
      <c r="L279" s="837">
        <f t="shared" ca="1" si="128"/>
        <v>229340</v>
      </c>
      <c r="M279" s="837">
        <f t="shared" ca="1" si="128"/>
        <v>152770</v>
      </c>
      <c r="N279" s="837">
        <f t="shared" ca="1" si="128"/>
        <v>106441.26</v>
      </c>
      <c r="O279" s="837">
        <f t="shared" ca="1" si="126"/>
        <v>46.411990930496209</v>
      </c>
      <c r="P279" s="837">
        <f t="shared" ca="1" si="127"/>
        <v>69.674189958761531</v>
      </c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</row>
    <row r="280" spans="1:26" ht="18.75">
      <c r="A280" s="942"/>
      <c r="B280" s="827"/>
      <c r="C280" s="943"/>
      <c r="D280" s="828" t="s">
        <v>20</v>
      </c>
      <c r="E280" s="827"/>
      <c r="F280" s="827"/>
      <c r="G280" s="829"/>
      <c r="H280" s="778" t="s">
        <v>12</v>
      </c>
      <c r="I280" s="944"/>
      <c r="J280" s="944"/>
      <c r="K280" s="945"/>
      <c r="L280" s="831">
        <f t="shared" ref="L280:N280" ca="1" si="129">L281+L282</f>
        <v>229340</v>
      </c>
      <c r="M280" s="831">
        <f t="shared" ca="1" si="129"/>
        <v>152770</v>
      </c>
      <c r="N280" s="831">
        <f t="shared" ca="1" si="129"/>
        <v>106441.26</v>
      </c>
      <c r="O280" s="831">
        <f t="shared" ca="1" si="126"/>
        <v>46.411990930496209</v>
      </c>
      <c r="P280" s="831">
        <f t="shared" ca="1" si="127"/>
        <v>69.674189958761531</v>
      </c>
      <c r="Q280" s="818"/>
      <c r="R280" s="818"/>
      <c r="S280" s="818"/>
      <c r="T280" s="818"/>
      <c r="U280" s="818"/>
      <c r="V280" s="818"/>
      <c r="W280" s="818"/>
      <c r="X280" s="818"/>
      <c r="Y280" s="818"/>
      <c r="Z280" s="818"/>
    </row>
    <row r="281" spans="1:26" ht="19.5" hidden="1">
      <c r="A281" s="940"/>
      <c r="B281" s="833"/>
      <c r="C281" s="946"/>
      <c r="D281" s="833"/>
      <c r="E281" s="834" t="s">
        <v>36</v>
      </c>
      <c r="F281" s="833"/>
      <c r="G281" s="941"/>
      <c r="H281" s="165" t="s">
        <v>12</v>
      </c>
      <c r="I281" s="947"/>
      <c r="J281" s="947"/>
      <c r="K281" s="948"/>
      <c r="L281" s="837">
        <v>0</v>
      </c>
      <c r="M281" s="837">
        <v>0</v>
      </c>
      <c r="N281" s="837">
        <v>0</v>
      </c>
      <c r="O281" s="837">
        <f t="shared" si="126"/>
        <v>0</v>
      </c>
      <c r="P281" s="837">
        <f t="shared" si="127"/>
        <v>0</v>
      </c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</row>
    <row r="282" spans="1:26" ht="19.5" hidden="1">
      <c r="A282" s="940"/>
      <c r="B282" s="833"/>
      <c r="C282" s="946"/>
      <c r="D282" s="833"/>
      <c r="E282" s="834" t="s">
        <v>37</v>
      </c>
      <c r="F282" s="833"/>
      <c r="G282" s="941"/>
      <c r="H282" s="165" t="s">
        <v>12</v>
      </c>
      <c r="I282" s="947"/>
      <c r="J282" s="947"/>
      <c r="K282" s="948"/>
      <c r="L282" s="837">
        <f ca="1">IFERROR(__xludf.DUMMYFUNCTION("IMPORTRANGE(""https://docs.google.com/spreadsheets/d/1MeEWN-I1oV_STSDYn1IFDPWt_1FKiwhDph83XaGc0o0/edit?usp=sharing"",""งบพรบ!DI30"")"),229340)</f>
        <v>229340</v>
      </c>
      <c r="M282" s="837">
        <f ca="1">IFERROR(__xludf.DUMMYFUNCTION("IMPORTRANGE(""https://docs.google.com/spreadsheets/d/1MeEWN-I1oV_STSDYn1IFDPWt_1FKiwhDph83XaGc0o0/edit?usp=sharing"",""งบพรบ!DN30"")"),152770)</f>
        <v>152770</v>
      </c>
      <c r="N282" s="837">
        <f ca="1">IFERROR(__xludf.DUMMYFUNCTION("IMPORTRANGE(""https://docs.google.com/spreadsheets/d/1MeEWN-I1oV_STSDYn1IFDPWt_1FKiwhDph83XaGc0o0/edit?usp=sharing"",""งบพรบ!DP30"")"),106441.26)</f>
        <v>106441.26</v>
      </c>
      <c r="O282" s="837">
        <f t="shared" ca="1" si="126"/>
        <v>46.411990930496209</v>
      </c>
      <c r="P282" s="837">
        <f t="shared" ca="1" si="127"/>
        <v>69.674189958761531</v>
      </c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</row>
    <row r="283" spans="1:26" ht="18.75">
      <c r="A283" s="942"/>
      <c r="B283" s="827"/>
      <c r="C283" s="943"/>
      <c r="D283" s="828" t="s">
        <v>21</v>
      </c>
      <c r="E283" s="827"/>
      <c r="F283" s="827"/>
      <c r="G283" s="829"/>
      <c r="H283" s="168" t="s">
        <v>12</v>
      </c>
      <c r="I283" s="944"/>
      <c r="J283" s="944"/>
      <c r="K283" s="945"/>
      <c r="L283" s="831">
        <f t="shared" ref="L283:N283" ca="1" si="130">L284+L285</f>
        <v>0</v>
      </c>
      <c r="M283" s="831">
        <f t="shared" ca="1" si="130"/>
        <v>0</v>
      </c>
      <c r="N283" s="831">
        <f t="shared" ca="1" si="130"/>
        <v>0</v>
      </c>
      <c r="O283" s="831">
        <f t="shared" ca="1" si="126"/>
        <v>0</v>
      </c>
      <c r="P283" s="831">
        <f t="shared" ca="1" si="127"/>
        <v>0</v>
      </c>
      <c r="Q283" s="818"/>
      <c r="R283" s="818"/>
      <c r="S283" s="818"/>
      <c r="T283" s="818"/>
      <c r="U283" s="818"/>
      <c r="V283" s="818"/>
      <c r="W283" s="818"/>
      <c r="X283" s="818"/>
      <c r="Y283" s="818"/>
      <c r="Z283" s="818"/>
    </row>
    <row r="284" spans="1:26" ht="19.5" hidden="1">
      <c r="A284" s="940"/>
      <c r="B284" s="833"/>
      <c r="C284" s="946"/>
      <c r="D284" s="833"/>
      <c r="E284" s="834" t="s">
        <v>18</v>
      </c>
      <c r="F284" s="833"/>
      <c r="G284" s="941"/>
      <c r="H284" s="165" t="s">
        <v>12</v>
      </c>
      <c r="I284" s="947"/>
      <c r="J284" s="947"/>
      <c r="K284" s="948"/>
      <c r="L284" s="837">
        <v>0</v>
      </c>
      <c r="M284" s="837">
        <v>0</v>
      </c>
      <c r="N284" s="837">
        <v>0</v>
      </c>
      <c r="O284" s="837">
        <f t="shared" si="126"/>
        <v>0</v>
      </c>
      <c r="P284" s="837">
        <f t="shared" si="127"/>
        <v>0</v>
      </c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</row>
    <row r="285" spans="1:26" ht="19.5" hidden="1">
      <c r="A285" s="940"/>
      <c r="B285" s="833"/>
      <c r="C285" s="946"/>
      <c r="D285" s="833"/>
      <c r="E285" s="834" t="s">
        <v>19</v>
      </c>
      <c r="F285" s="833"/>
      <c r="G285" s="941"/>
      <c r="H285" s="169" t="s">
        <v>12</v>
      </c>
      <c r="I285" s="947"/>
      <c r="J285" s="947"/>
      <c r="K285" s="948"/>
      <c r="L285" s="837">
        <f ca="1">IFERROR(__xludf.DUMMYFUNCTION("IMPORTRANGE(""https://docs.google.com/spreadsheets/d/1MeEWN-I1oV_STSDYn1IFDPWt_1FKiwhDph83XaGc0o0/edit?usp=sharing"",""งบพรบ!DL30"")"),0)</f>
        <v>0</v>
      </c>
      <c r="M285" s="837">
        <f ca="1">IFERROR(__xludf.DUMMYFUNCTION("IMPORTRANGE(""https://docs.google.com/spreadsheets/d/1MeEWN-I1oV_STSDYn1IFDPWt_1FKiwhDph83XaGc0o0/edit?usp=sharing"",""งบพรบ!DO30"")"),0)</f>
        <v>0</v>
      </c>
      <c r="N285" s="837">
        <f ca="1">IFERROR(__xludf.DUMMYFUNCTION("IMPORTRANGE(""https://docs.google.com/spreadsheets/d/1MeEWN-I1oV_STSDYn1IFDPWt_1FKiwhDph83XaGc0o0/edit?usp=sharing"",""งบพรบ!DQ30"")"),0)</f>
        <v>0</v>
      </c>
      <c r="O285" s="837">
        <f t="shared" ca="1" si="126"/>
        <v>0</v>
      </c>
      <c r="P285" s="837">
        <f t="shared" ca="1" si="127"/>
        <v>0</v>
      </c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</row>
    <row r="286" spans="1:26" ht="19.5">
      <c r="A286" s="949"/>
      <c r="B286" s="950"/>
      <c r="C286" s="946" t="s">
        <v>16</v>
      </c>
      <c r="D286" s="951" t="s">
        <v>38</v>
      </c>
      <c r="E286" s="952"/>
      <c r="F286" s="952"/>
      <c r="G286" s="953"/>
      <c r="H286" s="954"/>
      <c r="I286" s="944"/>
      <c r="J286" s="944"/>
      <c r="K286" s="945"/>
      <c r="L286" s="945"/>
      <c r="M286" s="945"/>
      <c r="N286" s="945"/>
      <c r="O286" s="945"/>
      <c r="P286" s="945"/>
    </row>
    <row r="287" spans="1:26" ht="18.75">
      <c r="A287" s="949"/>
      <c r="B287" s="950"/>
      <c r="C287" s="950"/>
      <c r="D287" s="961" t="s">
        <v>129</v>
      </c>
      <c r="E287" s="950"/>
      <c r="F287" s="957"/>
      <c r="G287" s="958"/>
      <c r="H287" s="777" t="s">
        <v>46</v>
      </c>
      <c r="I287" s="830">
        <f ca="1">IFERROR(__xludf.DUMMYFUNCTION("IMPORTRANGE(""https://docs.google.com/spreadsheets/d/1QqKyyYR6Q21VydFLVH3TRQUabQu_ym0Zz7PgGX0-kHA/edit?usp=sharing"",""แผน!EC30"")"),200)</f>
        <v>200</v>
      </c>
      <c r="J287" s="959">
        <v>200</v>
      </c>
      <c r="K287" s="945">
        <f t="shared" ref="K287:K288" ca="1" si="131">IF(I287&gt;0,J287*100/I287,0)</f>
        <v>100</v>
      </c>
      <c r="L287" s="945"/>
      <c r="M287" s="945"/>
      <c r="N287" s="945"/>
      <c r="O287" s="945"/>
      <c r="P287" s="945"/>
    </row>
    <row r="288" spans="1:26" ht="19.5">
      <c r="A288" s="949"/>
      <c r="B288" s="950"/>
      <c r="C288" s="950"/>
      <c r="D288" s="961" t="s">
        <v>130</v>
      </c>
      <c r="E288" s="950"/>
      <c r="F288" s="957"/>
      <c r="G288" s="958"/>
      <c r="H288" s="180" t="s">
        <v>35</v>
      </c>
      <c r="I288" s="966">
        <f ca="1">IFERROR(__xludf.DUMMYFUNCTION("IMPORTRANGE(""https://docs.google.com/spreadsheets/d/1QqKyyYR6Q21VydFLVH3TRQUabQu_ym0Zz7PgGX0-kHA/edit?usp=sharing"",""แผน!EB30"")"),20)</f>
        <v>20</v>
      </c>
      <c r="J288" s="966">
        <f ca="1">IF(AND(J291&gt;=I288,J294&gt;=I288),J294,0)</f>
        <v>0</v>
      </c>
      <c r="K288" s="1109">
        <f t="shared" ca="1" si="131"/>
        <v>0</v>
      </c>
      <c r="L288" s="945"/>
      <c r="M288" s="945"/>
      <c r="N288" s="945"/>
      <c r="O288" s="945"/>
      <c r="P288" s="945"/>
    </row>
    <row r="289" spans="1:26" ht="19.5">
      <c r="A289" s="949"/>
      <c r="B289" s="950"/>
      <c r="C289" s="950"/>
      <c r="D289" s="1110"/>
      <c r="E289" s="1111" t="s">
        <v>131</v>
      </c>
      <c r="F289" s="957"/>
      <c r="G289" s="958"/>
      <c r="H289" s="730"/>
      <c r="I289" s="944"/>
      <c r="J289" s="830"/>
      <c r="K289" s="945"/>
      <c r="L289" s="945"/>
      <c r="M289" s="945"/>
      <c r="N289" s="945"/>
      <c r="O289" s="945"/>
      <c r="P289" s="945"/>
    </row>
    <row r="290" spans="1:26" ht="19.5">
      <c r="A290" s="949"/>
      <c r="B290" s="950"/>
      <c r="C290" s="950"/>
      <c r="D290" s="1110"/>
      <c r="E290" s="961" t="s">
        <v>132</v>
      </c>
      <c r="F290" s="957"/>
      <c r="G290" s="958"/>
      <c r="H290" s="730" t="s">
        <v>35</v>
      </c>
      <c r="I290" s="944">
        <f ca="1">IFERROR(__xludf.DUMMYFUNCTION("IMPORTRANGE(""https://docs.google.com/spreadsheets/d/1QqKyyYR6Q21VydFLVH3TRQUabQu_ym0Zz7PgGX0-kHA/edit?usp=sharing"",""แผน!EB30"")"),20)</f>
        <v>20</v>
      </c>
      <c r="J290" s="959">
        <v>20</v>
      </c>
      <c r="K290" s="945">
        <f t="shared" ref="K290:K291" ca="1" si="132">IF(I290&gt;0,J290*100/I290,0)</f>
        <v>100</v>
      </c>
      <c r="L290" s="945"/>
      <c r="M290" s="945"/>
      <c r="N290" s="945"/>
      <c r="O290" s="945"/>
      <c r="P290" s="945"/>
    </row>
    <row r="291" spans="1:26" ht="19.5">
      <c r="A291" s="949"/>
      <c r="B291" s="950"/>
      <c r="C291" s="950"/>
      <c r="D291" s="957"/>
      <c r="E291" s="961" t="s">
        <v>133</v>
      </c>
      <c r="F291" s="957"/>
      <c r="G291" s="958"/>
      <c r="H291" s="730" t="s">
        <v>35</v>
      </c>
      <c r="I291" s="944">
        <f ca="1">IFERROR(__xludf.DUMMYFUNCTION("IMPORTRANGE(""https://docs.google.com/spreadsheets/d/1QqKyyYR6Q21VydFLVH3TRQUabQu_ym0Zz7PgGX0-kHA/edit?usp=sharing"",""แผน!EB30"")"),20)</f>
        <v>20</v>
      </c>
      <c r="J291" s="959">
        <v>20</v>
      </c>
      <c r="K291" s="945">
        <f t="shared" ca="1" si="132"/>
        <v>100</v>
      </c>
      <c r="L291" s="945"/>
      <c r="M291" s="945"/>
      <c r="N291" s="945"/>
      <c r="O291" s="945"/>
      <c r="P291" s="945"/>
    </row>
    <row r="292" spans="1:26" ht="19.5">
      <c r="A292" s="1112"/>
      <c r="B292" s="1113"/>
      <c r="C292" s="1113"/>
      <c r="D292" s="1114"/>
      <c r="E292" s="1115" t="s">
        <v>134</v>
      </c>
      <c r="F292" s="1034"/>
      <c r="G292" s="1035"/>
      <c r="H292" s="387"/>
      <c r="I292" s="1028"/>
      <c r="J292" s="937"/>
      <c r="K292" s="1029"/>
      <c r="L292" s="1029"/>
      <c r="M292" s="1029"/>
      <c r="N292" s="1029"/>
      <c r="O292" s="1029"/>
      <c r="P292" s="1029"/>
    </row>
    <row r="293" spans="1:26" ht="19.5">
      <c r="A293" s="949"/>
      <c r="B293" s="950"/>
      <c r="C293" s="950"/>
      <c r="D293" s="1110"/>
      <c r="E293" s="961" t="s">
        <v>132</v>
      </c>
      <c r="F293" s="957"/>
      <c r="G293" s="958"/>
      <c r="H293" s="730" t="s">
        <v>35</v>
      </c>
      <c r="I293" s="944">
        <f ca="1">IFERROR(__xludf.DUMMYFUNCTION("IMPORTRANGE(""https://docs.google.com/spreadsheets/d/1QqKyyYR6Q21VydFLVH3TRQUabQu_ym0Zz7PgGX0-kHA/edit?usp=sharing"",""แผน!EB30"")"),20)</f>
        <v>20</v>
      </c>
      <c r="J293" s="959">
        <v>0</v>
      </c>
      <c r="K293" s="945">
        <f t="shared" ref="K293:K294" ca="1" si="133">IF(I293&gt;0,J293*100/I293,0)</f>
        <v>0</v>
      </c>
      <c r="L293" s="945"/>
      <c r="M293" s="945"/>
      <c r="N293" s="945"/>
      <c r="O293" s="945"/>
      <c r="P293" s="945"/>
    </row>
    <row r="294" spans="1:26" ht="19.5">
      <c r="A294" s="1080"/>
      <c r="B294" s="1081"/>
      <c r="C294" s="1081"/>
      <c r="D294" s="1083"/>
      <c r="E294" s="1116" t="s">
        <v>136</v>
      </c>
      <c r="F294" s="1083"/>
      <c r="G294" s="1084"/>
      <c r="H294" s="391" t="s">
        <v>35</v>
      </c>
      <c r="I294" s="1117">
        <f ca="1">IFERROR(__xludf.DUMMYFUNCTION("IMPORTRANGE(""https://docs.google.com/spreadsheets/d/1QqKyyYR6Q21VydFLVH3TRQUabQu_ym0Zz7PgGX0-kHA/edit?usp=sharing"",""แผน!EB30"")"),20)</f>
        <v>20</v>
      </c>
      <c r="J294" s="1118">
        <v>0</v>
      </c>
      <c r="K294" s="1086">
        <f t="shared" ca="1" si="133"/>
        <v>0</v>
      </c>
      <c r="L294" s="1086"/>
      <c r="M294" s="1086"/>
      <c r="N294" s="1086"/>
      <c r="O294" s="1086"/>
      <c r="P294" s="1086"/>
    </row>
    <row r="295" spans="1:26" ht="19.5">
      <c r="A295" s="1119" t="s">
        <v>137</v>
      </c>
      <c r="B295" s="1120"/>
      <c r="C295" s="1120"/>
      <c r="D295" s="1120"/>
      <c r="E295" s="1121"/>
      <c r="F295" s="1121"/>
      <c r="G295" s="1122"/>
      <c r="H295" s="1123"/>
      <c r="I295" s="1124"/>
      <c r="J295" s="1124"/>
      <c r="K295" s="1125"/>
      <c r="L295" s="1125"/>
      <c r="M295" s="1125"/>
      <c r="N295" s="1125"/>
      <c r="O295" s="1125"/>
      <c r="P295" s="1125"/>
    </row>
    <row r="296" spans="1:26" ht="19.5">
      <c r="A296" s="1126" t="s">
        <v>138</v>
      </c>
      <c r="B296" s="1127"/>
      <c r="C296" s="1127"/>
      <c r="D296" s="1128"/>
      <c r="E296" s="1128"/>
      <c r="F296" s="1128"/>
      <c r="G296" s="1129"/>
      <c r="H296" s="1130"/>
      <c r="I296" s="1131"/>
      <c r="J296" s="1131"/>
      <c r="K296" s="1132"/>
      <c r="L296" s="1132"/>
      <c r="M296" s="1132"/>
      <c r="N296" s="1132"/>
      <c r="O296" s="1132"/>
      <c r="P296" s="1132"/>
    </row>
    <row r="297" spans="1:26" ht="19.5">
      <c r="A297" s="1133"/>
      <c r="B297" s="1134" t="s">
        <v>139</v>
      </c>
      <c r="C297" s="1135"/>
      <c r="D297" s="1135"/>
      <c r="E297" s="1135"/>
      <c r="F297" s="1135"/>
      <c r="G297" s="1136"/>
      <c r="H297" s="412" t="s">
        <v>35</v>
      </c>
      <c r="I297" s="1137">
        <f t="shared" ref="I297:J297" ca="1" si="134">I309</f>
        <v>20</v>
      </c>
      <c r="J297" s="1137">
        <f t="shared" si="134"/>
        <v>20</v>
      </c>
      <c r="K297" s="1138">
        <f ca="1">IF(I297&gt;0,J297*100/I297,0)</f>
        <v>100</v>
      </c>
      <c r="L297" s="1139"/>
      <c r="M297" s="1139"/>
      <c r="N297" s="1139"/>
      <c r="O297" s="1139"/>
      <c r="P297" s="1139"/>
    </row>
    <row r="298" spans="1:26" ht="19.5">
      <c r="A298" s="932"/>
      <c r="B298" s="933"/>
      <c r="C298" s="934" t="s">
        <v>16</v>
      </c>
      <c r="D298" s="935" t="s">
        <v>17</v>
      </c>
      <c r="E298" s="933"/>
      <c r="F298" s="933"/>
      <c r="G298" s="936"/>
      <c r="H298" s="152" t="s">
        <v>12</v>
      </c>
      <c r="I298" s="937"/>
      <c r="J298" s="937"/>
      <c r="K298" s="938"/>
      <c r="L298" s="939">
        <f t="shared" ref="L298:N298" ca="1" si="135">L299+L300</f>
        <v>82400</v>
      </c>
      <c r="M298" s="939">
        <f t="shared" ca="1" si="135"/>
        <v>64400</v>
      </c>
      <c r="N298" s="939">
        <f t="shared" ca="1" si="135"/>
        <v>18485</v>
      </c>
      <c r="O298" s="939">
        <f t="shared" ref="O298:O306" ca="1" si="136">IF(L298&gt;0,N298*100/L298,0)</f>
        <v>22.433252427184467</v>
      </c>
      <c r="P298" s="939">
        <f t="shared" ref="P298:P306" ca="1" si="137">IF(M298&gt;0,N298*100/M298,0)</f>
        <v>28.703416149068325</v>
      </c>
      <c r="Q298" s="818"/>
      <c r="R298" s="818"/>
      <c r="S298" s="818"/>
      <c r="T298" s="818"/>
      <c r="U298" s="818"/>
      <c r="V298" s="818"/>
      <c r="W298" s="818"/>
      <c r="X298" s="818"/>
      <c r="Y298" s="818"/>
      <c r="Z298" s="818"/>
    </row>
    <row r="299" spans="1:26" ht="18.75" hidden="1">
      <c r="A299" s="940"/>
      <c r="B299" s="833"/>
      <c r="C299" s="833"/>
      <c r="D299" s="833"/>
      <c r="E299" s="834" t="s">
        <v>18</v>
      </c>
      <c r="F299" s="833"/>
      <c r="G299" s="941"/>
      <c r="H299" s="158" t="s">
        <v>12</v>
      </c>
      <c r="I299" s="836"/>
      <c r="J299" s="836"/>
      <c r="K299" s="837"/>
      <c r="L299" s="837">
        <f t="shared" ref="L299:N300" si="138">L302+L305</f>
        <v>0</v>
      </c>
      <c r="M299" s="837">
        <f t="shared" si="138"/>
        <v>0</v>
      </c>
      <c r="N299" s="837">
        <f t="shared" si="138"/>
        <v>0</v>
      </c>
      <c r="O299" s="837">
        <f t="shared" si="136"/>
        <v>0</v>
      </c>
      <c r="P299" s="837">
        <f t="shared" si="137"/>
        <v>0</v>
      </c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</row>
    <row r="300" spans="1:26" ht="18.75" hidden="1">
      <c r="A300" s="940"/>
      <c r="B300" s="833"/>
      <c r="C300" s="833"/>
      <c r="D300" s="833"/>
      <c r="E300" s="834" t="s">
        <v>19</v>
      </c>
      <c r="F300" s="833"/>
      <c r="G300" s="941"/>
      <c r="H300" s="158" t="s">
        <v>12</v>
      </c>
      <c r="I300" s="836"/>
      <c r="J300" s="836"/>
      <c r="K300" s="837"/>
      <c r="L300" s="837">
        <f t="shared" ca="1" si="138"/>
        <v>82400</v>
      </c>
      <c r="M300" s="837">
        <f t="shared" ca="1" si="138"/>
        <v>64400</v>
      </c>
      <c r="N300" s="837">
        <f t="shared" ca="1" si="138"/>
        <v>18485</v>
      </c>
      <c r="O300" s="837">
        <f t="shared" ca="1" si="136"/>
        <v>22.433252427184467</v>
      </c>
      <c r="P300" s="837">
        <f t="shared" ca="1" si="137"/>
        <v>28.703416149068325</v>
      </c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</row>
    <row r="301" spans="1:26" ht="18.75">
      <c r="A301" s="942"/>
      <c r="B301" s="827"/>
      <c r="C301" s="943"/>
      <c r="D301" s="828" t="s">
        <v>20</v>
      </c>
      <c r="E301" s="827"/>
      <c r="F301" s="827"/>
      <c r="G301" s="829"/>
      <c r="H301" s="778" t="s">
        <v>12</v>
      </c>
      <c r="I301" s="944"/>
      <c r="J301" s="944"/>
      <c r="K301" s="945"/>
      <c r="L301" s="831">
        <f t="shared" ref="L301:N301" ca="1" si="139">L302+L303</f>
        <v>82400</v>
      </c>
      <c r="M301" s="831">
        <f t="shared" ca="1" si="139"/>
        <v>64400</v>
      </c>
      <c r="N301" s="831">
        <f t="shared" ca="1" si="139"/>
        <v>18485</v>
      </c>
      <c r="O301" s="831">
        <f t="shared" ca="1" si="136"/>
        <v>22.433252427184467</v>
      </c>
      <c r="P301" s="831">
        <f t="shared" ca="1" si="137"/>
        <v>28.703416149068325</v>
      </c>
      <c r="Q301" s="818"/>
      <c r="R301" s="818"/>
      <c r="S301" s="818"/>
      <c r="T301" s="818"/>
      <c r="U301" s="818"/>
      <c r="V301" s="818"/>
      <c r="W301" s="818"/>
      <c r="X301" s="818"/>
      <c r="Y301" s="818"/>
      <c r="Z301" s="818"/>
    </row>
    <row r="302" spans="1:26" ht="19.5" hidden="1">
      <c r="A302" s="940"/>
      <c r="B302" s="833"/>
      <c r="C302" s="946"/>
      <c r="D302" s="833"/>
      <c r="E302" s="834" t="s">
        <v>36</v>
      </c>
      <c r="F302" s="833"/>
      <c r="G302" s="941"/>
      <c r="H302" s="165" t="s">
        <v>12</v>
      </c>
      <c r="I302" s="947"/>
      <c r="J302" s="947"/>
      <c r="K302" s="948"/>
      <c r="L302" s="837">
        <v>0</v>
      </c>
      <c r="M302" s="837">
        <v>0</v>
      </c>
      <c r="N302" s="837">
        <v>0</v>
      </c>
      <c r="O302" s="837">
        <f t="shared" si="136"/>
        <v>0</v>
      </c>
      <c r="P302" s="837">
        <f t="shared" si="137"/>
        <v>0</v>
      </c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</row>
    <row r="303" spans="1:26" ht="19.5" hidden="1">
      <c r="A303" s="940"/>
      <c r="B303" s="833"/>
      <c r="C303" s="946"/>
      <c r="D303" s="833"/>
      <c r="E303" s="834" t="s">
        <v>37</v>
      </c>
      <c r="F303" s="833"/>
      <c r="G303" s="941"/>
      <c r="H303" s="165" t="s">
        <v>12</v>
      </c>
      <c r="I303" s="947"/>
      <c r="J303" s="947"/>
      <c r="K303" s="948"/>
      <c r="L303" s="837">
        <f ca="1">IFERROR(__xludf.DUMMYFUNCTION("IMPORTRANGE(""https://docs.google.com/spreadsheets/d/1MeEWN-I1oV_STSDYn1IFDPWt_1FKiwhDph83XaGc0o0/edit?usp=sharing"",""งบพรบ!DS30"")"),82400)</f>
        <v>82400</v>
      </c>
      <c r="M303" s="837">
        <f ca="1">IFERROR(__xludf.DUMMYFUNCTION("IMPORTRANGE(""https://docs.google.com/spreadsheets/d/1MeEWN-I1oV_STSDYn1IFDPWt_1FKiwhDph83XaGc0o0/edit?usp=sharing"",""งบพรบ!DX30"")"),64400)</f>
        <v>64400</v>
      </c>
      <c r="N303" s="837">
        <f ca="1">IFERROR(__xludf.DUMMYFUNCTION("IMPORTRANGE(""https://docs.google.com/spreadsheets/d/1MeEWN-I1oV_STSDYn1IFDPWt_1FKiwhDph83XaGc0o0/edit?usp=sharing"",""งบพรบ!DZ30"")"),18485)</f>
        <v>18485</v>
      </c>
      <c r="O303" s="837">
        <f t="shared" ca="1" si="136"/>
        <v>22.433252427184467</v>
      </c>
      <c r="P303" s="837">
        <f t="shared" ca="1" si="137"/>
        <v>28.703416149068325</v>
      </c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</row>
    <row r="304" spans="1:26" ht="18.75">
      <c r="A304" s="942"/>
      <c r="B304" s="827"/>
      <c r="C304" s="943"/>
      <c r="D304" s="828" t="s">
        <v>21</v>
      </c>
      <c r="E304" s="827"/>
      <c r="F304" s="827"/>
      <c r="G304" s="829"/>
      <c r="H304" s="168" t="s">
        <v>12</v>
      </c>
      <c r="I304" s="944"/>
      <c r="J304" s="944"/>
      <c r="K304" s="945"/>
      <c r="L304" s="831">
        <f t="shared" ref="L304:N304" ca="1" si="140">L305+L306</f>
        <v>0</v>
      </c>
      <c r="M304" s="831">
        <f t="shared" ca="1" si="140"/>
        <v>0</v>
      </c>
      <c r="N304" s="831">
        <f t="shared" ca="1" si="140"/>
        <v>0</v>
      </c>
      <c r="O304" s="831">
        <f t="shared" ca="1" si="136"/>
        <v>0</v>
      </c>
      <c r="P304" s="831">
        <f t="shared" ca="1" si="137"/>
        <v>0</v>
      </c>
      <c r="Q304" s="818"/>
      <c r="R304" s="818"/>
      <c r="S304" s="818"/>
      <c r="T304" s="818"/>
      <c r="U304" s="818"/>
      <c r="V304" s="818"/>
      <c r="W304" s="818"/>
      <c r="X304" s="818"/>
      <c r="Y304" s="818"/>
      <c r="Z304" s="818"/>
    </row>
    <row r="305" spans="1:26" ht="19.5" hidden="1">
      <c r="A305" s="940"/>
      <c r="B305" s="833"/>
      <c r="C305" s="946"/>
      <c r="D305" s="833"/>
      <c r="E305" s="834" t="s">
        <v>18</v>
      </c>
      <c r="F305" s="833"/>
      <c r="G305" s="941"/>
      <c r="H305" s="165" t="s">
        <v>12</v>
      </c>
      <c r="I305" s="947"/>
      <c r="J305" s="947"/>
      <c r="K305" s="948"/>
      <c r="L305" s="837">
        <v>0</v>
      </c>
      <c r="M305" s="837">
        <v>0</v>
      </c>
      <c r="N305" s="837">
        <v>0</v>
      </c>
      <c r="O305" s="837">
        <f t="shared" si="136"/>
        <v>0</v>
      </c>
      <c r="P305" s="837">
        <f t="shared" si="137"/>
        <v>0</v>
      </c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</row>
    <row r="306" spans="1:26" ht="19.5" hidden="1">
      <c r="A306" s="940"/>
      <c r="B306" s="833"/>
      <c r="C306" s="946"/>
      <c r="D306" s="833"/>
      <c r="E306" s="834" t="s">
        <v>19</v>
      </c>
      <c r="F306" s="833"/>
      <c r="G306" s="941"/>
      <c r="H306" s="169" t="s">
        <v>12</v>
      </c>
      <c r="I306" s="947"/>
      <c r="J306" s="947"/>
      <c r="K306" s="948"/>
      <c r="L306" s="837">
        <f ca="1">IFERROR(__xludf.DUMMYFUNCTION("IMPORTRANGE(""https://docs.google.com/spreadsheets/d/1MeEWN-I1oV_STSDYn1IFDPWt_1FKiwhDph83XaGc0o0/edit?usp=sharing"",""งบพรบ!DV30"")"),0)</f>
        <v>0</v>
      </c>
      <c r="M306" s="837">
        <f ca="1">IFERROR(__xludf.DUMMYFUNCTION("IMPORTRANGE(""https://docs.google.com/spreadsheets/d/1MeEWN-I1oV_STSDYn1IFDPWt_1FKiwhDph83XaGc0o0/edit?usp=sharing"",""งบพรบ!DY30"")"),0)</f>
        <v>0</v>
      </c>
      <c r="N306" s="837">
        <f ca="1">IFERROR(__xludf.DUMMYFUNCTION("IMPORTRANGE(""https://docs.google.com/spreadsheets/d/1MeEWN-I1oV_STSDYn1IFDPWt_1FKiwhDph83XaGc0o0/edit?usp=sharing"",""งบพรบ!EA30"")"),0)</f>
        <v>0</v>
      </c>
      <c r="O306" s="837">
        <f t="shared" ca="1" si="136"/>
        <v>0</v>
      </c>
      <c r="P306" s="837">
        <f t="shared" ca="1" si="137"/>
        <v>0</v>
      </c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</row>
    <row r="307" spans="1:26" ht="19.5">
      <c r="A307" s="949"/>
      <c r="B307" s="950"/>
      <c r="C307" s="946" t="s">
        <v>16</v>
      </c>
      <c r="D307" s="951" t="s">
        <v>38</v>
      </c>
      <c r="E307" s="952"/>
      <c r="F307" s="952"/>
      <c r="G307" s="953"/>
      <c r="H307" s="954"/>
      <c r="I307" s="830"/>
      <c r="J307" s="830"/>
      <c r="K307" s="831"/>
      <c r="L307" s="831"/>
      <c r="M307" s="831"/>
      <c r="N307" s="831"/>
      <c r="O307" s="831"/>
      <c r="P307" s="831"/>
    </row>
    <row r="308" spans="1:26" ht="18.75">
      <c r="A308" s="949"/>
      <c r="B308" s="950"/>
      <c r="C308" s="950"/>
      <c r="D308" s="956" t="s">
        <v>140</v>
      </c>
      <c r="E308" s="956"/>
      <c r="F308" s="956"/>
      <c r="G308" s="958"/>
      <c r="H308" s="730"/>
      <c r="I308" s="830"/>
      <c r="J308" s="959">
        <v>1</v>
      </c>
      <c r="K308" s="831"/>
      <c r="L308" s="831"/>
      <c r="M308" s="831"/>
      <c r="N308" s="831"/>
      <c r="O308" s="831"/>
      <c r="P308" s="831"/>
    </row>
    <row r="309" spans="1:26" ht="18.75">
      <c r="A309" s="949"/>
      <c r="B309" s="950"/>
      <c r="C309" s="950"/>
      <c r="D309" s="956" t="s">
        <v>141</v>
      </c>
      <c r="E309" s="956"/>
      <c r="F309" s="956"/>
      <c r="G309" s="958"/>
      <c r="H309" s="730" t="s">
        <v>35</v>
      </c>
      <c r="I309" s="830">
        <f ca="1">IFERROR(__xludf.DUMMYFUNCTION("IMPORTRANGE(""https://docs.google.com/spreadsheets/d/1QqKyyYR6Q21VydFLVH3TRQUabQu_ym0Zz7PgGX0-kHA/edit?usp=sharing"",""แผน!ED30"")"),20)</f>
        <v>20</v>
      </c>
      <c r="J309" s="959">
        <v>20</v>
      </c>
      <c r="K309" s="831">
        <f t="shared" ref="K309:K312" ca="1" si="141">IF(I309&gt;0,J309*100/I309,0)</f>
        <v>100</v>
      </c>
      <c r="L309" s="831"/>
      <c r="M309" s="831"/>
      <c r="N309" s="831"/>
      <c r="O309" s="831"/>
      <c r="P309" s="831"/>
    </row>
    <row r="310" spans="1:26" ht="18.75">
      <c r="A310" s="949"/>
      <c r="B310" s="950"/>
      <c r="C310" s="950"/>
      <c r="D310" s="956" t="s">
        <v>142</v>
      </c>
      <c r="E310" s="956"/>
      <c r="F310" s="956"/>
      <c r="G310" s="958"/>
      <c r="H310" s="730" t="s">
        <v>35</v>
      </c>
      <c r="I310" s="830">
        <f ca="1">IFERROR(__xludf.DUMMYFUNCTION("IMPORTRANGE(""https://docs.google.com/spreadsheets/d/1QqKyyYR6Q21VydFLVH3TRQUabQu_ym0Zz7PgGX0-kHA/edit?usp=sharing"",""แผน!ED30"")"),20)</f>
        <v>20</v>
      </c>
      <c r="J310" s="959">
        <v>0</v>
      </c>
      <c r="K310" s="831">
        <f t="shared" ca="1" si="141"/>
        <v>0</v>
      </c>
      <c r="L310" s="831"/>
      <c r="M310" s="831"/>
      <c r="N310" s="831"/>
      <c r="O310" s="831"/>
      <c r="P310" s="831"/>
    </row>
    <row r="311" spans="1:26" ht="18.75">
      <c r="A311" s="949"/>
      <c r="B311" s="950"/>
      <c r="C311" s="950"/>
      <c r="D311" s="956" t="s">
        <v>59</v>
      </c>
      <c r="E311" s="956"/>
      <c r="F311" s="956"/>
      <c r="G311" s="958"/>
      <c r="H311" s="730" t="s">
        <v>35</v>
      </c>
      <c r="I311" s="830">
        <f ca="1">IFERROR(__xludf.DUMMYFUNCTION("IMPORTRANGE(""https://docs.google.com/spreadsheets/d/1QqKyyYR6Q21VydFLVH3TRQUabQu_ym0Zz7PgGX0-kHA/edit?usp=sharing"",""แผน!ED30"")"),20)</f>
        <v>20</v>
      </c>
      <c r="J311" s="959">
        <v>0</v>
      </c>
      <c r="K311" s="831">
        <f t="shared" ca="1" si="141"/>
        <v>0</v>
      </c>
      <c r="L311" s="831"/>
      <c r="M311" s="831"/>
      <c r="N311" s="831"/>
      <c r="O311" s="831"/>
      <c r="P311" s="831"/>
    </row>
    <row r="312" spans="1:26" ht="18.75">
      <c r="A312" s="949"/>
      <c r="B312" s="950"/>
      <c r="C312" s="950"/>
      <c r="D312" s="956" t="s">
        <v>143</v>
      </c>
      <c r="E312" s="956"/>
      <c r="F312" s="956"/>
      <c r="G312" s="958"/>
      <c r="H312" s="730" t="s">
        <v>35</v>
      </c>
      <c r="I312" s="830">
        <f ca="1">IFERROR(__xludf.DUMMYFUNCTION("IMPORTRANGE(""https://docs.google.com/spreadsheets/d/1QqKyyYR6Q21VydFLVH3TRQUabQu_ym0Zz7PgGX0-kHA/edit?usp=sharing"",""แผน!EE30"")"),4)</f>
        <v>4</v>
      </c>
      <c r="J312" s="959">
        <v>4</v>
      </c>
      <c r="K312" s="831">
        <f t="shared" ca="1" si="141"/>
        <v>100</v>
      </c>
      <c r="L312" s="831"/>
      <c r="M312" s="831"/>
      <c r="N312" s="831"/>
      <c r="O312" s="831"/>
      <c r="P312" s="831"/>
    </row>
    <row r="313" spans="1:26" ht="19.5">
      <c r="A313" s="1126" t="s">
        <v>144</v>
      </c>
      <c r="B313" s="1127"/>
      <c r="C313" s="1127"/>
      <c r="D313" s="1128"/>
      <c r="E313" s="1127"/>
      <c r="F313" s="1127"/>
      <c r="G313" s="1127"/>
      <c r="H313" s="1140"/>
      <c r="I313" s="1131"/>
      <c r="J313" s="1131"/>
      <c r="K313" s="1132"/>
      <c r="L313" s="1132"/>
      <c r="M313" s="1132"/>
      <c r="N313" s="1132"/>
      <c r="O313" s="1132"/>
      <c r="P313" s="1132"/>
    </row>
    <row r="314" spans="1:26" ht="19.5">
      <c r="A314" s="1141"/>
      <c r="B314" s="1134" t="s">
        <v>145</v>
      </c>
      <c r="C314" s="1142"/>
      <c r="D314" s="1143"/>
      <c r="E314" s="1135"/>
      <c r="F314" s="1135"/>
      <c r="G314" s="1136"/>
      <c r="H314" s="412" t="s">
        <v>146</v>
      </c>
      <c r="I314" s="1137">
        <f t="shared" ref="I314:J314" ca="1" si="142">I325</f>
        <v>1</v>
      </c>
      <c r="J314" s="1137">
        <f t="shared" si="142"/>
        <v>1</v>
      </c>
      <c r="K314" s="1138">
        <f ca="1">IF(I314&gt;0,J314*100/I314,0)</f>
        <v>100</v>
      </c>
      <c r="L314" s="1139"/>
      <c r="M314" s="1139"/>
      <c r="N314" s="1139"/>
      <c r="O314" s="1139"/>
      <c r="P314" s="1139"/>
    </row>
    <row r="315" spans="1:26" ht="19.5">
      <c r="A315" s="932"/>
      <c r="B315" s="933"/>
      <c r="C315" s="934" t="s">
        <v>16</v>
      </c>
      <c r="D315" s="935" t="s">
        <v>17</v>
      </c>
      <c r="E315" s="933"/>
      <c r="F315" s="933"/>
      <c r="G315" s="936"/>
      <c r="H315" s="152" t="s">
        <v>12</v>
      </c>
      <c r="I315" s="937"/>
      <c r="J315" s="937"/>
      <c r="K315" s="938"/>
      <c r="L315" s="939">
        <f t="shared" ref="L315:N315" ca="1" si="143">L316+L317</f>
        <v>153000</v>
      </c>
      <c r="M315" s="939">
        <f t="shared" ca="1" si="143"/>
        <v>114500</v>
      </c>
      <c r="N315" s="939">
        <f t="shared" ca="1" si="143"/>
        <v>73418.2</v>
      </c>
      <c r="O315" s="939">
        <f t="shared" ref="O315:O323" ca="1" si="144">IF(L315&gt;0,N315*100/L315,0)</f>
        <v>47.985751633986929</v>
      </c>
      <c r="P315" s="939">
        <f t="shared" ref="P315:P323" ca="1" si="145">IF(M315&gt;0,N315*100/M315,0)</f>
        <v>64.120698689956328</v>
      </c>
      <c r="Q315" s="818"/>
      <c r="R315" s="818"/>
      <c r="S315" s="818"/>
      <c r="T315" s="818"/>
      <c r="U315" s="818"/>
      <c r="V315" s="818"/>
      <c r="W315" s="818"/>
      <c r="X315" s="818"/>
      <c r="Y315" s="818"/>
      <c r="Z315" s="818"/>
    </row>
    <row r="316" spans="1:26" ht="18.75" hidden="1">
      <c r="A316" s="940"/>
      <c r="B316" s="833"/>
      <c r="C316" s="833"/>
      <c r="D316" s="833"/>
      <c r="E316" s="834" t="s">
        <v>18</v>
      </c>
      <c r="F316" s="833"/>
      <c r="G316" s="941"/>
      <c r="H316" s="158" t="s">
        <v>12</v>
      </c>
      <c r="I316" s="836"/>
      <c r="J316" s="836"/>
      <c r="K316" s="837"/>
      <c r="L316" s="837">
        <f t="shared" ref="L316:N317" si="146">L319+L322</f>
        <v>0</v>
      </c>
      <c r="M316" s="837">
        <f t="shared" si="146"/>
        <v>0</v>
      </c>
      <c r="N316" s="837">
        <f t="shared" si="146"/>
        <v>0</v>
      </c>
      <c r="O316" s="837">
        <f t="shared" si="144"/>
        <v>0</v>
      </c>
      <c r="P316" s="837">
        <f t="shared" si="145"/>
        <v>0</v>
      </c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</row>
    <row r="317" spans="1:26" ht="18.75" hidden="1">
      <c r="A317" s="940"/>
      <c r="B317" s="833"/>
      <c r="C317" s="833"/>
      <c r="D317" s="833"/>
      <c r="E317" s="834" t="s">
        <v>19</v>
      </c>
      <c r="F317" s="833"/>
      <c r="G317" s="941"/>
      <c r="H317" s="158" t="s">
        <v>12</v>
      </c>
      <c r="I317" s="836"/>
      <c r="J317" s="836"/>
      <c r="K317" s="837"/>
      <c r="L317" s="837">
        <f t="shared" ca="1" si="146"/>
        <v>153000</v>
      </c>
      <c r="M317" s="837">
        <f t="shared" ca="1" si="146"/>
        <v>114500</v>
      </c>
      <c r="N317" s="837">
        <f t="shared" ca="1" si="146"/>
        <v>73418.2</v>
      </c>
      <c r="O317" s="837">
        <f t="shared" ca="1" si="144"/>
        <v>47.985751633986929</v>
      </c>
      <c r="P317" s="837">
        <f t="shared" ca="1" si="145"/>
        <v>64.120698689956328</v>
      </c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</row>
    <row r="318" spans="1:26" ht="18.75">
      <c r="A318" s="942"/>
      <c r="B318" s="827"/>
      <c r="C318" s="943"/>
      <c r="D318" s="828" t="s">
        <v>20</v>
      </c>
      <c r="E318" s="827"/>
      <c r="F318" s="827"/>
      <c r="G318" s="829"/>
      <c r="H318" s="778" t="s">
        <v>12</v>
      </c>
      <c r="I318" s="944"/>
      <c r="J318" s="944"/>
      <c r="K318" s="945"/>
      <c r="L318" s="831">
        <f t="shared" ref="L318:N318" ca="1" si="147">L319+L320</f>
        <v>153000</v>
      </c>
      <c r="M318" s="831">
        <f t="shared" ca="1" si="147"/>
        <v>114500</v>
      </c>
      <c r="N318" s="831">
        <f t="shared" ca="1" si="147"/>
        <v>73418.2</v>
      </c>
      <c r="O318" s="831">
        <f t="shared" ca="1" si="144"/>
        <v>47.985751633986929</v>
      </c>
      <c r="P318" s="831">
        <f t="shared" ca="1" si="145"/>
        <v>64.120698689956328</v>
      </c>
      <c r="Q318" s="818"/>
      <c r="R318" s="818"/>
      <c r="S318" s="818"/>
      <c r="T318" s="818"/>
      <c r="U318" s="818"/>
      <c r="V318" s="818"/>
      <c r="W318" s="818"/>
      <c r="X318" s="818"/>
      <c r="Y318" s="818"/>
      <c r="Z318" s="818"/>
    </row>
    <row r="319" spans="1:26" ht="19.5" hidden="1">
      <c r="A319" s="940"/>
      <c r="B319" s="833"/>
      <c r="C319" s="946"/>
      <c r="D319" s="833"/>
      <c r="E319" s="834" t="s">
        <v>36</v>
      </c>
      <c r="F319" s="833"/>
      <c r="G319" s="941"/>
      <c r="H319" s="165" t="s">
        <v>12</v>
      </c>
      <c r="I319" s="947"/>
      <c r="J319" s="947"/>
      <c r="K319" s="948"/>
      <c r="L319" s="837">
        <v>0</v>
      </c>
      <c r="M319" s="837">
        <v>0</v>
      </c>
      <c r="N319" s="837">
        <v>0</v>
      </c>
      <c r="O319" s="837">
        <f t="shared" si="144"/>
        <v>0</v>
      </c>
      <c r="P319" s="837">
        <f t="shared" si="145"/>
        <v>0</v>
      </c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</row>
    <row r="320" spans="1:26" ht="19.5" hidden="1">
      <c r="A320" s="940"/>
      <c r="B320" s="833"/>
      <c r="C320" s="946"/>
      <c r="D320" s="833"/>
      <c r="E320" s="834" t="s">
        <v>37</v>
      </c>
      <c r="F320" s="833"/>
      <c r="G320" s="941"/>
      <c r="H320" s="165" t="s">
        <v>12</v>
      </c>
      <c r="I320" s="947"/>
      <c r="J320" s="947"/>
      <c r="K320" s="948"/>
      <c r="L320" s="837">
        <f ca="1">IFERROR(__xludf.DUMMYFUNCTION("IMPORTRANGE(""https://docs.google.com/spreadsheets/d/1MeEWN-I1oV_STSDYn1IFDPWt_1FKiwhDph83XaGc0o0/edit?usp=sharing"",""งบพรบ!EC30"")"),153000)</f>
        <v>153000</v>
      </c>
      <c r="M320" s="837">
        <f ca="1">IFERROR(__xludf.DUMMYFUNCTION("IMPORTRANGE(""https://docs.google.com/spreadsheets/d/1MeEWN-I1oV_STSDYn1IFDPWt_1FKiwhDph83XaGc0o0/edit?usp=sharing"",""งบพรบ!EH30"")"),114500)</f>
        <v>114500</v>
      </c>
      <c r="N320" s="837">
        <f ca="1">IFERROR(__xludf.DUMMYFUNCTION("IMPORTRANGE(""https://docs.google.com/spreadsheets/d/1MeEWN-I1oV_STSDYn1IFDPWt_1FKiwhDph83XaGc0o0/edit?usp=sharing"",""งบพรบ!EJ30"")"),73418.2)</f>
        <v>73418.2</v>
      </c>
      <c r="O320" s="837">
        <f t="shared" ca="1" si="144"/>
        <v>47.985751633986929</v>
      </c>
      <c r="P320" s="837">
        <f t="shared" ca="1" si="145"/>
        <v>64.120698689956328</v>
      </c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</row>
    <row r="321" spans="1:26" ht="18.75">
      <c r="A321" s="942"/>
      <c r="B321" s="827"/>
      <c r="C321" s="943"/>
      <c r="D321" s="828" t="s">
        <v>21</v>
      </c>
      <c r="E321" s="827"/>
      <c r="F321" s="827"/>
      <c r="G321" s="829"/>
      <c r="H321" s="168" t="s">
        <v>12</v>
      </c>
      <c r="I321" s="944"/>
      <c r="J321" s="944"/>
      <c r="K321" s="945"/>
      <c r="L321" s="831">
        <f t="shared" ref="L321:N321" ca="1" si="148">L322+L323</f>
        <v>0</v>
      </c>
      <c r="M321" s="831">
        <f t="shared" ca="1" si="148"/>
        <v>0</v>
      </c>
      <c r="N321" s="831">
        <f t="shared" ca="1" si="148"/>
        <v>0</v>
      </c>
      <c r="O321" s="831">
        <f t="shared" ca="1" si="144"/>
        <v>0</v>
      </c>
      <c r="P321" s="831">
        <f t="shared" ca="1" si="145"/>
        <v>0</v>
      </c>
      <c r="Q321" s="818"/>
      <c r="R321" s="818"/>
      <c r="S321" s="818"/>
      <c r="T321" s="818"/>
      <c r="U321" s="818"/>
      <c r="V321" s="818"/>
      <c r="W321" s="818"/>
      <c r="X321" s="818"/>
      <c r="Y321" s="818"/>
      <c r="Z321" s="818"/>
    </row>
    <row r="322" spans="1:26" ht="19.5" hidden="1">
      <c r="A322" s="940"/>
      <c r="B322" s="833"/>
      <c r="C322" s="946"/>
      <c r="D322" s="833"/>
      <c r="E322" s="834" t="s">
        <v>18</v>
      </c>
      <c r="F322" s="833"/>
      <c r="G322" s="941"/>
      <c r="H322" s="165" t="s">
        <v>12</v>
      </c>
      <c r="I322" s="947"/>
      <c r="J322" s="947"/>
      <c r="K322" s="948"/>
      <c r="L322" s="837">
        <v>0</v>
      </c>
      <c r="M322" s="837">
        <v>0</v>
      </c>
      <c r="N322" s="837">
        <v>0</v>
      </c>
      <c r="O322" s="837">
        <f t="shared" si="144"/>
        <v>0</v>
      </c>
      <c r="P322" s="837">
        <f t="shared" si="145"/>
        <v>0</v>
      </c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</row>
    <row r="323" spans="1:26" ht="19.5" hidden="1">
      <c r="A323" s="940"/>
      <c r="B323" s="833"/>
      <c r="C323" s="946"/>
      <c r="D323" s="833"/>
      <c r="E323" s="834" t="s">
        <v>19</v>
      </c>
      <c r="F323" s="833"/>
      <c r="G323" s="941"/>
      <c r="H323" s="169" t="s">
        <v>12</v>
      </c>
      <c r="I323" s="947"/>
      <c r="J323" s="947"/>
      <c r="K323" s="948"/>
      <c r="L323" s="837">
        <f ca="1">IFERROR(__xludf.DUMMYFUNCTION("IMPORTRANGE(""https://docs.google.com/spreadsheets/d/1MeEWN-I1oV_STSDYn1IFDPWt_1FKiwhDph83XaGc0o0/edit?usp=sharing"",""งบพรบ!EF30"")"),0)</f>
        <v>0</v>
      </c>
      <c r="M323" s="837">
        <f ca="1">IFERROR(__xludf.DUMMYFUNCTION("IMPORTRANGE(""https://docs.google.com/spreadsheets/d/1MeEWN-I1oV_STSDYn1IFDPWt_1FKiwhDph83XaGc0o0/edit?usp=sharing"",""งบพรบ!EI30"")"),0)</f>
        <v>0</v>
      </c>
      <c r="N323" s="837">
        <f ca="1">IFERROR(__xludf.DUMMYFUNCTION("IMPORTRANGE(""https://docs.google.com/spreadsheets/d/1MeEWN-I1oV_STSDYn1IFDPWt_1FKiwhDph83XaGc0o0/edit?usp=sharing"",""งบพรบ!EK30"")"),0)</f>
        <v>0</v>
      </c>
      <c r="O323" s="837">
        <f t="shared" ca="1" si="144"/>
        <v>0</v>
      </c>
      <c r="P323" s="837">
        <f t="shared" ca="1" si="145"/>
        <v>0</v>
      </c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</row>
    <row r="324" spans="1:26" ht="19.5">
      <c r="A324" s="949"/>
      <c r="B324" s="950"/>
      <c r="C324" s="946" t="s">
        <v>16</v>
      </c>
      <c r="D324" s="951" t="s">
        <v>38</v>
      </c>
      <c r="E324" s="952"/>
      <c r="F324" s="952"/>
      <c r="G324" s="953"/>
      <c r="H324" s="954"/>
      <c r="I324" s="944"/>
      <c r="J324" s="830"/>
      <c r="K324" s="831"/>
      <c r="L324" s="831"/>
      <c r="M324" s="831"/>
      <c r="N324" s="831"/>
      <c r="O324" s="945"/>
      <c r="P324" s="945"/>
    </row>
    <row r="325" spans="1:26" ht="18.75">
      <c r="A325" s="949"/>
      <c r="B325" s="950"/>
      <c r="C325" s="950"/>
      <c r="D325" s="955" t="s">
        <v>147</v>
      </c>
      <c r="E325" s="957"/>
      <c r="F325" s="956"/>
      <c r="G325" s="958"/>
      <c r="H325" s="590" t="s">
        <v>146</v>
      </c>
      <c r="I325" s="830">
        <f ca="1">IFERROR(__xludf.DUMMYFUNCTION("IMPORTRANGE(""https://docs.google.com/spreadsheets/d/1QqKyyYR6Q21VydFLVH3TRQUabQu_ym0Zz7PgGX0-kHA/edit?usp=sharing"",""แผน!EF30"")"),1)</f>
        <v>1</v>
      </c>
      <c r="J325" s="959">
        <v>1</v>
      </c>
      <c r="K325" s="831">
        <f ca="1">IF(I325&gt;0,J325*100/I325,0)</f>
        <v>100</v>
      </c>
      <c r="L325" s="831"/>
      <c r="M325" s="831"/>
      <c r="N325" s="831"/>
      <c r="O325" s="945"/>
      <c r="P325" s="945"/>
    </row>
    <row r="326" spans="1:26" ht="19.5">
      <c r="A326" s="1126" t="s">
        <v>148</v>
      </c>
      <c r="B326" s="1127"/>
      <c r="C326" s="1127"/>
      <c r="D326" s="1128"/>
      <c r="E326" s="1127"/>
      <c r="F326" s="1127"/>
      <c r="G326" s="1127"/>
      <c r="H326" s="1140"/>
      <c r="I326" s="1131"/>
      <c r="J326" s="1131"/>
      <c r="K326" s="1132"/>
      <c r="L326" s="1132"/>
      <c r="M326" s="1132"/>
      <c r="N326" s="1132"/>
      <c r="O326" s="1132"/>
      <c r="P326" s="1132"/>
    </row>
    <row r="327" spans="1:26" ht="19.5">
      <c r="A327" s="1133"/>
      <c r="B327" s="1134" t="s">
        <v>149</v>
      </c>
      <c r="C327" s="1143"/>
      <c r="D327" s="1135"/>
      <c r="E327" s="1135"/>
      <c r="F327" s="1135"/>
      <c r="G327" s="1136"/>
      <c r="H327" s="412" t="s">
        <v>35</v>
      </c>
      <c r="I327" s="1137">
        <f ca="1">IFERROR(__xludf.DUMMYFUNCTION("IMPORTRANGE(""https://docs.google.com/spreadsheets/d/1QqKyyYR6Q21VydFLVH3TRQUabQu_ym0Zz7PgGX0-kHA/edit?usp=sharing"",""แผน!EG30"")"),2500)</f>
        <v>2500</v>
      </c>
      <c r="J327" s="1137">
        <f ca="1">J338+J341+J342+J343</f>
        <v>5338</v>
      </c>
      <c r="K327" s="1138">
        <f ca="1">IF(I327&gt;0,J327*100/I327,0)</f>
        <v>213.52</v>
      </c>
      <c r="L327" s="1139"/>
      <c r="M327" s="1139"/>
      <c r="N327" s="1139"/>
      <c r="O327" s="1139"/>
      <c r="P327" s="1139"/>
    </row>
    <row r="328" spans="1:26" ht="19.5">
      <c r="A328" s="932"/>
      <c r="B328" s="933"/>
      <c r="C328" s="934" t="s">
        <v>16</v>
      </c>
      <c r="D328" s="935" t="s">
        <v>17</v>
      </c>
      <c r="E328" s="933"/>
      <c r="F328" s="933"/>
      <c r="G328" s="936"/>
      <c r="H328" s="152" t="s">
        <v>12</v>
      </c>
      <c r="I328" s="937"/>
      <c r="J328" s="937"/>
      <c r="K328" s="938"/>
      <c r="L328" s="939">
        <f t="shared" ref="L328:N328" ca="1" si="149">L329+L330</f>
        <v>170000</v>
      </c>
      <c r="M328" s="939">
        <f t="shared" ca="1" si="149"/>
        <v>130000</v>
      </c>
      <c r="N328" s="939">
        <f t="shared" ca="1" si="149"/>
        <v>57188</v>
      </c>
      <c r="O328" s="939">
        <f t="shared" ref="O328:O336" ca="1" si="150">IF(L328&gt;0,N328*100/L328,0)</f>
        <v>33.64</v>
      </c>
      <c r="P328" s="939">
        <f t="shared" ref="P328:P336" ca="1" si="151">IF(M328&gt;0,N328*100/M328,0)</f>
        <v>43.990769230769232</v>
      </c>
      <c r="Q328" s="818"/>
      <c r="R328" s="818"/>
      <c r="S328" s="818"/>
      <c r="T328" s="818"/>
      <c r="U328" s="818"/>
      <c r="V328" s="818"/>
      <c r="W328" s="818"/>
      <c r="X328" s="818"/>
      <c r="Y328" s="818"/>
      <c r="Z328" s="818"/>
    </row>
    <row r="329" spans="1:26" ht="18.75" hidden="1">
      <c r="A329" s="940"/>
      <c r="B329" s="833"/>
      <c r="C329" s="833"/>
      <c r="D329" s="833"/>
      <c r="E329" s="834" t="s">
        <v>18</v>
      </c>
      <c r="F329" s="833"/>
      <c r="G329" s="941"/>
      <c r="H329" s="158" t="s">
        <v>12</v>
      </c>
      <c r="I329" s="836"/>
      <c r="J329" s="836"/>
      <c r="K329" s="837"/>
      <c r="L329" s="837">
        <f t="shared" ref="L329:N330" si="152">L332+L335</f>
        <v>0</v>
      </c>
      <c r="M329" s="837">
        <f t="shared" si="152"/>
        <v>0</v>
      </c>
      <c r="N329" s="837">
        <f t="shared" si="152"/>
        <v>0</v>
      </c>
      <c r="O329" s="837">
        <f t="shared" si="150"/>
        <v>0</v>
      </c>
      <c r="P329" s="837">
        <f t="shared" si="151"/>
        <v>0</v>
      </c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</row>
    <row r="330" spans="1:26" ht="18.75" hidden="1">
      <c r="A330" s="940"/>
      <c r="B330" s="833"/>
      <c r="C330" s="833"/>
      <c r="D330" s="833"/>
      <c r="E330" s="834" t="s">
        <v>19</v>
      </c>
      <c r="F330" s="833"/>
      <c r="G330" s="941"/>
      <c r="H330" s="158" t="s">
        <v>12</v>
      </c>
      <c r="I330" s="836"/>
      <c r="J330" s="836"/>
      <c r="K330" s="837"/>
      <c r="L330" s="837">
        <f t="shared" ca="1" si="152"/>
        <v>170000</v>
      </c>
      <c r="M330" s="837">
        <f t="shared" ca="1" si="152"/>
        <v>130000</v>
      </c>
      <c r="N330" s="837">
        <f t="shared" ca="1" si="152"/>
        <v>57188</v>
      </c>
      <c r="O330" s="837">
        <f t="shared" ca="1" si="150"/>
        <v>33.64</v>
      </c>
      <c r="P330" s="837">
        <f t="shared" ca="1" si="151"/>
        <v>43.990769230769232</v>
      </c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</row>
    <row r="331" spans="1:26" ht="18.75">
      <c r="A331" s="942"/>
      <c r="B331" s="827"/>
      <c r="C331" s="943"/>
      <c r="D331" s="828" t="s">
        <v>20</v>
      </c>
      <c r="E331" s="827"/>
      <c r="F331" s="827"/>
      <c r="G331" s="829"/>
      <c r="H331" s="778" t="s">
        <v>12</v>
      </c>
      <c r="I331" s="944"/>
      <c r="J331" s="944"/>
      <c r="K331" s="945"/>
      <c r="L331" s="831">
        <f t="shared" ref="L331:N331" ca="1" si="153">L332+L333</f>
        <v>170000</v>
      </c>
      <c r="M331" s="831">
        <f t="shared" ca="1" si="153"/>
        <v>130000</v>
      </c>
      <c r="N331" s="831">
        <f t="shared" ca="1" si="153"/>
        <v>57188</v>
      </c>
      <c r="O331" s="831">
        <f t="shared" ca="1" si="150"/>
        <v>33.64</v>
      </c>
      <c r="P331" s="831">
        <f t="shared" ca="1" si="151"/>
        <v>43.990769230769232</v>
      </c>
      <c r="Q331" s="818"/>
      <c r="R331" s="818"/>
      <c r="S331" s="818"/>
      <c r="T331" s="818"/>
      <c r="U331" s="818"/>
      <c r="V331" s="818"/>
      <c r="W331" s="818"/>
      <c r="X331" s="818"/>
      <c r="Y331" s="818"/>
      <c r="Z331" s="818"/>
    </row>
    <row r="332" spans="1:26" ht="19.5" hidden="1">
      <c r="A332" s="940"/>
      <c r="B332" s="833"/>
      <c r="C332" s="946"/>
      <c r="D332" s="833"/>
      <c r="E332" s="834" t="s">
        <v>36</v>
      </c>
      <c r="F332" s="833"/>
      <c r="G332" s="941"/>
      <c r="H332" s="165" t="s">
        <v>12</v>
      </c>
      <c r="I332" s="947"/>
      <c r="J332" s="947"/>
      <c r="K332" s="948"/>
      <c r="L332" s="837">
        <v>0</v>
      </c>
      <c r="M332" s="837">
        <v>0</v>
      </c>
      <c r="N332" s="837">
        <v>0</v>
      </c>
      <c r="O332" s="837">
        <f t="shared" si="150"/>
        <v>0</v>
      </c>
      <c r="P332" s="837">
        <f t="shared" si="151"/>
        <v>0</v>
      </c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</row>
    <row r="333" spans="1:26" ht="19.5" hidden="1">
      <c r="A333" s="940"/>
      <c r="B333" s="833"/>
      <c r="C333" s="946"/>
      <c r="D333" s="833"/>
      <c r="E333" s="834" t="s">
        <v>37</v>
      </c>
      <c r="F333" s="833"/>
      <c r="G333" s="941"/>
      <c r="H333" s="165" t="s">
        <v>12</v>
      </c>
      <c r="I333" s="947"/>
      <c r="J333" s="947"/>
      <c r="K333" s="948"/>
      <c r="L333" s="837">
        <f ca="1">IFERROR(__xludf.DUMMYFUNCTION("IMPORTRANGE(""https://docs.google.com/spreadsheets/d/1MeEWN-I1oV_STSDYn1IFDPWt_1FKiwhDph83XaGc0o0/edit?usp=sharing"",""งบพรบ!EM30"")"),170000)</f>
        <v>170000</v>
      </c>
      <c r="M333" s="837">
        <f ca="1">IFERROR(__xludf.DUMMYFUNCTION("IMPORTRANGE(""https://docs.google.com/spreadsheets/d/1MeEWN-I1oV_STSDYn1IFDPWt_1FKiwhDph83XaGc0o0/edit?usp=sharing"",""งบพรบ!ER30"")"),130000)</f>
        <v>130000</v>
      </c>
      <c r="N333" s="837">
        <f ca="1">IFERROR(__xludf.DUMMYFUNCTION("IMPORTRANGE(""https://docs.google.com/spreadsheets/d/1MeEWN-I1oV_STSDYn1IFDPWt_1FKiwhDph83XaGc0o0/edit?usp=sharing"",""งบพรบ!ET30"")"),57188)</f>
        <v>57188</v>
      </c>
      <c r="O333" s="837">
        <f t="shared" ca="1" si="150"/>
        <v>33.64</v>
      </c>
      <c r="P333" s="837">
        <f t="shared" ca="1" si="151"/>
        <v>43.990769230769232</v>
      </c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</row>
    <row r="334" spans="1:26" ht="18.75">
      <c r="A334" s="942"/>
      <c r="B334" s="827"/>
      <c r="C334" s="943"/>
      <c r="D334" s="828" t="s">
        <v>21</v>
      </c>
      <c r="E334" s="827"/>
      <c r="F334" s="827"/>
      <c r="G334" s="829"/>
      <c r="H334" s="168" t="s">
        <v>12</v>
      </c>
      <c r="I334" s="944"/>
      <c r="J334" s="944"/>
      <c r="K334" s="945"/>
      <c r="L334" s="831">
        <f t="shared" ref="L334:N334" ca="1" si="154">L335+L336</f>
        <v>0</v>
      </c>
      <c r="M334" s="831">
        <f t="shared" ca="1" si="154"/>
        <v>0</v>
      </c>
      <c r="N334" s="831">
        <f t="shared" ca="1" si="154"/>
        <v>0</v>
      </c>
      <c r="O334" s="831">
        <f t="shared" ca="1" si="150"/>
        <v>0</v>
      </c>
      <c r="P334" s="831">
        <f t="shared" ca="1" si="151"/>
        <v>0</v>
      </c>
      <c r="Q334" s="818"/>
      <c r="R334" s="818"/>
      <c r="S334" s="818"/>
      <c r="T334" s="818"/>
      <c r="U334" s="818"/>
      <c r="V334" s="818"/>
      <c r="W334" s="818"/>
      <c r="X334" s="818"/>
      <c r="Y334" s="818"/>
      <c r="Z334" s="818"/>
    </row>
    <row r="335" spans="1:26" ht="19.5" hidden="1">
      <c r="A335" s="940"/>
      <c r="B335" s="833"/>
      <c r="C335" s="946"/>
      <c r="D335" s="833"/>
      <c r="E335" s="834" t="s">
        <v>18</v>
      </c>
      <c r="F335" s="833"/>
      <c r="G335" s="941"/>
      <c r="H335" s="165" t="s">
        <v>12</v>
      </c>
      <c r="I335" s="947"/>
      <c r="J335" s="947"/>
      <c r="K335" s="948"/>
      <c r="L335" s="837">
        <v>0</v>
      </c>
      <c r="M335" s="837">
        <v>0</v>
      </c>
      <c r="N335" s="837">
        <v>0</v>
      </c>
      <c r="O335" s="837">
        <f t="shared" si="150"/>
        <v>0</v>
      </c>
      <c r="P335" s="837">
        <f t="shared" si="151"/>
        <v>0</v>
      </c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</row>
    <row r="336" spans="1:26" ht="19.5" hidden="1">
      <c r="A336" s="940"/>
      <c r="B336" s="833"/>
      <c r="C336" s="946"/>
      <c r="D336" s="833"/>
      <c r="E336" s="834" t="s">
        <v>19</v>
      </c>
      <c r="F336" s="833"/>
      <c r="G336" s="941"/>
      <c r="H336" s="169" t="s">
        <v>12</v>
      </c>
      <c r="I336" s="947"/>
      <c r="J336" s="947"/>
      <c r="K336" s="948"/>
      <c r="L336" s="837">
        <f ca="1">IFERROR(__xludf.DUMMYFUNCTION("IMPORTRANGE(""https://docs.google.com/spreadsheets/d/1MeEWN-I1oV_STSDYn1IFDPWt_1FKiwhDph83XaGc0o0/edit?usp=sharing"",""งบพรบ!EP30"")"),0)</f>
        <v>0</v>
      </c>
      <c r="M336" s="837">
        <f ca="1">IFERROR(__xludf.DUMMYFUNCTION("IMPORTRANGE(""https://docs.google.com/spreadsheets/d/1MeEWN-I1oV_STSDYn1IFDPWt_1FKiwhDph83XaGc0o0/edit?usp=sharing"",""งบพรบ!ES30"")"),0)</f>
        <v>0</v>
      </c>
      <c r="N336" s="837">
        <f ca="1">IFERROR(__xludf.DUMMYFUNCTION("IMPORTRANGE(""https://docs.google.com/spreadsheets/d/1MeEWN-I1oV_STSDYn1IFDPWt_1FKiwhDph83XaGc0o0/edit?usp=sharing"",""งบพรบ!EU30"")"),0)</f>
        <v>0</v>
      </c>
      <c r="O336" s="837">
        <f t="shared" ca="1" si="150"/>
        <v>0</v>
      </c>
      <c r="P336" s="837">
        <f t="shared" ca="1" si="151"/>
        <v>0</v>
      </c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</row>
    <row r="337" spans="1:26" ht="19.5">
      <c r="A337" s="949"/>
      <c r="B337" s="950"/>
      <c r="C337" s="946" t="s">
        <v>16</v>
      </c>
      <c r="D337" s="951" t="s">
        <v>38</v>
      </c>
      <c r="E337" s="952"/>
      <c r="F337" s="952"/>
      <c r="G337" s="953"/>
      <c r="H337" s="954"/>
      <c r="I337" s="944"/>
      <c r="J337" s="830"/>
      <c r="K337" s="831"/>
      <c r="L337" s="831"/>
      <c r="M337" s="831"/>
      <c r="N337" s="831"/>
      <c r="O337" s="945"/>
      <c r="P337" s="945"/>
    </row>
    <row r="338" spans="1:26" ht="18.75">
      <c r="A338" s="1032"/>
      <c r="B338" s="827"/>
      <c r="C338" s="1030"/>
      <c r="D338" s="956" t="s">
        <v>150</v>
      </c>
      <c r="E338" s="950"/>
      <c r="F338" s="827"/>
      <c r="G338" s="829"/>
      <c r="H338" s="277" t="s">
        <v>35</v>
      </c>
      <c r="I338" s="830">
        <f ca="1">IFERROR(__xludf.DUMMYFUNCTION("IMPORTRANGE(""https://docs.google.com/spreadsheets/d/1QqKyyYR6Q21VydFLVH3TRQUabQu_ym0Zz7PgGX0-kHA/edit?usp=sharing"",""แผน!EG30"")"),2500)</f>
        <v>2500</v>
      </c>
      <c r="J338" s="830">
        <f ca="1">IFERROR(__xludf.DUMMYFUNCTION("IMPORTRANGE(""https://docs.google.com/spreadsheets/d/1kVcqe37tkHyjCSG3S0O1AXqVkqjo8mSIZil3BcpIysc/edit?usp=sharing"",""ศูนย์!D30"")"),5021)</f>
        <v>5021</v>
      </c>
      <c r="K338" s="831">
        <f ca="1">IF(I338&gt;0,J338*100/I338,0)</f>
        <v>200.84</v>
      </c>
      <c r="L338" s="831"/>
      <c r="M338" s="831"/>
      <c r="N338" s="831"/>
      <c r="O338" s="831"/>
      <c r="P338" s="831"/>
    </row>
    <row r="339" spans="1:26" ht="18.75">
      <c r="A339" s="1032"/>
      <c r="B339" s="827"/>
      <c r="C339" s="1030"/>
      <c r="D339" s="956" t="s">
        <v>151</v>
      </c>
      <c r="E339" s="950"/>
      <c r="F339" s="827"/>
      <c r="G339" s="829"/>
      <c r="H339" s="277"/>
      <c r="I339" s="830"/>
      <c r="J339" s="830"/>
      <c r="K339" s="831"/>
      <c r="L339" s="831"/>
      <c r="M339" s="831"/>
      <c r="N339" s="831"/>
      <c r="O339" s="831"/>
      <c r="P339" s="831"/>
    </row>
    <row r="340" spans="1:26" ht="18.75">
      <c r="A340" s="1032"/>
      <c r="B340" s="827"/>
      <c r="C340" s="1030"/>
      <c r="D340" s="957"/>
      <c r="E340" s="956" t="s">
        <v>152</v>
      </c>
      <c r="F340" s="827"/>
      <c r="G340" s="829"/>
      <c r="H340" s="277" t="s">
        <v>153</v>
      </c>
      <c r="I340" s="830">
        <f ca="1">IFERROR(__xludf.DUMMYFUNCTION("IMPORTRANGE(""https://docs.google.com/spreadsheets/d/1QqKyyYR6Q21VydFLVH3TRQUabQu_ym0Zz7PgGX0-kHA/edit?usp=sharing"",""แผน!EH30"")"),6)</f>
        <v>6</v>
      </c>
      <c r="J340" s="830">
        <f ca="1">IFERROR(__xludf.DUMMYFUNCTION("IMPORTRANGE(""https://docs.google.com/spreadsheets/d/1kVcqe37tkHyjCSG3S0O1AXqVkqjo8mSIZil3BcpIysc/edit?usp=sharing"",""ศูนย์!E30"")"),3)</f>
        <v>3</v>
      </c>
      <c r="K340" s="831">
        <f ca="1">IF(I340&gt;0,J340*100/I340,0)</f>
        <v>50</v>
      </c>
      <c r="L340" s="831"/>
      <c r="M340" s="831"/>
      <c r="N340" s="831"/>
      <c r="O340" s="831"/>
      <c r="P340" s="831"/>
    </row>
    <row r="341" spans="1:26" ht="18.75">
      <c r="A341" s="1032"/>
      <c r="B341" s="827"/>
      <c r="C341" s="1030"/>
      <c r="D341" s="957"/>
      <c r="E341" s="956" t="s">
        <v>154</v>
      </c>
      <c r="F341" s="827"/>
      <c r="G341" s="829"/>
      <c r="H341" s="277" t="s">
        <v>35</v>
      </c>
      <c r="I341" s="830"/>
      <c r="J341" s="830">
        <f ca="1">IFERROR(__xludf.DUMMYFUNCTION("IMPORTRANGE(""https://docs.google.com/spreadsheets/d/1kVcqe37tkHyjCSG3S0O1AXqVkqjo8mSIZil3BcpIysc/edit?usp=sharing"",""ศูนย์!F30"")"),317)</f>
        <v>317</v>
      </c>
      <c r="K341" s="831"/>
      <c r="L341" s="831"/>
      <c r="M341" s="831"/>
      <c r="N341" s="831"/>
      <c r="O341" s="831"/>
      <c r="P341" s="831"/>
    </row>
    <row r="342" spans="1:26" ht="18.75">
      <c r="A342" s="1032"/>
      <c r="B342" s="827"/>
      <c r="C342" s="1030"/>
      <c r="D342" s="956" t="s">
        <v>155</v>
      </c>
      <c r="E342" s="957"/>
      <c r="F342" s="957"/>
      <c r="G342" s="829"/>
      <c r="H342" s="277" t="s">
        <v>35</v>
      </c>
      <c r="I342" s="830"/>
      <c r="J342" s="830">
        <f ca="1">IFERROR(__xludf.DUMMYFUNCTION("IMPORTRANGE(""https://docs.google.com/spreadsheets/d/1kVcqe37tkHyjCSG3S0O1AXqVkqjo8mSIZil3BcpIysc/edit?usp=sharing"",""ศูนย์!G30"")"),0)</f>
        <v>0</v>
      </c>
      <c r="K342" s="831"/>
      <c r="L342" s="831"/>
      <c r="M342" s="831"/>
      <c r="N342" s="831"/>
      <c r="O342" s="831"/>
      <c r="P342" s="831"/>
    </row>
    <row r="343" spans="1:26" ht="18.75">
      <c r="A343" s="1032"/>
      <c r="B343" s="827"/>
      <c r="C343" s="1030"/>
      <c r="D343" s="956" t="s">
        <v>156</v>
      </c>
      <c r="E343" s="957"/>
      <c r="F343" s="957"/>
      <c r="G343" s="829"/>
      <c r="H343" s="277" t="s">
        <v>35</v>
      </c>
      <c r="I343" s="830"/>
      <c r="J343" s="830">
        <f ca="1">IFERROR(__xludf.DUMMYFUNCTION("IMPORTRANGE(""https://docs.google.com/spreadsheets/d/1kVcqe37tkHyjCSG3S0O1AXqVkqjo8mSIZil3BcpIysc/edit?usp=sharing"",""ศูนย์!H30"")"),0)</f>
        <v>0</v>
      </c>
      <c r="K343" s="831"/>
      <c r="L343" s="831"/>
      <c r="M343" s="831"/>
      <c r="N343" s="831"/>
      <c r="O343" s="831"/>
      <c r="P343" s="831"/>
    </row>
    <row r="344" spans="1:26" ht="19.5">
      <c r="A344" s="1133"/>
      <c r="B344" s="1134" t="s">
        <v>157</v>
      </c>
      <c r="C344" s="1143"/>
      <c r="D344" s="1135"/>
      <c r="E344" s="1135"/>
      <c r="F344" s="1135"/>
      <c r="G344" s="1136"/>
      <c r="H344" s="412"/>
      <c r="I344" s="1144"/>
      <c r="J344" s="1144"/>
      <c r="K344" s="1139"/>
      <c r="L344" s="1139"/>
      <c r="M344" s="1139"/>
      <c r="N344" s="1139"/>
      <c r="O344" s="1139"/>
      <c r="P344" s="1139"/>
    </row>
    <row r="345" spans="1:26" ht="19.5">
      <c r="A345" s="932"/>
      <c r="B345" s="933"/>
      <c r="C345" s="934" t="s">
        <v>16</v>
      </c>
      <c r="D345" s="935" t="s">
        <v>17</v>
      </c>
      <c r="E345" s="933"/>
      <c r="F345" s="933"/>
      <c r="G345" s="936"/>
      <c r="H345" s="152" t="s">
        <v>12</v>
      </c>
      <c r="I345" s="937"/>
      <c r="J345" s="937"/>
      <c r="K345" s="938"/>
      <c r="L345" s="939">
        <f t="shared" ref="L345:N345" ca="1" si="155">L346+L347</f>
        <v>668820</v>
      </c>
      <c r="M345" s="939">
        <f t="shared" ca="1" si="155"/>
        <v>583440</v>
      </c>
      <c r="N345" s="939">
        <f t="shared" ca="1" si="155"/>
        <v>330601</v>
      </c>
      <c r="O345" s="939">
        <f t="shared" ref="O345:O353" ca="1" si="156">IF(L345&gt;0,N345*100/L345,0)</f>
        <v>49.430489518854102</v>
      </c>
      <c r="P345" s="939">
        <f t="shared" ref="P345:P353" ca="1" si="157">IF(M345&gt;0,N345*100/M345,0)</f>
        <v>56.664095708213353</v>
      </c>
      <c r="Q345" s="818"/>
      <c r="R345" s="818"/>
      <c r="S345" s="818"/>
      <c r="T345" s="818"/>
      <c r="U345" s="818"/>
      <c r="V345" s="818"/>
      <c r="W345" s="818"/>
      <c r="X345" s="818"/>
      <c r="Y345" s="818"/>
      <c r="Z345" s="818"/>
    </row>
    <row r="346" spans="1:26" ht="18.75" hidden="1">
      <c r="A346" s="940"/>
      <c r="B346" s="833"/>
      <c r="C346" s="833"/>
      <c r="D346" s="833"/>
      <c r="E346" s="834" t="s">
        <v>18</v>
      </c>
      <c r="F346" s="833"/>
      <c r="G346" s="941"/>
      <c r="H346" s="158" t="s">
        <v>12</v>
      </c>
      <c r="I346" s="836"/>
      <c r="J346" s="836"/>
      <c r="K346" s="837"/>
      <c r="L346" s="837">
        <f t="shared" ref="L346:N347" si="158">L349+L352</f>
        <v>0</v>
      </c>
      <c r="M346" s="837">
        <f t="shared" si="158"/>
        <v>0</v>
      </c>
      <c r="N346" s="837">
        <f t="shared" si="158"/>
        <v>0</v>
      </c>
      <c r="O346" s="837">
        <f t="shared" si="156"/>
        <v>0</v>
      </c>
      <c r="P346" s="837">
        <f t="shared" si="157"/>
        <v>0</v>
      </c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</row>
    <row r="347" spans="1:26" ht="18.75" hidden="1">
      <c r="A347" s="940"/>
      <c r="B347" s="833"/>
      <c r="C347" s="833"/>
      <c r="D347" s="833"/>
      <c r="E347" s="834" t="s">
        <v>19</v>
      </c>
      <c r="F347" s="833"/>
      <c r="G347" s="941"/>
      <c r="H347" s="158" t="s">
        <v>12</v>
      </c>
      <c r="I347" s="836"/>
      <c r="J347" s="836"/>
      <c r="K347" s="837"/>
      <c r="L347" s="837">
        <f t="shared" ca="1" si="158"/>
        <v>668820</v>
      </c>
      <c r="M347" s="837">
        <f t="shared" ca="1" si="158"/>
        <v>583440</v>
      </c>
      <c r="N347" s="837">
        <f t="shared" ca="1" si="158"/>
        <v>330601</v>
      </c>
      <c r="O347" s="837">
        <f t="shared" ca="1" si="156"/>
        <v>49.430489518854102</v>
      </c>
      <c r="P347" s="837">
        <f t="shared" ca="1" si="157"/>
        <v>56.664095708213353</v>
      </c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</row>
    <row r="348" spans="1:26" ht="18.75">
      <c r="A348" s="942"/>
      <c r="B348" s="827"/>
      <c r="C348" s="943"/>
      <c r="D348" s="828" t="s">
        <v>20</v>
      </c>
      <c r="E348" s="827"/>
      <c r="F348" s="827"/>
      <c r="G348" s="829"/>
      <c r="H348" s="778" t="s">
        <v>12</v>
      </c>
      <c r="I348" s="944"/>
      <c r="J348" s="944"/>
      <c r="K348" s="945"/>
      <c r="L348" s="831">
        <f t="shared" ref="L348:N348" ca="1" si="159">L349+L350</f>
        <v>617520</v>
      </c>
      <c r="M348" s="831">
        <f t="shared" ca="1" si="159"/>
        <v>532140</v>
      </c>
      <c r="N348" s="831">
        <f t="shared" ca="1" si="159"/>
        <v>279301</v>
      </c>
      <c r="O348" s="831">
        <f t="shared" ca="1" si="156"/>
        <v>45.229466252105198</v>
      </c>
      <c r="P348" s="831">
        <f t="shared" ca="1" si="157"/>
        <v>52.486375765775925</v>
      </c>
      <c r="Q348" s="818"/>
      <c r="R348" s="818"/>
      <c r="S348" s="818"/>
      <c r="T348" s="818"/>
      <c r="U348" s="818"/>
      <c r="V348" s="818"/>
      <c r="W348" s="818"/>
      <c r="X348" s="818"/>
      <c r="Y348" s="818"/>
      <c r="Z348" s="818"/>
    </row>
    <row r="349" spans="1:26" ht="19.5" hidden="1">
      <c r="A349" s="940"/>
      <c r="B349" s="833"/>
      <c r="C349" s="946"/>
      <c r="D349" s="833"/>
      <c r="E349" s="834" t="s">
        <v>36</v>
      </c>
      <c r="F349" s="833"/>
      <c r="G349" s="941"/>
      <c r="H349" s="165" t="s">
        <v>12</v>
      </c>
      <c r="I349" s="947"/>
      <c r="J349" s="947"/>
      <c r="K349" s="948"/>
      <c r="L349" s="837">
        <v>0</v>
      </c>
      <c r="M349" s="837">
        <v>0</v>
      </c>
      <c r="N349" s="837">
        <v>0</v>
      </c>
      <c r="O349" s="837">
        <f t="shared" si="156"/>
        <v>0</v>
      </c>
      <c r="P349" s="837">
        <f t="shared" si="157"/>
        <v>0</v>
      </c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</row>
    <row r="350" spans="1:26" ht="19.5" hidden="1">
      <c r="A350" s="940"/>
      <c r="B350" s="833"/>
      <c r="C350" s="946"/>
      <c r="D350" s="833"/>
      <c r="E350" s="834" t="s">
        <v>37</v>
      </c>
      <c r="F350" s="833"/>
      <c r="G350" s="941"/>
      <c r="H350" s="165" t="s">
        <v>12</v>
      </c>
      <c r="I350" s="947"/>
      <c r="J350" s="947"/>
      <c r="K350" s="948"/>
      <c r="L350" s="837">
        <f ca="1">IFERROR(__xludf.DUMMYFUNCTION("IMPORTRANGE(""https://docs.google.com/spreadsheets/d/1MeEWN-I1oV_STSDYn1IFDPWt_1FKiwhDph83XaGc0o0/edit?usp=sharing"",""งบพรบ!EW30"")"),617520)</f>
        <v>617520</v>
      </c>
      <c r="M350" s="837">
        <f ca="1">IFERROR(__xludf.DUMMYFUNCTION("IMPORTRANGE(""https://docs.google.com/spreadsheets/d/1MeEWN-I1oV_STSDYn1IFDPWt_1FKiwhDph83XaGc0o0/edit?usp=sharing"",""งบพรบ!FB30"")"),532140)</f>
        <v>532140</v>
      </c>
      <c r="N350" s="837">
        <f ca="1">IFERROR(__xludf.DUMMYFUNCTION("IMPORTRANGE(""https://docs.google.com/spreadsheets/d/1MeEWN-I1oV_STSDYn1IFDPWt_1FKiwhDph83XaGc0o0/edit?usp=sharing"",""งบพรบ!FD30"")"),279301)</f>
        <v>279301</v>
      </c>
      <c r="O350" s="837">
        <f t="shared" ca="1" si="156"/>
        <v>45.229466252105198</v>
      </c>
      <c r="P350" s="837">
        <f t="shared" ca="1" si="157"/>
        <v>52.486375765775925</v>
      </c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</row>
    <row r="351" spans="1:26" ht="18.75">
      <c r="A351" s="942"/>
      <c r="B351" s="827"/>
      <c r="C351" s="943"/>
      <c r="D351" s="828" t="s">
        <v>21</v>
      </c>
      <c r="E351" s="827"/>
      <c r="F351" s="827"/>
      <c r="G351" s="829"/>
      <c r="H351" s="168" t="s">
        <v>12</v>
      </c>
      <c r="I351" s="944"/>
      <c r="J351" s="944"/>
      <c r="K351" s="945"/>
      <c r="L351" s="831">
        <f t="shared" ref="L351:N351" ca="1" si="160">L352+L353</f>
        <v>51300</v>
      </c>
      <c r="M351" s="831">
        <f t="shared" ca="1" si="160"/>
        <v>51300</v>
      </c>
      <c r="N351" s="831">
        <f t="shared" ca="1" si="160"/>
        <v>51300</v>
      </c>
      <c r="O351" s="831">
        <f t="shared" ca="1" si="156"/>
        <v>100</v>
      </c>
      <c r="P351" s="831">
        <f t="shared" ca="1" si="157"/>
        <v>100</v>
      </c>
      <c r="Q351" s="818"/>
      <c r="R351" s="818"/>
      <c r="S351" s="818"/>
      <c r="T351" s="818"/>
      <c r="U351" s="818"/>
      <c r="V351" s="818"/>
      <c r="W351" s="818"/>
      <c r="X351" s="818"/>
      <c r="Y351" s="818"/>
      <c r="Z351" s="818"/>
    </row>
    <row r="352" spans="1:26" ht="19.5" hidden="1">
      <c r="A352" s="940"/>
      <c r="B352" s="833"/>
      <c r="C352" s="946"/>
      <c r="D352" s="833"/>
      <c r="E352" s="834" t="s">
        <v>18</v>
      </c>
      <c r="F352" s="833"/>
      <c r="G352" s="941"/>
      <c r="H352" s="165" t="s">
        <v>12</v>
      </c>
      <c r="I352" s="947"/>
      <c r="J352" s="947"/>
      <c r="K352" s="948"/>
      <c r="L352" s="837">
        <v>0</v>
      </c>
      <c r="M352" s="837">
        <v>0</v>
      </c>
      <c r="N352" s="837">
        <v>0</v>
      </c>
      <c r="O352" s="837">
        <f t="shared" si="156"/>
        <v>0</v>
      </c>
      <c r="P352" s="837">
        <f t="shared" si="157"/>
        <v>0</v>
      </c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</row>
    <row r="353" spans="1:26" ht="19.5" hidden="1">
      <c r="A353" s="940"/>
      <c r="B353" s="833"/>
      <c r="C353" s="946"/>
      <c r="D353" s="833"/>
      <c r="E353" s="834" t="s">
        <v>19</v>
      </c>
      <c r="F353" s="833"/>
      <c r="G353" s="941"/>
      <c r="H353" s="169" t="s">
        <v>12</v>
      </c>
      <c r="I353" s="947"/>
      <c r="J353" s="947"/>
      <c r="K353" s="948"/>
      <c r="L353" s="837">
        <f ca="1">IFERROR(__xludf.DUMMYFUNCTION("IMPORTRANGE(""https://docs.google.com/spreadsheets/d/1MeEWN-I1oV_STSDYn1IFDPWt_1FKiwhDph83XaGc0o0/edit?usp=sharing"",""งบพรบ!EZ30"")"),51300)</f>
        <v>51300</v>
      </c>
      <c r="M353" s="837">
        <f ca="1">IFERROR(__xludf.DUMMYFUNCTION("IMPORTRANGE(""https://docs.google.com/spreadsheets/d/1MeEWN-I1oV_STSDYn1IFDPWt_1FKiwhDph83XaGc0o0/edit?usp=sharing"",""งบพรบ!FC30"")"),51300)</f>
        <v>51300</v>
      </c>
      <c r="N353" s="837">
        <f ca="1">IFERROR(__xludf.DUMMYFUNCTION("IMPORTRANGE(""https://docs.google.com/spreadsheets/d/1MeEWN-I1oV_STSDYn1IFDPWt_1FKiwhDph83XaGc0o0/edit?usp=sharing"",""งบพรบ!FE30"")"),51300)</f>
        <v>51300</v>
      </c>
      <c r="O353" s="837">
        <f t="shared" ca="1" si="156"/>
        <v>100</v>
      </c>
      <c r="P353" s="837">
        <f t="shared" ca="1" si="157"/>
        <v>100</v>
      </c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</row>
    <row r="354" spans="1:26" ht="19.5">
      <c r="A354" s="1011"/>
      <c r="B354" s="1018"/>
      <c r="C354" s="1012"/>
      <c r="D354" s="1145" t="s">
        <v>158</v>
      </c>
      <c r="E354" s="1012"/>
      <c r="F354" s="1012"/>
      <c r="G354" s="1014"/>
      <c r="H354" s="1146"/>
      <c r="I354" s="1015"/>
      <c r="J354" s="1015"/>
      <c r="K354" s="1016"/>
      <c r="L354" s="1016"/>
      <c r="M354" s="1016"/>
      <c r="N354" s="1016"/>
      <c r="O354" s="1016"/>
      <c r="P354" s="1016"/>
    </row>
    <row r="355" spans="1:26" ht="19.5">
      <c r="A355" s="1147"/>
      <c r="B355" s="1148"/>
      <c r="C355" s="1149"/>
      <c r="D355" s="1150" t="s">
        <v>159</v>
      </c>
      <c r="E355" s="1151"/>
      <c r="F355" s="1151"/>
      <c r="G355" s="1152"/>
      <c r="H355" s="431" t="s">
        <v>35</v>
      </c>
      <c r="I355" s="1153">
        <f ca="1">IFERROR(__xludf.DUMMYFUNCTION("IMPORTRANGE(""https://docs.google.com/spreadsheets/d/1QqKyyYR6Q21VydFLVH3TRQUabQu_ym0Zz7PgGX0-kHA/edit?usp=sharing"",""แผน!EP30"")"),200)</f>
        <v>200</v>
      </c>
      <c r="J355" s="1153">
        <f ca="1">J362</f>
        <v>0</v>
      </c>
      <c r="K355" s="1154">
        <f ca="1">IF(I355&gt;0,J355*100/I355,0)</f>
        <v>0</v>
      </c>
      <c r="L355" s="1155"/>
      <c r="M355" s="1155"/>
      <c r="N355" s="1155"/>
      <c r="O355" s="1155"/>
      <c r="P355" s="1155"/>
    </row>
    <row r="356" spans="1:26" ht="19.5">
      <c r="A356" s="1147"/>
      <c r="B356" s="1148"/>
      <c r="C356" s="1149"/>
      <c r="D356" s="1156" t="s">
        <v>160</v>
      </c>
      <c r="E356" s="1151"/>
      <c r="F356" s="1151"/>
      <c r="G356" s="1152"/>
      <c r="H356" s="1157"/>
      <c r="I356" s="1158"/>
      <c r="J356" s="1158"/>
      <c r="K356" s="1155"/>
      <c r="L356" s="1155"/>
      <c r="M356" s="1155"/>
      <c r="N356" s="1155"/>
      <c r="O356" s="1155"/>
      <c r="P356" s="1155"/>
    </row>
    <row r="357" spans="1:26" ht="19.5">
      <c r="A357" s="949"/>
      <c r="B357" s="950"/>
      <c r="C357" s="946" t="s">
        <v>16</v>
      </c>
      <c r="D357" s="951" t="s">
        <v>38</v>
      </c>
      <c r="E357" s="952"/>
      <c r="F357" s="952"/>
      <c r="G357" s="953"/>
      <c r="H357" s="954"/>
      <c r="I357" s="830"/>
      <c r="J357" s="830"/>
      <c r="K357" s="831"/>
      <c r="L357" s="945"/>
      <c r="M357" s="945"/>
      <c r="N357" s="945"/>
      <c r="O357" s="945"/>
      <c r="P357" s="945"/>
    </row>
    <row r="358" spans="1:26" ht="18.75">
      <c r="A358" s="949"/>
      <c r="B358" s="957"/>
      <c r="C358" s="950"/>
      <c r="D358" s="957"/>
      <c r="E358" s="955" t="s">
        <v>161</v>
      </c>
      <c r="F358" s="957"/>
      <c r="G358" s="958"/>
      <c r="H358" s="777" t="s">
        <v>35</v>
      </c>
      <c r="I358" s="830">
        <v>0</v>
      </c>
      <c r="J358" s="830">
        <f ca="1">IFERROR(__xludf.DUMMYFUNCTION("IMPORTRANGE(""https://docs.google.com/spreadsheets/d/1XWAQStnk-4SwqDmLtmXYiTMKHgktTP8We1SCoS47DrQ/edit?usp=sharing"",""จัดที่ดิน!W30"")"),97)</f>
        <v>97</v>
      </c>
      <c r="K358" s="831">
        <f t="shared" ref="K358:K365" si="161">IF(I358&gt;0,J358*100/I358,0)</f>
        <v>0</v>
      </c>
      <c r="L358" s="945"/>
      <c r="M358" s="945"/>
      <c r="N358" s="945"/>
      <c r="O358" s="945"/>
      <c r="P358" s="945"/>
    </row>
    <row r="359" spans="1:26" ht="18.75">
      <c r="A359" s="949"/>
      <c r="B359" s="957"/>
      <c r="C359" s="950"/>
      <c r="D359" s="957"/>
      <c r="E359" s="957"/>
      <c r="F359" s="957"/>
      <c r="G359" s="958"/>
      <c r="H359" s="777" t="s">
        <v>46</v>
      </c>
      <c r="I359" s="830">
        <f ca="1">IFERROR(__xludf.DUMMYFUNCTION("IMPORTRANGE(""https://docs.google.com/spreadsheets/d/1QqKyyYR6Q21VydFLVH3TRQUabQu_ym0Zz7PgGX0-kHA/edit?usp=sharing"",""แผน!EO30"")"),2000)</f>
        <v>2000</v>
      </c>
      <c r="J359" s="830">
        <f ca="1">IFERROR(__xludf.DUMMYFUNCTION("IMPORTRANGE(""https://docs.google.com/spreadsheets/d/1XWAQStnk-4SwqDmLtmXYiTMKHgktTP8We1SCoS47DrQ/edit?usp=sharing"",""จัดที่ดิน!X30"")"),1056.62)</f>
        <v>1056.6199999999999</v>
      </c>
      <c r="K359" s="831">
        <f t="shared" ca="1" si="161"/>
        <v>52.830999999999996</v>
      </c>
      <c r="L359" s="945"/>
      <c r="M359" s="945"/>
      <c r="N359" s="945"/>
      <c r="O359" s="945"/>
      <c r="P359" s="945"/>
    </row>
    <row r="360" spans="1:26" ht="18.75">
      <c r="A360" s="949"/>
      <c r="B360" s="957"/>
      <c r="C360" s="950"/>
      <c r="D360" s="957"/>
      <c r="E360" s="955" t="s">
        <v>162</v>
      </c>
      <c r="F360" s="957"/>
      <c r="G360" s="958"/>
      <c r="H360" s="730" t="s">
        <v>35</v>
      </c>
      <c r="I360" s="830">
        <f ca="1">IFERROR(__xludf.DUMMYFUNCTION("IMPORTRANGE(""https://docs.google.com/spreadsheets/d/1QqKyyYR6Q21VydFLVH3TRQUabQu_ym0Zz7PgGX0-kHA/edit?usp=sharing"",""แผน!EP30"")"),200)</f>
        <v>200</v>
      </c>
      <c r="J360" s="830">
        <f ca="1">IFERROR(__xludf.DUMMYFUNCTION("IMPORTRANGE(""https://docs.google.com/spreadsheets/d/1XWAQStnk-4SwqDmLtmXYiTMKHgktTP8We1SCoS47DrQ/edit?usp=sharing"",""จัดที่ดิน!Y30"")"),8)</f>
        <v>8</v>
      </c>
      <c r="K360" s="831">
        <f t="shared" ca="1" si="161"/>
        <v>4</v>
      </c>
      <c r="L360" s="945"/>
      <c r="M360" s="945"/>
      <c r="N360" s="945"/>
      <c r="O360" s="945"/>
      <c r="P360" s="945"/>
    </row>
    <row r="361" spans="1:26" ht="18.75">
      <c r="A361" s="949"/>
      <c r="B361" s="957"/>
      <c r="C361" s="950"/>
      <c r="D361" s="957"/>
      <c r="E361" s="957"/>
      <c r="F361" s="957"/>
      <c r="G361" s="958"/>
      <c r="H361" s="730" t="s">
        <v>46</v>
      </c>
      <c r="I361" s="830">
        <v>0</v>
      </c>
      <c r="J361" s="830">
        <f ca="1">IFERROR(__xludf.DUMMYFUNCTION("IMPORTRANGE(""https://docs.google.com/spreadsheets/d/1XWAQStnk-4SwqDmLtmXYiTMKHgktTP8We1SCoS47DrQ/edit?usp=sharing"",""จัดที่ดิน!Z30"")"),22.29)</f>
        <v>22.29</v>
      </c>
      <c r="K361" s="831">
        <f t="shared" si="161"/>
        <v>0</v>
      </c>
      <c r="L361" s="945"/>
      <c r="M361" s="945"/>
      <c r="N361" s="945"/>
      <c r="O361" s="945"/>
      <c r="P361" s="945"/>
    </row>
    <row r="362" spans="1:26" ht="18.75">
      <c r="A362" s="949"/>
      <c r="B362" s="957"/>
      <c r="C362" s="950"/>
      <c r="D362" s="957"/>
      <c r="E362" s="955" t="s">
        <v>163</v>
      </c>
      <c r="F362" s="957"/>
      <c r="G362" s="958"/>
      <c r="H362" s="730" t="s">
        <v>35</v>
      </c>
      <c r="I362" s="830">
        <f ca="1">IFERROR(__xludf.DUMMYFUNCTION("IMPORTRANGE(""https://docs.google.com/spreadsheets/d/1QqKyyYR6Q21VydFLVH3TRQUabQu_ym0Zz7PgGX0-kHA/edit?usp=sharing"",""แผน!EP30"")"),200)</f>
        <v>200</v>
      </c>
      <c r="J362" s="830">
        <f ca="1">IFERROR(__xludf.DUMMYFUNCTION("IMPORTRANGE(""https://docs.google.com/spreadsheets/d/1XWAQStnk-4SwqDmLtmXYiTMKHgktTP8We1SCoS47DrQ/edit?usp=sharing"",""จัดที่ดิน!AA30"")"),0)</f>
        <v>0</v>
      </c>
      <c r="K362" s="831">
        <f t="shared" ca="1" si="161"/>
        <v>0</v>
      </c>
      <c r="L362" s="945"/>
      <c r="M362" s="945"/>
      <c r="N362" s="945"/>
      <c r="O362" s="945"/>
      <c r="P362" s="945"/>
    </row>
    <row r="363" spans="1:26" ht="18.75">
      <c r="A363" s="1159" t="s">
        <v>164</v>
      </c>
      <c r="B363" s="957"/>
      <c r="C363" s="950"/>
      <c r="D363" s="957"/>
      <c r="E363" s="956"/>
      <c r="F363" s="957"/>
      <c r="G363" s="958"/>
      <c r="H363" s="730" t="s">
        <v>46</v>
      </c>
      <c r="I363" s="830">
        <v>0</v>
      </c>
      <c r="J363" s="830">
        <f ca="1">IFERROR(__xludf.DUMMYFUNCTION("IMPORTRANGE(""https://docs.google.com/spreadsheets/d/1XWAQStnk-4SwqDmLtmXYiTMKHgktTP8We1SCoS47DrQ/edit?usp=sharing"",""จัดที่ดิน!AB30"")"),0)</f>
        <v>0</v>
      </c>
      <c r="K363" s="831">
        <f t="shared" si="161"/>
        <v>0</v>
      </c>
      <c r="L363" s="945"/>
      <c r="M363" s="945"/>
      <c r="N363" s="945"/>
      <c r="O363" s="945"/>
      <c r="P363" s="945"/>
    </row>
    <row r="364" spans="1:26" ht="19.5">
      <c r="A364" s="1160"/>
      <c r="B364" s="1161"/>
      <c r="C364" s="1162"/>
      <c r="D364" s="1163" t="s">
        <v>165</v>
      </c>
      <c r="E364" s="1164"/>
      <c r="F364" s="1164"/>
      <c r="G364" s="1165"/>
      <c r="H364" s="446" t="s">
        <v>35</v>
      </c>
      <c r="I364" s="1166">
        <f t="shared" ref="I364:J364" ca="1" si="162">I365+I374</f>
        <v>450</v>
      </c>
      <c r="J364" s="1166">
        <f t="shared" ca="1" si="162"/>
        <v>83</v>
      </c>
      <c r="K364" s="1167">
        <f t="shared" ca="1" si="161"/>
        <v>18.444444444444443</v>
      </c>
      <c r="L364" s="1168"/>
      <c r="M364" s="1168"/>
      <c r="N364" s="1168"/>
      <c r="O364" s="1168"/>
      <c r="P364" s="1168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69"/>
      <c r="B365" s="1170"/>
      <c r="C365" s="1171"/>
      <c r="D365" s="1171" t="s">
        <v>166</v>
      </c>
      <c r="E365" s="1172"/>
      <c r="F365" s="1172"/>
      <c r="G365" s="1173"/>
      <c r="H365" s="457" t="s">
        <v>35</v>
      </c>
      <c r="I365" s="1174">
        <f ca="1">IFERROR(__xludf.DUMMYFUNCTION("IMPORTRANGE(""https://docs.google.com/spreadsheets/d/1QqKyyYR6Q21VydFLVH3TRQUabQu_ym0Zz7PgGX0-kHA/edit?usp=sharing"",""แผน!EJ30"")"),50)</f>
        <v>50</v>
      </c>
      <c r="J365" s="1174">
        <f ca="1">J372</f>
        <v>0</v>
      </c>
      <c r="K365" s="1175">
        <f t="shared" ca="1" si="161"/>
        <v>0</v>
      </c>
      <c r="L365" s="1176"/>
      <c r="M365" s="1176"/>
      <c r="N365" s="1176"/>
      <c r="O365" s="1176"/>
      <c r="P365" s="1176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69"/>
      <c r="B366" s="1170"/>
      <c r="C366" s="1171"/>
      <c r="D366" s="1177" t="s">
        <v>167</v>
      </c>
      <c r="E366" s="1172"/>
      <c r="F366" s="1172"/>
      <c r="G366" s="1173"/>
      <c r="H366" s="1178"/>
      <c r="I366" s="1179"/>
      <c r="J366" s="1179"/>
      <c r="K366" s="1176"/>
      <c r="L366" s="1176"/>
      <c r="M366" s="1176"/>
      <c r="N366" s="1176"/>
      <c r="O366" s="1176"/>
      <c r="P366" s="1176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49"/>
      <c r="B367" s="950"/>
      <c r="C367" s="946" t="s">
        <v>16</v>
      </c>
      <c r="D367" s="951" t="s">
        <v>38</v>
      </c>
      <c r="E367" s="952"/>
      <c r="F367" s="952"/>
      <c r="G367" s="953"/>
      <c r="H367" s="954"/>
      <c r="I367" s="830"/>
      <c r="J367" s="830"/>
      <c r="K367" s="831"/>
      <c r="L367" s="945"/>
      <c r="M367" s="945"/>
      <c r="N367" s="945"/>
      <c r="O367" s="945"/>
      <c r="P367" s="945"/>
    </row>
    <row r="368" spans="1:26" ht="18.75">
      <c r="A368" s="949"/>
      <c r="B368" s="957"/>
      <c r="C368" s="950"/>
      <c r="D368" s="957"/>
      <c r="E368" s="955" t="s">
        <v>161</v>
      </c>
      <c r="F368" s="957"/>
      <c r="G368" s="958"/>
      <c r="H368" s="777" t="s">
        <v>35</v>
      </c>
      <c r="I368" s="830">
        <v>0</v>
      </c>
      <c r="J368" s="830">
        <f ca="1">IFERROR(__xludf.DUMMYFUNCTION("IMPORTRANGE(""https://docs.google.com/spreadsheets/d/1XWAQStnk-4SwqDmLtmXYiTMKHgktTP8We1SCoS47DrQ/edit?usp=sharing"",""จัดที่ดิน!E30"")"),19)</f>
        <v>19</v>
      </c>
      <c r="K368" s="831">
        <f t="shared" ref="K368:K374" si="163">IF(I368&gt;0,J368*100/I368,0)</f>
        <v>0</v>
      </c>
      <c r="L368" s="945"/>
      <c r="M368" s="945"/>
      <c r="N368" s="945"/>
      <c r="O368" s="945"/>
      <c r="P368" s="945"/>
    </row>
    <row r="369" spans="1:26" ht="18.75">
      <c r="A369" s="949"/>
      <c r="B369" s="957"/>
      <c r="C369" s="950"/>
      <c r="D369" s="957"/>
      <c r="E369" s="957"/>
      <c r="F369" s="957"/>
      <c r="G369" s="958"/>
      <c r="H369" s="777" t="s">
        <v>46</v>
      </c>
      <c r="I369" s="830">
        <f ca="1">IFERROR(__xludf.DUMMYFUNCTION("IMPORTRANGE(""https://docs.google.com/spreadsheets/d/1QqKyyYR6Q21VydFLVH3TRQUabQu_ym0Zz7PgGX0-kHA/edit?usp=sharing"",""แผน!EI30"")"),500)</f>
        <v>500</v>
      </c>
      <c r="J369" s="830">
        <f ca="1">IFERROR(__xludf.DUMMYFUNCTION("IMPORTRANGE(""https://docs.google.com/spreadsheets/d/1XWAQStnk-4SwqDmLtmXYiTMKHgktTP8We1SCoS47DrQ/edit?usp=sharing"",""จัดที่ดิน!F30"")"),147.3)</f>
        <v>147.30000000000001</v>
      </c>
      <c r="K369" s="831">
        <f t="shared" ca="1" si="163"/>
        <v>29.460000000000004</v>
      </c>
      <c r="L369" s="945"/>
      <c r="M369" s="945"/>
      <c r="N369" s="945"/>
      <c r="O369" s="945"/>
      <c r="P369" s="945"/>
    </row>
    <row r="370" spans="1:26" ht="18.75">
      <c r="A370" s="949"/>
      <c r="B370" s="957"/>
      <c r="C370" s="950"/>
      <c r="D370" s="957"/>
      <c r="E370" s="955" t="s">
        <v>162</v>
      </c>
      <c r="F370" s="957"/>
      <c r="G370" s="958"/>
      <c r="H370" s="730" t="s">
        <v>35</v>
      </c>
      <c r="I370" s="830">
        <f ca="1">IFERROR(__xludf.DUMMYFUNCTION("IMPORTRANGE(""https://docs.google.com/spreadsheets/d/1QqKyyYR6Q21VydFLVH3TRQUabQu_ym0Zz7PgGX0-kHA/edit?usp=sharing"",""แผน!EJ30"")"),50)</f>
        <v>50</v>
      </c>
      <c r="J370" s="830">
        <f ca="1">IFERROR(__xludf.DUMMYFUNCTION("IMPORTRANGE(""https://docs.google.com/spreadsheets/d/1XWAQStnk-4SwqDmLtmXYiTMKHgktTP8We1SCoS47DrQ/edit?usp=sharing"",""จัดที่ดิน!G30"")"),8)</f>
        <v>8</v>
      </c>
      <c r="K370" s="831">
        <f t="shared" ca="1" si="163"/>
        <v>16</v>
      </c>
      <c r="L370" s="945"/>
      <c r="M370" s="945"/>
      <c r="N370" s="945"/>
      <c r="O370" s="945"/>
      <c r="P370" s="945"/>
    </row>
    <row r="371" spans="1:26" ht="18.75">
      <c r="A371" s="949"/>
      <c r="B371" s="957"/>
      <c r="C371" s="950"/>
      <c r="D371" s="957"/>
      <c r="E371" s="957"/>
      <c r="F371" s="957"/>
      <c r="G371" s="958"/>
      <c r="H371" s="730" t="s">
        <v>46</v>
      </c>
      <c r="I371" s="830">
        <v>0</v>
      </c>
      <c r="J371" s="830">
        <f ca="1">IFERROR(__xludf.DUMMYFUNCTION("IMPORTRANGE(""https://docs.google.com/spreadsheets/d/1XWAQStnk-4SwqDmLtmXYiTMKHgktTP8We1SCoS47DrQ/edit?usp=sharing"",""จัดที่ดิน!H30"")"),22.29)</f>
        <v>22.29</v>
      </c>
      <c r="K371" s="831">
        <f t="shared" si="163"/>
        <v>0</v>
      </c>
      <c r="L371" s="945"/>
      <c r="M371" s="945"/>
      <c r="N371" s="945"/>
      <c r="O371" s="945"/>
      <c r="P371" s="945"/>
    </row>
    <row r="372" spans="1:26" ht="18.75">
      <c r="A372" s="949"/>
      <c r="B372" s="957"/>
      <c r="C372" s="950"/>
      <c r="D372" s="957"/>
      <c r="E372" s="955" t="s">
        <v>163</v>
      </c>
      <c r="F372" s="957"/>
      <c r="G372" s="958"/>
      <c r="H372" s="730" t="s">
        <v>35</v>
      </c>
      <c r="I372" s="830">
        <f ca="1">IFERROR(__xludf.DUMMYFUNCTION("IMPORTRANGE(""https://docs.google.com/spreadsheets/d/1QqKyyYR6Q21VydFLVH3TRQUabQu_ym0Zz7PgGX0-kHA/edit?usp=sharing"",""แผน!EJ30"")"),50)</f>
        <v>50</v>
      </c>
      <c r="J372" s="830">
        <f ca="1">IFERROR(__xludf.DUMMYFUNCTION("IMPORTRANGE(""https://docs.google.com/spreadsheets/d/1XWAQStnk-4SwqDmLtmXYiTMKHgktTP8We1SCoS47DrQ/edit?usp=sharing"",""จัดที่ดิน!I30"")"),0)</f>
        <v>0</v>
      </c>
      <c r="K372" s="831">
        <f t="shared" ca="1" si="163"/>
        <v>0</v>
      </c>
      <c r="L372" s="945"/>
      <c r="M372" s="945"/>
      <c r="N372" s="945"/>
      <c r="O372" s="945"/>
      <c r="P372" s="945"/>
    </row>
    <row r="373" spans="1:26" ht="18.75">
      <c r="A373" s="1159" t="s">
        <v>164</v>
      </c>
      <c r="B373" s="957"/>
      <c r="C373" s="950"/>
      <c r="D373" s="957"/>
      <c r="E373" s="956"/>
      <c r="F373" s="957"/>
      <c r="G373" s="958"/>
      <c r="H373" s="730" t="s">
        <v>46</v>
      </c>
      <c r="I373" s="830">
        <v>0</v>
      </c>
      <c r="J373" s="830">
        <f ca="1">IFERROR(__xludf.DUMMYFUNCTION("IMPORTRANGE(""https://docs.google.com/spreadsheets/d/1XWAQStnk-4SwqDmLtmXYiTMKHgktTP8We1SCoS47DrQ/edit?usp=sharing"",""จัดที่ดิน!J30"")"),0)</f>
        <v>0</v>
      </c>
      <c r="K373" s="831">
        <f t="shared" si="163"/>
        <v>0</v>
      </c>
      <c r="L373" s="945"/>
      <c r="M373" s="945"/>
      <c r="N373" s="945"/>
      <c r="O373" s="945"/>
      <c r="P373" s="945"/>
    </row>
    <row r="374" spans="1:26" ht="19.5">
      <c r="A374" s="1169"/>
      <c r="B374" s="1170"/>
      <c r="C374" s="1171"/>
      <c r="D374" s="1171" t="s">
        <v>168</v>
      </c>
      <c r="E374" s="1172"/>
      <c r="F374" s="1172"/>
      <c r="G374" s="1173"/>
      <c r="H374" s="457" t="s">
        <v>35</v>
      </c>
      <c r="I374" s="1180">
        <f ca="1">IFERROR(__xludf.DUMMYFUNCTION("IMPORTRANGE(""https://docs.google.com/spreadsheets/d/1QqKyyYR6Q21VydFLVH3TRQUabQu_ym0Zz7PgGX0-kHA/edit?usp=sharing"",""แผน!EU30"")"),400)</f>
        <v>400</v>
      </c>
      <c r="J374" s="1174">
        <f ca="1">J381</f>
        <v>83</v>
      </c>
      <c r="K374" s="1175">
        <f t="shared" ca="1" si="163"/>
        <v>20.75</v>
      </c>
      <c r="L374" s="1176"/>
      <c r="M374" s="1176"/>
      <c r="N374" s="1176"/>
      <c r="O374" s="1176"/>
      <c r="P374" s="1176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69"/>
      <c r="B375" s="1170"/>
      <c r="C375" s="1171"/>
      <c r="D375" s="1177" t="s">
        <v>169</v>
      </c>
      <c r="E375" s="1172"/>
      <c r="F375" s="1172"/>
      <c r="G375" s="1173"/>
      <c r="H375" s="1178"/>
      <c r="I375" s="1179"/>
      <c r="J375" s="1179"/>
      <c r="K375" s="1176"/>
      <c r="L375" s="1176"/>
      <c r="M375" s="1176"/>
      <c r="N375" s="1176"/>
      <c r="O375" s="1176"/>
      <c r="P375" s="1176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49"/>
      <c r="B376" s="950"/>
      <c r="C376" s="946" t="s">
        <v>16</v>
      </c>
      <c r="D376" s="951" t="s">
        <v>38</v>
      </c>
      <c r="E376" s="952"/>
      <c r="F376" s="952"/>
      <c r="G376" s="953"/>
      <c r="H376" s="954"/>
      <c r="I376" s="830"/>
      <c r="J376" s="830"/>
      <c r="K376" s="831"/>
      <c r="L376" s="945"/>
      <c r="M376" s="945"/>
      <c r="N376" s="945"/>
      <c r="O376" s="945"/>
      <c r="P376" s="945"/>
    </row>
    <row r="377" spans="1:26" ht="18.75">
      <c r="A377" s="949"/>
      <c r="B377" s="957"/>
      <c r="C377" s="950"/>
      <c r="D377" s="957"/>
      <c r="E377" s="955" t="s">
        <v>161</v>
      </c>
      <c r="F377" s="957"/>
      <c r="G377" s="958"/>
      <c r="H377" s="777" t="s">
        <v>35</v>
      </c>
      <c r="I377" s="830">
        <v>0</v>
      </c>
      <c r="J377" s="830">
        <f ca="1">IFERROR(__xludf.DUMMYFUNCTION("IMPORTRANGE(""https://docs.google.com/spreadsheets/d/1XWAQStnk-4SwqDmLtmXYiTMKHgktTP8We1SCoS47DrQ/edit?usp=sharing"",""จัดที่ดิน!AH30"")"),78)</f>
        <v>78</v>
      </c>
      <c r="K377" s="831">
        <f t="shared" ref="K377:K382" si="164">IF(I377&gt;0,J377*100/I377,0)</f>
        <v>0</v>
      </c>
      <c r="L377" s="945"/>
      <c r="M377" s="945"/>
      <c r="N377" s="945"/>
      <c r="O377" s="945"/>
      <c r="P377" s="945"/>
    </row>
    <row r="378" spans="1:26" ht="18.75">
      <c r="A378" s="949"/>
      <c r="B378" s="957"/>
      <c r="C378" s="950"/>
      <c r="D378" s="957"/>
      <c r="E378" s="957"/>
      <c r="F378" s="957"/>
      <c r="G378" s="958"/>
      <c r="H378" s="777" t="s">
        <v>46</v>
      </c>
      <c r="I378" s="830">
        <f ca="1">IFERROR(__xludf.DUMMYFUNCTION("IMPORTRANGE(""https://docs.google.com/spreadsheets/d/1QqKyyYR6Q21VydFLVH3TRQUabQu_ym0Zz7PgGX0-kHA/edit?usp=sharing"",""แผน!ET30"")"),1500)</f>
        <v>1500</v>
      </c>
      <c r="J378" s="830">
        <f ca="1">IFERROR(__xludf.DUMMYFUNCTION("IMPORTRANGE(""https://docs.google.com/spreadsheets/d/1XWAQStnk-4SwqDmLtmXYiTMKHgktTP8We1SCoS47DrQ/edit?usp=sharing"",""จัดที่ดิน!AI30"")"),909.32)</f>
        <v>909.32</v>
      </c>
      <c r="K378" s="831">
        <f t="shared" ca="1" si="164"/>
        <v>60.621333333333332</v>
      </c>
      <c r="L378" s="945"/>
      <c r="M378" s="945"/>
      <c r="N378" s="945"/>
      <c r="O378" s="945"/>
      <c r="P378" s="945"/>
    </row>
    <row r="379" spans="1:26" ht="18.75">
      <c r="A379" s="949"/>
      <c r="B379" s="957"/>
      <c r="C379" s="950"/>
      <c r="D379" s="957"/>
      <c r="E379" s="955" t="s">
        <v>162</v>
      </c>
      <c r="F379" s="957"/>
      <c r="G379" s="958"/>
      <c r="H379" s="730" t="s">
        <v>35</v>
      </c>
      <c r="I379" s="830">
        <f ca="1">IFERROR(__xludf.DUMMYFUNCTION("IMPORTRANGE(""https://docs.google.com/spreadsheets/d/1QqKyyYR6Q21VydFLVH3TRQUabQu_ym0Zz7PgGX0-kHA/edit?usp=sharing"",""แผน!EU30"")"),400)</f>
        <v>400</v>
      </c>
      <c r="J379" s="830">
        <f ca="1">IFERROR(__xludf.DUMMYFUNCTION("IMPORTRANGE(""https://docs.google.com/spreadsheets/d/1XWAQStnk-4SwqDmLtmXYiTMKHgktTP8We1SCoS47DrQ/edit?usp=sharing"",""จัดที่ดิน!AJ30"")"),85)</f>
        <v>85</v>
      </c>
      <c r="K379" s="831">
        <f t="shared" ca="1" si="164"/>
        <v>21.25</v>
      </c>
      <c r="L379" s="945"/>
      <c r="M379" s="945"/>
      <c r="N379" s="945"/>
      <c r="O379" s="945"/>
      <c r="P379" s="945"/>
    </row>
    <row r="380" spans="1:26" ht="18.75">
      <c r="A380" s="949"/>
      <c r="B380" s="957"/>
      <c r="C380" s="950"/>
      <c r="D380" s="957"/>
      <c r="E380" s="957"/>
      <c r="F380" s="957"/>
      <c r="G380" s="958"/>
      <c r="H380" s="730" t="s">
        <v>46</v>
      </c>
      <c r="I380" s="830">
        <v>0</v>
      </c>
      <c r="J380" s="830">
        <f ca="1">IFERROR(__xludf.DUMMYFUNCTION("IMPORTRANGE(""https://docs.google.com/spreadsheets/d/1XWAQStnk-4SwqDmLtmXYiTMKHgktTP8We1SCoS47DrQ/edit?usp=sharing"",""จัดที่ดิน!AK30"")"),2002.11)</f>
        <v>2002.11</v>
      </c>
      <c r="K380" s="831">
        <f t="shared" si="164"/>
        <v>0</v>
      </c>
      <c r="L380" s="945"/>
      <c r="M380" s="945"/>
      <c r="N380" s="945"/>
      <c r="O380" s="945"/>
      <c r="P380" s="945"/>
    </row>
    <row r="381" spans="1:26" ht="18.75">
      <c r="A381" s="949"/>
      <c r="B381" s="957"/>
      <c r="C381" s="950"/>
      <c r="D381" s="957"/>
      <c r="E381" s="955" t="s">
        <v>163</v>
      </c>
      <c r="F381" s="957"/>
      <c r="G381" s="958"/>
      <c r="H381" s="730" t="s">
        <v>35</v>
      </c>
      <c r="I381" s="830">
        <f ca="1">IFERROR(__xludf.DUMMYFUNCTION("IMPORTRANGE(""https://docs.google.com/spreadsheets/d/1QqKyyYR6Q21VydFLVH3TRQUabQu_ym0Zz7PgGX0-kHA/edit?usp=sharing"",""แผน!EU30"")"),400)</f>
        <v>400</v>
      </c>
      <c r="J381" s="830">
        <f ca="1">IFERROR(__xludf.DUMMYFUNCTION("IMPORTRANGE(""https://docs.google.com/spreadsheets/d/1XWAQStnk-4SwqDmLtmXYiTMKHgktTP8We1SCoS47DrQ/edit?usp=sharing"",""จัดที่ดิน!AL30"")"),83)</f>
        <v>83</v>
      </c>
      <c r="K381" s="831">
        <f t="shared" ca="1" si="164"/>
        <v>20.75</v>
      </c>
      <c r="L381" s="945"/>
      <c r="M381" s="945"/>
      <c r="N381" s="945"/>
      <c r="O381" s="945"/>
      <c r="P381" s="945"/>
    </row>
    <row r="382" spans="1:26" ht="18.75">
      <c r="A382" s="1159" t="s">
        <v>164</v>
      </c>
      <c r="B382" s="957"/>
      <c r="C382" s="950"/>
      <c r="D382" s="957"/>
      <c r="E382" s="956"/>
      <c r="F382" s="957"/>
      <c r="G382" s="958"/>
      <c r="H382" s="730" t="s">
        <v>46</v>
      </c>
      <c r="I382" s="830">
        <v>0</v>
      </c>
      <c r="J382" s="830">
        <f ca="1">IFERROR(__xludf.DUMMYFUNCTION("IMPORTRANGE(""https://docs.google.com/spreadsheets/d/1XWAQStnk-4SwqDmLtmXYiTMKHgktTP8We1SCoS47DrQ/edit?usp=sharing"",""จัดที่ดิน!AM30"")"),1887.76)</f>
        <v>1887.76</v>
      </c>
      <c r="K382" s="831">
        <f t="shared" si="164"/>
        <v>0</v>
      </c>
      <c r="L382" s="945"/>
      <c r="M382" s="945"/>
      <c r="N382" s="945"/>
      <c r="O382" s="945"/>
      <c r="P382" s="945"/>
    </row>
    <row r="383" spans="1:26" ht="19.5">
      <c r="A383" s="1011"/>
      <c r="B383" s="1018"/>
      <c r="C383" s="1012"/>
      <c r="D383" s="1145" t="s">
        <v>170</v>
      </c>
      <c r="E383" s="1012"/>
      <c r="F383" s="1012"/>
      <c r="G383" s="1014"/>
      <c r="H383" s="1146"/>
      <c r="I383" s="1015"/>
      <c r="J383" s="1015"/>
      <c r="K383" s="1016"/>
      <c r="L383" s="1016"/>
      <c r="M383" s="1016"/>
      <c r="N383" s="1016"/>
      <c r="O383" s="1016"/>
      <c r="P383" s="1016"/>
    </row>
    <row r="384" spans="1:26" ht="19.5">
      <c r="A384" s="949"/>
      <c r="B384" s="950"/>
      <c r="C384" s="827" t="s">
        <v>16</v>
      </c>
      <c r="D384" s="951" t="s">
        <v>38</v>
      </c>
      <c r="E384" s="952"/>
      <c r="F384" s="952"/>
      <c r="G384" s="953"/>
      <c r="H384" s="954"/>
      <c r="I384" s="830"/>
      <c r="J384" s="830"/>
      <c r="K384" s="831"/>
      <c r="L384" s="945"/>
      <c r="M384" s="945"/>
      <c r="N384" s="945"/>
      <c r="O384" s="945"/>
      <c r="P384" s="945"/>
    </row>
    <row r="385" spans="1:26" ht="18.75">
      <c r="A385" s="1080"/>
      <c r="B385" s="1083"/>
      <c r="C385" s="1081"/>
      <c r="D385" s="1083"/>
      <c r="E385" s="1181" t="s">
        <v>163</v>
      </c>
      <c r="F385" s="1083"/>
      <c r="G385" s="1084"/>
      <c r="H385" s="468" t="s">
        <v>35</v>
      </c>
      <c r="I385" s="1085">
        <f ca="1">IFERROR(__xludf.DUMMYFUNCTION("IMPORTRANGE(""https://docs.google.com/spreadsheets/d/1QqKyyYR6Q21VydFLVH3TRQUabQu_ym0Zz7PgGX0-kHA/edit?usp=sharing"",""แผน!EW30"")"),60)</f>
        <v>60</v>
      </c>
      <c r="J385" s="1085">
        <f ca="1">IFERROR(__xludf.DUMMYFUNCTION("IMPORTRANGE(""https://docs.google.com/spreadsheets/d/1XWAQStnk-4SwqDmLtmXYiTMKHgktTP8We1SCoS47DrQ/edit?usp=sharing"",""จัดที่ดิน!AP30"")"),0)</f>
        <v>0</v>
      </c>
      <c r="K385" s="1182">
        <f ca="1">IF(I385&gt;0,J385*100/I385,0)</f>
        <v>0</v>
      </c>
      <c r="L385" s="1086"/>
      <c r="M385" s="1086"/>
      <c r="N385" s="1086"/>
      <c r="O385" s="1086"/>
      <c r="P385" s="1086"/>
    </row>
    <row r="386" spans="1:26" ht="19.5" hidden="1">
      <c r="A386" s="1183" t="s">
        <v>171</v>
      </c>
      <c r="B386" s="1184"/>
      <c r="C386" s="1184"/>
      <c r="D386" s="1184"/>
      <c r="E386" s="1185"/>
      <c r="F386" s="1185"/>
      <c r="G386" s="1186"/>
      <c r="H386" s="1187"/>
      <c r="I386" s="1188"/>
      <c r="J386" s="1188"/>
      <c r="K386" s="1189"/>
      <c r="L386" s="1189"/>
      <c r="M386" s="1189"/>
      <c r="N386" s="1189"/>
      <c r="O386" s="1189"/>
      <c r="P386" s="1189"/>
    </row>
    <row r="387" spans="1:26" ht="19.5" hidden="1">
      <c r="A387" s="1190" t="s">
        <v>172</v>
      </c>
      <c r="B387" s="1191"/>
      <c r="C387" s="1191"/>
      <c r="D387" s="1192"/>
      <c r="E387" s="1191"/>
      <c r="F387" s="1191"/>
      <c r="G387" s="1191"/>
      <c r="H387" s="1193"/>
      <c r="I387" s="1194"/>
      <c r="J387" s="1194"/>
      <c r="K387" s="1195"/>
      <c r="L387" s="1195"/>
      <c r="M387" s="1195"/>
      <c r="N387" s="1195"/>
      <c r="O387" s="1195"/>
      <c r="P387" s="1195"/>
    </row>
    <row r="388" spans="1:26" ht="19.5" hidden="1">
      <c r="A388" s="1196"/>
      <c r="B388" s="1197" t="s">
        <v>173</v>
      </c>
      <c r="C388" s="1198"/>
      <c r="D388" s="1199"/>
      <c r="E388" s="1199"/>
      <c r="F388" s="1199"/>
      <c r="G388" s="1200"/>
      <c r="H388" s="489" t="s">
        <v>66</v>
      </c>
      <c r="I388" s="1201">
        <f t="shared" ref="I388:J388" si="165">I400</f>
        <v>0</v>
      </c>
      <c r="J388" s="1201">
        <f t="shared" si="165"/>
        <v>0</v>
      </c>
      <c r="K388" s="1202">
        <f>IF(I388&gt;0,J388*100/I388,0)</f>
        <v>0</v>
      </c>
      <c r="L388" s="1203"/>
      <c r="M388" s="1203"/>
      <c r="N388" s="1203"/>
      <c r="O388" s="1203"/>
      <c r="P388" s="1203"/>
    </row>
    <row r="389" spans="1:26" ht="19.5" hidden="1">
      <c r="A389" s="932"/>
      <c r="B389" s="933"/>
      <c r="C389" s="934" t="s">
        <v>16</v>
      </c>
      <c r="D389" s="935" t="s">
        <v>17</v>
      </c>
      <c r="E389" s="933"/>
      <c r="F389" s="933"/>
      <c r="G389" s="936"/>
      <c r="H389" s="152" t="s">
        <v>12</v>
      </c>
      <c r="I389" s="937"/>
      <c r="J389" s="937"/>
      <c r="K389" s="938"/>
      <c r="L389" s="939">
        <f t="shared" ref="L389:N389" ca="1" si="166">L390+L391</f>
        <v>0</v>
      </c>
      <c r="M389" s="939">
        <f t="shared" ca="1" si="166"/>
        <v>0</v>
      </c>
      <c r="N389" s="939">
        <f t="shared" ca="1" si="166"/>
        <v>0</v>
      </c>
      <c r="O389" s="939">
        <f t="shared" ref="O389:O397" ca="1" si="167">IF(L389&gt;0,N389*100/L389,0)</f>
        <v>0</v>
      </c>
      <c r="P389" s="939">
        <f t="shared" ref="P389:P397" ca="1" si="168">IF(M389&gt;0,N389*100/M389,0)</f>
        <v>0</v>
      </c>
      <c r="Q389" s="818"/>
      <c r="R389" s="818"/>
      <c r="S389" s="818"/>
      <c r="T389" s="818"/>
      <c r="U389" s="818"/>
      <c r="V389" s="818"/>
      <c r="W389" s="818"/>
      <c r="X389" s="818"/>
      <c r="Y389" s="818"/>
      <c r="Z389" s="818"/>
    </row>
    <row r="390" spans="1:26" ht="18.75" hidden="1">
      <c r="A390" s="940"/>
      <c r="B390" s="833"/>
      <c r="C390" s="833"/>
      <c r="D390" s="833"/>
      <c r="E390" s="834" t="s">
        <v>18</v>
      </c>
      <c r="F390" s="833"/>
      <c r="G390" s="941"/>
      <c r="H390" s="158" t="s">
        <v>12</v>
      </c>
      <c r="I390" s="836"/>
      <c r="J390" s="836"/>
      <c r="K390" s="837"/>
      <c r="L390" s="837">
        <f t="shared" ref="L390:N391" si="169">L393+L396</f>
        <v>0</v>
      </c>
      <c r="M390" s="837">
        <f t="shared" si="169"/>
        <v>0</v>
      </c>
      <c r="N390" s="837">
        <f t="shared" si="169"/>
        <v>0</v>
      </c>
      <c r="O390" s="837">
        <f t="shared" si="167"/>
        <v>0</v>
      </c>
      <c r="P390" s="837">
        <f t="shared" si="168"/>
        <v>0</v>
      </c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</row>
    <row r="391" spans="1:26" ht="18.75" hidden="1">
      <c r="A391" s="940"/>
      <c r="B391" s="833"/>
      <c r="C391" s="833"/>
      <c r="D391" s="833"/>
      <c r="E391" s="834" t="s">
        <v>19</v>
      </c>
      <c r="F391" s="833"/>
      <c r="G391" s="941"/>
      <c r="H391" s="158" t="s">
        <v>12</v>
      </c>
      <c r="I391" s="836"/>
      <c r="J391" s="836"/>
      <c r="K391" s="837"/>
      <c r="L391" s="837">
        <f t="shared" ca="1" si="169"/>
        <v>0</v>
      </c>
      <c r="M391" s="837">
        <f t="shared" ca="1" si="169"/>
        <v>0</v>
      </c>
      <c r="N391" s="837">
        <f t="shared" ca="1" si="169"/>
        <v>0</v>
      </c>
      <c r="O391" s="837">
        <f t="shared" ca="1" si="167"/>
        <v>0</v>
      </c>
      <c r="P391" s="837">
        <f t="shared" ca="1" si="168"/>
        <v>0</v>
      </c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</row>
    <row r="392" spans="1:26" ht="18.75" hidden="1">
      <c r="A392" s="942"/>
      <c r="B392" s="827"/>
      <c r="C392" s="943"/>
      <c r="D392" s="828" t="s">
        <v>20</v>
      </c>
      <c r="E392" s="827"/>
      <c r="F392" s="827"/>
      <c r="G392" s="829"/>
      <c r="H392" s="778" t="s">
        <v>12</v>
      </c>
      <c r="I392" s="944"/>
      <c r="J392" s="944"/>
      <c r="K392" s="945"/>
      <c r="L392" s="831">
        <f t="shared" ref="L392:N392" ca="1" si="170">L393+L394</f>
        <v>0</v>
      </c>
      <c r="M392" s="831">
        <f t="shared" ca="1" si="170"/>
        <v>0</v>
      </c>
      <c r="N392" s="831">
        <f t="shared" ca="1" si="170"/>
        <v>0</v>
      </c>
      <c r="O392" s="831">
        <f t="shared" ca="1" si="167"/>
        <v>0</v>
      </c>
      <c r="P392" s="831">
        <f t="shared" ca="1" si="168"/>
        <v>0</v>
      </c>
      <c r="Q392" s="818"/>
      <c r="R392" s="818"/>
      <c r="S392" s="818"/>
      <c r="T392" s="818"/>
      <c r="U392" s="818"/>
      <c r="V392" s="818"/>
      <c r="W392" s="818"/>
      <c r="X392" s="818"/>
      <c r="Y392" s="818"/>
      <c r="Z392" s="818"/>
    </row>
    <row r="393" spans="1:26" ht="19.5" hidden="1">
      <c r="A393" s="940"/>
      <c r="B393" s="833"/>
      <c r="C393" s="946"/>
      <c r="D393" s="833"/>
      <c r="E393" s="834" t="s">
        <v>36</v>
      </c>
      <c r="F393" s="833"/>
      <c r="G393" s="941"/>
      <c r="H393" s="165" t="s">
        <v>12</v>
      </c>
      <c r="I393" s="947"/>
      <c r="J393" s="947"/>
      <c r="K393" s="948"/>
      <c r="L393" s="837">
        <v>0</v>
      </c>
      <c r="M393" s="837">
        <v>0</v>
      </c>
      <c r="N393" s="837">
        <v>0</v>
      </c>
      <c r="O393" s="837">
        <f t="shared" si="167"/>
        <v>0</v>
      </c>
      <c r="P393" s="837">
        <f t="shared" si="168"/>
        <v>0</v>
      </c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</row>
    <row r="394" spans="1:26" ht="19.5" hidden="1">
      <c r="A394" s="940"/>
      <c r="B394" s="833"/>
      <c r="C394" s="946"/>
      <c r="D394" s="833"/>
      <c r="E394" s="834" t="s">
        <v>37</v>
      </c>
      <c r="F394" s="833"/>
      <c r="G394" s="941"/>
      <c r="H394" s="165" t="s">
        <v>12</v>
      </c>
      <c r="I394" s="947"/>
      <c r="J394" s="947"/>
      <c r="K394" s="948"/>
      <c r="L394" s="837">
        <f ca="1">IFERROR(__xludf.DUMMYFUNCTION("IMPORTRANGE(""https://docs.google.com/spreadsheets/d/1MeEWN-I1oV_STSDYn1IFDPWt_1FKiwhDph83XaGc0o0/edit?usp=sharing"",""งบพรบ!FG30"")"),0)</f>
        <v>0</v>
      </c>
      <c r="M394" s="837">
        <f ca="1">IFERROR(__xludf.DUMMYFUNCTION("IMPORTRANGE(""https://docs.google.com/spreadsheets/d/1MeEWN-I1oV_STSDYn1IFDPWt_1FKiwhDph83XaGc0o0/edit?usp=sharing"",""งบพรบ!FL30"")"),0)</f>
        <v>0</v>
      </c>
      <c r="N394" s="837">
        <f ca="1">IFERROR(__xludf.DUMMYFUNCTION("IMPORTRANGE(""https://docs.google.com/spreadsheets/d/1MeEWN-I1oV_STSDYn1IFDPWt_1FKiwhDph83XaGc0o0/edit?usp=sharing"",""งบพรบ!FN30"")"),0)</f>
        <v>0</v>
      </c>
      <c r="O394" s="837">
        <f t="shared" ca="1" si="167"/>
        <v>0</v>
      </c>
      <c r="P394" s="837">
        <f t="shared" ca="1" si="168"/>
        <v>0</v>
      </c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</row>
    <row r="395" spans="1:26" ht="18.75" hidden="1">
      <c r="A395" s="942"/>
      <c r="B395" s="827"/>
      <c r="C395" s="943"/>
      <c r="D395" s="828" t="s">
        <v>21</v>
      </c>
      <c r="E395" s="827"/>
      <c r="F395" s="827"/>
      <c r="G395" s="829"/>
      <c r="H395" s="168" t="s">
        <v>12</v>
      </c>
      <c r="I395" s="944"/>
      <c r="J395" s="944"/>
      <c r="K395" s="945"/>
      <c r="L395" s="831">
        <f t="shared" ref="L395:N395" ca="1" si="171">L396+L397</f>
        <v>0</v>
      </c>
      <c r="M395" s="831">
        <f t="shared" ca="1" si="171"/>
        <v>0</v>
      </c>
      <c r="N395" s="831">
        <f t="shared" ca="1" si="171"/>
        <v>0</v>
      </c>
      <c r="O395" s="831">
        <f t="shared" ca="1" si="167"/>
        <v>0</v>
      </c>
      <c r="P395" s="831">
        <f t="shared" ca="1" si="168"/>
        <v>0</v>
      </c>
      <c r="Q395" s="818"/>
      <c r="R395" s="818"/>
      <c r="S395" s="818"/>
      <c r="T395" s="818"/>
      <c r="U395" s="818"/>
      <c r="V395" s="818"/>
      <c r="W395" s="818"/>
      <c r="X395" s="818"/>
      <c r="Y395" s="818"/>
      <c r="Z395" s="818"/>
    </row>
    <row r="396" spans="1:26" ht="19.5" hidden="1">
      <c r="A396" s="940"/>
      <c r="B396" s="833"/>
      <c r="C396" s="946"/>
      <c r="D396" s="833"/>
      <c r="E396" s="834" t="s">
        <v>18</v>
      </c>
      <c r="F396" s="833"/>
      <c r="G396" s="941"/>
      <c r="H396" s="165" t="s">
        <v>12</v>
      </c>
      <c r="I396" s="947"/>
      <c r="J396" s="947"/>
      <c r="K396" s="948"/>
      <c r="L396" s="837">
        <v>0</v>
      </c>
      <c r="M396" s="837">
        <v>0</v>
      </c>
      <c r="N396" s="837">
        <v>0</v>
      </c>
      <c r="O396" s="837">
        <f t="shared" si="167"/>
        <v>0</v>
      </c>
      <c r="P396" s="837">
        <f t="shared" si="168"/>
        <v>0</v>
      </c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</row>
    <row r="397" spans="1:26" ht="19.5" hidden="1">
      <c r="A397" s="940"/>
      <c r="B397" s="833"/>
      <c r="C397" s="946"/>
      <c r="D397" s="833"/>
      <c r="E397" s="834" t="s">
        <v>19</v>
      </c>
      <c r="F397" s="833"/>
      <c r="G397" s="941"/>
      <c r="H397" s="169" t="s">
        <v>12</v>
      </c>
      <c r="I397" s="947"/>
      <c r="J397" s="947"/>
      <c r="K397" s="948"/>
      <c r="L397" s="837">
        <f ca="1">IFERROR(__xludf.DUMMYFUNCTION("IMPORTRANGE(""https://docs.google.com/spreadsheets/d/1MeEWN-I1oV_STSDYn1IFDPWt_1FKiwhDph83XaGc0o0/edit?usp=sharing"",""งบพรบ!FJ30"")"),0)</f>
        <v>0</v>
      </c>
      <c r="M397" s="837">
        <f ca="1">IFERROR(__xludf.DUMMYFUNCTION("IMPORTRANGE(""https://docs.google.com/spreadsheets/d/1MeEWN-I1oV_STSDYn1IFDPWt_1FKiwhDph83XaGc0o0/edit?usp=sharing"",""งบพรบ!FM30"")"),0)</f>
        <v>0</v>
      </c>
      <c r="N397" s="837">
        <f ca="1">IFERROR(__xludf.DUMMYFUNCTION("IMPORTRANGE(""https://docs.google.com/spreadsheets/d/1MeEWN-I1oV_STSDYn1IFDPWt_1FKiwhDph83XaGc0o0/edit?usp=sharing"",""งบพรบ!FO30"")"),0)</f>
        <v>0</v>
      </c>
      <c r="O397" s="837">
        <f t="shared" ca="1" si="167"/>
        <v>0</v>
      </c>
      <c r="P397" s="837">
        <f t="shared" ca="1" si="168"/>
        <v>0</v>
      </c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</row>
    <row r="398" spans="1:26" ht="19.5" hidden="1">
      <c r="A398" s="949"/>
      <c r="B398" s="950"/>
      <c r="C398" s="946" t="s">
        <v>16</v>
      </c>
      <c r="D398" s="951" t="s">
        <v>38</v>
      </c>
      <c r="E398" s="952"/>
      <c r="F398" s="952"/>
      <c r="G398" s="953"/>
      <c r="H398" s="954"/>
      <c r="I398" s="944"/>
      <c r="J398" s="830"/>
      <c r="K398" s="831"/>
      <c r="L398" s="831"/>
      <c r="M398" s="831"/>
      <c r="N398" s="831"/>
      <c r="O398" s="945"/>
      <c r="P398" s="945"/>
    </row>
    <row r="399" spans="1:26" ht="18.75" hidden="1">
      <c r="A399" s="1204"/>
      <c r="B399" s="933"/>
      <c r="C399" s="1205"/>
      <c r="D399" s="968" t="s">
        <v>174</v>
      </c>
      <c r="E399" s="1113"/>
      <c r="F399" s="933"/>
      <c r="G399" s="936"/>
      <c r="H399" s="496" t="s">
        <v>9</v>
      </c>
      <c r="I399" s="830">
        <v>0</v>
      </c>
      <c r="J399" s="959">
        <v>0</v>
      </c>
      <c r="K399" s="831">
        <f t="shared" ref="K399:K401" si="172">IF(I399&gt;0,J399*100/I399,0)</f>
        <v>0</v>
      </c>
      <c r="L399" s="1206"/>
      <c r="M399" s="1206"/>
      <c r="N399" s="1206"/>
      <c r="O399" s="1206"/>
      <c r="P399" s="1206"/>
      <c r="Q399" s="818"/>
      <c r="R399" s="818"/>
      <c r="S399" s="818"/>
      <c r="T399" s="818"/>
      <c r="U399" s="818"/>
      <c r="V399" s="818"/>
      <c r="W399" s="818"/>
      <c r="X399" s="818"/>
      <c r="Y399" s="818"/>
      <c r="Z399" s="818"/>
    </row>
    <row r="400" spans="1:26" ht="18.75" hidden="1">
      <c r="A400" s="1032"/>
      <c r="B400" s="827"/>
      <c r="C400" s="1030"/>
      <c r="D400" s="956" t="s">
        <v>175</v>
      </c>
      <c r="E400" s="950"/>
      <c r="F400" s="827"/>
      <c r="G400" s="829"/>
      <c r="H400" s="277" t="s">
        <v>66</v>
      </c>
      <c r="I400" s="830">
        <v>0</v>
      </c>
      <c r="J400" s="959">
        <v>0</v>
      </c>
      <c r="K400" s="831">
        <f t="shared" si="172"/>
        <v>0</v>
      </c>
      <c r="L400" s="831"/>
      <c r="M400" s="831"/>
      <c r="N400" s="831"/>
      <c r="O400" s="831"/>
      <c r="P400" s="831"/>
    </row>
    <row r="401" spans="1:26" ht="19.5" hidden="1">
      <c r="A401" s="1196"/>
      <c r="B401" s="1197" t="s">
        <v>176</v>
      </c>
      <c r="C401" s="1198"/>
      <c r="D401" s="1199"/>
      <c r="E401" s="1199"/>
      <c r="F401" s="1199"/>
      <c r="G401" s="1200"/>
      <c r="H401" s="489" t="s">
        <v>66</v>
      </c>
      <c r="I401" s="1201">
        <f t="shared" ref="I401:J401" si="173">I412</f>
        <v>0</v>
      </c>
      <c r="J401" s="1201">
        <f t="shared" si="173"/>
        <v>0</v>
      </c>
      <c r="K401" s="1202">
        <f t="shared" si="172"/>
        <v>0</v>
      </c>
      <c r="L401" s="1203"/>
      <c r="M401" s="1203"/>
      <c r="N401" s="1203"/>
      <c r="O401" s="1203"/>
      <c r="P401" s="1203"/>
    </row>
    <row r="402" spans="1:26" ht="19.5" hidden="1">
      <c r="A402" s="932"/>
      <c r="B402" s="933"/>
      <c r="C402" s="934" t="s">
        <v>16</v>
      </c>
      <c r="D402" s="935" t="s">
        <v>17</v>
      </c>
      <c r="E402" s="933"/>
      <c r="F402" s="933"/>
      <c r="G402" s="936"/>
      <c r="H402" s="152" t="s">
        <v>12</v>
      </c>
      <c r="I402" s="937"/>
      <c r="J402" s="937"/>
      <c r="K402" s="938"/>
      <c r="L402" s="939">
        <f t="shared" ref="L402:N402" ca="1" si="174">L403+L404</f>
        <v>0</v>
      </c>
      <c r="M402" s="939">
        <f t="shared" ca="1" si="174"/>
        <v>0</v>
      </c>
      <c r="N402" s="939">
        <f t="shared" ca="1" si="174"/>
        <v>0</v>
      </c>
      <c r="O402" s="939">
        <f t="shared" ref="O402:O410" ca="1" si="175">IF(L402&gt;0,N402*100/L402,0)</f>
        <v>0</v>
      </c>
      <c r="P402" s="939">
        <f t="shared" ref="P402:P410" ca="1" si="176">IF(M402&gt;0,N402*100/M402,0)</f>
        <v>0</v>
      </c>
      <c r="Q402" s="818"/>
      <c r="R402" s="818"/>
      <c r="S402" s="818"/>
      <c r="T402" s="818"/>
      <c r="U402" s="818"/>
      <c r="V402" s="818"/>
      <c r="W402" s="818"/>
      <c r="X402" s="818"/>
      <c r="Y402" s="818"/>
      <c r="Z402" s="818"/>
    </row>
    <row r="403" spans="1:26" ht="18.75" hidden="1">
      <c r="A403" s="940"/>
      <c r="B403" s="833"/>
      <c r="C403" s="833"/>
      <c r="D403" s="833"/>
      <c r="E403" s="834" t="s">
        <v>18</v>
      </c>
      <c r="F403" s="833"/>
      <c r="G403" s="941"/>
      <c r="H403" s="158" t="s">
        <v>12</v>
      </c>
      <c r="I403" s="836"/>
      <c r="J403" s="836"/>
      <c r="K403" s="837"/>
      <c r="L403" s="837">
        <f t="shared" ref="L403:N404" si="177">L406+L409</f>
        <v>0</v>
      </c>
      <c r="M403" s="837">
        <f t="shared" si="177"/>
        <v>0</v>
      </c>
      <c r="N403" s="837">
        <f t="shared" si="177"/>
        <v>0</v>
      </c>
      <c r="O403" s="837">
        <f t="shared" si="175"/>
        <v>0</v>
      </c>
      <c r="P403" s="837">
        <f t="shared" si="176"/>
        <v>0</v>
      </c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</row>
    <row r="404" spans="1:26" ht="18.75" hidden="1">
      <c r="A404" s="940"/>
      <c r="B404" s="833"/>
      <c r="C404" s="833"/>
      <c r="D404" s="833"/>
      <c r="E404" s="834" t="s">
        <v>19</v>
      </c>
      <c r="F404" s="833"/>
      <c r="G404" s="941"/>
      <c r="H404" s="158" t="s">
        <v>12</v>
      </c>
      <c r="I404" s="836"/>
      <c r="J404" s="836"/>
      <c r="K404" s="837"/>
      <c r="L404" s="837">
        <f t="shared" ca="1" si="177"/>
        <v>0</v>
      </c>
      <c r="M404" s="837">
        <f t="shared" ca="1" si="177"/>
        <v>0</v>
      </c>
      <c r="N404" s="837">
        <f t="shared" ca="1" si="177"/>
        <v>0</v>
      </c>
      <c r="O404" s="837">
        <f t="shared" ca="1" si="175"/>
        <v>0</v>
      </c>
      <c r="P404" s="837">
        <f t="shared" ca="1" si="176"/>
        <v>0</v>
      </c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</row>
    <row r="405" spans="1:26" ht="18.75" hidden="1">
      <c r="A405" s="942"/>
      <c r="B405" s="827"/>
      <c r="C405" s="943"/>
      <c r="D405" s="828" t="s">
        <v>20</v>
      </c>
      <c r="E405" s="827"/>
      <c r="F405" s="827"/>
      <c r="G405" s="829"/>
      <c r="H405" s="778" t="s">
        <v>12</v>
      </c>
      <c r="I405" s="944"/>
      <c r="J405" s="944"/>
      <c r="K405" s="945"/>
      <c r="L405" s="831">
        <f t="shared" ref="L405:N405" ca="1" si="178">L406+L407</f>
        <v>0</v>
      </c>
      <c r="M405" s="831">
        <f t="shared" ca="1" si="178"/>
        <v>0</v>
      </c>
      <c r="N405" s="831">
        <f t="shared" ca="1" si="178"/>
        <v>0</v>
      </c>
      <c r="O405" s="831">
        <f t="shared" ca="1" si="175"/>
        <v>0</v>
      </c>
      <c r="P405" s="831">
        <f t="shared" ca="1" si="176"/>
        <v>0</v>
      </c>
      <c r="Q405" s="818"/>
      <c r="R405" s="818"/>
      <c r="S405" s="818"/>
      <c r="T405" s="818"/>
      <c r="U405" s="818"/>
      <c r="V405" s="818"/>
      <c r="W405" s="818"/>
      <c r="X405" s="818"/>
      <c r="Y405" s="818"/>
      <c r="Z405" s="818"/>
    </row>
    <row r="406" spans="1:26" ht="19.5" hidden="1">
      <c r="A406" s="940"/>
      <c r="B406" s="833"/>
      <c r="C406" s="946"/>
      <c r="D406" s="833"/>
      <c r="E406" s="834" t="s">
        <v>36</v>
      </c>
      <c r="F406" s="833"/>
      <c r="G406" s="941"/>
      <c r="H406" s="165" t="s">
        <v>12</v>
      </c>
      <c r="I406" s="947"/>
      <c r="J406" s="947"/>
      <c r="K406" s="948"/>
      <c r="L406" s="837">
        <v>0</v>
      </c>
      <c r="M406" s="837">
        <v>0</v>
      </c>
      <c r="N406" s="837">
        <v>0</v>
      </c>
      <c r="O406" s="837">
        <f t="shared" si="175"/>
        <v>0</v>
      </c>
      <c r="P406" s="837">
        <f t="shared" si="176"/>
        <v>0</v>
      </c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</row>
    <row r="407" spans="1:26" ht="19.5" hidden="1">
      <c r="A407" s="940"/>
      <c r="B407" s="833"/>
      <c r="C407" s="946"/>
      <c r="D407" s="833"/>
      <c r="E407" s="834" t="s">
        <v>37</v>
      </c>
      <c r="F407" s="833"/>
      <c r="G407" s="941"/>
      <c r="H407" s="165" t="s">
        <v>12</v>
      </c>
      <c r="I407" s="947"/>
      <c r="J407" s="947"/>
      <c r="K407" s="948"/>
      <c r="L407" s="837">
        <f ca="1">IFERROR(__xludf.DUMMYFUNCTION("IMPORTRANGE(""https://docs.google.com/spreadsheets/d/1MeEWN-I1oV_STSDYn1IFDPWt_1FKiwhDph83XaGc0o0/edit?usp=sharing"",""งบพรบ!FQ30"")"),0)</f>
        <v>0</v>
      </c>
      <c r="M407" s="837">
        <f ca="1">IFERROR(__xludf.DUMMYFUNCTION("IMPORTRANGE(""https://docs.google.com/spreadsheets/d/1MeEWN-I1oV_STSDYn1IFDPWt_1FKiwhDph83XaGc0o0/edit?usp=sharing"",""งบพรบ!FV30"")"),0)</f>
        <v>0</v>
      </c>
      <c r="N407" s="837">
        <f ca="1">IFERROR(__xludf.DUMMYFUNCTION("IMPORTRANGE(""https://docs.google.com/spreadsheets/d/1MeEWN-I1oV_STSDYn1IFDPWt_1FKiwhDph83XaGc0o0/edit?usp=sharing"",""งบพรบ!FX30"")"),0)</f>
        <v>0</v>
      </c>
      <c r="O407" s="837">
        <f t="shared" ca="1" si="175"/>
        <v>0</v>
      </c>
      <c r="P407" s="837">
        <f t="shared" ca="1" si="176"/>
        <v>0</v>
      </c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</row>
    <row r="408" spans="1:26" ht="18.75" hidden="1">
      <c r="A408" s="942"/>
      <c r="B408" s="827"/>
      <c r="C408" s="943"/>
      <c r="D408" s="828" t="s">
        <v>21</v>
      </c>
      <c r="E408" s="827"/>
      <c r="F408" s="827"/>
      <c r="G408" s="829"/>
      <c r="H408" s="168" t="s">
        <v>12</v>
      </c>
      <c r="I408" s="944"/>
      <c r="J408" s="944"/>
      <c r="K408" s="945"/>
      <c r="L408" s="831">
        <f t="shared" ref="L408:N408" ca="1" si="179">L409+L410</f>
        <v>0</v>
      </c>
      <c r="M408" s="831">
        <f t="shared" ca="1" si="179"/>
        <v>0</v>
      </c>
      <c r="N408" s="831">
        <f t="shared" ca="1" si="179"/>
        <v>0</v>
      </c>
      <c r="O408" s="831">
        <f t="shared" ca="1" si="175"/>
        <v>0</v>
      </c>
      <c r="P408" s="831">
        <f t="shared" ca="1" si="176"/>
        <v>0</v>
      </c>
      <c r="Q408" s="818"/>
      <c r="R408" s="818"/>
      <c r="S408" s="818"/>
      <c r="T408" s="818"/>
      <c r="U408" s="818"/>
      <c r="V408" s="818"/>
      <c r="W408" s="818"/>
      <c r="X408" s="818"/>
      <c r="Y408" s="818"/>
      <c r="Z408" s="818"/>
    </row>
    <row r="409" spans="1:26" ht="19.5" hidden="1">
      <c r="A409" s="940"/>
      <c r="B409" s="833"/>
      <c r="C409" s="946"/>
      <c r="D409" s="833"/>
      <c r="E409" s="834" t="s">
        <v>18</v>
      </c>
      <c r="F409" s="833"/>
      <c r="G409" s="941"/>
      <c r="H409" s="165" t="s">
        <v>12</v>
      </c>
      <c r="I409" s="947"/>
      <c r="J409" s="947"/>
      <c r="K409" s="948"/>
      <c r="L409" s="837">
        <v>0</v>
      </c>
      <c r="M409" s="837">
        <v>0</v>
      </c>
      <c r="N409" s="837">
        <v>0</v>
      </c>
      <c r="O409" s="837">
        <f t="shared" si="175"/>
        <v>0</v>
      </c>
      <c r="P409" s="837">
        <f t="shared" si="176"/>
        <v>0</v>
      </c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</row>
    <row r="410" spans="1:26" ht="19.5" hidden="1">
      <c r="A410" s="940"/>
      <c r="B410" s="833"/>
      <c r="C410" s="946"/>
      <c r="D410" s="833"/>
      <c r="E410" s="834" t="s">
        <v>19</v>
      </c>
      <c r="F410" s="833"/>
      <c r="G410" s="941"/>
      <c r="H410" s="169" t="s">
        <v>12</v>
      </c>
      <c r="I410" s="947"/>
      <c r="J410" s="947"/>
      <c r="K410" s="948"/>
      <c r="L410" s="837">
        <f ca="1">IFERROR(__xludf.DUMMYFUNCTION("IMPORTRANGE(""https://docs.google.com/spreadsheets/d/1MeEWN-I1oV_STSDYn1IFDPWt_1FKiwhDph83XaGc0o0/edit?usp=sharing"",""งบพรบ!FT30"")"),0)</f>
        <v>0</v>
      </c>
      <c r="M410" s="837">
        <f ca="1">IFERROR(__xludf.DUMMYFUNCTION("IMPORTRANGE(""https://docs.google.com/spreadsheets/d/1MeEWN-I1oV_STSDYn1IFDPWt_1FKiwhDph83XaGc0o0/edit?usp=sharing"",""งบพรบ!FW30"")"),0)</f>
        <v>0</v>
      </c>
      <c r="N410" s="837">
        <f ca="1">IFERROR(__xludf.DUMMYFUNCTION("IMPORTRANGE(""https://docs.google.com/spreadsheets/d/1MeEWN-I1oV_STSDYn1IFDPWt_1FKiwhDph83XaGc0o0/edit?usp=sharing"",""งบพรบ!FY30"")"),0)</f>
        <v>0</v>
      </c>
      <c r="O410" s="837">
        <f t="shared" ca="1" si="175"/>
        <v>0</v>
      </c>
      <c r="P410" s="837">
        <f t="shared" ca="1" si="176"/>
        <v>0</v>
      </c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</row>
    <row r="411" spans="1:26" ht="19.5" hidden="1">
      <c r="A411" s="949"/>
      <c r="B411" s="950"/>
      <c r="C411" s="946" t="s">
        <v>16</v>
      </c>
      <c r="D411" s="1207" t="s">
        <v>38</v>
      </c>
      <c r="E411" s="1208"/>
      <c r="F411" s="1208"/>
      <c r="G411" s="1209"/>
      <c r="H411" s="954"/>
      <c r="I411" s="830"/>
      <c r="J411" s="830"/>
      <c r="K411" s="831"/>
      <c r="L411" s="945"/>
      <c r="M411" s="945"/>
      <c r="N411" s="945"/>
      <c r="O411" s="945"/>
      <c r="P411" s="945"/>
    </row>
    <row r="412" spans="1:26" ht="18.75" hidden="1">
      <c r="A412" s="949"/>
      <c r="B412" s="957"/>
      <c r="C412" s="957"/>
      <c r="D412" s="956" t="s">
        <v>177</v>
      </c>
      <c r="E412" s="957"/>
      <c r="F412" s="957"/>
      <c r="G412" s="958"/>
      <c r="H412" s="501" t="s">
        <v>66</v>
      </c>
      <c r="I412" s="830">
        <v>0</v>
      </c>
      <c r="J412" s="959">
        <v>0</v>
      </c>
      <c r="K412" s="831">
        <f t="shared" ref="K412:K413" si="180">IF(I412&gt;0,J412*100/I412,0)</f>
        <v>0</v>
      </c>
      <c r="L412" s="945"/>
      <c r="M412" s="945"/>
      <c r="N412" s="945"/>
      <c r="O412" s="945"/>
      <c r="P412" s="945"/>
    </row>
    <row r="413" spans="1:26" ht="19.5" hidden="1" thickBot="1">
      <c r="A413" s="1210"/>
      <c r="B413" s="1211"/>
      <c r="C413" s="1211"/>
      <c r="D413" s="1212" t="s">
        <v>178</v>
      </c>
      <c r="E413" s="1211"/>
      <c r="F413" s="1211"/>
      <c r="G413" s="1213"/>
      <c r="H413" s="506" t="s">
        <v>179</v>
      </c>
      <c r="I413" s="1214">
        <v>0</v>
      </c>
      <c r="J413" s="1215">
        <v>0</v>
      </c>
      <c r="K413" s="1216">
        <f t="shared" si="180"/>
        <v>0</v>
      </c>
      <c r="L413" s="1217"/>
      <c r="M413" s="1217"/>
      <c r="N413" s="1217"/>
      <c r="O413" s="1217"/>
      <c r="P413" s="1217"/>
    </row>
    <row r="414" spans="1:26" ht="19.5">
      <c r="A414" s="1218" t="s">
        <v>180</v>
      </c>
      <c r="B414" s="1219"/>
      <c r="C414" s="1219"/>
      <c r="D414" s="1219"/>
      <c r="E414" s="1219"/>
      <c r="F414" s="1219"/>
      <c r="G414" s="1220"/>
      <c r="H414" s="1221"/>
      <c r="I414" s="1222"/>
      <c r="J414" s="1222"/>
      <c r="K414" s="1223"/>
      <c r="L414" s="1224">
        <f t="shared" ref="L414:N414" ca="1" si="181">L419+L444+L467+L502+L523+L544+L629+L655+L685+L737+L754+L770+L786+L805</f>
        <v>2925766</v>
      </c>
      <c r="M414" s="1224">
        <f t="shared" si="181"/>
        <v>0</v>
      </c>
      <c r="N414" s="1224">
        <f t="shared" si="181"/>
        <v>698647.7</v>
      </c>
      <c r="O414" s="1224">
        <f ca="1">IF(L414&gt;0,N414*100/L414,0)</f>
        <v>23.879137976174444</v>
      </c>
      <c r="P414" s="1224">
        <f>IF(M414&gt;0,N414*100/M414,0)</f>
        <v>0</v>
      </c>
    </row>
    <row r="415" spans="1:26" ht="19.5">
      <c r="A415" s="1225" t="s">
        <v>181</v>
      </c>
      <c r="B415" s="1226"/>
      <c r="C415" s="1226"/>
      <c r="D415" s="1226"/>
      <c r="E415" s="1226"/>
      <c r="F415" s="1226"/>
      <c r="G415" s="1226"/>
      <c r="H415" s="1227"/>
      <c r="I415" s="1228"/>
      <c r="J415" s="1228"/>
      <c r="K415" s="1229"/>
      <c r="L415" s="1230"/>
      <c r="M415" s="1230"/>
      <c r="N415" s="1230"/>
      <c r="O415" s="1230"/>
      <c r="P415" s="1230"/>
    </row>
    <row r="416" spans="1:26" ht="19.5">
      <c r="A416" s="1225" t="s">
        <v>182</v>
      </c>
      <c r="B416" s="1226"/>
      <c r="C416" s="1226"/>
      <c r="D416" s="1226"/>
      <c r="E416" s="1226"/>
      <c r="F416" s="1226"/>
      <c r="G416" s="1231"/>
      <c r="H416" s="1232"/>
      <c r="I416" s="1233"/>
      <c r="J416" s="1233"/>
      <c r="K416" s="1230"/>
      <c r="L416" s="1230"/>
      <c r="M416" s="1230"/>
      <c r="N416" s="1230"/>
      <c r="O416" s="1230"/>
      <c r="P416" s="1230"/>
    </row>
    <row r="417" spans="1:26" ht="39">
      <c r="A417" s="527">
        <v>1</v>
      </c>
      <c r="B417" s="1234" t="s">
        <v>183</v>
      </c>
      <c r="C417" s="1234"/>
      <c r="D417" s="1235"/>
      <c r="E417" s="1235"/>
      <c r="F417" s="1235"/>
      <c r="G417" s="1236"/>
      <c r="H417" s="532" t="s">
        <v>35</v>
      </c>
      <c r="I417" s="1237">
        <f t="shared" ref="I417:J418" ca="1" si="182">I433</f>
        <v>20</v>
      </c>
      <c r="J417" s="1237">
        <f t="shared" ca="1" si="182"/>
        <v>0</v>
      </c>
      <c r="K417" s="1238">
        <f t="shared" ref="K417:K418" ca="1" si="183">IF(I417&gt;0,J417*100/I417,0)</f>
        <v>0</v>
      </c>
      <c r="L417" s="1239"/>
      <c r="M417" s="1239"/>
      <c r="N417" s="1239"/>
      <c r="O417" s="1239"/>
      <c r="P417" s="1239"/>
    </row>
    <row r="418" spans="1:26" ht="19.5">
      <c r="A418" s="1240"/>
      <c r="B418" s="527"/>
      <c r="C418" s="1234"/>
      <c r="D418" s="1235"/>
      <c r="E418" s="1235"/>
      <c r="F418" s="1235"/>
      <c r="G418" s="1236"/>
      <c r="H418" s="532" t="s">
        <v>49</v>
      </c>
      <c r="I418" s="1237">
        <f t="shared" ca="1" si="182"/>
        <v>1</v>
      </c>
      <c r="J418" s="1237">
        <f t="shared" si="182"/>
        <v>0</v>
      </c>
      <c r="K418" s="1238">
        <f t="shared" ca="1" si="183"/>
        <v>0</v>
      </c>
      <c r="L418" s="1239"/>
      <c r="M418" s="1239"/>
      <c r="N418" s="1239"/>
      <c r="O418" s="1239"/>
      <c r="P418" s="1239"/>
    </row>
    <row r="419" spans="1:26" ht="19.5">
      <c r="A419" s="932"/>
      <c r="B419" s="933"/>
      <c r="C419" s="933" t="s">
        <v>16</v>
      </c>
      <c r="D419" s="1510" t="s">
        <v>17</v>
      </c>
      <c r="E419" s="1487"/>
      <c r="F419" s="1487"/>
      <c r="G419" s="936"/>
      <c r="H419" s="275" t="s">
        <v>12</v>
      </c>
      <c r="I419" s="937"/>
      <c r="J419" s="937"/>
      <c r="K419" s="938"/>
      <c r="L419" s="939">
        <f t="shared" ref="L419:N419" ca="1" si="184">L420+L421</f>
        <v>78660</v>
      </c>
      <c r="M419" s="939">
        <f t="shared" si="184"/>
        <v>0</v>
      </c>
      <c r="N419" s="939">
        <f t="shared" si="184"/>
        <v>39775</v>
      </c>
      <c r="O419" s="939">
        <f t="shared" ref="O419:O424" ca="1" si="185">IF(L419&gt;0,N419*100/L419,0)</f>
        <v>50.565725908975338</v>
      </c>
      <c r="P419" s="939">
        <f t="shared" ref="P419:P424" si="186">IF(M419&gt;0,N419*100/M419,0)</f>
        <v>0</v>
      </c>
      <c r="Q419" s="818"/>
      <c r="R419" s="818"/>
      <c r="S419" s="818"/>
      <c r="T419" s="818"/>
      <c r="U419" s="818"/>
      <c r="V419" s="818"/>
      <c r="W419" s="818"/>
      <c r="X419" s="818"/>
      <c r="Y419" s="818"/>
      <c r="Z419" s="818"/>
    </row>
    <row r="420" spans="1:26" ht="18.75" hidden="1">
      <c r="A420" s="940"/>
      <c r="B420" s="833"/>
      <c r="C420" s="833"/>
      <c r="D420" s="1061"/>
      <c r="E420" s="834" t="s">
        <v>184</v>
      </c>
      <c r="F420" s="833"/>
      <c r="G420" s="941"/>
      <c r="H420" s="165" t="s">
        <v>12</v>
      </c>
      <c r="I420" s="836"/>
      <c r="J420" s="836"/>
      <c r="K420" s="837"/>
      <c r="L420" s="837">
        <f t="shared" ref="L420:N421" si="187">L423+L430</f>
        <v>0</v>
      </c>
      <c r="M420" s="837">
        <f t="shared" si="187"/>
        <v>0</v>
      </c>
      <c r="N420" s="837">
        <f t="shared" si="187"/>
        <v>0</v>
      </c>
      <c r="O420" s="837">
        <f t="shared" si="185"/>
        <v>0</v>
      </c>
      <c r="P420" s="837">
        <f t="shared" si="186"/>
        <v>0</v>
      </c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</row>
    <row r="421" spans="1:26" ht="18.75" hidden="1">
      <c r="A421" s="940"/>
      <c r="B421" s="833"/>
      <c r="C421" s="833"/>
      <c r="D421" s="1061"/>
      <c r="E421" s="834" t="s">
        <v>185</v>
      </c>
      <c r="F421" s="833"/>
      <c r="G421" s="941"/>
      <c r="H421" s="165" t="s">
        <v>12</v>
      </c>
      <c r="I421" s="836"/>
      <c r="J421" s="836"/>
      <c r="K421" s="837"/>
      <c r="L421" s="837">
        <f t="shared" ca="1" si="187"/>
        <v>78660</v>
      </c>
      <c r="M421" s="837">
        <f t="shared" si="187"/>
        <v>0</v>
      </c>
      <c r="N421" s="837">
        <f t="shared" si="187"/>
        <v>39775</v>
      </c>
      <c r="O421" s="837">
        <f t="shared" ca="1" si="185"/>
        <v>50.565725908975338</v>
      </c>
      <c r="P421" s="837">
        <f t="shared" si="186"/>
        <v>0</v>
      </c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</row>
    <row r="422" spans="1:26" ht="18.75">
      <c r="A422" s="942"/>
      <c r="B422" s="1030"/>
      <c r="C422" s="827"/>
      <c r="D422" s="828" t="s">
        <v>20</v>
      </c>
      <c r="E422" s="827"/>
      <c r="F422" s="827"/>
      <c r="G422" s="829"/>
      <c r="H422" s="778" t="s">
        <v>12</v>
      </c>
      <c r="I422" s="944"/>
      <c r="J422" s="944"/>
      <c r="K422" s="945"/>
      <c r="L422" s="831">
        <f t="shared" ref="L422:N422" ca="1" si="188">L423+L424</f>
        <v>78660</v>
      </c>
      <c r="M422" s="831">
        <f t="shared" si="188"/>
        <v>0</v>
      </c>
      <c r="N422" s="831">
        <f t="shared" si="188"/>
        <v>39775</v>
      </c>
      <c r="O422" s="831">
        <f t="shared" ca="1" si="185"/>
        <v>50.565725908975338</v>
      </c>
      <c r="P422" s="831">
        <f t="shared" si="186"/>
        <v>0</v>
      </c>
      <c r="Q422" s="818"/>
      <c r="R422" s="818"/>
      <c r="S422" s="818"/>
      <c r="T422" s="818"/>
      <c r="U422" s="818"/>
      <c r="V422" s="818"/>
      <c r="W422" s="818"/>
      <c r="X422" s="818"/>
      <c r="Y422" s="818"/>
      <c r="Z422" s="818"/>
    </row>
    <row r="423" spans="1:26" ht="18.75" hidden="1">
      <c r="A423" s="940"/>
      <c r="B423" s="833"/>
      <c r="C423" s="833"/>
      <c r="D423" s="1061"/>
      <c r="E423" s="834" t="s">
        <v>184</v>
      </c>
      <c r="F423" s="833"/>
      <c r="G423" s="941"/>
      <c r="H423" s="165" t="s">
        <v>12</v>
      </c>
      <c r="I423" s="836"/>
      <c r="J423" s="836"/>
      <c r="K423" s="837"/>
      <c r="L423" s="837">
        <v>0</v>
      </c>
      <c r="M423" s="837">
        <v>0</v>
      </c>
      <c r="N423" s="837">
        <v>0</v>
      </c>
      <c r="O423" s="837">
        <f t="shared" si="185"/>
        <v>0</v>
      </c>
      <c r="P423" s="837">
        <f t="shared" si="186"/>
        <v>0</v>
      </c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</row>
    <row r="424" spans="1:26" ht="18.75" hidden="1">
      <c r="A424" s="940"/>
      <c r="B424" s="833"/>
      <c r="C424" s="833"/>
      <c r="D424" s="1061"/>
      <c r="E424" s="834" t="s">
        <v>185</v>
      </c>
      <c r="F424" s="833"/>
      <c r="G424" s="941"/>
      <c r="H424" s="165" t="s">
        <v>12</v>
      </c>
      <c r="I424" s="836"/>
      <c r="J424" s="836"/>
      <c r="K424" s="837"/>
      <c r="L424" s="837">
        <f ca="1">IFERROR(__xludf.DUMMYFUNCTION("IMPORTRANGE(""https://docs.google.com/spreadsheets/d/1QqKyyYR6Q21VydFLVH3TRQUabQu_ym0Zz7PgGX0-kHA/edit?usp=sharing"",""แผน!EY30"")"),78660)</f>
        <v>78660</v>
      </c>
      <c r="M424" s="837">
        <v>0</v>
      </c>
      <c r="N424" s="837">
        <f>N425+N426+N427+N428</f>
        <v>39775</v>
      </c>
      <c r="O424" s="837">
        <f t="shared" ca="1" si="185"/>
        <v>50.565725908975338</v>
      </c>
      <c r="P424" s="837">
        <f t="shared" si="186"/>
        <v>0</v>
      </c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</row>
    <row r="425" spans="1:26" ht="18.75">
      <c r="A425" s="1241"/>
      <c r="B425" s="1242"/>
      <c r="C425" s="1243"/>
      <c r="D425" s="1243"/>
      <c r="E425" s="1243"/>
      <c r="F425" s="1243" t="s">
        <v>186</v>
      </c>
      <c r="G425" s="963"/>
      <c r="H425" s="778" t="s">
        <v>12</v>
      </c>
      <c r="I425" s="830"/>
      <c r="J425" s="830"/>
      <c r="K425" s="831"/>
      <c r="L425" s="831"/>
      <c r="M425" s="831"/>
      <c r="N425" s="1031">
        <v>30475</v>
      </c>
      <c r="O425" s="831"/>
      <c r="P425" s="831"/>
      <c r="Q425" s="1244"/>
      <c r="R425" s="1244"/>
      <c r="S425" s="1244"/>
      <c r="T425" s="1244"/>
      <c r="U425" s="1244"/>
      <c r="V425" s="1244"/>
      <c r="W425" s="1244"/>
      <c r="X425" s="1244"/>
      <c r="Y425" s="1244"/>
      <c r="Z425" s="1244"/>
    </row>
    <row r="426" spans="1:26" ht="18.75">
      <c r="A426" s="1241"/>
      <c r="B426" s="1242"/>
      <c r="C426" s="1243"/>
      <c r="D426" s="1243"/>
      <c r="E426" s="1243"/>
      <c r="F426" s="1243" t="s">
        <v>187</v>
      </c>
      <c r="G426" s="963"/>
      <c r="H426" s="778" t="s">
        <v>12</v>
      </c>
      <c r="I426" s="830"/>
      <c r="J426" s="830"/>
      <c r="K426" s="831"/>
      <c r="L426" s="831"/>
      <c r="M426" s="831"/>
      <c r="N426" s="1031">
        <v>0</v>
      </c>
      <c r="O426" s="831"/>
      <c r="P426" s="831"/>
      <c r="Q426" s="1244"/>
      <c r="R426" s="1244"/>
      <c r="S426" s="1244"/>
      <c r="T426" s="1244"/>
      <c r="U426" s="1244"/>
      <c r="V426" s="1244"/>
      <c r="W426" s="1244"/>
      <c r="X426" s="1244"/>
      <c r="Y426" s="1244"/>
      <c r="Z426" s="1244"/>
    </row>
    <row r="427" spans="1:26" ht="18.75">
      <c r="A427" s="1241"/>
      <c r="B427" s="1242"/>
      <c r="C427" s="1243"/>
      <c r="D427" s="1243"/>
      <c r="E427" s="1243"/>
      <c r="F427" s="1243" t="s">
        <v>188</v>
      </c>
      <c r="G427" s="963"/>
      <c r="H427" s="778" t="s">
        <v>12</v>
      </c>
      <c r="I427" s="830"/>
      <c r="J427" s="830"/>
      <c r="K427" s="831"/>
      <c r="L427" s="831"/>
      <c r="M427" s="831"/>
      <c r="N427" s="1031">
        <v>0</v>
      </c>
      <c r="O427" s="831"/>
      <c r="P427" s="831"/>
      <c r="Q427" s="1244"/>
      <c r="R427" s="1244"/>
      <c r="S427" s="1244"/>
      <c r="T427" s="1244"/>
      <c r="U427" s="1244"/>
      <c r="V427" s="1244"/>
      <c r="W427" s="1244"/>
      <c r="X427" s="1244"/>
      <c r="Y427" s="1244"/>
      <c r="Z427" s="1244"/>
    </row>
    <row r="428" spans="1:26" ht="18.75">
      <c r="A428" s="1032"/>
      <c r="B428" s="1030"/>
      <c r="C428" s="827"/>
      <c r="D428" s="827"/>
      <c r="E428" s="827"/>
      <c r="F428" s="943" t="s">
        <v>189</v>
      </c>
      <c r="G428" s="977"/>
      <c r="H428" s="778" t="s">
        <v>12</v>
      </c>
      <c r="I428" s="830"/>
      <c r="J428" s="830"/>
      <c r="K428" s="831"/>
      <c r="L428" s="831"/>
      <c r="M428" s="831"/>
      <c r="N428" s="1031">
        <v>9300</v>
      </c>
      <c r="O428" s="831"/>
      <c r="P428" s="831"/>
      <c r="Q428" s="818"/>
      <c r="R428" s="818"/>
      <c r="S428" s="818"/>
      <c r="T428" s="818"/>
      <c r="U428" s="818"/>
      <c r="V428" s="818"/>
      <c r="W428" s="818"/>
      <c r="X428" s="818"/>
      <c r="Y428" s="818"/>
      <c r="Z428" s="818"/>
    </row>
    <row r="429" spans="1:26" ht="18.75">
      <c r="A429" s="942"/>
      <c r="B429" s="1030"/>
      <c r="C429" s="827"/>
      <c r="D429" s="828" t="s">
        <v>21</v>
      </c>
      <c r="E429" s="827"/>
      <c r="F429" s="827"/>
      <c r="G429" s="829"/>
      <c r="H429" s="168" t="s">
        <v>12</v>
      </c>
      <c r="I429" s="944"/>
      <c r="J429" s="944"/>
      <c r="K429" s="945"/>
      <c r="L429" s="831">
        <f t="shared" ref="L429:N429" ca="1" si="189">L430+L431</f>
        <v>0</v>
      </c>
      <c r="M429" s="831">
        <f t="shared" si="189"/>
        <v>0</v>
      </c>
      <c r="N429" s="831">
        <f t="shared" si="189"/>
        <v>0</v>
      </c>
      <c r="O429" s="831">
        <f t="shared" ref="O429:O431" ca="1" si="190">IF(L429&gt;0,N429*100/L429,0)</f>
        <v>0</v>
      </c>
      <c r="P429" s="831">
        <f t="shared" ref="P429:P431" si="191">IF(M429&gt;0,N429*100/M429,0)</f>
        <v>0</v>
      </c>
      <c r="Q429" s="818"/>
      <c r="R429" s="818"/>
      <c r="S429" s="818"/>
      <c r="T429" s="818"/>
      <c r="U429" s="818"/>
      <c r="V429" s="818"/>
      <c r="W429" s="818"/>
      <c r="X429" s="818"/>
      <c r="Y429" s="818"/>
      <c r="Z429" s="818"/>
    </row>
    <row r="430" spans="1:26" ht="18.75" hidden="1">
      <c r="A430" s="940"/>
      <c r="B430" s="1052"/>
      <c r="C430" s="833"/>
      <c r="D430" s="833"/>
      <c r="E430" s="834" t="s">
        <v>18</v>
      </c>
      <c r="F430" s="833"/>
      <c r="G430" s="835"/>
      <c r="H430" s="165" t="s">
        <v>12</v>
      </c>
      <c r="I430" s="947"/>
      <c r="J430" s="947"/>
      <c r="K430" s="948"/>
      <c r="L430" s="837">
        <v>0</v>
      </c>
      <c r="M430" s="837">
        <v>0</v>
      </c>
      <c r="N430" s="837">
        <v>0</v>
      </c>
      <c r="O430" s="837">
        <f t="shared" si="190"/>
        <v>0</v>
      </c>
      <c r="P430" s="837">
        <f t="shared" si="191"/>
        <v>0</v>
      </c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</row>
    <row r="431" spans="1:26" ht="18.75" hidden="1">
      <c r="A431" s="940"/>
      <c r="B431" s="1052"/>
      <c r="C431" s="833"/>
      <c r="D431" s="833"/>
      <c r="E431" s="834" t="s">
        <v>19</v>
      </c>
      <c r="F431" s="833"/>
      <c r="G431" s="835"/>
      <c r="H431" s="169" t="s">
        <v>12</v>
      </c>
      <c r="I431" s="947"/>
      <c r="J431" s="947"/>
      <c r="K431" s="948"/>
      <c r="L431" s="837">
        <f ca="1">IFERROR(__xludf.DUMMYFUNCTION("IMPORTRANGE(""https://docs.google.com/spreadsheets/d/1QqKyyYR6Q21VydFLVH3TRQUabQu_ym0Zz7PgGX0-kHA/edit?usp=sharing"",""แผน!FB30"")"),0)</f>
        <v>0</v>
      </c>
      <c r="M431" s="837">
        <v>0</v>
      </c>
      <c r="N431" s="837">
        <v>0</v>
      </c>
      <c r="O431" s="837">
        <f t="shared" ca="1" si="190"/>
        <v>0</v>
      </c>
      <c r="P431" s="837">
        <f t="shared" si="191"/>
        <v>0</v>
      </c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</row>
    <row r="432" spans="1:26" ht="19.5">
      <c r="A432" s="1112"/>
      <c r="B432" s="1113"/>
      <c r="C432" s="933" t="s">
        <v>16</v>
      </c>
      <c r="D432" s="1245" t="s">
        <v>38</v>
      </c>
      <c r="E432" s="1246"/>
      <c r="F432" s="1246"/>
      <c r="G432" s="1247"/>
      <c r="H432" s="1248"/>
      <c r="I432" s="937"/>
      <c r="J432" s="937"/>
      <c r="K432" s="938"/>
      <c r="L432" s="938"/>
      <c r="M432" s="938"/>
      <c r="N432" s="938"/>
      <c r="O432" s="938"/>
      <c r="P432" s="938"/>
      <c r="Q432" s="818"/>
      <c r="R432" s="818"/>
      <c r="S432" s="818"/>
      <c r="T432" s="818"/>
      <c r="U432" s="818"/>
      <c r="V432" s="818"/>
      <c r="W432" s="818"/>
      <c r="X432" s="818"/>
      <c r="Y432" s="818"/>
      <c r="Z432" s="818"/>
    </row>
    <row r="433" spans="1:26" ht="19.5">
      <c r="A433" s="949"/>
      <c r="B433" s="950"/>
      <c r="C433" s="950"/>
      <c r="D433" s="960" t="s">
        <v>190</v>
      </c>
      <c r="E433" s="957"/>
      <c r="F433" s="957"/>
      <c r="G433" s="958"/>
      <c r="H433" s="196" t="s">
        <v>35</v>
      </c>
      <c r="I433" s="966">
        <f ca="1">I435</f>
        <v>20</v>
      </c>
      <c r="J433" s="966">
        <f ca="1">IF(AND(J435=I435,J437=I437,J439=I439),I437+I439,IF(AND(J435=I437,J437=I437),I437,IF(AND(J435=I439,J439=I439),I439,0)))</f>
        <v>0</v>
      </c>
      <c r="K433" s="967">
        <f t="shared" ref="K433:K435" ca="1" si="192">IF(I433&gt;0,J433*100/I433,0)</f>
        <v>0</v>
      </c>
      <c r="L433" s="831"/>
      <c r="M433" s="831"/>
      <c r="N433" s="831"/>
      <c r="O433" s="831"/>
      <c r="P433" s="831"/>
      <c r="Q433" s="818"/>
      <c r="R433" s="818"/>
      <c r="S433" s="818"/>
      <c r="T433" s="818"/>
      <c r="U433" s="818"/>
      <c r="V433" s="818"/>
      <c r="W433" s="818"/>
      <c r="X433" s="818"/>
      <c r="Y433" s="818"/>
      <c r="Z433" s="818"/>
    </row>
    <row r="434" spans="1:26" ht="19.5">
      <c r="A434" s="949"/>
      <c r="B434" s="950"/>
      <c r="C434" s="950"/>
      <c r="D434" s="960" t="s">
        <v>191</v>
      </c>
      <c r="E434" s="957"/>
      <c r="F434" s="957"/>
      <c r="G434" s="958"/>
      <c r="H434" s="196" t="s">
        <v>49</v>
      </c>
      <c r="I434" s="966">
        <f t="shared" ref="I434:J434" ca="1" si="193">I438+I440</f>
        <v>1</v>
      </c>
      <c r="J434" s="966">
        <f t="shared" si="193"/>
        <v>0</v>
      </c>
      <c r="K434" s="967">
        <f t="shared" ca="1" si="192"/>
        <v>0</v>
      </c>
      <c r="L434" s="831"/>
      <c r="M434" s="831"/>
      <c r="N434" s="831"/>
      <c r="O434" s="831"/>
      <c r="P434" s="831"/>
      <c r="Q434" s="818"/>
      <c r="R434" s="818"/>
      <c r="S434" s="818"/>
      <c r="T434" s="818"/>
      <c r="U434" s="818"/>
      <c r="V434" s="818"/>
      <c r="W434" s="818"/>
      <c r="X434" s="818"/>
      <c r="Y434" s="818"/>
      <c r="Z434" s="818"/>
    </row>
    <row r="435" spans="1:26" ht="18.75">
      <c r="A435" s="949"/>
      <c r="B435" s="950"/>
      <c r="C435" s="950"/>
      <c r="D435" s="956" t="s">
        <v>192</v>
      </c>
      <c r="E435" s="957"/>
      <c r="F435" s="957"/>
      <c r="G435" s="958"/>
      <c r="H435" s="590" t="s">
        <v>35</v>
      </c>
      <c r="I435" s="548">
        <f ca="1">IFERROR(__xludf.DUMMYFUNCTION("IMPORTRANGE(""https://docs.google.com/spreadsheets/d/1QqKyyYR6Q21VydFLVH3TRQUabQu_ym0Zz7PgGX0-kHA/edit?usp=sharing"",""แผน!FC30"")"),20)</f>
        <v>20</v>
      </c>
      <c r="J435" s="549">
        <v>20</v>
      </c>
      <c r="K435" s="831">
        <f t="shared" ca="1" si="192"/>
        <v>100</v>
      </c>
      <c r="L435" s="831"/>
      <c r="M435" s="831"/>
      <c r="N435" s="831"/>
      <c r="O435" s="831"/>
      <c r="P435" s="831"/>
      <c r="Q435" s="818"/>
      <c r="R435" s="818"/>
      <c r="S435" s="818"/>
      <c r="T435" s="818"/>
      <c r="U435" s="818"/>
      <c r="V435" s="818"/>
      <c r="W435" s="818"/>
      <c r="X435" s="818"/>
      <c r="Y435" s="818"/>
      <c r="Z435" s="818"/>
    </row>
    <row r="436" spans="1:26" ht="18.75">
      <c r="A436" s="949"/>
      <c r="B436" s="950"/>
      <c r="C436" s="950"/>
      <c r="D436" s="956" t="s">
        <v>193</v>
      </c>
      <c r="E436" s="957"/>
      <c r="F436" s="957"/>
      <c r="G436" s="958"/>
      <c r="H436" s="590"/>
      <c r="I436" s="830"/>
      <c r="J436" s="830"/>
      <c r="K436" s="831"/>
      <c r="L436" s="831"/>
      <c r="M436" s="831"/>
      <c r="N436" s="831"/>
      <c r="O436" s="831"/>
      <c r="P436" s="831"/>
      <c r="Q436" s="818"/>
      <c r="R436" s="818"/>
      <c r="S436" s="818"/>
      <c r="T436" s="818"/>
      <c r="U436" s="818"/>
      <c r="V436" s="818"/>
      <c r="W436" s="818"/>
      <c r="X436" s="818"/>
      <c r="Y436" s="818"/>
      <c r="Z436" s="818"/>
    </row>
    <row r="437" spans="1:26" ht="18.75">
      <c r="A437" s="949"/>
      <c r="B437" s="950"/>
      <c r="C437" s="950"/>
      <c r="D437" s="956" t="s">
        <v>194</v>
      </c>
      <c r="E437" s="957"/>
      <c r="F437" s="957"/>
      <c r="G437" s="958"/>
      <c r="H437" s="590" t="s">
        <v>35</v>
      </c>
      <c r="I437" s="548">
        <f ca="1">IFERROR(__xludf.DUMMYFUNCTION("IMPORTRANGE(""https://docs.google.com/spreadsheets/d/1QqKyyYR6Q21VydFLVH3TRQUabQu_ym0Zz7PgGX0-kHA/edit?usp=sharing"",""แผน!FD30"")"),0)</f>
        <v>0</v>
      </c>
      <c r="J437" s="549">
        <v>0</v>
      </c>
      <c r="K437" s="831">
        <f t="shared" ref="K437:K443" ca="1" si="194">IF(I437&gt;0,J437*100/I437,0)</f>
        <v>0</v>
      </c>
      <c r="L437" s="831"/>
      <c r="M437" s="831"/>
      <c r="N437" s="831"/>
      <c r="O437" s="831"/>
      <c r="P437" s="831"/>
      <c r="Q437" s="818"/>
      <c r="R437" s="818"/>
      <c r="S437" s="818"/>
      <c r="T437" s="818"/>
      <c r="U437" s="818"/>
      <c r="V437" s="818"/>
      <c r="W437" s="818"/>
      <c r="X437" s="818"/>
      <c r="Y437" s="818"/>
      <c r="Z437" s="818"/>
    </row>
    <row r="438" spans="1:26" ht="18.75">
      <c r="A438" s="949"/>
      <c r="B438" s="950"/>
      <c r="C438" s="950"/>
      <c r="D438" s="956" t="s">
        <v>195</v>
      </c>
      <c r="E438" s="957"/>
      <c r="F438" s="957"/>
      <c r="G438" s="958"/>
      <c r="H438" s="590" t="s">
        <v>49</v>
      </c>
      <c r="I438" s="830">
        <f ca="1">IFERROR(__xludf.DUMMYFUNCTION("IMPORTRANGE(""https://docs.google.com/spreadsheets/d/1QqKyyYR6Q21VydFLVH3TRQUabQu_ym0Zz7PgGX0-kHA/edit?usp=sharing"",""แผน!FE30"")"),0)</f>
        <v>0</v>
      </c>
      <c r="J438" s="959">
        <v>0</v>
      </c>
      <c r="K438" s="831">
        <f t="shared" ca="1" si="194"/>
        <v>0</v>
      </c>
      <c r="L438" s="831"/>
      <c r="M438" s="831"/>
      <c r="N438" s="831"/>
      <c r="O438" s="831"/>
      <c r="P438" s="831"/>
      <c r="Q438" s="818"/>
      <c r="R438" s="818"/>
      <c r="S438" s="818"/>
      <c r="T438" s="818"/>
      <c r="U438" s="818"/>
      <c r="V438" s="818"/>
      <c r="W438" s="818"/>
      <c r="X438" s="818"/>
      <c r="Y438" s="818"/>
      <c r="Z438" s="818"/>
    </row>
    <row r="439" spans="1:26" ht="18.75">
      <c r="A439" s="949"/>
      <c r="B439" s="950"/>
      <c r="C439" s="950"/>
      <c r="D439" s="956" t="s">
        <v>196</v>
      </c>
      <c r="E439" s="957"/>
      <c r="F439" s="957"/>
      <c r="G439" s="958"/>
      <c r="H439" s="590" t="s">
        <v>35</v>
      </c>
      <c r="I439" s="548">
        <f ca="1">IFERROR(__xludf.DUMMYFUNCTION("IMPORTRANGE(""https://docs.google.com/spreadsheets/d/1QqKyyYR6Q21VydFLVH3TRQUabQu_ym0Zz7PgGX0-kHA/edit?usp=sharing"",""แผน!FF30"")"),20)</f>
        <v>20</v>
      </c>
      <c r="J439" s="549">
        <v>0</v>
      </c>
      <c r="K439" s="831">
        <f t="shared" ca="1" si="194"/>
        <v>0</v>
      </c>
      <c r="L439" s="831"/>
      <c r="M439" s="831"/>
      <c r="N439" s="831"/>
      <c r="O439" s="831"/>
      <c r="P439" s="831"/>
      <c r="Q439" s="818"/>
      <c r="R439" s="818"/>
      <c r="S439" s="818"/>
      <c r="T439" s="818"/>
      <c r="U439" s="818"/>
      <c r="V439" s="818"/>
      <c r="W439" s="818"/>
      <c r="X439" s="818"/>
      <c r="Y439" s="818"/>
      <c r="Z439" s="818"/>
    </row>
    <row r="440" spans="1:26" ht="18.75">
      <c r="A440" s="949"/>
      <c r="B440" s="950"/>
      <c r="C440" s="950"/>
      <c r="D440" s="956" t="s">
        <v>197</v>
      </c>
      <c r="E440" s="957"/>
      <c r="F440" s="957"/>
      <c r="G440" s="958"/>
      <c r="H440" s="590" t="s">
        <v>49</v>
      </c>
      <c r="I440" s="830">
        <f ca="1">IFERROR(__xludf.DUMMYFUNCTION("IMPORTRANGE(""https://docs.google.com/spreadsheets/d/1QqKyyYR6Q21VydFLVH3TRQUabQu_ym0Zz7PgGX0-kHA/edit?usp=sharing"",""แผน!FG30"")"),1)</f>
        <v>1</v>
      </c>
      <c r="J440" s="959">
        <v>0</v>
      </c>
      <c r="K440" s="831">
        <f t="shared" ca="1" si="194"/>
        <v>0</v>
      </c>
      <c r="L440" s="831"/>
      <c r="M440" s="831"/>
      <c r="N440" s="831"/>
      <c r="O440" s="831"/>
      <c r="P440" s="831"/>
      <c r="Q440" s="818"/>
      <c r="R440" s="818"/>
      <c r="S440" s="818"/>
      <c r="T440" s="818"/>
      <c r="U440" s="818"/>
      <c r="V440" s="818"/>
      <c r="W440" s="818"/>
      <c r="X440" s="818"/>
      <c r="Y440" s="818"/>
      <c r="Z440" s="818"/>
    </row>
    <row r="441" spans="1:26" ht="18.75" hidden="1">
      <c r="A441" s="949"/>
      <c r="B441" s="950"/>
      <c r="C441" s="950"/>
      <c r="D441" s="956" t="s">
        <v>198</v>
      </c>
      <c r="E441" s="957"/>
      <c r="F441" s="957"/>
      <c r="G441" s="958"/>
      <c r="H441" s="590" t="s">
        <v>35</v>
      </c>
      <c r="I441" s="830">
        <f ca="1">IFERROR(__xludf.DUMMYFUNCTION("IMPORTRANGE(""https://docs.google.com/spreadsheets/d/1QqKyyYR6Q21VydFLVH3TRQUabQu_ym0Zz7PgGX0-kHA/edit?usp=sharing"",""แผน!FH30"")"),0)</f>
        <v>0</v>
      </c>
      <c r="J441" s="830">
        <v>0</v>
      </c>
      <c r="K441" s="831">
        <f t="shared" ca="1" si="194"/>
        <v>0</v>
      </c>
      <c r="L441" s="831"/>
      <c r="M441" s="831"/>
      <c r="N441" s="831"/>
      <c r="O441" s="831"/>
      <c r="P441" s="831"/>
      <c r="Q441" s="818"/>
      <c r="R441" s="818"/>
      <c r="S441" s="818"/>
      <c r="T441" s="818"/>
      <c r="U441" s="818"/>
      <c r="V441" s="818"/>
      <c r="W441" s="818"/>
      <c r="X441" s="818"/>
      <c r="Y441" s="818"/>
      <c r="Z441" s="818"/>
    </row>
    <row r="442" spans="1:26" ht="19.5">
      <c r="A442" s="550">
        <v>2</v>
      </c>
      <c r="B442" s="1249" t="s">
        <v>199</v>
      </c>
      <c r="C442" s="1250"/>
      <c r="D442" s="1250"/>
      <c r="E442" s="1250"/>
      <c r="F442" s="1250"/>
      <c r="G442" s="1251"/>
      <c r="H442" s="554" t="s">
        <v>35</v>
      </c>
      <c r="I442" s="1252">
        <f t="shared" ref="I442:J442" ca="1" si="195">I460</f>
        <v>60</v>
      </c>
      <c r="J442" s="1252">
        <f t="shared" si="195"/>
        <v>60</v>
      </c>
      <c r="K442" s="1253">
        <f t="shared" ca="1" si="194"/>
        <v>100</v>
      </c>
      <c r="L442" s="1254"/>
      <c r="M442" s="1254"/>
      <c r="N442" s="1254"/>
      <c r="O442" s="1254"/>
      <c r="P442" s="1254"/>
      <c r="Q442" s="1244"/>
      <c r="R442" s="1244"/>
      <c r="S442" s="1244"/>
      <c r="T442" s="1244"/>
      <c r="U442" s="1244"/>
      <c r="V442" s="1244"/>
      <c r="W442" s="1244"/>
      <c r="X442" s="1244"/>
      <c r="Y442" s="1244"/>
      <c r="Z442" s="1244"/>
    </row>
    <row r="443" spans="1:26" ht="19.5">
      <c r="A443" s="1255"/>
      <c r="B443" s="1256"/>
      <c r="C443" s="1257"/>
      <c r="D443" s="1257"/>
      <c r="E443" s="1257"/>
      <c r="F443" s="1257"/>
      <c r="G443" s="1258"/>
      <c r="H443" s="532" t="s">
        <v>46</v>
      </c>
      <c r="I443" s="1237">
        <f t="shared" ref="I443:J443" ca="1" si="196">I462</f>
        <v>100</v>
      </c>
      <c r="J443" s="1237">
        <f t="shared" si="196"/>
        <v>100</v>
      </c>
      <c r="K443" s="1238">
        <f t="shared" ca="1" si="194"/>
        <v>100</v>
      </c>
      <c r="L443" s="1239"/>
      <c r="M443" s="1239"/>
      <c r="N443" s="1239"/>
      <c r="O443" s="1239"/>
      <c r="P443" s="1239"/>
      <c r="Q443" s="1244"/>
      <c r="R443" s="1244"/>
      <c r="S443" s="1244"/>
      <c r="T443" s="1244"/>
      <c r="U443" s="1244"/>
      <c r="V443" s="1244"/>
      <c r="W443" s="1244"/>
      <c r="X443" s="1244"/>
      <c r="Y443" s="1244"/>
      <c r="Z443" s="1244"/>
    </row>
    <row r="444" spans="1:26" ht="19.5">
      <c r="A444" s="1259"/>
      <c r="B444" s="1243"/>
      <c r="C444" s="1243" t="s">
        <v>16</v>
      </c>
      <c r="D444" s="1507" t="s">
        <v>17</v>
      </c>
      <c r="E444" s="1485"/>
      <c r="F444" s="1485"/>
      <c r="G444" s="963"/>
      <c r="H444" s="563" t="s">
        <v>12</v>
      </c>
      <c r="I444" s="830"/>
      <c r="J444" s="830"/>
      <c r="K444" s="831"/>
      <c r="L444" s="967">
        <f t="shared" ref="L444:N444" ca="1" si="197">L445+L446</f>
        <v>370600</v>
      </c>
      <c r="M444" s="967">
        <f t="shared" si="197"/>
        <v>0</v>
      </c>
      <c r="N444" s="967">
        <f t="shared" si="197"/>
        <v>109975</v>
      </c>
      <c r="O444" s="967">
        <f t="shared" ref="O444:O449" ca="1" si="198">IF(L444&gt;0,N444*100/L444,0)</f>
        <v>29.674851592012953</v>
      </c>
      <c r="P444" s="967">
        <f t="shared" ref="P444:P449" si="199">IF(M444&gt;0,N444*100/M444,0)</f>
        <v>0</v>
      </c>
      <c r="Q444" s="1244"/>
      <c r="R444" s="1244"/>
      <c r="S444" s="1244"/>
      <c r="T444" s="1244"/>
      <c r="U444" s="1244"/>
      <c r="V444" s="1244"/>
      <c r="W444" s="1244"/>
      <c r="X444" s="1244"/>
      <c r="Y444" s="1244"/>
      <c r="Z444" s="1244"/>
    </row>
    <row r="445" spans="1:26" ht="18.75" hidden="1">
      <c r="A445" s="1260"/>
      <c r="B445" s="1261"/>
      <c r="C445" s="1261"/>
      <c r="D445" s="1262"/>
      <c r="E445" s="1261" t="s">
        <v>184</v>
      </c>
      <c r="F445" s="1261"/>
      <c r="G445" s="1263"/>
      <c r="H445" s="165" t="s">
        <v>12</v>
      </c>
      <c r="I445" s="836"/>
      <c r="J445" s="836"/>
      <c r="K445" s="837"/>
      <c r="L445" s="837">
        <f t="shared" ref="L445:N446" si="200">L448+L455</f>
        <v>0</v>
      </c>
      <c r="M445" s="837">
        <f t="shared" si="200"/>
        <v>0</v>
      </c>
      <c r="N445" s="837">
        <f t="shared" si="200"/>
        <v>0</v>
      </c>
      <c r="O445" s="837">
        <f t="shared" si="198"/>
        <v>0</v>
      </c>
      <c r="P445" s="837">
        <f t="shared" si="199"/>
        <v>0</v>
      </c>
      <c r="Q445" s="1264"/>
      <c r="R445" s="1264"/>
      <c r="S445" s="1264"/>
      <c r="T445" s="1264"/>
      <c r="U445" s="1264"/>
      <c r="V445" s="1264"/>
      <c r="W445" s="1264"/>
      <c r="X445" s="1264"/>
      <c r="Y445" s="1264"/>
      <c r="Z445" s="1264"/>
    </row>
    <row r="446" spans="1:26" ht="18.75" hidden="1">
      <c r="A446" s="1260"/>
      <c r="B446" s="1265"/>
      <c r="C446" s="1261"/>
      <c r="D446" s="1262"/>
      <c r="E446" s="1261" t="s">
        <v>185</v>
      </c>
      <c r="F446" s="1261"/>
      <c r="G446" s="1263"/>
      <c r="H446" s="165" t="s">
        <v>12</v>
      </c>
      <c r="I446" s="836"/>
      <c r="J446" s="836"/>
      <c r="K446" s="837"/>
      <c r="L446" s="837">
        <f t="shared" ca="1" si="200"/>
        <v>370600</v>
      </c>
      <c r="M446" s="837">
        <f t="shared" si="200"/>
        <v>0</v>
      </c>
      <c r="N446" s="837">
        <f t="shared" si="200"/>
        <v>109975</v>
      </c>
      <c r="O446" s="837">
        <f t="shared" ca="1" si="198"/>
        <v>29.674851592012953</v>
      </c>
      <c r="P446" s="837">
        <f t="shared" si="199"/>
        <v>0</v>
      </c>
      <c r="Q446" s="1264"/>
      <c r="R446" s="1264"/>
      <c r="S446" s="1264"/>
      <c r="T446" s="1264"/>
      <c r="U446" s="1264"/>
      <c r="V446" s="1264"/>
      <c r="W446" s="1264"/>
      <c r="X446" s="1264"/>
      <c r="Y446" s="1264"/>
      <c r="Z446" s="1264"/>
    </row>
    <row r="447" spans="1:26" ht="18.75">
      <c r="A447" s="1259"/>
      <c r="B447" s="1242"/>
      <c r="C447" s="1243"/>
      <c r="D447" s="1266" t="s">
        <v>20</v>
      </c>
      <c r="E447" s="1243"/>
      <c r="F447" s="1243"/>
      <c r="G447" s="963"/>
      <c r="H447" s="778" t="s">
        <v>12</v>
      </c>
      <c r="I447" s="944"/>
      <c r="J447" s="944"/>
      <c r="K447" s="945"/>
      <c r="L447" s="831">
        <f t="shared" ref="L447:N447" ca="1" si="201">L448+L449</f>
        <v>370600</v>
      </c>
      <c r="M447" s="831">
        <f t="shared" si="201"/>
        <v>0</v>
      </c>
      <c r="N447" s="831">
        <f t="shared" si="201"/>
        <v>109975</v>
      </c>
      <c r="O447" s="831">
        <f t="shared" ca="1" si="198"/>
        <v>29.674851592012953</v>
      </c>
      <c r="P447" s="831">
        <f t="shared" si="199"/>
        <v>0</v>
      </c>
      <c r="Q447" s="1244"/>
      <c r="R447" s="1244"/>
      <c r="S447" s="1244"/>
      <c r="T447" s="1244"/>
      <c r="U447" s="1244"/>
      <c r="V447" s="1244"/>
      <c r="W447" s="1244"/>
      <c r="X447" s="1244"/>
      <c r="Y447" s="1244"/>
      <c r="Z447" s="1244"/>
    </row>
    <row r="448" spans="1:26" ht="18.75" hidden="1">
      <c r="A448" s="1260"/>
      <c r="B448" s="1265"/>
      <c r="C448" s="1261"/>
      <c r="D448" s="1262"/>
      <c r="E448" s="1261" t="s">
        <v>184</v>
      </c>
      <c r="F448" s="1261"/>
      <c r="G448" s="1263"/>
      <c r="H448" s="165" t="s">
        <v>12</v>
      </c>
      <c r="I448" s="836"/>
      <c r="J448" s="836"/>
      <c r="K448" s="837"/>
      <c r="L448" s="837">
        <v>0</v>
      </c>
      <c r="M448" s="837">
        <v>0</v>
      </c>
      <c r="N448" s="837">
        <v>0</v>
      </c>
      <c r="O448" s="837">
        <f t="shared" si="198"/>
        <v>0</v>
      </c>
      <c r="P448" s="837">
        <f t="shared" si="199"/>
        <v>0</v>
      </c>
      <c r="Q448" s="1264"/>
      <c r="R448" s="1264"/>
      <c r="S448" s="1264"/>
      <c r="T448" s="1264"/>
      <c r="U448" s="1264"/>
      <c r="V448" s="1264"/>
      <c r="W448" s="1264"/>
      <c r="X448" s="1264"/>
      <c r="Y448" s="1264"/>
      <c r="Z448" s="1264"/>
    </row>
    <row r="449" spans="1:26" ht="18.75" hidden="1">
      <c r="A449" s="1260"/>
      <c r="B449" s="1265"/>
      <c r="C449" s="1261"/>
      <c r="D449" s="1262"/>
      <c r="E449" s="1261" t="s">
        <v>185</v>
      </c>
      <c r="F449" s="1261"/>
      <c r="G449" s="1263"/>
      <c r="H449" s="165" t="s">
        <v>12</v>
      </c>
      <c r="I449" s="836"/>
      <c r="J449" s="836"/>
      <c r="K449" s="837"/>
      <c r="L449" s="837">
        <f ca="1">IFERROR(__xludf.DUMMYFUNCTION("IMPORTRANGE(""https://docs.google.com/spreadsheets/d/1QqKyyYR6Q21VydFLVH3TRQUabQu_ym0Zz7PgGX0-kHA/edit?usp=sharing"",""แผน!FJ30"")"),370600)</f>
        <v>370600</v>
      </c>
      <c r="M449" s="837">
        <v>0</v>
      </c>
      <c r="N449" s="837">
        <f>N450+N451+N452+N453</f>
        <v>109975</v>
      </c>
      <c r="O449" s="837">
        <f t="shared" ca="1" si="198"/>
        <v>29.674851592012953</v>
      </c>
      <c r="P449" s="837">
        <f t="shared" si="199"/>
        <v>0</v>
      </c>
      <c r="Q449" s="1264"/>
      <c r="R449" s="1264"/>
      <c r="S449" s="1264"/>
      <c r="T449" s="1264"/>
      <c r="U449" s="1264"/>
      <c r="V449" s="1264"/>
      <c r="W449" s="1264"/>
      <c r="X449" s="1264"/>
      <c r="Y449" s="1264"/>
      <c r="Z449" s="1264"/>
    </row>
    <row r="450" spans="1:26" ht="18.75">
      <c r="A450" s="1241"/>
      <c r="B450" s="1242"/>
      <c r="C450" s="1243"/>
      <c r="D450" s="1243"/>
      <c r="E450" s="1243"/>
      <c r="F450" s="1243" t="s">
        <v>186</v>
      </c>
      <c r="G450" s="963"/>
      <c r="H450" s="778" t="s">
        <v>12</v>
      </c>
      <c r="I450" s="830"/>
      <c r="J450" s="830"/>
      <c r="K450" s="831"/>
      <c r="L450" s="831"/>
      <c r="M450" s="831"/>
      <c r="N450" s="1031">
        <v>56095</v>
      </c>
      <c r="O450" s="831"/>
      <c r="P450" s="831"/>
      <c r="Q450" s="1244"/>
      <c r="R450" s="1244"/>
      <c r="S450" s="1244"/>
      <c r="T450" s="1244"/>
      <c r="U450" s="1244"/>
      <c r="V450" s="1244"/>
      <c r="W450" s="1244"/>
      <c r="X450" s="1244"/>
      <c r="Y450" s="1244"/>
      <c r="Z450" s="1244"/>
    </row>
    <row r="451" spans="1:26" ht="18.75">
      <c r="A451" s="1241"/>
      <c r="B451" s="1242"/>
      <c r="C451" s="1243"/>
      <c r="D451" s="1243"/>
      <c r="E451" s="1243"/>
      <c r="F451" s="1243" t="s">
        <v>187</v>
      </c>
      <c r="G451" s="963"/>
      <c r="H451" s="778" t="s">
        <v>12</v>
      </c>
      <c r="I451" s="830"/>
      <c r="J451" s="830"/>
      <c r="K451" s="831"/>
      <c r="L451" s="831"/>
      <c r="M451" s="831"/>
      <c r="N451" s="1031">
        <v>0</v>
      </c>
      <c r="O451" s="831"/>
      <c r="P451" s="831"/>
      <c r="Q451" s="1244"/>
      <c r="R451" s="1244"/>
      <c r="S451" s="1244"/>
      <c r="T451" s="1244"/>
      <c r="U451" s="1244"/>
      <c r="V451" s="1244"/>
      <c r="W451" s="1244"/>
      <c r="X451" s="1244"/>
      <c r="Y451" s="1244"/>
      <c r="Z451" s="1244"/>
    </row>
    <row r="452" spans="1:26" ht="18.75">
      <c r="A452" s="1241"/>
      <c r="B452" s="1242"/>
      <c r="C452" s="1242"/>
      <c r="D452" s="1242"/>
      <c r="E452" s="1242"/>
      <c r="F452" s="1243" t="s">
        <v>188</v>
      </c>
      <c r="G452" s="963"/>
      <c r="H452" s="778" t="s">
        <v>12</v>
      </c>
      <c r="I452" s="830"/>
      <c r="J452" s="830"/>
      <c r="K452" s="831"/>
      <c r="L452" s="831"/>
      <c r="M452" s="831"/>
      <c r="N452" s="1031">
        <v>39000</v>
      </c>
      <c r="O452" s="831"/>
      <c r="P452" s="831"/>
      <c r="Q452" s="1244"/>
      <c r="R452" s="1244"/>
      <c r="S452" s="1244"/>
      <c r="T452" s="1244"/>
      <c r="U452" s="1244"/>
      <c r="V452" s="1244"/>
      <c r="W452" s="1244"/>
      <c r="X452" s="1244"/>
      <c r="Y452" s="1244"/>
      <c r="Z452" s="1244"/>
    </row>
    <row r="453" spans="1:26" ht="18.75">
      <c r="A453" s="1241"/>
      <c r="B453" s="1242"/>
      <c r="C453" s="1242"/>
      <c r="D453" s="1242"/>
      <c r="E453" s="1242"/>
      <c r="F453" s="1243" t="s">
        <v>189</v>
      </c>
      <c r="G453" s="963"/>
      <c r="H453" s="778" t="s">
        <v>12</v>
      </c>
      <c r="I453" s="830"/>
      <c r="J453" s="830"/>
      <c r="K453" s="831"/>
      <c r="L453" s="831"/>
      <c r="M453" s="831"/>
      <c r="N453" s="1031">
        <v>14880</v>
      </c>
      <c r="O453" s="831"/>
      <c r="P453" s="831"/>
      <c r="Q453" s="1244"/>
      <c r="R453" s="1244"/>
      <c r="S453" s="1244"/>
      <c r="T453" s="1244"/>
      <c r="U453" s="1244"/>
      <c r="V453" s="1244"/>
      <c r="W453" s="1244"/>
      <c r="X453" s="1244"/>
      <c r="Y453" s="1244"/>
      <c r="Z453" s="1244"/>
    </row>
    <row r="454" spans="1:26" ht="18.75">
      <c r="A454" s="1259"/>
      <c r="B454" s="1242"/>
      <c r="C454" s="1242"/>
      <c r="D454" s="1266" t="s">
        <v>21</v>
      </c>
      <c r="E454" s="1242"/>
      <c r="F454" s="1243"/>
      <c r="G454" s="963"/>
      <c r="H454" s="168" t="s">
        <v>12</v>
      </c>
      <c r="I454" s="944"/>
      <c r="J454" s="944"/>
      <c r="K454" s="945"/>
      <c r="L454" s="831">
        <f t="shared" ref="L454:N454" ca="1" si="202">L455+L456</f>
        <v>0</v>
      </c>
      <c r="M454" s="831">
        <f t="shared" si="202"/>
        <v>0</v>
      </c>
      <c r="N454" s="831">
        <f t="shared" si="202"/>
        <v>0</v>
      </c>
      <c r="O454" s="831">
        <f t="shared" ref="O454:O456" ca="1" si="203">IF(L454&gt;0,N454*100/L454,0)</f>
        <v>0</v>
      </c>
      <c r="P454" s="831">
        <f t="shared" ref="P454:P456" si="204">IF(M454&gt;0,N454*100/M454,0)</f>
        <v>0</v>
      </c>
      <c r="Q454" s="1244"/>
      <c r="R454" s="1244"/>
      <c r="S454" s="1244"/>
      <c r="T454" s="1244"/>
      <c r="U454" s="1244"/>
      <c r="V454" s="1244"/>
      <c r="W454" s="1244"/>
      <c r="X454" s="1244"/>
      <c r="Y454" s="1244"/>
      <c r="Z454" s="1244"/>
    </row>
    <row r="455" spans="1:26" ht="18.75" hidden="1">
      <c r="A455" s="1260"/>
      <c r="B455" s="1265"/>
      <c r="C455" s="1265"/>
      <c r="D455" s="1265"/>
      <c r="E455" s="1265" t="s">
        <v>18</v>
      </c>
      <c r="F455" s="1261"/>
      <c r="G455" s="1263"/>
      <c r="H455" s="165" t="s">
        <v>12</v>
      </c>
      <c r="I455" s="947"/>
      <c r="J455" s="947"/>
      <c r="K455" s="948"/>
      <c r="L455" s="837">
        <v>0</v>
      </c>
      <c r="M455" s="837">
        <v>0</v>
      </c>
      <c r="N455" s="837">
        <v>0</v>
      </c>
      <c r="O455" s="837">
        <f t="shared" si="203"/>
        <v>0</v>
      </c>
      <c r="P455" s="837">
        <f t="shared" si="204"/>
        <v>0</v>
      </c>
      <c r="Q455" s="1264"/>
      <c r="R455" s="1264"/>
      <c r="S455" s="1264"/>
      <c r="T455" s="1264"/>
      <c r="U455" s="1264"/>
      <c r="V455" s="1264"/>
      <c r="W455" s="1264"/>
      <c r="X455" s="1264"/>
      <c r="Y455" s="1264"/>
      <c r="Z455" s="1264"/>
    </row>
    <row r="456" spans="1:26" ht="18.75" hidden="1">
      <c r="A456" s="1260"/>
      <c r="B456" s="1265"/>
      <c r="C456" s="1265"/>
      <c r="D456" s="1265"/>
      <c r="E456" s="1265" t="s">
        <v>19</v>
      </c>
      <c r="F456" s="1261"/>
      <c r="G456" s="1263"/>
      <c r="H456" s="169" t="s">
        <v>12</v>
      </c>
      <c r="I456" s="947"/>
      <c r="J456" s="947"/>
      <c r="K456" s="948"/>
      <c r="L456" s="837">
        <f ca="1">IFERROR(__xludf.DUMMYFUNCTION("IMPORTRANGE(""https://docs.google.com/spreadsheets/d/1QqKyyYR6Q21VydFLVH3TRQUabQu_ym0Zz7PgGX0-kHA/edit?usp=sharing"",""แผน!FM30"")"),0)</f>
        <v>0</v>
      </c>
      <c r="M456" s="837">
        <v>0</v>
      </c>
      <c r="N456" s="837">
        <v>0</v>
      </c>
      <c r="O456" s="837">
        <f t="shared" ca="1" si="203"/>
        <v>0</v>
      </c>
      <c r="P456" s="837">
        <f t="shared" si="204"/>
        <v>0</v>
      </c>
      <c r="Q456" s="1264"/>
      <c r="R456" s="1264"/>
      <c r="S456" s="1264"/>
      <c r="T456" s="1264"/>
      <c r="U456" s="1264"/>
      <c r="V456" s="1264"/>
      <c r="W456" s="1264"/>
      <c r="X456" s="1264"/>
      <c r="Y456" s="1264"/>
      <c r="Z456" s="1264"/>
    </row>
    <row r="457" spans="1:26" ht="19.5">
      <c r="A457" s="1267"/>
      <c r="B457" s="1268"/>
      <c r="C457" s="1242" t="s">
        <v>16</v>
      </c>
      <c r="D457" s="1269" t="s">
        <v>38</v>
      </c>
      <c r="E457" s="1270"/>
      <c r="F457" s="1271"/>
      <c r="G457" s="1272"/>
      <c r="H457" s="954"/>
      <c r="I457" s="830"/>
      <c r="J457" s="830"/>
      <c r="K457" s="831"/>
      <c r="L457" s="831"/>
      <c r="M457" s="831"/>
      <c r="N457" s="831"/>
      <c r="O457" s="831"/>
      <c r="P457" s="831"/>
      <c r="Q457" s="1244"/>
      <c r="R457" s="1244"/>
      <c r="S457" s="1244"/>
      <c r="T457" s="1244"/>
      <c r="U457" s="1244"/>
      <c r="V457" s="1244"/>
      <c r="W457" s="1244"/>
      <c r="X457" s="1244"/>
      <c r="Y457" s="1244"/>
      <c r="Z457" s="1244"/>
    </row>
    <row r="458" spans="1:26" ht="18.75" hidden="1">
      <c r="A458" s="1273"/>
      <c r="B458" s="1274"/>
      <c r="C458" s="1274"/>
      <c r="D458" s="1274" t="s">
        <v>200</v>
      </c>
      <c r="E458" s="1274"/>
      <c r="F458" s="1262"/>
      <c r="G458" s="1060"/>
      <c r="H458" s="583" t="s">
        <v>35</v>
      </c>
      <c r="I458" s="836">
        <v>0</v>
      </c>
      <c r="J458" s="836">
        <v>0</v>
      </c>
      <c r="K458" s="837">
        <f>IF(I458&gt;0,J458*100/I458,0)</f>
        <v>0</v>
      </c>
      <c r="L458" s="837"/>
      <c r="M458" s="837"/>
      <c r="N458" s="837"/>
      <c r="O458" s="837"/>
      <c r="P458" s="837"/>
      <c r="Q458" s="1264"/>
      <c r="R458" s="1264"/>
      <c r="S458" s="1264"/>
      <c r="T458" s="1264"/>
      <c r="U458" s="1264"/>
      <c r="V458" s="1264"/>
      <c r="W458" s="1264"/>
      <c r="X458" s="1264"/>
      <c r="Y458" s="1264"/>
      <c r="Z458" s="1264"/>
    </row>
    <row r="459" spans="1:26" ht="18.75" hidden="1">
      <c r="A459" s="1273"/>
      <c r="B459" s="1274"/>
      <c r="C459" s="1274"/>
      <c r="D459" s="1274" t="s">
        <v>201</v>
      </c>
      <c r="E459" s="1274"/>
      <c r="F459" s="1262"/>
      <c r="G459" s="1060"/>
      <c r="H459" s="583"/>
      <c r="I459" s="836"/>
      <c r="J459" s="836"/>
      <c r="K459" s="837"/>
      <c r="L459" s="837"/>
      <c r="M459" s="837"/>
      <c r="N459" s="837"/>
      <c r="O459" s="837"/>
      <c r="P459" s="837"/>
      <c r="Q459" s="1264"/>
      <c r="R459" s="1264"/>
      <c r="S459" s="1264"/>
      <c r="T459" s="1264"/>
      <c r="U459" s="1264"/>
      <c r="V459" s="1264"/>
      <c r="W459" s="1264"/>
      <c r="X459" s="1264"/>
      <c r="Y459" s="1264"/>
      <c r="Z459" s="1264"/>
    </row>
    <row r="460" spans="1:26" ht="18.75">
      <c r="A460" s="1267"/>
      <c r="B460" s="1268"/>
      <c r="C460" s="1268"/>
      <c r="D460" s="1268" t="s">
        <v>202</v>
      </c>
      <c r="E460" s="1268"/>
      <c r="F460" s="961"/>
      <c r="G460" s="954"/>
      <c r="H460" s="730" t="s">
        <v>35</v>
      </c>
      <c r="I460" s="830">
        <f ca="1">IFERROR(__xludf.DUMMYFUNCTION("IMPORTRANGE(""https://docs.google.com/spreadsheets/d/1QqKyyYR6Q21VydFLVH3TRQUabQu_ym0Zz7PgGX0-kHA/edit?usp=sharing"",""แผน!FN30"")"),60)</f>
        <v>60</v>
      </c>
      <c r="J460" s="959">
        <v>60</v>
      </c>
      <c r="K460" s="831">
        <f ca="1">IF(I460&gt;0,J460*100/I460,0)</f>
        <v>100</v>
      </c>
      <c r="L460" s="831"/>
      <c r="M460" s="831"/>
      <c r="N460" s="831"/>
      <c r="O460" s="831"/>
      <c r="P460" s="831"/>
      <c r="Q460" s="1244"/>
      <c r="R460" s="1244"/>
      <c r="S460" s="1244"/>
      <c r="T460" s="1244"/>
      <c r="U460" s="1244"/>
      <c r="V460" s="1244"/>
      <c r="W460" s="1244"/>
      <c r="X460" s="1244"/>
      <c r="Y460" s="1244"/>
      <c r="Z460" s="1244"/>
    </row>
    <row r="461" spans="1:26" ht="18.75">
      <c r="A461" s="1267"/>
      <c r="B461" s="1268"/>
      <c r="C461" s="1268"/>
      <c r="D461" s="1268" t="s">
        <v>203</v>
      </c>
      <c r="E461" s="961"/>
      <c r="F461" s="961"/>
      <c r="G461" s="954"/>
      <c r="H461" s="730"/>
      <c r="I461" s="830"/>
      <c r="J461" s="830"/>
      <c r="K461" s="831"/>
      <c r="L461" s="831"/>
      <c r="M461" s="831"/>
      <c r="N461" s="831"/>
      <c r="O461" s="831"/>
      <c r="P461" s="831"/>
      <c r="Q461" s="1244"/>
      <c r="R461" s="1244"/>
      <c r="S461" s="1244"/>
      <c r="T461" s="1244"/>
      <c r="U461" s="1244"/>
      <c r="V461" s="1244"/>
      <c r="W461" s="1244"/>
      <c r="X461" s="1244"/>
      <c r="Y461" s="1244"/>
      <c r="Z461" s="1244"/>
    </row>
    <row r="462" spans="1:26" ht="18.75">
      <c r="A462" s="1267"/>
      <c r="B462" s="1268"/>
      <c r="C462" s="1268"/>
      <c r="D462" s="1268" t="s">
        <v>204</v>
      </c>
      <c r="E462" s="961"/>
      <c r="F462" s="961"/>
      <c r="G462" s="954"/>
      <c r="H462" s="730" t="s">
        <v>46</v>
      </c>
      <c r="I462" s="830">
        <f ca="1">IFERROR(__xludf.DUMMYFUNCTION("IMPORTRANGE(""https://docs.google.com/spreadsheets/d/1QqKyyYR6Q21VydFLVH3TRQUabQu_ym0Zz7PgGX0-kHA/edit?usp=sharing"",""แผน!FO30"")"),100)</f>
        <v>100</v>
      </c>
      <c r="J462" s="959">
        <v>100</v>
      </c>
      <c r="K462" s="831">
        <f ca="1">IF(I462&gt;0,J462*100/I462,0)</f>
        <v>100</v>
      </c>
      <c r="L462" s="831"/>
      <c r="M462" s="831"/>
      <c r="N462" s="831"/>
      <c r="O462" s="831"/>
      <c r="P462" s="831"/>
      <c r="Q462" s="1244"/>
      <c r="R462" s="1244"/>
      <c r="S462" s="1244"/>
      <c r="T462" s="1244"/>
      <c r="U462" s="1244"/>
      <c r="V462" s="1244"/>
      <c r="W462" s="1244"/>
      <c r="X462" s="1244"/>
      <c r="Y462" s="1244"/>
      <c r="Z462" s="1244"/>
    </row>
    <row r="463" spans="1:26" ht="18.75">
      <c r="A463" s="1267"/>
      <c r="B463" s="1268"/>
      <c r="C463" s="1268"/>
      <c r="D463" s="1268" t="s">
        <v>59</v>
      </c>
      <c r="E463" s="961"/>
      <c r="F463" s="1243"/>
      <c r="G463" s="963"/>
      <c r="H463" s="730" t="s">
        <v>46</v>
      </c>
      <c r="I463" s="830">
        <f ca="1">IFERROR(__xludf.DUMMYFUNCTION("IMPORTRANGE(""https://docs.google.com/spreadsheets/d/1QqKyyYR6Q21VydFLVH3TRQUabQu_ym0Zz7PgGX0-kHA/edit?usp=sharing"",""แผน!FO30"")"),100)</f>
        <v>100</v>
      </c>
      <c r="J463" s="959">
        <v>0</v>
      </c>
      <c r="K463" s="831"/>
      <c r="L463" s="831"/>
      <c r="M463" s="831"/>
      <c r="N463" s="831"/>
      <c r="O463" s="831"/>
      <c r="P463" s="831"/>
      <c r="Q463" s="1244"/>
      <c r="R463" s="1244"/>
      <c r="S463" s="1244"/>
      <c r="T463" s="1244"/>
      <c r="U463" s="1244"/>
      <c r="V463" s="1244"/>
      <c r="W463" s="1244"/>
      <c r="X463" s="1244"/>
      <c r="Y463" s="1244"/>
      <c r="Z463" s="1244"/>
    </row>
    <row r="464" spans="1:26" ht="19.5">
      <c r="A464" s="1267"/>
      <c r="B464" s="1268"/>
      <c r="C464" s="1268"/>
      <c r="D464" s="1268"/>
      <c r="E464" s="961"/>
      <c r="F464" s="961"/>
      <c r="G464" s="1275"/>
      <c r="H464" s="730" t="s">
        <v>35</v>
      </c>
      <c r="I464" s="830">
        <f ca="1">IFERROR(__xludf.DUMMYFUNCTION("IMPORTRANGE(""https://docs.google.com/spreadsheets/d/1QqKyyYR6Q21VydFLVH3TRQUabQu_ym0Zz7PgGX0-kHA/edit?usp=sharing"",""แผน!FN30"")"),60)</f>
        <v>60</v>
      </c>
      <c r="J464" s="959">
        <v>60</v>
      </c>
      <c r="K464" s="831"/>
      <c r="L464" s="831"/>
      <c r="M464" s="831"/>
      <c r="N464" s="831"/>
      <c r="O464" s="831"/>
      <c r="P464" s="831"/>
      <c r="Q464" s="1244"/>
      <c r="R464" s="1244"/>
      <c r="S464" s="1244"/>
      <c r="T464" s="1244"/>
      <c r="U464" s="1244"/>
      <c r="V464" s="1244"/>
      <c r="W464" s="1244"/>
      <c r="X464" s="1244"/>
      <c r="Y464" s="1244"/>
      <c r="Z464" s="1244"/>
    </row>
    <row r="465" spans="1:26" ht="19.5">
      <c r="A465" s="550">
        <v>3</v>
      </c>
      <c r="B465" s="1249" t="s">
        <v>205</v>
      </c>
      <c r="C465" s="1250"/>
      <c r="D465" s="1250"/>
      <c r="E465" s="1250"/>
      <c r="F465" s="1250"/>
      <c r="G465" s="1251"/>
      <c r="H465" s="554" t="s">
        <v>35</v>
      </c>
      <c r="I465" s="1252">
        <f ca="1">IFERROR(__xludf.DUMMYFUNCTION("IMPORTRANGE(""https://docs.google.com/spreadsheets/d/1QqKyyYR6Q21VydFLVH3TRQUabQu_ym0Zz7PgGX0-kHA/edit?usp=sharing"",""แผน!FX30"")"),131)</f>
        <v>131</v>
      </c>
      <c r="J465" s="1252">
        <f>J485+J489+J492</f>
        <v>131</v>
      </c>
      <c r="K465" s="1253">
        <f t="shared" ref="K465:K466" ca="1" si="205">IF(I465&gt;0,J465*100/I465,0)</f>
        <v>100</v>
      </c>
      <c r="L465" s="1254"/>
      <c r="M465" s="1254"/>
      <c r="N465" s="1254"/>
      <c r="O465" s="1254"/>
      <c r="P465" s="1254"/>
      <c r="Q465" s="1244"/>
      <c r="R465" s="1244"/>
      <c r="S465" s="1244"/>
      <c r="T465" s="1244"/>
      <c r="U465" s="1244"/>
      <c r="V465" s="1244"/>
      <c r="W465" s="1244"/>
      <c r="X465" s="1244"/>
      <c r="Y465" s="1244"/>
      <c r="Z465" s="1244"/>
    </row>
    <row r="466" spans="1:26" ht="19.5">
      <c r="A466" s="1255"/>
      <c r="B466" s="1256"/>
      <c r="C466" s="1257"/>
      <c r="D466" s="1257"/>
      <c r="E466" s="1257"/>
      <c r="F466" s="1257"/>
      <c r="G466" s="1258"/>
      <c r="H466" s="532" t="s">
        <v>46</v>
      </c>
      <c r="I466" s="1237">
        <f ca="1">IFERROR(__xludf.DUMMYFUNCTION("IMPORTRANGE(""https://docs.google.com/spreadsheets/d/1QqKyyYR6Q21VydFLVH3TRQUabQu_ym0Zz7PgGX0-kHA/edit?usp=sharing"",""แผน!FW30"")"),1300)</f>
        <v>1300</v>
      </c>
      <c r="J466" s="1237">
        <f>J495+J498</f>
        <v>0</v>
      </c>
      <c r="K466" s="1238">
        <f t="shared" ca="1" si="205"/>
        <v>0</v>
      </c>
      <c r="L466" s="1239"/>
      <c r="M466" s="1239"/>
      <c r="N466" s="1239"/>
      <c r="O466" s="1239"/>
      <c r="P466" s="1239"/>
      <c r="Q466" s="1244"/>
      <c r="R466" s="1244"/>
      <c r="S466" s="1244"/>
      <c r="T466" s="1244"/>
      <c r="U466" s="1244"/>
      <c r="V466" s="1244"/>
      <c r="W466" s="1244"/>
      <c r="X466" s="1244"/>
      <c r="Y466" s="1244"/>
      <c r="Z466" s="1244"/>
    </row>
    <row r="467" spans="1:26" ht="19.5">
      <c r="A467" s="1259"/>
      <c r="B467" s="1243"/>
      <c r="C467" s="1243" t="s">
        <v>16</v>
      </c>
      <c r="D467" s="1507" t="s">
        <v>17</v>
      </c>
      <c r="E467" s="1485"/>
      <c r="F467" s="1485"/>
      <c r="G467" s="963"/>
      <c r="H467" s="563" t="s">
        <v>12</v>
      </c>
      <c r="I467" s="830"/>
      <c r="J467" s="830"/>
      <c r="K467" s="831"/>
      <c r="L467" s="967">
        <f t="shared" ref="L467:N467" ca="1" si="206">L468+L469</f>
        <v>1167048</v>
      </c>
      <c r="M467" s="967">
        <f t="shared" si="206"/>
        <v>0</v>
      </c>
      <c r="N467" s="967">
        <f t="shared" si="206"/>
        <v>209538</v>
      </c>
      <c r="O467" s="967">
        <f t="shared" ref="O467:O472" ca="1" si="207">IF(L467&gt;0,N467*100/L467,0)</f>
        <v>17.954531433154422</v>
      </c>
      <c r="P467" s="967">
        <f t="shared" ref="P467:P472" si="208">IF(M467&gt;0,N467*100/M467,0)</f>
        <v>0</v>
      </c>
      <c r="Q467" s="1244"/>
      <c r="R467" s="1244"/>
      <c r="S467" s="1244"/>
      <c r="T467" s="1244"/>
      <c r="U467" s="1244"/>
      <c r="V467" s="1244"/>
      <c r="W467" s="1244"/>
      <c r="X467" s="1244"/>
      <c r="Y467" s="1244"/>
      <c r="Z467" s="1244"/>
    </row>
    <row r="468" spans="1:26" ht="18.75" hidden="1">
      <c r="A468" s="1260"/>
      <c r="B468" s="1261"/>
      <c r="C468" s="1261"/>
      <c r="D468" s="1262"/>
      <c r="E468" s="1261" t="s">
        <v>184</v>
      </c>
      <c r="F468" s="1261"/>
      <c r="G468" s="1263"/>
      <c r="H468" s="165" t="s">
        <v>12</v>
      </c>
      <c r="I468" s="836"/>
      <c r="J468" s="836"/>
      <c r="K468" s="837"/>
      <c r="L468" s="837">
        <f t="shared" ref="L468:N469" si="209">L471+L478</f>
        <v>0</v>
      </c>
      <c r="M468" s="837">
        <f t="shared" si="209"/>
        <v>0</v>
      </c>
      <c r="N468" s="837">
        <f t="shared" si="209"/>
        <v>0</v>
      </c>
      <c r="O468" s="837">
        <f t="shared" si="207"/>
        <v>0</v>
      </c>
      <c r="P468" s="837">
        <f t="shared" si="208"/>
        <v>0</v>
      </c>
      <c r="Q468" s="1264"/>
      <c r="R468" s="1264"/>
      <c r="S468" s="1264"/>
      <c r="T468" s="1264"/>
      <c r="U468" s="1264"/>
      <c r="V468" s="1264"/>
      <c r="W468" s="1264"/>
      <c r="X468" s="1264"/>
      <c r="Y468" s="1264"/>
      <c r="Z468" s="1264"/>
    </row>
    <row r="469" spans="1:26" ht="18.75" hidden="1">
      <c r="A469" s="1260"/>
      <c r="B469" s="1265"/>
      <c r="C469" s="1261"/>
      <c r="D469" s="1262"/>
      <c r="E469" s="1261" t="s">
        <v>185</v>
      </c>
      <c r="F469" s="1261"/>
      <c r="G469" s="1263"/>
      <c r="H469" s="165" t="s">
        <v>12</v>
      </c>
      <c r="I469" s="836"/>
      <c r="J469" s="836"/>
      <c r="K469" s="837"/>
      <c r="L469" s="837">
        <f t="shared" ca="1" si="209"/>
        <v>1167048</v>
      </c>
      <c r="M469" s="837">
        <f t="shared" si="209"/>
        <v>0</v>
      </c>
      <c r="N469" s="837">
        <f t="shared" si="209"/>
        <v>209538</v>
      </c>
      <c r="O469" s="837">
        <f t="shared" ca="1" si="207"/>
        <v>17.954531433154422</v>
      </c>
      <c r="P469" s="837">
        <f t="shared" si="208"/>
        <v>0</v>
      </c>
      <c r="Q469" s="1264"/>
      <c r="R469" s="1264"/>
      <c r="S469" s="1264"/>
      <c r="T469" s="1264"/>
      <c r="U469" s="1264"/>
      <c r="V469" s="1264"/>
      <c r="W469" s="1264"/>
      <c r="X469" s="1264"/>
      <c r="Y469" s="1264"/>
      <c r="Z469" s="1264"/>
    </row>
    <row r="470" spans="1:26" ht="18.75">
      <c r="A470" s="1259"/>
      <c r="B470" s="1242"/>
      <c r="C470" s="1243"/>
      <c r="D470" s="1266" t="s">
        <v>20</v>
      </c>
      <c r="E470" s="1243"/>
      <c r="F470" s="1243"/>
      <c r="G470" s="963"/>
      <c r="H470" s="778" t="s">
        <v>12</v>
      </c>
      <c r="I470" s="944"/>
      <c r="J470" s="944"/>
      <c r="K470" s="945"/>
      <c r="L470" s="831">
        <f t="shared" ref="L470:N470" ca="1" si="210">L471+L472</f>
        <v>1167048</v>
      </c>
      <c r="M470" s="831">
        <f t="shared" si="210"/>
        <v>0</v>
      </c>
      <c r="N470" s="831">
        <f t="shared" si="210"/>
        <v>209538</v>
      </c>
      <c r="O470" s="831">
        <f t="shared" ca="1" si="207"/>
        <v>17.954531433154422</v>
      </c>
      <c r="P470" s="831">
        <f t="shared" si="208"/>
        <v>0</v>
      </c>
      <c r="Q470" s="1244"/>
      <c r="R470" s="1244"/>
      <c r="S470" s="1244"/>
      <c r="T470" s="1244"/>
      <c r="U470" s="1244"/>
      <c r="V470" s="1244"/>
      <c r="W470" s="1244"/>
      <c r="X470" s="1244"/>
      <c r="Y470" s="1244"/>
      <c r="Z470" s="1244"/>
    </row>
    <row r="471" spans="1:26" ht="18.75" hidden="1">
      <c r="A471" s="1260"/>
      <c r="B471" s="1265"/>
      <c r="C471" s="1261"/>
      <c r="D471" s="1262"/>
      <c r="E471" s="1261" t="s">
        <v>184</v>
      </c>
      <c r="F471" s="1261"/>
      <c r="G471" s="1263"/>
      <c r="H471" s="165" t="s">
        <v>12</v>
      </c>
      <c r="I471" s="836"/>
      <c r="J471" s="836"/>
      <c r="K471" s="837"/>
      <c r="L471" s="837">
        <v>0</v>
      </c>
      <c r="M471" s="837">
        <v>0</v>
      </c>
      <c r="N471" s="837">
        <v>0</v>
      </c>
      <c r="O471" s="837">
        <f t="shared" si="207"/>
        <v>0</v>
      </c>
      <c r="P471" s="837">
        <f t="shared" si="208"/>
        <v>0</v>
      </c>
      <c r="Q471" s="1264"/>
      <c r="R471" s="1264"/>
      <c r="S471" s="1264"/>
      <c r="T471" s="1264"/>
      <c r="U471" s="1264"/>
      <c r="V471" s="1264"/>
      <c r="W471" s="1264"/>
      <c r="X471" s="1264"/>
      <c r="Y471" s="1264"/>
      <c r="Z471" s="1264"/>
    </row>
    <row r="472" spans="1:26" ht="18.75" hidden="1">
      <c r="A472" s="1260"/>
      <c r="B472" s="1265"/>
      <c r="C472" s="1261"/>
      <c r="D472" s="1262"/>
      <c r="E472" s="1261" t="s">
        <v>185</v>
      </c>
      <c r="F472" s="1261"/>
      <c r="G472" s="1263"/>
      <c r="H472" s="165" t="s">
        <v>12</v>
      </c>
      <c r="I472" s="836"/>
      <c r="J472" s="836"/>
      <c r="K472" s="837"/>
      <c r="L472" s="837">
        <f ca="1">IFERROR(__xludf.DUMMYFUNCTION("IMPORTRANGE(""https://docs.google.com/spreadsheets/d/1QqKyyYR6Q21VydFLVH3TRQUabQu_ym0Zz7PgGX0-kHA/edit?usp=sharing"",""แผน!FS30"")"),1167048)</f>
        <v>1167048</v>
      </c>
      <c r="M472" s="837">
        <v>0</v>
      </c>
      <c r="N472" s="837">
        <f>N473+N474+N475+N476</f>
        <v>209538</v>
      </c>
      <c r="O472" s="837">
        <f t="shared" ca="1" si="207"/>
        <v>17.954531433154422</v>
      </c>
      <c r="P472" s="837">
        <f t="shared" si="208"/>
        <v>0</v>
      </c>
      <c r="Q472" s="1264"/>
      <c r="R472" s="1264"/>
      <c r="S472" s="1264"/>
      <c r="T472" s="1264"/>
      <c r="U472" s="1264"/>
      <c r="V472" s="1264"/>
      <c r="W472" s="1264"/>
      <c r="X472" s="1264"/>
      <c r="Y472" s="1264"/>
      <c r="Z472" s="1264"/>
    </row>
    <row r="473" spans="1:26" ht="18.75">
      <c r="A473" s="1241"/>
      <c r="B473" s="1242"/>
      <c r="C473" s="1243"/>
      <c r="D473" s="1243"/>
      <c r="E473" s="1243"/>
      <c r="F473" s="1243" t="s">
        <v>186</v>
      </c>
      <c r="G473" s="963"/>
      <c r="H473" s="778" t="s">
        <v>12</v>
      </c>
      <c r="I473" s="830"/>
      <c r="J473" s="830"/>
      <c r="K473" s="831"/>
      <c r="L473" s="831"/>
      <c r="M473" s="831"/>
      <c r="N473" s="1031">
        <v>137939</v>
      </c>
      <c r="O473" s="831"/>
      <c r="P473" s="831"/>
      <c r="Q473" s="1244"/>
      <c r="R473" s="1244"/>
      <c r="S473" s="1244"/>
      <c r="T473" s="1244"/>
      <c r="U473" s="1244"/>
      <c r="V473" s="1244"/>
      <c r="W473" s="1244"/>
      <c r="X473" s="1244"/>
      <c r="Y473" s="1244"/>
      <c r="Z473" s="1244"/>
    </row>
    <row r="474" spans="1:26" ht="18.75">
      <c r="A474" s="1241"/>
      <c r="B474" s="1242"/>
      <c r="C474" s="1243"/>
      <c r="D474" s="1243"/>
      <c r="E474" s="1243"/>
      <c r="F474" s="1243" t="s">
        <v>187</v>
      </c>
      <c r="G474" s="963"/>
      <c r="H474" s="778" t="s">
        <v>12</v>
      </c>
      <c r="I474" s="830"/>
      <c r="J474" s="830"/>
      <c r="K474" s="831"/>
      <c r="L474" s="831"/>
      <c r="M474" s="831"/>
      <c r="N474" s="1031">
        <v>0</v>
      </c>
      <c r="O474" s="831"/>
      <c r="P474" s="831"/>
      <c r="Q474" s="1244"/>
      <c r="R474" s="1244"/>
      <c r="S474" s="1244"/>
      <c r="T474" s="1244"/>
      <c r="U474" s="1244"/>
      <c r="V474" s="1244"/>
      <c r="W474" s="1244"/>
      <c r="X474" s="1244"/>
      <c r="Y474" s="1244"/>
      <c r="Z474" s="1244"/>
    </row>
    <row r="475" spans="1:26" ht="18.75">
      <c r="A475" s="1241"/>
      <c r="B475" s="1242"/>
      <c r="C475" s="1242"/>
      <c r="D475" s="1242"/>
      <c r="E475" s="1242"/>
      <c r="F475" s="1243" t="s">
        <v>188</v>
      </c>
      <c r="G475" s="963"/>
      <c r="H475" s="778" t="s">
        <v>12</v>
      </c>
      <c r="I475" s="830"/>
      <c r="J475" s="830"/>
      <c r="K475" s="831"/>
      <c r="L475" s="831"/>
      <c r="M475" s="831"/>
      <c r="N475" s="1031">
        <v>38161</v>
      </c>
      <c r="O475" s="831"/>
      <c r="P475" s="831"/>
      <c r="Q475" s="1244"/>
      <c r="R475" s="1244"/>
      <c r="S475" s="1244"/>
      <c r="T475" s="1244"/>
      <c r="U475" s="1244"/>
      <c r="V475" s="1244"/>
      <c r="W475" s="1244"/>
      <c r="X475" s="1244"/>
      <c r="Y475" s="1244"/>
      <c r="Z475" s="1244"/>
    </row>
    <row r="476" spans="1:26" ht="18.75">
      <c r="A476" s="1241"/>
      <c r="B476" s="1242"/>
      <c r="C476" s="1242"/>
      <c r="D476" s="1242"/>
      <c r="E476" s="1242"/>
      <c r="F476" s="1243" t="s">
        <v>189</v>
      </c>
      <c r="G476" s="963"/>
      <c r="H476" s="778" t="s">
        <v>12</v>
      </c>
      <c r="I476" s="830"/>
      <c r="J476" s="830"/>
      <c r="K476" s="831"/>
      <c r="L476" s="831"/>
      <c r="M476" s="831"/>
      <c r="N476" s="1031">
        <v>33438</v>
      </c>
      <c r="O476" s="831"/>
      <c r="P476" s="831"/>
      <c r="Q476" s="1244"/>
      <c r="R476" s="1244"/>
      <c r="S476" s="1244"/>
      <c r="T476" s="1244"/>
      <c r="U476" s="1244"/>
      <c r="V476" s="1244"/>
      <c r="W476" s="1244"/>
      <c r="X476" s="1244"/>
      <c r="Y476" s="1244"/>
      <c r="Z476" s="1244"/>
    </row>
    <row r="477" spans="1:26" ht="18.75">
      <c r="A477" s="1259"/>
      <c r="B477" s="1242"/>
      <c r="C477" s="1242"/>
      <c r="D477" s="1266" t="s">
        <v>21</v>
      </c>
      <c r="E477" s="1242"/>
      <c r="F477" s="1242"/>
      <c r="G477" s="963"/>
      <c r="H477" s="168" t="s">
        <v>12</v>
      </c>
      <c r="I477" s="944"/>
      <c r="J477" s="944"/>
      <c r="K477" s="945"/>
      <c r="L477" s="831">
        <f t="shared" ref="L477:N477" ca="1" si="211">L478+L479</f>
        <v>0</v>
      </c>
      <c r="M477" s="831">
        <f t="shared" si="211"/>
        <v>0</v>
      </c>
      <c r="N477" s="831">
        <f t="shared" si="211"/>
        <v>0</v>
      </c>
      <c r="O477" s="831">
        <f t="shared" ref="O477:O479" ca="1" si="212">IF(L477&gt;0,N477*100/L477,0)</f>
        <v>0</v>
      </c>
      <c r="P477" s="831">
        <f t="shared" ref="P477:P479" si="213">IF(M477&gt;0,N477*100/M477,0)</f>
        <v>0</v>
      </c>
      <c r="Q477" s="1244"/>
      <c r="R477" s="1244"/>
      <c r="S477" s="1244"/>
      <c r="T477" s="1244"/>
      <c r="U477" s="1244"/>
      <c r="V477" s="1244"/>
      <c r="W477" s="1244"/>
      <c r="X477" s="1244"/>
      <c r="Y477" s="1244"/>
      <c r="Z477" s="1244"/>
    </row>
    <row r="478" spans="1:26" ht="18.75" hidden="1">
      <c r="A478" s="1260"/>
      <c r="B478" s="1265"/>
      <c r="C478" s="1265"/>
      <c r="D478" s="1265"/>
      <c r="E478" s="1265" t="s">
        <v>18</v>
      </c>
      <c r="F478" s="1265"/>
      <c r="G478" s="1263"/>
      <c r="H478" s="165" t="s">
        <v>12</v>
      </c>
      <c r="I478" s="947"/>
      <c r="J478" s="947"/>
      <c r="K478" s="948"/>
      <c r="L478" s="837">
        <v>0</v>
      </c>
      <c r="M478" s="837">
        <v>0</v>
      </c>
      <c r="N478" s="837">
        <v>0</v>
      </c>
      <c r="O478" s="837">
        <f t="shared" si="212"/>
        <v>0</v>
      </c>
      <c r="P478" s="837">
        <f t="shared" si="213"/>
        <v>0</v>
      </c>
      <c r="Q478" s="1264"/>
      <c r="R478" s="1264"/>
      <c r="S478" s="1264"/>
      <c r="T478" s="1264"/>
      <c r="U478" s="1264"/>
      <c r="V478" s="1264"/>
      <c r="W478" s="1264"/>
      <c r="X478" s="1264"/>
      <c r="Y478" s="1264"/>
      <c r="Z478" s="1264"/>
    </row>
    <row r="479" spans="1:26" ht="18.75" hidden="1">
      <c r="A479" s="1260"/>
      <c r="B479" s="1265"/>
      <c r="C479" s="1265"/>
      <c r="D479" s="1265"/>
      <c r="E479" s="1265" t="s">
        <v>19</v>
      </c>
      <c r="F479" s="1265"/>
      <c r="G479" s="1263"/>
      <c r="H479" s="169" t="s">
        <v>12</v>
      </c>
      <c r="I479" s="947"/>
      <c r="J479" s="947"/>
      <c r="K479" s="948"/>
      <c r="L479" s="837">
        <f ca="1">IFERROR(__xludf.DUMMYFUNCTION("IMPORTRANGE(""https://docs.google.com/spreadsheets/d/1QqKyyYR6Q21VydFLVH3TRQUabQu_ym0Zz7PgGX0-kHA/edit?usp=sharing"",""แผน!FV30"")"),0)</f>
        <v>0</v>
      </c>
      <c r="M479" s="837">
        <v>0</v>
      </c>
      <c r="N479" s="837">
        <v>0</v>
      </c>
      <c r="O479" s="837">
        <f t="shared" ca="1" si="212"/>
        <v>0</v>
      </c>
      <c r="P479" s="837">
        <f t="shared" si="213"/>
        <v>0</v>
      </c>
      <c r="Q479" s="1264"/>
      <c r="R479" s="1264"/>
      <c r="S479" s="1264"/>
      <c r="T479" s="1264"/>
      <c r="U479" s="1264"/>
      <c r="V479" s="1264"/>
      <c r="W479" s="1264"/>
      <c r="X479" s="1264"/>
      <c r="Y479" s="1264"/>
      <c r="Z479" s="1264"/>
    </row>
    <row r="480" spans="1:26" ht="19.5">
      <c r="A480" s="1267"/>
      <c r="B480" s="1268"/>
      <c r="C480" s="1242" t="s">
        <v>16</v>
      </c>
      <c r="D480" s="1276" t="s">
        <v>38</v>
      </c>
      <c r="E480" s="1270"/>
      <c r="F480" s="1271"/>
      <c r="G480" s="1272"/>
      <c r="H480" s="954"/>
      <c r="I480" s="830"/>
      <c r="J480" s="830"/>
      <c r="K480" s="831"/>
      <c r="L480" s="831"/>
      <c r="M480" s="831"/>
      <c r="N480" s="831"/>
      <c r="O480" s="831"/>
      <c r="P480" s="831"/>
      <c r="Q480" s="1244"/>
      <c r="R480" s="1244"/>
      <c r="S480" s="1244"/>
      <c r="T480" s="1244"/>
      <c r="U480" s="1244"/>
      <c r="V480" s="1244"/>
      <c r="W480" s="1244"/>
      <c r="X480" s="1244"/>
      <c r="Y480" s="1244"/>
      <c r="Z480" s="1244"/>
    </row>
    <row r="481" spans="1:26" ht="19.5">
      <c r="A481" s="1267"/>
      <c r="B481" s="1268"/>
      <c r="C481" s="1268"/>
      <c r="D481" s="1277" t="s">
        <v>206</v>
      </c>
      <c r="E481" s="1268"/>
      <c r="F481" s="1268"/>
      <c r="G481" s="954"/>
      <c r="H481" s="963"/>
      <c r="I481" s="830"/>
      <c r="J481" s="830"/>
      <c r="K481" s="831"/>
      <c r="L481" s="831"/>
      <c r="M481" s="831"/>
      <c r="N481" s="831"/>
      <c r="O481" s="831"/>
      <c r="P481" s="831"/>
      <c r="Q481" s="1244"/>
      <c r="R481" s="1244"/>
      <c r="S481" s="1244"/>
      <c r="T481" s="1244"/>
      <c r="U481" s="1244"/>
      <c r="V481" s="1244"/>
      <c r="W481" s="1244"/>
      <c r="X481" s="1244"/>
      <c r="Y481" s="1244"/>
      <c r="Z481" s="1244"/>
    </row>
    <row r="482" spans="1:26" ht="18.75">
      <c r="A482" s="1267"/>
      <c r="B482" s="1268"/>
      <c r="C482" s="1268"/>
      <c r="D482" s="1268"/>
      <c r="E482" s="1268" t="s">
        <v>207</v>
      </c>
      <c r="F482" s="1268"/>
      <c r="G482" s="954"/>
      <c r="H482" s="963"/>
      <c r="I482" s="830"/>
      <c r="J482" s="830"/>
      <c r="K482" s="831"/>
      <c r="L482" s="831"/>
      <c r="M482" s="831"/>
      <c r="N482" s="831"/>
      <c r="O482" s="831"/>
      <c r="P482" s="831"/>
      <c r="Q482" s="1244"/>
      <c r="R482" s="1244"/>
      <c r="S482" s="1244"/>
      <c r="T482" s="1244"/>
      <c r="U482" s="1244"/>
      <c r="V482" s="1244"/>
      <c r="W482" s="1244"/>
      <c r="X482" s="1244"/>
      <c r="Y482" s="1244"/>
      <c r="Z482" s="1244"/>
    </row>
    <row r="483" spans="1:26" ht="18.75">
      <c r="A483" s="1267"/>
      <c r="B483" s="1268"/>
      <c r="C483" s="1268"/>
      <c r="D483" s="1268"/>
      <c r="E483" s="1268"/>
      <c r="F483" s="1268" t="s">
        <v>208</v>
      </c>
      <c r="G483" s="954"/>
      <c r="H483" s="590" t="s">
        <v>46</v>
      </c>
      <c r="I483" s="830">
        <f ca="1">IFERROR(__xludf.DUMMYFUNCTION("IMPORTRANGE(""https://docs.google.com/spreadsheets/d/1QqKyyYR6Q21VydFLVH3TRQUabQu_ym0Zz7PgGX0-kHA/edit?usp=sharing"",""แผน!FY30"")"),1170)</f>
        <v>1170</v>
      </c>
      <c r="J483" s="959">
        <v>1170</v>
      </c>
      <c r="K483" s="831">
        <f ca="1">IF(I483&gt;0,J483*100/I483,0)</f>
        <v>100</v>
      </c>
      <c r="L483" s="831"/>
      <c r="M483" s="831"/>
      <c r="N483" s="831"/>
      <c r="O483" s="831"/>
      <c r="P483" s="831"/>
      <c r="Q483" s="1244"/>
      <c r="R483" s="1244"/>
      <c r="S483" s="1244"/>
      <c r="T483" s="1244"/>
      <c r="U483" s="1244"/>
      <c r="V483" s="1244"/>
      <c r="W483" s="1244"/>
      <c r="X483" s="1244"/>
      <c r="Y483" s="1244"/>
      <c r="Z483" s="1244"/>
    </row>
    <row r="484" spans="1:26" ht="18.75">
      <c r="A484" s="1267"/>
      <c r="B484" s="1268"/>
      <c r="C484" s="1268"/>
      <c r="D484" s="1268"/>
      <c r="E484" s="1268"/>
      <c r="F484" s="1268" t="s">
        <v>209</v>
      </c>
      <c r="G484" s="954"/>
      <c r="H484" s="590" t="s">
        <v>35</v>
      </c>
      <c r="I484" s="830"/>
      <c r="J484" s="959">
        <v>117</v>
      </c>
      <c r="K484" s="831"/>
      <c r="L484" s="831"/>
      <c r="M484" s="831"/>
      <c r="N484" s="831"/>
      <c r="O484" s="831"/>
      <c r="P484" s="831"/>
      <c r="Q484" s="1244"/>
      <c r="R484" s="1244"/>
      <c r="S484" s="1244"/>
      <c r="T484" s="1244"/>
      <c r="U484" s="1244"/>
      <c r="V484" s="1244"/>
      <c r="W484" s="1244"/>
      <c r="X484" s="1244"/>
      <c r="Y484" s="1244"/>
      <c r="Z484" s="1244"/>
    </row>
    <row r="485" spans="1:26" ht="18.75">
      <c r="A485" s="1267"/>
      <c r="B485" s="1268"/>
      <c r="C485" s="1268"/>
      <c r="D485" s="1268"/>
      <c r="E485" s="1268"/>
      <c r="F485" s="1268" t="s">
        <v>210</v>
      </c>
      <c r="G485" s="954"/>
      <c r="H485" s="590" t="s">
        <v>35</v>
      </c>
      <c r="I485" s="830">
        <f ca="1">IFERROR(__xludf.DUMMYFUNCTION("IMPORTRANGE(""https://docs.google.com/spreadsheets/d/1QqKyyYR6Q21VydFLVH3TRQUabQu_ym0Zz7PgGX0-kHA/edit?usp=sharing"",""แผน!FZ30"")"),117)</f>
        <v>117</v>
      </c>
      <c r="J485" s="959">
        <v>117</v>
      </c>
      <c r="K485" s="831">
        <f ca="1">IF(I485&gt;0,J485*100/I485,0)</f>
        <v>100</v>
      </c>
      <c r="L485" s="831"/>
      <c r="M485" s="831"/>
      <c r="N485" s="831"/>
      <c r="O485" s="831"/>
      <c r="P485" s="831"/>
      <c r="Q485" s="1244"/>
      <c r="R485" s="1244"/>
      <c r="S485" s="1244"/>
      <c r="T485" s="1244"/>
      <c r="U485" s="1244"/>
      <c r="V485" s="1244"/>
      <c r="W485" s="1244"/>
      <c r="X485" s="1244"/>
      <c r="Y485" s="1244"/>
      <c r="Z485" s="1244"/>
    </row>
    <row r="486" spans="1:26" ht="18.75">
      <c r="A486" s="1267"/>
      <c r="B486" s="1268"/>
      <c r="C486" s="1268"/>
      <c r="D486" s="1268"/>
      <c r="E486" s="1268" t="s">
        <v>62</v>
      </c>
      <c r="F486" s="1268"/>
      <c r="G486" s="954"/>
      <c r="H486" s="590"/>
      <c r="I486" s="830"/>
      <c r="J486" s="830"/>
      <c r="K486" s="831"/>
      <c r="L486" s="831"/>
      <c r="M486" s="831"/>
      <c r="N486" s="831"/>
      <c r="O486" s="831"/>
      <c r="P486" s="831"/>
      <c r="Q486" s="1244"/>
      <c r="R486" s="1244"/>
      <c r="S486" s="1244"/>
      <c r="T486" s="1244"/>
      <c r="U486" s="1244"/>
      <c r="V486" s="1244"/>
      <c r="W486" s="1244"/>
      <c r="X486" s="1244"/>
      <c r="Y486" s="1244"/>
      <c r="Z486" s="1244"/>
    </row>
    <row r="487" spans="1:26" ht="18.75">
      <c r="A487" s="1267"/>
      <c r="B487" s="1268"/>
      <c r="C487" s="1268"/>
      <c r="D487" s="1268"/>
      <c r="E487" s="1268"/>
      <c r="F487" s="1268" t="s">
        <v>208</v>
      </c>
      <c r="G487" s="954"/>
      <c r="H487" s="590" t="s">
        <v>46</v>
      </c>
      <c r="I487" s="830">
        <f ca="1">IFERROR(__xludf.DUMMYFUNCTION("IMPORTRANGE(""https://docs.google.com/spreadsheets/d/1QqKyyYR6Q21VydFLVH3TRQUabQu_ym0Zz7PgGX0-kHA/edit?usp=sharing"",""แผน!GA30"")"),130)</f>
        <v>130</v>
      </c>
      <c r="J487" s="959">
        <v>130</v>
      </c>
      <c r="K487" s="831">
        <f ca="1">IF(I487&gt;0,J487*100/I487,0)</f>
        <v>100</v>
      </c>
      <c r="L487" s="831"/>
      <c r="M487" s="831"/>
      <c r="N487" s="831"/>
      <c r="O487" s="831"/>
      <c r="P487" s="831"/>
      <c r="Q487" s="1244"/>
      <c r="R487" s="1244"/>
      <c r="S487" s="1244"/>
      <c r="T487" s="1244"/>
      <c r="U487" s="1244"/>
      <c r="V487" s="1244"/>
      <c r="W487" s="1244"/>
      <c r="X487" s="1244"/>
      <c r="Y487" s="1244"/>
      <c r="Z487" s="1244"/>
    </row>
    <row r="488" spans="1:26" ht="18.75">
      <c r="A488" s="1267"/>
      <c r="B488" s="1268"/>
      <c r="C488" s="1268"/>
      <c r="D488" s="1268"/>
      <c r="E488" s="1268"/>
      <c r="F488" s="1268" t="s">
        <v>211</v>
      </c>
      <c r="G488" s="954"/>
      <c r="H488" s="590" t="s">
        <v>35</v>
      </c>
      <c r="I488" s="830"/>
      <c r="J488" s="959">
        <v>0</v>
      </c>
      <c r="K488" s="831"/>
      <c r="L488" s="831"/>
      <c r="M488" s="831"/>
      <c r="N488" s="831"/>
      <c r="O488" s="831"/>
      <c r="P488" s="831"/>
      <c r="Q488" s="1244"/>
      <c r="R488" s="1244"/>
      <c r="S488" s="1244"/>
      <c r="T488" s="1244"/>
      <c r="U488" s="1244"/>
      <c r="V488" s="1244"/>
      <c r="W488" s="1244"/>
      <c r="X488" s="1244"/>
      <c r="Y488" s="1244"/>
      <c r="Z488" s="1244"/>
    </row>
    <row r="489" spans="1:26" ht="18.75">
      <c r="A489" s="1267"/>
      <c r="B489" s="1268"/>
      <c r="C489" s="1268"/>
      <c r="D489" s="1268"/>
      <c r="E489" s="1268"/>
      <c r="F489" s="1268" t="s">
        <v>212</v>
      </c>
      <c r="G489" s="954"/>
      <c r="H489" s="590" t="s">
        <v>35</v>
      </c>
      <c r="I489" s="830">
        <f ca="1">IFERROR(__xludf.DUMMYFUNCTION("IMPORTRANGE(""https://docs.google.com/spreadsheets/d/1QqKyyYR6Q21VydFLVH3TRQUabQu_ym0Zz7PgGX0-kHA/edit?usp=sharing"",""แผน!GB30"")"),13)</f>
        <v>13</v>
      </c>
      <c r="J489" s="959">
        <v>13</v>
      </c>
      <c r="K489" s="831">
        <f ca="1">IF(I489&gt;0,J489*100/I489,0)</f>
        <v>100</v>
      </c>
      <c r="L489" s="831"/>
      <c r="M489" s="831"/>
      <c r="N489" s="831"/>
      <c r="O489" s="831"/>
      <c r="P489" s="831"/>
      <c r="Q489" s="1244"/>
      <c r="R489" s="1244"/>
      <c r="S489" s="1244"/>
      <c r="T489" s="1244"/>
      <c r="U489" s="1244"/>
      <c r="V489" s="1244"/>
      <c r="W489" s="1244"/>
      <c r="X489" s="1244"/>
      <c r="Y489" s="1244"/>
      <c r="Z489" s="1244"/>
    </row>
    <row r="490" spans="1:26" ht="18.75">
      <c r="A490" s="1267"/>
      <c r="B490" s="1268"/>
      <c r="C490" s="1268"/>
      <c r="D490" s="1268"/>
      <c r="E490" s="1268" t="s">
        <v>63</v>
      </c>
      <c r="F490" s="961"/>
      <c r="G490" s="954"/>
      <c r="H490" s="590"/>
      <c r="I490" s="830"/>
      <c r="J490" s="830"/>
      <c r="K490" s="831"/>
      <c r="L490" s="831"/>
      <c r="M490" s="831"/>
      <c r="N490" s="831"/>
      <c r="O490" s="831"/>
      <c r="P490" s="831"/>
      <c r="Q490" s="1244"/>
      <c r="R490" s="1244"/>
      <c r="S490" s="1244"/>
      <c r="T490" s="1244"/>
      <c r="U490" s="1244"/>
      <c r="V490" s="1244"/>
      <c r="W490" s="1244"/>
      <c r="X490" s="1244"/>
      <c r="Y490" s="1244"/>
      <c r="Z490" s="1244"/>
    </row>
    <row r="491" spans="1:26" ht="18.75">
      <c r="A491" s="1267"/>
      <c r="B491" s="1268"/>
      <c r="C491" s="1268"/>
      <c r="D491" s="1268"/>
      <c r="E491" s="1268"/>
      <c r="F491" s="1268" t="s">
        <v>213</v>
      </c>
      <c r="G491" s="954"/>
      <c r="H491" s="590" t="s">
        <v>35</v>
      </c>
      <c r="I491" s="830"/>
      <c r="J491" s="959">
        <v>0</v>
      </c>
      <c r="K491" s="831"/>
      <c r="L491" s="831"/>
      <c r="M491" s="831"/>
      <c r="N491" s="831"/>
      <c r="O491" s="831"/>
      <c r="P491" s="831"/>
      <c r="Q491" s="1244"/>
      <c r="R491" s="1244"/>
      <c r="S491" s="1244"/>
      <c r="T491" s="1244"/>
      <c r="U491" s="1244"/>
      <c r="V491" s="1244"/>
      <c r="W491" s="1244"/>
      <c r="X491" s="1244"/>
      <c r="Y491" s="1244"/>
      <c r="Z491" s="1244"/>
    </row>
    <row r="492" spans="1:26" ht="18.75">
      <c r="A492" s="1267"/>
      <c r="B492" s="1268"/>
      <c r="C492" s="1268"/>
      <c r="D492" s="1268"/>
      <c r="E492" s="1268"/>
      <c r="F492" s="1268" t="s">
        <v>214</v>
      </c>
      <c r="G492" s="954"/>
      <c r="H492" s="590" t="s">
        <v>35</v>
      </c>
      <c r="I492" s="830">
        <f ca="1">IFERROR(__xludf.DUMMYFUNCTION("IMPORTRANGE(""https://docs.google.com/spreadsheets/d/1QqKyyYR6Q21VydFLVH3TRQUabQu_ym0Zz7PgGX0-kHA/edit?usp=sharing"",""แผน!GC30"")"),1)</f>
        <v>1</v>
      </c>
      <c r="J492" s="959">
        <v>1</v>
      </c>
      <c r="K492" s="831">
        <f ca="1">IF(I492&gt;0,J492*100/I492,0)</f>
        <v>100</v>
      </c>
      <c r="L492" s="831"/>
      <c r="M492" s="831"/>
      <c r="N492" s="831"/>
      <c r="O492" s="831"/>
      <c r="P492" s="831"/>
      <c r="Q492" s="1244"/>
      <c r="R492" s="1244"/>
      <c r="S492" s="1244"/>
      <c r="T492" s="1244"/>
      <c r="U492" s="1244"/>
      <c r="V492" s="1244"/>
      <c r="W492" s="1244"/>
      <c r="X492" s="1244"/>
      <c r="Y492" s="1244"/>
      <c r="Z492" s="1244"/>
    </row>
    <row r="493" spans="1:26" ht="19.5">
      <c r="A493" s="1267"/>
      <c r="B493" s="1268"/>
      <c r="C493" s="1268"/>
      <c r="D493" s="1277" t="s">
        <v>59</v>
      </c>
      <c r="E493" s="1268"/>
      <c r="F493" s="961"/>
      <c r="G493" s="954"/>
      <c r="H493" s="963"/>
      <c r="I493" s="830"/>
      <c r="J493" s="830"/>
      <c r="K493" s="831"/>
      <c r="L493" s="831"/>
      <c r="M493" s="831"/>
      <c r="N493" s="831"/>
      <c r="O493" s="831"/>
      <c r="P493" s="831"/>
      <c r="Q493" s="1244"/>
      <c r="R493" s="1244"/>
      <c r="S493" s="1244"/>
      <c r="T493" s="1244"/>
      <c r="U493" s="1244"/>
      <c r="V493" s="1244"/>
      <c r="W493" s="1244"/>
      <c r="X493" s="1244"/>
      <c r="Y493" s="1244"/>
      <c r="Z493" s="1244"/>
    </row>
    <row r="494" spans="1:26" ht="18.75">
      <c r="A494" s="1267"/>
      <c r="B494" s="1268"/>
      <c r="C494" s="1268"/>
      <c r="D494" s="1268"/>
      <c r="E494" s="1268" t="s">
        <v>207</v>
      </c>
      <c r="F494" s="961"/>
      <c r="G494" s="954"/>
      <c r="H494" s="963"/>
      <c r="I494" s="830"/>
      <c r="J494" s="830"/>
      <c r="K494" s="831"/>
      <c r="L494" s="831"/>
      <c r="M494" s="831"/>
      <c r="N494" s="831"/>
      <c r="O494" s="831"/>
      <c r="P494" s="831"/>
      <c r="Q494" s="1244"/>
      <c r="R494" s="1244"/>
      <c r="S494" s="1244"/>
      <c r="T494" s="1244"/>
      <c r="U494" s="1244"/>
      <c r="V494" s="1244"/>
      <c r="W494" s="1244"/>
      <c r="X494" s="1244"/>
      <c r="Y494" s="1244"/>
      <c r="Z494" s="1244"/>
    </row>
    <row r="495" spans="1:26" ht="18.75">
      <c r="A495" s="1267"/>
      <c r="B495" s="1268"/>
      <c r="C495" s="1268"/>
      <c r="D495" s="1268"/>
      <c r="E495" s="1268"/>
      <c r="F495" s="961" t="s">
        <v>215</v>
      </c>
      <c r="G495" s="954"/>
      <c r="H495" s="590" t="s">
        <v>46</v>
      </c>
      <c r="I495" s="830">
        <f ca="1">IFERROR(__xludf.DUMMYFUNCTION("IMPORTRANGE(""https://docs.google.com/spreadsheets/d/1QqKyyYR6Q21VydFLVH3TRQUabQu_ym0Zz7PgGX0-kHA/edit?usp=sharing"",""แผน!FY30"")"),1170)</f>
        <v>1170</v>
      </c>
      <c r="J495" s="959">
        <v>0</v>
      </c>
      <c r="K495" s="831">
        <f ca="1">IF(I495&gt;0,J495*100/I495,0)</f>
        <v>0</v>
      </c>
      <c r="L495" s="831"/>
      <c r="M495" s="831"/>
      <c r="N495" s="831"/>
      <c r="O495" s="831"/>
      <c r="P495" s="831"/>
      <c r="Q495" s="1244"/>
      <c r="R495" s="1244"/>
      <c r="S495" s="1244"/>
      <c r="T495" s="1244"/>
      <c r="U495" s="1244"/>
      <c r="V495" s="1244"/>
      <c r="W495" s="1244"/>
      <c r="X495" s="1244"/>
      <c r="Y495" s="1244"/>
      <c r="Z495" s="1244"/>
    </row>
    <row r="496" spans="1:26" ht="18.75">
      <c r="A496" s="1267"/>
      <c r="B496" s="1268"/>
      <c r="C496" s="1268"/>
      <c r="D496" s="1268"/>
      <c r="E496" s="1268"/>
      <c r="F496" s="961" t="s">
        <v>216</v>
      </c>
      <c r="G496" s="954"/>
      <c r="H496" s="590" t="s">
        <v>46</v>
      </c>
      <c r="I496" s="830"/>
      <c r="J496" s="959">
        <v>0</v>
      </c>
      <c r="K496" s="831"/>
      <c r="L496" s="831"/>
      <c r="M496" s="831"/>
      <c r="N496" s="831"/>
      <c r="O496" s="831"/>
      <c r="P496" s="831"/>
      <c r="Q496" s="1244"/>
      <c r="R496" s="1244"/>
      <c r="S496" s="1244"/>
      <c r="T496" s="1244"/>
      <c r="U496" s="1244"/>
      <c r="V496" s="1244"/>
      <c r="W496" s="1244"/>
      <c r="X496" s="1244"/>
      <c r="Y496" s="1244"/>
      <c r="Z496" s="1244"/>
    </row>
    <row r="497" spans="1:26" ht="18.75">
      <c r="A497" s="1267"/>
      <c r="B497" s="1268"/>
      <c r="C497" s="1268"/>
      <c r="D497" s="1268"/>
      <c r="E497" s="1268" t="s">
        <v>62</v>
      </c>
      <c r="F497" s="961"/>
      <c r="G497" s="954"/>
      <c r="H497" s="963"/>
      <c r="I497" s="830"/>
      <c r="J497" s="830"/>
      <c r="K497" s="831"/>
      <c r="L497" s="831"/>
      <c r="M497" s="831"/>
      <c r="N497" s="831"/>
      <c r="O497" s="831"/>
      <c r="P497" s="831"/>
      <c r="Q497" s="1244"/>
      <c r="R497" s="1244"/>
      <c r="S497" s="1244"/>
      <c r="T497" s="1244"/>
      <c r="U497" s="1244"/>
      <c r="V497" s="1244"/>
      <c r="W497" s="1244"/>
      <c r="X497" s="1244"/>
      <c r="Y497" s="1244"/>
      <c r="Z497" s="1244"/>
    </row>
    <row r="498" spans="1:26" ht="18.75">
      <c r="A498" s="1267"/>
      <c r="B498" s="1268"/>
      <c r="C498" s="1268"/>
      <c r="D498" s="1268"/>
      <c r="E498" s="961"/>
      <c r="F498" s="961" t="s">
        <v>217</v>
      </c>
      <c r="G498" s="954"/>
      <c r="H498" s="590" t="s">
        <v>46</v>
      </c>
      <c r="I498" s="830">
        <f ca="1">IFERROR(__xludf.DUMMYFUNCTION("IMPORTRANGE(""https://docs.google.com/spreadsheets/d/1QqKyyYR6Q21VydFLVH3TRQUabQu_ym0Zz7PgGX0-kHA/edit?usp=sharing"",""แผน!GA30"")"),130)</f>
        <v>130</v>
      </c>
      <c r="J498" s="959">
        <v>0</v>
      </c>
      <c r="K498" s="831">
        <f ca="1">IF(I498&gt;0,J498*100/I498,0)</f>
        <v>0</v>
      </c>
      <c r="L498" s="831"/>
      <c r="M498" s="831"/>
      <c r="N498" s="831"/>
      <c r="O498" s="831"/>
      <c r="P498" s="831"/>
      <c r="Q498" s="1244"/>
      <c r="R498" s="1244"/>
      <c r="S498" s="1244"/>
      <c r="T498" s="1244"/>
      <c r="U498" s="1244"/>
      <c r="V498" s="1244"/>
      <c r="W498" s="1244"/>
      <c r="X498" s="1244"/>
      <c r="Y498" s="1244"/>
      <c r="Z498" s="1244"/>
    </row>
    <row r="499" spans="1:26" ht="18.75">
      <c r="A499" s="1267"/>
      <c r="B499" s="1268"/>
      <c r="C499" s="1268"/>
      <c r="D499" s="1268"/>
      <c r="E499" s="961"/>
      <c r="F499" s="961" t="s">
        <v>218</v>
      </c>
      <c r="G499" s="954"/>
      <c r="H499" s="590" t="s">
        <v>46</v>
      </c>
      <c r="I499" s="830"/>
      <c r="J499" s="959">
        <v>0</v>
      </c>
      <c r="K499" s="831"/>
      <c r="L499" s="831"/>
      <c r="M499" s="831"/>
      <c r="N499" s="831"/>
      <c r="O499" s="831"/>
      <c r="P499" s="831"/>
      <c r="Q499" s="1244"/>
      <c r="R499" s="1244"/>
      <c r="S499" s="1244"/>
      <c r="T499" s="1244"/>
      <c r="U499" s="1244"/>
      <c r="V499" s="1244"/>
      <c r="W499" s="1244"/>
      <c r="X499" s="1244"/>
      <c r="Y499" s="1244"/>
      <c r="Z499" s="1244"/>
    </row>
    <row r="500" spans="1:26" ht="19.5" hidden="1">
      <c r="A500" s="594">
        <v>4</v>
      </c>
      <c r="B500" s="1278" t="s">
        <v>219</v>
      </c>
      <c r="C500" s="1279"/>
      <c r="D500" s="1280"/>
      <c r="E500" s="1280"/>
      <c r="F500" s="1280"/>
      <c r="G500" s="1281"/>
      <c r="H500" s="599" t="s">
        <v>109</v>
      </c>
      <c r="I500" s="1282"/>
      <c r="J500" s="1282">
        <f t="shared" ref="J500:J501" si="214">J516</f>
        <v>0</v>
      </c>
      <c r="K500" s="1283">
        <f t="shared" ref="K500:K501" si="215">IF(I500&gt;0,J500*100/I500,0)</f>
        <v>0</v>
      </c>
      <c r="L500" s="1284"/>
      <c r="M500" s="1284"/>
      <c r="N500" s="1284"/>
      <c r="O500" s="1284"/>
      <c r="P500" s="1284"/>
      <c r="Q500" s="1264"/>
      <c r="R500" s="1264"/>
      <c r="S500" s="1264"/>
      <c r="T500" s="1264"/>
      <c r="U500" s="1264"/>
      <c r="V500" s="1264"/>
      <c r="W500" s="1264"/>
      <c r="X500" s="1264"/>
      <c r="Y500" s="1264"/>
      <c r="Z500" s="1264"/>
    </row>
    <row r="501" spans="1:26" ht="19.5" hidden="1">
      <c r="A501" s="1285"/>
      <c r="B501" s="1286" t="s">
        <v>220</v>
      </c>
      <c r="C501" s="1286"/>
      <c r="D501" s="1287"/>
      <c r="E501" s="1287"/>
      <c r="F501" s="1287"/>
      <c r="G501" s="1288"/>
      <c r="H501" s="608" t="s">
        <v>35</v>
      </c>
      <c r="I501" s="1289"/>
      <c r="J501" s="1289">
        <f t="shared" si="214"/>
        <v>0</v>
      </c>
      <c r="K501" s="1290">
        <f t="shared" si="215"/>
        <v>0</v>
      </c>
      <c r="L501" s="1291"/>
      <c r="M501" s="1291"/>
      <c r="N501" s="1291"/>
      <c r="O501" s="1291"/>
      <c r="P501" s="1291"/>
      <c r="Q501" s="1264"/>
      <c r="R501" s="1264"/>
      <c r="S501" s="1264"/>
      <c r="T501" s="1264"/>
      <c r="U501" s="1264"/>
      <c r="V501" s="1264"/>
      <c r="W501" s="1264"/>
      <c r="X501" s="1264"/>
      <c r="Y501" s="1264"/>
      <c r="Z501" s="1264"/>
    </row>
    <row r="502" spans="1:26" ht="19.5" hidden="1">
      <c r="A502" s="1260"/>
      <c r="B502" s="1261"/>
      <c r="C502" s="1261" t="s">
        <v>16</v>
      </c>
      <c r="D502" s="1508" t="s">
        <v>17</v>
      </c>
      <c r="E502" s="1485"/>
      <c r="F502" s="1485"/>
      <c r="G502" s="1263"/>
      <c r="H502" s="612" t="s">
        <v>12</v>
      </c>
      <c r="I502" s="836"/>
      <c r="J502" s="836"/>
      <c r="K502" s="837"/>
      <c r="L502" s="1292">
        <f t="shared" ref="L502:N502" si="216">L503+L504</f>
        <v>0</v>
      </c>
      <c r="M502" s="1292">
        <f t="shared" si="216"/>
        <v>0</v>
      </c>
      <c r="N502" s="1292">
        <f t="shared" si="216"/>
        <v>0</v>
      </c>
      <c r="O502" s="1292">
        <f t="shared" ref="O502:O507" si="217">IF(L502&gt;0,N502*100/L502,0)</f>
        <v>0</v>
      </c>
      <c r="P502" s="1292">
        <f t="shared" ref="P502:P507" si="218">IF(M502&gt;0,N502*100/M502,0)</f>
        <v>0</v>
      </c>
      <c r="Q502" s="1264"/>
      <c r="R502" s="1264"/>
      <c r="S502" s="1264"/>
      <c r="T502" s="1264"/>
      <c r="U502" s="1264"/>
      <c r="V502" s="1264"/>
      <c r="W502" s="1264"/>
      <c r="X502" s="1264"/>
      <c r="Y502" s="1264"/>
      <c r="Z502" s="1264"/>
    </row>
    <row r="503" spans="1:26" ht="18.75" hidden="1">
      <c r="A503" s="1260"/>
      <c r="B503" s="1261"/>
      <c r="C503" s="1261"/>
      <c r="D503" s="1262"/>
      <c r="E503" s="1261" t="s">
        <v>184</v>
      </c>
      <c r="F503" s="1261"/>
      <c r="G503" s="1263"/>
      <c r="H503" s="165" t="s">
        <v>12</v>
      </c>
      <c r="I503" s="836"/>
      <c r="J503" s="836"/>
      <c r="K503" s="837"/>
      <c r="L503" s="837">
        <f t="shared" ref="L503:N504" si="219">L506+L513</f>
        <v>0</v>
      </c>
      <c r="M503" s="837">
        <f t="shared" si="219"/>
        <v>0</v>
      </c>
      <c r="N503" s="837">
        <f t="shared" si="219"/>
        <v>0</v>
      </c>
      <c r="O503" s="837">
        <f t="shared" si="217"/>
        <v>0</v>
      </c>
      <c r="P503" s="837">
        <f t="shared" si="218"/>
        <v>0</v>
      </c>
      <c r="Q503" s="1264"/>
      <c r="R503" s="1264"/>
      <c r="S503" s="1264"/>
      <c r="T503" s="1264"/>
      <c r="U503" s="1264"/>
      <c r="V503" s="1264"/>
      <c r="W503" s="1264"/>
      <c r="X503" s="1264"/>
      <c r="Y503" s="1264"/>
      <c r="Z503" s="1264"/>
    </row>
    <row r="504" spans="1:26" ht="18.75" hidden="1">
      <c r="A504" s="1260"/>
      <c r="B504" s="1265"/>
      <c r="C504" s="1261"/>
      <c r="D504" s="1262"/>
      <c r="E504" s="1261" t="s">
        <v>185</v>
      </c>
      <c r="F504" s="1261"/>
      <c r="G504" s="1263"/>
      <c r="H504" s="165" t="s">
        <v>12</v>
      </c>
      <c r="I504" s="836"/>
      <c r="J504" s="836"/>
      <c r="K504" s="837"/>
      <c r="L504" s="837">
        <f t="shared" si="219"/>
        <v>0</v>
      </c>
      <c r="M504" s="837">
        <f t="shared" si="219"/>
        <v>0</v>
      </c>
      <c r="N504" s="837">
        <f t="shared" si="219"/>
        <v>0</v>
      </c>
      <c r="O504" s="837">
        <f t="shared" si="217"/>
        <v>0</v>
      </c>
      <c r="P504" s="837">
        <f t="shared" si="218"/>
        <v>0</v>
      </c>
      <c r="Q504" s="1264"/>
      <c r="R504" s="1264"/>
      <c r="S504" s="1264"/>
      <c r="T504" s="1264"/>
      <c r="U504" s="1264"/>
      <c r="V504" s="1264"/>
      <c r="W504" s="1264"/>
      <c r="X504" s="1264"/>
      <c r="Y504" s="1264"/>
      <c r="Z504" s="1264"/>
    </row>
    <row r="505" spans="1:26" ht="18.75" hidden="1">
      <c r="A505" s="1260"/>
      <c r="B505" s="1265"/>
      <c r="C505" s="1261"/>
      <c r="D505" s="1293" t="s">
        <v>20</v>
      </c>
      <c r="E505" s="1261"/>
      <c r="F505" s="1261"/>
      <c r="G505" s="1263"/>
      <c r="H505" s="165" t="s">
        <v>12</v>
      </c>
      <c r="I505" s="947"/>
      <c r="J505" s="947"/>
      <c r="K505" s="948"/>
      <c r="L505" s="837">
        <f t="shared" ref="L505:N505" si="220">L506+L507</f>
        <v>0</v>
      </c>
      <c r="M505" s="837">
        <f t="shared" si="220"/>
        <v>0</v>
      </c>
      <c r="N505" s="837">
        <f t="shared" si="220"/>
        <v>0</v>
      </c>
      <c r="O505" s="837">
        <f t="shared" si="217"/>
        <v>0</v>
      </c>
      <c r="P505" s="837">
        <f t="shared" si="218"/>
        <v>0</v>
      </c>
      <c r="Q505" s="1264"/>
      <c r="R505" s="1264"/>
      <c r="S505" s="1264"/>
      <c r="T505" s="1264"/>
      <c r="U505" s="1264"/>
      <c r="V505" s="1264"/>
      <c r="W505" s="1264"/>
      <c r="X505" s="1264"/>
      <c r="Y505" s="1264"/>
      <c r="Z505" s="1264"/>
    </row>
    <row r="506" spans="1:26" ht="18.75" hidden="1">
      <c r="A506" s="1260"/>
      <c r="B506" s="1265"/>
      <c r="C506" s="1261"/>
      <c r="D506" s="1262"/>
      <c r="E506" s="1261" t="s">
        <v>184</v>
      </c>
      <c r="F506" s="1261"/>
      <c r="G506" s="1263"/>
      <c r="H506" s="165" t="s">
        <v>12</v>
      </c>
      <c r="I506" s="836"/>
      <c r="J506" s="836"/>
      <c r="K506" s="837"/>
      <c r="L506" s="837">
        <v>0</v>
      </c>
      <c r="M506" s="837">
        <v>0</v>
      </c>
      <c r="N506" s="837">
        <v>0</v>
      </c>
      <c r="O506" s="837">
        <f t="shared" si="217"/>
        <v>0</v>
      </c>
      <c r="P506" s="837">
        <f t="shared" si="218"/>
        <v>0</v>
      </c>
      <c r="Q506" s="1264"/>
      <c r="R506" s="1264"/>
      <c r="S506" s="1264"/>
      <c r="T506" s="1264"/>
      <c r="U506" s="1264"/>
      <c r="V506" s="1264"/>
      <c r="W506" s="1264"/>
      <c r="X506" s="1264"/>
      <c r="Y506" s="1264"/>
      <c r="Z506" s="1264"/>
    </row>
    <row r="507" spans="1:26" ht="18.75" hidden="1">
      <c r="A507" s="1260"/>
      <c r="B507" s="1265"/>
      <c r="C507" s="1261"/>
      <c r="D507" s="1262"/>
      <c r="E507" s="1261" t="s">
        <v>185</v>
      </c>
      <c r="F507" s="1261"/>
      <c r="G507" s="1263"/>
      <c r="H507" s="165" t="s">
        <v>12</v>
      </c>
      <c r="I507" s="836"/>
      <c r="J507" s="836"/>
      <c r="K507" s="837"/>
      <c r="L507" s="837">
        <v>0</v>
      </c>
      <c r="M507" s="837">
        <v>0</v>
      </c>
      <c r="N507" s="837">
        <f>N508+N509+N510+N511</f>
        <v>0</v>
      </c>
      <c r="O507" s="837">
        <f t="shared" si="217"/>
        <v>0</v>
      </c>
      <c r="P507" s="837">
        <f t="shared" si="218"/>
        <v>0</v>
      </c>
      <c r="Q507" s="1264"/>
      <c r="R507" s="1264"/>
      <c r="S507" s="1264"/>
      <c r="T507" s="1264"/>
      <c r="U507" s="1264"/>
      <c r="V507" s="1264"/>
      <c r="W507" s="1264"/>
      <c r="X507" s="1264"/>
      <c r="Y507" s="1264"/>
      <c r="Z507" s="1264"/>
    </row>
    <row r="508" spans="1:26" ht="18.75" hidden="1">
      <c r="A508" s="1294"/>
      <c r="B508" s="1265"/>
      <c r="C508" s="1261"/>
      <c r="D508" s="1261"/>
      <c r="E508" s="1261"/>
      <c r="F508" s="1261" t="s">
        <v>186</v>
      </c>
      <c r="G508" s="1263"/>
      <c r="H508" s="165" t="s">
        <v>12</v>
      </c>
      <c r="I508" s="836"/>
      <c r="J508" s="836"/>
      <c r="K508" s="837"/>
      <c r="L508" s="837"/>
      <c r="M508" s="837"/>
      <c r="N508" s="837">
        <v>0</v>
      </c>
      <c r="O508" s="837"/>
      <c r="P508" s="837"/>
      <c r="Q508" s="1264"/>
      <c r="R508" s="1264"/>
      <c r="S508" s="1264"/>
      <c r="T508" s="1264"/>
      <c r="U508" s="1264"/>
      <c r="V508" s="1264"/>
      <c r="W508" s="1264"/>
      <c r="X508" s="1264"/>
      <c r="Y508" s="1264"/>
      <c r="Z508" s="1264"/>
    </row>
    <row r="509" spans="1:26" ht="18.75" hidden="1">
      <c r="A509" s="1294"/>
      <c r="B509" s="1265"/>
      <c r="C509" s="1261"/>
      <c r="D509" s="1261"/>
      <c r="E509" s="1261"/>
      <c r="F509" s="1261" t="s">
        <v>187</v>
      </c>
      <c r="G509" s="1263"/>
      <c r="H509" s="165" t="s">
        <v>12</v>
      </c>
      <c r="I509" s="836"/>
      <c r="J509" s="836"/>
      <c r="K509" s="837"/>
      <c r="L509" s="837"/>
      <c r="M509" s="837"/>
      <c r="N509" s="837">
        <v>0</v>
      </c>
      <c r="O509" s="837"/>
      <c r="P509" s="837"/>
      <c r="Q509" s="1264"/>
      <c r="R509" s="1264"/>
      <c r="S509" s="1264"/>
      <c r="T509" s="1264"/>
      <c r="U509" s="1264"/>
      <c r="V509" s="1264"/>
      <c r="W509" s="1264"/>
      <c r="X509" s="1264"/>
      <c r="Y509" s="1264"/>
      <c r="Z509" s="1264"/>
    </row>
    <row r="510" spans="1:26" ht="18.75" hidden="1">
      <c r="A510" s="1294"/>
      <c r="B510" s="1265"/>
      <c r="C510" s="1265"/>
      <c r="D510" s="1265"/>
      <c r="E510" s="1261"/>
      <c r="F510" s="1261" t="s">
        <v>188</v>
      </c>
      <c r="G510" s="1263"/>
      <c r="H510" s="165" t="s">
        <v>12</v>
      </c>
      <c r="I510" s="836"/>
      <c r="J510" s="836"/>
      <c r="K510" s="837"/>
      <c r="L510" s="837"/>
      <c r="M510" s="837"/>
      <c r="N510" s="837">
        <v>0</v>
      </c>
      <c r="O510" s="837"/>
      <c r="P510" s="837"/>
      <c r="Q510" s="1264"/>
      <c r="R510" s="1264"/>
      <c r="S510" s="1264"/>
      <c r="T510" s="1264"/>
      <c r="U510" s="1264"/>
      <c r="V510" s="1264"/>
      <c r="W510" s="1264"/>
      <c r="X510" s="1264"/>
      <c r="Y510" s="1264"/>
      <c r="Z510" s="1264"/>
    </row>
    <row r="511" spans="1:26" ht="18.75" hidden="1">
      <c r="A511" s="1294"/>
      <c r="B511" s="1265"/>
      <c r="C511" s="1265"/>
      <c r="D511" s="1265"/>
      <c r="E511" s="1261"/>
      <c r="F511" s="1261" t="s">
        <v>189</v>
      </c>
      <c r="G511" s="1263"/>
      <c r="H511" s="165" t="s">
        <v>12</v>
      </c>
      <c r="I511" s="836"/>
      <c r="J511" s="836"/>
      <c r="K511" s="837"/>
      <c r="L511" s="837"/>
      <c r="M511" s="837"/>
      <c r="N511" s="837">
        <v>0</v>
      </c>
      <c r="O511" s="837"/>
      <c r="P511" s="837"/>
      <c r="Q511" s="1264"/>
      <c r="R511" s="1264"/>
      <c r="S511" s="1264"/>
      <c r="T511" s="1264"/>
      <c r="U511" s="1264"/>
      <c r="V511" s="1264"/>
      <c r="W511" s="1264"/>
      <c r="X511" s="1264"/>
      <c r="Y511" s="1264"/>
      <c r="Z511" s="1264"/>
    </row>
    <row r="512" spans="1:26" ht="18.75" hidden="1">
      <c r="A512" s="1260"/>
      <c r="B512" s="1265"/>
      <c r="C512" s="1265"/>
      <c r="D512" s="1293" t="s">
        <v>21</v>
      </c>
      <c r="E512" s="1265"/>
      <c r="F512" s="1261"/>
      <c r="G512" s="1263"/>
      <c r="H512" s="169" t="s">
        <v>12</v>
      </c>
      <c r="I512" s="947"/>
      <c r="J512" s="947"/>
      <c r="K512" s="948"/>
      <c r="L512" s="837">
        <f t="shared" ref="L512:N512" si="221">L513+L514</f>
        <v>0</v>
      </c>
      <c r="M512" s="837">
        <f t="shared" si="221"/>
        <v>0</v>
      </c>
      <c r="N512" s="837">
        <f t="shared" si="221"/>
        <v>0</v>
      </c>
      <c r="O512" s="837">
        <f t="shared" ref="O512:O514" si="222">IF(L512&gt;0,N512*100/L512,0)</f>
        <v>0</v>
      </c>
      <c r="P512" s="837">
        <f t="shared" ref="P512:P514" si="223">IF(M512&gt;0,N512*100/M512,0)</f>
        <v>0</v>
      </c>
      <c r="Q512" s="1264"/>
      <c r="R512" s="1264"/>
      <c r="S512" s="1264"/>
      <c r="T512" s="1264"/>
      <c r="U512" s="1264"/>
      <c r="V512" s="1264"/>
      <c r="W512" s="1264"/>
      <c r="X512" s="1264"/>
      <c r="Y512" s="1264"/>
      <c r="Z512" s="1264"/>
    </row>
    <row r="513" spans="1:26" ht="18.75" hidden="1">
      <c r="A513" s="1260"/>
      <c r="B513" s="1265"/>
      <c r="C513" s="1265"/>
      <c r="D513" s="1265"/>
      <c r="E513" s="1265" t="s">
        <v>18</v>
      </c>
      <c r="F513" s="1261"/>
      <c r="G513" s="1263"/>
      <c r="H513" s="165" t="s">
        <v>12</v>
      </c>
      <c r="I513" s="947"/>
      <c r="J513" s="947"/>
      <c r="K513" s="948"/>
      <c r="L513" s="837">
        <v>0</v>
      </c>
      <c r="M513" s="837">
        <v>0</v>
      </c>
      <c r="N513" s="837">
        <v>0</v>
      </c>
      <c r="O513" s="837">
        <f t="shared" si="222"/>
        <v>0</v>
      </c>
      <c r="P513" s="837">
        <f t="shared" si="223"/>
        <v>0</v>
      </c>
      <c r="Q513" s="1264"/>
      <c r="R513" s="1264"/>
      <c r="S513" s="1264"/>
      <c r="T513" s="1264"/>
      <c r="U513" s="1264"/>
      <c r="V513" s="1264"/>
      <c r="W513" s="1264"/>
      <c r="X513" s="1264"/>
      <c r="Y513" s="1264"/>
      <c r="Z513" s="1264"/>
    </row>
    <row r="514" spans="1:26" ht="18.75" hidden="1">
      <c r="A514" s="1260"/>
      <c r="B514" s="1265"/>
      <c r="C514" s="1265"/>
      <c r="D514" s="1261"/>
      <c r="E514" s="1265" t="s">
        <v>19</v>
      </c>
      <c r="F514" s="1261"/>
      <c r="G514" s="1263"/>
      <c r="H514" s="169" t="s">
        <v>12</v>
      </c>
      <c r="I514" s="947"/>
      <c r="J514" s="947"/>
      <c r="K514" s="948"/>
      <c r="L514" s="837">
        <v>0</v>
      </c>
      <c r="M514" s="837">
        <v>0</v>
      </c>
      <c r="N514" s="837">
        <v>0</v>
      </c>
      <c r="O514" s="837">
        <f t="shared" si="222"/>
        <v>0</v>
      </c>
      <c r="P514" s="837">
        <f t="shared" si="223"/>
        <v>0</v>
      </c>
      <c r="Q514" s="1264"/>
      <c r="R514" s="1264"/>
      <c r="S514" s="1264"/>
      <c r="T514" s="1264"/>
      <c r="U514" s="1264"/>
      <c r="V514" s="1264"/>
      <c r="W514" s="1264"/>
      <c r="X514" s="1264"/>
      <c r="Y514" s="1264"/>
      <c r="Z514" s="1264"/>
    </row>
    <row r="515" spans="1:26" ht="19.5" hidden="1">
      <c r="A515" s="1273"/>
      <c r="B515" s="1274"/>
      <c r="C515" s="1265" t="s">
        <v>16</v>
      </c>
      <c r="D515" s="1295" t="s">
        <v>38</v>
      </c>
      <c r="E515" s="1296"/>
      <c r="F515" s="1296"/>
      <c r="G515" s="1297"/>
      <c r="H515" s="1060"/>
      <c r="I515" s="947"/>
      <c r="J515" s="947"/>
      <c r="K515" s="948"/>
      <c r="L515" s="948"/>
      <c r="M515" s="948"/>
      <c r="N515" s="948"/>
      <c r="O515" s="948"/>
      <c r="P515" s="948"/>
      <c r="Q515" s="1264"/>
      <c r="R515" s="1264"/>
      <c r="S515" s="1264"/>
      <c r="T515" s="1264"/>
      <c r="U515" s="1264"/>
      <c r="V515" s="1264"/>
      <c r="W515" s="1264"/>
      <c r="X515" s="1264"/>
      <c r="Y515" s="1264"/>
      <c r="Z515" s="1264"/>
    </row>
    <row r="516" spans="1:26" ht="18.75" hidden="1">
      <c r="A516" s="1273"/>
      <c r="B516" s="1274"/>
      <c r="C516" s="1274"/>
      <c r="D516" s="1274" t="s">
        <v>221</v>
      </c>
      <c r="E516" s="1262"/>
      <c r="F516" s="1262"/>
      <c r="G516" s="1060"/>
      <c r="H516" s="619" t="s">
        <v>109</v>
      </c>
      <c r="I516" s="836"/>
      <c r="J516" s="836">
        <v>0</v>
      </c>
      <c r="K516" s="948">
        <f t="shared" ref="K516:K517" si="224">IF(I516&gt;0,J516*100/I516,0)</f>
        <v>0</v>
      </c>
      <c r="L516" s="948"/>
      <c r="M516" s="948"/>
      <c r="N516" s="948"/>
      <c r="O516" s="948"/>
      <c r="P516" s="948"/>
      <c r="Q516" s="1264"/>
      <c r="R516" s="1264"/>
      <c r="S516" s="1264"/>
      <c r="T516" s="1264"/>
      <c r="U516" s="1264"/>
      <c r="V516" s="1264"/>
      <c r="W516" s="1264"/>
      <c r="X516" s="1264"/>
      <c r="Y516" s="1264"/>
      <c r="Z516" s="1264"/>
    </row>
    <row r="517" spans="1:26" ht="19.5" hidden="1">
      <c r="A517" s="1273"/>
      <c r="B517" s="1274"/>
      <c r="C517" s="1274"/>
      <c r="D517" s="1274" t="s">
        <v>222</v>
      </c>
      <c r="E517" s="1262"/>
      <c r="F517" s="1262"/>
      <c r="G517" s="1060"/>
      <c r="H517" s="620" t="s">
        <v>35</v>
      </c>
      <c r="I517" s="1298"/>
      <c r="J517" s="1298">
        <f>J518+J519</f>
        <v>0</v>
      </c>
      <c r="K517" s="1299">
        <f t="shared" si="224"/>
        <v>0</v>
      </c>
      <c r="L517" s="948"/>
      <c r="M517" s="948"/>
      <c r="N517" s="948"/>
      <c r="O517" s="948"/>
      <c r="P517" s="948"/>
      <c r="Q517" s="1264"/>
      <c r="R517" s="1264"/>
      <c r="S517" s="1264"/>
      <c r="T517" s="1264"/>
      <c r="U517" s="1264"/>
      <c r="V517" s="1264"/>
      <c r="W517" s="1264"/>
      <c r="X517" s="1264"/>
      <c r="Y517" s="1264"/>
      <c r="Z517" s="1264"/>
    </row>
    <row r="518" spans="1:26" ht="18.75" hidden="1">
      <c r="A518" s="1273"/>
      <c r="B518" s="1274"/>
      <c r="C518" s="1274"/>
      <c r="D518" s="1274"/>
      <c r="E518" s="1274" t="s">
        <v>223</v>
      </c>
      <c r="F518" s="1262"/>
      <c r="G518" s="1060"/>
      <c r="H518" s="583" t="s">
        <v>35</v>
      </c>
      <c r="I518" s="836"/>
      <c r="J518" s="836"/>
      <c r="K518" s="948"/>
      <c r="L518" s="948"/>
      <c r="M518" s="948"/>
      <c r="N518" s="948"/>
      <c r="O518" s="948"/>
      <c r="P518" s="948"/>
      <c r="Q518" s="1264"/>
      <c r="R518" s="1264"/>
      <c r="S518" s="1264"/>
      <c r="T518" s="1264"/>
      <c r="U518" s="1264"/>
      <c r="V518" s="1264"/>
      <c r="W518" s="1264"/>
      <c r="X518" s="1264"/>
      <c r="Y518" s="1264"/>
      <c r="Z518" s="1264"/>
    </row>
    <row r="519" spans="1:26" ht="18.75" hidden="1">
      <c r="A519" s="1273"/>
      <c r="B519" s="1274"/>
      <c r="C519" s="1274"/>
      <c r="D519" s="1274"/>
      <c r="E519" s="1274" t="s">
        <v>224</v>
      </c>
      <c r="F519" s="1262"/>
      <c r="G519" s="1060"/>
      <c r="H519" s="619" t="s">
        <v>35</v>
      </c>
      <c r="I519" s="836"/>
      <c r="J519" s="836"/>
      <c r="K519" s="948"/>
      <c r="L519" s="948"/>
      <c r="M519" s="948"/>
      <c r="N519" s="948"/>
      <c r="O519" s="948"/>
      <c r="P519" s="948"/>
      <c r="Q519" s="1264"/>
      <c r="R519" s="1264"/>
      <c r="S519" s="1264"/>
      <c r="T519" s="1264"/>
      <c r="U519" s="1264"/>
      <c r="V519" s="1264"/>
      <c r="W519" s="1264"/>
      <c r="X519" s="1264"/>
      <c r="Y519" s="1264"/>
      <c r="Z519" s="1264"/>
    </row>
    <row r="520" spans="1:26" ht="19.5">
      <c r="A520" s="1300" t="s">
        <v>137</v>
      </c>
      <c r="B520" s="1301"/>
      <c r="C520" s="1301"/>
      <c r="D520" s="1302"/>
      <c r="E520" s="1302"/>
      <c r="F520" s="1302"/>
      <c r="G520" s="1303"/>
      <c r="H520" s="1304"/>
      <c r="I520" s="1305"/>
      <c r="J520" s="1305"/>
      <c r="K520" s="1306"/>
      <c r="L520" s="1306"/>
      <c r="M520" s="1306"/>
      <c r="N520" s="1306"/>
      <c r="O520" s="1306"/>
      <c r="P520" s="1306"/>
    </row>
    <row r="521" spans="1:26" ht="19.5">
      <c r="A521" s="630">
        <v>5</v>
      </c>
      <c r="B521" s="1307" t="s">
        <v>225</v>
      </c>
      <c r="C521" s="1308"/>
      <c r="D521" s="1309"/>
      <c r="E521" s="1309"/>
      <c r="F521" s="1309"/>
      <c r="G521" s="1309"/>
      <c r="H521" s="1310"/>
      <c r="I521" s="1311"/>
      <c r="J521" s="1311"/>
      <c r="K521" s="1312"/>
      <c r="L521" s="1312"/>
      <c r="M521" s="1312"/>
      <c r="N521" s="1312"/>
      <c r="O521" s="1312"/>
      <c r="P521" s="1312"/>
      <c r="Q521" s="1244"/>
      <c r="R521" s="1244"/>
      <c r="S521" s="1244"/>
      <c r="T521" s="1244"/>
      <c r="U521" s="1244"/>
      <c r="V521" s="1244"/>
      <c r="W521" s="1244"/>
      <c r="X521" s="1244"/>
      <c r="Y521" s="1244"/>
      <c r="Z521" s="1244"/>
    </row>
    <row r="522" spans="1:26" ht="19.5">
      <c r="A522" s="1313"/>
      <c r="B522" s="1314" t="s">
        <v>226</v>
      </c>
      <c r="C522" s="1315"/>
      <c r="D522" s="1315"/>
      <c r="E522" s="1315"/>
      <c r="F522" s="1315"/>
      <c r="G522" s="1316"/>
      <c r="H522" s="641" t="s">
        <v>35</v>
      </c>
      <c r="I522" s="1317">
        <f t="shared" ref="I522:J522" ca="1" si="225">I537</f>
        <v>80</v>
      </c>
      <c r="J522" s="1317">
        <f t="shared" ca="1" si="225"/>
        <v>0</v>
      </c>
      <c r="K522" s="1318">
        <f ca="1">IF(I522&gt;0,J522*100/I522,0)</f>
        <v>0</v>
      </c>
      <c r="L522" s="1319"/>
      <c r="M522" s="1319"/>
      <c r="N522" s="1319"/>
      <c r="O522" s="1319"/>
      <c r="P522" s="1319"/>
      <c r="Q522" s="1244"/>
      <c r="R522" s="1244"/>
      <c r="S522" s="1244"/>
      <c r="T522" s="1244"/>
      <c r="U522" s="1244"/>
      <c r="V522" s="1244"/>
      <c r="W522" s="1244"/>
      <c r="X522" s="1244"/>
      <c r="Y522" s="1244"/>
      <c r="Z522" s="1244"/>
    </row>
    <row r="523" spans="1:26" ht="19.5">
      <c r="A523" s="1259"/>
      <c r="B523" s="1243"/>
      <c r="C523" s="1243" t="s">
        <v>16</v>
      </c>
      <c r="D523" s="1507" t="s">
        <v>17</v>
      </c>
      <c r="E523" s="1485"/>
      <c r="F523" s="1485"/>
      <c r="G523" s="963"/>
      <c r="H523" s="563" t="s">
        <v>12</v>
      </c>
      <c r="I523" s="830"/>
      <c r="J523" s="830"/>
      <c r="K523" s="831"/>
      <c r="L523" s="967">
        <f t="shared" ref="L523:N523" ca="1" si="226">L524+L525</f>
        <v>652760</v>
      </c>
      <c r="M523" s="967">
        <f t="shared" si="226"/>
        <v>0</v>
      </c>
      <c r="N523" s="967">
        <f t="shared" si="226"/>
        <v>169355</v>
      </c>
      <c r="O523" s="967">
        <f t="shared" ref="O523:O528" ca="1" si="227">IF(L523&gt;0,N523*100/L523,0)</f>
        <v>25.94445125314051</v>
      </c>
      <c r="P523" s="967">
        <f t="shared" ref="P523:P528" si="228">IF(M523&gt;0,N523*100/M523,0)</f>
        <v>0</v>
      </c>
      <c r="Q523" s="1244"/>
      <c r="R523" s="1244"/>
      <c r="S523" s="1244"/>
      <c r="T523" s="1244"/>
      <c r="U523" s="1244"/>
      <c r="V523" s="1244"/>
      <c r="W523" s="1244"/>
      <c r="X523" s="1244"/>
      <c r="Y523" s="1244"/>
      <c r="Z523" s="1244"/>
    </row>
    <row r="524" spans="1:26" ht="18.75" hidden="1">
      <c r="A524" s="1260"/>
      <c r="B524" s="1261"/>
      <c r="C524" s="1261"/>
      <c r="D524" s="1262"/>
      <c r="E524" s="1261" t="s">
        <v>184</v>
      </c>
      <c r="F524" s="1261"/>
      <c r="G524" s="1263"/>
      <c r="H524" s="165" t="s">
        <v>12</v>
      </c>
      <c r="I524" s="836"/>
      <c r="J524" s="836"/>
      <c r="K524" s="837"/>
      <c r="L524" s="837">
        <f t="shared" ref="L524:N525" si="229">L527+L534</f>
        <v>0</v>
      </c>
      <c r="M524" s="837">
        <f t="shared" si="229"/>
        <v>0</v>
      </c>
      <c r="N524" s="837">
        <f t="shared" si="229"/>
        <v>0</v>
      </c>
      <c r="O524" s="837">
        <f t="shared" si="227"/>
        <v>0</v>
      </c>
      <c r="P524" s="837">
        <f t="shared" si="228"/>
        <v>0</v>
      </c>
      <c r="Q524" s="1264"/>
      <c r="R524" s="1264"/>
      <c r="S524" s="1264"/>
      <c r="T524" s="1264"/>
      <c r="U524" s="1264"/>
      <c r="V524" s="1264"/>
      <c r="W524" s="1264"/>
      <c r="X524" s="1264"/>
      <c r="Y524" s="1264"/>
      <c r="Z524" s="1264"/>
    </row>
    <row r="525" spans="1:26" ht="18.75" hidden="1">
      <c r="A525" s="1260"/>
      <c r="B525" s="1265"/>
      <c r="C525" s="1261"/>
      <c r="D525" s="1262"/>
      <c r="E525" s="1261" t="s">
        <v>185</v>
      </c>
      <c r="F525" s="1261"/>
      <c r="G525" s="1263"/>
      <c r="H525" s="165" t="s">
        <v>12</v>
      </c>
      <c r="I525" s="836"/>
      <c r="J525" s="836"/>
      <c r="K525" s="837"/>
      <c r="L525" s="837">
        <f t="shared" ca="1" si="229"/>
        <v>652760</v>
      </c>
      <c r="M525" s="837">
        <f t="shared" si="229"/>
        <v>0</v>
      </c>
      <c r="N525" s="837">
        <f t="shared" si="229"/>
        <v>169355</v>
      </c>
      <c r="O525" s="837">
        <f t="shared" ca="1" si="227"/>
        <v>25.94445125314051</v>
      </c>
      <c r="P525" s="837">
        <f t="shared" si="228"/>
        <v>0</v>
      </c>
      <c r="Q525" s="1264"/>
      <c r="R525" s="1264"/>
      <c r="S525" s="1264"/>
      <c r="T525" s="1264"/>
      <c r="U525" s="1264"/>
      <c r="V525" s="1264"/>
      <c r="W525" s="1264"/>
      <c r="X525" s="1264"/>
      <c r="Y525" s="1264"/>
      <c r="Z525" s="1264"/>
    </row>
    <row r="526" spans="1:26" ht="18.75">
      <c r="A526" s="1259"/>
      <c r="B526" s="1242"/>
      <c r="C526" s="1243"/>
      <c r="D526" s="1266" t="s">
        <v>20</v>
      </c>
      <c r="E526" s="1243"/>
      <c r="F526" s="1243"/>
      <c r="G526" s="963"/>
      <c r="H526" s="778" t="s">
        <v>12</v>
      </c>
      <c r="I526" s="944"/>
      <c r="J526" s="944"/>
      <c r="K526" s="945"/>
      <c r="L526" s="831">
        <f t="shared" ref="L526:N526" ca="1" si="230">L527+L528</f>
        <v>652760</v>
      </c>
      <c r="M526" s="831">
        <f t="shared" si="230"/>
        <v>0</v>
      </c>
      <c r="N526" s="831">
        <f t="shared" si="230"/>
        <v>169355</v>
      </c>
      <c r="O526" s="831">
        <f t="shared" ca="1" si="227"/>
        <v>25.94445125314051</v>
      </c>
      <c r="P526" s="831">
        <f t="shared" si="228"/>
        <v>0</v>
      </c>
      <c r="Q526" s="1244"/>
      <c r="R526" s="1244"/>
      <c r="S526" s="1244"/>
      <c r="T526" s="1244"/>
      <c r="U526" s="1244"/>
      <c r="V526" s="1244"/>
      <c r="W526" s="1244"/>
      <c r="X526" s="1244"/>
      <c r="Y526" s="1244"/>
      <c r="Z526" s="1244"/>
    </row>
    <row r="527" spans="1:26" ht="18.75" hidden="1">
      <c r="A527" s="1260"/>
      <c r="B527" s="1265"/>
      <c r="C527" s="1261"/>
      <c r="D527" s="1262"/>
      <c r="E527" s="1261" t="s">
        <v>184</v>
      </c>
      <c r="F527" s="1261"/>
      <c r="G527" s="1263"/>
      <c r="H527" s="165" t="s">
        <v>12</v>
      </c>
      <c r="I527" s="836"/>
      <c r="J527" s="836"/>
      <c r="K527" s="837"/>
      <c r="L527" s="837">
        <v>0</v>
      </c>
      <c r="M527" s="837">
        <v>0</v>
      </c>
      <c r="N527" s="837">
        <v>0</v>
      </c>
      <c r="O527" s="837">
        <f t="shared" si="227"/>
        <v>0</v>
      </c>
      <c r="P527" s="837">
        <f t="shared" si="228"/>
        <v>0</v>
      </c>
      <c r="Q527" s="1264"/>
      <c r="R527" s="1264"/>
      <c r="S527" s="1264"/>
      <c r="T527" s="1264"/>
      <c r="U527" s="1264"/>
      <c r="V527" s="1264"/>
      <c r="W527" s="1264"/>
      <c r="X527" s="1264"/>
      <c r="Y527" s="1264"/>
      <c r="Z527" s="1264"/>
    </row>
    <row r="528" spans="1:26" ht="18.75" hidden="1">
      <c r="A528" s="1260"/>
      <c r="B528" s="1265"/>
      <c r="C528" s="1261"/>
      <c r="D528" s="1262"/>
      <c r="E528" s="1261" t="s">
        <v>185</v>
      </c>
      <c r="F528" s="1261"/>
      <c r="G528" s="1263"/>
      <c r="H528" s="165" t="s">
        <v>12</v>
      </c>
      <c r="I528" s="836"/>
      <c r="J528" s="836"/>
      <c r="K528" s="837"/>
      <c r="L528" s="837">
        <f ca="1">IFERROR(__xludf.DUMMYFUNCTION("IMPORTRANGE(""https://docs.google.com/spreadsheets/d/1QqKyyYR6Q21VydFLVH3TRQUabQu_ym0Zz7PgGX0-kHA/edit?usp=sharing"",""แผน!GQ30"")"),652760)</f>
        <v>652760</v>
      </c>
      <c r="M528" s="837">
        <v>0</v>
      </c>
      <c r="N528" s="837">
        <f>N529+N530+N531+N532</f>
        <v>169355</v>
      </c>
      <c r="O528" s="837">
        <f t="shared" ca="1" si="227"/>
        <v>25.94445125314051</v>
      </c>
      <c r="P528" s="837">
        <f t="shared" si="228"/>
        <v>0</v>
      </c>
      <c r="Q528" s="1264"/>
      <c r="R528" s="1264"/>
      <c r="S528" s="1264"/>
      <c r="T528" s="1264"/>
      <c r="U528" s="1264"/>
      <c r="V528" s="1264"/>
      <c r="W528" s="1264"/>
      <c r="X528" s="1264"/>
      <c r="Y528" s="1264"/>
      <c r="Z528" s="1264"/>
    </row>
    <row r="529" spans="1:26" ht="18.75">
      <c r="A529" s="1241"/>
      <c r="B529" s="1242"/>
      <c r="C529" s="1243"/>
      <c r="D529" s="1243"/>
      <c r="E529" s="1243"/>
      <c r="F529" s="1243" t="s">
        <v>186</v>
      </c>
      <c r="G529" s="963"/>
      <c r="H529" s="778" t="s">
        <v>12</v>
      </c>
      <c r="I529" s="830"/>
      <c r="J529" s="830"/>
      <c r="K529" s="831"/>
      <c r="L529" s="831"/>
      <c r="M529" s="831"/>
      <c r="N529" s="1031">
        <v>159000</v>
      </c>
      <c r="O529" s="831"/>
      <c r="P529" s="831"/>
      <c r="Q529" s="1244"/>
      <c r="R529" s="1244"/>
      <c r="S529" s="1244"/>
      <c r="T529" s="1244"/>
      <c r="U529" s="1244"/>
      <c r="V529" s="1244"/>
      <c r="W529" s="1244"/>
      <c r="X529" s="1244"/>
      <c r="Y529" s="1244"/>
      <c r="Z529" s="1244"/>
    </row>
    <row r="530" spans="1:26" ht="18.75">
      <c r="A530" s="1241"/>
      <c r="B530" s="1242"/>
      <c r="C530" s="1243"/>
      <c r="D530" s="1243"/>
      <c r="E530" s="1243"/>
      <c r="F530" s="1243" t="s">
        <v>187</v>
      </c>
      <c r="G530" s="963"/>
      <c r="H530" s="778" t="s">
        <v>12</v>
      </c>
      <c r="I530" s="830"/>
      <c r="J530" s="830"/>
      <c r="K530" s="831"/>
      <c r="L530" s="831"/>
      <c r="M530" s="831"/>
      <c r="N530" s="1031">
        <v>0</v>
      </c>
      <c r="O530" s="831"/>
      <c r="P530" s="831"/>
      <c r="Q530" s="1244"/>
      <c r="R530" s="1244"/>
      <c r="S530" s="1244"/>
      <c r="T530" s="1244"/>
      <c r="U530" s="1244"/>
      <c r="V530" s="1244"/>
      <c r="W530" s="1244"/>
      <c r="X530" s="1244"/>
      <c r="Y530" s="1244"/>
      <c r="Z530" s="1244"/>
    </row>
    <row r="531" spans="1:26" ht="18.75">
      <c r="A531" s="1241"/>
      <c r="B531" s="1242"/>
      <c r="C531" s="1243"/>
      <c r="D531" s="1243"/>
      <c r="E531" s="1243"/>
      <c r="F531" s="1243" t="s">
        <v>188</v>
      </c>
      <c r="G531" s="963"/>
      <c r="H531" s="778" t="s">
        <v>12</v>
      </c>
      <c r="I531" s="830"/>
      <c r="J531" s="830"/>
      <c r="K531" s="831"/>
      <c r="L531" s="831"/>
      <c r="M531" s="831"/>
      <c r="N531" s="1031">
        <v>0</v>
      </c>
      <c r="O531" s="831"/>
      <c r="P531" s="831"/>
      <c r="Q531" s="1244"/>
      <c r="R531" s="1244"/>
      <c r="S531" s="1244"/>
      <c r="T531" s="1244"/>
      <c r="U531" s="1244"/>
      <c r="V531" s="1244"/>
      <c r="W531" s="1244"/>
      <c r="X531" s="1244"/>
      <c r="Y531" s="1244"/>
      <c r="Z531" s="1244"/>
    </row>
    <row r="532" spans="1:26" ht="18.75">
      <c r="A532" s="1241"/>
      <c r="B532" s="1242"/>
      <c r="C532" s="1243"/>
      <c r="D532" s="1243"/>
      <c r="E532" s="1243"/>
      <c r="F532" s="1243" t="s">
        <v>189</v>
      </c>
      <c r="G532" s="963"/>
      <c r="H532" s="778" t="s">
        <v>12</v>
      </c>
      <c r="I532" s="830"/>
      <c r="J532" s="830"/>
      <c r="K532" s="831"/>
      <c r="L532" s="831"/>
      <c r="M532" s="831"/>
      <c r="N532" s="1031">
        <v>10355</v>
      </c>
      <c r="O532" s="831"/>
      <c r="P532" s="831"/>
      <c r="Q532" s="1244"/>
      <c r="R532" s="1244"/>
      <c r="S532" s="1244"/>
      <c r="T532" s="1244"/>
      <c r="U532" s="1244"/>
      <c r="V532" s="1244"/>
      <c r="W532" s="1244"/>
      <c r="X532" s="1244"/>
      <c r="Y532" s="1244"/>
      <c r="Z532" s="1244"/>
    </row>
    <row r="533" spans="1:26" ht="18.75">
      <c r="A533" s="1259"/>
      <c r="B533" s="1242"/>
      <c r="C533" s="1243"/>
      <c r="D533" s="1266" t="s">
        <v>21</v>
      </c>
      <c r="E533" s="1243"/>
      <c r="F533" s="1243"/>
      <c r="G533" s="963"/>
      <c r="H533" s="168" t="s">
        <v>12</v>
      </c>
      <c r="I533" s="944"/>
      <c r="J533" s="944"/>
      <c r="K533" s="945"/>
      <c r="L533" s="831">
        <f t="shared" ref="L533:N533" ca="1" si="231">L534+L535</f>
        <v>0</v>
      </c>
      <c r="M533" s="831">
        <f t="shared" si="231"/>
        <v>0</v>
      </c>
      <c r="N533" s="831">
        <f t="shared" si="231"/>
        <v>0</v>
      </c>
      <c r="O533" s="831">
        <f t="shared" ref="O533:O535" ca="1" si="232">IF(L533&gt;0,N533*100/L533,0)</f>
        <v>0</v>
      </c>
      <c r="P533" s="831">
        <f t="shared" ref="P533:P535" si="233">IF(M533&gt;0,N533*100/M533,0)</f>
        <v>0</v>
      </c>
      <c r="Q533" s="1244"/>
      <c r="R533" s="1244"/>
      <c r="S533" s="1244"/>
      <c r="T533" s="1244"/>
      <c r="U533" s="1244"/>
      <c r="V533" s="1244"/>
      <c r="W533" s="1244"/>
      <c r="X533" s="1244"/>
      <c r="Y533" s="1244"/>
      <c r="Z533" s="1244"/>
    </row>
    <row r="534" spans="1:26" ht="18.75" hidden="1">
      <c r="A534" s="1260"/>
      <c r="B534" s="1265"/>
      <c r="C534" s="1261"/>
      <c r="D534" s="1261"/>
      <c r="E534" s="1261" t="s">
        <v>18</v>
      </c>
      <c r="F534" s="1261"/>
      <c r="G534" s="1263"/>
      <c r="H534" s="165" t="s">
        <v>12</v>
      </c>
      <c r="I534" s="947"/>
      <c r="J534" s="947"/>
      <c r="K534" s="948"/>
      <c r="L534" s="837">
        <v>0</v>
      </c>
      <c r="M534" s="837">
        <v>0</v>
      </c>
      <c r="N534" s="837">
        <v>0</v>
      </c>
      <c r="O534" s="837">
        <f t="shared" si="232"/>
        <v>0</v>
      </c>
      <c r="P534" s="837">
        <f t="shared" si="233"/>
        <v>0</v>
      </c>
      <c r="Q534" s="1264"/>
      <c r="R534" s="1264"/>
      <c r="S534" s="1264"/>
      <c r="T534" s="1264"/>
      <c r="U534" s="1264"/>
      <c r="V534" s="1264"/>
      <c r="W534" s="1264"/>
      <c r="X534" s="1264"/>
      <c r="Y534" s="1264"/>
      <c r="Z534" s="1264"/>
    </row>
    <row r="535" spans="1:26" ht="18.75" hidden="1">
      <c r="A535" s="1260"/>
      <c r="B535" s="1265"/>
      <c r="C535" s="1261"/>
      <c r="D535" s="1261"/>
      <c r="E535" s="1261" t="s">
        <v>19</v>
      </c>
      <c r="F535" s="1261"/>
      <c r="G535" s="1263"/>
      <c r="H535" s="169" t="s">
        <v>12</v>
      </c>
      <c r="I535" s="947"/>
      <c r="J535" s="947"/>
      <c r="K535" s="948"/>
      <c r="L535" s="837">
        <f ca="1">IFERROR(__xludf.DUMMYFUNCTION("IMPORTRANGE(""https://docs.google.com/spreadsheets/d/1QqKyyYR6Q21VydFLVH3TRQUabQu_ym0Zz7PgGX0-kHA/edit?usp=sharing"",""แผน!GT30"")"),0)</f>
        <v>0</v>
      </c>
      <c r="M535" s="837">
        <v>0</v>
      </c>
      <c r="N535" s="837">
        <v>0</v>
      </c>
      <c r="O535" s="837">
        <f t="shared" ca="1" si="232"/>
        <v>0</v>
      </c>
      <c r="P535" s="837">
        <f t="shared" si="233"/>
        <v>0</v>
      </c>
      <c r="Q535" s="1264"/>
      <c r="R535" s="1264"/>
      <c r="S535" s="1264"/>
      <c r="T535" s="1264"/>
      <c r="U535" s="1264"/>
      <c r="V535" s="1264"/>
      <c r="W535" s="1264"/>
      <c r="X535" s="1264"/>
      <c r="Y535" s="1264"/>
      <c r="Z535" s="1264"/>
    </row>
    <row r="536" spans="1:26" ht="19.5">
      <c r="A536" s="1267"/>
      <c r="B536" s="1268"/>
      <c r="C536" s="1243" t="s">
        <v>16</v>
      </c>
      <c r="D536" s="1320" t="s">
        <v>38</v>
      </c>
      <c r="E536" s="1271"/>
      <c r="F536" s="1271"/>
      <c r="G536" s="1272"/>
      <c r="H536" s="954"/>
      <c r="I536" s="944"/>
      <c r="J536" s="944"/>
      <c r="K536" s="945"/>
      <c r="L536" s="945"/>
      <c r="M536" s="945"/>
      <c r="N536" s="945"/>
      <c r="O536" s="945"/>
      <c r="P536" s="945"/>
      <c r="Q536" s="1244"/>
      <c r="R536" s="1244"/>
      <c r="S536" s="1244"/>
      <c r="T536" s="1244"/>
      <c r="U536" s="1244"/>
      <c r="V536" s="1244"/>
      <c r="W536" s="1244"/>
      <c r="X536" s="1244"/>
      <c r="Y536" s="1244"/>
      <c r="Z536" s="1244"/>
    </row>
    <row r="537" spans="1:26" ht="19.5">
      <c r="A537" s="1241"/>
      <c r="B537" s="1242"/>
      <c r="C537" s="1243"/>
      <c r="D537" s="1243" t="s">
        <v>227</v>
      </c>
      <c r="E537" s="1243"/>
      <c r="F537" s="1243"/>
      <c r="G537" s="963"/>
      <c r="H537" s="590" t="s">
        <v>35</v>
      </c>
      <c r="I537" s="966">
        <f ca="1">IFERROR(__xludf.DUMMYFUNCTION("IMPORTRANGE(""https://docs.google.com/spreadsheets/d/1QqKyyYR6Q21VydFLVH3TRQUabQu_ym0Zz7PgGX0-kHA/edit?usp=sharing"",""แผน!GU30"")"),80)</f>
        <v>80</v>
      </c>
      <c r="J537" s="966">
        <f ca="1">IF(AND(J538=I538,J539=I539,J540=I540,J541=I541),I537,0)</f>
        <v>0</v>
      </c>
      <c r="K537" s="831">
        <f t="shared" ref="K537:K543" ca="1" si="234">IF(I537&gt;0,J537*100/I537,0)</f>
        <v>0</v>
      </c>
      <c r="L537" s="831"/>
      <c r="M537" s="831"/>
      <c r="N537" s="831"/>
      <c r="O537" s="831"/>
      <c r="P537" s="831"/>
      <c r="Q537" s="1321"/>
      <c r="R537" s="1321"/>
      <c r="S537" s="1321"/>
      <c r="T537" s="1321"/>
      <c r="U537" s="1321"/>
      <c r="V537" s="1321"/>
      <c r="W537" s="1321"/>
      <c r="X537" s="1321"/>
      <c r="Y537" s="1321"/>
      <c r="Z537" s="1321"/>
    </row>
    <row r="538" spans="1:26" ht="18.75">
      <c r="A538" s="1241"/>
      <c r="B538" s="1242"/>
      <c r="C538" s="1243"/>
      <c r="D538" s="1243"/>
      <c r="E538" s="1243" t="s">
        <v>228</v>
      </c>
      <c r="F538" s="1243"/>
      <c r="G538" s="963"/>
      <c r="H538" s="590" t="s">
        <v>35</v>
      </c>
      <c r="I538" s="830">
        <f ca="1">IFERROR(__xludf.DUMMYFUNCTION("IMPORTRANGE(""https://docs.google.com/spreadsheets/d/1QqKyyYR6Q21VydFLVH3TRQUabQu_ym0Zz7PgGX0-kHA/edit?usp=sharing"",""แผน!GV30"")"),80)</f>
        <v>80</v>
      </c>
      <c r="J538" s="959">
        <v>80</v>
      </c>
      <c r="K538" s="831">
        <f t="shared" ca="1" si="234"/>
        <v>100</v>
      </c>
      <c r="L538" s="831"/>
      <c r="M538" s="831"/>
      <c r="N538" s="831"/>
      <c r="O538" s="831"/>
      <c r="P538" s="831"/>
      <c r="Q538" s="1321"/>
      <c r="R538" s="1321"/>
      <c r="S538" s="1321"/>
      <c r="T538" s="1321"/>
      <c r="U538" s="1321"/>
      <c r="V538" s="1321"/>
      <c r="W538" s="1321"/>
      <c r="X538" s="1321"/>
      <c r="Y538" s="1321"/>
      <c r="Z538" s="1321"/>
    </row>
    <row r="539" spans="1:26" ht="18.75">
      <c r="A539" s="1241"/>
      <c r="B539" s="1242"/>
      <c r="C539" s="1243"/>
      <c r="D539" s="1243"/>
      <c r="E539" s="1243" t="s">
        <v>229</v>
      </c>
      <c r="F539" s="1243"/>
      <c r="G539" s="963"/>
      <c r="H539" s="590" t="s">
        <v>35</v>
      </c>
      <c r="I539" s="830">
        <f ca="1">IFERROR(__xludf.DUMMYFUNCTION("IMPORTRANGE(""https://docs.google.com/spreadsheets/d/1QqKyyYR6Q21VydFLVH3TRQUabQu_ym0Zz7PgGX0-kHA/edit?usp=sharing"",""แผน!GW30"")"),0)</f>
        <v>0</v>
      </c>
      <c r="J539" s="959">
        <v>0</v>
      </c>
      <c r="K539" s="831">
        <f t="shared" ca="1" si="234"/>
        <v>0</v>
      </c>
      <c r="L539" s="831"/>
      <c r="M539" s="831"/>
      <c r="N539" s="831"/>
      <c r="O539" s="831"/>
      <c r="P539" s="831"/>
      <c r="Q539" s="1321"/>
      <c r="R539" s="1321"/>
      <c r="S539" s="1321"/>
      <c r="T539" s="1321"/>
      <c r="U539" s="1321"/>
      <c r="V539" s="1321"/>
      <c r="W539" s="1321"/>
      <c r="X539" s="1321"/>
      <c r="Y539" s="1321"/>
      <c r="Z539" s="1321"/>
    </row>
    <row r="540" spans="1:26" ht="18.75">
      <c r="A540" s="1241"/>
      <c r="B540" s="1242"/>
      <c r="C540" s="1243"/>
      <c r="D540" s="1243"/>
      <c r="E540" s="1243" t="s">
        <v>230</v>
      </c>
      <c r="F540" s="1243"/>
      <c r="G540" s="963"/>
      <c r="H540" s="590" t="s">
        <v>35</v>
      </c>
      <c r="I540" s="830">
        <f ca="1">IFERROR(__xludf.DUMMYFUNCTION("IMPORTRANGE(""https://docs.google.com/spreadsheets/d/1QqKyyYR6Q21VydFLVH3TRQUabQu_ym0Zz7PgGX0-kHA/edit?usp=sharing"",""แผน!GX30"")"),0)</f>
        <v>0</v>
      </c>
      <c r="J540" s="959">
        <v>0</v>
      </c>
      <c r="K540" s="831">
        <f t="shared" ca="1" si="234"/>
        <v>0</v>
      </c>
      <c r="L540" s="831"/>
      <c r="M540" s="831"/>
      <c r="N540" s="831"/>
      <c r="O540" s="831"/>
      <c r="P540" s="831"/>
      <c r="Q540" s="1321"/>
      <c r="R540" s="1321"/>
      <c r="S540" s="1321"/>
      <c r="T540" s="1321"/>
      <c r="U540" s="1321"/>
      <c r="V540" s="1321"/>
      <c r="W540" s="1321"/>
      <c r="X540" s="1321"/>
      <c r="Y540" s="1321"/>
      <c r="Z540" s="1321"/>
    </row>
    <row r="541" spans="1:26" ht="18.75">
      <c r="A541" s="1241"/>
      <c r="B541" s="1242"/>
      <c r="C541" s="1243"/>
      <c r="D541" s="1243"/>
      <c r="E541" s="1322" t="s">
        <v>231</v>
      </c>
      <c r="F541" s="1243"/>
      <c r="G541" s="963"/>
      <c r="H541" s="590" t="s">
        <v>35</v>
      </c>
      <c r="I541" s="830">
        <f ca="1">IFERROR(__xludf.DUMMYFUNCTION("IMPORTRANGE(""https://docs.google.com/spreadsheets/d/1QqKyyYR6Q21VydFLVH3TRQUabQu_ym0Zz7PgGX0-kHA/edit?usp=sharing"",""แผน!GY30"")"),80)</f>
        <v>80</v>
      </c>
      <c r="J541" s="959">
        <v>44</v>
      </c>
      <c r="K541" s="831">
        <f t="shared" ca="1" si="234"/>
        <v>55</v>
      </c>
      <c r="L541" s="831"/>
      <c r="M541" s="831"/>
      <c r="N541" s="831"/>
      <c r="O541" s="831"/>
      <c r="P541" s="831"/>
      <c r="Q541" s="1321"/>
      <c r="R541" s="1321"/>
      <c r="S541" s="1321"/>
      <c r="T541" s="1321"/>
      <c r="U541" s="1321"/>
      <c r="V541" s="1321"/>
      <c r="W541" s="1321"/>
      <c r="X541" s="1321"/>
      <c r="Y541" s="1321"/>
      <c r="Z541" s="1321"/>
    </row>
    <row r="542" spans="1:26" ht="18.75">
      <c r="A542" s="1241"/>
      <c r="B542" s="1242"/>
      <c r="C542" s="1243"/>
      <c r="D542" s="1243" t="s">
        <v>59</v>
      </c>
      <c r="E542" s="1243"/>
      <c r="F542" s="1243"/>
      <c r="G542" s="963"/>
      <c r="H542" s="590" t="s">
        <v>35</v>
      </c>
      <c r="I542" s="830">
        <f ca="1">IFERROR(__xludf.DUMMYFUNCTION("IMPORTRANGE(""https://docs.google.com/spreadsheets/d/1QqKyyYR6Q21VydFLVH3TRQUabQu_ym0Zz7PgGX0-kHA/edit?usp=sharing"",""แผน!GZ30"")"),80)</f>
        <v>80</v>
      </c>
      <c r="J542" s="959">
        <v>40</v>
      </c>
      <c r="K542" s="831">
        <f t="shared" ca="1" si="234"/>
        <v>50</v>
      </c>
      <c r="L542" s="831"/>
      <c r="M542" s="831"/>
      <c r="N542" s="831"/>
      <c r="O542" s="831"/>
      <c r="P542" s="831"/>
      <c r="Q542" s="1321"/>
      <c r="R542" s="1321"/>
      <c r="S542" s="1321"/>
      <c r="T542" s="1321"/>
      <c r="U542" s="1321"/>
      <c r="V542" s="1321"/>
      <c r="W542" s="1321"/>
      <c r="X542" s="1321"/>
      <c r="Y542" s="1321"/>
      <c r="Z542" s="1321"/>
    </row>
    <row r="543" spans="1:26" ht="19.5">
      <c r="A543" s="630">
        <v>6</v>
      </c>
      <c r="B543" s="1323" t="s">
        <v>232</v>
      </c>
      <c r="C543" s="1309"/>
      <c r="D543" s="1309"/>
      <c r="E543" s="1309"/>
      <c r="F543" s="1309"/>
      <c r="G543" s="1310"/>
      <c r="H543" s="652" t="s">
        <v>46</v>
      </c>
      <c r="I543" s="1324">
        <f t="shared" ref="I543:J543" ca="1" si="235">I559</f>
        <v>53985</v>
      </c>
      <c r="J543" s="1324">
        <f t="shared" si="235"/>
        <v>0</v>
      </c>
      <c r="K543" s="1325">
        <f t="shared" ca="1" si="234"/>
        <v>0</v>
      </c>
      <c r="L543" s="1312"/>
      <c r="M543" s="1312"/>
      <c r="N543" s="1312"/>
      <c r="O543" s="1312"/>
      <c r="P543" s="1312"/>
      <c r="Q543" s="1244"/>
      <c r="R543" s="1244"/>
      <c r="S543" s="1244"/>
      <c r="T543" s="1244"/>
      <c r="U543" s="1244"/>
      <c r="V543" s="1244"/>
      <c r="W543" s="1244"/>
      <c r="X543" s="1244"/>
      <c r="Y543" s="1244"/>
      <c r="Z543" s="1244"/>
    </row>
    <row r="544" spans="1:26" ht="19.5">
      <c r="A544" s="1326"/>
      <c r="B544" s="1327"/>
      <c r="C544" s="1327" t="s">
        <v>16</v>
      </c>
      <c r="D544" s="1511" t="s">
        <v>17</v>
      </c>
      <c r="E544" s="1487"/>
      <c r="F544" s="1487"/>
      <c r="G544" s="1328"/>
      <c r="H544" s="275" t="s">
        <v>12</v>
      </c>
      <c r="I544" s="937"/>
      <c r="J544" s="937"/>
      <c r="K544" s="938"/>
      <c r="L544" s="939">
        <f t="shared" ref="L544:N544" ca="1" si="236">L545+L546</f>
        <v>431888</v>
      </c>
      <c r="M544" s="939">
        <f t="shared" si="236"/>
        <v>0</v>
      </c>
      <c r="N544" s="939">
        <f t="shared" si="236"/>
        <v>157305</v>
      </c>
      <c r="O544" s="939">
        <f t="shared" ref="O544:O549" ca="1" si="237">IF(L544&gt;0,N544*100/L544,0)</f>
        <v>36.422637350424182</v>
      </c>
      <c r="P544" s="939">
        <f t="shared" ref="P544:P549" si="238">IF(M544&gt;0,N544*100/M544,0)</f>
        <v>0</v>
      </c>
      <c r="Q544" s="1244"/>
      <c r="R544" s="1244"/>
      <c r="S544" s="1244"/>
      <c r="T544" s="1244"/>
      <c r="U544" s="1244"/>
      <c r="V544" s="1244"/>
      <c r="W544" s="1244"/>
      <c r="X544" s="1244"/>
      <c r="Y544" s="1244"/>
      <c r="Z544" s="1244"/>
    </row>
    <row r="545" spans="1:26" ht="18.75" hidden="1">
      <c r="A545" s="1260"/>
      <c r="B545" s="1261"/>
      <c r="C545" s="1261"/>
      <c r="D545" s="1261"/>
      <c r="E545" s="1261" t="s">
        <v>184</v>
      </c>
      <c r="F545" s="1261"/>
      <c r="G545" s="1263"/>
      <c r="H545" s="165" t="s">
        <v>12</v>
      </c>
      <c r="I545" s="836"/>
      <c r="J545" s="836"/>
      <c r="K545" s="837"/>
      <c r="L545" s="837">
        <f t="shared" ref="L545:L546" si="239">L548+L556</f>
        <v>0</v>
      </c>
      <c r="M545" s="837">
        <f t="shared" ref="M545:N546" si="240">M548+M555</f>
        <v>0</v>
      </c>
      <c r="N545" s="837">
        <f t="shared" si="240"/>
        <v>0</v>
      </c>
      <c r="O545" s="837">
        <f t="shared" si="237"/>
        <v>0</v>
      </c>
      <c r="P545" s="837">
        <f t="shared" si="238"/>
        <v>0</v>
      </c>
      <c r="Q545" s="1264"/>
      <c r="R545" s="1264"/>
      <c r="S545" s="1264"/>
      <c r="T545" s="1264"/>
      <c r="U545" s="1264"/>
      <c r="V545" s="1264"/>
      <c r="W545" s="1264"/>
      <c r="X545" s="1264"/>
      <c r="Y545" s="1264"/>
      <c r="Z545" s="1264"/>
    </row>
    <row r="546" spans="1:26" ht="18.75" hidden="1">
      <c r="A546" s="1260"/>
      <c r="B546" s="1265"/>
      <c r="C546" s="1261"/>
      <c r="D546" s="1261"/>
      <c r="E546" s="1261" t="s">
        <v>185</v>
      </c>
      <c r="F546" s="1261"/>
      <c r="G546" s="1263"/>
      <c r="H546" s="165" t="s">
        <v>12</v>
      </c>
      <c r="I546" s="836"/>
      <c r="J546" s="836"/>
      <c r="K546" s="837"/>
      <c r="L546" s="837">
        <f t="shared" ca="1" si="239"/>
        <v>431888</v>
      </c>
      <c r="M546" s="837">
        <f t="shared" si="240"/>
        <v>0</v>
      </c>
      <c r="N546" s="837">
        <f t="shared" si="240"/>
        <v>157305</v>
      </c>
      <c r="O546" s="837">
        <f t="shared" ca="1" si="237"/>
        <v>36.422637350424182</v>
      </c>
      <c r="P546" s="837">
        <f t="shared" si="238"/>
        <v>0</v>
      </c>
      <c r="Q546" s="1264"/>
      <c r="R546" s="1264"/>
      <c r="S546" s="1264"/>
      <c r="T546" s="1264"/>
      <c r="U546" s="1264"/>
      <c r="V546" s="1264"/>
      <c r="W546" s="1264"/>
      <c r="X546" s="1264"/>
      <c r="Y546" s="1264"/>
      <c r="Z546" s="1264"/>
    </row>
    <row r="547" spans="1:26" ht="18.75">
      <c r="A547" s="1259"/>
      <c r="B547" s="1242"/>
      <c r="C547" s="1243"/>
      <c r="D547" s="1266" t="s">
        <v>20</v>
      </c>
      <c r="E547" s="1243"/>
      <c r="F547" s="1243"/>
      <c r="G547" s="963"/>
      <c r="H547" s="778" t="s">
        <v>12</v>
      </c>
      <c r="I547" s="944"/>
      <c r="J547" s="944"/>
      <c r="K547" s="945"/>
      <c r="L547" s="831">
        <f t="shared" ref="L547:N547" ca="1" si="241">L548+L549</f>
        <v>431888</v>
      </c>
      <c r="M547" s="831">
        <f t="shared" si="241"/>
        <v>0</v>
      </c>
      <c r="N547" s="831">
        <f t="shared" si="241"/>
        <v>157305</v>
      </c>
      <c r="O547" s="831">
        <f t="shared" ca="1" si="237"/>
        <v>36.422637350424182</v>
      </c>
      <c r="P547" s="831">
        <f t="shared" si="238"/>
        <v>0</v>
      </c>
      <c r="Q547" s="1244"/>
      <c r="R547" s="1244"/>
      <c r="S547" s="1244"/>
      <c r="T547" s="1244"/>
      <c r="U547" s="1244"/>
      <c r="V547" s="1244"/>
      <c r="W547" s="1244"/>
      <c r="X547" s="1244"/>
      <c r="Y547" s="1244"/>
      <c r="Z547" s="1244"/>
    </row>
    <row r="548" spans="1:26" ht="18.75" hidden="1">
      <c r="A548" s="1260"/>
      <c r="B548" s="1265"/>
      <c r="C548" s="1261"/>
      <c r="D548" s="1262"/>
      <c r="E548" s="1261" t="s">
        <v>184</v>
      </c>
      <c r="F548" s="1261"/>
      <c r="G548" s="1263"/>
      <c r="H548" s="165" t="s">
        <v>12</v>
      </c>
      <c r="I548" s="836"/>
      <c r="J548" s="836"/>
      <c r="K548" s="837"/>
      <c r="L548" s="837">
        <v>0</v>
      </c>
      <c r="M548" s="837">
        <v>0</v>
      </c>
      <c r="N548" s="837">
        <v>0</v>
      </c>
      <c r="O548" s="837">
        <f t="shared" si="237"/>
        <v>0</v>
      </c>
      <c r="P548" s="837">
        <f t="shared" si="238"/>
        <v>0</v>
      </c>
      <c r="Q548" s="1264"/>
      <c r="R548" s="1264"/>
      <c r="S548" s="1264"/>
      <c r="T548" s="1264"/>
      <c r="U548" s="1264"/>
      <c r="V548" s="1264"/>
      <c r="W548" s="1264"/>
      <c r="X548" s="1264"/>
      <c r="Y548" s="1264"/>
      <c r="Z548" s="1264"/>
    </row>
    <row r="549" spans="1:26" ht="18.75" hidden="1">
      <c r="A549" s="1260"/>
      <c r="B549" s="1265"/>
      <c r="C549" s="1261"/>
      <c r="D549" s="1262"/>
      <c r="E549" s="1261" t="s">
        <v>185</v>
      </c>
      <c r="F549" s="1261"/>
      <c r="G549" s="1263"/>
      <c r="H549" s="165" t="s">
        <v>12</v>
      </c>
      <c r="I549" s="836"/>
      <c r="J549" s="836"/>
      <c r="K549" s="837"/>
      <c r="L549" s="837">
        <f ca="1">IFERROR(__xludf.DUMMYFUNCTION("IMPORTRANGE(""https://docs.google.com/spreadsheets/d/1QqKyyYR6Q21VydFLVH3TRQUabQu_ym0Zz7PgGX0-kHA/edit?usp=sharing"",""แผน!HB30"")"),431888)</f>
        <v>431888</v>
      </c>
      <c r="M549" s="837">
        <v>0</v>
      </c>
      <c r="N549" s="837">
        <f>N550+N551+N552+N553+N554</f>
        <v>157305</v>
      </c>
      <c r="O549" s="837">
        <f t="shared" ca="1" si="237"/>
        <v>36.422637350424182</v>
      </c>
      <c r="P549" s="837">
        <f t="shared" si="238"/>
        <v>0</v>
      </c>
      <c r="Q549" s="1264"/>
      <c r="R549" s="1264"/>
      <c r="S549" s="1264"/>
      <c r="T549" s="1264"/>
      <c r="U549" s="1264"/>
      <c r="V549" s="1264"/>
      <c r="W549" s="1264"/>
      <c r="X549" s="1264"/>
      <c r="Y549" s="1264"/>
      <c r="Z549" s="1264"/>
    </row>
    <row r="550" spans="1:26" ht="18.75">
      <c r="A550" s="1241"/>
      <c r="B550" s="1242"/>
      <c r="C550" s="1243"/>
      <c r="D550" s="1243"/>
      <c r="E550" s="1243"/>
      <c r="F550" s="1243" t="s">
        <v>186</v>
      </c>
      <c r="G550" s="963"/>
      <c r="H550" s="778" t="s">
        <v>12</v>
      </c>
      <c r="I550" s="830"/>
      <c r="J550" s="830"/>
      <c r="K550" s="831"/>
      <c r="L550" s="831"/>
      <c r="M550" s="831"/>
      <c r="N550" s="1031">
        <v>0</v>
      </c>
      <c r="O550" s="831"/>
      <c r="P550" s="831"/>
      <c r="Q550" s="1244"/>
      <c r="R550" s="1244"/>
      <c r="S550" s="1244"/>
      <c r="T550" s="1244"/>
      <c r="U550" s="1244"/>
      <c r="V550" s="1244"/>
      <c r="W550" s="1244"/>
      <c r="X550" s="1244"/>
      <c r="Y550" s="1244"/>
      <c r="Z550" s="1244"/>
    </row>
    <row r="551" spans="1:26" ht="18.75">
      <c r="A551" s="1241"/>
      <c r="B551" s="1242"/>
      <c r="C551" s="1242"/>
      <c r="D551" s="1242"/>
      <c r="E551" s="1243"/>
      <c r="F551" s="1243" t="s">
        <v>187</v>
      </c>
      <c r="G551" s="963"/>
      <c r="H551" s="778" t="s">
        <v>12</v>
      </c>
      <c r="I551" s="830"/>
      <c r="J551" s="830"/>
      <c r="K551" s="831"/>
      <c r="L551" s="831"/>
      <c r="M551" s="831"/>
      <c r="N551" s="1031">
        <v>0</v>
      </c>
      <c r="O551" s="831"/>
      <c r="P551" s="831"/>
      <c r="Q551" s="1244"/>
      <c r="R551" s="1244"/>
      <c r="S551" s="1244"/>
      <c r="T551" s="1244"/>
      <c r="U551" s="1244"/>
      <c r="V551" s="1244"/>
      <c r="W551" s="1244"/>
      <c r="X551" s="1244"/>
      <c r="Y551" s="1244"/>
      <c r="Z551" s="1244"/>
    </row>
    <row r="552" spans="1:26" ht="18.75">
      <c r="A552" s="1241"/>
      <c r="B552" s="1242"/>
      <c r="C552" s="1243"/>
      <c r="D552" s="1243"/>
      <c r="E552" s="1243"/>
      <c r="F552" s="1243" t="s">
        <v>188</v>
      </c>
      <c r="G552" s="963"/>
      <c r="H552" s="778" t="s">
        <v>12</v>
      </c>
      <c r="I552" s="830"/>
      <c r="J552" s="830"/>
      <c r="K552" s="831"/>
      <c r="L552" s="831"/>
      <c r="M552" s="831"/>
      <c r="N552" s="1031">
        <v>38580</v>
      </c>
      <c r="O552" s="831"/>
      <c r="P552" s="831"/>
      <c r="Q552" s="1244"/>
      <c r="R552" s="1244"/>
      <c r="S552" s="1244"/>
      <c r="T552" s="1244"/>
      <c r="U552" s="1244"/>
      <c r="V552" s="1244"/>
      <c r="W552" s="1244"/>
      <c r="X552" s="1244"/>
      <c r="Y552" s="1244"/>
      <c r="Z552" s="1244"/>
    </row>
    <row r="553" spans="1:26" ht="18.75">
      <c r="A553" s="1241"/>
      <c r="B553" s="1242"/>
      <c r="C553" s="1242"/>
      <c r="D553" s="1242"/>
      <c r="E553" s="1243"/>
      <c r="F553" s="1243" t="s">
        <v>189</v>
      </c>
      <c r="G553" s="963"/>
      <c r="H553" s="778" t="s">
        <v>12</v>
      </c>
      <c r="I553" s="830"/>
      <c r="J553" s="830"/>
      <c r="K553" s="831"/>
      <c r="L553" s="831"/>
      <c r="M553" s="831"/>
      <c r="N553" s="1031">
        <v>118725</v>
      </c>
      <c r="O553" s="831"/>
      <c r="P553" s="831"/>
      <c r="Q553" s="1244"/>
      <c r="R553" s="1244"/>
      <c r="S553" s="1244"/>
      <c r="T553" s="1244"/>
      <c r="U553" s="1244"/>
      <c r="V553" s="1244"/>
      <c r="W553" s="1244"/>
      <c r="X553" s="1244"/>
      <c r="Y553" s="1244"/>
      <c r="Z553" s="1244"/>
    </row>
    <row r="554" spans="1:26" ht="18.75">
      <c r="A554" s="1241"/>
      <c r="B554" s="1242"/>
      <c r="C554" s="1242"/>
      <c r="D554" s="1242"/>
      <c r="E554" s="1243"/>
      <c r="F554" s="1243" t="s">
        <v>233</v>
      </c>
      <c r="G554" s="963"/>
      <c r="H554" s="778" t="s">
        <v>12</v>
      </c>
      <c r="I554" s="830"/>
      <c r="J554" s="830"/>
      <c r="K554" s="831"/>
      <c r="L554" s="831"/>
      <c r="M554" s="831"/>
      <c r="N554" s="1031">
        <v>0</v>
      </c>
      <c r="O554" s="831"/>
      <c r="P554" s="831"/>
      <c r="Q554" s="1244"/>
      <c r="R554" s="1244"/>
      <c r="S554" s="1244"/>
      <c r="T554" s="1244"/>
      <c r="U554" s="1244"/>
      <c r="V554" s="1244"/>
      <c r="W554" s="1244"/>
      <c r="X554" s="1244"/>
      <c r="Y554" s="1244"/>
      <c r="Z554" s="1244"/>
    </row>
    <row r="555" spans="1:26" ht="18.75">
      <c r="A555" s="1259"/>
      <c r="B555" s="1242"/>
      <c r="C555" s="1242"/>
      <c r="D555" s="1266" t="s">
        <v>21</v>
      </c>
      <c r="E555" s="1243"/>
      <c r="F555" s="1243"/>
      <c r="G555" s="963"/>
      <c r="H555" s="168" t="s">
        <v>12</v>
      </c>
      <c r="I555" s="944"/>
      <c r="J555" s="944"/>
      <c r="K555" s="945"/>
      <c r="L555" s="831">
        <f t="shared" ref="L555:N555" ca="1" si="242">L556+L557</f>
        <v>0</v>
      </c>
      <c r="M555" s="831">
        <f t="shared" si="242"/>
        <v>0</v>
      </c>
      <c r="N555" s="831">
        <f t="shared" si="242"/>
        <v>0</v>
      </c>
      <c r="O555" s="831">
        <f t="shared" ref="O555:O557" ca="1" si="243">IF(L555&gt;0,N555*100/L555,0)</f>
        <v>0</v>
      </c>
      <c r="P555" s="831">
        <f t="shared" ref="P555:P557" si="244">IF(M555&gt;0,N555*100/M555,0)</f>
        <v>0</v>
      </c>
      <c r="Q555" s="1244"/>
      <c r="R555" s="1244"/>
      <c r="S555" s="1244"/>
      <c r="T555" s="1244"/>
      <c r="U555" s="1244"/>
      <c r="V555" s="1244"/>
      <c r="W555" s="1244"/>
      <c r="X555" s="1244"/>
      <c r="Y555" s="1244"/>
      <c r="Z555" s="1244"/>
    </row>
    <row r="556" spans="1:26" ht="18.75" hidden="1">
      <c r="A556" s="1260"/>
      <c r="B556" s="1265"/>
      <c r="C556" s="1265"/>
      <c r="D556" s="1261"/>
      <c r="E556" s="1261" t="s">
        <v>18</v>
      </c>
      <c r="F556" s="1261"/>
      <c r="G556" s="1263"/>
      <c r="H556" s="165" t="s">
        <v>12</v>
      </c>
      <c r="I556" s="947"/>
      <c r="J556" s="947"/>
      <c r="K556" s="948"/>
      <c r="L556" s="837">
        <v>0</v>
      </c>
      <c r="M556" s="837">
        <v>0</v>
      </c>
      <c r="N556" s="837">
        <v>0</v>
      </c>
      <c r="O556" s="837">
        <f t="shared" si="243"/>
        <v>0</v>
      </c>
      <c r="P556" s="837">
        <f t="shared" si="244"/>
        <v>0</v>
      </c>
      <c r="Q556" s="1264"/>
      <c r="R556" s="1264"/>
      <c r="S556" s="1264"/>
      <c r="T556" s="1264"/>
      <c r="U556" s="1264"/>
      <c r="V556" s="1264"/>
      <c r="W556" s="1264"/>
      <c r="X556" s="1264"/>
      <c r="Y556" s="1264"/>
      <c r="Z556" s="1264"/>
    </row>
    <row r="557" spans="1:26" ht="18.75" hidden="1">
      <c r="A557" s="1260"/>
      <c r="B557" s="1265"/>
      <c r="C557" s="1265"/>
      <c r="D557" s="1261"/>
      <c r="E557" s="1261" t="s">
        <v>19</v>
      </c>
      <c r="F557" s="1261"/>
      <c r="G557" s="1263"/>
      <c r="H557" s="169" t="s">
        <v>12</v>
      </c>
      <c r="I557" s="947"/>
      <c r="J557" s="947"/>
      <c r="K557" s="948"/>
      <c r="L557" s="837">
        <f ca="1">IFERROR(__xludf.DUMMYFUNCTION("IMPORTRANGE(""https://docs.google.com/spreadsheets/d/1QqKyyYR6Q21VydFLVH3TRQUabQu_ym0Zz7PgGX0-kHA/edit?usp=sharing"",""แผน!HF30"")"),0)</f>
        <v>0</v>
      </c>
      <c r="M557" s="837">
        <v>0</v>
      </c>
      <c r="N557" s="837">
        <v>0</v>
      </c>
      <c r="O557" s="837">
        <f t="shared" ca="1" si="243"/>
        <v>0</v>
      </c>
      <c r="P557" s="837">
        <f t="shared" si="244"/>
        <v>0</v>
      </c>
      <c r="Q557" s="1264"/>
      <c r="R557" s="1264"/>
      <c r="S557" s="1264"/>
      <c r="T557" s="1264"/>
      <c r="U557" s="1264"/>
      <c r="V557" s="1264"/>
      <c r="W557" s="1264"/>
      <c r="X557" s="1264"/>
      <c r="Y557" s="1264"/>
      <c r="Z557" s="1264"/>
    </row>
    <row r="558" spans="1:26" ht="19.5">
      <c r="A558" s="1267"/>
      <c r="B558" s="1268"/>
      <c r="C558" s="1242" t="s">
        <v>16</v>
      </c>
      <c r="D558" s="1320" t="s">
        <v>38</v>
      </c>
      <c r="E558" s="1271"/>
      <c r="F558" s="1271"/>
      <c r="G558" s="1272"/>
      <c r="H558" s="954"/>
      <c r="I558" s="944"/>
      <c r="J558" s="944"/>
      <c r="K558" s="945"/>
      <c r="L558" s="945"/>
      <c r="M558" s="945"/>
      <c r="N558" s="945"/>
      <c r="O558" s="945"/>
      <c r="P558" s="945"/>
      <c r="Q558" s="1244"/>
      <c r="R558" s="1244"/>
      <c r="S558" s="1244"/>
      <c r="T558" s="1244"/>
      <c r="U558" s="1244"/>
      <c r="V558" s="1244"/>
      <c r="W558" s="1244"/>
      <c r="X558" s="1244"/>
      <c r="Y558" s="1244"/>
      <c r="Z558" s="1244"/>
    </row>
    <row r="559" spans="1:26" ht="19.5">
      <c r="A559" s="1329"/>
      <c r="B559" s="1330" t="s">
        <v>234</v>
      </c>
      <c r="C559" s="1331"/>
      <c r="D559" s="1331"/>
      <c r="E559" s="1315"/>
      <c r="F559" s="1315"/>
      <c r="G559" s="1316"/>
      <c r="H559" s="661" t="s">
        <v>46</v>
      </c>
      <c r="I559" s="1317">
        <f t="shared" ref="I559:J559" ca="1" si="245">I576</f>
        <v>53985</v>
      </c>
      <c r="J559" s="1317">
        <f t="shared" si="245"/>
        <v>0</v>
      </c>
      <c r="K559" s="1318">
        <f t="shared" ref="K559:K561" ca="1" si="246">IF(I559&gt;0,J559*100/I559,0)</f>
        <v>0</v>
      </c>
      <c r="L559" s="1319"/>
      <c r="M559" s="1319"/>
      <c r="N559" s="1319"/>
      <c r="O559" s="1319"/>
      <c r="P559" s="1319"/>
      <c r="Q559" s="1244"/>
      <c r="R559" s="1244"/>
      <c r="S559" s="1244"/>
      <c r="T559" s="1244"/>
      <c r="U559" s="1244"/>
      <c r="V559" s="1244"/>
      <c r="W559" s="1244"/>
      <c r="X559" s="1244"/>
      <c r="Y559" s="1244"/>
      <c r="Z559" s="1244"/>
    </row>
    <row r="560" spans="1:26" ht="19.5">
      <c r="A560" s="1267"/>
      <c r="B560" s="1268"/>
      <c r="C560" s="1277" t="s">
        <v>235</v>
      </c>
      <c r="D560" s="1268"/>
      <c r="E560" s="961"/>
      <c r="F560" s="961"/>
      <c r="G560" s="954"/>
      <c r="H560" s="733" t="s">
        <v>46</v>
      </c>
      <c r="I560" s="965">
        <f ca="1">IFERROR(__xludf.DUMMYFUNCTION("IMPORTRANGE(""https://docs.google.com/spreadsheets/d/1QqKyyYR6Q21VydFLVH3TRQUabQu_ym0Zz7PgGX0-kHA/edit?usp=sharing"",""แผน!HH30"")"),53985)</f>
        <v>53985</v>
      </c>
      <c r="J560" s="965">
        <f t="shared" ref="J560:J561" si="247">J562+J564+J566</f>
        <v>52855.65</v>
      </c>
      <c r="K560" s="1109">
        <f t="shared" ca="1" si="246"/>
        <v>97.908030008335643</v>
      </c>
      <c r="L560" s="945"/>
      <c r="M560" s="945"/>
      <c r="N560" s="945"/>
      <c r="O560" s="945"/>
      <c r="P560" s="945"/>
      <c r="Q560" s="1244"/>
      <c r="R560" s="1244"/>
      <c r="S560" s="1244"/>
      <c r="T560" s="1244"/>
      <c r="U560" s="1244"/>
      <c r="V560" s="1244"/>
      <c r="W560" s="1244"/>
      <c r="X560" s="1244"/>
      <c r="Y560" s="1244"/>
      <c r="Z560" s="1244"/>
    </row>
    <row r="561" spans="1:26" ht="19.5">
      <c r="A561" s="1267"/>
      <c r="B561" s="1268"/>
      <c r="C561" s="1268"/>
      <c r="D561" s="961"/>
      <c r="E561" s="961"/>
      <c r="F561" s="961"/>
      <c r="G561" s="954"/>
      <c r="H561" s="733" t="s">
        <v>34</v>
      </c>
      <c r="I561" s="965">
        <f ca="1">IFERROR(__xludf.DUMMYFUNCTION("IMPORTRANGE(""https://docs.google.com/spreadsheets/d/1QqKyyYR6Q21VydFLVH3TRQUabQu_ym0Zz7PgGX0-kHA/edit?usp=sharing"",""แผน!HG30"")"),4693)</f>
        <v>4693</v>
      </c>
      <c r="J561" s="965">
        <f t="shared" si="247"/>
        <v>4636</v>
      </c>
      <c r="K561" s="1109">
        <f t="shared" ca="1" si="246"/>
        <v>98.785425101214571</v>
      </c>
      <c r="L561" s="945"/>
      <c r="M561" s="945"/>
      <c r="N561" s="945"/>
      <c r="O561" s="945"/>
      <c r="P561" s="945"/>
      <c r="Q561" s="1244"/>
      <c r="R561" s="1244"/>
      <c r="S561" s="1244"/>
      <c r="T561" s="1244"/>
      <c r="U561" s="1244"/>
      <c r="V561" s="1244"/>
      <c r="W561" s="1244"/>
      <c r="X561" s="1244"/>
      <c r="Y561" s="1244"/>
      <c r="Z561" s="1244"/>
    </row>
    <row r="562" spans="1:26" ht="18.75">
      <c r="A562" s="1267"/>
      <c r="B562" s="1268"/>
      <c r="C562" s="1268"/>
      <c r="D562" s="961" t="s">
        <v>236</v>
      </c>
      <c r="E562" s="961"/>
      <c r="F562" s="961"/>
      <c r="G562" s="954"/>
      <c r="H562" s="730" t="s">
        <v>46</v>
      </c>
      <c r="I562" s="944"/>
      <c r="J562" s="959">
        <v>38911.18</v>
      </c>
      <c r="K562" s="945"/>
      <c r="L562" s="945"/>
      <c r="M562" s="945"/>
      <c r="N562" s="945"/>
      <c r="O562" s="945"/>
      <c r="P562" s="945"/>
      <c r="Q562" s="1244"/>
      <c r="R562" s="1244"/>
      <c r="S562" s="1244"/>
      <c r="T562" s="1244"/>
      <c r="U562" s="1244"/>
      <c r="V562" s="1244"/>
      <c r="W562" s="1244"/>
      <c r="X562" s="1244"/>
      <c r="Y562" s="1244"/>
      <c r="Z562" s="1244"/>
    </row>
    <row r="563" spans="1:26" ht="18.75">
      <c r="A563" s="1267"/>
      <c r="B563" s="1268"/>
      <c r="C563" s="1268"/>
      <c r="D563" s="1268"/>
      <c r="E563" s="961"/>
      <c r="F563" s="961"/>
      <c r="G563" s="954"/>
      <c r="H563" s="730" t="s">
        <v>34</v>
      </c>
      <c r="I563" s="944"/>
      <c r="J563" s="959">
        <v>3680</v>
      </c>
      <c r="K563" s="945"/>
      <c r="L563" s="945"/>
      <c r="M563" s="945"/>
      <c r="N563" s="945"/>
      <c r="O563" s="945"/>
      <c r="P563" s="945"/>
      <c r="Q563" s="1244"/>
      <c r="R563" s="1244"/>
      <c r="S563" s="1244"/>
      <c r="T563" s="1244"/>
      <c r="U563" s="1244"/>
      <c r="V563" s="1244"/>
      <c r="W563" s="1244"/>
      <c r="X563" s="1244"/>
      <c r="Y563" s="1244"/>
      <c r="Z563" s="1244"/>
    </row>
    <row r="564" spans="1:26" ht="18.75">
      <c r="A564" s="1267"/>
      <c r="B564" s="1268"/>
      <c r="C564" s="1268"/>
      <c r="D564" s="961" t="s">
        <v>237</v>
      </c>
      <c r="E564" s="961"/>
      <c r="F564" s="961"/>
      <c r="G564" s="954"/>
      <c r="H564" s="730" t="s">
        <v>46</v>
      </c>
      <c r="I564" s="944"/>
      <c r="J564" s="959">
        <v>10880.29</v>
      </c>
      <c r="K564" s="945"/>
      <c r="L564" s="945"/>
      <c r="M564" s="945"/>
      <c r="N564" s="945"/>
      <c r="O564" s="945"/>
      <c r="P564" s="945"/>
      <c r="Q564" s="1244"/>
      <c r="R564" s="1244"/>
      <c r="S564" s="1244"/>
      <c r="T564" s="1244"/>
      <c r="U564" s="1244"/>
      <c r="V564" s="1244"/>
      <c r="W564" s="1244"/>
      <c r="X564" s="1244"/>
      <c r="Y564" s="1244"/>
      <c r="Z564" s="1244"/>
    </row>
    <row r="565" spans="1:26" ht="18.75">
      <c r="A565" s="1267"/>
      <c r="B565" s="1268"/>
      <c r="C565" s="1268"/>
      <c r="D565" s="961"/>
      <c r="E565" s="961"/>
      <c r="F565" s="961"/>
      <c r="G565" s="954"/>
      <c r="H565" s="730" t="s">
        <v>34</v>
      </c>
      <c r="I565" s="944"/>
      <c r="J565" s="959">
        <v>732</v>
      </c>
      <c r="K565" s="945"/>
      <c r="L565" s="945"/>
      <c r="M565" s="945"/>
      <c r="N565" s="945"/>
      <c r="O565" s="945"/>
      <c r="P565" s="945"/>
      <c r="Q565" s="1244"/>
      <c r="R565" s="1244"/>
      <c r="S565" s="1244"/>
      <c r="T565" s="1244"/>
      <c r="U565" s="1244"/>
      <c r="V565" s="1244"/>
      <c r="W565" s="1244"/>
      <c r="X565" s="1244"/>
      <c r="Y565" s="1244"/>
      <c r="Z565" s="1244"/>
    </row>
    <row r="566" spans="1:26" ht="18.75">
      <c r="A566" s="1267"/>
      <c r="B566" s="1268"/>
      <c r="C566" s="1268"/>
      <c r="D566" s="961" t="s">
        <v>238</v>
      </c>
      <c r="E566" s="961"/>
      <c r="F566" s="961"/>
      <c r="G566" s="954"/>
      <c r="H566" s="730" t="s">
        <v>46</v>
      </c>
      <c r="I566" s="944"/>
      <c r="J566" s="959">
        <v>3064.18</v>
      </c>
      <c r="K566" s="945"/>
      <c r="L566" s="945"/>
      <c r="M566" s="945"/>
      <c r="N566" s="945"/>
      <c r="O566" s="945"/>
      <c r="P566" s="945"/>
      <c r="Q566" s="1244"/>
      <c r="R566" s="1244"/>
      <c r="S566" s="1244"/>
      <c r="T566" s="1244"/>
      <c r="U566" s="1244"/>
      <c r="V566" s="1244"/>
      <c r="W566" s="1244"/>
      <c r="X566" s="1244"/>
      <c r="Y566" s="1244"/>
      <c r="Z566" s="1244"/>
    </row>
    <row r="567" spans="1:26" ht="18.75">
      <c r="A567" s="1267"/>
      <c r="B567" s="1268"/>
      <c r="C567" s="1268"/>
      <c r="D567" s="961"/>
      <c r="E567" s="961"/>
      <c r="F567" s="961"/>
      <c r="G567" s="954"/>
      <c r="H567" s="730" t="s">
        <v>34</v>
      </c>
      <c r="I567" s="944"/>
      <c r="J567" s="959">
        <v>224</v>
      </c>
      <c r="K567" s="945"/>
      <c r="L567" s="945"/>
      <c r="M567" s="945"/>
      <c r="N567" s="945"/>
      <c r="O567" s="945"/>
      <c r="P567" s="945"/>
      <c r="Q567" s="1244"/>
      <c r="R567" s="1244"/>
      <c r="S567" s="1244"/>
      <c r="T567" s="1244"/>
      <c r="U567" s="1244"/>
      <c r="V567" s="1244"/>
      <c r="W567" s="1244"/>
      <c r="X567" s="1244"/>
      <c r="Y567" s="1244"/>
      <c r="Z567" s="1244"/>
    </row>
    <row r="568" spans="1:26" ht="19.5">
      <c r="A568" s="1267"/>
      <c r="B568" s="1268"/>
      <c r="C568" s="1277" t="s">
        <v>239</v>
      </c>
      <c r="D568" s="961"/>
      <c r="E568" s="961"/>
      <c r="F568" s="961"/>
      <c r="G568" s="954"/>
      <c r="H568" s="733" t="s">
        <v>46</v>
      </c>
      <c r="I568" s="965">
        <f ca="1">IFERROR(__xludf.DUMMYFUNCTION("IMPORTRANGE(""https://docs.google.com/spreadsheets/d/1QqKyyYR6Q21VydFLVH3TRQUabQu_ym0Zz7PgGX0-kHA/edit?usp=sharing"",""แผน!HH30"")"),53985)</f>
        <v>53985</v>
      </c>
      <c r="J568" s="966">
        <f t="shared" ref="J568:J569" si="248">J570+J572+J574</f>
        <v>0</v>
      </c>
      <c r="K568" s="1109">
        <f t="shared" ref="K568:K569" ca="1" si="249">IF(I568&gt;0,J568*100/I568,0)</f>
        <v>0</v>
      </c>
      <c r="L568" s="945"/>
      <c r="M568" s="945"/>
      <c r="N568" s="945"/>
      <c r="O568" s="945"/>
      <c r="P568" s="945"/>
      <c r="Q568" s="1244"/>
      <c r="R568" s="1244"/>
      <c r="S568" s="1244"/>
      <c r="T568" s="1244"/>
      <c r="U568" s="1244"/>
      <c r="V568" s="1244"/>
      <c r="W568" s="1244"/>
      <c r="X568" s="1244"/>
      <c r="Y568" s="1244"/>
      <c r="Z568" s="1244"/>
    </row>
    <row r="569" spans="1:26" ht="19.5">
      <c r="A569" s="1267"/>
      <c r="B569" s="1268"/>
      <c r="C569" s="1268"/>
      <c r="D569" s="1268"/>
      <c r="E569" s="961"/>
      <c r="F569" s="961"/>
      <c r="G569" s="954"/>
      <c r="H569" s="733" t="s">
        <v>34</v>
      </c>
      <c r="I569" s="965">
        <f ca="1">IFERROR(__xludf.DUMMYFUNCTION("IMPORTRANGE(""https://docs.google.com/spreadsheets/d/1QqKyyYR6Q21VydFLVH3TRQUabQu_ym0Zz7PgGX0-kHA/edit?usp=sharing"",""แผน!HG30"")"),4693)</f>
        <v>4693</v>
      </c>
      <c r="J569" s="966">
        <f t="shared" si="248"/>
        <v>0</v>
      </c>
      <c r="K569" s="1109">
        <f t="shared" ca="1" si="249"/>
        <v>0</v>
      </c>
      <c r="L569" s="945"/>
      <c r="M569" s="945"/>
      <c r="N569" s="945"/>
      <c r="O569" s="945"/>
      <c r="P569" s="945"/>
      <c r="Q569" s="1244"/>
      <c r="R569" s="1244"/>
      <c r="S569" s="1244"/>
      <c r="T569" s="1244"/>
      <c r="U569" s="1244"/>
      <c r="V569" s="1244"/>
      <c r="W569" s="1244"/>
      <c r="X569" s="1244"/>
      <c r="Y569" s="1244"/>
      <c r="Z569" s="1244"/>
    </row>
    <row r="570" spans="1:26" ht="18.75">
      <c r="A570" s="1267"/>
      <c r="B570" s="1268"/>
      <c r="C570" s="1268"/>
      <c r="D570" s="961" t="s">
        <v>240</v>
      </c>
      <c r="E570" s="1268"/>
      <c r="F570" s="961"/>
      <c r="G570" s="954"/>
      <c r="H570" s="730" t="s">
        <v>46</v>
      </c>
      <c r="I570" s="944"/>
      <c r="J570" s="959">
        <v>0</v>
      </c>
      <c r="K570" s="945"/>
      <c r="L570" s="945"/>
      <c r="M570" s="945"/>
      <c r="N570" s="945"/>
      <c r="O570" s="945"/>
      <c r="P570" s="945"/>
      <c r="Q570" s="1244"/>
      <c r="R570" s="1244"/>
      <c r="S570" s="1244"/>
      <c r="T570" s="1244"/>
      <c r="U570" s="1244"/>
      <c r="V570" s="1244"/>
      <c r="W570" s="1244"/>
      <c r="X570" s="1244"/>
      <c r="Y570" s="1244"/>
      <c r="Z570" s="1244"/>
    </row>
    <row r="571" spans="1:26" ht="18.75">
      <c r="A571" s="1267"/>
      <c r="B571" s="1268"/>
      <c r="C571" s="1268"/>
      <c r="D571" s="1268"/>
      <c r="E571" s="961"/>
      <c r="F571" s="961"/>
      <c r="G571" s="954"/>
      <c r="H571" s="730" t="s">
        <v>34</v>
      </c>
      <c r="I571" s="944"/>
      <c r="J571" s="959">
        <v>0</v>
      </c>
      <c r="K571" s="945"/>
      <c r="L571" s="945"/>
      <c r="M571" s="945"/>
      <c r="N571" s="945"/>
      <c r="O571" s="945"/>
      <c r="P571" s="945"/>
      <c r="Q571" s="1244"/>
      <c r="R571" s="1244"/>
      <c r="S571" s="1244"/>
      <c r="T571" s="1244"/>
      <c r="U571" s="1244"/>
      <c r="V571" s="1244"/>
      <c r="W571" s="1244"/>
      <c r="X571" s="1244"/>
      <c r="Y571" s="1244"/>
      <c r="Z571" s="1244"/>
    </row>
    <row r="572" spans="1:26" ht="18.75">
      <c r="A572" s="1267"/>
      <c r="B572" s="1268"/>
      <c r="C572" s="1268"/>
      <c r="D572" s="961" t="s">
        <v>241</v>
      </c>
      <c r="E572" s="961"/>
      <c r="F572" s="961"/>
      <c r="G572" s="954"/>
      <c r="H572" s="730" t="s">
        <v>46</v>
      </c>
      <c r="I572" s="944"/>
      <c r="J572" s="959">
        <v>0</v>
      </c>
      <c r="K572" s="945"/>
      <c r="L572" s="945"/>
      <c r="M572" s="945"/>
      <c r="N572" s="945"/>
      <c r="O572" s="945"/>
      <c r="P572" s="945"/>
      <c r="Q572" s="1244"/>
      <c r="R572" s="1244"/>
      <c r="S572" s="1244"/>
      <c r="T572" s="1244"/>
      <c r="U572" s="1244"/>
      <c r="V572" s="1244"/>
      <c r="W572" s="1244"/>
      <c r="X572" s="1244"/>
      <c r="Y572" s="1244"/>
      <c r="Z572" s="1244"/>
    </row>
    <row r="573" spans="1:26" ht="18.75">
      <c r="A573" s="1267"/>
      <c r="B573" s="1268"/>
      <c r="C573" s="1268"/>
      <c r="D573" s="961"/>
      <c r="E573" s="961"/>
      <c r="F573" s="961"/>
      <c r="G573" s="954"/>
      <c r="H573" s="730" t="s">
        <v>34</v>
      </c>
      <c r="I573" s="944"/>
      <c r="J573" s="959">
        <v>0</v>
      </c>
      <c r="K573" s="945"/>
      <c r="L573" s="945"/>
      <c r="M573" s="945"/>
      <c r="N573" s="945"/>
      <c r="O573" s="945"/>
      <c r="P573" s="945"/>
      <c r="Q573" s="1244"/>
      <c r="R573" s="1244"/>
      <c r="S573" s="1244"/>
      <c r="T573" s="1244"/>
      <c r="U573" s="1244"/>
      <c r="V573" s="1244"/>
      <c r="W573" s="1244"/>
      <c r="X573" s="1244"/>
      <c r="Y573" s="1244"/>
      <c r="Z573" s="1244"/>
    </row>
    <row r="574" spans="1:26" ht="18.75">
      <c r="A574" s="1267"/>
      <c r="B574" s="1268"/>
      <c r="C574" s="1268"/>
      <c r="D574" s="961" t="s">
        <v>242</v>
      </c>
      <c r="E574" s="961"/>
      <c r="F574" s="961"/>
      <c r="G574" s="954"/>
      <c r="H574" s="730" t="s">
        <v>46</v>
      </c>
      <c r="I574" s="944"/>
      <c r="J574" s="959">
        <v>0</v>
      </c>
      <c r="K574" s="945"/>
      <c r="L574" s="945"/>
      <c r="M574" s="945"/>
      <c r="N574" s="945"/>
      <c r="O574" s="945"/>
      <c r="P574" s="945"/>
      <c r="Q574" s="1244"/>
      <c r="R574" s="1244"/>
      <c r="S574" s="1244"/>
      <c r="T574" s="1244"/>
      <c r="U574" s="1244"/>
      <c r="V574" s="1244"/>
      <c r="W574" s="1244"/>
      <c r="X574" s="1244"/>
      <c r="Y574" s="1244"/>
      <c r="Z574" s="1244"/>
    </row>
    <row r="575" spans="1:26" ht="18.75">
      <c r="A575" s="1267"/>
      <c r="B575" s="1268"/>
      <c r="C575" s="1268"/>
      <c r="D575" s="1268"/>
      <c r="E575" s="961"/>
      <c r="F575" s="961"/>
      <c r="G575" s="954"/>
      <c r="H575" s="730" t="s">
        <v>34</v>
      </c>
      <c r="I575" s="944"/>
      <c r="J575" s="959">
        <v>0</v>
      </c>
      <c r="K575" s="945"/>
      <c r="L575" s="945"/>
      <c r="M575" s="945"/>
      <c r="N575" s="945"/>
      <c r="O575" s="945"/>
      <c r="P575" s="945"/>
      <c r="Q575" s="1244"/>
      <c r="R575" s="1244"/>
      <c r="S575" s="1244"/>
      <c r="T575" s="1244"/>
      <c r="U575" s="1244"/>
      <c r="V575" s="1244"/>
      <c r="W575" s="1244"/>
      <c r="X575" s="1244"/>
      <c r="Y575" s="1244"/>
      <c r="Z575" s="1244"/>
    </row>
    <row r="576" spans="1:26" ht="19.5">
      <c r="A576" s="1267"/>
      <c r="B576" s="1268"/>
      <c r="C576" s="1277" t="s">
        <v>243</v>
      </c>
      <c r="D576" s="1268"/>
      <c r="E576" s="1268"/>
      <c r="F576" s="961"/>
      <c r="G576" s="954"/>
      <c r="H576" s="733" t="s">
        <v>46</v>
      </c>
      <c r="I576" s="965">
        <f ca="1">IFERROR(__xludf.DUMMYFUNCTION("IMPORTRANGE(""https://docs.google.com/spreadsheets/d/1QqKyyYR6Q21VydFLVH3TRQUabQu_ym0Zz7PgGX0-kHA/edit?usp=sharing"",""แผน!HH30"")"),53985)</f>
        <v>53985</v>
      </c>
      <c r="J576" s="966">
        <f t="shared" ref="J576:J577" si="250">J578+J580+J582+J588+J590</f>
        <v>0</v>
      </c>
      <c r="K576" s="1109">
        <f t="shared" ref="K576:K577" ca="1" si="251">IF(I576&gt;0,J576*100/I576,0)</f>
        <v>0</v>
      </c>
      <c r="L576" s="945"/>
      <c r="M576" s="945"/>
      <c r="N576" s="945"/>
      <c r="O576" s="945"/>
      <c r="P576" s="945"/>
      <c r="Q576" s="1244"/>
      <c r="R576" s="1244"/>
      <c r="S576" s="1244"/>
      <c r="T576" s="1244"/>
      <c r="U576" s="1244"/>
      <c r="V576" s="1244"/>
      <c r="W576" s="1244"/>
      <c r="X576" s="1244"/>
      <c r="Y576" s="1244"/>
      <c r="Z576" s="1244"/>
    </row>
    <row r="577" spans="1:26" ht="19.5">
      <c r="A577" s="1267"/>
      <c r="B577" s="1268"/>
      <c r="C577" s="1268"/>
      <c r="D577" s="1268"/>
      <c r="E577" s="961"/>
      <c r="F577" s="961"/>
      <c r="G577" s="954"/>
      <c r="H577" s="733" t="s">
        <v>34</v>
      </c>
      <c r="I577" s="965">
        <f ca="1">IFERROR(__xludf.DUMMYFUNCTION("IMPORTRANGE(""https://docs.google.com/spreadsheets/d/1QqKyyYR6Q21VydFLVH3TRQUabQu_ym0Zz7PgGX0-kHA/edit?usp=sharing"",""แผน!HG30"")"),4693)</f>
        <v>4693</v>
      </c>
      <c r="J577" s="966">
        <f t="shared" si="250"/>
        <v>0</v>
      </c>
      <c r="K577" s="1109">
        <f t="shared" ca="1" si="251"/>
        <v>0</v>
      </c>
      <c r="L577" s="945"/>
      <c r="M577" s="945"/>
      <c r="N577" s="945"/>
      <c r="O577" s="945"/>
      <c r="P577" s="945"/>
      <c r="Q577" s="1244"/>
      <c r="R577" s="1244"/>
      <c r="S577" s="1244"/>
      <c r="T577" s="1244"/>
      <c r="U577" s="1244"/>
      <c r="V577" s="1244"/>
      <c r="W577" s="1244"/>
      <c r="X577" s="1244"/>
      <c r="Y577" s="1244"/>
      <c r="Z577" s="1244"/>
    </row>
    <row r="578" spans="1:26" ht="18.75">
      <c r="A578" s="1267"/>
      <c r="B578" s="1268"/>
      <c r="C578" s="1268"/>
      <c r="D578" s="961" t="s">
        <v>244</v>
      </c>
      <c r="E578" s="961"/>
      <c r="F578" s="961"/>
      <c r="G578" s="954"/>
      <c r="H578" s="730" t="s">
        <v>46</v>
      </c>
      <c r="I578" s="944"/>
      <c r="J578" s="959">
        <v>0</v>
      </c>
      <c r="K578" s="945"/>
      <c r="L578" s="945"/>
      <c r="M578" s="945"/>
      <c r="N578" s="945"/>
      <c r="O578" s="945"/>
      <c r="P578" s="945"/>
      <c r="Q578" s="1244"/>
      <c r="R578" s="1244"/>
      <c r="S578" s="1244"/>
      <c r="T578" s="1244"/>
      <c r="U578" s="1244"/>
      <c r="V578" s="1244"/>
      <c r="W578" s="1244"/>
      <c r="X578" s="1244"/>
      <c r="Y578" s="1244"/>
      <c r="Z578" s="1244"/>
    </row>
    <row r="579" spans="1:26" ht="18.75">
      <c r="A579" s="1267"/>
      <c r="B579" s="1268"/>
      <c r="C579" s="1268"/>
      <c r="D579" s="1268"/>
      <c r="E579" s="961"/>
      <c r="F579" s="961"/>
      <c r="G579" s="954"/>
      <c r="H579" s="730" t="s">
        <v>34</v>
      </c>
      <c r="I579" s="944"/>
      <c r="J579" s="959">
        <v>0</v>
      </c>
      <c r="K579" s="945"/>
      <c r="L579" s="945"/>
      <c r="M579" s="945"/>
      <c r="N579" s="945"/>
      <c r="O579" s="945"/>
      <c r="P579" s="945"/>
      <c r="Q579" s="1244"/>
      <c r="R579" s="1244"/>
      <c r="S579" s="1244"/>
      <c r="T579" s="1244"/>
      <c r="U579" s="1244"/>
      <c r="V579" s="1244"/>
      <c r="W579" s="1244"/>
      <c r="X579" s="1244"/>
      <c r="Y579" s="1244"/>
      <c r="Z579" s="1244"/>
    </row>
    <row r="580" spans="1:26" ht="18.75">
      <c r="A580" s="1267"/>
      <c r="B580" s="1268"/>
      <c r="C580" s="1268"/>
      <c r="D580" s="961" t="s">
        <v>245</v>
      </c>
      <c r="E580" s="961"/>
      <c r="F580" s="961"/>
      <c r="G580" s="954"/>
      <c r="H580" s="730" t="s">
        <v>46</v>
      </c>
      <c r="I580" s="944"/>
      <c r="J580" s="959">
        <v>0</v>
      </c>
      <c r="K580" s="945"/>
      <c r="L580" s="945"/>
      <c r="M580" s="945"/>
      <c r="N580" s="945"/>
      <c r="O580" s="945"/>
      <c r="P580" s="945"/>
      <c r="Q580" s="1244"/>
      <c r="R580" s="1244"/>
      <c r="S580" s="1244"/>
      <c r="T580" s="1244"/>
      <c r="U580" s="1244"/>
      <c r="V580" s="1244"/>
      <c r="W580" s="1244"/>
      <c r="X580" s="1244"/>
      <c r="Y580" s="1244"/>
      <c r="Z580" s="1244"/>
    </row>
    <row r="581" spans="1:26" ht="18.75">
      <c r="A581" s="1267"/>
      <c r="B581" s="1268"/>
      <c r="C581" s="1268"/>
      <c r="D581" s="1268"/>
      <c r="E581" s="961"/>
      <c r="F581" s="961"/>
      <c r="G581" s="954"/>
      <c r="H581" s="730" t="s">
        <v>34</v>
      </c>
      <c r="I581" s="944"/>
      <c r="J581" s="959">
        <v>0</v>
      </c>
      <c r="K581" s="945"/>
      <c r="L581" s="945"/>
      <c r="M581" s="945"/>
      <c r="N581" s="945"/>
      <c r="O581" s="945"/>
      <c r="P581" s="945"/>
      <c r="Q581" s="1244"/>
      <c r="R581" s="1244"/>
      <c r="S581" s="1244"/>
      <c r="T581" s="1244"/>
      <c r="U581" s="1244"/>
      <c r="V581" s="1244"/>
      <c r="W581" s="1244"/>
      <c r="X581" s="1244"/>
      <c r="Y581" s="1244"/>
      <c r="Z581" s="1244"/>
    </row>
    <row r="582" spans="1:26" ht="19.5">
      <c r="A582" s="1267"/>
      <c r="B582" s="1268"/>
      <c r="C582" s="1268"/>
      <c r="D582" s="961" t="s">
        <v>246</v>
      </c>
      <c r="E582" s="961"/>
      <c r="F582" s="961"/>
      <c r="G582" s="954"/>
      <c r="H582" s="730" t="s">
        <v>46</v>
      </c>
      <c r="I582" s="944"/>
      <c r="J582" s="966">
        <f t="shared" ref="J582:J583" si="252">J584+J586</f>
        <v>0</v>
      </c>
      <c r="K582" s="1109"/>
      <c r="L582" s="945"/>
      <c r="M582" s="945"/>
      <c r="N582" s="945"/>
      <c r="O582" s="945"/>
      <c r="P582" s="945"/>
      <c r="Q582" s="1244"/>
      <c r="R582" s="1244"/>
      <c r="S582" s="1244"/>
      <c r="T582" s="1244"/>
      <c r="U582" s="1244"/>
      <c r="V582" s="1244"/>
      <c r="W582" s="1244"/>
      <c r="X582" s="1244"/>
      <c r="Y582" s="1244"/>
      <c r="Z582" s="1244"/>
    </row>
    <row r="583" spans="1:26" ht="19.5">
      <c r="A583" s="1267"/>
      <c r="B583" s="1268"/>
      <c r="C583" s="1268"/>
      <c r="D583" s="1268"/>
      <c r="E583" s="961"/>
      <c r="F583" s="961"/>
      <c r="G583" s="954"/>
      <c r="H583" s="730" t="s">
        <v>34</v>
      </c>
      <c r="I583" s="944"/>
      <c r="J583" s="966">
        <f t="shared" si="252"/>
        <v>0</v>
      </c>
      <c r="K583" s="1109"/>
      <c r="L583" s="945"/>
      <c r="M583" s="945"/>
      <c r="N583" s="945"/>
      <c r="O583" s="945"/>
      <c r="P583" s="945"/>
      <c r="Q583" s="1244"/>
      <c r="R583" s="1244"/>
      <c r="S583" s="1244"/>
      <c r="T583" s="1244"/>
      <c r="U583" s="1244"/>
      <c r="V583" s="1244"/>
      <c r="W583" s="1244"/>
      <c r="X583" s="1244"/>
      <c r="Y583" s="1244"/>
      <c r="Z583" s="1244"/>
    </row>
    <row r="584" spans="1:26" ht="18.75">
      <c r="A584" s="1267"/>
      <c r="B584" s="1268"/>
      <c r="C584" s="1268"/>
      <c r="D584" s="1268"/>
      <c r="E584" s="961" t="s">
        <v>247</v>
      </c>
      <c r="F584" s="961"/>
      <c r="G584" s="954"/>
      <c r="H584" s="730" t="s">
        <v>46</v>
      </c>
      <c r="I584" s="944"/>
      <c r="J584" s="959">
        <v>0</v>
      </c>
      <c r="K584" s="945"/>
      <c r="L584" s="945"/>
      <c r="M584" s="945"/>
      <c r="N584" s="945"/>
      <c r="O584" s="945"/>
      <c r="P584" s="945"/>
      <c r="Q584" s="1244"/>
      <c r="R584" s="1244"/>
      <c r="S584" s="1244"/>
      <c r="T584" s="1244"/>
      <c r="U584" s="1244"/>
      <c r="V584" s="1244"/>
      <c r="W584" s="1244"/>
      <c r="X584" s="1244"/>
      <c r="Y584" s="1244"/>
      <c r="Z584" s="1244"/>
    </row>
    <row r="585" spans="1:26" ht="18.75">
      <c r="A585" s="1267"/>
      <c r="B585" s="1268"/>
      <c r="C585" s="1268"/>
      <c r="D585" s="1268"/>
      <c r="E585" s="961"/>
      <c r="F585" s="961"/>
      <c r="G585" s="954"/>
      <c r="H585" s="730" t="s">
        <v>34</v>
      </c>
      <c r="I585" s="944"/>
      <c r="J585" s="959">
        <v>0</v>
      </c>
      <c r="K585" s="945"/>
      <c r="L585" s="945"/>
      <c r="M585" s="945"/>
      <c r="N585" s="945"/>
      <c r="O585" s="945"/>
      <c r="P585" s="945"/>
      <c r="Q585" s="1244"/>
      <c r="R585" s="1244"/>
      <c r="S585" s="1244"/>
      <c r="T585" s="1244"/>
      <c r="U585" s="1244"/>
      <c r="V585" s="1244"/>
      <c r="W585" s="1244"/>
      <c r="X585" s="1244"/>
      <c r="Y585" s="1244"/>
      <c r="Z585" s="1244"/>
    </row>
    <row r="586" spans="1:26" ht="18.75">
      <c r="A586" s="1267"/>
      <c r="B586" s="1268"/>
      <c r="C586" s="1268"/>
      <c r="D586" s="1268"/>
      <c r="E586" s="961" t="s">
        <v>248</v>
      </c>
      <c r="F586" s="961"/>
      <c r="G586" s="954"/>
      <c r="H586" s="730" t="s">
        <v>46</v>
      </c>
      <c r="I586" s="944"/>
      <c r="J586" s="959">
        <v>0</v>
      </c>
      <c r="K586" s="945"/>
      <c r="L586" s="945"/>
      <c r="M586" s="945"/>
      <c r="N586" s="945"/>
      <c r="O586" s="945"/>
      <c r="P586" s="945"/>
      <c r="Q586" s="1244"/>
      <c r="R586" s="1244"/>
      <c r="S586" s="1244"/>
      <c r="T586" s="1244"/>
      <c r="U586" s="1244"/>
      <c r="V586" s="1244"/>
      <c r="W586" s="1244"/>
      <c r="X586" s="1244"/>
      <c r="Y586" s="1244"/>
      <c r="Z586" s="1244"/>
    </row>
    <row r="587" spans="1:26" ht="18.75">
      <c r="A587" s="1267"/>
      <c r="B587" s="1268"/>
      <c r="C587" s="1268"/>
      <c r="D587" s="1268"/>
      <c r="E587" s="1268"/>
      <c r="F587" s="961"/>
      <c r="G587" s="954"/>
      <c r="H587" s="730" t="s">
        <v>34</v>
      </c>
      <c r="I587" s="944"/>
      <c r="J587" s="959">
        <v>0</v>
      </c>
      <c r="K587" s="945"/>
      <c r="L587" s="945"/>
      <c r="M587" s="945"/>
      <c r="N587" s="945"/>
      <c r="O587" s="945"/>
      <c r="P587" s="945"/>
      <c r="Q587" s="1244"/>
      <c r="R587" s="1244"/>
      <c r="S587" s="1244"/>
      <c r="T587" s="1244"/>
      <c r="U587" s="1244"/>
      <c r="V587" s="1244"/>
      <c r="W587" s="1244"/>
      <c r="X587" s="1244"/>
      <c r="Y587" s="1244"/>
      <c r="Z587" s="1244"/>
    </row>
    <row r="588" spans="1:26" ht="18.75">
      <c r="A588" s="1267"/>
      <c r="B588" s="1268"/>
      <c r="C588" s="1268"/>
      <c r="D588" s="961" t="s">
        <v>249</v>
      </c>
      <c r="E588" s="961"/>
      <c r="F588" s="961"/>
      <c r="G588" s="954"/>
      <c r="H588" s="730" t="s">
        <v>46</v>
      </c>
      <c r="I588" s="944"/>
      <c r="J588" s="959">
        <v>0</v>
      </c>
      <c r="K588" s="945"/>
      <c r="L588" s="945"/>
      <c r="M588" s="945"/>
      <c r="N588" s="945"/>
      <c r="O588" s="945"/>
      <c r="P588" s="945"/>
      <c r="Q588" s="1244"/>
      <c r="R588" s="1244"/>
      <c r="S588" s="1244"/>
      <c r="T588" s="1244"/>
      <c r="U588" s="1244"/>
      <c r="V588" s="1244"/>
      <c r="W588" s="1244"/>
      <c r="X588" s="1244"/>
      <c r="Y588" s="1244"/>
      <c r="Z588" s="1244"/>
    </row>
    <row r="589" spans="1:26" ht="18.75">
      <c r="A589" s="1267"/>
      <c r="B589" s="1268"/>
      <c r="C589" s="1268"/>
      <c r="D589" s="1268"/>
      <c r="E589" s="1268"/>
      <c r="F589" s="961"/>
      <c r="G589" s="954"/>
      <c r="H589" s="730" t="s">
        <v>34</v>
      </c>
      <c r="I589" s="944"/>
      <c r="J589" s="959">
        <v>0</v>
      </c>
      <c r="K589" s="945"/>
      <c r="L589" s="945"/>
      <c r="M589" s="945"/>
      <c r="N589" s="945"/>
      <c r="O589" s="945"/>
      <c r="P589" s="945"/>
      <c r="Q589" s="1244"/>
      <c r="R589" s="1244"/>
      <c r="S589" s="1244"/>
      <c r="T589" s="1244"/>
      <c r="U589" s="1244"/>
      <c r="V589" s="1244"/>
      <c r="W589" s="1244"/>
      <c r="X589" s="1244"/>
      <c r="Y589" s="1244"/>
      <c r="Z589" s="1244"/>
    </row>
    <row r="590" spans="1:26" ht="18.75">
      <c r="A590" s="1267"/>
      <c r="B590" s="1268"/>
      <c r="C590" s="1268"/>
      <c r="D590" s="961" t="s">
        <v>250</v>
      </c>
      <c r="E590" s="961"/>
      <c r="F590" s="961"/>
      <c r="G590" s="954"/>
      <c r="H590" s="730" t="s">
        <v>46</v>
      </c>
      <c r="I590" s="944"/>
      <c r="J590" s="959">
        <v>0</v>
      </c>
      <c r="K590" s="945"/>
      <c r="L590" s="945"/>
      <c r="M590" s="945"/>
      <c r="N590" s="945"/>
      <c r="O590" s="945"/>
      <c r="P590" s="945"/>
      <c r="Q590" s="1244"/>
      <c r="R590" s="1244"/>
      <c r="S590" s="1244"/>
      <c r="T590" s="1244"/>
      <c r="U590" s="1244"/>
      <c r="V590" s="1244"/>
      <c r="W590" s="1244"/>
      <c r="X590" s="1244"/>
      <c r="Y590" s="1244"/>
      <c r="Z590" s="1244"/>
    </row>
    <row r="591" spans="1:26" ht="18.75">
      <c r="A591" s="1332"/>
      <c r="B591" s="1333"/>
      <c r="C591" s="1333"/>
      <c r="D591" s="1333"/>
      <c r="E591" s="1244"/>
      <c r="F591" s="1244"/>
      <c r="G591" s="1334"/>
      <c r="H591" s="665" t="s">
        <v>34</v>
      </c>
      <c r="I591" s="1335"/>
      <c r="J591" s="1336">
        <v>0</v>
      </c>
      <c r="K591" s="1337"/>
      <c r="L591" s="1337"/>
      <c r="M591" s="1337"/>
      <c r="N591" s="1337"/>
      <c r="O591" s="1337"/>
      <c r="P591" s="1337"/>
      <c r="Q591" s="1244"/>
      <c r="R591" s="1244"/>
      <c r="S591" s="1244"/>
      <c r="T591" s="1244"/>
      <c r="U591" s="1244"/>
      <c r="V591" s="1244"/>
      <c r="W591" s="1244"/>
      <c r="X591" s="1244"/>
      <c r="Y591" s="1244"/>
      <c r="Z591" s="1244"/>
    </row>
    <row r="592" spans="1:26" ht="19.5">
      <c r="A592" s="1329"/>
      <c r="B592" s="1330" t="s">
        <v>251</v>
      </c>
      <c r="C592" s="1331"/>
      <c r="D592" s="1331"/>
      <c r="E592" s="1315"/>
      <c r="F592" s="1315"/>
      <c r="G592" s="1316"/>
      <c r="H592" s="661" t="s">
        <v>46</v>
      </c>
      <c r="I592" s="1338">
        <f t="shared" ref="I592:J592" ca="1" si="253">I593</f>
        <v>6005.77</v>
      </c>
      <c r="J592" s="1317">
        <f t="shared" si="253"/>
        <v>304</v>
      </c>
      <c r="K592" s="1318">
        <f t="shared" ref="K592:K594" ca="1" si="254">IF(I592&gt;0,J592*100/I592,0)</f>
        <v>5.0617989033879081</v>
      </c>
      <c r="L592" s="1319"/>
      <c r="M592" s="1319"/>
      <c r="N592" s="1319"/>
      <c r="O592" s="1319"/>
      <c r="P592" s="1319"/>
      <c r="Q592" s="1244"/>
      <c r="R592" s="1244"/>
      <c r="S592" s="1244"/>
      <c r="T592" s="1244"/>
      <c r="U592" s="1244"/>
      <c r="V592" s="1244"/>
      <c r="W592" s="1244"/>
      <c r="X592" s="1244"/>
      <c r="Y592" s="1244"/>
      <c r="Z592" s="1244"/>
    </row>
    <row r="593" spans="1:26" ht="19.5">
      <c r="A593" s="1267"/>
      <c r="B593" s="1268"/>
      <c r="C593" s="1277" t="s">
        <v>252</v>
      </c>
      <c r="D593" s="1268"/>
      <c r="E593" s="1268"/>
      <c r="F593" s="961"/>
      <c r="G593" s="954"/>
      <c r="H593" s="733" t="s">
        <v>46</v>
      </c>
      <c r="I593" s="1339">
        <f ca="1">IFERROR(__xludf.DUMMYFUNCTION("IMPORTRANGE(""https://docs.google.com/spreadsheets/d/1QqKyyYR6Q21VydFLVH3TRQUabQu_ym0Zz7PgGX0-kHA/edit?usp=sharing"",""แผน!HJ30"")"),6005.77)</f>
        <v>6005.77</v>
      </c>
      <c r="J593" s="965">
        <f t="shared" ref="J593:J594" si="255">J595+J603+J609</f>
        <v>304</v>
      </c>
      <c r="K593" s="1109">
        <f t="shared" ca="1" si="254"/>
        <v>5.0617989033879081</v>
      </c>
      <c r="L593" s="945"/>
      <c r="M593" s="945"/>
      <c r="N593" s="945"/>
      <c r="O593" s="945"/>
      <c r="P593" s="945"/>
      <c r="Q593" s="1244"/>
      <c r="R593" s="1244"/>
      <c r="S593" s="1244"/>
      <c r="T593" s="1244"/>
      <c r="U593" s="1244"/>
      <c r="V593" s="1244"/>
      <c r="W593" s="1244"/>
      <c r="X593" s="1244"/>
      <c r="Y593" s="1244"/>
      <c r="Z593" s="1244"/>
    </row>
    <row r="594" spans="1:26" ht="19.5">
      <c r="A594" s="1267"/>
      <c r="B594" s="1268"/>
      <c r="C594" s="1268"/>
      <c r="D594" s="1268"/>
      <c r="E594" s="961"/>
      <c r="F594" s="961"/>
      <c r="G594" s="954"/>
      <c r="H594" s="733" t="s">
        <v>34</v>
      </c>
      <c r="I594" s="965">
        <f ca="1">IFERROR(__xludf.DUMMYFUNCTION("IMPORTRANGE(""https://docs.google.com/spreadsheets/d/1QqKyyYR6Q21VydFLVH3TRQUabQu_ym0Zz7PgGX0-kHA/edit?usp=sharing"",""แผน!HI30"")"),358)</f>
        <v>358</v>
      </c>
      <c r="J594" s="965">
        <f t="shared" si="255"/>
        <v>13</v>
      </c>
      <c r="K594" s="1109">
        <f t="shared" ca="1" si="254"/>
        <v>3.6312849162011172</v>
      </c>
      <c r="L594" s="945"/>
      <c r="M594" s="945"/>
      <c r="N594" s="945"/>
      <c r="O594" s="945"/>
      <c r="P594" s="945"/>
      <c r="Q594" s="1244"/>
      <c r="R594" s="1244"/>
      <c r="S594" s="1244"/>
      <c r="T594" s="1244"/>
      <c r="U594" s="1244"/>
      <c r="V594" s="1244"/>
      <c r="W594" s="1244"/>
      <c r="X594" s="1244"/>
      <c r="Y594" s="1244"/>
      <c r="Z594" s="1244"/>
    </row>
    <row r="595" spans="1:26" ht="18.75">
      <c r="A595" s="1267"/>
      <c r="B595" s="1268"/>
      <c r="C595" s="1268" t="s">
        <v>253</v>
      </c>
      <c r="D595" s="1268"/>
      <c r="E595" s="1268"/>
      <c r="F595" s="961"/>
      <c r="G595" s="954"/>
      <c r="H595" s="730" t="s">
        <v>46</v>
      </c>
      <c r="I595" s="944"/>
      <c r="J595" s="944">
        <f t="shared" ref="J595:J596" si="256">J597+J599</f>
        <v>262</v>
      </c>
      <c r="K595" s="945"/>
      <c r="L595" s="945"/>
      <c r="M595" s="945"/>
      <c r="N595" s="945"/>
      <c r="O595" s="945"/>
      <c r="P595" s="945"/>
      <c r="Q595" s="1244"/>
      <c r="R595" s="1244"/>
      <c r="S595" s="1244"/>
      <c r="T595" s="1244"/>
      <c r="U595" s="1244"/>
      <c r="V595" s="1244"/>
      <c r="W595" s="1244"/>
      <c r="X595" s="1244"/>
      <c r="Y595" s="1244"/>
      <c r="Z595" s="1244"/>
    </row>
    <row r="596" spans="1:26" ht="18.75">
      <c r="A596" s="1267"/>
      <c r="B596" s="1268"/>
      <c r="C596" s="1268"/>
      <c r="D596" s="1268"/>
      <c r="E596" s="961"/>
      <c r="F596" s="961"/>
      <c r="G596" s="954"/>
      <c r="H596" s="730" t="s">
        <v>34</v>
      </c>
      <c r="I596" s="944"/>
      <c r="J596" s="944">
        <f t="shared" si="256"/>
        <v>11</v>
      </c>
      <c r="K596" s="945"/>
      <c r="L596" s="945"/>
      <c r="M596" s="945"/>
      <c r="N596" s="945"/>
      <c r="O596" s="945"/>
      <c r="P596" s="945"/>
      <c r="Q596" s="1244"/>
      <c r="R596" s="1244"/>
      <c r="S596" s="1244"/>
      <c r="T596" s="1244"/>
      <c r="U596" s="1244"/>
      <c r="V596" s="1244"/>
      <c r="W596" s="1244"/>
      <c r="X596" s="1244"/>
      <c r="Y596" s="1244"/>
      <c r="Z596" s="1244"/>
    </row>
    <row r="597" spans="1:26" ht="18.75">
      <c r="A597" s="1267"/>
      <c r="B597" s="1268"/>
      <c r="C597" s="1268"/>
      <c r="D597" s="1017" t="s">
        <v>254</v>
      </c>
      <c r="E597" s="961"/>
      <c r="F597" s="961"/>
      <c r="G597" s="954"/>
      <c r="H597" s="730" t="s">
        <v>46</v>
      </c>
      <c r="I597" s="944"/>
      <c r="J597" s="959">
        <v>262</v>
      </c>
      <c r="K597" s="945"/>
      <c r="L597" s="945"/>
      <c r="M597" s="945"/>
      <c r="N597" s="945"/>
      <c r="O597" s="945"/>
      <c r="P597" s="945"/>
      <c r="Q597" s="1244"/>
      <c r="R597" s="1244"/>
      <c r="S597" s="1244"/>
      <c r="T597" s="1244"/>
      <c r="U597" s="1244"/>
      <c r="V597" s="1244"/>
      <c r="W597" s="1244"/>
      <c r="X597" s="1244"/>
      <c r="Y597" s="1244"/>
      <c r="Z597" s="1244"/>
    </row>
    <row r="598" spans="1:26" ht="18.75">
      <c r="A598" s="1267"/>
      <c r="B598" s="1268"/>
      <c r="C598" s="1268"/>
      <c r="D598" s="1268"/>
      <c r="E598" s="961"/>
      <c r="F598" s="961"/>
      <c r="G598" s="954"/>
      <c r="H598" s="730" t="s">
        <v>34</v>
      </c>
      <c r="I598" s="830"/>
      <c r="J598" s="959">
        <v>11</v>
      </c>
      <c r="K598" s="945"/>
      <c r="L598" s="945"/>
      <c r="M598" s="945"/>
      <c r="N598" s="945"/>
      <c r="O598" s="945"/>
      <c r="P598" s="945"/>
      <c r="Q598" s="1244"/>
      <c r="R598" s="1244"/>
      <c r="S598" s="1244"/>
      <c r="T598" s="1244"/>
      <c r="U598" s="1244"/>
      <c r="V598" s="1244"/>
      <c r="W598" s="1244"/>
      <c r="X598" s="1244"/>
      <c r="Y598" s="1244"/>
      <c r="Z598" s="1244"/>
    </row>
    <row r="599" spans="1:26" ht="18.75">
      <c r="A599" s="1267"/>
      <c r="B599" s="1268"/>
      <c r="C599" s="1268"/>
      <c r="D599" s="1017" t="s">
        <v>255</v>
      </c>
      <c r="E599" s="961"/>
      <c r="F599" s="961"/>
      <c r="G599" s="954"/>
      <c r="H599" s="730" t="s">
        <v>46</v>
      </c>
      <c r="I599" s="830"/>
      <c r="J599" s="959">
        <v>0</v>
      </c>
      <c r="K599" s="945"/>
      <c r="L599" s="945"/>
      <c r="M599" s="945"/>
      <c r="N599" s="945"/>
      <c r="O599" s="945"/>
      <c r="P599" s="945"/>
      <c r="Q599" s="1244"/>
      <c r="R599" s="1244"/>
      <c r="S599" s="1244"/>
      <c r="T599" s="1244"/>
      <c r="U599" s="1244"/>
      <c r="V599" s="1244"/>
      <c r="W599" s="1244"/>
      <c r="X599" s="1244"/>
      <c r="Y599" s="1244"/>
      <c r="Z599" s="1244"/>
    </row>
    <row r="600" spans="1:26" ht="18.75">
      <c r="A600" s="1267"/>
      <c r="B600" s="1268"/>
      <c r="C600" s="1268"/>
      <c r="D600" s="1268"/>
      <c r="E600" s="961"/>
      <c r="F600" s="961"/>
      <c r="G600" s="954"/>
      <c r="H600" s="730" t="s">
        <v>34</v>
      </c>
      <c r="I600" s="830"/>
      <c r="J600" s="959">
        <v>0</v>
      </c>
      <c r="K600" s="945"/>
      <c r="L600" s="945"/>
      <c r="M600" s="945"/>
      <c r="N600" s="945"/>
      <c r="O600" s="945"/>
      <c r="P600" s="945"/>
      <c r="Q600" s="1244"/>
      <c r="R600" s="1244"/>
      <c r="S600" s="1244"/>
      <c r="T600" s="1244"/>
      <c r="U600" s="1244"/>
      <c r="V600" s="1244"/>
      <c r="W600" s="1244"/>
      <c r="X600" s="1244"/>
      <c r="Y600" s="1244"/>
      <c r="Z600" s="1244"/>
    </row>
    <row r="601" spans="1:26" ht="18.75">
      <c r="A601" s="1267"/>
      <c r="B601" s="1268"/>
      <c r="C601" s="1268"/>
      <c r="D601" s="1017" t="s">
        <v>256</v>
      </c>
      <c r="E601" s="961"/>
      <c r="F601" s="961"/>
      <c r="G601" s="954"/>
      <c r="H601" s="730" t="s">
        <v>46</v>
      </c>
      <c r="I601" s="830"/>
      <c r="J601" s="959">
        <v>0</v>
      </c>
      <c r="K601" s="945"/>
      <c r="L601" s="945"/>
      <c r="M601" s="945"/>
      <c r="N601" s="945"/>
      <c r="O601" s="945"/>
      <c r="P601" s="945"/>
      <c r="Q601" s="1244"/>
      <c r="R601" s="1244"/>
      <c r="S601" s="1244"/>
      <c r="T601" s="1244"/>
      <c r="U601" s="1244"/>
      <c r="V601" s="1244"/>
      <c r="W601" s="1244"/>
      <c r="X601" s="1244"/>
      <c r="Y601" s="1244"/>
      <c r="Z601" s="1244"/>
    </row>
    <row r="602" spans="1:26" ht="18.75">
      <c r="A602" s="1267"/>
      <c r="B602" s="1268"/>
      <c r="C602" s="1268"/>
      <c r="D602" s="1268"/>
      <c r="E602" s="961"/>
      <c r="F602" s="961"/>
      <c r="G602" s="954"/>
      <c r="H602" s="730" t="s">
        <v>34</v>
      </c>
      <c r="I602" s="830"/>
      <c r="J602" s="959">
        <v>0</v>
      </c>
      <c r="K602" s="945"/>
      <c r="L602" s="945"/>
      <c r="M602" s="945"/>
      <c r="N602" s="945"/>
      <c r="O602" s="945"/>
      <c r="P602" s="945"/>
      <c r="Q602" s="1244"/>
      <c r="R602" s="1244"/>
      <c r="S602" s="1244"/>
      <c r="T602" s="1244"/>
      <c r="U602" s="1244"/>
      <c r="V602" s="1244"/>
      <c r="W602" s="1244"/>
      <c r="X602" s="1244"/>
      <c r="Y602" s="1244"/>
      <c r="Z602" s="1244"/>
    </row>
    <row r="603" spans="1:26" ht="18.75">
      <c r="A603" s="1267"/>
      <c r="B603" s="1268"/>
      <c r="C603" s="1340" t="s">
        <v>257</v>
      </c>
      <c r="D603" s="1268"/>
      <c r="E603" s="1268"/>
      <c r="F603" s="961"/>
      <c r="G603" s="954"/>
      <c r="H603" s="730" t="s">
        <v>46</v>
      </c>
      <c r="I603" s="830"/>
      <c r="J603" s="830">
        <f t="shared" ref="J603:J604" si="257">J605+J607</f>
        <v>42</v>
      </c>
      <c r="K603" s="945"/>
      <c r="L603" s="945"/>
      <c r="M603" s="945"/>
      <c r="N603" s="945"/>
      <c r="O603" s="945"/>
      <c r="P603" s="945"/>
      <c r="Q603" s="1244"/>
      <c r="R603" s="1244"/>
      <c r="S603" s="1244"/>
      <c r="T603" s="1244"/>
      <c r="U603" s="1244"/>
      <c r="V603" s="1244"/>
      <c r="W603" s="1244"/>
      <c r="X603" s="1244"/>
      <c r="Y603" s="1244"/>
      <c r="Z603" s="1244"/>
    </row>
    <row r="604" spans="1:26" ht="18.75">
      <c r="A604" s="1267"/>
      <c r="B604" s="1268"/>
      <c r="C604" s="1268"/>
      <c r="D604" s="1268"/>
      <c r="E604" s="961"/>
      <c r="F604" s="961"/>
      <c r="G604" s="954"/>
      <c r="H604" s="730" t="s">
        <v>34</v>
      </c>
      <c r="I604" s="830"/>
      <c r="J604" s="830">
        <f t="shared" si="257"/>
        <v>2</v>
      </c>
      <c r="K604" s="945"/>
      <c r="L604" s="945"/>
      <c r="M604" s="945"/>
      <c r="N604" s="945"/>
      <c r="O604" s="945"/>
      <c r="P604" s="945"/>
      <c r="Q604" s="1244"/>
      <c r="R604" s="1244"/>
      <c r="S604" s="1244"/>
      <c r="T604" s="1244"/>
      <c r="U604" s="1244"/>
      <c r="V604" s="1244"/>
      <c r="W604" s="1244"/>
      <c r="X604" s="1244"/>
      <c r="Y604" s="1244"/>
      <c r="Z604" s="1244"/>
    </row>
    <row r="605" spans="1:26" ht="18.75">
      <c r="A605" s="1267"/>
      <c r="B605" s="1268"/>
      <c r="C605" s="1268"/>
      <c r="D605" s="1340" t="s">
        <v>258</v>
      </c>
      <c r="E605" s="961"/>
      <c r="F605" s="961"/>
      <c r="G605" s="954"/>
      <c r="H605" s="730" t="s">
        <v>46</v>
      </c>
      <c r="I605" s="830"/>
      <c r="J605" s="959">
        <v>24</v>
      </c>
      <c r="K605" s="945"/>
      <c r="L605" s="945"/>
      <c r="M605" s="945"/>
      <c r="N605" s="945"/>
      <c r="O605" s="945"/>
      <c r="P605" s="945"/>
      <c r="Q605" s="1244"/>
      <c r="R605" s="1244"/>
      <c r="S605" s="1244"/>
      <c r="T605" s="1244"/>
      <c r="U605" s="1244"/>
      <c r="V605" s="1244"/>
      <c r="W605" s="1244"/>
      <c r="X605" s="1244"/>
      <c r="Y605" s="1244"/>
      <c r="Z605" s="1244"/>
    </row>
    <row r="606" spans="1:26" ht="18.75">
      <c r="A606" s="1267"/>
      <c r="B606" s="1268"/>
      <c r="C606" s="1268"/>
      <c r="D606" s="1268"/>
      <c r="E606" s="1268"/>
      <c r="F606" s="961"/>
      <c r="G606" s="954"/>
      <c r="H606" s="730" t="s">
        <v>34</v>
      </c>
      <c r="I606" s="830"/>
      <c r="J606" s="959">
        <v>1</v>
      </c>
      <c r="K606" s="945"/>
      <c r="L606" s="945"/>
      <c r="M606" s="945"/>
      <c r="N606" s="945"/>
      <c r="O606" s="945"/>
      <c r="P606" s="945"/>
      <c r="Q606" s="1244"/>
      <c r="R606" s="1244"/>
      <c r="S606" s="1244"/>
      <c r="T606" s="1244"/>
      <c r="U606" s="1244"/>
      <c r="V606" s="1244"/>
      <c r="W606" s="1244"/>
      <c r="X606" s="1244"/>
      <c r="Y606" s="1244"/>
      <c r="Z606" s="1244"/>
    </row>
    <row r="607" spans="1:26" ht="18.75">
      <c r="A607" s="1267"/>
      <c r="B607" s="1268"/>
      <c r="C607" s="1268"/>
      <c r="D607" s="1340" t="s">
        <v>259</v>
      </c>
      <c r="E607" s="1268"/>
      <c r="F607" s="961"/>
      <c r="G607" s="954"/>
      <c r="H607" s="730" t="s">
        <v>46</v>
      </c>
      <c r="I607" s="830"/>
      <c r="J607" s="959">
        <v>18</v>
      </c>
      <c r="K607" s="945"/>
      <c r="L607" s="945"/>
      <c r="M607" s="945"/>
      <c r="N607" s="945"/>
      <c r="O607" s="945"/>
      <c r="P607" s="945"/>
      <c r="Q607" s="1244"/>
      <c r="R607" s="1244"/>
      <c r="S607" s="1244"/>
      <c r="T607" s="1244"/>
      <c r="U607" s="1244"/>
      <c r="V607" s="1244"/>
      <c r="W607" s="1244"/>
      <c r="X607" s="1244"/>
      <c r="Y607" s="1244"/>
      <c r="Z607" s="1244"/>
    </row>
    <row r="608" spans="1:26" ht="18.75">
      <c r="A608" s="1267"/>
      <c r="B608" s="1268"/>
      <c r="C608" s="1268"/>
      <c r="D608" s="1268"/>
      <c r="E608" s="961"/>
      <c r="F608" s="961"/>
      <c r="G608" s="954"/>
      <c r="H608" s="730" t="s">
        <v>34</v>
      </c>
      <c r="I608" s="830"/>
      <c r="J608" s="959">
        <v>1</v>
      </c>
      <c r="K608" s="945"/>
      <c r="L608" s="945"/>
      <c r="M608" s="945"/>
      <c r="N608" s="945"/>
      <c r="O608" s="945"/>
      <c r="P608" s="945"/>
      <c r="Q608" s="1244"/>
      <c r="R608" s="1244"/>
      <c r="S608" s="1244"/>
      <c r="T608" s="1244"/>
      <c r="U608" s="1244"/>
      <c r="V608" s="1244"/>
      <c r="W608" s="1244"/>
      <c r="X608" s="1244"/>
      <c r="Y608" s="1244"/>
      <c r="Z608" s="1244"/>
    </row>
    <row r="609" spans="1:26" ht="18.75">
      <c r="A609" s="1267"/>
      <c r="B609" s="1268"/>
      <c r="C609" s="1268" t="s">
        <v>260</v>
      </c>
      <c r="D609" s="1268"/>
      <c r="E609" s="1268"/>
      <c r="F609" s="961"/>
      <c r="G609" s="954"/>
      <c r="H609" s="730" t="s">
        <v>46</v>
      </c>
      <c r="I609" s="830"/>
      <c r="J609" s="959">
        <v>0</v>
      </c>
      <c r="K609" s="945"/>
      <c r="L609" s="945"/>
      <c r="M609" s="945"/>
      <c r="N609" s="945"/>
      <c r="O609" s="945"/>
      <c r="P609" s="945"/>
      <c r="Q609" s="1244"/>
      <c r="R609" s="1244"/>
      <c r="S609" s="1244"/>
      <c r="T609" s="1244"/>
      <c r="U609" s="1244"/>
      <c r="V609" s="1244"/>
      <c r="W609" s="1244"/>
      <c r="X609" s="1244"/>
      <c r="Y609" s="1244"/>
      <c r="Z609" s="1244"/>
    </row>
    <row r="610" spans="1:26" ht="18.75">
      <c r="A610" s="1267"/>
      <c r="B610" s="1268"/>
      <c r="C610" s="1268"/>
      <c r="D610" s="1268"/>
      <c r="E610" s="961"/>
      <c r="F610" s="961"/>
      <c r="G610" s="954"/>
      <c r="H610" s="730" t="s">
        <v>34</v>
      </c>
      <c r="I610" s="830"/>
      <c r="J610" s="959">
        <v>0</v>
      </c>
      <c r="K610" s="945"/>
      <c r="L610" s="945"/>
      <c r="M610" s="945"/>
      <c r="N610" s="945"/>
      <c r="O610" s="945"/>
      <c r="P610" s="945"/>
      <c r="Q610" s="1244"/>
      <c r="R610" s="1244"/>
      <c r="S610" s="1244"/>
      <c r="T610" s="1244"/>
      <c r="U610" s="1244"/>
      <c r="V610" s="1244"/>
      <c r="W610" s="1244"/>
      <c r="X610" s="1244"/>
      <c r="Y610" s="1244"/>
      <c r="Z610" s="1244"/>
    </row>
    <row r="611" spans="1:26" ht="19.5">
      <c r="A611" s="1329"/>
      <c r="B611" s="1341" t="s">
        <v>261</v>
      </c>
      <c r="C611" s="1331"/>
      <c r="D611" s="1331"/>
      <c r="E611" s="1315"/>
      <c r="F611" s="1315"/>
      <c r="G611" s="1316"/>
      <c r="H611" s="673" t="s">
        <v>46</v>
      </c>
      <c r="I611" s="1317">
        <v>0</v>
      </c>
      <c r="J611" s="1317">
        <f>J614+J616</f>
        <v>0</v>
      </c>
      <c r="K611" s="1318">
        <f t="shared" ref="K611:K613" si="258">IF(I611&gt;0,J611*100/I611,0)</f>
        <v>0</v>
      </c>
      <c r="L611" s="1319"/>
      <c r="M611" s="1319"/>
      <c r="N611" s="1319"/>
      <c r="O611" s="1319"/>
      <c r="P611" s="1319"/>
      <c r="Q611" s="1244"/>
      <c r="R611" s="1244"/>
      <c r="S611" s="1244"/>
      <c r="T611" s="1244"/>
      <c r="U611" s="1244"/>
      <c r="V611" s="1244"/>
      <c r="W611" s="1244"/>
      <c r="X611" s="1244"/>
      <c r="Y611" s="1244"/>
      <c r="Z611" s="1244"/>
    </row>
    <row r="612" spans="1:26" ht="19.5" hidden="1">
      <c r="A612" s="1342"/>
      <c r="B612" s="1343"/>
      <c r="C612" s="1344" t="s">
        <v>262</v>
      </c>
      <c r="D612" s="1343"/>
      <c r="E612" s="1343"/>
      <c r="F612" s="1345"/>
      <c r="G612" s="1346"/>
      <c r="H612" s="680" t="s">
        <v>46</v>
      </c>
      <c r="I612" s="1347">
        <v>0</v>
      </c>
      <c r="J612" s="1347">
        <f t="shared" ref="J612:J613" si="259">J614+J616</f>
        <v>0</v>
      </c>
      <c r="K612" s="1348">
        <f t="shared" si="258"/>
        <v>0</v>
      </c>
      <c r="L612" s="1349"/>
      <c r="M612" s="1349"/>
      <c r="N612" s="1349"/>
      <c r="O612" s="1349"/>
      <c r="P612" s="1349"/>
      <c r="Q612" s="1264"/>
      <c r="R612" s="1264"/>
      <c r="S612" s="1264"/>
      <c r="T612" s="1264"/>
      <c r="U612" s="1264"/>
      <c r="V612" s="1264"/>
      <c r="W612" s="1264"/>
      <c r="X612" s="1264"/>
      <c r="Y612" s="1264"/>
      <c r="Z612" s="1264"/>
    </row>
    <row r="613" spans="1:26" ht="19.5" hidden="1">
      <c r="A613" s="1342"/>
      <c r="B613" s="1343"/>
      <c r="C613" s="1343" t="s">
        <v>263</v>
      </c>
      <c r="D613" s="1343"/>
      <c r="E613" s="1343"/>
      <c r="F613" s="1345"/>
      <c r="G613" s="1346"/>
      <c r="H613" s="680" t="s">
        <v>34</v>
      </c>
      <c r="I613" s="1347">
        <v>0</v>
      </c>
      <c r="J613" s="1347">
        <f t="shared" si="259"/>
        <v>0</v>
      </c>
      <c r="K613" s="1348">
        <f t="shared" si="258"/>
        <v>0</v>
      </c>
      <c r="L613" s="1349"/>
      <c r="M613" s="1349"/>
      <c r="N613" s="1349"/>
      <c r="O613" s="1349"/>
      <c r="P613" s="1349"/>
      <c r="Q613" s="1264"/>
      <c r="R613" s="1264"/>
      <c r="S613" s="1264"/>
      <c r="T613" s="1264"/>
      <c r="U613" s="1264"/>
      <c r="V613" s="1264"/>
      <c r="W613" s="1264"/>
      <c r="X613" s="1264"/>
      <c r="Y613" s="1264"/>
      <c r="Z613" s="1264"/>
    </row>
    <row r="614" spans="1:26" ht="18.75" hidden="1">
      <c r="A614" s="1273"/>
      <c r="B614" s="1274"/>
      <c r="C614" s="1274"/>
      <c r="D614" s="1262" t="s">
        <v>264</v>
      </c>
      <c r="E614" s="1274"/>
      <c r="F614" s="1262"/>
      <c r="G614" s="1060"/>
      <c r="H614" s="583" t="s">
        <v>46</v>
      </c>
      <c r="I614" s="836"/>
      <c r="J614" s="836">
        <v>0</v>
      </c>
      <c r="K614" s="948"/>
      <c r="L614" s="948"/>
      <c r="M614" s="948"/>
      <c r="N614" s="948"/>
      <c r="O614" s="948"/>
      <c r="P614" s="948"/>
      <c r="Q614" s="1264"/>
      <c r="R614" s="1264"/>
      <c r="S614" s="1264"/>
      <c r="T614" s="1264"/>
      <c r="U614" s="1264"/>
      <c r="V614" s="1264"/>
      <c r="W614" s="1264"/>
      <c r="X614" s="1264"/>
      <c r="Y614" s="1264"/>
      <c r="Z614" s="1264"/>
    </row>
    <row r="615" spans="1:26" ht="18.75" hidden="1">
      <c r="A615" s="1273"/>
      <c r="B615" s="1274"/>
      <c r="C615" s="1274"/>
      <c r="D615" s="1274"/>
      <c r="E615" s="1274"/>
      <c r="F615" s="1262"/>
      <c r="G615" s="1060"/>
      <c r="H615" s="583" t="s">
        <v>34</v>
      </c>
      <c r="I615" s="836"/>
      <c r="J615" s="836">
        <v>0</v>
      </c>
      <c r="K615" s="948"/>
      <c r="L615" s="948"/>
      <c r="M615" s="948"/>
      <c r="N615" s="948"/>
      <c r="O615" s="948"/>
      <c r="P615" s="948"/>
      <c r="Q615" s="1264"/>
      <c r="R615" s="1264"/>
      <c r="S615" s="1264"/>
      <c r="T615" s="1264"/>
      <c r="U615" s="1264"/>
      <c r="V615" s="1264"/>
      <c r="W615" s="1264"/>
      <c r="X615" s="1264"/>
      <c r="Y615" s="1264"/>
      <c r="Z615" s="1264"/>
    </row>
    <row r="616" spans="1:26" ht="18.75" hidden="1">
      <c r="A616" s="1273"/>
      <c r="B616" s="1274"/>
      <c r="C616" s="1274"/>
      <c r="D616" s="1350" t="s">
        <v>264</v>
      </c>
      <c r="E616" s="1262"/>
      <c r="F616" s="1262"/>
      <c r="G616" s="1060"/>
      <c r="H616" s="583" t="s">
        <v>46</v>
      </c>
      <c r="I616" s="836"/>
      <c r="J616" s="836">
        <v>0</v>
      </c>
      <c r="K616" s="948"/>
      <c r="L616" s="948"/>
      <c r="M616" s="948"/>
      <c r="N616" s="948"/>
      <c r="O616" s="948"/>
      <c r="P616" s="948"/>
      <c r="Q616" s="1264"/>
      <c r="R616" s="1264"/>
      <c r="S616" s="1264"/>
      <c r="T616" s="1264"/>
      <c r="U616" s="1264"/>
      <c r="V616" s="1264"/>
      <c r="W616" s="1264"/>
      <c r="X616" s="1264"/>
      <c r="Y616" s="1264"/>
      <c r="Z616" s="1264"/>
    </row>
    <row r="617" spans="1:26" ht="18.75" hidden="1">
      <c r="A617" s="1273"/>
      <c r="B617" s="1274"/>
      <c r="C617" s="1274"/>
      <c r="D617" s="1274"/>
      <c r="E617" s="1262"/>
      <c r="F617" s="1262"/>
      <c r="G617" s="1060"/>
      <c r="H617" s="583" t="s">
        <v>34</v>
      </c>
      <c r="I617" s="836"/>
      <c r="J617" s="836">
        <v>0</v>
      </c>
      <c r="K617" s="948"/>
      <c r="L617" s="948"/>
      <c r="M617" s="948"/>
      <c r="N617" s="948"/>
      <c r="O617" s="948"/>
      <c r="P617" s="948"/>
      <c r="Q617" s="1264"/>
      <c r="R617" s="1264"/>
      <c r="S617" s="1264"/>
      <c r="T617" s="1264"/>
      <c r="U617" s="1264"/>
      <c r="V617" s="1264"/>
      <c r="W617" s="1264"/>
      <c r="X617" s="1264"/>
      <c r="Y617" s="1264"/>
      <c r="Z617" s="1264"/>
    </row>
    <row r="618" spans="1:26" ht="18.75" hidden="1">
      <c r="A618" s="1273"/>
      <c r="B618" s="1274"/>
      <c r="C618" s="1274"/>
      <c r="D618" s="1350" t="s">
        <v>265</v>
      </c>
      <c r="E618" s="1262"/>
      <c r="F618" s="1262"/>
      <c r="G618" s="1060"/>
      <c r="H618" s="583" t="s">
        <v>46</v>
      </c>
      <c r="I618" s="836"/>
      <c r="J618" s="836">
        <v>0</v>
      </c>
      <c r="K618" s="948"/>
      <c r="L618" s="948"/>
      <c r="M618" s="948"/>
      <c r="N618" s="948"/>
      <c r="O618" s="948"/>
      <c r="P618" s="948"/>
      <c r="Q618" s="1264"/>
      <c r="R618" s="1264"/>
      <c r="S618" s="1264"/>
      <c r="T618" s="1264"/>
      <c r="U618" s="1264"/>
      <c r="V618" s="1264"/>
      <c r="W618" s="1264"/>
      <c r="X618" s="1264"/>
      <c r="Y618" s="1264"/>
      <c r="Z618" s="1264"/>
    </row>
    <row r="619" spans="1:26" ht="18.75" hidden="1">
      <c r="A619" s="1273"/>
      <c r="B619" s="1274"/>
      <c r="C619" s="1274"/>
      <c r="D619" s="1274"/>
      <c r="E619" s="1262"/>
      <c r="F619" s="1262"/>
      <c r="G619" s="1060"/>
      <c r="H619" s="583" t="s">
        <v>34</v>
      </c>
      <c r="I619" s="836"/>
      <c r="J619" s="836">
        <v>0</v>
      </c>
      <c r="K619" s="948"/>
      <c r="L619" s="948"/>
      <c r="M619" s="948"/>
      <c r="N619" s="948"/>
      <c r="O619" s="948"/>
      <c r="P619" s="948"/>
      <c r="Q619" s="1264"/>
      <c r="R619" s="1264"/>
      <c r="S619" s="1264"/>
      <c r="T619" s="1264"/>
      <c r="U619" s="1264"/>
      <c r="V619" s="1264"/>
      <c r="W619" s="1264"/>
      <c r="X619" s="1264"/>
      <c r="Y619" s="1264"/>
      <c r="Z619" s="1264"/>
    </row>
    <row r="620" spans="1:26" ht="19.5">
      <c r="A620" s="1351"/>
      <c r="B620" s="1352"/>
      <c r="C620" s="1353" t="s">
        <v>266</v>
      </c>
      <c r="D620" s="1352"/>
      <c r="E620" s="1352"/>
      <c r="F620" s="1354"/>
      <c r="G620" s="1355"/>
      <c r="H620" s="693" t="s">
        <v>46</v>
      </c>
      <c r="I620" s="1356">
        <f ca="1">IFERROR(__xludf.DUMMYFUNCTION("IMPORTRANGE(""https://docs.google.com/spreadsheets/d/1QqKyyYR6Q21VydFLVH3TRQUabQu_ym0Zz7PgGX0-kHA/edit?usp=sharing"",""แผน!HL30"")"),369)</f>
        <v>369</v>
      </c>
      <c r="J620" s="1356">
        <f t="shared" ref="J620:J621" si="260">J622+J624+J626</f>
        <v>0</v>
      </c>
      <c r="K620" s="1357">
        <f t="shared" ref="K620:K621" ca="1" si="261">IF(I620&gt;0,J620*100/I620,0)</f>
        <v>0</v>
      </c>
      <c r="L620" s="1358"/>
      <c r="M620" s="1358"/>
      <c r="N620" s="1358"/>
      <c r="O620" s="1358"/>
      <c r="P620" s="1358"/>
      <c r="Q620" s="1244"/>
      <c r="R620" s="1244"/>
      <c r="S620" s="1244"/>
      <c r="T620" s="1244"/>
      <c r="U620" s="1244"/>
      <c r="V620" s="1244"/>
      <c r="W620" s="1244"/>
      <c r="X620" s="1244"/>
      <c r="Y620" s="1244"/>
      <c r="Z620" s="1244"/>
    </row>
    <row r="621" spans="1:26" ht="19.5">
      <c r="A621" s="1351"/>
      <c r="B621" s="1352"/>
      <c r="C621" s="1352" t="s">
        <v>267</v>
      </c>
      <c r="D621" s="1352"/>
      <c r="E621" s="1352"/>
      <c r="F621" s="1354"/>
      <c r="G621" s="1355"/>
      <c r="H621" s="693" t="s">
        <v>34</v>
      </c>
      <c r="I621" s="1356">
        <f ca="1">IFERROR(__xludf.DUMMYFUNCTION("IMPORTRANGE(""https://docs.google.com/spreadsheets/d/1QqKyyYR6Q21VydFLVH3TRQUabQu_ym0Zz7PgGX0-kHA/edit?usp=sharing"",""แผน!HK30"")"),11)</f>
        <v>11</v>
      </c>
      <c r="J621" s="1356">
        <f t="shared" si="260"/>
        <v>0</v>
      </c>
      <c r="K621" s="1357">
        <f t="shared" ca="1" si="261"/>
        <v>0</v>
      </c>
      <c r="L621" s="1358"/>
      <c r="M621" s="1358"/>
      <c r="N621" s="1358"/>
      <c r="O621" s="1358"/>
      <c r="P621" s="1358"/>
      <c r="Q621" s="1244"/>
      <c r="R621" s="1244"/>
      <c r="S621" s="1244"/>
      <c r="T621" s="1244"/>
      <c r="U621" s="1244"/>
      <c r="V621" s="1244"/>
      <c r="W621" s="1244"/>
      <c r="X621" s="1244"/>
      <c r="Y621" s="1244"/>
      <c r="Z621" s="1244"/>
    </row>
    <row r="622" spans="1:26" ht="18.75">
      <c r="A622" s="1267"/>
      <c r="B622" s="1268"/>
      <c r="C622" s="1268"/>
      <c r="D622" s="1017" t="s">
        <v>268</v>
      </c>
      <c r="E622" s="961"/>
      <c r="F622" s="961"/>
      <c r="G622" s="954"/>
      <c r="H622" s="730" t="s">
        <v>46</v>
      </c>
      <c r="I622" s="830"/>
      <c r="J622" s="959">
        <v>0</v>
      </c>
      <c r="K622" s="945"/>
      <c r="L622" s="945"/>
      <c r="M622" s="945"/>
      <c r="N622" s="945"/>
      <c r="O622" s="945"/>
      <c r="P622" s="945"/>
      <c r="Q622" s="1244"/>
      <c r="R622" s="1244"/>
      <c r="S622" s="1244"/>
      <c r="T622" s="1244"/>
      <c r="U622" s="1244"/>
      <c r="V622" s="1244"/>
      <c r="W622" s="1244"/>
      <c r="X622" s="1244"/>
      <c r="Y622" s="1244"/>
      <c r="Z622" s="1244"/>
    </row>
    <row r="623" spans="1:26" ht="18.75">
      <c r="A623" s="1267"/>
      <c r="B623" s="1268"/>
      <c r="C623" s="1268"/>
      <c r="D623" s="1268"/>
      <c r="E623" s="961"/>
      <c r="F623" s="961"/>
      <c r="G623" s="954"/>
      <c r="H623" s="730" t="s">
        <v>34</v>
      </c>
      <c r="I623" s="830"/>
      <c r="J623" s="959">
        <v>0</v>
      </c>
      <c r="K623" s="945"/>
      <c r="L623" s="945"/>
      <c r="M623" s="945"/>
      <c r="N623" s="945"/>
      <c r="O623" s="945"/>
      <c r="P623" s="945"/>
      <c r="Q623" s="1244"/>
      <c r="R623" s="1244"/>
      <c r="S623" s="1244"/>
      <c r="T623" s="1244"/>
      <c r="U623" s="1244"/>
      <c r="V623" s="1244"/>
      <c r="W623" s="1244"/>
      <c r="X623" s="1244"/>
      <c r="Y623" s="1244"/>
      <c r="Z623" s="1244"/>
    </row>
    <row r="624" spans="1:26" ht="18.75">
      <c r="A624" s="1267"/>
      <c r="B624" s="1268"/>
      <c r="C624" s="1268"/>
      <c r="D624" s="1017" t="s">
        <v>264</v>
      </c>
      <c r="E624" s="961"/>
      <c r="F624" s="961"/>
      <c r="G624" s="954"/>
      <c r="H624" s="730" t="s">
        <v>46</v>
      </c>
      <c r="I624" s="830"/>
      <c r="J624" s="959">
        <v>0</v>
      </c>
      <c r="K624" s="945"/>
      <c r="L624" s="945"/>
      <c r="M624" s="945"/>
      <c r="N624" s="945"/>
      <c r="O624" s="945"/>
      <c r="P624" s="945"/>
      <c r="Q624" s="1244"/>
      <c r="R624" s="1244"/>
      <c r="S624" s="1244"/>
      <c r="T624" s="1244"/>
      <c r="U624" s="1244"/>
      <c r="V624" s="1244"/>
      <c r="W624" s="1244"/>
      <c r="X624" s="1244"/>
      <c r="Y624" s="1244"/>
      <c r="Z624" s="1244"/>
    </row>
    <row r="625" spans="1:26" ht="18.75">
      <c r="A625" s="1267"/>
      <c r="B625" s="1268"/>
      <c r="C625" s="1268"/>
      <c r="D625" s="1268"/>
      <c r="E625" s="961"/>
      <c r="F625" s="961"/>
      <c r="G625" s="954"/>
      <c r="H625" s="730" t="s">
        <v>34</v>
      </c>
      <c r="I625" s="830"/>
      <c r="J625" s="959">
        <v>0</v>
      </c>
      <c r="K625" s="945"/>
      <c r="L625" s="945"/>
      <c r="M625" s="945"/>
      <c r="N625" s="945"/>
      <c r="O625" s="945"/>
      <c r="P625" s="945"/>
      <c r="Q625" s="1244"/>
      <c r="R625" s="1244"/>
      <c r="S625" s="1244"/>
      <c r="T625" s="1244"/>
      <c r="U625" s="1244"/>
      <c r="V625" s="1244"/>
      <c r="W625" s="1244"/>
      <c r="X625" s="1244"/>
      <c r="Y625" s="1244"/>
      <c r="Z625" s="1244"/>
    </row>
    <row r="626" spans="1:26" ht="18.75">
      <c r="A626" s="1267"/>
      <c r="B626" s="1268"/>
      <c r="C626" s="1268"/>
      <c r="D626" s="1017" t="s">
        <v>269</v>
      </c>
      <c r="E626" s="961"/>
      <c r="F626" s="961"/>
      <c r="G626" s="954"/>
      <c r="H626" s="730" t="s">
        <v>46</v>
      </c>
      <c r="I626" s="830"/>
      <c r="J626" s="959">
        <v>0</v>
      </c>
      <c r="K626" s="945"/>
      <c r="L626" s="945"/>
      <c r="M626" s="945"/>
      <c r="N626" s="945"/>
      <c r="O626" s="945"/>
      <c r="P626" s="945"/>
      <c r="Q626" s="1244"/>
      <c r="R626" s="1244"/>
      <c r="S626" s="1244"/>
      <c r="T626" s="1244"/>
      <c r="U626" s="1244"/>
      <c r="V626" s="1244"/>
      <c r="W626" s="1244"/>
      <c r="X626" s="1244"/>
      <c r="Y626" s="1244"/>
      <c r="Z626" s="1244"/>
    </row>
    <row r="627" spans="1:26" ht="18.75">
      <c r="A627" s="1359"/>
      <c r="B627" s="1360"/>
      <c r="C627" s="1360"/>
      <c r="D627" s="1360"/>
      <c r="E627" s="1116"/>
      <c r="F627" s="1116"/>
      <c r="G627" s="1361"/>
      <c r="H627" s="391" t="s">
        <v>34</v>
      </c>
      <c r="I627" s="1085"/>
      <c r="J627" s="1118">
        <v>0</v>
      </c>
      <c r="K627" s="1086"/>
      <c r="L627" s="1086"/>
      <c r="M627" s="1086"/>
      <c r="N627" s="1086"/>
      <c r="O627" s="1086"/>
      <c r="P627" s="1086"/>
      <c r="Q627" s="1244"/>
      <c r="R627" s="1244"/>
      <c r="S627" s="1244"/>
      <c r="T627" s="1244"/>
      <c r="U627" s="1244"/>
      <c r="V627" s="1244"/>
      <c r="W627" s="1244"/>
      <c r="X627" s="1244"/>
      <c r="Y627" s="1244"/>
      <c r="Z627" s="1244"/>
    </row>
    <row r="628" spans="1:26" ht="19.5">
      <c r="A628" s="702">
        <v>7</v>
      </c>
      <c r="B628" s="1362" t="s">
        <v>270</v>
      </c>
      <c r="C628" s="1363"/>
      <c r="D628" s="1363"/>
      <c r="E628" s="1363"/>
      <c r="F628" s="1363"/>
      <c r="G628" s="1364"/>
      <c r="H628" s="706" t="s">
        <v>35</v>
      </c>
      <c r="I628" s="1365">
        <f t="shared" ref="I628:J628" ca="1" si="262">I651</f>
        <v>45</v>
      </c>
      <c r="J628" s="1365">
        <f t="shared" ca="1" si="262"/>
        <v>0</v>
      </c>
      <c r="K628" s="1366">
        <f ca="1">IF(I628&gt;0,J628*100/I628,0)</f>
        <v>0</v>
      </c>
      <c r="L628" s="1367"/>
      <c r="M628" s="1367"/>
      <c r="N628" s="1367"/>
      <c r="O628" s="1367"/>
      <c r="P628" s="1367"/>
      <c r="Q628" s="1244"/>
      <c r="R628" s="1244"/>
      <c r="S628" s="1244"/>
      <c r="T628" s="1244"/>
      <c r="U628" s="1244"/>
      <c r="V628" s="1244"/>
      <c r="W628" s="1244"/>
      <c r="X628" s="1244"/>
      <c r="Y628" s="1244"/>
      <c r="Z628" s="1244"/>
    </row>
    <row r="629" spans="1:26" ht="19.5">
      <c r="A629" s="1259"/>
      <c r="B629" s="1243"/>
      <c r="C629" s="1243" t="s">
        <v>16</v>
      </c>
      <c r="D629" s="1507" t="s">
        <v>17</v>
      </c>
      <c r="E629" s="1485"/>
      <c r="F629" s="1485"/>
      <c r="G629" s="963"/>
      <c r="H629" s="563" t="s">
        <v>12</v>
      </c>
      <c r="I629" s="830"/>
      <c r="J629" s="830"/>
      <c r="K629" s="831"/>
      <c r="L629" s="967">
        <f t="shared" ref="L629:N629" ca="1" si="263">L630+L631</f>
        <v>171750</v>
      </c>
      <c r="M629" s="967">
        <f t="shared" si="263"/>
        <v>0</v>
      </c>
      <c r="N629" s="967">
        <f t="shared" si="263"/>
        <v>7179.7</v>
      </c>
      <c r="O629" s="967">
        <f t="shared" ref="O629:O634" ca="1" si="264">IF(L629&gt;0,N629*100/L629,0)</f>
        <v>4.1803202328966522</v>
      </c>
      <c r="P629" s="967">
        <f t="shared" ref="P629:P634" si="265">IF(M629&gt;0,N629*100/M629,0)</f>
        <v>0</v>
      </c>
      <c r="Q629" s="1244"/>
      <c r="R629" s="1244"/>
      <c r="S629" s="1244"/>
      <c r="T629" s="1244"/>
      <c r="U629" s="1244"/>
      <c r="V629" s="1244"/>
      <c r="W629" s="1244"/>
      <c r="X629" s="1244"/>
      <c r="Y629" s="1244"/>
      <c r="Z629" s="1244"/>
    </row>
    <row r="630" spans="1:26" ht="18.75" hidden="1">
      <c r="A630" s="1260"/>
      <c r="B630" s="1261"/>
      <c r="C630" s="1261"/>
      <c r="D630" s="1262"/>
      <c r="E630" s="1261" t="s">
        <v>184</v>
      </c>
      <c r="F630" s="1261"/>
      <c r="G630" s="1263"/>
      <c r="H630" s="165" t="s">
        <v>12</v>
      </c>
      <c r="I630" s="836"/>
      <c r="J630" s="836"/>
      <c r="K630" s="837"/>
      <c r="L630" s="837">
        <f t="shared" ref="L630:N631" si="266">L633+L640</f>
        <v>0</v>
      </c>
      <c r="M630" s="837">
        <f t="shared" si="266"/>
        <v>0</v>
      </c>
      <c r="N630" s="837">
        <f t="shared" si="266"/>
        <v>0</v>
      </c>
      <c r="O630" s="837">
        <f t="shared" si="264"/>
        <v>0</v>
      </c>
      <c r="P630" s="837">
        <f t="shared" si="265"/>
        <v>0</v>
      </c>
      <c r="Q630" s="1264"/>
      <c r="R630" s="1264"/>
      <c r="S630" s="1264"/>
      <c r="T630" s="1264"/>
      <c r="U630" s="1264"/>
      <c r="V630" s="1264"/>
      <c r="W630" s="1264"/>
      <c r="X630" s="1264"/>
      <c r="Y630" s="1264"/>
      <c r="Z630" s="1264"/>
    </row>
    <row r="631" spans="1:26" ht="18.75" hidden="1">
      <c r="A631" s="1260"/>
      <c r="B631" s="1265"/>
      <c r="C631" s="1261"/>
      <c r="D631" s="1262"/>
      <c r="E631" s="1261" t="s">
        <v>185</v>
      </c>
      <c r="F631" s="1261"/>
      <c r="G631" s="1263"/>
      <c r="H631" s="165" t="s">
        <v>12</v>
      </c>
      <c r="I631" s="836"/>
      <c r="J631" s="836"/>
      <c r="K631" s="837"/>
      <c r="L631" s="837">
        <f t="shared" ca="1" si="266"/>
        <v>171750</v>
      </c>
      <c r="M631" s="837">
        <f t="shared" si="266"/>
        <v>0</v>
      </c>
      <c r="N631" s="837">
        <f t="shared" si="266"/>
        <v>7179.7</v>
      </c>
      <c r="O631" s="837">
        <f t="shared" ca="1" si="264"/>
        <v>4.1803202328966522</v>
      </c>
      <c r="P631" s="837">
        <f t="shared" si="265"/>
        <v>0</v>
      </c>
      <c r="Q631" s="1264"/>
      <c r="R631" s="1264"/>
      <c r="S631" s="1264"/>
      <c r="T631" s="1264"/>
      <c r="U631" s="1264"/>
      <c r="V631" s="1264"/>
      <c r="W631" s="1264"/>
      <c r="X631" s="1264"/>
      <c r="Y631" s="1264"/>
      <c r="Z631" s="1264"/>
    </row>
    <row r="632" spans="1:26" ht="18.75">
      <c r="A632" s="1259"/>
      <c r="B632" s="1242"/>
      <c r="C632" s="1243"/>
      <c r="D632" s="1266" t="s">
        <v>20</v>
      </c>
      <c r="E632" s="1243"/>
      <c r="F632" s="1243"/>
      <c r="G632" s="963"/>
      <c r="H632" s="778" t="s">
        <v>12</v>
      </c>
      <c r="I632" s="944"/>
      <c r="J632" s="944"/>
      <c r="K632" s="945"/>
      <c r="L632" s="831">
        <f t="shared" ref="L632:N632" ca="1" si="267">L633+L634</f>
        <v>171750</v>
      </c>
      <c r="M632" s="831">
        <f t="shared" si="267"/>
        <v>0</v>
      </c>
      <c r="N632" s="831">
        <f t="shared" si="267"/>
        <v>7179.7</v>
      </c>
      <c r="O632" s="831">
        <f t="shared" ca="1" si="264"/>
        <v>4.1803202328966522</v>
      </c>
      <c r="P632" s="831">
        <f t="shared" si="265"/>
        <v>0</v>
      </c>
      <c r="Q632" s="1244"/>
      <c r="R632" s="1244"/>
      <c r="S632" s="1244"/>
      <c r="T632" s="1244"/>
      <c r="U632" s="1244"/>
      <c r="V632" s="1244"/>
      <c r="W632" s="1244"/>
      <c r="X632" s="1244"/>
      <c r="Y632" s="1244"/>
      <c r="Z632" s="1244"/>
    </row>
    <row r="633" spans="1:26" ht="18.75" hidden="1">
      <c r="A633" s="1260"/>
      <c r="B633" s="1265"/>
      <c r="C633" s="1261"/>
      <c r="D633" s="1262"/>
      <c r="E633" s="1261" t="s">
        <v>184</v>
      </c>
      <c r="F633" s="1261"/>
      <c r="G633" s="1263"/>
      <c r="H633" s="165" t="s">
        <v>12</v>
      </c>
      <c r="I633" s="836"/>
      <c r="J633" s="836"/>
      <c r="K633" s="837"/>
      <c r="L633" s="837">
        <v>0</v>
      </c>
      <c r="M633" s="837">
        <v>0</v>
      </c>
      <c r="N633" s="837">
        <v>0</v>
      </c>
      <c r="O633" s="837">
        <f t="shared" si="264"/>
        <v>0</v>
      </c>
      <c r="P633" s="837">
        <f t="shared" si="265"/>
        <v>0</v>
      </c>
      <c r="Q633" s="1264"/>
      <c r="R633" s="1264"/>
      <c r="S633" s="1264"/>
      <c r="T633" s="1264"/>
      <c r="U633" s="1264"/>
      <c r="V633" s="1264"/>
      <c r="W633" s="1264"/>
      <c r="X633" s="1264"/>
      <c r="Y633" s="1264"/>
      <c r="Z633" s="1264"/>
    </row>
    <row r="634" spans="1:26" ht="18.75" hidden="1">
      <c r="A634" s="1260"/>
      <c r="B634" s="1265"/>
      <c r="C634" s="1261"/>
      <c r="D634" s="1262"/>
      <c r="E634" s="1261" t="s">
        <v>185</v>
      </c>
      <c r="F634" s="1261"/>
      <c r="G634" s="1263"/>
      <c r="H634" s="165" t="s">
        <v>12</v>
      </c>
      <c r="I634" s="836"/>
      <c r="J634" s="836"/>
      <c r="K634" s="837"/>
      <c r="L634" s="837">
        <f ca="1">IFERROR(__xludf.DUMMYFUNCTION("IMPORTRANGE(""https://docs.google.com/spreadsheets/d/1QqKyyYR6Q21VydFLVH3TRQUabQu_ym0Zz7PgGX0-kHA/edit?usp=sharing"",""แผน!HN30"")"),171750)</f>
        <v>171750</v>
      </c>
      <c r="M634" s="837">
        <v>0</v>
      </c>
      <c r="N634" s="837">
        <f>N635+N636+N637+N638</f>
        <v>7179.7</v>
      </c>
      <c r="O634" s="837">
        <f t="shared" ca="1" si="264"/>
        <v>4.1803202328966522</v>
      </c>
      <c r="P634" s="837">
        <f t="shared" si="265"/>
        <v>0</v>
      </c>
      <c r="Q634" s="1264"/>
      <c r="R634" s="1264"/>
      <c r="S634" s="1264"/>
      <c r="T634" s="1264"/>
      <c r="U634" s="1264"/>
      <c r="V634" s="1264"/>
      <c r="W634" s="1264"/>
      <c r="X634" s="1264"/>
      <c r="Y634" s="1264"/>
      <c r="Z634" s="1264"/>
    </row>
    <row r="635" spans="1:26" ht="18.75">
      <c r="A635" s="1241"/>
      <c r="B635" s="1242"/>
      <c r="C635" s="1243"/>
      <c r="D635" s="1243"/>
      <c r="E635" s="1243"/>
      <c r="F635" s="1243" t="s">
        <v>186</v>
      </c>
      <c r="G635" s="963"/>
      <c r="H635" s="778" t="s">
        <v>12</v>
      </c>
      <c r="I635" s="830"/>
      <c r="J635" s="830"/>
      <c r="K635" s="831"/>
      <c r="L635" s="831"/>
      <c r="M635" s="831"/>
      <c r="N635" s="1031">
        <v>0</v>
      </c>
      <c r="O635" s="831"/>
      <c r="P635" s="831"/>
      <c r="Q635" s="1244"/>
      <c r="R635" s="1244"/>
      <c r="S635" s="1244"/>
      <c r="T635" s="1244"/>
      <c r="U635" s="1244"/>
      <c r="V635" s="1244"/>
      <c r="W635" s="1244"/>
      <c r="X635" s="1244"/>
      <c r="Y635" s="1244"/>
      <c r="Z635" s="1244"/>
    </row>
    <row r="636" spans="1:26" ht="18.75">
      <c r="A636" s="1241"/>
      <c r="B636" s="1242"/>
      <c r="C636" s="1243"/>
      <c r="D636" s="1243"/>
      <c r="E636" s="1243"/>
      <c r="F636" s="1243" t="s">
        <v>187</v>
      </c>
      <c r="G636" s="963"/>
      <c r="H636" s="778" t="s">
        <v>12</v>
      </c>
      <c r="I636" s="830"/>
      <c r="J636" s="830"/>
      <c r="K636" s="831"/>
      <c r="L636" s="831"/>
      <c r="M636" s="831"/>
      <c r="N636" s="1031">
        <v>0</v>
      </c>
      <c r="O636" s="831"/>
      <c r="P636" s="831"/>
      <c r="Q636" s="1244"/>
      <c r="R636" s="1244"/>
      <c r="S636" s="1244"/>
      <c r="T636" s="1244"/>
      <c r="U636" s="1244"/>
      <c r="V636" s="1244"/>
      <c r="W636" s="1244"/>
      <c r="X636" s="1244"/>
      <c r="Y636" s="1244"/>
      <c r="Z636" s="1244"/>
    </row>
    <row r="637" spans="1:26" ht="18.75">
      <c r="A637" s="1241"/>
      <c r="B637" s="1242"/>
      <c r="C637" s="1243"/>
      <c r="D637" s="1243"/>
      <c r="E637" s="1243"/>
      <c r="F637" s="1243" t="s">
        <v>188</v>
      </c>
      <c r="G637" s="963"/>
      <c r="H637" s="778" t="s">
        <v>12</v>
      </c>
      <c r="I637" s="830"/>
      <c r="J637" s="830"/>
      <c r="K637" s="831"/>
      <c r="L637" s="831"/>
      <c r="M637" s="831"/>
      <c r="N637" s="1031">
        <v>0</v>
      </c>
      <c r="O637" s="831"/>
      <c r="P637" s="831"/>
      <c r="Q637" s="1244"/>
      <c r="R637" s="1244"/>
      <c r="S637" s="1244"/>
      <c r="T637" s="1244"/>
      <c r="U637" s="1244"/>
      <c r="V637" s="1244"/>
      <c r="W637" s="1244"/>
      <c r="X637" s="1244"/>
      <c r="Y637" s="1244"/>
      <c r="Z637" s="1244"/>
    </row>
    <row r="638" spans="1:26" ht="18.75">
      <c r="A638" s="1241"/>
      <c r="B638" s="1242"/>
      <c r="C638" s="1243"/>
      <c r="D638" s="1243"/>
      <c r="E638" s="1243"/>
      <c r="F638" s="1243" t="s">
        <v>189</v>
      </c>
      <c r="G638" s="963"/>
      <c r="H638" s="778" t="s">
        <v>12</v>
      </c>
      <c r="I638" s="830"/>
      <c r="J638" s="830"/>
      <c r="K638" s="831"/>
      <c r="L638" s="831"/>
      <c r="M638" s="831"/>
      <c r="N638" s="1031">
        <v>7179.7</v>
      </c>
      <c r="O638" s="831"/>
      <c r="P638" s="831"/>
      <c r="Q638" s="1244"/>
      <c r="R638" s="1244"/>
      <c r="S638" s="1244"/>
      <c r="T638" s="1244"/>
      <c r="U638" s="1244"/>
      <c r="V638" s="1244"/>
      <c r="W638" s="1244"/>
      <c r="X638" s="1244"/>
      <c r="Y638" s="1244"/>
      <c r="Z638" s="1244"/>
    </row>
    <row r="639" spans="1:26" ht="18.75">
      <c r="A639" s="1259"/>
      <c r="B639" s="1242"/>
      <c r="C639" s="1243"/>
      <c r="D639" s="1266" t="s">
        <v>21</v>
      </c>
      <c r="E639" s="1243"/>
      <c r="F639" s="1243"/>
      <c r="G639" s="963"/>
      <c r="H639" s="168" t="s">
        <v>12</v>
      </c>
      <c r="I639" s="944"/>
      <c r="J639" s="944"/>
      <c r="K639" s="945"/>
      <c r="L639" s="831">
        <f t="shared" ref="L639:N639" ca="1" si="268">L640+L641</f>
        <v>0</v>
      </c>
      <c r="M639" s="831">
        <f t="shared" si="268"/>
        <v>0</v>
      </c>
      <c r="N639" s="831">
        <f t="shared" si="268"/>
        <v>0</v>
      </c>
      <c r="O639" s="831">
        <f t="shared" ref="O639:O641" ca="1" si="269">IF(L639&gt;0,N639*100/L639,0)</f>
        <v>0</v>
      </c>
      <c r="P639" s="831">
        <f t="shared" ref="P639:P641" si="270">IF(M639&gt;0,N639*100/M639,0)</f>
        <v>0</v>
      </c>
      <c r="Q639" s="1244"/>
      <c r="R639" s="1244"/>
      <c r="S639" s="1244"/>
      <c r="T639" s="1244"/>
      <c r="U639" s="1244"/>
      <c r="V639" s="1244"/>
      <c r="W639" s="1244"/>
      <c r="X639" s="1244"/>
      <c r="Y639" s="1244"/>
      <c r="Z639" s="1244"/>
    </row>
    <row r="640" spans="1:26" ht="18.75" hidden="1">
      <c r="A640" s="1260"/>
      <c r="B640" s="1265"/>
      <c r="C640" s="1261"/>
      <c r="D640" s="1261"/>
      <c r="E640" s="1261" t="s">
        <v>18</v>
      </c>
      <c r="F640" s="1261"/>
      <c r="G640" s="1263"/>
      <c r="H640" s="165" t="s">
        <v>12</v>
      </c>
      <c r="I640" s="947"/>
      <c r="J640" s="947"/>
      <c r="K640" s="948"/>
      <c r="L640" s="837">
        <v>0</v>
      </c>
      <c r="M640" s="837">
        <v>0</v>
      </c>
      <c r="N640" s="837">
        <v>0</v>
      </c>
      <c r="O640" s="837">
        <f t="shared" si="269"/>
        <v>0</v>
      </c>
      <c r="P640" s="837">
        <f t="shared" si="270"/>
        <v>0</v>
      </c>
      <c r="Q640" s="1264"/>
      <c r="R640" s="1264"/>
      <c r="S640" s="1264"/>
      <c r="T640" s="1264"/>
      <c r="U640" s="1264"/>
      <c r="V640" s="1264"/>
      <c r="W640" s="1264"/>
      <c r="X640" s="1264"/>
      <c r="Y640" s="1264"/>
      <c r="Z640" s="1264"/>
    </row>
    <row r="641" spans="1:26" ht="18.75" hidden="1">
      <c r="A641" s="1260"/>
      <c r="B641" s="1265"/>
      <c r="C641" s="1261"/>
      <c r="D641" s="1261"/>
      <c r="E641" s="1261" t="s">
        <v>19</v>
      </c>
      <c r="F641" s="1261"/>
      <c r="G641" s="1263"/>
      <c r="H641" s="169" t="s">
        <v>12</v>
      </c>
      <c r="I641" s="947"/>
      <c r="J641" s="947"/>
      <c r="K641" s="948"/>
      <c r="L641" s="837">
        <f ca="1">IFERROR(__xludf.DUMMYFUNCTION("IMPORTRANGE(""https://docs.google.com/spreadsheets/d/1QqKyyYR6Q21VydFLVH3TRQUabQu_ym0Zz7PgGX0-kHA/edit?usp=sharing"",""แผน!HQ30"")"),0)</f>
        <v>0</v>
      </c>
      <c r="M641" s="837">
        <v>0</v>
      </c>
      <c r="N641" s="837">
        <v>0</v>
      </c>
      <c r="O641" s="837">
        <f t="shared" ca="1" si="269"/>
        <v>0</v>
      </c>
      <c r="P641" s="837">
        <f t="shared" si="270"/>
        <v>0</v>
      </c>
      <c r="Q641" s="1264"/>
      <c r="R641" s="1264"/>
      <c r="S641" s="1264"/>
      <c r="T641" s="1264"/>
      <c r="U641" s="1264"/>
      <c r="V641" s="1264"/>
      <c r="W641" s="1264"/>
      <c r="X641" s="1264"/>
      <c r="Y641" s="1264"/>
      <c r="Z641" s="1264"/>
    </row>
    <row r="642" spans="1:26" ht="19.5">
      <c r="A642" s="1267"/>
      <c r="B642" s="1268"/>
      <c r="C642" s="1243" t="s">
        <v>16</v>
      </c>
      <c r="D642" s="1320" t="s">
        <v>38</v>
      </c>
      <c r="E642" s="1271"/>
      <c r="F642" s="1271"/>
      <c r="G642" s="1272"/>
      <c r="H642" s="954"/>
      <c r="I642" s="944"/>
      <c r="J642" s="944"/>
      <c r="K642" s="945"/>
      <c r="L642" s="945"/>
      <c r="M642" s="945"/>
      <c r="N642" s="945"/>
      <c r="O642" s="945"/>
      <c r="P642" s="945"/>
      <c r="Q642" s="1244"/>
      <c r="R642" s="1244"/>
      <c r="S642" s="1244"/>
      <c r="T642" s="1244"/>
      <c r="U642" s="1244"/>
      <c r="V642" s="1244"/>
      <c r="W642" s="1244"/>
      <c r="X642" s="1244"/>
      <c r="Y642" s="1244"/>
      <c r="Z642" s="1244"/>
    </row>
    <row r="643" spans="1:26" ht="18.75">
      <c r="A643" s="1368"/>
      <c r="B643" s="1242"/>
      <c r="C643" s="1243"/>
      <c r="D643" s="961"/>
      <c r="E643" s="1017" t="s">
        <v>271</v>
      </c>
      <c r="F643" s="961"/>
      <c r="G643" s="954"/>
      <c r="H643" s="730" t="s">
        <v>272</v>
      </c>
      <c r="I643" s="830">
        <f ca="1">IFERROR(__xludf.DUMMYFUNCTION("IMPORTRANGE(""https://docs.google.com/spreadsheets/d/1QqKyyYR6Q21VydFLVH3TRQUabQu_ym0Zz7PgGX0-kHA/edit?usp=sharing"",""แผน!HR30"")"),0)</f>
        <v>0</v>
      </c>
      <c r="J643" s="959">
        <v>0</v>
      </c>
      <c r="K643" s="945">
        <f t="shared" ref="K643:K652" ca="1" si="271">IF(I643&gt;0,J643*100/I643,0)</f>
        <v>0</v>
      </c>
      <c r="L643" s="945"/>
      <c r="M643" s="945"/>
      <c r="N643" s="831"/>
      <c r="O643" s="945"/>
      <c r="P643" s="945"/>
      <c r="Q643" s="1244"/>
      <c r="R643" s="1244"/>
      <c r="S643" s="1244"/>
      <c r="T643" s="1244"/>
      <c r="U643" s="1244"/>
      <c r="V643" s="1244"/>
      <c r="W643" s="1244"/>
      <c r="X643" s="1244"/>
      <c r="Y643" s="1244"/>
      <c r="Z643" s="1244"/>
    </row>
    <row r="644" spans="1:26" ht="18.75">
      <c r="A644" s="1368"/>
      <c r="B644" s="1242"/>
      <c r="C644" s="1243"/>
      <c r="D644" s="961"/>
      <c r="E644" s="1017" t="s">
        <v>273</v>
      </c>
      <c r="F644" s="961"/>
      <c r="G644" s="954"/>
      <c r="H644" s="730" t="s">
        <v>274</v>
      </c>
      <c r="I644" s="830">
        <f ca="1">IFERROR(__xludf.DUMMYFUNCTION("IMPORTRANGE(""https://docs.google.com/spreadsheets/d/1QqKyyYR6Q21VydFLVH3TRQUabQu_ym0Zz7PgGX0-kHA/edit?usp=sharing"",""แผน!HR30"")"),0)</f>
        <v>0</v>
      </c>
      <c r="J644" s="959">
        <v>0</v>
      </c>
      <c r="K644" s="945">
        <f t="shared" ca="1" si="271"/>
        <v>0</v>
      </c>
      <c r="L644" s="945"/>
      <c r="M644" s="945"/>
      <c r="N644" s="831"/>
      <c r="O644" s="945"/>
      <c r="P644" s="945"/>
      <c r="Q644" s="1244"/>
      <c r="R644" s="1244"/>
      <c r="S644" s="1244"/>
      <c r="T644" s="1244"/>
      <c r="U644" s="1244"/>
      <c r="V644" s="1244"/>
      <c r="W644" s="1244"/>
      <c r="X644" s="1244"/>
      <c r="Y644" s="1244"/>
      <c r="Z644" s="1244"/>
    </row>
    <row r="645" spans="1:26" ht="18.75">
      <c r="A645" s="1368"/>
      <c r="B645" s="1242"/>
      <c r="C645" s="1243"/>
      <c r="D645" s="961"/>
      <c r="E645" s="1017" t="s">
        <v>275</v>
      </c>
      <c r="F645" s="961"/>
      <c r="G645" s="954"/>
      <c r="H645" s="730" t="s">
        <v>34</v>
      </c>
      <c r="I645" s="830">
        <v>0</v>
      </c>
      <c r="J645" s="830">
        <f ca="1">IFERROR(__xludf.DUMMYFUNCTION("IMPORTRANGE(""https://docs.google.com/spreadsheets/d/1XWAQStnk-4SwqDmLtmXYiTMKHgktTP8We1SCoS47DrQ/edit?usp=sharing"",""จัดที่ดิน!AS30"")"),6)</f>
        <v>6</v>
      </c>
      <c r="K645" s="945">
        <f t="shared" si="271"/>
        <v>0</v>
      </c>
      <c r="L645" s="945"/>
      <c r="M645" s="945"/>
      <c r="N645" s="831"/>
      <c r="O645" s="945"/>
      <c r="P645" s="945"/>
      <c r="Q645" s="1244"/>
      <c r="R645" s="1244"/>
      <c r="S645" s="1244"/>
      <c r="T645" s="1244"/>
      <c r="U645" s="1244"/>
      <c r="V645" s="1244"/>
      <c r="W645" s="1244"/>
      <c r="X645" s="1244"/>
      <c r="Y645" s="1244"/>
      <c r="Z645" s="1244"/>
    </row>
    <row r="646" spans="1:26" ht="18.75">
      <c r="A646" s="1368"/>
      <c r="B646" s="1242"/>
      <c r="C646" s="1243"/>
      <c r="D646" s="961"/>
      <c r="E646" s="961"/>
      <c r="F646" s="961"/>
      <c r="G646" s="954"/>
      <c r="H646" s="730" t="s">
        <v>46</v>
      </c>
      <c r="I646" s="830">
        <v>0</v>
      </c>
      <c r="J646" s="830">
        <f ca="1">IFERROR(__xludf.DUMMYFUNCTION("IMPORTRANGE(""https://docs.google.com/spreadsheets/d/1XWAQStnk-4SwqDmLtmXYiTMKHgktTP8We1SCoS47DrQ/edit?usp=sharing"",""จัดที่ดิน!AT30"")"),4.88)</f>
        <v>4.88</v>
      </c>
      <c r="K646" s="831">
        <f t="shared" si="271"/>
        <v>0</v>
      </c>
      <c r="L646" s="945"/>
      <c r="M646" s="945"/>
      <c r="N646" s="831"/>
      <c r="O646" s="945"/>
      <c r="P646" s="945"/>
      <c r="Q646" s="1244"/>
      <c r="R646" s="1244"/>
      <c r="S646" s="1244"/>
      <c r="T646" s="1244"/>
      <c r="U646" s="1244"/>
      <c r="V646" s="1244"/>
      <c r="W646" s="1244"/>
      <c r="X646" s="1244"/>
      <c r="Y646" s="1244"/>
      <c r="Z646" s="1244"/>
    </row>
    <row r="647" spans="1:26" ht="18.75">
      <c r="A647" s="1368"/>
      <c r="B647" s="1242"/>
      <c r="C647" s="1243"/>
      <c r="D647" s="961"/>
      <c r="E647" s="1017" t="s">
        <v>162</v>
      </c>
      <c r="F647" s="961"/>
      <c r="G647" s="954"/>
      <c r="H647" s="730" t="s">
        <v>35</v>
      </c>
      <c r="I647" s="830">
        <f ca="1">IFERROR(__xludf.DUMMYFUNCTION("IMPORTRANGE(""https://docs.google.com/spreadsheets/d/1QqKyyYR6Q21VydFLVH3TRQUabQu_ym0Zz7PgGX0-kHA/edit?usp=sharing"",""แผน!HS30"")"),45)</f>
        <v>45</v>
      </c>
      <c r="J647" s="830">
        <f ca="1">IFERROR(__xludf.DUMMYFUNCTION("IMPORTRANGE(""https://docs.google.com/spreadsheets/d/1XWAQStnk-4SwqDmLtmXYiTMKHgktTP8We1SCoS47DrQ/edit?usp=sharing"",""จัดที่ดิน!AU30"")"),1)</f>
        <v>1</v>
      </c>
      <c r="K647" s="945">
        <f t="shared" ca="1" si="271"/>
        <v>2.2222222222222223</v>
      </c>
      <c r="L647" s="945"/>
      <c r="M647" s="945"/>
      <c r="N647" s="945"/>
      <c r="O647" s="945"/>
      <c r="P647" s="945"/>
      <c r="Q647" s="1244"/>
      <c r="R647" s="1244"/>
      <c r="S647" s="1244"/>
      <c r="T647" s="1244"/>
      <c r="U647" s="1244"/>
      <c r="V647" s="1244"/>
      <c r="W647" s="1244"/>
      <c r="X647" s="1244"/>
      <c r="Y647" s="1244"/>
      <c r="Z647" s="1244"/>
    </row>
    <row r="648" spans="1:26" ht="18.75">
      <c r="A648" s="1368"/>
      <c r="B648" s="1242"/>
      <c r="C648" s="1243"/>
      <c r="D648" s="961"/>
      <c r="E648" s="961"/>
      <c r="F648" s="961"/>
      <c r="G648" s="954"/>
      <c r="H648" s="730" t="s">
        <v>46</v>
      </c>
      <c r="I648" s="830">
        <v>0</v>
      </c>
      <c r="J648" s="830">
        <f ca="1">IFERROR(__xludf.DUMMYFUNCTION("IMPORTRANGE(""https://docs.google.com/spreadsheets/d/1XWAQStnk-4SwqDmLtmXYiTMKHgktTP8We1SCoS47DrQ/edit?usp=sharing"",""จัดที่ดิน!AV30"")"),0.35)</f>
        <v>0.35</v>
      </c>
      <c r="K648" s="831">
        <f t="shared" si="271"/>
        <v>0</v>
      </c>
      <c r="L648" s="945"/>
      <c r="M648" s="945"/>
      <c r="N648" s="945"/>
      <c r="O648" s="945"/>
      <c r="P648" s="945"/>
      <c r="Q648" s="1244"/>
      <c r="R648" s="1244"/>
      <c r="S648" s="1244"/>
      <c r="T648" s="1244"/>
      <c r="U648" s="1244"/>
      <c r="V648" s="1244"/>
      <c r="W648" s="1244"/>
      <c r="X648" s="1244"/>
      <c r="Y648" s="1244"/>
      <c r="Z648" s="1244"/>
    </row>
    <row r="649" spans="1:26" ht="18.75">
      <c r="A649" s="1368"/>
      <c r="B649" s="1242"/>
      <c r="C649" s="1243"/>
      <c r="D649" s="961"/>
      <c r="E649" s="1017" t="s">
        <v>276</v>
      </c>
      <c r="F649" s="961"/>
      <c r="G649" s="954"/>
      <c r="H649" s="730" t="s">
        <v>35</v>
      </c>
      <c r="I649" s="830">
        <f ca="1">IFERROR(__xludf.DUMMYFUNCTION("IMPORTRANGE(""https://docs.google.com/spreadsheets/d/1QqKyyYR6Q21VydFLVH3TRQUabQu_ym0Zz7PgGX0-kHA/edit?usp=sharing"",""แผน!HS30"")"),45)</f>
        <v>45</v>
      </c>
      <c r="J649" s="830">
        <f ca="1">IFERROR(__xludf.DUMMYFUNCTION("IMPORTRANGE(""https://docs.google.com/spreadsheets/d/1XWAQStnk-4SwqDmLtmXYiTMKHgktTP8We1SCoS47DrQ/edit?usp=sharing"",""จัดที่ดิน!AW30"")"),1)</f>
        <v>1</v>
      </c>
      <c r="K649" s="945">
        <f t="shared" ca="1" si="271"/>
        <v>2.2222222222222223</v>
      </c>
      <c r="L649" s="945"/>
      <c r="M649" s="945"/>
      <c r="N649" s="945"/>
      <c r="O649" s="945"/>
      <c r="P649" s="945"/>
      <c r="Q649" s="1244"/>
      <c r="R649" s="1244"/>
      <c r="S649" s="1244"/>
      <c r="T649" s="1244"/>
      <c r="U649" s="1244"/>
      <c r="V649" s="1244"/>
      <c r="W649" s="1244"/>
      <c r="X649" s="1244"/>
      <c r="Y649" s="1244"/>
      <c r="Z649" s="1244"/>
    </row>
    <row r="650" spans="1:26" ht="18.75">
      <c r="A650" s="1368"/>
      <c r="B650" s="1242"/>
      <c r="C650" s="1243"/>
      <c r="D650" s="961"/>
      <c r="E650" s="961"/>
      <c r="F650" s="961"/>
      <c r="G650" s="954"/>
      <c r="H650" s="730" t="s">
        <v>46</v>
      </c>
      <c r="I650" s="830">
        <v>0</v>
      </c>
      <c r="J650" s="830">
        <f ca="1">IFERROR(__xludf.DUMMYFUNCTION("IMPORTRANGE(""https://docs.google.com/spreadsheets/d/1XWAQStnk-4SwqDmLtmXYiTMKHgktTP8We1SCoS47DrQ/edit?usp=sharing"",""จัดที่ดิน!AX30"")"),0.35)</f>
        <v>0.35</v>
      </c>
      <c r="K650" s="831">
        <f t="shared" si="271"/>
        <v>0</v>
      </c>
      <c r="L650" s="945"/>
      <c r="M650" s="945"/>
      <c r="N650" s="945"/>
      <c r="O650" s="945"/>
      <c r="P650" s="945"/>
      <c r="Q650" s="1244"/>
      <c r="R650" s="1244"/>
      <c r="S650" s="1244"/>
      <c r="T650" s="1244"/>
      <c r="U650" s="1244"/>
      <c r="V650" s="1244"/>
      <c r="W650" s="1244"/>
      <c r="X650" s="1244"/>
      <c r="Y650" s="1244"/>
      <c r="Z650" s="1244"/>
    </row>
    <row r="651" spans="1:26" ht="18.75">
      <c r="A651" s="1368"/>
      <c r="B651" s="1242"/>
      <c r="C651" s="1243"/>
      <c r="D651" s="961"/>
      <c r="E651" s="1017" t="s">
        <v>277</v>
      </c>
      <c r="F651" s="961"/>
      <c r="G651" s="954"/>
      <c r="H651" s="730" t="s">
        <v>35</v>
      </c>
      <c r="I651" s="830">
        <f ca="1">IFERROR(__xludf.DUMMYFUNCTION("IMPORTRANGE(""https://docs.google.com/spreadsheets/d/1QqKyyYR6Q21VydFLVH3TRQUabQu_ym0Zz7PgGX0-kHA/edit?usp=sharing"",""แผน!HS30"")"),45)</f>
        <v>45</v>
      </c>
      <c r="J651" s="830">
        <f ca="1">IFERROR(__xludf.DUMMYFUNCTION("IMPORTRANGE(""https://docs.google.com/spreadsheets/d/1XWAQStnk-4SwqDmLtmXYiTMKHgktTP8We1SCoS47DrQ/edit?usp=sharing"",""จัดที่ดิน!AY30"")"),0)</f>
        <v>0</v>
      </c>
      <c r="K651" s="945">
        <f t="shared" ca="1" si="271"/>
        <v>0</v>
      </c>
      <c r="L651" s="945"/>
      <c r="M651" s="945"/>
      <c r="N651" s="945"/>
      <c r="O651" s="945"/>
      <c r="P651" s="945"/>
      <c r="Q651" s="1244"/>
      <c r="R651" s="1244"/>
      <c r="S651" s="1244"/>
      <c r="T651" s="1244"/>
      <c r="U651" s="1244"/>
      <c r="V651" s="1244"/>
      <c r="W651" s="1244"/>
      <c r="X651" s="1244"/>
      <c r="Y651" s="1244"/>
      <c r="Z651" s="1244"/>
    </row>
    <row r="652" spans="1:26" ht="18.75">
      <c r="A652" s="1369"/>
      <c r="B652" s="1370"/>
      <c r="C652" s="1371"/>
      <c r="D652" s="1116"/>
      <c r="E652" s="1116"/>
      <c r="F652" s="1116"/>
      <c r="G652" s="1361"/>
      <c r="H652" s="468" t="s">
        <v>46</v>
      </c>
      <c r="I652" s="1085">
        <v>0</v>
      </c>
      <c r="J652" s="1085">
        <f ca="1">IFERROR(__xludf.DUMMYFUNCTION("IMPORTRANGE(""https://docs.google.com/spreadsheets/d/1XWAQStnk-4SwqDmLtmXYiTMKHgktTP8We1SCoS47DrQ/edit?usp=sharing"",""จัดที่ดิน!AZ30"")"),0)</f>
        <v>0</v>
      </c>
      <c r="K652" s="1182">
        <f t="shared" si="271"/>
        <v>0</v>
      </c>
      <c r="L652" s="1086"/>
      <c r="M652" s="1086"/>
      <c r="N652" s="1086"/>
      <c r="O652" s="1086"/>
      <c r="P652" s="1086"/>
      <c r="Q652" s="1244"/>
      <c r="R652" s="1244"/>
      <c r="S652" s="1244"/>
      <c r="T652" s="1244"/>
      <c r="U652" s="1244"/>
      <c r="V652" s="1244"/>
      <c r="W652" s="1244"/>
      <c r="X652" s="1244"/>
      <c r="Y652" s="1244"/>
      <c r="Z652" s="1244"/>
    </row>
    <row r="653" spans="1:26" ht="19.5">
      <c r="A653" s="716">
        <v>8</v>
      </c>
      <c r="B653" s="1362" t="s">
        <v>278</v>
      </c>
      <c r="C653" s="1363"/>
      <c r="D653" s="1363"/>
      <c r="E653" s="1363"/>
      <c r="F653" s="1363"/>
      <c r="G653" s="1364"/>
      <c r="H653" s="1364"/>
      <c r="I653" s="1372"/>
      <c r="J653" s="1372"/>
      <c r="K653" s="1367"/>
      <c r="L653" s="1367"/>
      <c r="M653" s="1367"/>
      <c r="N653" s="1367"/>
      <c r="O653" s="1367"/>
      <c r="P653" s="1367"/>
      <c r="Q653" s="1244"/>
      <c r="R653" s="1244"/>
      <c r="S653" s="1244"/>
      <c r="T653" s="1244"/>
      <c r="U653" s="1244"/>
      <c r="V653" s="1244"/>
      <c r="W653" s="1244"/>
      <c r="X653" s="1244"/>
      <c r="Y653" s="1244"/>
      <c r="Z653" s="1244"/>
    </row>
    <row r="654" spans="1:26" ht="19.5">
      <c r="A654" s="1315"/>
      <c r="B654" s="1314" t="s">
        <v>279</v>
      </c>
      <c r="C654" s="1315"/>
      <c r="D654" s="1315"/>
      <c r="E654" s="1315"/>
      <c r="F654" s="1315"/>
      <c r="G654" s="1316"/>
      <c r="H654" s="673" t="s">
        <v>46</v>
      </c>
      <c r="I654" s="1317">
        <f t="shared" ref="I654:J654" ca="1" si="272">I669</f>
        <v>100</v>
      </c>
      <c r="J654" s="1317">
        <f t="shared" si="272"/>
        <v>0</v>
      </c>
      <c r="K654" s="1318">
        <f ca="1">IF(I654&gt;0,J654*100/I654,0)</f>
        <v>0</v>
      </c>
      <c r="L654" s="1319"/>
      <c r="M654" s="1319"/>
      <c r="N654" s="1319"/>
      <c r="O654" s="1319"/>
      <c r="P654" s="1319"/>
      <c r="Q654" s="1244"/>
      <c r="R654" s="1244"/>
      <c r="S654" s="1244"/>
      <c r="T654" s="1244"/>
      <c r="U654" s="1244"/>
      <c r="V654" s="1244"/>
      <c r="W654" s="1244"/>
      <c r="X654" s="1244"/>
      <c r="Y654" s="1244"/>
      <c r="Z654" s="1244"/>
    </row>
    <row r="655" spans="1:26" ht="19.5">
      <c r="A655" s="1259"/>
      <c r="B655" s="1243"/>
      <c r="C655" s="1243" t="s">
        <v>16</v>
      </c>
      <c r="D655" s="1507" t="s">
        <v>17</v>
      </c>
      <c r="E655" s="1485"/>
      <c r="F655" s="1485"/>
      <c r="G655" s="963"/>
      <c r="H655" s="563" t="s">
        <v>12</v>
      </c>
      <c r="I655" s="830"/>
      <c r="J655" s="830"/>
      <c r="K655" s="831"/>
      <c r="L655" s="967">
        <f t="shared" ref="L655:N655" ca="1" si="273">L656+L657</f>
        <v>12400</v>
      </c>
      <c r="M655" s="967">
        <f t="shared" si="273"/>
        <v>0</v>
      </c>
      <c r="N655" s="967">
        <f t="shared" si="273"/>
        <v>4520</v>
      </c>
      <c r="O655" s="967">
        <f t="shared" ref="O655:O660" ca="1" si="274">IF(L655&gt;0,N655*100/L655,0)</f>
        <v>36.451612903225808</v>
      </c>
      <c r="P655" s="967">
        <f t="shared" ref="P655:P660" si="275">IF(M655&gt;0,N655*100/M655,0)</f>
        <v>0</v>
      </c>
      <c r="Q655" s="1244"/>
      <c r="R655" s="1244"/>
      <c r="S655" s="1244"/>
      <c r="T655" s="1244"/>
      <c r="U655" s="1244"/>
      <c r="V655" s="1244"/>
      <c r="W655" s="1244"/>
      <c r="X655" s="1244"/>
      <c r="Y655" s="1244"/>
      <c r="Z655" s="1244"/>
    </row>
    <row r="656" spans="1:26" ht="18.75" hidden="1">
      <c r="A656" s="1260"/>
      <c r="B656" s="1261"/>
      <c r="C656" s="1261"/>
      <c r="D656" s="1262"/>
      <c r="E656" s="1261" t="s">
        <v>184</v>
      </c>
      <c r="F656" s="1261"/>
      <c r="G656" s="1263"/>
      <c r="H656" s="165" t="s">
        <v>12</v>
      </c>
      <c r="I656" s="836"/>
      <c r="J656" s="836"/>
      <c r="K656" s="837"/>
      <c r="L656" s="837">
        <f t="shared" ref="L656:N657" si="276">L659+L666</f>
        <v>0</v>
      </c>
      <c r="M656" s="837">
        <f t="shared" si="276"/>
        <v>0</v>
      </c>
      <c r="N656" s="837">
        <f t="shared" si="276"/>
        <v>0</v>
      </c>
      <c r="O656" s="837">
        <f t="shared" si="274"/>
        <v>0</v>
      </c>
      <c r="P656" s="837">
        <f t="shared" si="275"/>
        <v>0</v>
      </c>
      <c r="Q656" s="1264"/>
      <c r="R656" s="1264"/>
      <c r="S656" s="1264"/>
      <c r="T656" s="1264"/>
      <c r="U656" s="1264"/>
      <c r="V656" s="1264"/>
      <c r="W656" s="1264"/>
      <c r="X656" s="1264"/>
      <c r="Y656" s="1264"/>
      <c r="Z656" s="1264"/>
    </row>
    <row r="657" spans="1:26" ht="18.75" hidden="1">
      <c r="A657" s="1260"/>
      <c r="B657" s="1265"/>
      <c r="C657" s="1261"/>
      <c r="D657" s="1262"/>
      <c r="E657" s="1261" t="s">
        <v>185</v>
      </c>
      <c r="F657" s="1261"/>
      <c r="G657" s="1263"/>
      <c r="H657" s="165" t="s">
        <v>12</v>
      </c>
      <c r="I657" s="836"/>
      <c r="J657" s="836"/>
      <c r="K657" s="837"/>
      <c r="L657" s="837">
        <f t="shared" ca="1" si="276"/>
        <v>12400</v>
      </c>
      <c r="M657" s="837">
        <f t="shared" si="276"/>
        <v>0</v>
      </c>
      <c r="N657" s="837">
        <f t="shared" si="276"/>
        <v>4520</v>
      </c>
      <c r="O657" s="837">
        <f t="shared" ca="1" si="274"/>
        <v>36.451612903225808</v>
      </c>
      <c r="P657" s="837">
        <f t="shared" si="275"/>
        <v>0</v>
      </c>
      <c r="Q657" s="1264"/>
      <c r="R657" s="1264"/>
      <c r="S657" s="1264"/>
      <c r="T657" s="1264"/>
      <c r="U657" s="1264"/>
      <c r="V657" s="1264"/>
      <c r="W657" s="1264"/>
      <c r="X657" s="1264"/>
      <c r="Y657" s="1264"/>
      <c r="Z657" s="1264"/>
    </row>
    <row r="658" spans="1:26" ht="18.75">
      <c r="A658" s="1259"/>
      <c r="B658" s="1242"/>
      <c r="C658" s="1243"/>
      <c r="D658" s="1266" t="s">
        <v>20</v>
      </c>
      <c r="E658" s="1243"/>
      <c r="F658" s="1243"/>
      <c r="G658" s="963"/>
      <c r="H658" s="778" t="s">
        <v>12</v>
      </c>
      <c r="I658" s="944"/>
      <c r="J658" s="944"/>
      <c r="K658" s="945"/>
      <c r="L658" s="831">
        <f t="shared" ref="L658:N658" ca="1" si="277">L659+L660</f>
        <v>12400</v>
      </c>
      <c r="M658" s="831">
        <f t="shared" si="277"/>
        <v>0</v>
      </c>
      <c r="N658" s="831">
        <f t="shared" si="277"/>
        <v>4520</v>
      </c>
      <c r="O658" s="831">
        <f t="shared" ca="1" si="274"/>
        <v>36.451612903225808</v>
      </c>
      <c r="P658" s="831">
        <f t="shared" si="275"/>
        <v>0</v>
      </c>
      <c r="Q658" s="1244"/>
      <c r="R658" s="1244"/>
      <c r="S658" s="1244"/>
      <c r="T658" s="1244"/>
      <c r="U658" s="1244"/>
      <c r="V658" s="1244"/>
      <c r="W658" s="1244"/>
      <c r="X658" s="1244"/>
      <c r="Y658" s="1244"/>
      <c r="Z658" s="1244"/>
    </row>
    <row r="659" spans="1:26" ht="18.75" hidden="1">
      <c r="A659" s="1260"/>
      <c r="B659" s="1265"/>
      <c r="C659" s="1261"/>
      <c r="D659" s="1262"/>
      <c r="E659" s="1261" t="s">
        <v>184</v>
      </c>
      <c r="F659" s="1261"/>
      <c r="G659" s="1263"/>
      <c r="H659" s="165" t="s">
        <v>12</v>
      </c>
      <c r="I659" s="836"/>
      <c r="J659" s="836"/>
      <c r="K659" s="837"/>
      <c r="L659" s="837">
        <v>0</v>
      </c>
      <c r="M659" s="837">
        <v>0</v>
      </c>
      <c r="N659" s="837">
        <v>0</v>
      </c>
      <c r="O659" s="837">
        <f t="shared" si="274"/>
        <v>0</v>
      </c>
      <c r="P659" s="837">
        <f t="shared" si="275"/>
        <v>0</v>
      </c>
      <c r="Q659" s="1264"/>
      <c r="R659" s="1264"/>
      <c r="S659" s="1264"/>
      <c r="T659" s="1264"/>
      <c r="U659" s="1264"/>
      <c r="V659" s="1264"/>
      <c r="W659" s="1264"/>
      <c r="X659" s="1264"/>
      <c r="Y659" s="1264"/>
      <c r="Z659" s="1264"/>
    </row>
    <row r="660" spans="1:26" ht="18.75" hidden="1">
      <c r="A660" s="1260"/>
      <c r="B660" s="1265"/>
      <c r="C660" s="1261"/>
      <c r="D660" s="1262"/>
      <c r="E660" s="1261" t="s">
        <v>185</v>
      </c>
      <c r="F660" s="1261"/>
      <c r="G660" s="1263"/>
      <c r="H660" s="165" t="s">
        <v>12</v>
      </c>
      <c r="I660" s="836"/>
      <c r="J660" s="836"/>
      <c r="K660" s="837"/>
      <c r="L660" s="837">
        <f ca="1">IFERROR(__xludf.DUMMYFUNCTION("IMPORTRANGE(""https://docs.google.com/spreadsheets/d/1QqKyyYR6Q21VydFLVH3TRQUabQu_ym0Zz7PgGX0-kHA/edit?usp=sharing"",""แผน!HV30"")"),12400)</f>
        <v>12400</v>
      </c>
      <c r="M660" s="837">
        <v>0</v>
      </c>
      <c r="N660" s="837">
        <f>N661+N662+N663+N664</f>
        <v>4520</v>
      </c>
      <c r="O660" s="837">
        <f t="shared" ca="1" si="274"/>
        <v>36.451612903225808</v>
      </c>
      <c r="P660" s="837">
        <f t="shared" si="275"/>
        <v>0</v>
      </c>
      <c r="Q660" s="1264"/>
      <c r="R660" s="1264"/>
      <c r="S660" s="1264"/>
      <c r="T660" s="1264"/>
      <c r="U660" s="1264"/>
      <c r="V660" s="1264"/>
      <c r="W660" s="1264"/>
      <c r="X660" s="1264"/>
      <c r="Y660" s="1264"/>
      <c r="Z660" s="1264"/>
    </row>
    <row r="661" spans="1:26" ht="18.75">
      <c r="A661" s="1241"/>
      <c r="B661" s="1242"/>
      <c r="C661" s="1243"/>
      <c r="D661" s="1243"/>
      <c r="E661" s="1243"/>
      <c r="F661" s="1243" t="s">
        <v>186</v>
      </c>
      <c r="G661" s="963"/>
      <c r="H661" s="778" t="s">
        <v>12</v>
      </c>
      <c r="I661" s="830"/>
      <c r="J661" s="830"/>
      <c r="K661" s="831"/>
      <c r="L661" s="831"/>
      <c r="M661" s="831"/>
      <c r="N661" s="1031">
        <v>0</v>
      </c>
      <c r="O661" s="831"/>
      <c r="P661" s="831"/>
      <c r="Q661" s="1244"/>
      <c r="R661" s="1244"/>
      <c r="S661" s="1244"/>
      <c r="T661" s="1244"/>
      <c r="U661" s="1244"/>
      <c r="V661" s="1244"/>
      <c r="W661" s="1244"/>
      <c r="X661" s="1244"/>
      <c r="Y661" s="1244"/>
      <c r="Z661" s="1244"/>
    </row>
    <row r="662" spans="1:26" ht="18.75">
      <c r="A662" s="1241"/>
      <c r="B662" s="1242"/>
      <c r="C662" s="1243"/>
      <c r="D662" s="1243"/>
      <c r="E662" s="1243"/>
      <c r="F662" s="1243" t="s">
        <v>187</v>
      </c>
      <c r="G662" s="963"/>
      <c r="H662" s="778" t="s">
        <v>12</v>
      </c>
      <c r="I662" s="830"/>
      <c r="J662" s="830"/>
      <c r="K662" s="831"/>
      <c r="L662" s="831"/>
      <c r="M662" s="831"/>
      <c r="N662" s="1031">
        <v>0</v>
      </c>
      <c r="O662" s="831"/>
      <c r="P662" s="831"/>
      <c r="Q662" s="1244"/>
      <c r="R662" s="1244"/>
      <c r="S662" s="1244"/>
      <c r="T662" s="1244"/>
      <c r="U662" s="1244"/>
      <c r="V662" s="1244"/>
      <c r="W662" s="1244"/>
      <c r="X662" s="1244"/>
      <c r="Y662" s="1244"/>
      <c r="Z662" s="1244"/>
    </row>
    <row r="663" spans="1:26" ht="18.75">
      <c r="A663" s="1241"/>
      <c r="B663" s="1242"/>
      <c r="C663" s="1242"/>
      <c r="D663" s="1243"/>
      <c r="E663" s="1243"/>
      <c r="F663" s="1243" t="s">
        <v>188</v>
      </c>
      <c r="G663" s="963"/>
      <c r="H663" s="778" t="s">
        <v>12</v>
      </c>
      <c r="I663" s="830"/>
      <c r="J663" s="830"/>
      <c r="K663" s="831"/>
      <c r="L663" s="831"/>
      <c r="M663" s="831"/>
      <c r="N663" s="1031">
        <v>0</v>
      </c>
      <c r="O663" s="831"/>
      <c r="P663" s="831"/>
      <c r="Q663" s="1244"/>
      <c r="R663" s="1244"/>
      <c r="S663" s="1244"/>
      <c r="T663" s="1244"/>
      <c r="U663" s="1244"/>
      <c r="V663" s="1244"/>
      <c r="W663" s="1244"/>
      <c r="X663" s="1244"/>
      <c r="Y663" s="1244"/>
      <c r="Z663" s="1244"/>
    </row>
    <row r="664" spans="1:26" ht="18.75">
      <c r="A664" s="1241"/>
      <c r="B664" s="1242"/>
      <c r="C664" s="1242"/>
      <c r="D664" s="1242"/>
      <c r="E664" s="1243"/>
      <c r="F664" s="1243" t="s">
        <v>189</v>
      </c>
      <c r="G664" s="963"/>
      <c r="H664" s="778" t="s">
        <v>12</v>
      </c>
      <c r="I664" s="830"/>
      <c r="J664" s="830"/>
      <c r="K664" s="831"/>
      <c r="L664" s="831"/>
      <c r="M664" s="831"/>
      <c r="N664" s="1031">
        <v>4520</v>
      </c>
      <c r="O664" s="831"/>
      <c r="P664" s="831"/>
      <c r="Q664" s="1244"/>
      <c r="R664" s="1244"/>
      <c r="S664" s="1244"/>
      <c r="T664" s="1244"/>
      <c r="U664" s="1244"/>
      <c r="V664" s="1244"/>
      <c r="W664" s="1244"/>
      <c r="X664" s="1244"/>
      <c r="Y664" s="1244"/>
      <c r="Z664" s="1244"/>
    </row>
    <row r="665" spans="1:26" ht="18.75">
      <c r="A665" s="1259"/>
      <c r="B665" s="1242"/>
      <c r="C665" s="1242"/>
      <c r="D665" s="1266" t="s">
        <v>21</v>
      </c>
      <c r="E665" s="1243"/>
      <c r="F665" s="1243"/>
      <c r="G665" s="963"/>
      <c r="H665" s="168" t="s">
        <v>12</v>
      </c>
      <c r="I665" s="944"/>
      <c r="J665" s="944"/>
      <c r="K665" s="945"/>
      <c r="L665" s="831">
        <f t="shared" ref="L665:N665" si="278">L666+L667</f>
        <v>0</v>
      </c>
      <c r="M665" s="831">
        <f t="shared" si="278"/>
        <v>0</v>
      </c>
      <c r="N665" s="831">
        <f t="shared" si="278"/>
        <v>0</v>
      </c>
      <c r="O665" s="831">
        <f t="shared" ref="O665:O667" si="279">IF(L665&gt;0,N665*100/L665,0)</f>
        <v>0</v>
      </c>
      <c r="P665" s="831">
        <f t="shared" ref="P665:P667" si="280">IF(M665&gt;0,N665*100/M665,0)</f>
        <v>0</v>
      </c>
      <c r="Q665" s="1244"/>
      <c r="R665" s="1244"/>
      <c r="S665" s="1244"/>
      <c r="T665" s="1244"/>
      <c r="U665" s="1244"/>
      <c r="V665" s="1244"/>
      <c r="W665" s="1244"/>
      <c r="X665" s="1244"/>
      <c r="Y665" s="1244"/>
      <c r="Z665" s="1244"/>
    </row>
    <row r="666" spans="1:26" ht="18.75" hidden="1">
      <c r="A666" s="1260"/>
      <c r="B666" s="1265"/>
      <c r="C666" s="1265"/>
      <c r="D666" s="1265"/>
      <c r="E666" s="1261" t="s">
        <v>18</v>
      </c>
      <c r="F666" s="1261"/>
      <c r="G666" s="1263"/>
      <c r="H666" s="165" t="s">
        <v>12</v>
      </c>
      <c r="I666" s="947"/>
      <c r="J666" s="947"/>
      <c r="K666" s="948"/>
      <c r="L666" s="837">
        <v>0</v>
      </c>
      <c r="M666" s="837">
        <v>0</v>
      </c>
      <c r="N666" s="837">
        <v>0</v>
      </c>
      <c r="O666" s="837">
        <f t="shared" si="279"/>
        <v>0</v>
      </c>
      <c r="P666" s="837">
        <f t="shared" si="280"/>
        <v>0</v>
      </c>
      <c r="Q666" s="1264"/>
      <c r="R666" s="1264"/>
      <c r="S666" s="1264"/>
      <c r="T666" s="1264"/>
      <c r="U666" s="1264"/>
      <c r="V666" s="1264"/>
      <c r="W666" s="1264"/>
      <c r="X666" s="1264"/>
      <c r="Y666" s="1264"/>
      <c r="Z666" s="1264"/>
    </row>
    <row r="667" spans="1:26" ht="18.75" hidden="1">
      <c r="A667" s="1260"/>
      <c r="B667" s="1265"/>
      <c r="C667" s="1265"/>
      <c r="D667" s="1265"/>
      <c r="E667" s="1261" t="s">
        <v>19</v>
      </c>
      <c r="F667" s="1261"/>
      <c r="G667" s="1263"/>
      <c r="H667" s="169" t="s">
        <v>12</v>
      </c>
      <c r="I667" s="947"/>
      <c r="J667" s="947"/>
      <c r="K667" s="948"/>
      <c r="L667" s="837">
        <v>0</v>
      </c>
      <c r="M667" s="837">
        <v>0</v>
      </c>
      <c r="N667" s="837">
        <v>0</v>
      </c>
      <c r="O667" s="837">
        <f t="shared" si="279"/>
        <v>0</v>
      </c>
      <c r="P667" s="837">
        <f t="shared" si="280"/>
        <v>0</v>
      </c>
      <c r="Q667" s="1264"/>
      <c r="R667" s="1264"/>
      <c r="S667" s="1264"/>
      <c r="T667" s="1264"/>
      <c r="U667" s="1264"/>
      <c r="V667" s="1264"/>
      <c r="W667" s="1264"/>
      <c r="X667" s="1264"/>
      <c r="Y667" s="1264"/>
      <c r="Z667" s="1264"/>
    </row>
    <row r="668" spans="1:26" ht="19.5">
      <c r="A668" s="1267"/>
      <c r="B668" s="1268"/>
      <c r="C668" s="1242" t="s">
        <v>16</v>
      </c>
      <c r="D668" s="1269" t="s">
        <v>38</v>
      </c>
      <c r="E668" s="1271"/>
      <c r="F668" s="1271"/>
      <c r="G668" s="1272"/>
      <c r="H668" s="954"/>
      <c r="I668" s="944"/>
      <c r="J668" s="944"/>
      <c r="K668" s="945"/>
      <c r="L668" s="945"/>
      <c r="M668" s="945"/>
      <c r="N668" s="945"/>
      <c r="O668" s="945"/>
      <c r="P668" s="945"/>
      <c r="Q668" s="1244"/>
      <c r="R668" s="1244"/>
      <c r="S668" s="1244"/>
      <c r="T668" s="1244"/>
      <c r="U668" s="1244"/>
      <c r="V668" s="1244"/>
      <c r="W668" s="1244"/>
      <c r="X668" s="1244"/>
      <c r="Y668" s="1244"/>
      <c r="Z668" s="1244"/>
    </row>
    <row r="669" spans="1:26" ht="19.5">
      <c r="A669" s="1267"/>
      <c r="B669" s="1268"/>
      <c r="C669" s="1268"/>
      <c r="D669" s="1268" t="s">
        <v>280</v>
      </c>
      <c r="E669" s="961"/>
      <c r="F669" s="961"/>
      <c r="G669" s="954"/>
      <c r="H669" s="733" t="s">
        <v>46</v>
      </c>
      <c r="I669" s="966">
        <f ca="1">IFERROR(__xludf.DUMMYFUNCTION("IMPORTRANGE(""https://docs.google.com/spreadsheets/d/1QqKyyYR6Q21VydFLVH3TRQUabQu_ym0Zz7PgGX0-kHA/edit?usp=sharing"",""แผน!IA30"")"),100)</f>
        <v>100</v>
      </c>
      <c r="J669" s="966">
        <f>J675</f>
        <v>0</v>
      </c>
      <c r="K669" s="967">
        <f ca="1">IF(I669&gt;0,J669*100/I669,0)</f>
        <v>0</v>
      </c>
      <c r="L669" s="945"/>
      <c r="M669" s="945"/>
      <c r="N669" s="945"/>
      <c r="O669" s="945"/>
      <c r="P669" s="945"/>
      <c r="Q669" s="1244"/>
      <c r="R669" s="1244"/>
      <c r="S669" s="1244"/>
      <c r="T669" s="1244"/>
      <c r="U669" s="1244"/>
      <c r="V669" s="1244"/>
      <c r="W669" s="1244"/>
      <c r="X669" s="1244"/>
      <c r="Y669" s="1244"/>
      <c r="Z669" s="1244"/>
    </row>
    <row r="670" spans="1:26" ht="18.75">
      <c r="A670" s="1267"/>
      <c r="B670" s="1268"/>
      <c r="C670" s="1268"/>
      <c r="D670" s="1268"/>
      <c r="E670" s="961" t="s">
        <v>281</v>
      </c>
      <c r="F670" s="961"/>
      <c r="G670" s="954"/>
      <c r="H670" s="730" t="s">
        <v>66</v>
      </c>
      <c r="I670" s="830">
        <f ca="1">IFERROR(__xludf.DUMMYFUNCTION("IMPORTRANGE(""https://docs.google.com/spreadsheets/d/1QqKyyYR6Q21VydFLVH3TRQUabQu_ym0Zz7PgGX0-kHA/edit?usp=sharing"",""แผน!HZ30"")"),4)</f>
        <v>4</v>
      </c>
      <c r="J670" s="959">
        <v>6</v>
      </c>
      <c r="K670" s="831">
        <f ca="1">IF(I670&gt;0,(J670*100)/I670,0)</f>
        <v>150</v>
      </c>
      <c r="L670" s="945"/>
      <c r="M670" s="945"/>
      <c r="N670" s="945"/>
      <c r="O670" s="945"/>
      <c r="P670" s="945"/>
      <c r="Q670" s="1244"/>
      <c r="R670" s="1244"/>
      <c r="S670" s="1244"/>
      <c r="T670" s="1244"/>
      <c r="U670" s="1244"/>
      <c r="V670" s="1244"/>
      <c r="W670" s="1244"/>
      <c r="X670" s="1244"/>
      <c r="Y670" s="1244"/>
      <c r="Z670" s="1244"/>
    </row>
    <row r="671" spans="1:26" ht="18.75">
      <c r="A671" s="1267"/>
      <c r="B671" s="1268"/>
      <c r="C671" s="1268"/>
      <c r="D671" s="1268"/>
      <c r="E671" s="961" t="s">
        <v>282</v>
      </c>
      <c r="F671" s="961"/>
      <c r="G671" s="954"/>
      <c r="H671" s="730" t="s">
        <v>66</v>
      </c>
      <c r="I671" s="830">
        <f ca="1">IFERROR(__xludf.DUMMYFUNCTION("IMPORTRANGE(""https://docs.google.com/spreadsheets/d/1QqKyyYR6Q21VydFLVH3TRQUabQu_ym0Zz7PgGX0-kHA/edit?usp=sharing"",""แผน!HZ30"")"),4)</f>
        <v>4</v>
      </c>
      <c r="J671" s="959">
        <v>6</v>
      </c>
      <c r="K671" s="831">
        <f ca="1">IF(I$671&gt;0,J671*100/I$671,0)</f>
        <v>150</v>
      </c>
      <c r="L671" s="945"/>
      <c r="M671" s="945"/>
      <c r="N671" s="945"/>
      <c r="O671" s="945"/>
      <c r="P671" s="945"/>
      <c r="Q671" s="1244"/>
      <c r="R671" s="1244"/>
      <c r="S671" s="1244"/>
      <c r="T671" s="1244"/>
      <c r="U671" s="1244"/>
      <c r="V671" s="1244"/>
      <c r="W671" s="1244"/>
      <c r="X671" s="1244"/>
      <c r="Y671" s="1244"/>
      <c r="Z671" s="1244"/>
    </row>
    <row r="672" spans="1:26" ht="18.75">
      <c r="A672" s="1267"/>
      <c r="B672" s="1268"/>
      <c r="C672" s="1268"/>
      <c r="D672" s="1268"/>
      <c r="E672" s="961" t="s">
        <v>283</v>
      </c>
      <c r="F672" s="961"/>
      <c r="G672" s="954"/>
      <c r="H672" s="730" t="s">
        <v>46</v>
      </c>
      <c r="I672" s="830"/>
      <c r="J672" s="959">
        <v>0</v>
      </c>
      <c r="K672" s="831">
        <f t="shared" ref="K672:K675" ca="1" si="281">IF(I$669&gt;0,J672*100/I$669,0)</f>
        <v>0</v>
      </c>
      <c r="L672" s="945"/>
      <c r="M672" s="945"/>
      <c r="N672" s="945"/>
      <c r="O672" s="945"/>
      <c r="P672" s="945"/>
      <c r="Q672" s="1244"/>
      <c r="R672" s="1244"/>
      <c r="S672" s="1244"/>
      <c r="T672" s="1244"/>
      <c r="U672" s="1244"/>
      <c r="V672" s="1244"/>
      <c r="W672" s="1244"/>
      <c r="X672" s="1244"/>
      <c r="Y672" s="1244"/>
      <c r="Z672" s="1244"/>
    </row>
    <row r="673" spans="1:26" ht="18.75">
      <c r="A673" s="1267"/>
      <c r="B673" s="1268"/>
      <c r="C673" s="1268"/>
      <c r="D673" s="1268"/>
      <c r="E673" s="961" t="s">
        <v>284</v>
      </c>
      <c r="F673" s="961"/>
      <c r="G673" s="954"/>
      <c r="H673" s="730" t="s">
        <v>46</v>
      </c>
      <c r="I673" s="830"/>
      <c r="J673" s="959">
        <v>0</v>
      </c>
      <c r="K673" s="831">
        <f t="shared" ca="1" si="281"/>
        <v>0</v>
      </c>
      <c r="L673" s="945"/>
      <c r="M673" s="945"/>
      <c r="N673" s="945"/>
      <c r="O673" s="945"/>
      <c r="P673" s="945"/>
      <c r="Q673" s="1244"/>
      <c r="R673" s="1244"/>
      <c r="S673" s="1244"/>
      <c r="T673" s="1244"/>
      <c r="U673" s="1244"/>
      <c r="V673" s="1244"/>
      <c r="W673" s="1244"/>
      <c r="X673" s="1244"/>
      <c r="Y673" s="1244"/>
      <c r="Z673" s="1244"/>
    </row>
    <row r="674" spans="1:26" ht="18.75">
      <c r="A674" s="1267"/>
      <c r="B674" s="1268"/>
      <c r="C674" s="1268"/>
      <c r="D674" s="1268"/>
      <c r="E674" s="961" t="s">
        <v>285</v>
      </c>
      <c r="F674" s="961"/>
      <c r="G674" s="954"/>
      <c r="H674" s="730" t="s">
        <v>46</v>
      </c>
      <c r="I674" s="830"/>
      <c r="J674" s="959">
        <v>0</v>
      </c>
      <c r="K674" s="831">
        <f t="shared" ca="1" si="281"/>
        <v>0</v>
      </c>
      <c r="L674" s="945"/>
      <c r="M674" s="945"/>
      <c r="N674" s="945"/>
      <c r="O674" s="945"/>
      <c r="P674" s="945"/>
      <c r="Q674" s="1244"/>
      <c r="R674" s="1244"/>
      <c r="S674" s="1244"/>
      <c r="T674" s="1244"/>
      <c r="U674" s="1244"/>
      <c r="V674" s="1244"/>
      <c r="W674" s="1244"/>
      <c r="X674" s="1244"/>
      <c r="Y674" s="1244"/>
      <c r="Z674" s="1244"/>
    </row>
    <row r="675" spans="1:26" ht="19.5">
      <c r="A675" s="1267"/>
      <c r="B675" s="1268"/>
      <c r="C675" s="1268"/>
      <c r="D675" s="1268"/>
      <c r="E675" s="961" t="s">
        <v>286</v>
      </c>
      <c r="F675" s="961"/>
      <c r="G675" s="954"/>
      <c r="H675" s="730" t="s">
        <v>46</v>
      </c>
      <c r="I675" s="830"/>
      <c r="J675" s="966">
        <f>J676+J677</f>
        <v>0</v>
      </c>
      <c r="K675" s="967">
        <f t="shared" ca="1" si="281"/>
        <v>0</v>
      </c>
      <c r="L675" s="945"/>
      <c r="M675" s="945"/>
      <c r="N675" s="945"/>
      <c r="O675" s="945"/>
      <c r="P675" s="945"/>
      <c r="Q675" s="1244"/>
      <c r="R675" s="1244"/>
      <c r="S675" s="1244"/>
      <c r="T675" s="1244"/>
      <c r="U675" s="1244"/>
      <c r="V675" s="1244"/>
      <c r="W675" s="1244"/>
      <c r="X675" s="1244"/>
      <c r="Y675" s="1244"/>
      <c r="Z675" s="1244"/>
    </row>
    <row r="676" spans="1:26" ht="18.75">
      <c r="A676" s="1267"/>
      <c r="B676" s="1268"/>
      <c r="C676" s="1268"/>
      <c r="D676" s="1268"/>
      <c r="E676" s="961"/>
      <c r="F676" s="961" t="s">
        <v>287</v>
      </c>
      <c r="G676" s="954"/>
      <c r="H676" s="730" t="s">
        <v>46</v>
      </c>
      <c r="I676" s="830"/>
      <c r="J676" s="959">
        <v>0</v>
      </c>
      <c r="K676" s="831"/>
      <c r="L676" s="945"/>
      <c r="M676" s="945"/>
      <c r="N676" s="945"/>
      <c r="O676" s="945"/>
      <c r="P676" s="945"/>
      <c r="Q676" s="1244"/>
      <c r="R676" s="1244"/>
      <c r="S676" s="1244"/>
      <c r="T676" s="1244"/>
      <c r="U676" s="1244"/>
      <c r="V676" s="1244"/>
      <c r="W676" s="1244"/>
      <c r="X676" s="1244"/>
      <c r="Y676" s="1244"/>
      <c r="Z676" s="1244"/>
    </row>
    <row r="677" spans="1:26" ht="18.75">
      <c r="A677" s="1267"/>
      <c r="B677" s="1268"/>
      <c r="C677" s="1268"/>
      <c r="D677" s="1268"/>
      <c r="E677" s="961"/>
      <c r="F677" s="961" t="s">
        <v>288</v>
      </c>
      <c r="G677" s="954"/>
      <c r="H677" s="730" t="s">
        <v>46</v>
      </c>
      <c r="I677" s="830"/>
      <c r="J677" s="959">
        <v>0</v>
      </c>
      <c r="K677" s="831"/>
      <c r="L677" s="945"/>
      <c r="M677" s="945"/>
      <c r="N677" s="945"/>
      <c r="O677" s="945"/>
      <c r="P677" s="945"/>
      <c r="Q677" s="1244"/>
      <c r="R677" s="1244"/>
      <c r="S677" s="1244"/>
      <c r="T677" s="1244"/>
      <c r="U677" s="1244"/>
      <c r="V677" s="1244"/>
      <c r="W677" s="1244"/>
      <c r="X677" s="1244"/>
      <c r="Y677" s="1244"/>
      <c r="Z677" s="1244"/>
    </row>
    <row r="678" spans="1:26" ht="19.5">
      <c r="A678" s="1267"/>
      <c r="B678" s="1268"/>
      <c r="C678" s="1268"/>
      <c r="D678" s="1268" t="s">
        <v>289</v>
      </c>
      <c r="E678" s="961"/>
      <c r="F678" s="961"/>
      <c r="G678" s="954"/>
      <c r="H678" s="730" t="s">
        <v>46</v>
      </c>
      <c r="I678" s="966">
        <f ca="1">IFERROR(__xludf.DUMMYFUNCTION("IMPORTRANGE(""https://docs.google.com/spreadsheets/d/1QqKyyYR6Q21VydFLVH3TRQUabQu_ym0Zz7PgGX0-kHA/edit?usp=sharing"",""แผน!IB30"")"),0)</f>
        <v>0</v>
      </c>
      <c r="J678" s="966">
        <f>J679</f>
        <v>0</v>
      </c>
      <c r="K678" s="967">
        <f ca="1">IF(I678&gt;0,J678*100/I678,0)</f>
        <v>0</v>
      </c>
      <c r="L678" s="945"/>
      <c r="M678" s="945"/>
      <c r="N678" s="945"/>
      <c r="O678" s="945"/>
      <c r="P678" s="945"/>
      <c r="Q678" s="1244"/>
      <c r="R678" s="1244"/>
      <c r="S678" s="1244"/>
      <c r="T678" s="1244"/>
      <c r="U678" s="1244"/>
      <c r="V678" s="1244"/>
      <c r="W678" s="1244"/>
      <c r="X678" s="1244"/>
      <c r="Y678" s="1244"/>
      <c r="Z678" s="1244"/>
    </row>
    <row r="679" spans="1:26" ht="18.75">
      <c r="A679" s="1267"/>
      <c r="B679" s="1268"/>
      <c r="C679" s="1268"/>
      <c r="D679" s="1268"/>
      <c r="E679" s="961" t="s">
        <v>290</v>
      </c>
      <c r="F679" s="961"/>
      <c r="G679" s="954"/>
      <c r="H679" s="730" t="s">
        <v>46</v>
      </c>
      <c r="I679" s="830"/>
      <c r="J679" s="830">
        <f>J680+J681</f>
        <v>0</v>
      </c>
      <c r="K679" s="831"/>
      <c r="L679" s="945"/>
      <c r="M679" s="945"/>
      <c r="N679" s="945"/>
      <c r="O679" s="945"/>
      <c r="P679" s="945"/>
      <c r="Q679" s="1244"/>
      <c r="R679" s="1244"/>
      <c r="S679" s="1244"/>
      <c r="T679" s="1244"/>
      <c r="U679" s="1244"/>
      <c r="V679" s="1244"/>
      <c r="W679" s="1244"/>
      <c r="X679" s="1244"/>
      <c r="Y679" s="1244"/>
      <c r="Z679" s="1244"/>
    </row>
    <row r="680" spans="1:26" ht="18.75">
      <c r="A680" s="1267"/>
      <c r="B680" s="1268"/>
      <c r="C680" s="1268"/>
      <c r="D680" s="1268"/>
      <c r="E680" s="961"/>
      <c r="F680" s="961" t="s">
        <v>287</v>
      </c>
      <c r="G680" s="954"/>
      <c r="H680" s="730" t="s">
        <v>46</v>
      </c>
      <c r="I680" s="830"/>
      <c r="J680" s="959">
        <v>0</v>
      </c>
      <c r="K680" s="831"/>
      <c r="L680" s="945"/>
      <c r="M680" s="945"/>
      <c r="N680" s="945"/>
      <c r="O680" s="945"/>
      <c r="P680" s="945"/>
      <c r="Q680" s="1244"/>
      <c r="R680" s="1244"/>
      <c r="S680" s="1244"/>
      <c r="T680" s="1244"/>
      <c r="U680" s="1244"/>
      <c r="V680" s="1244"/>
      <c r="W680" s="1244"/>
      <c r="X680" s="1244"/>
      <c r="Y680" s="1244"/>
      <c r="Z680" s="1244"/>
    </row>
    <row r="681" spans="1:26" ht="18.75">
      <c r="A681" s="1267"/>
      <c r="B681" s="1268"/>
      <c r="C681" s="1268"/>
      <c r="D681" s="1268"/>
      <c r="E681" s="961"/>
      <c r="F681" s="961" t="s">
        <v>288</v>
      </c>
      <c r="G681" s="954"/>
      <c r="H681" s="730" t="s">
        <v>46</v>
      </c>
      <c r="I681" s="830"/>
      <c r="J681" s="959">
        <v>0</v>
      </c>
      <c r="K681" s="831"/>
      <c r="L681" s="945"/>
      <c r="M681" s="945"/>
      <c r="N681" s="945"/>
      <c r="O681" s="945"/>
      <c r="P681" s="945"/>
      <c r="Q681" s="1244"/>
      <c r="R681" s="1244"/>
      <c r="S681" s="1244"/>
      <c r="T681" s="1244"/>
      <c r="U681" s="1244"/>
      <c r="V681" s="1244"/>
      <c r="W681" s="1244"/>
      <c r="X681" s="1244"/>
      <c r="Y681" s="1244"/>
      <c r="Z681" s="1244"/>
    </row>
    <row r="682" spans="1:26" ht="18.75">
      <c r="A682" s="1267"/>
      <c r="B682" s="1268"/>
      <c r="C682" s="1268"/>
      <c r="D682" s="1268"/>
      <c r="E682" s="961" t="s">
        <v>291</v>
      </c>
      <c r="F682" s="961"/>
      <c r="G682" s="954"/>
      <c r="H682" s="730" t="s">
        <v>46</v>
      </c>
      <c r="I682" s="830"/>
      <c r="J682" s="959">
        <v>0</v>
      </c>
      <c r="K682" s="831"/>
      <c r="L682" s="945"/>
      <c r="M682" s="945"/>
      <c r="N682" s="945"/>
      <c r="O682" s="945"/>
      <c r="P682" s="945"/>
      <c r="Q682" s="1244"/>
      <c r="R682" s="1244"/>
      <c r="S682" s="1244"/>
      <c r="T682" s="1244"/>
      <c r="U682" s="1244"/>
      <c r="V682" s="1244"/>
      <c r="W682" s="1244"/>
      <c r="X682" s="1244"/>
      <c r="Y682" s="1244"/>
      <c r="Z682" s="1244"/>
    </row>
    <row r="683" spans="1:26" ht="18.75">
      <c r="A683" s="1267"/>
      <c r="B683" s="1268"/>
      <c r="C683" s="1268"/>
      <c r="D683" s="1268"/>
      <c r="E683" s="961"/>
      <c r="F683" s="961" t="s">
        <v>292</v>
      </c>
      <c r="G683" s="954"/>
      <c r="H683" s="730" t="s">
        <v>46</v>
      </c>
      <c r="I683" s="830"/>
      <c r="J683" s="959">
        <v>0</v>
      </c>
      <c r="K683" s="831"/>
      <c r="L683" s="945"/>
      <c r="M683" s="945"/>
      <c r="N683" s="945"/>
      <c r="O683" s="945"/>
      <c r="P683" s="945"/>
      <c r="Q683" s="1244"/>
      <c r="R683" s="1244"/>
      <c r="S683" s="1244"/>
      <c r="T683" s="1244"/>
      <c r="U683" s="1244"/>
      <c r="V683" s="1244"/>
      <c r="W683" s="1244"/>
      <c r="X683" s="1244"/>
      <c r="Y683" s="1244"/>
      <c r="Z683" s="1244"/>
    </row>
    <row r="684" spans="1:26" ht="19.5">
      <c r="A684" s="1373"/>
      <c r="B684" s="1374" t="s">
        <v>293</v>
      </c>
      <c r="C684" s="1373"/>
      <c r="D684" s="1373"/>
      <c r="E684" s="1373"/>
      <c r="F684" s="1373"/>
      <c r="G684" s="1375"/>
      <c r="H684" s="1375"/>
      <c r="I684" s="1376"/>
      <c r="J684" s="1376"/>
      <c r="K684" s="1377"/>
      <c r="L684" s="1377"/>
      <c r="M684" s="1377"/>
      <c r="N684" s="1377"/>
      <c r="O684" s="1377"/>
      <c r="P684" s="1377"/>
      <c r="Q684" s="1244"/>
      <c r="R684" s="1244"/>
      <c r="S684" s="1244"/>
      <c r="T684" s="1244"/>
      <c r="U684" s="1244"/>
      <c r="V684" s="1244"/>
      <c r="W684" s="1244"/>
      <c r="X684" s="1244"/>
      <c r="Y684" s="1244"/>
      <c r="Z684" s="1244"/>
    </row>
    <row r="685" spans="1:26" ht="19.5">
      <c r="A685" s="1259"/>
      <c r="B685" s="1243"/>
      <c r="C685" s="1243" t="s">
        <v>16</v>
      </c>
      <c r="D685" s="1507" t="s">
        <v>17</v>
      </c>
      <c r="E685" s="1485"/>
      <c r="F685" s="1485"/>
      <c r="G685" s="963"/>
      <c r="H685" s="563" t="s">
        <v>12</v>
      </c>
      <c r="I685" s="830"/>
      <c r="J685" s="830"/>
      <c r="K685" s="831"/>
      <c r="L685" s="967">
        <f t="shared" ref="L685:N685" ca="1" si="282">L686+L687</f>
        <v>40660</v>
      </c>
      <c r="M685" s="967">
        <f t="shared" si="282"/>
        <v>0</v>
      </c>
      <c r="N685" s="967">
        <f t="shared" si="282"/>
        <v>1000</v>
      </c>
      <c r="O685" s="967">
        <f t="shared" ref="O685:O688" ca="1" si="283">IF(L685&gt;0,N685*100/L685,0)</f>
        <v>2.4594195769798328</v>
      </c>
      <c r="P685" s="967">
        <f t="shared" ref="P685:P688" si="284">IF(M685&gt;0,N685*100/M685,0)</f>
        <v>0</v>
      </c>
      <c r="Q685" s="1244"/>
      <c r="R685" s="1244"/>
      <c r="S685" s="1244"/>
      <c r="T685" s="1244"/>
      <c r="U685" s="1244"/>
      <c r="V685" s="1244"/>
      <c r="W685" s="1244"/>
      <c r="X685" s="1244"/>
      <c r="Y685" s="1244"/>
      <c r="Z685" s="1244"/>
    </row>
    <row r="686" spans="1:26" ht="18.75" hidden="1">
      <c r="A686" s="1260"/>
      <c r="B686" s="1261"/>
      <c r="C686" s="1261"/>
      <c r="D686" s="1262"/>
      <c r="E686" s="1261" t="s">
        <v>184</v>
      </c>
      <c r="F686" s="1261"/>
      <c r="G686" s="1263"/>
      <c r="H686" s="165" t="s">
        <v>12</v>
      </c>
      <c r="I686" s="836"/>
      <c r="J686" s="836"/>
      <c r="K686" s="837"/>
      <c r="L686" s="837">
        <f t="shared" ref="L686:N687" si="285">L689+L696</f>
        <v>0</v>
      </c>
      <c r="M686" s="837">
        <f t="shared" si="285"/>
        <v>0</v>
      </c>
      <c r="N686" s="837">
        <f t="shared" si="285"/>
        <v>0</v>
      </c>
      <c r="O686" s="837">
        <f t="shared" si="283"/>
        <v>0</v>
      </c>
      <c r="P686" s="837">
        <f t="shared" si="284"/>
        <v>0</v>
      </c>
      <c r="Q686" s="1264"/>
      <c r="R686" s="1264"/>
      <c r="S686" s="1264"/>
      <c r="T686" s="1264"/>
      <c r="U686" s="1264"/>
      <c r="V686" s="1264"/>
      <c r="W686" s="1264"/>
      <c r="X686" s="1264"/>
      <c r="Y686" s="1264"/>
      <c r="Z686" s="1264"/>
    </row>
    <row r="687" spans="1:26" ht="18.75" hidden="1">
      <c r="A687" s="1260"/>
      <c r="B687" s="1265"/>
      <c r="C687" s="1261"/>
      <c r="D687" s="1262"/>
      <c r="E687" s="1261" t="s">
        <v>185</v>
      </c>
      <c r="F687" s="1261"/>
      <c r="G687" s="1263"/>
      <c r="H687" s="165" t="s">
        <v>12</v>
      </c>
      <c r="I687" s="836"/>
      <c r="J687" s="836"/>
      <c r="K687" s="837"/>
      <c r="L687" s="837">
        <f t="shared" ca="1" si="285"/>
        <v>40660</v>
      </c>
      <c r="M687" s="837">
        <f t="shared" si="285"/>
        <v>0</v>
      </c>
      <c r="N687" s="837">
        <f t="shared" si="285"/>
        <v>1000</v>
      </c>
      <c r="O687" s="837">
        <f t="shared" ca="1" si="283"/>
        <v>2.4594195769798328</v>
      </c>
      <c r="P687" s="837">
        <f t="shared" si="284"/>
        <v>0</v>
      </c>
      <c r="Q687" s="1264"/>
      <c r="R687" s="1264"/>
      <c r="S687" s="1264"/>
      <c r="T687" s="1264"/>
      <c r="U687" s="1264"/>
      <c r="V687" s="1264"/>
      <c r="W687" s="1264"/>
      <c r="X687" s="1264"/>
      <c r="Y687" s="1264"/>
      <c r="Z687" s="1264"/>
    </row>
    <row r="688" spans="1:26" ht="18.75">
      <c r="A688" s="1259"/>
      <c r="B688" s="1242"/>
      <c r="C688" s="1243"/>
      <c r="D688" s="1266" t="s">
        <v>20</v>
      </c>
      <c r="E688" s="1243"/>
      <c r="F688" s="1243"/>
      <c r="G688" s="963"/>
      <c r="H688" s="778" t="s">
        <v>12</v>
      </c>
      <c r="I688" s="944"/>
      <c r="J688" s="944"/>
      <c r="K688" s="945"/>
      <c r="L688" s="831">
        <f t="shared" ref="L688:N688" ca="1" si="286">L689+L690</f>
        <v>40660</v>
      </c>
      <c r="M688" s="831">
        <f t="shared" si="286"/>
        <v>0</v>
      </c>
      <c r="N688" s="831">
        <f t="shared" si="286"/>
        <v>1000</v>
      </c>
      <c r="O688" s="831">
        <f t="shared" ca="1" si="283"/>
        <v>2.4594195769798328</v>
      </c>
      <c r="P688" s="831">
        <f t="shared" si="284"/>
        <v>0</v>
      </c>
      <c r="Q688" s="1244"/>
      <c r="R688" s="1244"/>
      <c r="S688" s="1244"/>
      <c r="T688" s="1244"/>
      <c r="U688" s="1244"/>
      <c r="V688" s="1244"/>
      <c r="W688" s="1244"/>
      <c r="X688" s="1244"/>
      <c r="Y688" s="1244"/>
      <c r="Z688" s="1244"/>
    </row>
    <row r="689" spans="1:26" ht="18.75" hidden="1">
      <c r="A689" s="1260"/>
      <c r="B689" s="1265"/>
      <c r="C689" s="1261"/>
      <c r="D689" s="1262"/>
      <c r="E689" s="1261" t="s">
        <v>184</v>
      </c>
      <c r="F689" s="1261"/>
      <c r="G689" s="1263"/>
      <c r="H689" s="165" t="s">
        <v>12</v>
      </c>
      <c r="I689" s="836"/>
      <c r="J689" s="836"/>
      <c r="K689" s="837"/>
      <c r="L689" s="837">
        <v>0</v>
      </c>
      <c r="M689" s="837">
        <v>0</v>
      </c>
      <c r="N689" s="837">
        <v>0</v>
      </c>
      <c r="O689" s="837"/>
      <c r="P689" s="837"/>
      <c r="Q689" s="1264"/>
      <c r="R689" s="1264"/>
      <c r="S689" s="1264"/>
      <c r="T689" s="1264"/>
      <c r="U689" s="1264"/>
      <c r="V689" s="1264"/>
      <c r="W689" s="1264"/>
      <c r="X689" s="1264"/>
      <c r="Y689" s="1264"/>
      <c r="Z689" s="1264"/>
    </row>
    <row r="690" spans="1:26" ht="18.75" hidden="1">
      <c r="A690" s="1260"/>
      <c r="B690" s="1265"/>
      <c r="C690" s="1261"/>
      <c r="D690" s="1262"/>
      <c r="E690" s="1261" t="s">
        <v>185</v>
      </c>
      <c r="F690" s="1261"/>
      <c r="G690" s="1263"/>
      <c r="H690" s="165" t="s">
        <v>12</v>
      </c>
      <c r="I690" s="836"/>
      <c r="J690" s="836"/>
      <c r="K690" s="837"/>
      <c r="L690" s="837">
        <f ca="1">IFERROR(__xludf.DUMMYFUNCTION("IMPORTRANGE(""https://docs.google.com/spreadsheets/d/1QqKyyYR6Q21VydFLVH3TRQUabQu_ym0Zz7PgGX0-kHA/edit?usp=sharing"",""แผน!HW30"")"),40660)</f>
        <v>40660</v>
      </c>
      <c r="M690" s="837">
        <v>0</v>
      </c>
      <c r="N690" s="837">
        <f>N691+N692+N693+N694</f>
        <v>1000</v>
      </c>
      <c r="O690" s="837">
        <f ca="1">IF(L690&gt;0,N690*100/L690,0)</f>
        <v>2.4594195769798328</v>
      </c>
      <c r="P690" s="837">
        <f>IF(M690&gt;0,N690*100/M690,0)</f>
        <v>0</v>
      </c>
      <c r="Q690" s="1264"/>
      <c r="R690" s="1264"/>
      <c r="S690" s="1264"/>
      <c r="T690" s="1264"/>
      <c r="U690" s="1264"/>
      <c r="V690" s="1264"/>
      <c r="W690" s="1264"/>
      <c r="X690" s="1264"/>
      <c r="Y690" s="1264"/>
      <c r="Z690" s="1264"/>
    </row>
    <row r="691" spans="1:26" ht="18.75">
      <c r="A691" s="1241"/>
      <c r="B691" s="1242"/>
      <c r="C691" s="1243"/>
      <c r="D691" s="1243"/>
      <c r="E691" s="1243"/>
      <c r="F691" s="1243" t="s">
        <v>186</v>
      </c>
      <c r="G691" s="963"/>
      <c r="H691" s="778" t="s">
        <v>12</v>
      </c>
      <c r="I691" s="830"/>
      <c r="J691" s="830"/>
      <c r="K691" s="831"/>
      <c r="L691" s="831"/>
      <c r="M691" s="831"/>
      <c r="N691" s="1031">
        <v>0</v>
      </c>
      <c r="O691" s="831"/>
      <c r="P691" s="831"/>
      <c r="Q691" s="1244"/>
      <c r="R691" s="1244"/>
      <c r="S691" s="1244"/>
      <c r="T691" s="1244"/>
      <c r="U691" s="1244"/>
      <c r="V691" s="1244"/>
      <c r="W691" s="1244"/>
      <c r="X691" s="1244"/>
      <c r="Y691" s="1244"/>
      <c r="Z691" s="1244"/>
    </row>
    <row r="692" spans="1:26" ht="18.75">
      <c r="A692" s="1241"/>
      <c r="B692" s="1242"/>
      <c r="C692" s="1243"/>
      <c r="D692" s="1243"/>
      <c r="E692" s="1243"/>
      <c r="F692" s="1243" t="s">
        <v>187</v>
      </c>
      <c r="G692" s="963"/>
      <c r="H692" s="778" t="s">
        <v>12</v>
      </c>
      <c r="I692" s="830"/>
      <c r="J692" s="830"/>
      <c r="K692" s="831"/>
      <c r="L692" s="831"/>
      <c r="M692" s="831"/>
      <c r="N692" s="1031">
        <v>0</v>
      </c>
      <c r="O692" s="831"/>
      <c r="P692" s="831"/>
      <c r="Q692" s="1244"/>
      <c r="R692" s="1244"/>
      <c r="S692" s="1244"/>
      <c r="T692" s="1244"/>
      <c r="U692" s="1244"/>
      <c r="V692" s="1244"/>
      <c r="W692" s="1244"/>
      <c r="X692" s="1244"/>
      <c r="Y692" s="1244"/>
      <c r="Z692" s="1244"/>
    </row>
    <row r="693" spans="1:26" ht="18.75">
      <c r="A693" s="1241"/>
      <c r="B693" s="1242"/>
      <c r="C693" s="1243"/>
      <c r="D693" s="1243"/>
      <c r="E693" s="1243"/>
      <c r="F693" s="1243" t="s">
        <v>188</v>
      </c>
      <c r="G693" s="963"/>
      <c r="H693" s="778" t="s">
        <v>12</v>
      </c>
      <c r="I693" s="830"/>
      <c r="J693" s="830"/>
      <c r="K693" s="831"/>
      <c r="L693" s="831"/>
      <c r="M693" s="831"/>
      <c r="N693" s="1031">
        <v>0</v>
      </c>
      <c r="O693" s="831"/>
      <c r="P693" s="831"/>
      <c r="Q693" s="1244"/>
      <c r="R693" s="1244"/>
      <c r="S693" s="1244"/>
      <c r="T693" s="1244"/>
      <c r="U693" s="1244"/>
      <c r="V693" s="1244"/>
      <c r="W693" s="1244"/>
      <c r="X693" s="1244"/>
      <c r="Y693" s="1244"/>
      <c r="Z693" s="1244"/>
    </row>
    <row r="694" spans="1:26" ht="18.75">
      <c r="A694" s="1241"/>
      <c r="B694" s="1242"/>
      <c r="C694" s="1243"/>
      <c r="D694" s="1243"/>
      <c r="E694" s="1243"/>
      <c r="F694" s="1243" t="s">
        <v>189</v>
      </c>
      <c r="G694" s="963"/>
      <c r="H694" s="778" t="s">
        <v>12</v>
      </c>
      <c r="I694" s="830"/>
      <c r="J694" s="830"/>
      <c r="K694" s="831"/>
      <c r="L694" s="831"/>
      <c r="M694" s="831"/>
      <c r="N694" s="1031">
        <v>1000</v>
      </c>
      <c r="O694" s="831"/>
      <c r="P694" s="831"/>
      <c r="Q694" s="1244"/>
      <c r="R694" s="1244"/>
      <c r="S694" s="1244"/>
      <c r="T694" s="1244"/>
      <c r="U694" s="1244"/>
      <c r="V694" s="1244"/>
      <c r="W694" s="1244"/>
      <c r="X694" s="1244"/>
      <c r="Y694" s="1244"/>
      <c r="Z694" s="1244"/>
    </row>
    <row r="695" spans="1:26" ht="18.75">
      <c r="A695" s="1259"/>
      <c r="B695" s="1242"/>
      <c r="C695" s="1243"/>
      <c r="D695" s="1266" t="s">
        <v>21</v>
      </c>
      <c r="E695" s="1243"/>
      <c r="F695" s="1243"/>
      <c r="G695" s="963"/>
      <c r="H695" s="168" t="s">
        <v>12</v>
      </c>
      <c r="I695" s="944"/>
      <c r="J695" s="944"/>
      <c r="K695" s="945"/>
      <c r="L695" s="831">
        <f t="shared" ref="L695:N695" si="287">L696+L697</f>
        <v>0</v>
      </c>
      <c r="M695" s="831">
        <f t="shared" si="287"/>
        <v>0</v>
      </c>
      <c r="N695" s="831">
        <f t="shared" si="287"/>
        <v>0</v>
      </c>
      <c r="O695" s="831">
        <f t="shared" ref="O695:O697" si="288">IF(L695&gt;0,N695*100/L695,0)</f>
        <v>0</v>
      </c>
      <c r="P695" s="831">
        <f t="shared" ref="P695:P697" si="289">IF(M695&gt;0,N695*100/M695,0)</f>
        <v>0</v>
      </c>
      <c r="Q695" s="1244"/>
      <c r="R695" s="1244"/>
      <c r="S695" s="1244"/>
      <c r="T695" s="1244"/>
      <c r="U695" s="1244"/>
      <c r="V695" s="1244"/>
      <c r="W695" s="1244"/>
      <c r="X695" s="1244"/>
      <c r="Y695" s="1244"/>
      <c r="Z695" s="1244"/>
    </row>
    <row r="696" spans="1:26" ht="18.75" hidden="1">
      <c r="A696" s="1260"/>
      <c r="B696" s="1265"/>
      <c r="C696" s="1261"/>
      <c r="D696" s="1261"/>
      <c r="E696" s="1261" t="s">
        <v>18</v>
      </c>
      <c r="F696" s="1261"/>
      <c r="G696" s="1263"/>
      <c r="H696" s="165" t="s">
        <v>12</v>
      </c>
      <c r="I696" s="947"/>
      <c r="J696" s="947"/>
      <c r="K696" s="948"/>
      <c r="L696" s="837">
        <v>0</v>
      </c>
      <c r="M696" s="837">
        <v>0</v>
      </c>
      <c r="N696" s="837">
        <v>0</v>
      </c>
      <c r="O696" s="837">
        <f t="shared" si="288"/>
        <v>0</v>
      </c>
      <c r="P696" s="837">
        <f t="shared" si="289"/>
        <v>0</v>
      </c>
      <c r="Q696" s="1264"/>
      <c r="R696" s="1264"/>
      <c r="S696" s="1264"/>
      <c r="T696" s="1264"/>
      <c r="U696" s="1264"/>
      <c r="V696" s="1264"/>
      <c r="W696" s="1264"/>
      <c r="X696" s="1264"/>
      <c r="Y696" s="1264"/>
      <c r="Z696" s="1264"/>
    </row>
    <row r="697" spans="1:26" ht="18.75" hidden="1">
      <c r="A697" s="1260"/>
      <c r="B697" s="1265"/>
      <c r="C697" s="1261"/>
      <c r="D697" s="1261"/>
      <c r="E697" s="1261" t="s">
        <v>19</v>
      </c>
      <c r="F697" s="1261"/>
      <c r="G697" s="1263"/>
      <c r="H697" s="169" t="s">
        <v>12</v>
      </c>
      <c r="I697" s="947"/>
      <c r="J697" s="947"/>
      <c r="K697" s="948"/>
      <c r="L697" s="837">
        <v>0</v>
      </c>
      <c r="M697" s="837">
        <v>0</v>
      </c>
      <c r="N697" s="837">
        <v>0</v>
      </c>
      <c r="O697" s="837">
        <f t="shared" si="288"/>
        <v>0</v>
      </c>
      <c r="P697" s="837">
        <f t="shared" si="289"/>
        <v>0</v>
      </c>
      <c r="Q697" s="1264"/>
      <c r="R697" s="1264"/>
      <c r="S697" s="1264"/>
      <c r="T697" s="1264"/>
      <c r="U697" s="1264"/>
      <c r="V697" s="1264"/>
      <c r="W697" s="1264"/>
      <c r="X697" s="1264"/>
      <c r="Y697" s="1264"/>
      <c r="Z697" s="1264"/>
    </row>
    <row r="698" spans="1:26" ht="19.5">
      <c r="A698" s="1267"/>
      <c r="B698" s="1268"/>
      <c r="C698" s="1243" t="s">
        <v>16</v>
      </c>
      <c r="D698" s="1378" t="s">
        <v>38</v>
      </c>
      <c r="E698" s="1271"/>
      <c r="F698" s="1271"/>
      <c r="G698" s="1272"/>
      <c r="H698" s="954"/>
      <c r="I698" s="944"/>
      <c r="J698" s="944"/>
      <c r="K698" s="945"/>
      <c r="L698" s="945"/>
      <c r="M698" s="945"/>
      <c r="N698" s="945"/>
      <c r="O698" s="945"/>
      <c r="P698" s="945"/>
      <c r="Q698" s="1244"/>
      <c r="R698" s="1244"/>
      <c r="S698" s="1244"/>
      <c r="T698" s="1244"/>
      <c r="U698" s="1244"/>
      <c r="V698" s="1244"/>
      <c r="W698" s="1244"/>
      <c r="X698" s="1244"/>
      <c r="Y698" s="1244"/>
      <c r="Z698" s="1244"/>
    </row>
    <row r="699" spans="1:26" ht="18.75">
      <c r="A699" s="1368"/>
      <c r="B699" s="1243"/>
      <c r="C699" s="1243"/>
      <c r="D699" s="1243" t="s">
        <v>294</v>
      </c>
      <c r="E699" s="1243"/>
      <c r="F699" s="1243"/>
      <c r="G699" s="963"/>
      <c r="H699" s="730" t="s">
        <v>46</v>
      </c>
      <c r="I699" s="1379">
        <f ca="1">IFERROR(__xludf.DUMMYFUNCTION("IMPORTRANGE(""https://docs.google.com/spreadsheets/d/1QqKyyYR6Q21VydFLVH3TRQUabQu_ym0Zz7PgGX0-kHA/edit?usp=sharing"",""แผน!IC30"")"),18)</f>
        <v>18</v>
      </c>
      <c r="J699" s="830">
        <f ca="1">IFERROR(__xludf.DUMMYFUNCTION("IMPORTRANGE(""https://docs.google.com/spreadsheets/d/1XWAQStnk-4SwqDmLtmXYiTMKHgktTP8We1SCoS47DrQ/edit?usp=sharing"",""จัดที่ดิน!BB30"")"),0)</f>
        <v>0</v>
      </c>
      <c r="K699" s="831">
        <f t="shared" ref="K699:K701" ca="1" si="290">IF(I699&gt;0,J699*100/I699,0)</f>
        <v>0</v>
      </c>
      <c r="L699" s="831"/>
      <c r="M699" s="963"/>
      <c r="N699" s="1380"/>
      <c r="O699" s="831"/>
      <c r="P699" s="831"/>
      <c r="Q699" s="1244"/>
      <c r="R699" s="1244"/>
      <c r="S699" s="1244"/>
      <c r="T699" s="1244"/>
      <c r="U699" s="1244"/>
      <c r="V699" s="1244"/>
      <c r="W699" s="1244"/>
      <c r="X699" s="1244"/>
      <c r="Y699" s="1244"/>
      <c r="Z699" s="1244"/>
    </row>
    <row r="700" spans="1:26" ht="18.75">
      <c r="A700" s="1368"/>
      <c r="B700" s="1243"/>
      <c r="C700" s="1243"/>
      <c r="D700" s="1243" t="s">
        <v>295</v>
      </c>
      <c r="E700" s="1243"/>
      <c r="F700" s="1243"/>
      <c r="G700" s="963"/>
      <c r="H700" s="730" t="s">
        <v>35</v>
      </c>
      <c r="I700" s="1379">
        <f ca="1">IFERROR(__xludf.DUMMYFUNCTION("IMPORTRANGE(""https://docs.google.com/spreadsheets/d/1QqKyyYR6Q21VydFLVH3TRQUabQu_ym0Zz7PgGX0-kHA/edit?usp=sharing"",""แผน!ID30"")"),3)</f>
        <v>3</v>
      </c>
      <c r="J700" s="830">
        <f ca="1">IFERROR(__xludf.DUMMYFUNCTION("IMPORTRANGE(""https://docs.google.com/spreadsheets/d/1XWAQStnk-4SwqDmLtmXYiTMKHgktTP8We1SCoS47DrQ/edit?usp=sharing"",""จัดที่ดิน!BD30"")"),0)</f>
        <v>0</v>
      </c>
      <c r="K700" s="831">
        <f t="shared" ca="1" si="290"/>
        <v>0</v>
      </c>
      <c r="L700" s="831"/>
      <c r="M700" s="963"/>
      <c r="N700" s="1380"/>
      <c r="O700" s="831"/>
      <c r="P700" s="831"/>
      <c r="Q700" s="1244"/>
      <c r="R700" s="1244"/>
      <c r="S700" s="1244"/>
      <c r="T700" s="1244"/>
      <c r="U700" s="1244"/>
      <c r="V700" s="1244"/>
      <c r="W700" s="1244"/>
      <c r="X700" s="1244"/>
      <c r="Y700" s="1244"/>
      <c r="Z700" s="1244"/>
    </row>
    <row r="701" spans="1:26" ht="19.5">
      <c r="A701" s="1368"/>
      <c r="B701" s="1243"/>
      <c r="C701" s="1243"/>
      <c r="D701" s="1243" t="s">
        <v>296</v>
      </c>
      <c r="E701" s="1243"/>
      <c r="F701" s="1243"/>
      <c r="G701" s="963"/>
      <c r="H701" s="733" t="s">
        <v>46</v>
      </c>
      <c r="I701" s="1381">
        <f ca="1">IFERROR(__xludf.DUMMYFUNCTION("IMPORTRANGE(""https://docs.google.com/spreadsheets/d/1QqKyyYR6Q21VydFLVH3TRQUabQu_ym0Zz7PgGX0-kHA/edit?usp=sharing"",""แผน!IE30"")"),151)</f>
        <v>151</v>
      </c>
      <c r="J701" s="966">
        <f>J704+J707</f>
        <v>55.04</v>
      </c>
      <c r="K701" s="967">
        <f t="shared" ca="1" si="290"/>
        <v>36.450331125827816</v>
      </c>
      <c r="L701" s="831"/>
      <c r="M701" s="963"/>
      <c r="N701" s="1380"/>
      <c r="O701" s="831"/>
      <c r="P701" s="831"/>
      <c r="Q701" s="1244"/>
      <c r="R701" s="1244"/>
      <c r="S701" s="1244"/>
      <c r="T701" s="1244"/>
      <c r="U701" s="1244"/>
      <c r="V701" s="1244"/>
      <c r="W701" s="1244"/>
      <c r="X701" s="1244"/>
      <c r="Y701" s="1244"/>
      <c r="Z701" s="1244"/>
    </row>
    <row r="702" spans="1:26" ht="18.75">
      <c r="A702" s="1368"/>
      <c r="B702" s="1243"/>
      <c r="C702" s="1243"/>
      <c r="D702" s="1243"/>
      <c r="E702" s="1243" t="s">
        <v>297</v>
      </c>
      <c r="F702" s="1243"/>
      <c r="G702" s="963"/>
      <c r="H702" s="730" t="s">
        <v>35</v>
      </c>
      <c r="I702" s="1379"/>
      <c r="J702" s="959">
        <v>0</v>
      </c>
      <c r="K702" s="831"/>
      <c r="L702" s="831"/>
      <c r="M702" s="963"/>
      <c r="N702" s="1380"/>
      <c r="O702" s="831"/>
      <c r="P702" s="831"/>
      <c r="Q702" s="1244"/>
      <c r="R702" s="1244"/>
      <c r="S702" s="1244"/>
      <c r="T702" s="1244"/>
      <c r="U702" s="1244"/>
      <c r="V702" s="1244"/>
      <c r="W702" s="1244"/>
      <c r="X702" s="1244"/>
      <c r="Y702" s="1244"/>
      <c r="Z702" s="1244"/>
    </row>
    <row r="703" spans="1:26" ht="18.75">
      <c r="A703" s="1368"/>
      <c r="B703" s="1243"/>
      <c r="C703" s="1243"/>
      <c r="D703" s="1243"/>
      <c r="E703" s="1243"/>
      <c r="F703" s="1243"/>
      <c r="G703" s="963"/>
      <c r="H703" s="730" t="s">
        <v>34</v>
      </c>
      <c r="I703" s="1379"/>
      <c r="J703" s="959">
        <v>0</v>
      </c>
      <c r="K703" s="831"/>
      <c r="L703" s="831"/>
      <c r="M703" s="963"/>
      <c r="N703" s="1380"/>
      <c r="O703" s="831"/>
      <c r="P703" s="831"/>
      <c r="Q703" s="1244"/>
      <c r="R703" s="1244"/>
      <c r="S703" s="1244"/>
      <c r="T703" s="1244"/>
      <c r="U703" s="1244"/>
      <c r="V703" s="1244"/>
      <c r="W703" s="1244"/>
      <c r="X703" s="1244"/>
      <c r="Y703" s="1244"/>
      <c r="Z703" s="1244"/>
    </row>
    <row r="704" spans="1:26" ht="18.75">
      <c r="A704" s="1368"/>
      <c r="B704" s="1243"/>
      <c r="C704" s="1243"/>
      <c r="D704" s="1243"/>
      <c r="E704" s="1243"/>
      <c r="F704" s="1243"/>
      <c r="G704" s="963"/>
      <c r="H704" s="730" t="s">
        <v>46</v>
      </c>
      <c r="I704" s="1379">
        <f ca="1">IFERROR(__xludf.DUMMYFUNCTION("IMPORTRANGE(""https://docs.google.com/spreadsheets/d/1QqKyyYR6Q21VydFLVH3TRQUabQu_ym0Zz7PgGX0-kHA/edit?usp=sharing"",""แผน!IF30"")"),144)</f>
        <v>144</v>
      </c>
      <c r="J704" s="959">
        <v>0</v>
      </c>
      <c r="K704" s="831"/>
      <c r="L704" s="831"/>
      <c r="M704" s="963"/>
      <c r="N704" s="1380"/>
      <c r="O704" s="831"/>
      <c r="P704" s="831"/>
      <c r="Q704" s="1244"/>
      <c r="R704" s="1244"/>
      <c r="S704" s="1244"/>
      <c r="T704" s="1244"/>
      <c r="U704" s="1244"/>
      <c r="V704" s="1244"/>
      <c r="W704" s="1244"/>
      <c r="X704" s="1244"/>
      <c r="Y704" s="1244"/>
      <c r="Z704" s="1244"/>
    </row>
    <row r="705" spans="1:26" ht="18.75">
      <c r="A705" s="1368"/>
      <c r="B705" s="1243"/>
      <c r="C705" s="1243"/>
      <c r="D705" s="1243"/>
      <c r="E705" s="1243" t="s">
        <v>298</v>
      </c>
      <c r="F705" s="1243"/>
      <c r="G705" s="963"/>
      <c r="H705" s="730" t="s">
        <v>35</v>
      </c>
      <c r="I705" s="1379"/>
      <c r="J705" s="959">
        <v>3</v>
      </c>
      <c r="K705" s="831"/>
      <c r="L705" s="831"/>
      <c r="M705" s="963"/>
      <c r="N705" s="1380"/>
      <c r="O705" s="831"/>
      <c r="P705" s="831"/>
      <c r="Q705" s="1244"/>
      <c r="R705" s="1244"/>
      <c r="S705" s="1244"/>
      <c r="T705" s="1244"/>
      <c r="U705" s="1244"/>
      <c r="V705" s="1244"/>
      <c r="W705" s="1244"/>
      <c r="X705" s="1244"/>
      <c r="Y705" s="1244"/>
      <c r="Z705" s="1244"/>
    </row>
    <row r="706" spans="1:26" ht="18.75">
      <c r="A706" s="1368"/>
      <c r="B706" s="1243"/>
      <c r="C706" s="1243"/>
      <c r="D706" s="1243"/>
      <c r="E706" s="1243"/>
      <c r="F706" s="1243"/>
      <c r="G706" s="963"/>
      <c r="H706" s="730" t="s">
        <v>34</v>
      </c>
      <c r="I706" s="1379"/>
      <c r="J706" s="959">
        <v>3</v>
      </c>
      <c r="K706" s="831"/>
      <c r="L706" s="831"/>
      <c r="M706" s="963"/>
      <c r="N706" s="1380"/>
      <c r="O706" s="831"/>
      <c r="P706" s="831"/>
      <c r="Q706" s="1244"/>
      <c r="R706" s="1244"/>
      <c r="S706" s="1244"/>
      <c r="T706" s="1244"/>
      <c r="U706" s="1244"/>
      <c r="V706" s="1244"/>
      <c r="W706" s="1244"/>
      <c r="X706" s="1244"/>
      <c r="Y706" s="1244"/>
      <c r="Z706" s="1244"/>
    </row>
    <row r="707" spans="1:26" ht="18.75">
      <c r="A707" s="1368"/>
      <c r="B707" s="1243"/>
      <c r="C707" s="1243"/>
      <c r="D707" s="1243"/>
      <c r="E707" s="1243"/>
      <c r="F707" s="1243"/>
      <c r="G707" s="963"/>
      <c r="H707" s="730" t="s">
        <v>46</v>
      </c>
      <c r="I707" s="1379">
        <f ca="1">IFERROR(__xludf.DUMMYFUNCTION("IMPORTRANGE(""https://docs.google.com/spreadsheets/d/1QqKyyYR6Q21VydFLVH3TRQUabQu_ym0Zz7PgGX0-kHA/edit?usp=sharing"",""แผน!IG30"")"),7)</f>
        <v>7</v>
      </c>
      <c r="J707" s="959">
        <v>55.04</v>
      </c>
      <c r="K707" s="831"/>
      <c r="L707" s="831"/>
      <c r="M707" s="963"/>
      <c r="N707" s="1380"/>
      <c r="O707" s="831"/>
      <c r="P707" s="831"/>
      <c r="Q707" s="1244"/>
      <c r="R707" s="1244"/>
      <c r="S707" s="1244"/>
      <c r="T707" s="1244"/>
      <c r="U707" s="1244"/>
      <c r="V707" s="1244"/>
      <c r="W707" s="1244"/>
      <c r="X707" s="1244"/>
      <c r="Y707" s="1244"/>
      <c r="Z707" s="1244"/>
    </row>
    <row r="708" spans="1:26" ht="19.5">
      <c r="A708" s="1368"/>
      <c r="B708" s="1243"/>
      <c r="C708" s="1243"/>
      <c r="D708" s="1322" t="s">
        <v>299</v>
      </c>
      <c r="E708" s="1243"/>
      <c r="F708" s="1243"/>
      <c r="G708" s="963"/>
      <c r="H708" s="733" t="s">
        <v>46</v>
      </c>
      <c r="I708" s="1381">
        <f ca="1">IFERROR(__xludf.DUMMYFUNCTION("IMPORTRANGE(""https://docs.google.com/spreadsheets/d/1QqKyyYR6Q21VydFLVH3TRQUabQu_ym0Zz7PgGX0-kHA/edit?usp=sharing"",""แผน!IH30"")"),260)</f>
        <v>260</v>
      </c>
      <c r="J708" s="966">
        <f>J714+J717</f>
        <v>0</v>
      </c>
      <c r="K708" s="967">
        <f ca="1">IF(I708&gt;0,J708*100/I708,0)</f>
        <v>0</v>
      </c>
      <c r="L708" s="831"/>
      <c r="M708" s="963"/>
      <c r="N708" s="1380"/>
      <c r="O708" s="831"/>
      <c r="P708" s="831"/>
      <c r="Q708" s="1244"/>
      <c r="R708" s="1244"/>
      <c r="S708" s="1244"/>
      <c r="T708" s="1244"/>
      <c r="U708" s="1244"/>
      <c r="V708" s="1244"/>
      <c r="W708" s="1244"/>
      <c r="X708" s="1244"/>
      <c r="Y708" s="1244"/>
      <c r="Z708" s="1244"/>
    </row>
    <row r="709" spans="1:26" ht="18.75">
      <c r="A709" s="1368"/>
      <c r="B709" s="1243"/>
      <c r="C709" s="1243"/>
      <c r="D709" s="1243"/>
      <c r="E709" s="1243" t="s">
        <v>300</v>
      </c>
      <c r="F709" s="1243"/>
      <c r="G709" s="963"/>
      <c r="H709" s="730" t="s">
        <v>34</v>
      </c>
      <c r="I709" s="1379"/>
      <c r="J709" s="959">
        <v>0</v>
      </c>
      <c r="K709" s="831"/>
      <c r="L709" s="1380"/>
      <c r="M709" s="963"/>
      <c r="N709" s="1380"/>
      <c r="O709" s="831"/>
      <c r="P709" s="831"/>
      <c r="Q709" s="1244"/>
      <c r="R709" s="1244"/>
      <c r="S709" s="1244"/>
      <c r="T709" s="1244"/>
      <c r="U709" s="1244"/>
      <c r="V709" s="1244"/>
      <c r="W709" s="1244"/>
      <c r="X709" s="1244"/>
      <c r="Y709" s="1244"/>
      <c r="Z709" s="1244"/>
    </row>
    <row r="710" spans="1:26" ht="18.75">
      <c r="A710" s="1368"/>
      <c r="B710" s="1243"/>
      <c r="C710" s="1243"/>
      <c r="D710" s="1243"/>
      <c r="E710" s="1243"/>
      <c r="F710" s="1243"/>
      <c r="G710" s="963"/>
      <c r="H710" s="730" t="s">
        <v>46</v>
      </c>
      <c r="I710" s="1379"/>
      <c r="J710" s="959">
        <v>0</v>
      </c>
      <c r="K710" s="831"/>
      <c r="L710" s="1380"/>
      <c r="M710" s="963"/>
      <c r="N710" s="1380"/>
      <c r="O710" s="831"/>
      <c r="P710" s="831"/>
      <c r="Q710" s="1244"/>
      <c r="R710" s="1244"/>
      <c r="S710" s="1244"/>
      <c r="T710" s="1244"/>
      <c r="U710" s="1244"/>
      <c r="V710" s="1244"/>
      <c r="W710" s="1244"/>
      <c r="X710" s="1244"/>
      <c r="Y710" s="1244"/>
      <c r="Z710" s="1244"/>
    </row>
    <row r="711" spans="1:26" ht="18.75">
      <c r="A711" s="1368"/>
      <c r="B711" s="1243"/>
      <c r="C711" s="1243"/>
      <c r="D711" s="1243"/>
      <c r="E711" s="1243" t="s">
        <v>301</v>
      </c>
      <c r="F711" s="1243"/>
      <c r="G711" s="963"/>
      <c r="H711" s="954"/>
      <c r="I711" s="1379"/>
      <c r="J711" s="830"/>
      <c r="K711" s="831"/>
      <c r="L711" s="1380"/>
      <c r="M711" s="963"/>
      <c r="N711" s="1380"/>
      <c r="O711" s="831"/>
      <c r="P711" s="831"/>
      <c r="Q711" s="1244"/>
      <c r="R711" s="1244"/>
      <c r="S711" s="1244"/>
      <c r="T711" s="1244"/>
      <c r="U711" s="1244"/>
      <c r="V711" s="1244"/>
      <c r="W711" s="1244"/>
      <c r="X711" s="1244"/>
      <c r="Y711" s="1244"/>
      <c r="Z711" s="1244"/>
    </row>
    <row r="712" spans="1:26" ht="18.75">
      <c r="A712" s="1368"/>
      <c r="B712" s="1243"/>
      <c r="C712" s="1243"/>
      <c r="D712" s="1243"/>
      <c r="E712" s="1243"/>
      <c r="F712" s="1243" t="s">
        <v>302</v>
      </c>
      <c r="G712" s="963"/>
      <c r="H712" s="730" t="s">
        <v>35</v>
      </c>
      <c r="I712" s="1379"/>
      <c r="J712" s="959">
        <v>0</v>
      </c>
      <c r="K712" s="831"/>
      <c r="L712" s="1380"/>
      <c r="M712" s="963"/>
      <c r="N712" s="1380"/>
      <c r="O712" s="831"/>
      <c r="P712" s="831"/>
      <c r="Q712" s="1244"/>
      <c r="R712" s="1244"/>
      <c r="S712" s="1244"/>
      <c r="T712" s="1244"/>
      <c r="U712" s="1244"/>
      <c r="V712" s="1244"/>
      <c r="W712" s="1244"/>
      <c r="X712" s="1244"/>
      <c r="Y712" s="1244"/>
      <c r="Z712" s="1244"/>
    </row>
    <row r="713" spans="1:26" ht="18.75">
      <c r="A713" s="1368"/>
      <c r="B713" s="1243"/>
      <c r="C713" s="1243"/>
      <c r="D713" s="1243"/>
      <c r="E713" s="1243"/>
      <c r="F713" s="1243"/>
      <c r="G713" s="963"/>
      <c r="H713" s="730" t="s">
        <v>34</v>
      </c>
      <c r="I713" s="1379"/>
      <c r="J713" s="959">
        <v>0</v>
      </c>
      <c r="K713" s="831"/>
      <c r="L713" s="1380"/>
      <c r="M713" s="963"/>
      <c r="N713" s="1380"/>
      <c r="O713" s="831"/>
      <c r="P713" s="831"/>
      <c r="Q713" s="1244"/>
      <c r="R713" s="1244"/>
      <c r="S713" s="1244"/>
      <c r="T713" s="1244"/>
      <c r="U713" s="1244"/>
      <c r="V713" s="1244"/>
      <c r="W713" s="1244"/>
      <c r="X713" s="1244"/>
      <c r="Y713" s="1244"/>
      <c r="Z713" s="1244"/>
    </row>
    <row r="714" spans="1:26" ht="18.75">
      <c r="A714" s="1368"/>
      <c r="B714" s="1243"/>
      <c r="C714" s="1243"/>
      <c r="D714" s="1243"/>
      <c r="E714" s="1243"/>
      <c r="F714" s="1243"/>
      <c r="G714" s="963"/>
      <c r="H714" s="730" t="s">
        <v>46</v>
      </c>
      <c r="I714" s="1379"/>
      <c r="J714" s="959">
        <v>0</v>
      </c>
      <c r="K714" s="831"/>
      <c r="L714" s="1380"/>
      <c r="M714" s="963"/>
      <c r="N714" s="1380"/>
      <c r="O714" s="831"/>
      <c r="P714" s="831"/>
      <c r="Q714" s="1244"/>
      <c r="R714" s="1244"/>
      <c r="S714" s="1244"/>
      <c r="T714" s="1244"/>
      <c r="U714" s="1244"/>
      <c r="V714" s="1244"/>
      <c r="W714" s="1244"/>
      <c r="X714" s="1244"/>
      <c r="Y714" s="1244"/>
      <c r="Z714" s="1244"/>
    </row>
    <row r="715" spans="1:26" ht="18.75">
      <c r="A715" s="1368"/>
      <c r="B715" s="1243"/>
      <c r="C715" s="1243"/>
      <c r="D715" s="1243"/>
      <c r="E715" s="1243"/>
      <c r="F715" s="1243" t="s">
        <v>303</v>
      </c>
      <c r="G715" s="963"/>
      <c r="H715" s="730" t="s">
        <v>35</v>
      </c>
      <c r="I715" s="1379"/>
      <c r="J715" s="959">
        <v>0</v>
      </c>
      <c r="K715" s="831"/>
      <c r="L715" s="1380"/>
      <c r="M715" s="963"/>
      <c r="N715" s="1380"/>
      <c r="O715" s="831"/>
      <c r="P715" s="831"/>
      <c r="Q715" s="1244"/>
      <c r="R715" s="1244"/>
      <c r="S715" s="1244"/>
      <c r="T715" s="1244"/>
      <c r="U715" s="1244"/>
      <c r="V715" s="1244"/>
      <c r="W715" s="1244"/>
      <c r="X715" s="1244"/>
      <c r="Y715" s="1244"/>
      <c r="Z715" s="1244"/>
    </row>
    <row r="716" spans="1:26" ht="18.75">
      <c r="A716" s="1368"/>
      <c r="B716" s="1243"/>
      <c r="C716" s="1243"/>
      <c r="D716" s="1243"/>
      <c r="E716" s="1243"/>
      <c r="F716" s="1243"/>
      <c r="G716" s="963"/>
      <c r="H716" s="730" t="s">
        <v>34</v>
      </c>
      <c r="I716" s="1379"/>
      <c r="J716" s="959">
        <v>0</v>
      </c>
      <c r="K716" s="831"/>
      <c r="L716" s="1380"/>
      <c r="M716" s="963"/>
      <c r="N716" s="1380"/>
      <c r="O716" s="831"/>
      <c r="P716" s="831"/>
      <c r="Q716" s="1244"/>
      <c r="R716" s="1244"/>
      <c r="S716" s="1244"/>
      <c r="T716" s="1244"/>
      <c r="U716" s="1244"/>
      <c r="V716" s="1244"/>
      <c r="W716" s="1244"/>
      <c r="X716" s="1244"/>
      <c r="Y716" s="1244"/>
      <c r="Z716" s="1244"/>
    </row>
    <row r="717" spans="1:26" ht="18.75">
      <c r="A717" s="1368"/>
      <c r="B717" s="1243"/>
      <c r="C717" s="1243"/>
      <c r="D717" s="1243"/>
      <c r="E717" s="1243"/>
      <c r="F717" s="1243"/>
      <c r="G717" s="963"/>
      <c r="H717" s="730" t="s">
        <v>46</v>
      </c>
      <c r="I717" s="1379"/>
      <c r="J717" s="959">
        <v>0</v>
      </c>
      <c r="K717" s="831"/>
      <c r="L717" s="1380"/>
      <c r="M717" s="963"/>
      <c r="N717" s="1380"/>
      <c r="O717" s="831"/>
      <c r="P717" s="831"/>
      <c r="Q717" s="1244"/>
      <c r="R717" s="1244"/>
      <c r="S717" s="1244"/>
      <c r="T717" s="1244"/>
      <c r="U717" s="1244"/>
      <c r="V717" s="1244"/>
      <c r="W717" s="1244"/>
      <c r="X717" s="1244"/>
      <c r="Y717" s="1244"/>
      <c r="Z717" s="1244"/>
    </row>
    <row r="718" spans="1:26" ht="18.75">
      <c r="A718" s="1368"/>
      <c r="B718" s="1243"/>
      <c r="C718" s="1243"/>
      <c r="D718" s="1243" t="s">
        <v>304</v>
      </c>
      <c r="E718" s="1243"/>
      <c r="F718" s="1243"/>
      <c r="G718" s="963"/>
      <c r="H718" s="730" t="s">
        <v>35</v>
      </c>
      <c r="I718" s="1379"/>
      <c r="J718" s="830">
        <f ca="1">IFERROR(__xludf.DUMMYFUNCTION("IMPORTRANGE(""https://docs.google.com/spreadsheets/d/1XWAQStnk-4SwqDmLtmXYiTMKHgktTP8We1SCoS47DrQ/edit?usp=sharing"",""จัดที่ดิน!BF30"")"),1)</f>
        <v>1</v>
      </c>
      <c r="K718" s="831"/>
      <c r="L718" s="831"/>
      <c r="M718" s="963"/>
      <c r="N718" s="1380"/>
      <c r="O718" s="831"/>
      <c r="P718" s="831"/>
      <c r="Q718" s="1244"/>
      <c r="R718" s="1244"/>
      <c r="S718" s="1244"/>
      <c r="T718" s="1244"/>
      <c r="U718" s="1244"/>
      <c r="V718" s="1244"/>
      <c r="W718" s="1244"/>
      <c r="X718" s="1244"/>
      <c r="Y718" s="1244"/>
      <c r="Z718" s="1244"/>
    </row>
    <row r="719" spans="1:26" ht="18.75">
      <c r="A719" s="1368"/>
      <c r="B719" s="1243"/>
      <c r="C719" s="1243"/>
      <c r="D719" s="1243"/>
      <c r="E719" s="1243"/>
      <c r="F719" s="1243"/>
      <c r="G719" s="963"/>
      <c r="H719" s="730" t="s">
        <v>34</v>
      </c>
      <c r="I719" s="1379"/>
      <c r="J719" s="830">
        <f ca="1">IFERROR(__xludf.DUMMYFUNCTION("IMPORTRANGE(""https://docs.google.com/spreadsheets/d/1XWAQStnk-4SwqDmLtmXYiTMKHgktTP8We1SCoS47DrQ/edit?usp=sharing"",""จัดที่ดิน!BG30"")"),1)</f>
        <v>1</v>
      </c>
      <c r="K719" s="831"/>
      <c r="L719" s="1380"/>
      <c r="M719" s="963"/>
      <c r="N719" s="1380"/>
      <c r="O719" s="831"/>
      <c r="P719" s="831"/>
      <c r="Q719" s="1244"/>
      <c r="R719" s="1244"/>
      <c r="S719" s="1244"/>
      <c r="T719" s="1244"/>
      <c r="U719" s="1244"/>
      <c r="V719" s="1244"/>
      <c r="W719" s="1244"/>
      <c r="X719" s="1244"/>
      <c r="Y719" s="1244"/>
      <c r="Z719" s="1244"/>
    </row>
    <row r="720" spans="1:26" ht="18.75">
      <c r="A720" s="1368"/>
      <c r="B720" s="1243"/>
      <c r="C720" s="1243"/>
      <c r="D720" s="1243"/>
      <c r="E720" s="1243"/>
      <c r="F720" s="1243"/>
      <c r="G720" s="963"/>
      <c r="H720" s="730" t="s">
        <v>46</v>
      </c>
      <c r="I720" s="1379">
        <f ca="1">IFERROR(__xludf.DUMMYFUNCTION("IMPORTRANGE(""https://docs.google.com/spreadsheets/d/1QqKyyYR6Q21VydFLVH3TRQUabQu_ym0Zz7PgGX0-kHA/edit?usp=sharing"",""แผน!II30"")"),640)</f>
        <v>640</v>
      </c>
      <c r="J720" s="830">
        <f ca="1">IFERROR(__xludf.DUMMYFUNCTION("IMPORTRANGE(""https://docs.google.com/spreadsheets/d/1XWAQStnk-4SwqDmLtmXYiTMKHgktTP8We1SCoS47DrQ/edit?usp=sharing"",""จัดที่ดิน!BH30"")"),10.05)</f>
        <v>10.050000000000001</v>
      </c>
      <c r="K720" s="831">
        <f t="shared" ref="K720:K723" ca="1" si="291">IF(I720&gt;0,J720*100/I720,0)</f>
        <v>1.5703125000000002</v>
      </c>
      <c r="L720" s="1380"/>
      <c r="M720" s="963"/>
      <c r="N720" s="1380"/>
      <c r="O720" s="831"/>
      <c r="P720" s="831"/>
      <c r="Q720" s="1244"/>
      <c r="R720" s="1244"/>
      <c r="S720" s="1244"/>
      <c r="T720" s="1244"/>
      <c r="U720" s="1244"/>
      <c r="V720" s="1244"/>
      <c r="W720" s="1244"/>
      <c r="X720" s="1244"/>
      <c r="Y720" s="1244"/>
      <c r="Z720" s="1244"/>
    </row>
    <row r="721" spans="1:26" ht="19.5">
      <c r="A721" s="1368"/>
      <c r="B721" s="1243"/>
      <c r="C721" s="1243"/>
      <c r="D721" s="1243" t="s">
        <v>305</v>
      </c>
      <c r="E721" s="1243"/>
      <c r="F721" s="1243"/>
      <c r="G721" s="963"/>
      <c r="H721" s="733" t="s">
        <v>35</v>
      </c>
      <c r="I721" s="1381">
        <f ca="1">IFERROR(__xludf.DUMMYFUNCTION("IMPORTRANGE(""https://docs.google.com/spreadsheets/d/1QqKyyYR6Q21VydFLVH3TRQUabQu_ym0Zz7PgGX0-kHA/edit?usp=sharing"",""แผน!IJ30"")"),9)</f>
        <v>9</v>
      </c>
      <c r="J721" s="966">
        <f ca="1">J723+J726</f>
        <v>7</v>
      </c>
      <c r="K721" s="967">
        <f t="shared" ca="1" si="291"/>
        <v>77.777777777777771</v>
      </c>
      <c r="L721" s="1380"/>
      <c r="M721" s="963"/>
      <c r="N721" s="1380"/>
      <c r="O721" s="831"/>
      <c r="P721" s="831"/>
      <c r="Q721" s="1244"/>
      <c r="R721" s="1244"/>
      <c r="S721" s="1244"/>
      <c r="T721" s="1244"/>
      <c r="U721" s="1244"/>
      <c r="V721" s="1244"/>
      <c r="W721" s="1244"/>
      <c r="X721" s="1244"/>
      <c r="Y721" s="1244"/>
      <c r="Z721" s="1244"/>
    </row>
    <row r="722" spans="1:26" ht="19.5">
      <c r="A722" s="1368"/>
      <c r="B722" s="1243"/>
      <c r="C722" s="1243"/>
      <c r="D722" s="1243"/>
      <c r="E722" s="1243"/>
      <c r="F722" s="1243"/>
      <c r="G722" s="963"/>
      <c r="H722" s="733" t="s">
        <v>46</v>
      </c>
      <c r="I722" s="1381">
        <f ca="1">IFERROR(__xludf.DUMMYFUNCTION("IMPORTRANGE(""https://docs.google.com/spreadsheets/d/1QqKyyYR6Q21VydFLVH3TRQUabQu_ym0Zz7PgGX0-kHA/edit?usp=sharing"",""แผน!IK30"")"),139)</f>
        <v>139</v>
      </c>
      <c r="J722" s="966">
        <f ca="1">J725+J728</f>
        <v>147.59</v>
      </c>
      <c r="K722" s="967">
        <f t="shared" ca="1" si="291"/>
        <v>106.17985611510791</v>
      </c>
      <c r="L722" s="831"/>
      <c r="M722" s="963"/>
      <c r="N722" s="1380"/>
      <c r="O722" s="831"/>
      <c r="P722" s="831"/>
      <c r="Q722" s="1244"/>
      <c r="R722" s="1244"/>
      <c r="S722" s="1244"/>
      <c r="T722" s="1244"/>
      <c r="U722" s="1244"/>
      <c r="V722" s="1244"/>
      <c r="W722" s="1244"/>
      <c r="X722" s="1244"/>
      <c r="Y722" s="1244"/>
      <c r="Z722" s="1244"/>
    </row>
    <row r="723" spans="1:26" ht="18.75">
      <c r="A723" s="1368"/>
      <c r="B723" s="1243"/>
      <c r="C723" s="1243"/>
      <c r="D723" s="1243"/>
      <c r="E723" s="1243" t="s">
        <v>306</v>
      </c>
      <c r="F723" s="1243"/>
      <c r="G723" s="963"/>
      <c r="H723" s="730" t="s">
        <v>35</v>
      </c>
      <c r="I723" s="1379">
        <f ca="1">IFERROR(__xludf.DUMMYFUNCTION("IMPORTRANGE(""https://docs.google.com/spreadsheets/d/1QqKyyYR6Q21VydFLVH3TRQUabQu_ym0Zz7PgGX0-kHA/edit?usp=sharing"",""แผน!IL30"")"),7)</f>
        <v>7</v>
      </c>
      <c r="J723" s="830">
        <f ca="1">IFERROR(__xludf.DUMMYFUNCTION("IMPORTRANGE(""https://docs.google.com/spreadsheets/d/1XWAQStnk-4SwqDmLtmXYiTMKHgktTP8We1SCoS47DrQ/edit?usp=sharing"",""จัดที่ดิน!BM30"")"),7)</f>
        <v>7</v>
      </c>
      <c r="K723" s="831">
        <f t="shared" ca="1" si="291"/>
        <v>100</v>
      </c>
      <c r="L723" s="831"/>
      <c r="M723" s="963"/>
      <c r="N723" s="1380"/>
      <c r="O723" s="831"/>
      <c r="P723" s="831"/>
      <c r="Q723" s="1244"/>
      <c r="R723" s="1244"/>
      <c r="S723" s="1244"/>
      <c r="T723" s="1244"/>
      <c r="U723" s="1244"/>
      <c r="V723" s="1244"/>
      <c r="W723" s="1244"/>
      <c r="X723" s="1244"/>
      <c r="Y723" s="1244"/>
      <c r="Z723" s="1244"/>
    </row>
    <row r="724" spans="1:26" ht="18.75">
      <c r="A724" s="1368"/>
      <c r="B724" s="1243"/>
      <c r="C724" s="1243"/>
      <c r="D724" s="1243"/>
      <c r="E724" s="1243"/>
      <c r="F724" s="1243"/>
      <c r="G724" s="963"/>
      <c r="H724" s="730" t="s">
        <v>34</v>
      </c>
      <c r="I724" s="1379"/>
      <c r="J724" s="830">
        <f ca="1">IFERROR(__xludf.DUMMYFUNCTION("IMPORTRANGE(""https://docs.google.com/spreadsheets/d/1XWAQStnk-4SwqDmLtmXYiTMKHgktTP8We1SCoS47DrQ/edit?usp=sharing"",""จัดที่ดิน!BN30"")"),7)</f>
        <v>7</v>
      </c>
      <c r="K724" s="831"/>
      <c r="L724" s="1380"/>
      <c r="M724" s="963"/>
      <c r="N724" s="1380"/>
      <c r="O724" s="831"/>
      <c r="P724" s="831"/>
      <c r="Q724" s="1244"/>
      <c r="R724" s="1244"/>
      <c r="S724" s="1244"/>
      <c r="T724" s="1244"/>
      <c r="U724" s="1244"/>
      <c r="V724" s="1244"/>
      <c r="W724" s="1244"/>
      <c r="X724" s="1244"/>
      <c r="Y724" s="1244"/>
      <c r="Z724" s="1244"/>
    </row>
    <row r="725" spans="1:26" ht="18.75">
      <c r="A725" s="1368"/>
      <c r="B725" s="1243"/>
      <c r="C725" s="1243"/>
      <c r="D725" s="1243"/>
      <c r="E725" s="1243"/>
      <c r="F725" s="1243"/>
      <c r="G725" s="963"/>
      <c r="H725" s="730" t="s">
        <v>46</v>
      </c>
      <c r="I725" s="1379">
        <f ca="1">IFERROR(__xludf.DUMMYFUNCTION("IMPORTRANGE(""https://docs.google.com/spreadsheets/d/1QqKyyYR6Q21VydFLVH3TRQUabQu_ym0Zz7PgGX0-kHA/edit?usp=sharing"",""แผน!IM30"")"),114)</f>
        <v>114</v>
      </c>
      <c r="J725" s="830">
        <f ca="1">IFERROR(__xludf.DUMMYFUNCTION("IMPORTRANGE(""https://docs.google.com/spreadsheets/d/1XWAQStnk-4SwqDmLtmXYiTMKHgktTP8We1SCoS47DrQ/edit?usp=sharing"",""จัดที่ดิน!BO30"")"),147.59)</f>
        <v>147.59</v>
      </c>
      <c r="K725" s="831">
        <f t="shared" ref="K725:K726" ca="1" si="292">IF(I725&gt;0,J725*100/I725,0)</f>
        <v>129.46491228070175</v>
      </c>
      <c r="L725" s="1380"/>
      <c r="M725" s="963"/>
      <c r="N725" s="1380"/>
      <c r="O725" s="831"/>
      <c r="P725" s="831"/>
      <c r="Q725" s="1244"/>
      <c r="R725" s="1244"/>
      <c r="S725" s="1244"/>
      <c r="T725" s="1244"/>
      <c r="U725" s="1244"/>
      <c r="V725" s="1244"/>
      <c r="W725" s="1244"/>
      <c r="X725" s="1244"/>
      <c r="Y725" s="1244"/>
      <c r="Z725" s="1244"/>
    </row>
    <row r="726" spans="1:26" ht="18.75">
      <c r="A726" s="1368"/>
      <c r="B726" s="1243"/>
      <c r="C726" s="1243"/>
      <c r="D726" s="1243"/>
      <c r="E726" s="1243" t="s">
        <v>307</v>
      </c>
      <c r="F726" s="1243"/>
      <c r="G726" s="963"/>
      <c r="H726" s="730" t="s">
        <v>35</v>
      </c>
      <c r="I726" s="1379">
        <f ca="1">IFERROR(__xludf.DUMMYFUNCTION("IMPORTRANGE(""https://docs.google.com/spreadsheets/d/1QqKyyYR6Q21VydFLVH3TRQUabQu_ym0Zz7PgGX0-kHA/edit?usp=sharing"",""แผน!IN30"")"),2)</f>
        <v>2</v>
      </c>
      <c r="J726" s="830">
        <f ca="1">IFERROR(__xludf.DUMMYFUNCTION("IMPORTRANGE(""https://docs.google.com/spreadsheets/d/1XWAQStnk-4SwqDmLtmXYiTMKHgktTP8We1SCoS47DrQ/edit?usp=sharing"",""จัดที่ดิน!BR30"")"),0)</f>
        <v>0</v>
      </c>
      <c r="K726" s="831">
        <f t="shared" ca="1" si="292"/>
        <v>0</v>
      </c>
      <c r="L726" s="831"/>
      <c r="M726" s="963"/>
      <c r="N726" s="1380"/>
      <c r="O726" s="831"/>
      <c r="P726" s="831"/>
      <c r="Q726" s="1244"/>
      <c r="R726" s="1244"/>
      <c r="S726" s="1244"/>
      <c r="T726" s="1244"/>
      <c r="U726" s="1244"/>
      <c r="V726" s="1244"/>
      <c r="W726" s="1244"/>
      <c r="X726" s="1244"/>
      <c r="Y726" s="1244"/>
      <c r="Z726" s="1244"/>
    </row>
    <row r="727" spans="1:26" ht="18.75">
      <c r="A727" s="1368"/>
      <c r="B727" s="1243"/>
      <c r="C727" s="1243"/>
      <c r="D727" s="1243"/>
      <c r="E727" s="1243"/>
      <c r="F727" s="1243"/>
      <c r="G727" s="963"/>
      <c r="H727" s="730" t="s">
        <v>34</v>
      </c>
      <c r="I727" s="1379"/>
      <c r="J727" s="830">
        <f ca="1">IFERROR(__xludf.DUMMYFUNCTION("IMPORTRANGE(""https://docs.google.com/spreadsheets/d/1XWAQStnk-4SwqDmLtmXYiTMKHgktTP8We1SCoS47DrQ/edit?usp=sharing"",""จัดที่ดิน!BS30"")"),0)</f>
        <v>0</v>
      </c>
      <c r="K727" s="831"/>
      <c r="L727" s="1380"/>
      <c r="M727" s="963"/>
      <c r="N727" s="1380"/>
      <c r="O727" s="831"/>
      <c r="P727" s="831"/>
      <c r="Q727" s="1244"/>
      <c r="R727" s="1244"/>
      <c r="S727" s="1244"/>
      <c r="T727" s="1244"/>
      <c r="U727" s="1244"/>
      <c r="V727" s="1244"/>
      <c r="W727" s="1244"/>
      <c r="X727" s="1244"/>
      <c r="Y727" s="1244"/>
      <c r="Z727" s="1244"/>
    </row>
    <row r="728" spans="1:26" ht="18.75">
      <c r="A728" s="1368"/>
      <c r="B728" s="1243"/>
      <c r="C728" s="1243"/>
      <c r="D728" s="1243"/>
      <c r="E728" s="1243"/>
      <c r="F728" s="1243"/>
      <c r="G728" s="963"/>
      <c r="H728" s="730" t="s">
        <v>46</v>
      </c>
      <c r="I728" s="1379">
        <f ca="1">IFERROR(__xludf.DUMMYFUNCTION("IMPORTRANGE(""https://docs.google.com/spreadsheets/d/1QqKyyYR6Q21VydFLVH3TRQUabQu_ym0Zz7PgGX0-kHA/edit?usp=sharing"",""แผน!IO30"")"),25)</f>
        <v>25</v>
      </c>
      <c r="J728" s="830">
        <f ca="1">IFERROR(__xludf.DUMMYFUNCTION("IMPORTRANGE(""https://docs.google.com/spreadsheets/d/1XWAQStnk-4SwqDmLtmXYiTMKHgktTP8We1SCoS47DrQ/edit?usp=sharing"",""จัดที่ดิน!BT30"")"),0)</f>
        <v>0</v>
      </c>
      <c r="K728" s="831">
        <f t="shared" ref="K728:K729" ca="1" si="293">IF(I728&gt;0,J728*100/I728,0)</f>
        <v>0</v>
      </c>
      <c r="L728" s="1380"/>
      <c r="M728" s="963"/>
      <c r="N728" s="1380"/>
      <c r="O728" s="831"/>
      <c r="P728" s="831"/>
      <c r="Q728" s="1244"/>
      <c r="R728" s="1244"/>
      <c r="S728" s="1244"/>
      <c r="T728" s="1244"/>
      <c r="U728" s="1244"/>
      <c r="V728" s="1244"/>
      <c r="W728" s="1244"/>
      <c r="X728" s="1244"/>
      <c r="Y728" s="1244"/>
      <c r="Z728" s="1244"/>
    </row>
    <row r="729" spans="1:26" ht="19.5">
      <c r="A729" s="1368"/>
      <c r="B729" s="1243"/>
      <c r="C729" s="1243"/>
      <c r="D729" s="1243" t="s">
        <v>308</v>
      </c>
      <c r="E729" s="1243"/>
      <c r="F729" s="1243"/>
      <c r="G729" s="963"/>
      <c r="H729" s="733" t="s">
        <v>46</v>
      </c>
      <c r="I729" s="1381">
        <f ca="1">IFERROR(__xludf.DUMMYFUNCTION("IMPORTRANGE(""https://docs.google.com/spreadsheets/d/1QqKyyYR6Q21VydFLVH3TRQUabQu_ym0Zz7PgGX0-kHA/edit?usp=sharing"",""แผน!IP30"")"),65)</f>
        <v>65</v>
      </c>
      <c r="J729" s="966">
        <f>J732+J735</f>
        <v>151.72</v>
      </c>
      <c r="K729" s="967">
        <f t="shared" ca="1" si="293"/>
        <v>233.41538461538462</v>
      </c>
      <c r="L729" s="831"/>
      <c r="M729" s="963"/>
      <c r="N729" s="1380"/>
      <c r="O729" s="831"/>
      <c r="P729" s="831"/>
      <c r="Q729" s="1244"/>
      <c r="R729" s="1244"/>
      <c r="S729" s="1244"/>
      <c r="T729" s="1244"/>
      <c r="U729" s="1244"/>
      <c r="V729" s="1244"/>
      <c r="W729" s="1244"/>
      <c r="X729" s="1244"/>
      <c r="Y729" s="1244"/>
      <c r="Z729" s="1244"/>
    </row>
    <row r="730" spans="1:26" ht="18.75">
      <c r="A730" s="1368"/>
      <c r="B730" s="1243"/>
      <c r="C730" s="1243"/>
      <c r="D730" s="1243"/>
      <c r="E730" s="1243" t="s">
        <v>309</v>
      </c>
      <c r="F730" s="1243"/>
      <c r="G730" s="963"/>
      <c r="H730" s="730" t="s">
        <v>35</v>
      </c>
      <c r="I730" s="1379"/>
      <c r="J730" s="959">
        <v>5</v>
      </c>
      <c r="K730" s="831"/>
      <c r="L730" s="1380"/>
      <c r="M730" s="831"/>
      <c r="N730" s="1380"/>
      <c r="O730" s="831"/>
      <c r="P730" s="831"/>
      <c r="Q730" s="1244"/>
      <c r="R730" s="1244"/>
      <c r="S730" s="1244"/>
      <c r="T730" s="1244"/>
      <c r="U730" s="1244"/>
      <c r="V730" s="1244"/>
      <c r="W730" s="1244"/>
      <c r="X730" s="1244"/>
      <c r="Y730" s="1244"/>
      <c r="Z730" s="1244"/>
    </row>
    <row r="731" spans="1:26" ht="18.75">
      <c r="A731" s="1368"/>
      <c r="B731" s="1243"/>
      <c r="C731" s="1243"/>
      <c r="D731" s="1243"/>
      <c r="E731" s="1243"/>
      <c r="F731" s="1243"/>
      <c r="G731" s="963"/>
      <c r="H731" s="730" t="s">
        <v>34</v>
      </c>
      <c r="I731" s="1379"/>
      <c r="J731" s="959">
        <v>5</v>
      </c>
      <c r="K731" s="831"/>
      <c r="L731" s="1380"/>
      <c r="M731" s="831"/>
      <c r="N731" s="1380"/>
      <c r="O731" s="831"/>
      <c r="P731" s="831"/>
      <c r="Q731" s="1244"/>
      <c r="R731" s="1244"/>
      <c r="S731" s="1244"/>
      <c r="T731" s="1244"/>
      <c r="U731" s="1244"/>
      <c r="V731" s="1244"/>
      <c r="W731" s="1244"/>
      <c r="X731" s="1244"/>
      <c r="Y731" s="1244"/>
      <c r="Z731" s="1244"/>
    </row>
    <row r="732" spans="1:26" ht="18.75">
      <c r="A732" s="1368"/>
      <c r="B732" s="1243"/>
      <c r="C732" s="1243"/>
      <c r="D732" s="1243"/>
      <c r="E732" s="1243"/>
      <c r="F732" s="1243"/>
      <c r="G732" s="963"/>
      <c r="H732" s="730" t="s">
        <v>46</v>
      </c>
      <c r="I732" s="1379"/>
      <c r="J732" s="959">
        <v>94.48</v>
      </c>
      <c r="K732" s="831"/>
      <c r="L732" s="1380"/>
      <c r="M732" s="831"/>
      <c r="N732" s="1380"/>
      <c r="O732" s="831"/>
      <c r="P732" s="831"/>
      <c r="Q732" s="1244"/>
      <c r="R732" s="1244"/>
      <c r="S732" s="1244"/>
      <c r="T732" s="1244"/>
      <c r="U732" s="1244"/>
      <c r="V732" s="1244"/>
      <c r="W732" s="1244"/>
      <c r="X732" s="1244"/>
      <c r="Y732" s="1244"/>
      <c r="Z732" s="1244"/>
    </row>
    <row r="733" spans="1:26" ht="18.75">
      <c r="A733" s="1368"/>
      <c r="B733" s="1243"/>
      <c r="C733" s="1243"/>
      <c r="D733" s="1243"/>
      <c r="E733" s="1243" t="s">
        <v>310</v>
      </c>
      <c r="F733" s="1243"/>
      <c r="G733" s="963"/>
      <c r="H733" s="730" t="s">
        <v>35</v>
      </c>
      <c r="I733" s="1379"/>
      <c r="J733" s="959">
        <v>3</v>
      </c>
      <c r="K733" s="831"/>
      <c r="L733" s="1380"/>
      <c r="M733" s="831"/>
      <c r="N733" s="1380"/>
      <c r="O733" s="831"/>
      <c r="P733" s="831"/>
      <c r="Q733" s="1244"/>
      <c r="R733" s="1244"/>
      <c r="S733" s="1244"/>
      <c r="T733" s="1244"/>
      <c r="U733" s="1244"/>
      <c r="V733" s="1244"/>
      <c r="W733" s="1244"/>
      <c r="X733" s="1244"/>
      <c r="Y733" s="1244"/>
      <c r="Z733" s="1244"/>
    </row>
    <row r="734" spans="1:26" ht="18.75">
      <c r="A734" s="1368"/>
      <c r="B734" s="1243"/>
      <c r="C734" s="1243"/>
      <c r="D734" s="1243"/>
      <c r="E734" s="1243"/>
      <c r="F734" s="1243"/>
      <c r="G734" s="963"/>
      <c r="H734" s="730" t="s">
        <v>34</v>
      </c>
      <c r="I734" s="1379"/>
      <c r="J734" s="959">
        <v>3</v>
      </c>
      <c r="K734" s="831"/>
      <c r="L734" s="1380"/>
      <c r="M734" s="831"/>
      <c r="N734" s="1380"/>
      <c r="O734" s="831"/>
      <c r="P734" s="831"/>
      <c r="Q734" s="1244"/>
      <c r="R734" s="1244"/>
      <c r="S734" s="1244"/>
      <c r="T734" s="1244"/>
      <c r="U734" s="1244"/>
      <c r="V734" s="1244"/>
      <c r="W734" s="1244"/>
      <c r="X734" s="1244"/>
      <c r="Y734" s="1244"/>
      <c r="Z734" s="1244"/>
    </row>
    <row r="735" spans="1:26" ht="19.5">
      <c r="A735" s="1382"/>
      <c r="B735" s="1383" t="s">
        <v>311</v>
      </c>
      <c r="C735" s="1116"/>
      <c r="D735" s="1116"/>
      <c r="E735" s="1116"/>
      <c r="F735" s="1116"/>
      <c r="G735" s="1361"/>
      <c r="H735" s="391" t="s">
        <v>46</v>
      </c>
      <c r="I735" s="1384"/>
      <c r="J735" s="1118">
        <v>57.24</v>
      </c>
      <c r="K735" s="1182"/>
      <c r="L735" s="1385"/>
      <c r="M735" s="1182"/>
      <c r="N735" s="1385"/>
      <c r="O735" s="1182"/>
      <c r="P735" s="1182"/>
      <c r="Q735" s="1244"/>
      <c r="R735" s="1244"/>
      <c r="S735" s="1244"/>
      <c r="T735" s="1244"/>
      <c r="U735" s="1244"/>
      <c r="V735" s="1244"/>
      <c r="W735" s="1244"/>
      <c r="X735" s="1244"/>
      <c r="Y735" s="1244"/>
      <c r="Z735" s="1244"/>
    </row>
    <row r="736" spans="1:26" ht="19.5" hidden="1">
      <c r="A736" s="740">
        <v>9</v>
      </c>
      <c r="B736" s="1386" t="s">
        <v>312</v>
      </c>
      <c r="C736" s="1387"/>
      <c r="D736" s="1387"/>
      <c r="E736" s="1387"/>
      <c r="F736" s="1387"/>
      <c r="G736" s="1388"/>
      <c r="H736" s="744" t="s">
        <v>46</v>
      </c>
      <c r="I736" s="1389"/>
      <c r="J736" s="1389">
        <f>J751</f>
        <v>0</v>
      </c>
      <c r="K736" s="1390">
        <f>IF(I736&gt;0,J736*100/I736,0)</f>
        <v>0</v>
      </c>
      <c r="L736" s="1391"/>
      <c r="M736" s="1391"/>
      <c r="N736" s="1391"/>
      <c r="O736" s="1391"/>
      <c r="P736" s="1391"/>
      <c r="Q736" s="1264"/>
      <c r="R736" s="1264"/>
      <c r="S736" s="1264"/>
      <c r="T736" s="1264"/>
      <c r="U736" s="1264"/>
      <c r="V736" s="1264"/>
      <c r="W736" s="1264"/>
      <c r="X736" s="1264"/>
      <c r="Y736" s="1264"/>
      <c r="Z736" s="1264"/>
    </row>
    <row r="737" spans="1:26" ht="19.5" hidden="1">
      <c r="A737" s="1260"/>
      <c r="B737" s="1261"/>
      <c r="C737" s="1261" t="s">
        <v>16</v>
      </c>
      <c r="D737" s="1508" t="s">
        <v>17</v>
      </c>
      <c r="E737" s="1485"/>
      <c r="F737" s="1485"/>
      <c r="G737" s="1263"/>
      <c r="H737" s="612" t="s">
        <v>12</v>
      </c>
      <c r="I737" s="836"/>
      <c r="J737" s="836"/>
      <c r="K737" s="837"/>
      <c r="L737" s="1292">
        <f t="shared" ref="L737:N737" si="294">L738+L739</f>
        <v>0</v>
      </c>
      <c r="M737" s="1292">
        <f t="shared" si="294"/>
        <v>0</v>
      </c>
      <c r="N737" s="1292">
        <f t="shared" si="294"/>
        <v>0</v>
      </c>
      <c r="O737" s="1292">
        <f t="shared" ref="O737:O742" si="295">IF(L737&gt;0,N737*100/L737,0)</f>
        <v>0</v>
      </c>
      <c r="P737" s="1292">
        <f t="shared" ref="P737:P742" si="296">IF(M737&gt;0,N737*100/M737,0)</f>
        <v>0</v>
      </c>
      <c r="Q737" s="1264"/>
      <c r="R737" s="1264"/>
      <c r="S737" s="1264"/>
      <c r="T737" s="1264"/>
      <c r="U737" s="1264"/>
      <c r="V737" s="1264"/>
      <c r="W737" s="1264"/>
      <c r="X737" s="1264"/>
      <c r="Y737" s="1264"/>
      <c r="Z737" s="1264"/>
    </row>
    <row r="738" spans="1:26" ht="18.75" hidden="1">
      <c r="A738" s="1260"/>
      <c r="B738" s="1261"/>
      <c r="C738" s="1261"/>
      <c r="D738" s="1262"/>
      <c r="E738" s="1261" t="s">
        <v>184</v>
      </c>
      <c r="F738" s="1261"/>
      <c r="G738" s="1263"/>
      <c r="H738" s="165" t="s">
        <v>12</v>
      </c>
      <c r="I738" s="836"/>
      <c r="J738" s="836"/>
      <c r="K738" s="837"/>
      <c r="L738" s="837">
        <f t="shared" ref="L738:N739" si="297">L741+L748</f>
        <v>0</v>
      </c>
      <c r="M738" s="837">
        <f t="shared" si="297"/>
        <v>0</v>
      </c>
      <c r="N738" s="837">
        <f t="shared" si="297"/>
        <v>0</v>
      </c>
      <c r="O738" s="837">
        <f t="shared" si="295"/>
        <v>0</v>
      </c>
      <c r="P738" s="837">
        <f t="shared" si="296"/>
        <v>0</v>
      </c>
      <c r="Q738" s="1264"/>
      <c r="R738" s="1264"/>
      <c r="S738" s="1264"/>
      <c r="T738" s="1264"/>
      <c r="U738" s="1264"/>
      <c r="V738" s="1264"/>
      <c r="W738" s="1264"/>
      <c r="X738" s="1264"/>
      <c r="Y738" s="1264"/>
      <c r="Z738" s="1264"/>
    </row>
    <row r="739" spans="1:26" ht="18.75" hidden="1">
      <c r="A739" s="1260"/>
      <c r="B739" s="1265"/>
      <c r="C739" s="1261"/>
      <c r="D739" s="1262"/>
      <c r="E739" s="1261" t="s">
        <v>185</v>
      </c>
      <c r="F739" s="1261"/>
      <c r="G739" s="1263"/>
      <c r="H739" s="165" t="s">
        <v>12</v>
      </c>
      <c r="I739" s="836"/>
      <c r="J739" s="836"/>
      <c r="K739" s="837"/>
      <c r="L739" s="837">
        <f t="shared" si="297"/>
        <v>0</v>
      </c>
      <c r="M739" s="837">
        <f t="shared" si="297"/>
        <v>0</v>
      </c>
      <c r="N739" s="837">
        <f t="shared" si="297"/>
        <v>0</v>
      </c>
      <c r="O739" s="837">
        <f t="shared" si="295"/>
        <v>0</v>
      </c>
      <c r="P739" s="837">
        <f t="shared" si="296"/>
        <v>0</v>
      </c>
      <c r="Q739" s="1264"/>
      <c r="R739" s="1264"/>
      <c r="S739" s="1264"/>
      <c r="T739" s="1264"/>
      <c r="U739" s="1264"/>
      <c r="V739" s="1264"/>
      <c r="W739" s="1264"/>
      <c r="X739" s="1264"/>
      <c r="Y739" s="1264"/>
      <c r="Z739" s="1264"/>
    </row>
    <row r="740" spans="1:26" ht="19.5" hidden="1">
      <c r="A740" s="1260"/>
      <c r="B740" s="1265"/>
      <c r="C740" s="1261"/>
      <c r="D740" s="1392" t="s">
        <v>20</v>
      </c>
      <c r="E740" s="1261"/>
      <c r="F740" s="1261"/>
      <c r="G740" s="1263"/>
      <c r="H740" s="612" t="s">
        <v>12</v>
      </c>
      <c r="I740" s="947"/>
      <c r="J740" s="947"/>
      <c r="K740" s="948"/>
      <c r="L740" s="1292">
        <f t="shared" ref="L740:N740" si="298">L741+L742</f>
        <v>0</v>
      </c>
      <c r="M740" s="1292">
        <f t="shared" si="298"/>
        <v>0</v>
      </c>
      <c r="N740" s="1292">
        <f t="shared" si="298"/>
        <v>0</v>
      </c>
      <c r="O740" s="1292">
        <f t="shared" si="295"/>
        <v>0</v>
      </c>
      <c r="P740" s="1292">
        <f t="shared" si="296"/>
        <v>0</v>
      </c>
      <c r="Q740" s="1264"/>
      <c r="R740" s="1264"/>
      <c r="S740" s="1264"/>
      <c r="T740" s="1264"/>
      <c r="U740" s="1264"/>
      <c r="V740" s="1264"/>
      <c r="W740" s="1264"/>
      <c r="X740" s="1264"/>
      <c r="Y740" s="1264"/>
      <c r="Z740" s="1264"/>
    </row>
    <row r="741" spans="1:26" ht="18.75" hidden="1">
      <c r="A741" s="1260"/>
      <c r="B741" s="1265"/>
      <c r="C741" s="1261"/>
      <c r="D741" s="1262"/>
      <c r="E741" s="1261" t="s">
        <v>184</v>
      </c>
      <c r="F741" s="1261"/>
      <c r="G741" s="1263"/>
      <c r="H741" s="165" t="s">
        <v>12</v>
      </c>
      <c r="I741" s="836"/>
      <c r="J741" s="836"/>
      <c r="K741" s="837"/>
      <c r="L741" s="837">
        <v>0</v>
      </c>
      <c r="M741" s="837">
        <v>0</v>
      </c>
      <c r="N741" s="837">
        <v>0</v>
      </c>
      <c r="O741" s="837">
        <f t="shared" si="295"/>
        <v>0</v>
      </c>
      <c r="P741" s="837">
        <f t="shared" si="296"/>
        <v>0</v>
      </c>
      <c r="Q741" s="1264"/>
      <c r="R741" s="1264"/>
      <c r="S741" s="1264"/>
      <c r="T741" s="1264"/>
      <c r="U741" s="1264"/>
      <c r="V741" s="1264"/>
      <c r="W741" s="1264"/>
      <c r="X741" s="1264"/>
      <c r="Y741" s="1264"/>
      <c r="Z741" s="1264"/>
    </row>
    <row r="742" spans="1:26" ht="18.75" hidden="1">
      <c r="A742" s="1260"/>
      <c r="B742" s="1265"/>
      <c r="C742" s="1261"/>
      <c r="D742" s="1262"/>
      <c r="E742" s="1261" t="s">
        <v>185</v>
      </c>
      <c r="F742" s="1261"/>
      <c r="G742" s="1263"/>
      <c r="H742" s="165" t="s">
        <v>12</v>
      </c>
      <c r="I742" s="836"/>
      <c r="J742" s="836"/>
      <c r="K742" s="837"/>
      <c r="L742" s="837">
        <v>0</v>
      </c>
      <c r="M742" s="837">
        <v>0</v>
      </c>
      <c r="N742" s="837">
        <f>N743+N744+N745+N746</f>
        <v>0</v>
      </c>
      <c r="O742" s="837">
        <f t="shared" si="295"/>
        <v>0</v>
      </c>
      <c r="P742" s="837">
        <f t="shared" si="296"/>
        <v>0</v>
      </c>
      <c r="Q742" s="1264"/>
      <c r="R742" s="1264"/>
      <c r="S742" s="1264"/>
      <c r="T742" s="1264"/>
      <c r="U742" s="1264"/>
      <c r="V742" s="1264"/>
      <c r="W742" s="1264"/>
      <c r="X742" s="1264"/>
      <c r="Y742" s="1264"/>
      <c r="Z742" s="1264"/>
    </row>
    <row r="743" spans="1:26" ht="18.75" hidden="1">
      <c r="A743" s="1294"/>
      <c r="B743" s="1265"/>
      <c r="C743" s="1261"/>
      <c r="D743" s="1261"/>
      <c r="E743" s="1261"/>
      <c r="F743" s="1261" t="s">
        <v>186</v>
      </c>
      <c r="G743" s="1263"/>
      <c r="H743" s="165" t="s">
        <v>12</v>
      </c>
      <c r="I743" s="836"/>
      <c r="J743" s="836"/>
      <c r="K743" s="837"/>
      <c r="L743" s="837"/>
      <c r="M743" s="837"/>
      <c r="N743" s="837"/>
      <c r="O743" s="837"/>
      <c r="P743" s="837"/>
      <c r="Q743" s="1264"/>
      <c r="R743" s="1264"/>
      <c r="S743" s="1264"/>
      <c r="T743" s="1264"/>
      <c r="U743" s="1264"/>
      <c r="V743" s="1264"/>
      <c r="W743" s="1264"/>
      <c r="X743" s="1264"/>
      <c r="Y743" s="1264"/>
      <c r="Z743" s="1264"/>
    </row>
    <row r="744" spans="1:26" ht="18.75" hidden="1">
      <c r="A744" s="1294"/>
      <c r="B744" s="1265"/>
      <c r="C744" s="1261"/>
      <c r="D744" s="1261"/>
      <c r="E744" s="1261"/>
      <c r="F744" s="1261" t="s">
        <v>187</v>
      </c>
      <c r="G744" s="1263"/>
      <c r="H744" s="165" t="s">
        <v>12</v>
      </c>
      <c r="I744" s="836"/>
      <c r="J744" s="836"/>
      <c r="K744" s="837"/>
      <c r="L744" s="837"/>
      <c r="M744" s="837"/>
      <c r="N744" s="837"/>
      <c r="O744" s="837"/>
      <c r="P744" s="837"/>
      <c r="Q744" s="1264"/>
      <c r="R744" s="1264"/>
      <c r="S744" s="1264"/>
      <c r="T744" s="1264"/>
      <c r="U744" s="1264"/>
      <c r="V744" s="1264"/>
      <c r="W744" s="1264"/>
      <c r="X744" s="1264"/>
      <c r="Y744" s="1264"/>
      <c r="Z744" s="1264"/>
    </row>
    <row r="745" spans="1:26" ht="18.75" hidden="1">
      <c r="A745" s="1294"/>
      <c r="B745" s="1265"/>
      <c r="C745" s="1261"/>
      <c r="D745" s="1261"/>
      <c r="E745" s="1261"/>
      <c r="F745" s="1261" t="s">
        <v>188</v>
      </c>
      <c r="G745" s="1263"/>
      <c r="H745" s="165" t="s">
        <v>12</v>
      </c>
      <c r="I745" s="836"/>
      <c r="J745" s="836"/>
      <c r="K745" s="837"/>
      <c r="L745" s="837"/>
      <c r="M745" s="837"/>
      <c r="N745" s="837"/>
      <c r="O745" s="837"/>
      <c r="P745" s="837"/>
      <c r="Q745" s="1264"/>
      <c r="R745" s="1264"/>
      <c r="S745" s="1264"/>
      <c r="T745" s="1264"/>
      <c r="U745" s="1264"/>
      <c r="V745" s="1264"/>
      <c r="W745" s="1264"/>
      <c r="X745" s="1264"/>
      <c r="Y745" s="1264"/>
      <c r="Z745" s="1264"/>
    </row>
    <row r="746" spans="1:26" ht="18.75" hidden="1">
      <c r="A746" s="1294"/>
      <c r="B746" s="1265"/>
      <c r="C746" s="1261"/>
      <c r="D746" s="1261"/>
      <c r="E746" s="1261"/>
      <c r="F746" s="1261" t="s">
        <v>189</v>
      </c>
      <c r="G746" s="1263"/>
      <c r="H746" s="165" t="s">
        <v>12</v>
      </c>
      <c r="I746" s="836"/>
      <c r="J746" s="836"/>
      <c r="K746" s="837"/>
      <c r="L746" s="837"/>
      <c r="M746" s="837"/>
      <c r="N746" s="837"/>
      <c r="O746" s="837"/>
      <c r="P746" s="837"/>
      <c r="Q746" s="1264"/>
      <c r="R746" s="1264"/>
      <c r="S746" s="1264"/>
      <c r="T746" s="1264"/>
      <c r="U746" s="1264"/>
      <c r="V746" s="1264"/>
      <c r="W746" s="1264"/>
      <c r="X746" s="1264"/>
      <c r="Y746" s="1264"/>
      <c r="Z746" s="1264"/>
    </row>
    <row r="747" spans="1:26" ht="19.5" hidden="1">
      <c r="A747" s="1260"/>
      <c r="B747" s="1265"/>
      <c r="C747" s="1261"/>
      <c r="D747" s="1392" t="s">
        <v>21</v>
      </c>
      <c r="E747" s="1261"/>
      <c r="F747" s="1261"/>
      <c r="G747" s="1263"/>
      <c r="H747" s="749" t="s">
        <v>12</v>
      </c>
      <c r="I747" s="947"/>
      <c r="J747" s="947"/>
      <c r="K747" s="948"/>
      <c r="L747" s="1292">
        <f t="shared" ref="L747:N747" si="299">L748+L749</f>
        <v>0</v>
      </c>
      <c r="M747" s="1292">
        <f t="shared" si="299"/>
        <v>0</v>
      </c>
      <c r="N747" s="1292">
        <f t="shared" si="299"/>
        <v>0</v>
      </c>
      <c r="O747" s="1292">
        <f t="shared" ref="O747:O749" si="300">IF(L747&gt;0,N747*100/L747,0)</f>
        <v>0</v>
      </c>
      <c r="P747" s="1292">
        <f t="shared" ref="P747:P749" si="301">IF(M747&gt;0,N747*100/M747,0)</f>
        <v>0</v>
      </c>
      <c r="Q747" s="1264"/>
      <c r="R747" s="1264"/>
      <c r="S747" s="1264"/>
      <c r="T747" s="1264"/>
      <c r="U747" s="1264"/>
      <c r="V747" s="1264"/>
      <c r="W747" s="1264"/>
      <c r="X747" s="1264"/>
      <c r="Y747" s="1264"/>
      <c r="Z747" s="1264"/>
    </row>
    <row r="748" spans="1:26" ht="18.75" hidden="1">
      <c r="A748" s="1260"/>
      <c r="B748" s="1265"/>
      <c r="C748" s="1261"/>
      <c r="D748" s="1261"/>
      <c r="E748" s="1261" t="s">
        <v>18</v>
      </c>
      <c r="F748" s="1261"/>
      <c r="G748" s="1263"/>
      <c r="H748" s="165" t="s">
        <v>12</v>
      </c>
      <c r="I748" s="947"/>
      <c r="J748" s="947"/>
      <c r="K748" s="948"/>
      <c r="L748" s="837">
        <v>0</v>
      </c>
      <c r="M748" s="837">
        <v>0</v>
      </c>
      <c r="N748" s="837">
        <v>0</v>
      </c>
      <c r="O748" s="837">
        <f t="shared" si="300"/>
        <v>0</v>
      </c>
      <c r="P748" s="837">
        <f t="shared" si="301"/>
        <v>0</v>
      </c>
      <c r="Q748" s="1264"/>
      <c r="R748" s="1264"/>
      <c r="S748" s="1264"/>
      <c r="T748" s="1264"/>
      <c r="U748" s="1264"/>
      <c r="V748" s="1264"/>
      <c r="W748" s="1264"/>
      <c r="X748" s="1264"/>
      <c r="Y748" s="1264"/>
      <c r="Z748" s="1264"/>
    </row>
    <row r="749" spans="1:26" ht="18.75" hidden="1">
      <c r="A749" s="1260"/>
      <c r="B749" s="1265"/>
      <c r="C749" s="1261"/>
      <c r="D749" s="1261"/>
      <c r="E749" s="1261" t="s">
        <v>19</v>
      </c>
      <c r="F749" s="1261"/>
      <c r="G749" s="1263"/>
      <c r="H749" s="169" t="s">
        <v>12</v>
      </c>
      <c r="I749" s="947"/>
      <c r="J749" s="947"/>
      <c r="K749" s="948"/>
      <c r="L749" s="837">
        <v>0</v>
      </c>
      <c r="M749" s="837">
        <v>0</v>
      </c>
      <c r="N749" s="837">
        <v>0</v>
      </c>
      <c r="O749" s="837">
        <f t="shared" si="300"/>
        <v>0</v>
      </c>
      <c r="P749" s="837">
        <f t="shared" si="301"/>
        <v>0</v>
      </c>
      <c r="Q749" s="1264"/>
      <c r="R749" s="1264"/>
      <c r="S749" s="1264"/>
      <c r="T749" s="1264"/>
      <c r="U749" s="1264"/>
      <c r="V749" s="1264"/>
      <c r="W749" s="1264"/>
      <c r="X749" s="1264"/>
      <c r="Y749" s="1264"/>
      <c r="Z749" s="1264"/>
    </row>
    <row r="750" spans="1:26" ht="19.5" hidden="1">
      <c r="A750" s="1273"/>
      <c r="B750" s="1274"/>
      <c r="C750" s="1261" t="s">
        <v>16</v>
      </c>
      <c r="D750" s="1393" t="s">
        <v>38</v>
      </c>
      <c r="E750" s="1296"/>
      <c r="F750" s="1296"/>
      <c r="G750" s="1297"/>
      <c r="H750" s="1060"/>
      <c r="I750" s="947"/>
      <c r="J750" s="947"/>
      <c r="K750" s="948"/>
      <c r="L750" s="948"/>
      <c r="M750" s="948"/>
      <c r="N750" s="948"/>
      <c r="O750" s="948"/>
      <c r="P750" s="948"/>
      <c r="Q750" s="1264"/>
      <c r="R750" s="1264"/>
      <c r="S750" s="1264"/>
      <c r="T750" s="1264"/>
      <c r="U750" s="1264"/>
      <c r="V750" s="1264"/>
      <c r="W750" s="1264"/>
      <c r="X750" s="1264"/>
      <c r="Y750" s="1264"/>
      <c r="Z750" s="1264"/>
    </row>
    <row r="751" spans="1:26" ht="18.75" hidden="1">
      <c r="A751" s="1294"/>
      <c r="B751" s="1265"/>
      <c r="C751" s="1261"/>
      <c r="D751" s="1261"/>
      <c r="E751" s="1261" t="s">
        <v>313</v>
      </c>
      <c r="F751" s="1261"/>
      <c r="G751" s="1263"/>
      <c r="H751" s="165" t="s">
        <v>46</v>
      </c>
      <c r="I751" s="836"/>
      <c r="J751" s="836"/>
      <c r="K751" s="837"/>
      <c r="L751" s="837"/>
      <c r="M751" s="837"/>
      <c r="N751" s="837"/>
      <c r="O751" s="837"/>
      <c r="P751" s="837"/>
      <c r="Q751" s="1264"/>
      <c r="R751" s="1264"/>
      <c r="S751" s="1264"/>
      <c r="T751" s="1264"/>
      <c r="U751" s="1264"/>
      <c r="V751" s="1264"/>
      <c r="W751" s="1264"/>
      <c r="X751" s="1264"/>
      <c r="Y751" s="1264"/>
      <c r="Z751" s="1264"/>
    </row>
    <row r="752" spans="1:26" ht="18.75" hidden="1">
      <c r="A752" s="1294"/>
      <c r="B752" s="1265"/>
      <c r="C752" s="1261"/>
      <c r="D752" s="1261"/>
      <c r="E752" s="1261"/>
      <c r="F752" s="1261"/>
      <c r="G752" s="1263"/>
      <c r="H752" s="165" t="s">
        <v>314</v>
      </c>
      <c r="I752" s="836"/>
      <c r="J752" s="836"/>
      <c r="K752" s="837"/>
      <c r="L752" s="837"/>
      <c r="M752" s="837"/>
      <c r="N752" s="837"/>
      <c r="O752" s="837"/>
      <c r="P752" s="837"/>
      <c r="Q752" s="1264"/>
      <c r="R752" s="1264"/>
      <c r="S752" s="1264"/>
      <c r="T752" s="1264"/>
      <c r="U752" s="1264"/>
      <c r="V752" s="1264"/>
      <c r="W752" s="1264"/>
      <c r="X752" s="1264"/>
      <c r="Y752" s="1264"/>
      <c r="Z752" s="1264"/>
    </row>
    <row r="753" spans="1:26" ht="19.5" hidden="1">
      <c r="A753" s="751">
        <v>10</v>
      </c>
      <c r="B753" s="1394" t="s">
        <v>315</v>
      </c>
      <c r="C753" s="1395"/>
      <c r="D753" s="1395"/>
      <c r="E753" s="1395"/>
      <c r="F753" s="1395"/>
      <c r="G753" s="1396"/>
      <c r="H753" s="755" t="s">
        <v>46</v>
      </c>
      <c r="I753" s="1397"/>
      <c r="J753" s="1397">
        <f>J768</f>
        <v>0</v>
      </c>
      <c r="K753" s="1398">
        <f>IF(I753&gt;0,J753*100/I753,0)</f>
        <v>0</v>
      </c>
      <c r="L753" s="1399"/>
      <c r="M753" s="1399"/>
      <c r="N753" s="1399"/>
      <c r="O753" s="1399"/>
      <c r="P753" s="1399"/>
      <c r="Q753" s="1264"/>
      <c r="R753" s="1264"/>
      <c r="S753" s="1264"/>
      <c r="T753" s="1264"/>
      <c r="U753" s="1264"/>
      <c r="V753" s="1264"/>
      <c r="W753" s="1264"/>
      <c r="X753" s="1264"/>
      <c r="Y753" s="1264"/>
      <c r="Z753" s="1264"/>
    </row>
    <row r="754" spans="1:26" ht="19.5" hidden="1">
      <c r="A754" s="1260"/>
      <c r="B754" s="1261"/>
      <c r="C754" s="1261" t="s">
        <v>16</v>
      </c>
      <c r="D754" s="1508" t="s">
        <v>17</v>
      </c>
      <c r="E754" s="1485"/>
      <c r="F754" s="1485"/>
      <c r="G754" s="1263"/>
      <c r="H754" s="612" t="s">
        <v>12</v>
      </c>
      <c r="I754" s="836"/>
      <c r="J754" s="836"/>
      <c r="K754" s="837"/>
      <c r="L754" s="1292">
        <f t="shared" ref="L754:N754" si="302">L755+L756</f>
        <v>0</v>
      </c>
      <c r="M754" s="1292">
        <f t="shared" si="302"/>
        <v>0</v>
      </c>
      <c r="N754" s="1292">
        <f t="shared" si="302"/>
        <v>0</v>
      </c>
      <c r="O754" s="1292">
        <f t="shared" ref="O754:O759" si="303">IF(L754&gt;0,N754*100/L754,0)</f>
        <v>0</v>
      </c>
      <c r="P754" s="1292">
        <f t="shared" ref="P754:P759" si="304">IF(M754&gt;0,N754*100/M754,0)</f>
        <v>0</v>
      </c>
      <c r="Q754" s="1264"/>
      <c r="R754" s="1264"/>
      <c r="S754" s="1264"/>
      <c r="T754" s="1264"/>
      <c r="U754" s="1264"/>
      <c r="V754" s="1264"/>
      <c r="W754" s="1264"/>
      <c r="X754" s="1264"/>
      <c r="Y754" s="1264"/>
      <c r="Z754" s="1264"/>
    </row>
    <row r="755" spans="1:26" ht="18.75" hidden="1">
      <c r="A755" s="1260"/>
      <c r="B755" s="1261"/>
      <c r="C755" s="1261"/>
      <c r="D755" s="1262"/>
      <c r="E755" s="1261" t="s">
        <v>184</v>
      </c>
      <c r="F755" s="1261"/>
      <c r="G755" s="1263"/>
      <c r="H755" s="165" t="s">
        <v>12</v>
      </c>
      <c r="I755" s="836"/>
      <c r="J755" s="836"/>
      <c r="K755" s="837"/>
      <c r="L755" s="837">
        <f t="shared" ref="L755:N756" si="305">L758+L765</f>
        <v>0</v>
      </c>
      <c r="M755" s="837">
        <f t="shared" si="305"/>
        <v>0</v>
      </c>
      <c r="N755" s="837">
        <f t="shared" si="305"/>
        <v>0</v>
      </c>
      <c r="O755" s="837">
        <f t="shared" si="303"/>
        <v>0</v>
      </c>
      <c r="P755" s="837">
        <f t="shared" si="304"/>
        <v>0</v>
      </c>
      <c r="Q755" s="1264"/>
      <c r="R755" s="1264"/>
      <c r="S755" s="1264"/>
      <c r="T755" s="1264"/>
      <c r="U755" s="1264"/>
      <c r="V755" s="1264"/>
      <c r="W755" s="1264"/>
      <c r="X755" s="1264"/>
      <c r="Y755" s="1264"/>
      <c r="Z755" s="1264"/>
    </row>
    <row r="756" spans="1:26" ht="18.75" hidden="1">
      <c r="A756" s="1260"/>
      <c r="B756" s="1265"/>
      <c r="C756" s="1261"/>
      <c r="D756" s="1262"/>
      <c r="E756" s="1261" t="s">
        <v>185</v>
      </c>
      <c r="F756" s="1261"/>
      <c r="G756" s="1263"/>
      <c r="H756" s="165" t="s">
        <v>12</v>
      </c>
      <c r="I756" s="836"/>
      <c r="J756" s="836"/>
      <c r="K756" s="837"/>
      <c r="L756" s="837">
        <f t="shared" si="305"/>
        <v>0</v>
      </c>
      <c r="M756" s="837">
        <f t="shared" si="305"/>
        <v>0</v>
      </c>
      <c r="N756" s="837">
        <f t="shared" si="305"/>
        <v>0</v>
      </c>
      <c r="O756" s="837">
        <f t="shared" si="303"/>
        <v>0</v>
      </c>
      <c r="P756" s="837">
        <f t="shared" si="304"/>
        <v>0</v>
      </c>
      <c r="Q756" s="1264"/>
      <c r="R756" s="1264"/>
      <c r="S756" s="1264"/>
      <c r="T756" s="1264"/>
      <c r="U756" s="1264"/>
      <c r="V756" s="1264"/>
      <c r="W756" s="1264"/>
      <c r="X756" s="1264"/>
      <c r="Y756" s="1264"/>
      <c r="Z756" s="1264"/>
    </row>
    <row r="757" spans="1:26" ht="19.5" hidden="1">
      <c r="A757" s="1260"/>
      <c r="B757" s="1265"/>
      <c r="C757" s="1261"/>
      <c r="D757" s="1392" t="s">
        <v>20</v>
      </c>
      <c r="E757" s="1261"/>
      <c r="F757" s="1261"/>
      <c r="G757" s="1263"/>
      <c r="H757" s="612" t="s">
        <v>12</v>
      </c>
      <c r="I757" s="947"/>
      <c r="J757" s="947"/>
      <c r="K757" s="948"/>
      <c r="L757" s="1292">
        <f t="shared" ref="L757:N757" si="306">L758+L759</f>
        <v>0</v>
      </c>
      <c r="M757" s="1292">
        <f t="shared" si="306"/>
        <v>0</v>
      </c>
      <c r="N757" s="1292">
        <f t="shared" si="306"/>
        <v>0</v>
      </c>
      <c r="O757" s="1292">
        <f t="shared" si="303"/>
        <v>0</v>
      </c>
      <c r="P757" s="1292">
        <f t="shared" si="304"/>
        <v>0</v>
      </c>
      <c r="Q757" s="1264"/>
      <c r="R757" s="1264"/>
      <c r="S757" s="1264"/>
      <c r="T757" s="1264"/>
      <c r="U757" s="1264"/>
      <c r="V757" s="1264"/>
      <c r="W757" s="1264"/>
      <c r="X757" s="1264"/>
      <c r="Y757" s="1264"/>
      <c r="Z757" s="1264"/>
    </row>
    <row r="758" spans="1:26" ht="18.75" hidden="1">
      <c r="A758" s="1260"/>
      <c r="B758" s="1265"/>
      <c r="C758" s="1261"/>
      <c r="D758" s="1262"/>
      <c r="E758" s="1261" t="s">
        <v>184</v>
      </c>
      <c r="F758" s="1261"/>
      <c r="G758" s="1263"/>
      <c r="H758" s="165" t="s">
        <v>12</v>
      </c>
      <c r="I758" s="836"/>
      <c r="J758" s="836"/>
      <c r="K758" s="837"/>
      <c r="L758" s="837">
        <v>0</v>
      </c>
      <c r="M758" s="837">
        <v>0</v>
      </c>
      <c r="N758" s="837">
        <v>0</v>
      </c>
      <c r="O758" s="837">
        <f t="shared" si="303"/>
        <v>0</v>
      </c>
      <c r="P758" s="837">
        <f t="shared" si="304"/>
        <v>0</v>
      </c>
      <c r="Q758" s="1264"/>
      <c r="R758" s="1264"/>
      <c r="S758" s="1264"/>
      <c r="T758" s="1264"/>
      <c r="U758" s="1264"/>
      <c r="V758" s="1264"/>
      <c r="W758" s="1264"/>
      <c r="X758" s="1264"/>
      <c r="Y758" s="1264"/>
      <c r="Z758" s="1264"/>
    </row>
    <row r="759" spans="1:26" ht="18.75" hidden="1">
      <c r="A759" s="1260"/>
      <c r="B759" s="1265"/>
      <c r="C759" s="1261"/>
      <c r="D759" s="1262"/>
      <c r="E759" s="1261" t="s">
        <v>185</v>
      </c>
      <c r="F759" s="1261"/>
      <c r="G759" s="1263"/>
      <c r="H759" s="165" t="s">
        <v>12</v>
      </c>
      <c r="I759" s="836"/>
      <c r="J759" s="836"/>
      <c r="K759" s="837"/>
      <c r="L759" s="837">
        <v>0</v>
      </c>
      <c r="M759" s="837">
        <v>0</v>
      </c>
      <c r="N759" s="837">
        <f>N760+N761+N762+N763</f>
        <v>0</v>
      </c>
      <c r="O759" s="837">
        <f t="shared" si="303"/>
        <v>0</v>
      </c>
      <c r="P759" s="837">
        <f t="shared" si="304"/>
        <v>0</v>
      </c>
      <c r="Q759" s="1264"/>
      <c r="R759" s="1264"/>
      <c r="S759" s="1264"/>
      <c r="T759" s="1264"/>
      <c r="U759" s="1264"/>
      <c r="V759" s="1264"/>
      <c r="W759" s="1264"/>
      <c r="X759" s="1264"/>
      <c r="Y759" s="1264"/>
      <c r="Z759" s="1264"/>
    </row>
    <row r="760" spans="1:26" ht="18.75" hidden="1">
      <c r="A760" s="1294"/>
      <c r="B760" s="1265"/>
      <c r="C760" s="1261"/>
      <c r="D760" s="1261"/>
      <c r="E760" s="1261"/>
      <c r="F760" s="1261" t="s">
        <v>186</v>
      </c>
      <c r="G760" s="1263"/>
      <c r="H760" s="165" t="s">
        <v>12</v>
      </c>
      <c r="I760" s="836"/>
      <c r="J760" s="836"/>
      <c r="K760" s="837"/>
      <c r="L760" s="837"/>
      <c r="M760" s="837"/>
      <c r="N760" s="837"/>
      <c r="O760" s="837"/>
      <c r="P760" s="837"/>
      <c r="Q760" s="1264"/>
      <c r="R760" s="1264"/>
      <c r="S760" s="1264"/>
      <c r="T760" s="1264"/>
      <c r="U760" s="1264"/>
      <c r="V760" s="1264"/>
      <c r="W760" s="1264"/>
      <c r="X760" s="1264"/>
      <c r="Y760" s="1264"/>
      <c r="Z760" s="1264"/>
    </row>
    <row r="761" spans="1:26" ht="18.75" hidden="1">
      <c r="A761" s="1294"/>
      <c r="B761" s="1265"/>
      <c r="C761" s="1261"/>
      <c r="D761" s="1261"/>
      <c r="E761" s="1261"/>
      <c r="F761" s="1261" t="s">
        <v>187</v>
      </c>
      <c r="G761" s="1263"/>
      <c r="H761" s="165" t="s">
        <v>12</v>
      </c>
      <c r="I761" s="836"/>
      <c r="J761" s="836"/>
      <c r="K761" s="837"/>
      <c r="L761" s="837"/>
      <c r="M761" s="837"/>
      <c r="N761" s="837"/>
      <c r="O761" s="837"/>
      <c r="P761" s="837"/>
      <c r="Q761" s="1264"/>
      <c r="R761" s="1264"/>
      <c r="S761" s="1264"/>
      <c r="T761" s="1264"/>
      <c r="U761" s="1264"/>
      <c r="V761" s="1264"/>
      <c r="W761" s="1264"/>
      <c r="X761" s="1264"/>
      <c r="Y761" s="1264"/>
      <c r="Z761" s="1264"/>
    </row>
    <row r="762" spans="1:26" ht="18.75" hidden="1">
      <c r="A762" s="1294"/>
      <c r="B762" s="1265"/>
      <c r="C762" s="1261"/>
      <c r="D762" s="1261"/>
      <c r="E762" s="1261"/>
      <c r="F762" s="1261" t="s">
        <v>188</v>
      </c>
      <c r="G762" s="1263"/>
      <c r="H762" s="165" t="s">
        <v>12</v>
      </c>
      <c r="I762" s="836"/>
      <c r="J762" s="836"/>
      <c r="K762" s="837"/>
      <c r="L762" s="837"/>
      <c r="M762" s="837"/>
      <c r="N762" s="837"/>
      <c r="O762" s="837"/>
      <c r="P762" s="837"/>
      <c r="Q762" s="1264"/>
      <c r="R762" s="1264"/>
      <c r="S762" s="1264"/>
      <c r="T762" s="1264"/>
      <c r="U762" s="1264"/>
      <c r="V762" s="1264"/>
      <c r="W762" s="1264"/>
      <c r="X762" s="1264"/>
      <c r="Y762" s="1264"/>
      <c r="Z762" s="1264"/>
    </row>
    <row r="763" spans="1:26" ht="18.75" hidden="1">
      <c r="A763" s="1294"/>
      <c r="B763" s="1265"/>
      <c r="C763" s="1261"/>
      <c r="D763" s="1261"/>
      <c r="E763" s="1261"/>
      <c r="F763" s="1261" t="s">
        <v>189</v>
      </c>
      <c r="G763" s="1263"/>
      <c r="H763" s="165" t="s">
        <v>12</v>
      </c>
      <c r="I763" s="836"/>
      <c r="J763" s="836"/>
      <c r="K763" s="837"/>
      <c r="L763" s="837"/>
      <c r="M763" s="837"/>
      <c r="N763" s="837"/>
      <c r="O763" s="837"/>
      <c r="P763" s="837"/>
      <c r="Q763" s="1264"/>
      <c r="R763" s="1264"/>
      <c r="S763" s="1264"/>
      <c r="T763" s="1264"/>
      <c r="U763" s="1264"/>
      <c r="V763" s="1264"/>
      <c r="W763" s="1264"/>
      <c r="X763" s="1264"/>
      <c r="Y763" s="1264"/>
      <c r="Z763" s="1264"/>
    </row>
    <row r="764" spans="1:26" ht="19.5" hidden="1">
      <c r="A764" s="1260"/>
      <c r="B764" s="1265"/>
      <c r="C764" s="1261"/>
      <c r="D764" s="1392" t="s">
        <v>21</v>
      </c>
      <c r="E764" s="1261"/>
      <c r="F764" s="1261"/>
      <c r="G764" s="1263"/>
      <c r="H764" s="749" t="s">
        <v>12</v>
      </c>
      <c r="I764" s="947"/>
      <c r="J764" s="947"/>
      <c r="K764" s="948"/>
      <c r="L764" s="1292">
        <f t="shared" ref="L764:N764" si="307">L765+L766</f>
        <v>0</v>
      </c>
      <c r="M764" s="1292">
        <f t="shared" si="307"/>
        <v>0</v>
      </c>
      <c r="N764" s="1292">
        <f t="shared" si="307"/>
        <v>0</v>
      </c>
      <c r="O764" s="1292">
        <f t="shared" ref="O764:O766" si="308">IF(L764&gt;0,N764*100/L764,0)</f>
        <v>0</v>
      </c>
      <c r="P764" s="1292">
        <f t="shared" ref="P764:P766" si="309">IF(M764&gt;0,N764*100/M764,0)</f>
        <v>0</v>
      </c>
      <c r="Q764" s="1264"/>
      <c r="R764" s="1264"/>
      <c r="S764" s="1264"/>
      <c r="T764" s="1264"/>
      <c r="U764" s="1264"/>
      <c r="V764" s="1264"/>
      <c r="W764" s="1264"/>
      <c r="X764" s="1264"/>
      <c r="Y764" s="1264"/>
      <c r="Z764" s="1264"/>
    </row>
    <row r="765" spans="1:26" ht="18.75" hidden="1">
      <c r="A765" s="1260"/>
      <c r="B765" s="1265"/>
      <c r="C765" s="1261"/>
      <c r="D765" s="1261"/>
      <c r="E765" s="1261" t="s">
        <v>18</v>
      </c>
      <c r="F765" s="1261"/>
      <c r="G765" s="1263"/>
      <c r="H765" s="165" t="s">
        <v>12</v>
      </c>
      <c r="I765" s="947"/>
      <c r="J765" s="947"/>
      <c r="K765" s="948"/>
      <c r="L765" s="837">
        <v>0</v>
      </c>
      <c r="M765" s="837">
        <v>0</v>
      </c>
      <c r="N765" s="837">
        <v>0</v>
      </c>
      <c r="O765" s="837">
        <f t="shared" si="308"/>
        <v>0</v>
      </c>
      <c r="P765" s="837">
        <f t="shared" si="309"/>
        <v>0</v>
      </c>
      <c r="Q765" s="1264"/>
      <c r="R765" s="1264"/>
      <c r="S765" s="1264"/>
      <c r="T765" s="1264"/>
      <c r="U765" s="1264"/>
      <c r="V765" s="1264"/>
      <c r="W765" s="1264"/>
      <c r="X765" s="1264"/>
      <c r="Y765" s="1264"/>
      <c r="Z765" s="1264"/>
    </row>
    <row r="766" spans="1:26" ht="18.75" hidden="1">
      <c r="A766" s="1260"/>
      <c r="B766" s="1265"/>
      <c r="C766" s="1261"/>
      <c r="D766" s="1261"/>
      <c r="E766" s="1261" t="s">
        <v>19</v>
      </c>
      <c r="F766" s="1261"/>
      <c r="G766" s="1263"/>
      <c r="H766" s="169" t="s">
        <v>12</v>
      </c>
      <c r="I766" s="947"/>
      <c r="J766" s="947"/>
      <c r="K766" s="948"/>
      <c r="L766" s="837">
        <v>0</v>
      </c>
      <c r="M766" s="837">
        <v>0</v>
      </c>
      <c r="N766" s="837">
        <v>0</v>
      </c>
      <c r="O766" s="837">
        <f t="shared" si="308"/>
        <v>0</v>
      </c>
      <c r="P766" s="837">
        <f t="shared" si="309"/>
        <v>0</v>
      </c>
      <c r="Q766" s="1264"/>
      <c r="R766" s="1264"/>
      <c r="S766" s="1264"/>
      <c r="T766" s="1264"/>
      <c r="U766" s="1264"/>
      <c r="V766" s="1264"/>
      <c r="W766" s="1264"/>
      <c r="X766" s="1264"/>
      <c r="Y766" s="1264"/>
      <c r="Z766" s="1264"/>
    </row>
    <row r="767" spans="1:26" ht="19.5" hidden="1">
      <c r="A767" s="1273"/>
      <c r="B767" s="1274"/>
      <c r="C767" s="1261" t="s">
        <v>16</v>
      </c>
      <c r="D767" s="1393" t="s">
        <v>38</v>
      </c>
      <c r="E767" s="1296"/>
      <c r="F767" s="1296"/>
      <c r="G767" s="1297"/>
      <c r="H767" s="1060"/>
      <c r="I767" s="947"/>
      <c r="J767" s="947"/>
      <c r="K767" s="948"/>
      <c r="L767" s="948"/>
      <c r="M767" s="948"/>
      <c r="N767" s="948"/>
      <c r="O767" s="948"/>
      <c r="P767" s="948"/>
      <c r="Q767" s="1264"/>
      <c r="R767" s="1264"/>
      <c r="S767" s="1264"/>
      <c r="T767" s="1264"/>
      <c r="U767" s="1264"/>
      <c r="V767" s="1264"/>
      <c r="W767" s="1264"/>
      <c r="X767" s="1264"/>
      <c r="Y767" s="1264"/>
      <c r="Z767" s="1264"/>
    </row>
    <row r="768" spans="1:26" ht="18.75" hidden="1">
      <c r="A768" s="1294"/>
      <c r="B768" s="1265"/>
      <c r="C768" s="1261"/>
      <c r="D768" s="1261"/>
      <c r="E768" s="1261" t="s">
        <v>316</v>
      </c>
      <c r="F768" s="1261"/>
      <c r="G768" s="1263"/>
      <c r="H768" s="165" t="s">
        <v>46</v>
      </c>
      <c r="I768" s="836"/>
      <c r="J768" s="836"/>
      <c r="K768" s="837"/>
      <c r="L768" s="837"/>
      <c r="M768" s="837"/>
      <c r="N768" s="837"/>
      <c r="O768" s="837"/>
      <c r="P768" s="837"/>
      <c r="Q768" s="1264"/>
      <c r="R768" s="1264"/>
      <c r="S768" s="1264"/>
      <c r="T768" s="1264"/>
      <c r="U768" s="1264"/>
      <c r="V768" s="1264"/>
      <c r="W768" s="1264"/>
      <c r="X768" s="1264"/>
      <c r="Y768" s="1264"/>
      <c r="Z768" s="1264"/>
    </row>
    <row r="769" spans="1:26" ht="19.5" hidden="1">
      <c r="A769" s="759">
        <v>11</v>
      </c>
      <c r="B769" s="1400" t="s">
        <v>317</v>
      </c>
      <c r="C769" s="1401"/>
      <c r="D769" s="1401"/>
      <c r="E769" s="1401"/>
      <c r="F769" s="1401"/>
      <c r="G769" s="1402"/>
      <c r="H769" s="763" t="s">
        <v>46</v>
      </c>
      <c r="I769" s="1403"/>
      <c r="J769" s="1403">
        <f>J784</f>
        <v>0</v>
      </c>
      <c r="K769" s="1404">
        <f>IF(I769&gt;0,J769*100/I769,0)</f>
        <v>0</v>
      </c>
      <c r="L769" s="1405"/>
      <c r="M769" s="1405"/>
      <c r="N769" s="1405"/>
      <c r="O769" s="1405"/>
      <c r="P769" s="1405"/>
      <c r="Q769" s="1264"/>
      <c r="R769" s="1264"/>
      <c r="S769" s="1264"/>
      <c r="T769" s="1264"/>
      <c r="U769" s="1264"/>
      <c r="V769" s="1264"/>
      <c r="W769" s="1264"/>
      <c r="X769" s="1264"/>
      <c r="Y769" s="1264"/>
      <c r="Z769" s="1264"/>
    </row>
    <row r="770" spans="1:26" ht="19.5" hidden="1">
      <c r="A770" s="1260"/>
      <c r="B770" s="1261"/>
      <c r="C770" s="1261" t="s">
        <v>16</v>
      </c>
      <c r="D770" s="1508" t="s">
        <v>17</v>
      </c>
      <c r="E770" s="1485"/>
      <c r="F770" s="1485"/>
      <c r="G770" s="1263"/>
      <c r="H770" s="612" t="s">
        <v>12</v>
      </c>
      <c r="I770" s="836"/>
      <c r="J770" s="836"/>
      <c r="K770" s="837"/>
      <c r="L770" s="1292">
        <f t="shared" ref="L770:N770" si="310">L771+L772</f>
        <v>0</v>
      </c>
      <c r="M770" s="1292">
        <f t="shared" si="310"/>
        <v>0</v>
      </c>
      <c r="N770" s="1292">
        <f t="shared" si="310"/>
        <v>0</v>
      </c>
      <c r="O770" s="1292">
        <f t="shared" ref="O770:O775" si="311">IF(L770&gt;0,N770*100/L770,0)</f>
        <v>0</v>
      </c>
      <c r="P770" s="1292">
        <f t="shared" ref="P770:P775" si="312">IF(M770&gt;0,N770*100/M770,0)</f>
        <v>0</v>
      </c>
      <c r="Q770" s="1264"/>
      <c r="R770" s="1264"/>
      <c r="S770" s="1264"/>
      <c r="T770" s="1264"/>
      <c r="U770" s="1264"/>
      <c r="V770" s="1264"/>
      <c r="W770" s="1264"/>
      <c r="X770" s="1264"/>
      <c r="Y770" s="1264"/>
      <c r="Z770" s="1264"/>
    </row>
    <row r="771" spans="1:26" ht="18.75" hidden="1">
      <c r="A771" s="1260"/>
      <c r="B771" s="1261"/>
      <c r="C771" s="1261"/>
      <c r="D771" s="1262"/>
      <c r="E771" s="1261" t="s">
        <v>184</v>
      </c>
      <c r="F771" s="1261"/>
      <c r="G771" s="1263"/>
      <c r="H771" s="165" t="s">
        <v>12</v>
      </c>
      <c r="I771" s="836"/>
      <c r="J771" s="836"/>
      <c r="K771" s="837"/>
      <c r="L771" s="837">
        <f t="shared" ref="L771:N772" si="313">L774+L781</f>
        <v>0</v>
      </c>
      <c r="M771" s="837">
        <f t="shared" si="313"/>
        <v>0</v>
      </c>
      <c r="N771" s="837">
        <f t="shared" si="313"/>
        <v>0</v>
      </c>
      <c r="O771" s="837">
        <f t="shared" si="311"/>
        <v>0</v>
      </c>
      <c r="P771" s="837">
        <f t="shared" si="312"/>
        <v>0</v>
      </c>
      <c r="Q771" s="1264"/>
      <c r="R771" s="1264"/>
      <c r="S771" s="1264"/>
      <c r="T771" s="1264"/>
      <c r="U771" s="1264"/>
      <c r="V771" s="1264"/>
      <c r="W771" s="1264"/>
      <c r="X771" s="1264"/>
      <c r="Y771" s="1264"/>
      <c r="Z771" s="1264"/>
    </row>
    <row r="772" spans="1:26" ht="18.75" hidden="1">
      <c r="A772" s="1260"/>
      <c r="B772" s="1265"/>
      <c r="C772" s="1261"/>
      <c r="D772" s="1262"/>
      <c r="E772" s="1261" t="s">
        <v>185</v>
      </c>
      <c r="F772" s="1261"/>
      <c r="G772" s="1263"/>
      <c r="H772" s="165" t="s">
        <v>12</v>
      </c>
      <c r="I772" s="836"/>
      <c r="J772" s="836"/>
      <c r="K772" s="837"/>
      <c r="L772" s="837">
        <f t="shared" si="313"/>
        <v>0</v>
      </c>
      <c r="M772" s="837">
        <f t="shared" si="313"/>
        <v>0</v>
      </c>
      <c r="N772" s="837">
        <f t="shared" si="313"/>
        <v>0</v>
      </c>
      <c r="O772" s="837">
        <f t="shared" si="311"/>
        <v>0</v>
      </c>
      <c r="P772" s="837">
        <f t="shared" si="312"/>
        <v>0</v>
      </c>
      <c r="Q772" s="1264"/>
      <c r="R772" s="1264"/>
      <c r="S772" s="1264"/>
      <c r="T772" s="1264"/>
      <c r="U772" s="1264"/>
      <c r="V772" s="1264"/>
      <c r="W772" s="1264"/>
      <c r="X772" s="1264"/>
      <c r="Y772" s="1264"/>
      <c r="Z772" s="1264"/>
    </row>
    <row r="773" spans="1:26" ht="19.5" hidden="1">
      <c r="A773" s="1260"/>
      <c r="B773" s="1265"/>
      <c r="C773" s="1261"/>
      <c r="D773" s="1392" t="s">
        <v>20</v>
      </c>
      <c r="E773" s="1261"/>
      <c r="F773" s="1261"/>
      <c r="G773" s="1263"/>
      <c r="H773" s="612" t="s">
        <v>12</v>
      </c>
      <c r="I773" s="947"/>
      <c r="J773" s="947"/>
      <c r="K773" s="948"/>
      <c r="L773" s="1292">
        <f t="shared" ref="L773:N773" si="314">L774+L775</f>
        <v>0</v>
      </c>
      <c r="M773" s="1292">
        <f t="shared" si="314"/>
        <v>0</v>
      </c>
      <c r="N773" s="1292">
        <f t="shared" si="314"/>
        <v>0</v>
      </c>
      <c r="O773" s="1292">
        <f t="shared" si="311"/>
        <v>0</v>
      </c>
      <c r="P773" s="1292">
        <f t="shared" si="312"/>
        <v>0</v>
      </c>
      <c r="Q773" s="1264"/>
      <c r="R773" s="1264"/>
      <c r="S773" s="1264"/>
      <c r="T773" s="1264"/>
      <c r="U773" s="1264"/>
      <c r="V773" s="1264"/>
      <c r="W773" s="1264"/>
      <c r="X773" s="1264"/>
      <c r="Y773" s="1264"/>
      <c r="Z773" s="1264"/>
    </row>
    <row r="774" spans="1:26" ht="18.75" hidden="1">
      <c r="A774" s="1260"/>
      <c r="B774" s="1265"/>
      <c r="C774" s="1261"/>
      <c r="D774" s="1262"/>
      <c r="E774" s="1261" t="s">
        <v>184</v>
      </c>
      <c r="F774" s="1261"/>
      <c r="G774" s="1263"/>
      <c r="H774" s="165" t="s">
        <v>12</v>
      </c>
      <c r="I774" s="836"/>
      <c r="J774" s="836"/>
      <c r="K774" s="837"/>
      <c r="L774" s="837">
        <v>0</v>
      </c>
      <c r="M774" s="837">
        <v>0</v>
      </c>
      <c r="N774" s="837">
        <v>0</v>
      </c>
      <c r="O774" s="837">
        <f t="shared" si="311"/>
        <v>0</v>
      </c>
      <c r="P774" s="837">
        <f t="shared" si="312"/>
        <v>0</v>
      </c>
      <c r="Q774" s="1264"/>
      <c r="R774" s="1264"/>
      <c r="S774" s="1264"/>
      <c r="T774" s="1264"/>
      <c r="U774" s="1264"/>
      <c r="V774" s="1264"/>
      <c r="W774" s="1264"/>
      <c r="X774" s="1264"/>
      <c r="Y774" s="1264"/>
      <c r="Z774" s="1264"/>
    </row>
    <row r="775" spans="1:26" ht="18.75" hidden="1">
      <c r="A775" s="1260"/>
      <c r="B775" s="1265"/>
      <c r="C775" s="1261"/>
      <c r="D775" s="1262"/>
      <c r="E775" s="1261" t="s">
        <v>185</v>
      </c>
      <c r="F775" s="1261"/>
      <c r="G775" s="1263"/>
      <c r="H775" s="165" t="s">
        <v>12</v>
      </c>
      <c r="I775" s="836"/>
      <c r="J775" s="836"/>
      <c r="K775" s="837"/>
      <c r="L775" s="837">
        <v>0</v>
      </c>
      <c r="M775" s="837">
        <v>0</v>
      </c>
      <c r="N775" s="837">
        <f>N776+N777+N778+N779</f>
        <v>0</v>
      </c>
      <c r="O775" s="837">
        <f t="shared" si="311"/>
        <v>0</v>
      </c>
      <c r="P775" s="837">
        <f t="shared" si="312"/>
        <v>0</v>
      </c>
      <c r="Q775" s="1264"/>
      <c r="R775" s="1264"/>
      <c r="S775" s="1264"/>
      <c r="T775" s="1264"/>
      <c r="U775" s="1264"/>
      <c r="V775" s="1264"/>
      <c r="W775" s="1264"/>
      <c r="X775" s="1264"/>
      <c r="Y775" s="1264"/>
      <c r="Z775" s="1264"/>
    </row>
    <row r="776" spans="1:26" ht="18.75" hidden="1">
      <c r="A776" s="1294"/>
      <c r="B776" s="1265"/>
      <c r="C776" s="1261"/>
      <c r="D776" s="1261"/>
      <c r="E776" s="1261"/>
      <c r="F776" s="1261" t="s">
        <v>186</v>
      </c>
      <c r="G776" s="1263"/>
      <c r="H776" s="165" t="s">
        <v>12</v>
      </c>
      <c r="I776" s="836"/>
      <c r="J776" s="836"/>
      <c r="K776" s="837"/>
      <c r="L776" s="837"/>
      <c r="M776" s="837"/>
      <c r="N776" s="837"/>
      <c r="O776" s="837"/>
      <c r="P776" s="837"/>
      <c r="Q776" s="1264"/>
      <c r="R776" s="1264"/>
      <c r="S776" s="1264"/>
      <c r="T776" s="1264"/>
      <c r="U776" s="1264"/>
      <c r="V776" s="1264"/>
      <c r="W776" s="1264"/>
      <c r="X776" s="1264"/>
      <c r="Y776" s="1264"/>
      <c r="Z776" s="1264"/>
    </row>
    <row r="777" spans="1:26" ht="18.75" hidden="1">
      <c r="A777" s="1294"/>
      <c r="B777" s="1265"/>
      <c r="C777" s="1261"/>
      <c r="D777" s="1261"/>
      <c r="E777" s="1261"/>
      <c r="F777" s="1261" t="s">
        <v>187</v>
      </c>
      <c r="G777" s="1263"/>
      <c r="H777" s="165" t="s">
        <v>12</v>
      </c>
      <c r="I777" s="836"/>
      <c r="J777" s="836"/>
      <c r="K777" s="837"/>
      <c r="L777" s="837"/>
      <c r="M777" s="837"/>
      <c r="N777" s="837"/>
      <c r="O777" s="837"/>
      <c r="P777" s="837"/>
      <c r="Q777" s="1264"/>
      <c r="R777" s="1264"/>
      <c r="S777" s="1264"/>
      <c r="T777" s="1264"/>
      <c r="U777" s="1264"/>
      <c r="V777" s="1264"/>
      <c r="W777" s="1264"/>
      <c r="X777" s="1264"/>
      <c r="Y777" s="1264"/>
      <c r="Z777" s="1264"/>
    </row>
    <row r="778" spans="1:26" ht="18.75" hidden="1">
      <c r="A778" s="1294"/>
      <c r="B778" s="1265"/>
      <c r="C778" s="1261"/>
      <c r="D778" s="1261"/>
      <c r="E778" s="1261"/>
      <c r="F778" s="1261" t="s">
        <v>188</v>
      </c>
      <c r="G778" s="1263"/>
      <c r="H778" s="165" t="s">
        <v>12</v>
      </c>
      <c r="I778" s="836"/>
      <c r="J778" s="836"/>
      <c r="K778" s="837"/>
      <c r="L778" s="837"/>
      <c r="M778" s="837"/>
      <c r="N778" s="837"/>
      <c r="O778" s="837"/>
      <c r="P778" s="837"/>
      <c r="Q778" s="1264"/>
      <c r="R778" s="1264"/>
      <c r="S778" s="1264"/>
      <c r="T778" s="1264"/>
      <c r="U778" s="1264"/>
      <c r="V778" s="1264"/>
      <c r="W778" s="1264"/>
      <c r="X778" s="1264"/>
      <c r="Y778" s="1264"/>
      <c r="Z778" s="1264"/>
    </row>
    <row r="779" spans="1:26" ht="18.75" hidden="1">
      <c r="A779" s="1294"/>
      <c r="B779" s="1265"/>
      <c r="C779" s="1261"/>
      <c r="D779" s="1261"/>
      <c r="E779" s="1261"/>
      <c r="F779" s="1261" t="s">
        <v>189</v>
      </c>
      <c r="G779" s="1263"/>
      <c r="H779" s="165" t="s">
        <v>12</v>
      </c>
      <c r="I779" s="836"/>
      <c r="J779" s="836"/>
      <c r="K779" s="837"/>
      <c r="L779" s="837"/>
      <c r="M779" s="837"/>
      <c r="N779" s="837"/>
      <c r="O779" s="837"/>
      <c r="P779" s="837"/>
      <c r="Q779" s="1264"/>
      <c r="R779" s="1264"/>
      <c r="S779" s="1264"/>
      <c r="T779" s="1264"/>
      <c r="U779" s="1264"/>
      <c r="V779" s="1264"/>
      <c r="W779" s="1264"/>
      <c r="X779" s="1264"/>
      <c r="Y779" s="1264"/>
      <c r="Z779" s="1264"/>
    </row>
    <row r="780" spans="1:26" ht="19.5" hidden="1">
      <c r="A780" s="1260"/>
      <c r="B780" s="1265"/>
      <c r="C780" s="1261"/>
      <c r="D780" s="1392" t="s">
        <v>21</v>
      </c>
      <c r="E780" s="1261"/>
      <c r="F780" s="1261"/>
      <c r="G780" s="1263"/>
      <c r="H780" s="749" t="s">
        <v>12</v>
      </c>
      <c r="I780" s="947"/>
      <c r="J780" s="947"/>
      <c r="K780" s="948"/>
      <c r="L780" s="1292">
        <f t="shared" ref="L780:N780" si="315">L781+L782</f>
        <v>0</v>
      </c>
      <c r="M780" s="1292">
        <f t="shared" si="315"/>
        <v>0</v>
      </c>
      <c r="N780" s="1292">
        <f t="shared" si="315"/>
        <v>0</v>
      </c>
      <c r="O780" s="1292">
        <f t="shared" ref="O780:O782" si="316">IF(L780&gt;0,N780*100/L780,0)</f>
        <v>0</v>
      </c>
      <c r="P780" s="1292">
        <f t="shared" ref="P780:P782" si="317">IF(M780&gt;0,N780*100/M780,0)</f>
        <v>0</v>
      </c>
      <c r="Q780" s="1264"/>
      <c r="R780" s="1264"/>
      <c r="S780" s="1264"/>
      <c r="T780" s="1264"/>
      <c r="U780" s="1264"/>
      <c r="V780" s="1264"/>
      <c r="W780" s="1264"/>
      <c r="X780" s="1264"/>
      <c r="Y780" s="1264"/>
      <c r="Z780" s="1264"/>
    </row>
    <row r="781" spans="1:26" ht="18.75" hidden="1">
      <c r="A781" s="1260"/>
      <c r="B781" s="1265"/>
      <c r="C781" s="1261"/>
      <c r="D781" s="1261"/>
      <c r="E781" s="1261" t="s">
        <v>18</v>
      </c>
      <c r="F781" s="1261"/>
      <c r="G781" s="1263"/>
      <c r="H781" s="165" t="s">
        <v>12</v>
      </c>
      <c r="I781" s="947"/>
      <c r="J781" s="947"/>
      <c r="K781" s="948"/>
      <c r="L781" s="837">
        <v>0</v>
      </c>
      <c r="M781" s="837">
        <v>0</v>
      </c>
      <c r="N781" s="837">
        <v>0</v>
      </c>
      <c r="O781" s="837">
        <f t="shared" si="316"/>
        <v>0</v>
      </c>
      <c r="P781" s="837">
        <f t="shared" si="317"/>
        <v>0</v>
      </c>
      <c r="Q781" s="1264"/>
      <c r="R781" s="1264"/>
      <c r="S781" s="1264"/>
      <c r="T781" s="1264"/>
      <c r="U781" s="1264"/>
      <c r="V781" s="1264"/>
      <c r="W781" s="1264"/>
      <c r="X781" s="1264"/>
      <c r="Y781" s="1264"/>
      <c r="Z781" s="1264"/>
    </row>
    <row r="782" spans="1:26" ht="18.75" hidden="1">
      <c r="A782" s="1260"/>
      <c r="B782" s="1265"/>
      <c r="C782" s="1261"/>
      <c r="D782" s="1261"/>
      <c r="E782" s="1261" t="s">
        <v>19</v>
      </c>
      <c r="F782" s="1261"/>
      <c r="G782" s="1263"/>
      <c r="H782" s="169" t="s">
        <v>12</v>
      </c>
      <c r="I782" s="947"/>
      <c r="J782" s="947"/>
      <c r="K782" s="948"/>
      <c r="L782" s="837">
        <v>0</v>
      </c>
      <c r="M782" s="837">
        <v>0</v>
      </c>
      <c r="N782" s="837">
        <v>0</v>
      </c>
      <c r="O782" s="837">
        <f t="shared" si="316"/>
        <v>0</v>
      </c>
      <c r="P782" s="837">
        <f t="shared" si="317"/>
        <v>0</v>
      </c>
      <c r="Q782" s="1264"/>
      <c r="R782" s="1264"/>
      <c r="S782" s="1264"/>
      <c r="T782" s="1264"/>
      <c r="U782" s="1264"/>
      <c r="V782" s="1264"/>
      <c r="W782" s="1264"/>
      <c r="X782" s="1264"/>
      <c r="Y782" s="1264"/>
      <c r="Z782" s="1264"/>
    </row>
    <row r="783" spans="1:26" ht="19.5" hidden="1">
      <c r="A783" s="1273"/>
      <c r="B783" s="1274"/>
      <c r="C783" s="1261" t="s">
        <v>16</v>
      </c>
      <c r="D783" s="1393" t="s">
        <v>38</v>
      </c>
      <c r="E783" s="1296"/>
      <c r="F783" s="1296"/>
      <c r="G783" s="1297"/>
      <c r="H783" s="1406"/>
      <c r="I783" s="947"/>
      <c r="J783" s="947"/>
      <c r="K783" s="948"/>
      <c r="L783" s="948"/>
      <c r="M783" s="948"/>
      <c r="N783" s="948"/>
      <c r="O783" s="948"/>
      <c r="P783" s="948"/>
      <c r="Q783" s="1264"/>
      <c r="R783" s="1264"/>
      <c r="S783" s="1264"/>
      <c r="T783" s="1264"/>
      <c r="U783" s="1264"/>
      <c r="V783" s="1264"/>
      <c r="W783" s="1264"/>
      <c r="X783" s="1264"/>
      <c r="Y783" s="1264"/>
      <c r="Z783" s="1264"/>
    </row>
    <row r="784" spans="1:26" ht="18.75" hidden="1">
      <c r="A784" s="1294"/>
      <c r="B784" s="1265"/>
      <c r="C784" s="1261"/>
      <c r="D784" s="1261"/>
      <c r="E784" s="1261" t="s">
        <v>318</v>
      </c>
      <c r="F784" s="1261"/>
      <c r="G784" s="1263"/>
      <c r="H784" s="165" t="s">
        <v>46</v>
      </c>
      <c r="I784" s="836"/>
      <c r="J784" s="836"/>
      <c r="K784" s="837"/>
      <c r="L784" s="837"/>
      <c r="M784" s="837"/>
      <c r="N784" s="837"/>
      <c r="O784" s="837"/>
      <c r="P784" s="837"/>
      <c r="Q784" s="1264"/>
      <c r="R784" s="1264"/>
      <c r="S784" s="1264"/>
      <c r="T784" s="1264"/>
      <c r="U784" s="1264"/>
      <c r="V784" s="1264"/>
      <c r="W784" s="1264"/>
      <c r="X784" s="1264"/>
      <c r="Y784" s="1264"/>
      <c r="Z784" s="1264"/>
    </row>
    <row r="785" spans="1:26" ht="19.5" hidden="1">
      <c r="A785" s="768">
        <v>12</v>
      </c>
      <c r="B785" s="1407" t="s">
        <v>319</v>
      </c>
      <c r="C785" s="1408"/>
      <c r="D785" s="1408"/>
      <c r="E785" s="1408"/>
      <c r="F785" s="1408"/>
      <c r="G785" s="1409"/>
      <c r="H785" s="772" t="s">
        <v>46</v>
      </c>
      <c r="I785" s="1436">
        <f t="shared" ref="I785:J785" ca="1" si="318">I800</f>
        <v>0</v>
      </c>
      <c r="J785" s="1410">
        <f t="shared" ca="1" si="318"/>
        <v>0</v>
      </c>
      <c r="K785" s="1411">
        <f ca="1">IF(I785&gt;0,J785*100/I785,0)</f>
        <v>0</v>
      </c>
      <c r="L785" s="1412"/>
      <c r="M785" s="1412"/>
      <c r="N785" s="1412"/>
      <c r="O785" s="1412"/>
      <c r="P785" s="1412"/>
      <c r="Q785" s="1244"/>
      <c r="R785" s="1244"/>
      <c r="S785" s="1244"/>
      <c r="T785" s="1244"/>
      <c r="U785" s="1244"/>
      <c r="V785" s="1244"/>
      <c r="W785" s="1244"/>
      <c r="X785" s="1244"/>
      <c r="Y785" s="1244"/>
      <c r="Z785" s="1244"/>
    </row>
    <row r="786" spans="1:26" ht="19.5" hidden="1">
      <c r="A786" s="1259"/>
      <c r="B786" s="1242"/>
      <c r="C786" s="1243" t="s">
        <v>16</v>
      </c>
      <c r="D786" s="1507" t="s">
        <v>17</v>
      </c>
      <c r="E786" s="1485"/>
      <c r="F786" s="1485"/>
      <c r="G786" s="963"/>
      <c r="H786" s="563" t="s">
        <v>12</v>
      </c>
      <c r="I786" s="830"/>
      <c r="J786" s="830"/>
      <c r="K786" s="831"/>
      <c r="L786" s="967">
        <f t="shared" ref="L786:N786" ca="1" si="319">L787+L788</f>
        <v>0</v>
      </c>
      <c r="M786" s="967">
        <f t="shared" si="319"/>
        <v>0</v>
      </c>
      <c r="N786" s="967">
        <f t="shared" si="319"/>
        <v>0</v>
      </c>
      <c r="O786" s="967">
        <f t="shared" ref="O786:O791" ca="1" si="320">IF(L786&gt;0,N786*100/L786,0)</f>
        <v>0</v>
      </c>
      <c r="P786" s="967">
        <f t="shared" ref="P786:P791" si="321">IF(M786&gt;0,N786*100/M786,0)</f>
        <v>0</v>
      </c>
      <c r="Q786" s="1244"/>
      <c r="R786" s="1244"/>
      <c r="S786" s="1244"/>
      <c r="T786" s="1244"/>
      <c r="U786" s="1244"/>
      <c r="V786" s="1244"/>
      <c r="W786" s="1244"/>
      <c r="X786" s="1244"/>
      <c r="Y786" s="1244"/>
      <c r="Z786" s="1244"/>
    </row>
    <row r="787" spans="1:26" ht="18.75" hidden="1">
      <c r="A787" s="1260"/>
      <c r="B787" s="1265"/>
      <c r="C787" s="1261"/>
      <c r="D787" s="1262"/>
      <c r="E787" s="1261" t="s">
        <v>184</v>
      </c>
      <c r="F787" s="1261"/>
      <c r="G787" s="1263"/>
      <c r="H787" s="165" t="s">
        <v>12</v>
      </c>
      <c r="I787" s="836"/>
      <c r="J787" s="836"/>
      <c r="K787" s="837"/>
      <c r="L787" s="837">
        <f t="shared" ref="L787:N788" si="322">L790+L797</f>
        <v>0</v>
      </c>
      <c r="M787" s="837">
        <f t="shared" si="322"/>
        <v>0</v>
      </c>
      <c r="N787" s="837">
        <f t="shared" si="322"/>
        <v>0</v>
      </c>
      <c r="O787" s="837">
        <f t="shared" si="320"/>
        <v>0</v>
      </c>
      <c r="P787" s="837">
        <f t="shared" si="321"/>
        <v>0</v>
      </c>
      <c r="Q787" s="1264"/>
      <c r="R787" s="1264"/>
      <c r="S787" s="1264"/>
      <c r="T787" s="1264"/>
      <c r="U787" s="1264"/>
      <c r="V787" s="1264"/>
      <c r="W787" s="1264"/>
      <c r="X787" s="1264"/>
      <c r="Y787" s="1264"/>
      <c r="Z787" s="1264"/>
    </row>
    <row r="788" spans="1:26" ht="18.75" hidden="1">
      <c r="A788" s="1260"/>
      <c r="B788" s="1265"/>
      <c r="C788" s="1265"/>
      <c r="D788" s="1274"/>
      <c r="E788" s="1261" t="s">
        <v>185</v>
      </c>
      <c r="F788" s="1261"/>
      <c r="G788" s="1263"/>
      <c r="H788" s="165" t="s">
        <v>12</v>
      </c>
      <c r="I788" s="836"/>
      <c r="J788" s="836"/>
      <c r="K788" s="837"/>
      <c r="L788" s="837">
        <f t="shared" ca="1" si="322"/>
        <v>0</v>
      </c>
      <c r="M788" s="837">
        <f t="shared" si="322"/>
        <v>0</v>
      </c>
      <c r="N788" s="837">
        <f t="shared" si="322"/>
        <v>0</v>
      </c>
      <c r="O788" s="837">
        <f t="shared" ca="1" si="320"/>
        <v>0</v>
      </c>
      <c r="P788" s="837">
        <f t="shared" si="321"/>
        <v>0</v>
      </c>
      <c r="Q788" s="1264"/>
      <c r="R788" s="1264"/>
      <c r="S788" s="1264"/>
      <c r="T788" s="1264"/>
      <c r="U788" s="1264"/>
      <c r="V788" s="1264"/>
      <c r="W788" s="1264"/>
      <c r="X788" s="1264"/>
      <c r="Y788" s="1264"/>
      <c r="Z788" s="1264"/>
    </row>
    <row r="789" spans="1:26" ht="18.75" hidden="1">
      <c r="A789" s="1259"/>
      <c r="B789" s="1242"/>
      <c r="C789" s="1242"/>
      <c r="D789" s="1266" t="s">
        <v>20</v>
      </c>
      <c r="E789" s="1243"/>
      <c r="F789" s="1243"/>
      <c r="G789" s="963"/>
      <c r="H789" s="778" t="s">
        <v>12</v>
      </c>
      <c r="I789" s="944"/>
      <c r="J789" s="944"/>
      <c r="K789" s="945"/>
      <c r="L789" s="831">
        <f t="shared" ref="L789:N789" ca="1" si="323">L790+L791</f>
        <v>0</v>
      </c>
      <c r="M789" s="831">
        <f t="shared" si="323"/>
        <v>0</v>
      </c>
      <c r="N789" s="831">
        <f t="shared" si="323"/>
        <v>0</v>
      </c>
      <c r="O789" s="831">
        <f t="shared" ca="1" si="320"/>
        <v>0</v>
      </c>
      <c r="P789" s="831">
        <f t="shared" si="321"/>
        <v>0</v>
      </c>
      <c r="Q789" s="1244"/>
      <c r="R789" s="1244"/>
      <c r="S789" s="1244"/>
      <c r="T789" s="1244"/>
      <c r="U789" s="1244"/>
      <c r="V789" s="1244"/>
      <c r="W789" s="1244"/>
      <c r="X789" s="1244"/>
      <c r="Y789" s="1244"/>
      <c r="Z789" s="1244"/>
    </row>
    <row r="790" spans="1:26" ht="18.75" hidden="1">
      <c r="A790" s="1260"/>
      <c r="B790" s="1265"/>
      <c r="C790" s="1265"/>
      <c r="D790" s="1274"/>
      <c r="E790" s="1261" t="s">
        <v>184</v>
      </c>
      <c r="F790" s="1261"/>
      <c r="G790" s="1263"/>
      <c r="H790" s="165" t="s">
        <v>12</v>
      </c>
      <c r="I790" s="836"/>
      <c r="J790" s="836"/>
      <c r="K790" s="837"/>
      <c r="L790" s="837">
        <v>0</v>
      </c>
      <c r="M790" s="837">
        <v>0</v>
      </c>
      <c r="N790" s="837">
        <v>0</v>
      </c>
      <c r="O790" s="837">
        <f t="shared" si="320"/>
        <v>0</v>
      </c>
      <c r="P790" s="837">
        <f t="shared" si="321"/>
        <v>0</v>
      </c>
      <c r="Q790" s="1264"/>
      <c r="R790" s="1264"/>
      <c r="S790" s="1264"/>
      <c r="T790" s="1264"/>
      <c r="U790" s="1264"/>
      <c r="V790" s="1264"/>
      <c r="W790" s="1264"/>
      <c r="X790" s="1264"/>
      <c r="Y790" s="1264"/>
      <c r="Z790" s="1264"/>
    </row>
    <row r="791" spans="1:26" ht="18.75" hidden="1">
      <c r="A791" s="1260"/>
      <c r="B791" s="1265"/>
      <c r="C791" s="1265"/>
      <c r="D791" s="1274"/>
      <c r="E791" s="1261" t="s">
        <v>185</v>
      </c>
      <c r="F791" s="1261"/>
      <c r="G791" s="1263"/>
      <c r="H791" s="165" t="s">
        <v>12</v>
      </c>
      <c r="I791" s="836"/>
      <c r="J791" s="836"/>
      <c r="K791" s="837"/>
      <c r="L791" s="837">
        <f ca="1">IFERROR(__xludf.DUMMYFUNCTION("IMPORTRANGE(""https://docs.google.com/spreadsheets/d/1QqKyyYR6Q21VydFLVH3TRQUabQu_ym0Zz7PgGX0-kHA/edit?usp=sharing"",""แผน!JJ30"")"),0)</f>
        <v>0</v>
      </c>
      <c r="M791" s="837">
        <v>0</v>
      </c>
      <c r="N791" s="837">
        <f>N792+N793+N794+N795</f>
        <v>0</v>
      </c>
      <c r="O791" s="837">
        <f t="shared" ca="1" si="320"/>
        <v>0</v>
      </c>
      <c r="P791" s="837">
        <f t="shared" si="321"/>
        <v>0</v>
      </c>
      <c r="Q791" s="1264"/>
      <c r="R791" s="1264"/>
      <c r="S791" s="1264"/>
      <c r="T791" s="1264"/>
      <c r="U791" s="1264"/>
      <c r="V791" s="1264"/>
      <c r="W791" s="1264"/>
      <c r="X791" s="1264"/>
      <c r="Y791" s="1264"/>
      <c r="Z791" s="1264"/>
    </row>
    <row r="792" spans="1:26" ht="18.75" hidden="1">
      <c r="A792" s="1241"/>
      <c r="B792" s="1242"/>
      <c r="C792" s="1243"/>
      <c r="D792" s="1243"/>
      <c r="E792" s="1243"/>
      <c r="F792" s="1243" t="s">
        <v>186</v>
      </c>
      <c r="G792" s="963"/>
      <c r="H792" s="778" t="s">
        <v>12</v>
      </c>
      <c r="I792" s="830"/>
      <c r="J792" s="830"/>
      <c r="K792" s="831"/>
      <c r="L792" s="831"/>
      <c r="M792" s="831"/>
      <c r="N792" s="1031">
        <v>0</v>
      </c>
      <c r="O792" s="831"/>
      <c r="P792" s="831"/>
      <c r="Q792" s="1244"/>
      <c r="R792" s="1244"/>
      <c r="S792" s="1244"/>
      <c r="T792" s="1244"/>
      <c r="U792" s="1244"/>
      <c r="V792" s="1244"/>
      <c r="W792" s="1244"/>
      <c r="X792" s="1244"/>
      <c r="Y792" s="1244"/>
      <c r="Z792" s="1244"/>
    </row>
    <row r="793" spans="1:26" ht="18.75" hidden="1">
      <c r="A793" s="1241"/>
      <c r="B793" s="1242"/>
      <c r="C793" s="1243"/>
      <c r="D793" s="1243"/>
      <c r="E793" s="1243"/>
      <c r="F793" s="1243" t="s">
        <v>187</v>
      </c>
      <c r="G793" s="963"/>
      <c r="H793" s="778" t="s">
        <v>12</v>
      </c>
      <c r="I793" s="830"/>
      <c r="J793" s="830"/>
      <c r="K793" s="831"/>
      <c r="L793" s="831"/>
      <c r="M793" s="831"/>
      <c r="N793" s="1031">
        <v>0</v>
      </c>
      <c r="O793" s="831"/>
      <c r="P793" s="831"/>
      <c r="Q793" s="1244"/>
      <c r="R793" s="1244"/>
      <c r="S793" s="1244"/>
      <c r="T793" s="1244"/>
      <c r="U793" s="1244"/>
      <c r="V793" s="1244"/>
      <c r="W793" s="1244"/>
      <c r="X793" s="1244"/>
      <c r="Y793" s="1244"/>
      <c r="Z793" s="1244"/>
    </row>
    <row r="794" spans="1:26" ht="18.75" hidden="1">
      <c r="A794" s="1241"/>
      <c r="B794" s="1242"/>
      <c r="C794" s="1243"/>
      <c r="D794" s="1243"/>
      <c r="E794" s="1243"/>
      <c r="F794" s="1243" t="s">
        <v>188</v>
      </c>
      <c r="G794" s="963"/>
      <c r="H794" s="778" t="s">
        <v>12</v>
      </c>
      <c r="I794" s="830"/>
      <c r="J794" s="830"/>
      <c r="K794" s="831"/>
      <c r="L794" s="831"/>
      <c r="M794" s="831"/>
      <c r="N794" s="1031">
        <v>0</v>
      </c>
      <c r="O794" s="831"/>
      <c r="P794" s="831"/>
      <c r="Q794" s="1244"/>
      <c r="R794" s="1244"/>
      <c r="S794" s="1244"/>
      <c r="T794" s="1244"/>
      <c r="U794" s="1244"/>
      <c r="V794" s="1244"/>
      <c r="W794" s="1244"/>
      <c r="X794" s="1244"/>
      <c r="Y794" s="1244"/>
      <c r="Z794" s="1244"/>
    </row>
    <row r="795" spans="1:26" ht="18.75" hidden="1">
      <c r="A795" s="1241"/>
      <c r="B795" s="1242"/>
      <c r="C795" s="1243"/>
      <c r="D795" s="1243"/>
      <c r="E795" s="1243"/>
      <c r="F795" s="1243" t="s">
        <v>189</v>
      </c>
      <c r="G795" s="963"/>
      <c r="H795" s="778" t="s">
        <v>12</v>
      </c>
      <c r="I795" s="830"/>
      <c r="J795" s="830"/>
      <c r="K795" s="831"/>
      <c r="L795" s="831"/>
      <c r="M795" s="831"/>
      <c r="N795" s="1031">
        <v>0</v>
      </c>
      <c r="O795" s="831"/>
      <c r="P795" s="831"/>
      <c r="Q795" s="1244"/>
      <c r="R795" s="1244"/>
      <c r="S795" s="1244"/>
      <c r="T795" s="1244"/>
      <c r="U795" s="1244"/>
      <c r="V795" s="1244"/>
      <c r="W795" s="1244"/>
      <c r="X795" s="1244"/>
      <c r="Y795" s="1244"/>
      <c r="Z795" s="1244"/>
    </row>
    <row r="796" spans="1:26" ht="18.75" hidden="1">
      <c r="A796" s="1259"/>
      <c r="B796" s="1242"/>
      <c r="C796" s="1243"/>
      <c r="D796" s="1266" t="s">
        <v>21</v>
      </c>
      <c r="E796" s="1243"/>
      <c r="F796" s="1243"/>
      <c r="G796" s="963"/>
      <c r="H796" s="168" t="s">
        <v>12</v>
      </c>
      <c r="I796" s="944"/>
      <c r="J796" s="944"/>
      <c r="K796" s="945"/>
      <c r="L796" s="831">
        <f t="shared" ref="L796:N796" si="324">L797+L798</f>
        <v>0</v>
      </c>
      <c r="M796" s="831">
        <f t="shared" si="324"/>
        <v>0</v>
      </c>
      <c r="N796" s="831">
        <f t="shared" si="324"/>
        <v>0</v>
      </c>
      <c r="O796" s="831">
        <f t="shared" ref="O796:O798" si="325">IF(L796&gt;0,N796*100/L796,0)</f>
        <v>0</v>
      </c>
      <c r="P796" s="831">
        <f t="shared" ref="P796:P798" si="326">IF(M796&gt;0,N796*100/M796,0)</f>
        <v>0</v>
      </c>
      <c r="Q796" s="1244"/>
      <c r="R796" s="1244"/>
      <c r="S796" s="1244"/>
      <c r="T796" s="1244"/>
      <c r="U796" s="1244"/>
      <c r="V796" s="1244"/>
      <c r="W796" s="1244"/>
      <c r="X796" s="1244"/>
      <c r="Y796" s="1244"/>
      <c r="Z796" s="1244"/>
    </row>
    <row r="797" spans="1:26" ht="18.75" hidden="1">
      <c r="A797" s="1260"/>
      <c r="B797" s="1265"/>
      <c r="C797" s="1261"/>
      <c r="D797" s="1261"/>
      <c r="E797" s="1261" t="s">
        <v>18</v>
      </c>
      <c r="F797" s="1261"/>
      <c r="G797" s="1263"/>
      <c r="H797" s="165" t="s">
        <v>12</v>
      </c>
      <c r="I797" s="947"/>
      <c r="J797" s="947"/>
      <c r="K797" s="948"/>
      <c r="L797" s="837">
        <v>0</v>
      </c>
      <c r="M797" s="837">
        <v>0</v>
      </c>
      <c r="N797" s="837">
        <v>0</v>
      </c>
      <c r="O797" s="837">
        <f t="shared" si="325"/>
        <v>0</v>
      </c>
      <c r="P797" s="837">
        <f t="shared" si="326"/>
        <v>0</v>
      </c>
      <c r="Q797" s="1264"/>
      <c r="R797" s="1264"/>
      <c r="S797" s="1264"/>
      <c r="T797" s="1264"/>
      <c r="U797" s="1264"/>
      <c r="V797" s="1264"/>
      <c r="W797" s="1264"/>
      <c r="X797" s="1264"/>
      <c r="Y797" s="1264"/>
      <c r="Z797" s="1264"/>
    </row>
    <row r="798" spans="1:26" ht="18.75" hidden="1">
      <c r="A798" s="1260"/>
      <c r="B798" s="1265"/>
      <c r="C798" s="1261"/>
      <c r="D798" s="1261"/>
      <c r="E798" s="1261" t="s">
        <v>19</v>
      </c>
      <c r="F798" s="1261"/>
      <c r="G798" s="1263"/>
      <c r="H798" s="169" t="s">
        <v>12</v>
      </c>
      <c r="I798" s="947"/>
      <c r="J798" s="947"/>
      <c r="K798" s="948"/>
      <c r="L798" s="837">
        <v>0</v>
      </c>
      <c r="M798" s="837">
        <v>0</v>
      </c>
      <c r="N798" s="837">
        <v>0</v>
      </c>
      <c r="O798" s="837">
        <f t="shared" si="325"/>
        <v>0</v>
      </c>
      <c r="P798" s="837">
        <f t="shared" si="326"/>
        <v>0</v>
      </c>
      <c r="Q798" s="1264"/>
      <c r="R798" s="1264"/>
      <c r="S798" s="1264"/>
      <c r="T798" s="1264"/>
      <c r="U798" s="1264"/>
      <c r="V798" s="1264"/>
      <c r="W798" s="1264"/>
      <c r="X798" s="1264"/>
      <c r="Y798" s="1264"/>
      <c r="Z798" s="1264"/>
    </row>
    <row r="799" spans="1:26" ht="19.5" hidden="1">
      <c r="A799" s="1267"/>
      <c r="B799" s="1268"/>
      <c r="C799" s="1243" t="s">
        <v>16</v>
      </c>
      <c r="D799" s="1378" t="s">
        <v>38</v>
      </c>
      <c r="E799" s="1271"/>
      <c r="F799" s="1271"/>
      <c r="G799" s="1272"/>
      <c r="H799" s="1413"/>
      <c r="I799" s="944"/>
      <c r="J799" s="944"/>
      <c r="K799" s="945"/>
      <c r="L799" s="945"/>
      <c r="M799" s="945"/>
      <c r="N799" s="945"/>
      <c r="O799" s="945"/>
      <c r="P799" s="945"/>
      <c r="Q799" s="1244"/>
      <c r="R799" s="1244"/>
      <c r="S799" s="1244"/>
      <c r="T799" s="1244"/>
      <c r="U799" s="1244"/>
      <c r="V799" s="1244"/>
      <c r="W799" s="1244"/>
      <c r="X799" s="1244"/>
      <c r="Y799" s="1244"/>
      <c r="Z799" s="1244"/>
    </row>
    <row r="800" spans="1:26" ht="18.75" hidden="1">
      <c r="A800" s="1267"/>
      <c r="B800" s="1268"/>
      <c r="C800" s="1268"/>
      <c r="D800" s="1268"/>
      <c r="E800" s="961"/>
      <c r="F800" s="961" t="s">
        <v>320</v>
      </c>
      <c r="G800" s="954"/>
      <c r="H800" s="777" t="s">
        <v>46</v>
      </c>
      <c r="I800" s="944">
        <f ca="1">IFERROR(__xludf.DUMMYFUNCTION("IMPORTRANGE(""https://docs.google.com/spreadsheets/d/1QqKyyYR6Q21VydFLVH3TRQUabQu_ym0Zz7PgGX0-kHA/edit?usp=sharing"",""แผน!JN30"")"),0)</f>
        <v>0</v>
      </c>
      <c r="J800" s="944">
        <f ca="1">IFERROR(__xludf.DUMMYFUNCTION("IMPORTRANGE(""https://docs.google.com/spreadsheets/d/1MaWodYyGHDf7siQLGxnXhG4mBNTNIuy296niS2xXulU/edit?usp=sharing"",""RTK!H30"")"),0)</f>
        <v>0</v>
      </c>
      <c r="K800" s="831">
        <f ca="1">IF(I800&gt;0,J800*100/I800,0)</f>
        <v>0</v>
      </c>
      <c r="L800" s="831"/>
      <c r="M800" s="831"/>
      <c r="N800" s="831"/>
      <c r="O800" s="945"/>
      <c r="P800" s="945"/>
      <c r="Q800" s="1244"/>
      <c r="R800" s="1244"/>
      <c r="S800" s="1244"/>
      <c r="T800" s="1244"/>
      <c r="U800" s="1244"/>
      <c r="V800" s="1244"/>
      <c r="W800" s="1244"/>
      <c r="X800" s="1244"/>
      <c r="Y800" s="1244"/>
      <c r="Z800" s="1244"/>
    </row>
    <row r="801" spans="1:26" ht="18.75" hidden="1">
      <c r="A801" s="1267"/>
      <c r="B801" s="1268"/>
      <c r="C801" s="1268"/>
      <c r="D801" s="1268"/>
      <c r="E801" s="961"/>
      <c r="F801" s="961"/>
      <c r="G801" s="954"/>
      <c r="H801" s="778" t="s">
        <v>34</v>
      </c>
      <c r="I801" s="944"/>
      <c r="J801" s="830">
        <f ca="1">IFERROR(__xludf.DUMMYFUNCTION("IMPORTRANGE(""https://docs.google.com/spreadsheets/d/1MaWodYyGHDf7siQLGxnXhG4mBNTNIuy296niS2xXulU/edit?usp=sharing"",""RTK!I30"")"),0)</f>
        <v>0</v>
      </c>
      <c r="K801" s="831"/>
      <c r="L801" s="831"/>
      <c r="M801" s="831"/>
      <c r="N801" s="831"/>
      <c r="O801" s="945"/>
      <c r="P801" s="945"/>
      <c r="Q801" s="1244"/>
      <c r="R801" s="1244"/>
      <c r="S801" s="1244"/>
      <c r="T801" s="1244"/>
      <c r="U801" s="1244"/>
      <c r="V801" s="1244"/>
      <c r="W801" s="1244"/>
      <c r="X801" s="1244"/>
      <c r="Y801" s="1244"/>
      <c r="Z801" s="1244"/>
    </row>
    <row r="802" spans="1:26" ht="18.75" hidden="1">
      <c r="A802" s="1273"/>
      <c r="B802" s="1274"/>
      <c r="C802" s="1274"/>
      <c r="D802" s="1274"/>
      <c r="E802" s="1262"/>
      <c r="F802" s="1262" t="s">
        <v>321</v>
      </c>
      <c r="G802" s="1060"/>
      <c r="H802" s="619" t="s">
        <v>46</v>
      </c>
      <c r="I802" s="947"/>
      <c r="J802" s="836"/>
      <c r="K802" s="948">
        <f>IF(I802&gt;0,J802*100/I802,0)</f>
        <v>0</v>
      </c>
      <c r="L802" s="948"/>
      <c r="M802" s="948"/>
      <c r="N802" s="948"/>
      <c r="O802" s="948"/>
      <c r="P802" s="948"/>
      <c r="Q802" s="1264"/>
      <c r="R802" s="1264"/>
      <c r="S802" s="1264"/>
      <c r="T802" s="1264"/>
      <c r="U802" s="1264"/>
      <c r="V802" s="1264"/>
      <c r="W802" s="1264"/>
      <c r="X802" s="1264"/>
      <c r="Y802" s="1264"/>
      <c r="Z802" s="1264"/>
    </row>
    <row r="803" spans="1:26" ht="18.75" hidden="1">
      <c r="A803" s="1273"/>
      <c r="B803" s="1274"/>
      <c r="C803" s="1274"/>
      <c r="D803" s="1274"/>
      <c r="E803" s="1262"/>
      <c r="F803" s="1262"/>
      <c r="G803" s="1060"/>
      <c r="H803" s="619" t="s">
        <v>34</v>
      </c>
      <c r="I803" s="947"/>
      <c r="J803" s="836"/>
      <c r="K803" s="948"/>
      <c r="L803" s="948"/>
      <c r="M803" s="948"/>
      <c r="N803" s="948"/>
      <c r="O803" s="948"/>
      <c r="P803" s="948"/>
      <c r="Q803" s="1264"/>
      <c r="R803" s="1264"/>
      <c r="S803" s="1264"/>
      <c r="T803" s="1264"/>
      <c r="U803" s="1264"/>
      <c r="V803" s="1264"/>
      <c r="W803" s="1264"/>
      <c r="X803" s="1264"/>
      <c r="Y803" s="1264"/>
      <c r="Z803" s="1264"/>
    </row>
    <row r="804" spans="1:26" ht="19.5" hidden="1">
      <c r="A804" s="759">
        <v>13</v>
      </c>
      <c r="B804" s="1400" t="s">
        <v>322</v>
      </c>
      <c r="C804" s="1401"/>
      <c r="D804" s="1419"/>
      <c r="E804" s="1401"/>
      <c r="F804" s="1401"/>
      <c r="G804" s="1402"/>
      <c r="H804" s="763" t="s">
        <v>46</v>
      </c>
      <c r="I804" s="1403"/>
      <c r="J804" s="1403">
        <f>J819</f>
        <v>0</v>
      </c>
      <c r="K804" s="1404">
        <f>IF(I804&gt;0,J804*100/I804,0)</f>
        <v>0</v>
      </c>
      <c r="L804" s="1405"/>
      <c r="M804" s="1405"/>
      <c r="N804" s="1405"/>
      <c r="O804" s="1405"/>
      <c r="P804" s="1405"/>
      <c r="Q804" s="1264"/>
      <c r="R804" s="1264"/>
      <c r="S804" s="1264"/>
      <c r="T804" s="1264"/>
      <c r="U804" s="1264"/>
      <c r="V804" s="1264"/>
      <c r="W804" s="1264"/>
      <c r="X804" s="1264"/>
      <c r="Y804" s="1264"/>
      <c r="Z804" s="1264"/>
    </row>
    <row r="805" spans="1:26" ht="19.5" hidden="1">
      <c r="A805" s="1260"/>
      <c r="B805" s="1261"/>
      <c r="C805" s="1261" t="s">
        <v>16</v>
      </c>
      <c r="D805" s="1508" t="s">
        <v>17</v>
      </c>
      <c r="E805" s="1485"/>
      <c r="F805" s="1485"/>
      <c r="G805" s="1263"/>
      <c r="H805" s="612" t="s">
        <v>12</v>
      </c>
      <c r="I805" s="836"/>
      <c r="J805" s="836"/>
      <c r="K805" s="837"/>
      <c r="L805" s="1292">
        <f t="shared" ref="L805:N805" si="327">L806+L807</f>
        <v>0</v>
      </c>
      <c r="M805" s="1292">
        <f t="shared" si="327"/>
        <v>0</v>
      </c>
      <c r="N805" s="1292">
        <f t="shared" si="327"/>
        <v>0</v>
      </c>
      <c r="O805" s="1292">
        <f t="shared" ref="O805:O810" si="328">IF(L805&gt;0,N805*100/L805,0)</f>
        <v>0</v>
      </c>
      <c r="P805" s="1292">
        <f t="shared" ref="P805:P810" si="329">IF(M805&gt;0,N805*100/M805,0)</f>
        <v>0</v>
      </c>
      <c r="Q805" s="1264"/>
      <c r="R805" s="1264"/>
      <c r="S805" s="1264"/>
      <c r="T805" s="1264"/>
      <c r="U805" s="1264"/>
      <c r="V805" s="1264"/>
      <c r="W805" s="1264"/>
      <c r="X805" s="1264"/>
      <c r="Y805" s="1264"/>
      <c r="Z805" s="1264"/>
    </row>
    <row r="806" spans="1:26" ht="18.75" hidden="1">
      <c r="A806" s="1260"/>
      <c r="B806" s="1261"/>
      <c r="C806" s="1261"/>
      <c r="D806" s="1274"/>
      <c r="E806" s="1261" t="s">
        <v>184</v>
      </c>
      <c r="F806" s="1261"/>
      <c r="G806" s="1263"/>
      <c r="H806" s="165" t="s">
        <v>12</v>
      </c>
      <c r="I806" s="836"/>
      <c r="J806" s="836"/>
      <c r="K806" s="837"/>
      <c r="L806" s="837">
        <f t="shared" ref="L806:N807" si="330">L809+L816</f>
        <v>0</v>
      </c>
      <c r="M806" s="837">
        <f t="shared" si="330"/>
        <v>0</v>
      </c>
      <c r="N806" s="837">
        <f t="shared" si="330"/>
        <v>0</v>
      </c>
      <c r="O806" s="837">
        <f t="shared" si="328"/>
        <v>0</v>
      </c>
      <c r="P806" s="837">
        <f t="shared" si="329"/>
        <v>0</v>
      </c>
      <c r="Q806" s="1264"/>
      <c r="R806" s="1264"/>
      <c r="S806" s="1264"/>
      <c r="T806" s="1264"/>
      <c r="U806" s="1264"/>
      <c r="V806" s="1264"/>
      <c r="W806" s="1264"/>
      <c r="X806" s="1264"/>
      <c r="Y806" s="1264"/>
      <c r="Z806" s="1264"/>
    </row>
    <row r="807" spans="1:26" ht="18.75" hidden="1">
      <c r="A807" s="1260"/>
      <c r="B807" s="1261"/>
      <c r="C807" s="1261"/>
      <c r="D807" s="1274"/>
      <c r="E807" s="1261" t="s">
        <v>185</v>
      </c>
      <c r="F807" s="1261"/>
      <c r="G807" s="1263"/>
      <c r="H807" s="165" t="s">
        <v>12</v>
      </c>
      <c r="I807" s="836"/>
      <c r="J807" s="836"/>
      <c r="K807" s="837"/>
      <c r="L807" s="837">
        <f t="shared" si="330"/>
        <v>0</v>
      </c>
      <c r="M807" s="837">
        <f t="shared" si="330"/>
        <v>0</v>
      </c>
      <c r="N807" s="837">
        <f t="shared" si="330"/>
        <v>0</v>
      </c>
      <c r="O807" s="837">
        <f t="shared" si="328"/>
        <v>0</v>
      </c>
      <c r="P807" s="837">
        <f t="shared" si="329"/>
        <v>0</v>
      </c>
      <c r="Q807" s="1264"/>
      <c r="R807" s="1264"/>
      <c r="S807" s="1264"/>
      <c r="T807" s="1264"/>
      <c r="U807" s="1264"/>
      <c r="V807" s="1264"/>
      <c r="W807" s="1264"/>
      <c r="X807" s="1264"/>
      <c r="Y807" s="1264"/>
      <c r="Z807" s="1264"/>
    </row>
    <row r="808" spans="1:26" ht="19.5" hidden="1">
      <c r="A808" s="1260"/>
      <c r="B808" s="1265"/>
      <c r="C808" s="1261"/>
      <c r="D808" s="1509" t="s">
        <v>20</v>
      </c>
      <c r="E808" s="1485"/>
      <c r="F808" s="1485"/>
      <c r="G808" s="1263"/>
      <c r="H808" s="612" t="s">
        <v>12</v>
      </c>
      <c r="I808" s="947"/>
      <c r="J808" s="947"/>
      <c r="K808" s="948"/>
      <c r="L808" s="1292">
        <f t="shared" ref="L808:N808" si="331">L809+L810</f>
        <v>0</v>
      </c>
      <c r="M808" s="1292">
        <f t="shared" si="331"/>
        <v>0</v>
      </c>
      <c r="N808" s="1292">
        <f t="shared" si="331"/>
        <v>0</v>
      </c>
      <c r="O808" s="1292">
        <f t="shared" si="328"/>
        <v>0</v>
      </c>
      <c r="P808" s="1292">
        <f t="shared" si="329"/>
        <v>0</v>
      </c>
      <c r="Q808" s="1264"/>
      <c r="R808" s="1264"/>
      <c r="S808" s="1264"/>
      <c r="T808" s="1264"/>
      <c r="U808" s="1264"/>
      <c r="V808" s="1264"/>
      <c r="W808" s="1264"/>
      <c r="X808" s="1264"/>
      <c r="Y808" s="1264"/>
      <c r="Z808" s="1264"/>
    </row>
    <row r="809" spans="1:26" ht="18.75" hidden="1">
      <c r="A809" s="1260"/>
      <c r="B809" s="1261"/>
      <c r="C809" s="1261"/>
      <c r="D809" s="1274"/>
      <c r="E809" s="1261" t="s">
        <v>184</v>
      </c>
      <c r="F809" s="1261"/>
      <c r="G809" s="1263"/>
      <c r="H809" s="165" t="s">
        <v>12</v>
      </c>
      <c r="I809" s="836"/>
      <c r="J809" s="836"/>
      <c r="K809" s="837"/>
      <c r="L809" s="837">
        <v>0</v>
      </c>
      <c r="M809" s="837">
        <v>0</v>
      </c>
      <c r="N809" s="837">
        <v>0</v>
      </c>
      <c r="O809" s="837">
        <f t="shared" si="328"/>
        <v>0</v>
      </c>
      <c r="P809" s="837">
        <f t="shared" si="329"/>
        <v>0</v>
      </c>
      <c r="Q809" s="1264"/>
      <c r="R809" s="1264"/>
      <c r="S809" s="1264"/>
      <c r="T809" s="1264"/>
      <c r="U809" s="1264"/>
      <c r="V809" s="1264"/>
      <c r="W809" s="1264"/>
      <c r="X809" s="1264"/>
      <c r="Y809" s="1264"/>
      <c r="Z809" s="1264"/>
    </row>
    <row r="810" spans="1:26" ht="18.75" hidden="1">
      <c r="A810" s="1260"/>
      <c r="B810" s="1261"/>
      <c r="C810" s="1261"/>
      <c r="D810" s="1274"/>
      <c r="E810" s="1261" t="s">
        <v>185</v>
      </c>
      <c r="F810" s="1261"/>
      <c r="G810" s="1263"/>
      <c r="H810" s="165" t="s">
        <v>12</v>
      </c>
      <c r="I810" s="836"/>
      <c r="J810" s="836"/>
      <c r="K810" s="837"/>
      <c r="L810" s="837">
        <v>0</v>
      </c>
      <c r="M810" s="837">
        <v>0</v>
      </c>
      <c r="N810" s="837">
        <f>N811+N812+N813+N814</f>
        <v>0</v>
      </c>
      <c r="O810" s="837">
        <f t="shared" si="328"/>
        <v>0</v>
      </c>
      <c r="P810" s="837">
        <f t="shared" si="329"/>
        <v>0</v>
      </c>
      <c r="Q810" s="1264"/>
      <c r="R810" s="1264"/>
      <c r="S810" s="1264"/>
      <c r="T810" s="1264"/>
      <c r="U810" s="1264"/>
      <c r="V810" s="1264"/>
      <c r="W810" s="1264"/>
      <c r="X810" s="1264"/>
      <c r="Y810" s="1264"/>
      <c r="Z810" s="1264"/>
    </row>
    <row r="811" spans="1:26" ht="18.75" hidden="1">
      <c r="A811" s="1294"/>
      <c r="B811" s="1265"/>
      <c r="C811" s="1261"/>
      <c r="D811" s="1265"/>
      <c r="E811" s="1261"/>
      <c r="F811" s="1261" t="s">
        <v>186</v>
      </c>
      <c r="G811" s="1263"/>
      <c r="H811" s="165" t="s">
        <v>12</v>
      </c>
      <c r="I811" s="836"/>
      <c r="J811" s="836"/>
      <c r="K811" s="837"/>
      <c r="L811" s="837"/>
      <c r="M811" s="837"/>
      <c r="N811" s="837"/>
      <c r="O811" s="837"/>
      <c r="P811" s="837"/>
      <c r="Q811" s="1264"/>
      <c r="R811" s="1264"/>
      <c r="S811" s="1264"/>
      <c r="T811" s="1264"/>
      <c r="U811" s="1264"/>
      <c r="V811" s="1264"/>
      <c r="W811" s="1264"/>
      <c r="X811" s="1264"/>
      <c r="Y811" s="1264"/>
      <c r="Z811" s="1264"/>
    </row>
    <row r="812" spans="1:26" ht="18.75" hidden="1">
      <c r="A812" s="1294"/>
      <c r="B812" s="1265"/>
      <c r="C812" s="1261"/>
      <c r="D812" s="1265"/>
      <c r="E812" s="1261"/>
      <c r="F812" s="1261" t="s">
        <v>187</v>
      </c>
      <c r="G812" s="1263"/>
      <c r="H812" s="165" t="s">
        <v>12</v>
      </c>
      <c r="I812" s="836"/>
      <c r="J812" s="836"/>
      <c r="K812" s="837"/>
      <c r="L812" s="837"/>
      <c r="M812" s="837"/>
      <c r="N812" s="837"/>
      <c r="O812" s="837"/>
      <c r="P812" s="837"/>
      <c r="Q812" s="1264"/>
      <c r="R812" s="1264"/>
      <c r="S812" s="1264"/>
      <c r="T812" s="1264"/>
      <c r="U812" s="1264"/>
      <c r="V812" s="1264"/>
      <c r="W812" s="1264"/>
      <c r="X812" s="1264"/>
      <c r="Y812" s="1264"/>
      <c r="Z812" s="1264"/>
    </row>
    <row r="813" spans="1:26" ht="18.75" hidden="1">
      <c r="A813" s="1294"/>
      <c r="B813" s="1265"/>
      <c r="C813" s="1261"/>
      <c r="D813" s="1265"/>
      <c r="E813" s="1261"/>
      <c r="F813" s="1261" t="s">
        <v>188</v>
      </c>
      <c r="G813" s="1263"/>
      <c r="H813" s="165" t="s">
        <v>12</v>
      </c>
      <c r="I813" s="836"/>
      <c r="J813" s="836"/>
      <c r="K813" s="837"/>
      <c r="L813" s="837"/>
      <c r="M813" s="837"/>
      <c r="N813" s="837"/>
      <c r="O813" s="837"/>
      <c r="P813" s="837"/>
      <c r="Q813" s="1264"/>
      <c r="R813" s="1264"/>
      <c r="S813" s="1264"/>
      <c r="T813" s="1264"/>
      <c r="U813" s="1264"/>
      <c r="V813" s="1264"/>
      <c r="W813" s="1264"/>
      <c r="X813" s="1264"/>
      <c r="Y813" s="1264"/>
      <c r="Z813" s="1264"/>
    </row>
    <row r="814" spans="1:26" ht="18.75" hidden="1">
      <c r="A814" s="1294"/>
      <c r="B814" s="1265"/>
      <c r="C814" s="1261"/>
      <c r="D814" s="1265"/>
      <c r="E814" s="1261"/>
      <c r="F814" s="1261" t="s">
        <v>189</v>
      </c>
      <c r="G814" s="1263"/>
      <c r="H814" s="165" t="s">
        <v>12</v>
      </c>
      <c r="I814" s="836"/>
      <c r="J814" s="836"/>
      <c r="K814" s="837"/>
      <c r="L814" s="837"/>
      <c r="M814" s="837"/>
      <c r="N814" s="837"/>
      <c r="O814" s="837"/>
      <c r="P814" s="837"/>
      <c r="Q814" s="1264"/>
      <c r="R814" s="1264"/>
      <c r="S814" s="1264"/>
      <c r="T814" s="1264"/>
      <c r="U814" s="1264"/>
      <c r="V814" s="1264"/>
      <c r="W814" s="1264"/>
      <c r="X814" s="1264"/>
      <c r="Y814" s="1264"/>
      <c r="Z814" s="1264"/>
    </row>
    <row r="815" spans="1:26" ht="19.5" hidden="1">
      <c r="A815" s="1260"/>
      <c r="B815" s="1265"/>
      <c r="C815" s="1261"/>
      <c r="D815" s="1509" t="s">
        <v>21</v>
      </c>
      <c r="E815" s="1485"/>
      <c r="F815" s="1485"/>
      <c r="G815" s="1263"/>
      <c r="H815" s="749" t="s">
        <v>12</v>
      </c>
      <c r="I815" s="947"/>
      <c r="J815" s="947"/>
      <c r="K815" s="948"/>
      <c r="L815" s="1292">
        <f t="shared" ref="L815:N815" si="332">L816+L817</f>
        <v>0</v>
      </c>
      <c r="M815" s="1292">
        <f t="shared" si="332"/>
        <v>0</v>
      </c>
      <c r="N815" s="1292">
        <f t="shared" si="332"/>
        <v>0</v>
      </c>
      <c r="O815" s="1292">
        <f t="shared" ref="O815:O817" si="333">IF(L815&gt;0,N815*100/L815,0)</f>
        <v>0</v>
      </c>
      <c r="P815" s="1292">
        <f t="shared" ref="P815:P817" si="334">IF(M815&gt;0,N815*100/M815,0)</f>
        <v>0</v>
      </c>
      <c r="Q815" s="1264"/>
      <c r="R815" s="1264"/>
      <c r="S815" s="1264"/>
      <c r="T815" s="1264"/>
      <c r="U815" s="1264"/>
      <c r="V815" s="1264"/>
      <c r="W815" s="1264"/>
      <c r="X815" s="1264"/>
      <c r="Y815" s="1264"/>
      <c r="Z815" s="1264"/>
    </row>
    <row r="816" spans="1:26" ht="18.75" hidden="1">
      <c r="A816" s="1260"/>
      <c r="B816" s="1265"/>
      <c r="C816" s="1261"/>
      <c r="D816" s="1265"/>
      <c r="E816" s="1261" t="s">
        <v>18</v>
      </c>
      <c r="F816" s="1261"/>
      <c r="G816" s="1263"/>
      <c r="H816" s="165" t="s">
        <v>12</v>
      </c>
      <c r="I816" s="947"/>
      <c r="J816" s="947"/>
      <c r="K816" s="948"/>
      <c r="L816" s="837">
        <v>0</v>
      </c>
      <c r="M816" s="837">
        <v>0</v>
      </c>
      <c r="N816" s="837">
        <v>0</v>
      </c>
      <c r="O816" s="837">
        <f t="shared" si="333"/>
        <v>0</v>
      </c>
      <c r="P816" s="837">
        <f t="shared" si="334"/>
        <v>0</v>
      </c>
      <c r="Q816" s="1264"/>
      <c r="R816" s="1264"/>
      <c r="S816" s="1264"/>
      <c r="T816" s="1264"/>
      <c r="U816" s="1264"/>
      <c r="V816" s="1264"/>
      <c r="W816" s="1264"/>
      <c r="X816" s="1264"/>
      <c r="Y816" s="1264"/>
      <c r="Z816" s="1264"/>
    </row>
    <row r="817" spans="1:26" ht="18.75" hidden="1">
      <c r="A817" s="1260"/>
      <c r="B817" s="1265"/>
      <c r="C817" s="1261"/>
      <c r="D817" s="1265"/>
      <c r="E817" s="1261" t="s">
        <v>19</v>
      </c>
      <c r="F817" s="1261"/>
      <c r="G817" s="1263"/>
      <c r="H817" s="169" t="s">
        <v>12</v>
      </c>
      <c r="I817" s="947"/>
      <c r="J817" s="947"/>
      <c r="K817" s="948"/>
      <c r="L817" s="837">
        <v>0</v>
      </c>
      <c r="M817" s="837">
        <v>0</v>
      </c>
      <c r="N817" s="837">
        <v>0</v>
      </c>
      <c r="O817" s="837">
        <f t="shared" si="333"/>
        <v>0</v>
      </c>
      <c r="P817" s="837">
        <f t="shared" si="334"/>
        <v>0</v>
      </c>
      <c r="Q817" s="1264"/>
      <c r="R817" s="1264"/>
      <c r="S817" s="1264"/>
      <c r="T817" s="1264"/>
      <c r="U817" s="1264"/>
      <c r="V817" s="1264"/>
      <c r="W817" s="1264"/>
      <c r="X817" s="1264"/>
      <c r="Y817" s="1264"/>
      <c r="Z817" s="1264"/>
    </row>
    <row r="818" spans="1:26" ht="19.5" hidden="1">
      <c r="A818" s="1273"/>
      <c r="B818" s="1274"/>
      <c r="C818" s="1261" t="s">
        <v>16</v>
      </c>
      <c r="D818" s="1420" t="s">
        <v>38</v>
      </c>
      <c r="E818" s="1296"/>
      <c r="F818" s="1296"/>
      <c r="G818" s="1297"/>
      <c r="H818" s="1060"/>
      <c r="I818" s="947"/>
      <c r="J818" s="947"/>
      <c r="K818" s="948"/>
      <c r="L818" s="948"/>
      <c r="M818" s="948"/>
      <c r="N818" s="948"/>
      <c r="O818" s="948"/>
      <c r="P818" s="948"/>
      <c r="Q818" s="1264"/>
      <c r="R818" s="1264"/>
      <c r="S818" s="1264"/>
      <c r="T818" s="1264"/>
      <c r="U818" s="1264"/>
      <c r="V818" s="1264"/>
      <c r="W818" s="1264"/>
      <c r="X818" s="1264"/>
      <c r="Y818" s="1264"/>
      <c r="Z818" s="1264"/>
    </row>
    <row r="819" spans="1:26" ht="19.5" hidden="1" thickBot="1">
      <c r="A819" s="1421"/>
      <c r="B819" s="1422"/>
      <c r="C819" s="1423"/>
      <c r="D819" s="1422"/>
      <c r="E819" s="1423" t="s">
        <v>323</v>
      </c>
      <c r="F819" s="1423"/>
      <c r="G819" s="1424"/>
      <c r="H819" s="792" t="s">
        <v>46</v>
      </c>
      <c r="I819" s="1425"/>
      <c r="J819" s="1425"/>
      <c r="K819" s="1426"/>
      <c r="L819" s="1426"/>
      <c r="M819" s="1426"/>
      <c r="N819" s="1426"/>
      <c r="O819" s="1426"/>
      <c r="P819" s="1426"/>
      <c r="Q819" s="1264"/>
      <c r="R819" s="1264"/>
      <c r="S819" s="1264"/>
      <c r="T819" s="1264"/>
      <c r="U819" s="1264"/>
      <c r="V819" s="1264"/>
      <c r="W819" s="1264"/>
      <c r="X819" s="1264"/>
      <c r="Y819" s="1264"/>
      <c r="Z819" s="1264"/>
    </row>
    <row r="820" spans="1:26" ht="19.5">
      <c r="A820" s="1427" t="s">
        <v>333</v>
      </c>
      <c r="B820" s="1428"/>
      <c r="C820" s="1428"/>
      <c r="D820" s="1429"/>
      <c r="E820" s="1428"/>
      <c r="F820" s="1428"/>
      <c r="G820" s="1430"/>
      <c r="H820" s="143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32"/>
      <c r="J820" s="1432"/>
      <c r="K820" s="1433"/>
      <c r="L820" s="1433"/>
      <c r="M820" s="1433"/>
      <c r="N820" s="1433"/>
      <c r="O820" s="1433"/>
      <c r="P820" s="1433"/>
      <c r="Q820" s="1244"/>
      <c r="R820" s="1244"/>
      <c r="S820" s="1244"/>
      <c r="T820" s="1244"/>
      <c r="U820" s="1244"/>
      <c r="V820" s="1244"/>
      <c r="W820" s="1244"/>
      <c r="X820" s="1244"/>
      <c r="Y820" s="1244"/>
      <c r="Z820" s="1244"/>
    </row>
    <row r="821" spans="1:26" ht="18.75">
      <c r="A821" s="1368"/>
      <c r="B821" s="1243" t="s">
        <v>325</v>
      </c>
      <c r="C821" s="1243"/>
      <c r="D821" s="1242"/>
      <c r="E821" s="1243"/>
      <c r="F821" s="1243"/>
      <c r="G821" s="963"/>
      <c r="H821" s="590" t="s">
        <v>12</v>
      </c>
      <c r="I821" s="830">
        <f ca="1">IFERROR(__xludf.DUMMYFUNCTION("IMPORTRANGE(""https://docs.google.com/spreadsheets/d/19vJNZY_5yjcGF2XGBMNZRCAIB0Kwfpjp8YEOfu-bneM/edit?usp=sharing"",""งานกองทุน!D30"")"),2322577)</f>
        <v>2322577</v>
      </c>
      <c r="J821" s="830">
        <f ca="1">IFERROR(__xludf.DUMMYFUNCTION("IMPORTRANGE(""https://docs.google.com/spreadsheets/d/19vJNZY_5yjcGF2XGBMNZRCAIB0Kwfpjp8YEOfu-bneM/edit?usp=sharing"",""งานกองทุน!F30"")"),1851826.08)</f>
        <v>1851826.08</v>
      </c>
      <c r="K821" s="831">
        <f t="shared" ref="K821:K828" ca="1" si="335">IF(I821&gt;0,J821*100/I821,0)</f>
        <v>79.731525800866876</v>
      </c>
      <c r="L821" s="831"/>
      <c r="M821" s="831"/>
      <c r="N821" s="831"/>
      <c r="O821" s="831"/>
      <c r="P821" s="831"/>
      <c r="Q821" s="1244"/>
      <c r="R821" s="1244"/>
      <c r="S821" s="1244"/>
      <c r="T821" s="1244"/>
      <c r="U821" s="1244"/>
      <c r="V821" s="1244"/>
      <c r="W821" s="1244"/>
      <c r="X821" s="1244"/>
      <c r="Y821" s="1244"/>
      <c r="Z821" s="1244"/>
    </row>
    <row r="822" spans="1:26" ht="18.75">
      <c r="A822" s="1368"/>
      <c r="B822" s="1243"/>
      <c r="C822" s="1243"/>
      <c r="D822" s="1242"/>
      <c r="E822" s="1243"/>
      <c r="F822" s="1243"/>
      <c r="G822" s="963"/>
      <c r="H822" s="590" t="s">
        <v>35</v>
      </c>
      <c r="I822" s="830">
        <f ca="1">IFERROR(__xludf.DUMMYFUNCTION("IMPORTRANGE(""https://docs.google.com/spreadsheets/d/19vJNZY_5yjcGF2XGBMNZRCAIB0Kwfpjp8YEOfu-bneM/edit?usp=sharing"",""งานกองทุน!C30"")"),120)</f>
        <v>120</v>
      </c>
      <c r="J822" s="830">
        <f ca="1">IFERROR(__xludf.DUMMYFUNCTION("IMPORTRANGE(""https://docs.google.com/spreadsheets/d/19vJNZY_5yjcGF2XGBMNZRCAIB0Kwfpjp8YEOfu-bneM/edit?usp=sharing"",""งานกองทุน!E30"")"),156)</f>
        <v>156</v>
      </c>
      <c r="K822" s="831">
        <f t="shared" ca="1" si="335"/>
        <v>130</v>
      </c>
      <c r="L822" s="831"/>
      <c r="M822" s="831"/>
      <c r="N822" s="831"/>
      <c r="O822" s="831"/>
      <c r="P822" s="831"/>
      <c r="Q822" s="1244"/>
      <c r="R822" s="1244"/>
      <c r="S822" s="1244"/>
      <c r="T822" s="1244"/>
      <c r="U822" s="1244"/>
      <c r="V822" s="1244"/>
      <c r="W822" s="1244"/>
      <c r="X822" s="1244"/>
      <c r="Y822" s="1244"/>
      <c r="Z822" s="1244"/>
    </row>
    <row r="823" spans="1:26" ht="18.75">
      <c r="A823" s="1368"/>
      <c r="B823" s="1243" t="s">
        <v>326</v>
      </c>
      <c r="C823" s="1243"/>
      <c r="D823" s="1242"/>
      <c r="E823" s="1243"/>
      <c r="F823" s="1243"/>
      <c r="G823" s="963"/>
      <c r="H823" s="590" t="s">
        <v>12</v>
      </c>
      <c r="I823" s="830">
        <f ca="1">IFERROR(__xludf.DUMMYFUNCTION("IMPORTRANGE(""https://docs.google.com/spreadsheets/d/19vJNZY_5yjcGF2XGBMNZRCAIB0Kwfpjp8YEOfu-bneM/edit?usp=sharing"",""งานกองทุน!I30"")"),10059951.46)</f>
        <v>10059951.460000001</v>
      </c>
      <c r="J823" s="830">
        <f ca="1">IFERROR(__xludf.DUMMYFUNCTION("IMPORTRANGE(""https://docs.google.com/spreadsheets/d/19vJNZY_5yjcGF2XGBMNZRCAIB0Kwfpjp8YEOfu-bneM/edit?usp=sharing"",""งานกองทุน!K30"")"),1167356.87)</f>
        <v>1167356.8700000001</v>
      </c>
      <c r="K823" s="831">
        <f t="shared" ca="1" si="335"/>
        <v>11.604001019702734</v>
      </c>
      <c r="L823" s="831"/>
      <c r="M823" s="831"/>
      <c r="N823" s="831"/>
      <c r="O823" s="831"/>
      <c r="P823" s="831"/>
      <c r="Q823" s="1244"/>
      <c r="R823" s="1244"/>
      <c r="S823" s="1244"/>
      <c r="T823" s="1244"/>
      <c r="U823" s="1244"/>
      <c r="V823" s="1244"/>
      <c r="W823" s="1244"/>
      <c r="X823" s="1244"/>
      <c r="Y823" s="1244"/>
      <c r="Z823" s="1244"/>
    </row>
    <row r="824" spans="1:26" ht="18.75">
      <c r="A824" s="1368"/>
      <c r="B824" s="1243"/>
      <c r="C824" s="1243"/>
      <c r="D824" s="1242"/>
      <c r="E824" s="1243"/>
      <c r="F824" s="1243"/>
      <c r="G824" s="963"/>
      <c r="H824" s="590" t="s">
        <v>35</v>
      </c>
      <c r="I824" s="830">
        <f ca="1">IFERROR(__xludf.DUMMYFUNCTION("IMPORTRANGE(""https://docs.google.com/spreadsheets/d/19vJNZY_5yjcGF2XGBMNZRCAIB0Kwfpjp8YEOfu-bneM/edit?usp=sharing"",""งานกองทุน!H30"")"),585)</f>
        <v>585</v>
      </c>
      <c r="J824" s="830">
        <f ca="1">IFERROR(__xludf.DUMMYFUNCTION("IMPORTRANGE(""https://docs.google.com/spreadsheets/d/19vJNZY_5yjcGF2XGBMNZRCAIB0Kwfpjp8YEOfu-bneM/edit?usp=sharing"",""งานกองทุน!J30"")"),171)</f>
        <v>171</v>
      </c>
      <c r="K824" s="831">
        <f t="shared" ca="1" si="335"/>
        <v>29.23076923076923</v>
      </c>
      <c r="L824" s="831"/>
      <c r="M824" s="831"/>
      <c r="N824" s="831"/>
      <c r="O824" s="831"/>
      <c r="P824" s="831"/>
      <c r="Q824" s="1244"/>
      <c r="R824" s="1244"/>
      <c r="S824" s="1244"/>
      <c r="T824" s="1244"/>
      <c r="U824" s="1244"/>
      <c r="V824" s="1244"/>
      <c r="W824" s="1244"/>
      <c r="X824" s="1244"/>
      <c r="Y824" s="1244"/>
      <c r="Z824" s="1244"/>
    </row>
    <row r="825" spans="1:26" ht="18.75">
      <c r="A825" s="1368"/>
      <c r="B825" s="1243" t="s">
        <v>327</v>
      </c>
      <c r="C825" s="1243"/>
      <c r="D825" s="1242"/>
      <c r="E825" s="1243"/>
      <c r="F825" s="1243"/>
      <c r="G825" s="963"/>
      <c r="H825" s="590" t="s">
        <v>12</v>
      </c>
      <c r="I825" s="830">
        <f ca="1">IFERROR(__xludf.DUMMYFUNCTION("IMPORTRANGE(""https://docs.google.com/spreadsheets/d/19vJNZY_5yjcGF2XGBMNZRCAIB0Kwfpjp8YEOfu-bneM/edit?usp=sharing"",""งานกองทุน!N30"")"),2927271.16)</f>
        <v>2927271.16</v>
      </c>
      <c r="J825" s="830">
        <f ca="1">IFERROR(__xludf.DUMMYFUNCTION("IMPORTRANGE(""https://docs.google.com/spreadsheets/d/19vJNZY_5yjcGF2XGBMNZRCAIB0Kwfpjp8YEOfu-bneM/edit?usp=sharing"",""งานกองทุน!P30"")"),1054767.73)</f>
        <v>1054767.73</v>
      </c>
      <c r="K825" s="831">
        <f t="shared" ca="1" si="335"/>
        <v>36.032457273278368</v>
      </c>
      <c r="L825" s="831"/>
      <c r="M825" s="831"/>
      <c r="N825" s="831"/>
      <c r="O825" s="831"/>
      <c r="P825" s="831"/>
      <c r="Q825" s="1244"/>
      <c r="R825" s="1244"/>
      <c r="S825" s="1244"/>
      <c r="T825" s="1244"/>
      <c r="U825" s="1244"/>
      <c r="V825" s="1244"/>
      <c r="W825" s="1244"/>
      <c r="X825" s="1244"/>
      <c r="Y825" s="1244"/>
      <c r="Z825" s="1244"/>
    </row>
    <row r="826" spans="1:26" ht="18.75">
      <c r="A826" s="1368"/>
      <c r="B826" s="1243"/>
      <c r="C826" s="1243"/>
      <c r="D826" s="1242"/>
      <c r="E826" s="1243"/>
      <c r="F826" s="1243"/>
      <c r="G826" s="963"/>
      <c r="H826" s="590" t="s">
        <v>35</v>
      </c>
      <c r="I826" s="830">
        <f ca="1">IFERROR(__xludf.DUMMYFUNCTION("IMPORTRANGE(""https://docs.google.com/spreadsheets/d/19vJNZY_5yjcGF2XGBMNZRCAIB0Kwfpjp8YEOfu-bneM/edit?usp=sharing"",""งานกองทุน!M30"")"),217)</f>
        <v>217</v>
      </c>
      <c r="J826" s="830">
        <f ca="1">IFERROR(__xludf.DUMMYFUNCTION("IMPORTRANGE(""https://docs.google.com/spreadsheets/d/19vJNZY_5yjcGF2XGBMNZRCAIB0Kwfpjp8YEOfu-bneM/edit?usp=sharing"",""งานกองทุน!O30"")"),108)</f>
        <v>108</v>
      </c>
      <c r="K826" s="831">
        <f t="shared" ca="1" si="335"/>
        <v>49.769585253456221</v>
      </c>
      <c r="L826" s="831"/>
      <c r="M826" s="831"/>
      <c r="N826" s="831"/>
      <c r="O826" s="831"/>
      <c r="P826" s="831"/>
      <c r="Q826" s="1244"/>
      <c r="R826" s="1244"/>
      <c r="S826" s="1244"/>
      <c r="T826" s="1244"/>
      <c r="U826" s="1244"/>
      <c r="V826" s="1244"/>
      <c r="W826" s="1244"/>
      <c r="X826" s="1244"/>
      <c r="Y826" s="1244"/>
      <c r="Z826" s="1244"/>
    </row>
    <row r="827" spans="1:26" ht="18.75">
      <c r="A827" s="1368"/>
      <c r="B827" s="1243" t="s">
        <v>328</v>
      </c>
      <c r="C827" s="1243"/>
      <c r="D827" s="1242"/>
      <c r="E827" s="1243"/>
      <c r="F827" s="1243"/>
      <c r="G827" s="963"/>
      <c r="H827" s="590" t="s">
        <v>12</v>
      </c>
      <c r="I827" s="830">
        <f ca="1">IFERROR(__xludf.DUMMYFUNCTION("IMPORTRANGE(""https://docs.google.com/spreadsheets/d/19vJNZY_5yjcGF2XGBMNZRCAIB0Kwfpjp8YEOfu-bneM/edit?usp=sharing"",""งานกองทุน!S30"")"),3480000)</f>
        <v>3480000</v>
      </c>
      <c r="J827" s="830">
        <f ca="1">IFERROR(__xludf.DUMMYFUNCTION("IMPORTRANGE(""https://docs.google.com/spreadsheets/d/19vJNZY_5yjcGF2XGBMNZRCAIB0Kwfpjp8YEOfu-bneM/edit?usp=sharing"",""งานกองทุน!U30"")"),2060000)</f>
        <v>2060000</v>
      </c>
      <c r="K827" s="831">
        <f t="shared" ca="1" si="335"/>
        <v>59.195402298850574</v>
      </c>
      <c r="L827" s="831"/>
      <c r="M827" s="831"/>
      <c r="N827" s="831"/>
      <c r="O827" s="831"/>
      <c r="P827" s="831"/>
      <c r="Q827" s="1244"/>
      <c r="R827" s="1244"/>
      <c r="S827" s="1244"/>
      <c r="T827" s="1244"/>
      <c r="U827" s="1244"/>
      <c r="V827" s="1244"/>
      <c r="W827" s="1244"/>
      <c r="X827" s="1244"/>
      <c r="Y827" s="1244"/>
      <c r="Z827" s="1244"/>
    </row>
    <row r="828" spans="1:26" ht="18.75">
      <c r="A828" s="1369"/>
      <c r="B828" s="1371"/>
      <c r="C828" s="1371"/>
      <c r="D828" s="1370"/>
      <c r="E828" s="1371"/>
      <c r="F828" s="1371"/>
      <c r="G828" s="1434"/>
      <c r="H828" s="802" t="s">
        <v>35</v>
      </c>
      <c r="I828" s="1085">
        <f ca="1">IFERROR(__xludf.DUMMYFUNCTION("IMPORTRANGE(""https://docs.google.com/spreadsheets/d/19vJNZY_5yjcGF2XGBMNZRCAIB0Kwfpjp8YEOfu-bneM/edit?usp=sharing"",""งานกองทุน!R30"")"),139)</f>
        <v>139</v>
      </c>
      <c r="J828" s="1085">
        <f ca="1">IFERROR(__xludf.DUMMYFUNCTION("IMPORTRANGE(""https://docs.google.com/spreadsheets/d/19vJNZY_5yjcGF2XGBMNZRCAIB0Kwfpjp8YEOfu-bneM/edit?usp=sharing"",""งานกองทุน!T30"")"),103)</f>
        <v>103</v>
      </c>
      <c r="K828" s="1182">
        <f t="shared" ca="1" si="335"/>
        <v>74.100719424460436</v>
      </c>
      <c r="L828" s="1182"/>
      <c r="M828" s="1182"/>
      <c r="N828" s="1182"/>
      <c r="O828" s="1182"/>
      <c r="P828" s="1182"/>
      <c r="Q828" s="1244"/>
      <c r="R828" s="1244"/>
      <c r="S828" s="1244"/>
      <c r="T828" s="1244"/>
      <c r="U828" s="1244"/>
      <c r="V828" s="1244"/>
      <c r="W828" s="1244"/>
      <c r="X828" s="1244"/>
      <c r="Y828" s="1244"/>
      <c r="Z828" s="124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0852D-1458-4954-9494-B33684B9FA09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A4" sqref="A4"/>
      <selection pane="bottomLeft" activeCell="Q24" sqref="Q24"/>
    </sheetView>
  </sheetViews>
  <sheetFormatPr defaultColWidth="12.5703125" defaultRowHeight="15.75" customHeight="1"/>
  <cols>
    <col min="1" max="3" width="3.28515625" style="803" customWidth="1"/>
    <col min="4" max="6" width="5.85546875" style="803" customWidth="1"/>
    <col min="7" max="7" width="56.42578125" style="803" customWidth="1"/>
    <col min="8" max="8" width="9.42578125" style="803" customWidth="1"/>
    <col min="9" max="10" width="16.85546875" style="803" bestFit="1" customWidth="1"/>
    <col min="11" max="11" width="12.5703125" style="803" bestFit="1" customWidth="1"/>
    <col min="12" max="14" width="21.28515625" style="803" bestFit="1" customWidth="1"/>
    <col min="15" max="15" width="20.140625" style="803" bestFit="1" customWidth="1"/>
    <col min="16" max="16" width="22" style="803" bestFit="1" customWidth="1"/>
    <col min="17" max="16384" width="12.5703125" style="803"/>
  </cols>
  <sheetData>
    <row r="1" spans="1:26" ht="19.5">
      <c r="A1" s="1498" t="s">
        <v>0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</row>
    <row r="2" spans="1:26" ht="19.5">
      <c r="A2" s="1498" t="s">
        <v>330</v>
      </c>
      <c r="B2" s="1516"/>
      <c r="C2" s="1516"/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  <c r="O2" s="1516"/>
      <c r="P2" s="1516"/>
    </row>
    <row r="3" spans="1:26" ht="19.5">
      <c r="A3" s="1498" t="s">
        <v>329</v>
      </c>
      <c r="B3" s="1516"/>
      <c r="C3" s="1516"/>
      <c r="D3" s="1516"/>
      <c r="E3" s="1516"/>
      <c r="F3" s="1516"/>
      <c r="G3" s="1516"/>
      <c r="H3" s="1516"/>
      <c r="I3" s="1516"/>
      <c r="J3" s="1516"/>
      <c r="K3" s="1516"/>
      <c r="L3" s="1516"/>
      <c r="M3" s="1516"/>
      <c r="N3" s="1516"/>
      <c r="O3" s="1516"/>
      <c r="P3" s="1516"/>
    </row>
    <row r="4" spans="1:26" ht="12.75">
      <c r="A4" s="804"/>
      <c r="B4" s="804"/>
      <c r="C4" s="804"/>
      <c r="D4" s="804"/>
      <c r="E4" s="804"/>
      <c r="F4" s="804"/>
      <c r="G4" s="804"/>
      <c r="H4" s="804"/>
      <c r="I4" s="804"/>
      <c r="J4" s="805"/>
      <c r="K4" s="806"/>
      <c r="L4" s="805"/>
      <c r="M4" s="805"/>
      <c r="N4" s="805"/>
      <c r="O4" s="804"/>
      <c r="P4" s="804"/>
    </row>
    <row r="5" spans="1:26" ht="19.5">
      <c r="A5" s="1504" t="s">
        <v>2</v>
      </c>
      <c r="B5" s="1516"/>
      <c r="C5" s="1516"/>
      <c r="D5" s="1516"/>
      <c r="E5" s="1516"/>
      <c r="F5" s="1516"/>
      <c r="G5" s="1505"/>
      <c r="H5" s="1500" t="s">
        <v>3</v>
      </c>
      <c r="I5" s="1501" t="s">
        <v>4</v>
      </c>
      <c r="J5" s="1494"/>
      <c r="K5" s="1495"/>
      <c r="L5" s="1502" t="s">
        <v>5</v>
      </c>
      <c r="M5" s="1495"/>
      <c r="N5" s="1503" t="s">
        <v>6</v>
      </c>
      <c r="O5" s="1494"/>
      <c r="P5" s="1495"/>
    </row>
    <row r="6" spans="1:26" ht="19.5">
      <c r="A6" s="1506"/>
      <c r="B6" s="1494"/>
      <c r="C6" s="1494"/>
      <c r="D6" s="1494"/>
      <c r="E6" s="1494"/>
      <c r="F6" s="1494"/>
      <c r="G6" s="1495"/>
      <c r="H6" s="14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12" t="s">
        <v>15</v>
      </c>
      <c r="B7" s="1494"/>
      <c r="C7" s="1494"/>
      <c r="D7" s="1494"/>
      <c r="E7" s="1494"/>
      <c r="F7" s="1494"/>
      <c r="G7" s="1495"/>
      <c r="H7" s="807"/>
      <c r="I7" s="808"/>
      <c r="J7" s="808"/>
      <c r="K7" s="809"/>
      <c r="L7" s="809"/>
      <c r="M7" s="809"/>
      <c r="N7" s="809"/>
      <c r="O7" s="809"/>
      <c r="P7" s="809"/>
    </row>
    <row r="8" spans="1:26" ht="19.5">
      <c r="A8" s="810"/>
      <c r="B8" s="811"/>
      <c r="C8" s="812" t="s">
        <v>16</v>
      </c>
      <c r="D8" s="813" t="s">
        <v>17</v>
      </c>
      <c r="E8" s="811"/>
      <c r="F8" s="811"/>
      <c r="G8" s="814"/>
      <c r="H8" s="19" t="s">
        <v>12</v>
      </c>
      <c r="I8" s="815"/>
      <c r="J8" s="815"/>
      <c r="K8" s="816"/>
      <c r="L8" s="817">
        <f t="shared" ref="L8:N8" ca="1" si="0">L9+L10</f>
        <v>7046668</v>
      </c>
      <c r="M8" s="817">
        <f t="shared" ca="1" si="0"/>
        <v>3204077</v>
      </c>
      <c r="N8" s="817">
        <f t="shared" ca="1" si="0"/>
        <v>2699101.94</v>
      </c>
      <c r="O8" s="817">
        <f t="shared" ref="O8:O16" ca="1" si="1">IF(L8&gt;0,N8*100/L8,0)</f>
        <v>38.303236934108433</v>
      </c>
      <c r="P8" s="817">
        <f t="shared" ref="P8:P16" ca="1" si="2">IF(M8&gt;0,N8*100/M8,0)</f>
        <v>84.23960909803354</v>
      </c>
      <c r="Q8" s="818"/>
      <c r="R8" s="818"/>
      <c r="S8" s="818"/>
      <c r="T8" s="818"/>
      <c r="U8" s="818"/>
      <c r="V8" s="818"/>
      <c r="W8" s="818"/>
      <c r="X8" s="818"/>
      <c r="Y8" s="818"/>
      <c r="Z8" s="818"/>
    </row>
    <row r="9" spans="1:26" ht="18.75" hidden="1">
      <c r="A9" s="819"/>
      <c r="B9" s="820"/>
      <c r="C9" s="820"/>
      <c r="D9" s="820"/>
      <c r="E9" s="821" t="s">
        <v>18</v>
      </c>
      <c r="F9" s="820"/>
      <c r="G9" s="822"/>
      <c r="H9" s="28" t="s">
        <v>12</v>
      </c>
      <c r="I9" s="823"/>
      <c r="J9" s="823"/>
      <c r="K9" s="824"/>
      <c r="L9" s="824">
        <f t="shared" ref="L9:N10" si="3">L12+L15</f>
        <v>0</v>
      </c>
      <c r="M9" s="824">
        <f t="shared" si="3"/>
        <v>0</v>
      </c>
      <c r="N9" s="824">
        <f t="shared" si="3"/>
        <v>0</v>
      </c>
      <c r="O9" s="824">
        <f t="shared" si="1"/>
        <v>0</v>
      </c>
      <c r="P9" s="824">
        <f t="shared" si="2"/>
        <v>0</v>
      </c>
      <c r="Q9" s="825"/>
      <c r="R9" s="825"/>
      <c r="S9" s="825"/>
      <c r="T9" s="825"/>
      <c r="U9" s="825"/>
      <c r="V9" s="825"/>
      <c r="W9" s="825"/>
      <c r="X9" s="825"/>
      <c r="Y9" s="825"/>
      <c r="Z9" s="825"/>
    </row>
    <row r="10" spans="1:26" ht="18.75" hidden="1">
      <c r="A10" s="819"/>
      <c r="B10" s="820"/>
      <c r="C10" s="820"/>
      <c r="D10" s="820"/>
      <c r="E10" s="821" t="s">
        <v>19</v>
      </c>
      <c r="F10" s="820"/>
      <c r="G10" s="822"/>
      <c r="H10" s="28" t="s">
        <v>12</v>
      </c>
      <c r="I10" s="823"/>
      <c r="J10" s="823"/>
      <c r="K10" s="824"/>
      <c r="L10" s="824">
        <f t="shared" ca="1" si="3"/>
        <v>7046668</v>
      </c>
      <c r="M10" s="824">
        <f t="shared" ca="1" si="3"/>
        <v>3204077</v>
      </c>
      <c r="N10" s="824">
        <f t="shared" ca="1" si="3"/>
        <v>2699101.94</v>
      </c>
      <c r="O10" s="824">
        <f t="shared" ca="1" si="1"/>
        <v>38.303236934108433</v>
      </c>
      <c r="P10" s="824">
        <f t="shared" ca="1" si="2"/>
        <v>84.23960909803354</v>
      </c>
      <c r="Q10" s="825"/>
      <c r="R10" s="825"/>
      <c r="S10" s="825"/>
      <c r="T10" s="825"/>
      <c r="U10" s="825"/>
      <c r="V10" s="825"/>
      <c r="W10" s="825"/>
      <c r="X10" s="825"/>
      <c r="Y10" s="825"/>
      <c r="Z10" s="825"/>
    </row>
    <row r="11" spans="1:26" ht="18.75">
      <c r="A11" s="826"/>
      <c r="B11" s="827"/>
      <c r="C11" s="827"/>
      <c r="D11" s="828" t="s">
        <v>20</v>
      </c>
      <c r="E11" s="827"/>
      <c r="F11" s="827"/>
      <c r="G11" s="829"/>
      <c r="H11" s="590" t="s">
        <v>12</v>
      </c>
      <c r="I11" s="830"/>
      <c r="J11" s="830"/>
      <c r="K11" s="831"/>
      <c r="L11" s="831">
        <f t="shared" ref="L11:N11" ca="1" si="4">L12+L13</f>
        <v>6986668</v>
      </c>
      <c r="M11" s="831">
        <f t="shared" ca="1" si="4"/>
        <v>3144477</v>
      </c>
      <c r="N11" s="831">
        <f t="shared" ca="1" si="4"/>
        <v>2639501.94</v>
      </c>
      <c r="O11" s="831">
        <f t="shared" ca="1" si="1"/>
        <v>37.779123610854271</v>
      </c>
      <c r="P11" s="831">
        <f t="shared" ca="1" si="2"/>
        <v>83.940888739208461</v>
      </c>
      <c r="Q11" s="818"/>
      <c r="R11" s="818"/>
      <c r="S11" s="818"/>
      <c r="T11" s="818"/>
      <c r="U11" s="818"/>
      <c r="V11" s="818"/>
      <c r="W11" s="818"/>
      <c r="X11" s="818"/>
      <c r="Y11" s="818"/>
      <c r="Z11" s="818"/>
    </row>
    <row r="12" spans="1:26" ht="18.75" hidden="1">
      <c r="A12" s="832"/>
      <c r="B12" s="833"/>
      <c r="C12" s="833"/>
      <c r="D12" s="833"/>
      <c r="E12" s="834" t="s">
        <v>18</v>
      </c>
      <c r="F12" s="833"/>
      <c r="G12" s="835"/>
      <c r="H12" s="43" t="s">
        <v>12</v>
      </c>
      <c r="I12" s="836"/>
      <c r="J12" s="836"/>
      <c r="K12" s="837"/>
      <c r="L12" s="837">
        <f t="shared" ref="L12:N13" si="5">L22+L32</f>
        <v>0</v>
      </c>
      <c r="M12" s="837">
        <f t="shared" si="5"/>
        <v>0</v>
      </c>
      <c r="N12" s="837">
        <f t="shared" si="5"/>
        <v>0</v>
      </c>
      <c r="O12" s="837">
        <f t="shared" si="1"/>
        <v>0</v>
      </c>
      <c r="P12" s="837">
        <f t="shared" si="2"/>
        <v>0</v>
      </c>
      <c r="Q12" s="825"/>
      <c r="R12" s="825"/>
      <c r="S12" s="825"/>
      <c r="T12" s="825"/>
      <c r="U12" s="825"/>
      <c r="V12" s="825"/>
      <c r="W12" s="825"/>
      <c r="X12" s="825"/>
      <c r="Y12" s="825"/>
      <c r="Z12" s="825"/>
    </row>
    <row r="13" spans="1:26" ht="18.75" hidden="1">
      <c r="A13" s="832"/>
      <c r="B13" s="833"/>
      <c r="C13" s="833"/>
      <c r="D13" s="833"/>
      <c r="E13" s="834" t="s">
        <v>19</v>
      </c>
      <c r="F13" s="833"/>
      <c r="G13" s="835"/>
      <c r="H13" s="43" t="s">
        <v>12</v>
      </c>
      <c r="I13" s="836"/>
      <c r="J13" s="836"/>
      <c r="K13" s="837"/>
      <c r="L13" s="837">
        <f t="shared" ca="1" si="5"/>
        <v>6986668</v>
      </c>
      <c r="M13" s="837">
        <f t="shared" ca="1" si="5"/>
        <v>3144477</v>
      </c>
      <c r="N13" s="837">
        <f t="shared" ca="1" si="5"/>
        <v>2639501.94</v>
      </c>
      <c r="O13" s="837">
        <f t="shared" ca="1" si="1"/>
        <v>37.779123610854271</v>
      </c>
      <c r="P13" s="837">
        <f t="shared" ca="1" si="2"/>
        <v>83.940888739208461</v>
      </c>
      <c r="Q13" s="825"/>
      <c r="R13" s="825"/>
      <c r="S13" s="825"/>
      <c r="T13" s="825"/>
      <c r="U13" s="825"/>
      <c r="V13" s="825"/>
      <c r="W13" s="825"/>
      <c r="X13" s="825"/>
      <c r="Y13" s="825"/>
      <c r="Z13" s="825"/>
    </row>
    <row r="14" spans="1:26" ht="18.75">
      <c r="A14" s="826"/>
      <c r="B14" s="827"/>
      <c r="C14" s="827"/>
      <c r="D14" s="828" t="s">
        <v>21</v>
      </c>
      <c r="E14" s="827"/>
      <c r="F14" s="827"/>
      <c r="G14" s="829"/>
      <c r="H14" s="590" t="s">
        <v>12</v>
      </c>
      <c r="I14" s="830"/>
      <c r="J14" s="830"/>
      <c r="K14" s="831"/>
      <c r="L14" s="831">
        <f t="shared" ref="L14:N14" ca="1" si="6">L15+L16</f>
        <v>60000</v>
      </c>
      <c r="M14" s="831">
        <f t="shared" ca="1" si="6"/>
        <v>59600</v>
      </c>
      <c r="N14" s="831">
        <f t="shared" ca="1" si="6"/>
        <v>59600</v>
      </c>
      <c r="O14" s="831">
        <f t="shared" ca="1" si="1"/>
        <v>99.333333333333329</v>
      </c>
      <c r="P14" s="831">
        <f t="shared" ca="1" si="2"/>
        <v>100</v>
      </c>
      <c r="Q14" s="818"/>
      <c r="R14" s="818"/>
      <c r="S14" s="818"/>
      <c r="T14" s="818"/>
      <c r="U14" s="818"/>
      <c r="V14" s="818"/>
      <c r="W14" s="818"/>
      <c r="X14" s="818"/>
      <c r="Y14" s="818"/>
      <c r="Z14" s="818"/>
    </row>
    <row r="15" spans="1:26" ht="18.75" hidden="1">
      <c r="A15" s="832"/>
      <c r="B15" s="833"/>
      <c r="C15" s="833"/>
      <c r="D15" s="833"/>
      <c r="E15" s="834" t="s">
        <v>18</v>
      </c>
      <c r="F15" s="833"/>
      <c r="G15" s="835"/>
      <c r="H15" s="43" t="s">
        <v>12</v>
      </c>
      <c r="I15" s="836"/>
      <c r="J15" s="836"/>
      <c r="K15" s="837"/>
      <c r="L15" s="837">
        <f t="shared" ref="L15:N16" si="7">L25+L35</f>
        <v>0</v>
      </c>
      <c r="M15" s="837">
        <f t="shared" si="7"/>
        <v>0</v>
      </c>
      <c r="N15" s="837">
        <f t="shared" si="7"/>
        <v>0</v>
      </c>
      <c r="O15" s="837">
        <f t="shared" si="1"/>
        <v>0</v>
      </c>
      <c r="P15" s="837">
        <f t="shared" si="2"/>
        <v>0</v>
      </c>
      <c r="Q15" s="825"/>
      <c r="R15" s="825"/>
      <c r="S15" s="825"/>
      <c r="T15" s="825"/>
      <c r="U15" s="825"/>
      <c r="V15" s="825"/>
      <c r="W15" s="825"/>
      <c r="X15" s="825"/>
      <c r="Y15" s="825"/>
      <c r="Z15" s="825"/>
    </row>
    <row r="16" spans="1:26" ht="18.75" hidden="1">
      <c r="A16" s="838"/>
      <c r="B16" s="839"/>
      <c r="C16" s="839"/>
      <c r="D16" s="839"/>
      <c r="E16" s="840" t="s">
        <v>19</v>
      </c>
      <c r="F16" s="839"/>
      <c r="G16" s="841"/>
      <c r="H16" s="50" t="s">
        <v>12</v>
      </c>
      <c r="I16" s="842"/>
      <c r="J16" s="842"/>
      <c r="K16" s="843"/>
      <c r="L16" s="843">
        <f t="shared" ca="1" si="7"/>
        <v>60000</v>
      </c>
      <c r="M16" s="843">
        <f t="shared" ca="1" si="7"/>
        <v>59600</v>
      </c>
      <c r="N16" s="843">
        <f t="shared" ca="1" si="7"/>
        <v>59600</v>
      </c>
      <c r="O16" s="843">
        <f t="shared" ca="1" si="1"/>
        <v>99.333333333333329</v>
      </c>
      <c r="P16" s="843">
        <f t="shared" ca="1" si="2"/>
        <v>100</v>
      </c>
      <c r="Q16" s="825"/>
      <c r="R16" s="825"/>
      <c r="S16" s="825"/>
      <c r="T16" s="825"/>
      <c r="U16" s="825"/>
      <c r="V16" s="825"/>
      <c r="W16" s="825"/>
      <c r="X16" s="825"/>
      <c r="Y16" s="825"/>
      <c r="Z16" s="825"/>
    </row>
    <row r="17" spans="1:26" ht="19.5">
      <c r="A17" s="1512" t="s">
        <v>22</v>
      </c>
      <c r="B17" s="1494"/>
      <c r="C17" s="1494"/>
      <c r="D17" s="1494"/>
      <c r="E17" s="1494"/>
      <c r="F17" s="1494"/>
      <c r="G17" s="1495"/>
      <c r="H17" s="807"/>
      <c r="I17" s="808"/>
      <c r="J17" s="808"/>
      <c r="K17" s="809"/>
      <c r="L17" s="809"/>
      <c r="M17" s="809"/>
      <c r="N17" s="809"/>
      <c r="O17" s="809"/>
      <c r="P17" s="809"/>
    </row>
    <row r="18" spans="1:26" ht="19.5">
      <c r="A18" s="810"/>
      <c r="B18" s="811"/>
      <c r="C18" s="812" t="s">
        <v>16</v>
      </c>
      <c r="D18" s="813" t="s">
        <v>17</v>
      </c>
      <c r="E18" s="811"/>
      <c r="F18" s="811"/>
      <c r="G18" s="814"/>
      <c r="H18" s="19" t="s">
        <v>12</v>
      </c>
      <c r="I18" s="815"/>
      <c r="J18" s="815"/>
      <c r="K18" s="816"/>
      <c r="L18" s="817">
        <f t="shared" ref="L18:N18" ca="1" si="8">L19+L20</f>
        <v>4053029</v>
      </c>
      <c r="M18" s="817">
        <f t="shared" ca="1" si="8"/>
        <v>3204077</v>
      </c>
      <c r="N18" s="817">
        <f t="shared" ca="1" si="8"/>
        <v>1628754.06</v>
      </c>
      <c r="O18" s="817">
        <f t="shared" ref="O18:O26" ca="1" si="9">IF(L18&gt;0,N18*100/L18,0)</f>
        <v>40.186094400015399</v>
      </c>
      <c r="P18" s="817">
        <f t="shared" ref="P18:P26" ca="1" si="10">IF(M18&gt;0,N18*100/M18,0)</f>
        <v>50.833798938040502</v>
      </c>
      <c r="Q18" s="818"/>
      <c r="R18" s="818"/>
      <c r="S18" s="818"/>
      <c r="T18" s="818"/>
      <c r="U18" s="818"/>
      <c r="V18" s="818"/>
      <c r="W18" s="818"/>
      <c r="X18" s="818"/>
      <c r="Y18" s="818"/>
      <c r="Z18" s="818"/>
    </row>
    <row r="19" spans="1:26" ht="18.75" hidden="1">
      <c r="A19" s="819"/>
      <c r="B19" s="820"/>
      <c r="C19" s="820"/>
      <c r="D19" s="820"/>
      <c r="E19" s="821" t="s">
        <v>18</v>
      </c>
      <c r="F19" s="820"/>
      <c r="G19" s="822"/>
      <c r="H19" s="28" t="s">
        <v>12</v>
      </c>
      <c r="I19" s="823"/>
      <c r="J19" s="823"/>
      <c r="K19" s="824"/>
      <c r="L19" s="824">
        <f t="shared" ref="L19:N20" si="11">L22+L25</f>
        <v>0</v>
      </c>
      <c r="M19" s="824">
        <f t="shared" si="11"/>
        <v>0</v>
      </c>
      <c r="N19" s="824">
        <f t="shared" si="11"/>
        <v>0</v>
      </c>
      <c r="O19" s="824">
        <f t="shared" si="9"/>
        <v>0</v>
      </c>
      <c r="P19" s="824">
        <f t="shared" si="10"/>
        <v>0</v>
      </c>
      <c r="Q19" s="825"/>
      <c r="R19" s="825"/>
      <c r="S19" s="825"/>
      <c r="T19" s="825"/>
      <c r="U19" s="825"/>
      <c r="V19" s="825"/>
      <c r="W19" s="825"/>
      <c r="X19" s="825"/>
      <c r="Y19" s="825"/>
      <c r="Z19" s="825"/>
    </row>
    <row r="20" spans="1:26" ht="18.75" hidden="1">
      <c r="A20" s="819"/>
      <c r="B20" s="820"/>
      <c r="C20" s="820"/>
      <c r="D20" s="820"/>
      <c r="E20" s="821" t="s">
        <v>19</v>
      </c>
      <c r="F20" s="820"/>
      <c r="G20" s="822"/>
      <c r="H20" s="28" t="s">
        <v>12</v>
      </c>
      <c r="I20" s="823"/>
      <c r="J20" s="823"/>
      <c r="K20" s="824"/>
      <c r="L20" s="824">
        <f t="shared" ca="1" si="11"/>
        <v>4053029</v>
      </c>
      <c r="M20" s="824">
        <f t="shared" ca="1" si="11"/>
        <v>3204077</v>
      </c>
      <c r="N20" s="824">
        <f t="shared" ca="1" si="11"/>
        <v>1628754.06</v>
      </c>
      <c r="O20" s="824">
        <f t="shared" ca="1" si="9"/>
        <v>40.186094400015399</v>
      </c>
      <c r="P20" s="824">
        <f t="shared" ca="1" si="10"/>
        <v>50.833798938040502</v>
      </c>
      <c r="Q20" s="825"/>
      <c r="R20" s="825"/>
      <c r="S20" s="825"/>
      <c r="T20" s="825"/>
      <c r="U20" s="825"/>
      <c r="V20" s="825"/>
      <c r="W20" s="825"/>
      <c r="X20" s="825"/>
      <c r="Y20" s="825"/>
      <c r="Z20" s="825"/>
    </row>
    <row r="21" spans="1:26" ht="18.75">
      <c r="A21" s="826"/>
      <c r="B21" s="827"/>
      <c r="C21" s="827"/>
      <c r="D21" s="828" t="s">
        <v>20</v>
      </c>
      <c r="E21" s="827"/>
      <c r="F21" s="827"/>
      <c r="G21" s="829"/>
      <c r="H21" s="590" t="s">
        <v>12</v>
      </c>
      <c r="I21" s="830"/>
      <c r="J21" s="830"/>
      <c r="K21" s="831"/>
      <c r="L21" s="831">
        <f t="shared" ref="L21:N21" ca="1" si="12">L22+L23</f>
        <v>3993029</v>
      </c>
      <c r="M21" s="831">
        <f t="shared" ca="1" si="12"/>
        <v>3144477</v>
      </c>
      <c r="N21" s="831">
        <f t="shared" ca="1" si="12"/>
        <v>1569154.06</v>
      </c>
      <c r="O21" s="831">
        <f t="shared" ca="1" si="9"/>
        <v>39.297336933941629</v>
      </c>
      <c r="P21" s="831">
        <f t="shared" ca="1" si="10"/>
        <v>49.901909284119427</v>
      </c>
      <c r="Q21" s="818"/>
      <c r="R21" s="818"/>
      <c r="S21" s="818"/>
      <c r="T21" s="818"/>
      <c r="U21" s="818"/>
      <c r="V21" s="818"/>
      <c r="W21" s="818"/>
      <c r="X21" s="818"/>
      <c r="Y21" s="818"/>
      <c r="Z21" s="818"/>
    </row>
    <row r="22" spans="1:26" ht="18.75" hidden="1">
      <c r="A22" s="832"/>
      <c r="B22" s="833"/>
      <c r="C22" s="833"/>
      <c r="D22" s="833"/>
      <c r="E22" s="834" t="s">
        <v>18</v>
      </c>
      <c r="F22" s="833"/>
      <c r="G22" s="835"/>
      <c r="H22" s="43" t="s">
        <v>12</v>
      </c>
      <c r="I22" s="836"/>
      <c r="J22" s="836"/>
      <c r="K22" s="837"/>
      <c r="L22" s="837">
        <f t="shared" ref="L22:N23" si="13">L45+L57+L70+L92+L123+L136+L153+L185+L169+L265+L281+L302+L319+L332+L349+L393+L406</f>
        <v>0</v>
      </c>
      <c r="M22" s="837">
        <f t="shared" si="13"/>
        <v>0</v>
      </c>
      <c r="N22" s="837">
        <f t="shared" si="13"/>
        <v>0</v>
      </c>
      <c r="O22" s="837">
        <f t="shared" si="9"/>
        <v>0</v>
      </c>
      <c r="P22" s="837">
        <f t="shared" si="10"/>
        <v>0</v>
      </c>
      <c r="Q22" s="825"/>
      <c r="R22" s="825"/>
      <c r="S22" s="825"/>
      <c r="T22" s="825"/>
      <c r="U22" s="825"/>
      <c r="V22" s="825"/>
      <c r="W22" s="825"/>
      <c r="X22" s="825"/>
      <c r="Y22" s="825"/>
      <c r="Z22" s="825"/>
    </row>
    <row r="23" spans="1:26" ht="18.75" hidden="1">
      <c r="A23" s="832"/>
      <c r="B23" s="833"/>
      <c r="C23" s="833"/>
      <c r="D23" s="833"/>
      <c r="E23" s="834" t="s">
        <v>19</v>
      </c>
      <c r="F23" s="833"/>
      <c r="G23" s="835"/>
      <c r="H23" s="43" t="s">
        <v>12</v>
      </c>
      <c r="I23" s="836"/>
      <c r="J23" s="836"/>
      <c r="K23" s="837"/>
      <c r="L23" s="837">
        <f t="shared" ca="1" si="13"/>
        <v>3993029</v>
      </c>
      <c r="M23" s="837">
        <f t="shared" ca="1" si="13"/>
        <v>3144477</v>
      </c>
      <c r="N23" s="837">
        <f t="shared" ca="1" si="13"/>
        <v>1569154.06</v>
      </c>
      <c r="O23" s="837">
        <f t="shared" ca="1" si="9"/>
        <v>39.297336933941629</v>
      </c>
      <c r="P23" s="837">
        <f t="shared" ca="1" si="10"/>
        <v>49.901909284119427</v>
      </c>
      <c r="Q23" s="825"/>
      <c r="R23" s="825"/>
      <c r="S23" s="825"/>
      <c r="T23" s="825"/>
      <c r="U23" s="825"/>
      <c r="V23" s="825"/>
      <c r="W23" s="825"/>
      <c r="X23" s="825"/>
      <c r="Y23" s="825"/>
      <c r="Z23" s="825"/>
    </row>
    <row r="24" spans="1:26" ht="18.75">
      <c r="A24" s="826"/>
      <c r="B24" s="827"/>
      <c r="C24" s="827"/>
      <c r="D24" s="828" t="s">
        <v>21</v>
      </c>
      <c r="E24" s="827"/>
      <c r="F24" s="827"/>
      <c r="G24" s="829"/>
      <c r="H24" s="590" t="s">
        <v>12</v>
      </c>
      <c r="I24" s="830"/>
      <c r="J24" s="830"/>
      <c r="K24" s="831"/>
      <c r="L24" s="831">
        <f t="shared" ref="L24:N24" ca="1" si="14">L25+L26</f>
        <v>60000</v>
      </c>
      <c r="M24" s="831">
        <f t="shared" ca="1" si="14"/>
        <v>59600</v>
      </c>
      <c r="N24" s="831">
        <f t="shared" ca="1" si="14"/>
        <v>59600</v>
      </c>
      <c r="O24" s="831">
        <f t="shared" ca="1" si="9"/>
        <v>99.333333333333329</v>
      </c>
      <c r="P24" s="831">
        <f t="shared" ca="1" si="10"/>
        <v>100</v>
      </c>
      <c r="Q24" s="818"/>
      <c r="R24" s="818"/>
      <c r="S24" s="818"/>
      <c r="T24" s="818"/>
      <c r="U24" s="818"/>
      <c r="V24" s="818"/>
      <c r="W24" s="818"/>
      <c r="X24" s="818"/>
      <c r="Y24" s="818"/>
      <c r="Z24" s="818"/>
    </row>
    <row r="25" spans="1:26" ht="18.75" hidden="1">
      <c r="A25" s="832"/>
      <c r="B25" s="833"/>
      <c r="C25" s="833"/>
      <c r="D25" s="833"/>
      <c r="E25" s="834" t="s">
        <v>18</v>
      </c>
      <c r="F25" s="833"/>
      <c r="G25" s="835"/>
      <c r="H25" s="43" t="s">
        <v>12</v>
      </c>
      <c r="I25" s="836"/>
      <c r="J25" s="836"/>
      <c r="K25" s="837"/>
      <c r="L25" s="837">
        <f t="shared" ref="L25:N26" si="15">L48+L60+L73+L95+L126+L139+L156+L188+L172+L268+L284+L305+L322+L335+L352+L396+L409</f>
        <v>0</v>
      </c>
      <c r="M25" s="837">
        <f t="shared" si="15"/>
        <v>0</v>
      </c>
      <c r="N25" s="837">
        <f t="shared" si="15"/>
        <v>0</v>
      </c>
      <c r="O25" s="837">
        <f t="shared" si="9"/>
        <v>0</v>
      </c>
      <c r="P25" s="837">
        <f t="shared" si="10"/>
        <v>0</v>
      </c>
      <c r="Q25" s="825"/>
      <c r="R25" s="825"/>
      <c r="S25" s="825"/>
      <c r="T25" s="825"/>
      <c r="U25" s="825"/>
      <c r="V25" s="825"/>
      <c r="W25" s="825"/>
      <c r="X25" s="825"/>
      <c r="Y25" s="825"/>
      <c r="Z25" s="825"/>
    </row>
    <row r="26" spans="1:26" ht="18.75" hidden="1">
      <c r="A26" s="838"/>
      <c r="B26" s="839"/>
      <c r="C26" s="839"/>
      <c r="D26" s="839"/>
      <c r="E26" s="840" t="s">
        <v>19</v>
      </c>
      <c r="F26" s="839"/>
      <c r="G26" s="841"/>
      <c r="H26" s="50" t="s">
        <v>12</v>
      </c>
      <c r="I26" s="842"/>
      <c r="J26" s="842"/>
      <c r="K26" s="843"/>
      <c r="L26" s="843">
        <f t="shared" ca="1" si="15"/>
        <v>60000</v>
      </c>
      <c r="M26" s="843">
        <f t="shared" ca="1" si="15"/>
        <v>59600</v>
      </c>
      <c r="N26" s="843">
        <f t="shared" ca="1" si="15"/>
        <v>59600</v>
      </c>
      <c r="O26" s="843">
        <f t="shared" ca="1" si="9"/>
        <v>99.333333333333329</v>
      </c>
      <c r="P26" s="843">
        <f t="shared" ca="1" si="10"/>
        <v>100</v>
      </c>
      <c r="Q26" s="825"/>
      <c r="R26" s="825"/>
      <c r="S26" s="825"/>
      <c r="T26" s="825"/>
      <c r="U26" s="825"/>
      <c r="V26" s="825"/>
      <c r="W26" s="825"/>
      <c r="X26" s="825"/>
      <c r="Y26" s="825"/>
      <c r="Z26" s="825"/>
    </row>
    <row r="27" spans="1:26" ht="19.5">
      <c r="A27" s="1512" t="s">
        <v>23</v>
      </c>
      <c r="B27" s="1494"/>
      <c r="C27" s="1494"/>
      <c r="D27" s="1494"/>
      <c r="E27" s="1494"/>
      <c r="F27" s="1494"/>
      <c r="G27" s="1495"/>
      <c r="H27" s="807"/>
      <c r="I27" s="808"/>
      <c r="J27" s="808"/>
      <c r="K27" s="809"/>
      <c r="L27" s="809"/>
      <c r="M27" s="809"/>
      <c r="N27" s="809"/>
      <c r="O27" s="809"/>
      <c r="P27" s="809"/>
    </row>
    <row r="28" spans="1:26" ht="19.5">
      <c r="A28" s="810"/>
      <c r="B28" s="811"/>
      <c r="C28" s="812" t="s">
        <v>16</v>
      </c>
      <c r="D28" s="813" t="s">
        <v>17</v>
      </c>
      <c r="E28" s="811"/>
      <c r="F28" s="811"/>
      <c r="G28" s="814"/>
      <c r="H28" s="19" t="s">
        <v>12</v>
      </c>
      <c r="I28" s="815"/>
      <c r="J28" s="815"/>
      <c r="K28" s="816"/>
      <c r="L28" s="817">
        <f t="shared" ref="L28:N28" ca="1" si="16">L29+L30</f>
        <v>2993639</v>
      </c>
      <c r="M28" s="817">
        <f t="shared" si="16"/>
        <v>0</v>
      </c>
      <c r="N28" s="817">
        <f t="shared" si="16"/>
        <v>1070347.8799999999</v>
      </c>
      <c r="O28" s="817">
        <f t="shared" ref="O28:O37" ca="1" si="17">IF(L28&gt;0,N28*100/L28,0)</f>
        <v>35.754073219917295</v>
      </c>
      <c r="P28" s="817">
        <f t="shared" ref="P28:P37" si="18">IF(M28&gt;0,N28*100/M28,0)</f>
        <v>0</v>
      </c>
      <c r="Q28" s="818"/>
      <c r="R28" s="818"/>
      <c r="S28" s="818"/>
      <c r="T28" s="818"/>
      <c r="U28" s="818"/>
      <c r="V28" s="818"/>
      <c r="W28" s="818"/>
      <c r="X28" s="818"/>
      <c r="Y28" s="818"/>
      <c r="Z28" s="818"/>
    </row>
    <row r="29" spans="1:26" ht="18.75" hidden="1">
      <c r="A29" s="819"/>
      <c r="B29" s="820"/>
      <c r="C29" s="820"/>
      <c r="D29" s="820"/>
      <c r="E29" s="821" t="s">
        <v>18</v>
      </c>
      <c r="F29" s="820"/>
      <c r="G29" s="822"/>
      <c r="H29" s="28" t="s">
        <v>12</v>
      </c>
      <c r="I29" s="823"/>
      <c r="J29" s="823"/>
      <c r="K29" s="824"/>
      <c r="L29" s="824">
        <f t="shared" ref="L29:N30" si="19">L32+L35</f>
        <v>0</v>
      </c>
      <c r="M29" s="824">
        <f t="shared" si="19"/>
        <v>0</v>
      </c>
      <c r="N29" s="824">
        <f t="shared" si="19"/>
        <v>0</v>
      </c>
      <c r="O29" s="824">
        <f t="shared" si="17"/>
        <v>0</v>
      </c>
      <c r="P29" s="824">
        <f t="shared" si="18"/>
        <v>0</v>
      </c>
      <c r="Q29" s="825"/>
      <c r="R29" s="825"/>
      <c r="S29" s="825"/>
      <c r="T29" s="825"/>
      <c r="U29" s="825"/>
      <c r="V29" s="825"/>
      <c r="W29" s="825"/>
      <c r="X29" s="825"/>
      <c r="Y29" s="825"/>
      <c r="Z29" s="825"/>
    </row>
    <row r="30" spans="1:26" ht="18.75" hidden="1">
      <c r="A30" s="819"/>
      <c r="B30" s="820"/>
      <c r="C30" s="820"/>
      <c r="D30" s="820"/>
      <c r="E30" s="821" t="s">
        <v>19</v>
      </c>
      <c r="F30" s="820"/>
      <c r="G30" s="822"/>
      <c r="H30" s="28" t="s">
        <v>12</v>
      </c>
      <c r="I30" s="823"/>
      <c r="J30" s="823"/>
      <c r="K30" s="824"/>
      <c r="L30" s="824">
        <f t="shared" ca="1" si="19"/>
        <v>2993639</v>
      </c>
      <c r="M30" s="824">
        <f t="shared" si="19"/>
        <v>0</v>
      </c>
      <c r="N30" s="824">
        <f t="shared" si="19"/>
        <v>1070347.8799999999</v>
      </c>
      <c r="O30" s="824">
        <f t="shared" ca="1" si="17"/>
        <v>35.754073219917295</v>
      </c>
      <c r="P30" s="824">
        <f t="shared" si="18"/>
        <v>0</v>
      </c>
      <c r="Q30" s="825"/>
      <c r="R30" s="825"/>
      <c r="S30" s="825"/>
      <c r="T30" s="825"/>
      <c r="U30" s="825"/>
      <c r="V30" s="825"/>
      <c r="W30" s="825"/>
      <c r="X30" s="825"/>
      <c r="Y30" s="825"/>
      <c r="Z30" s="825"/>
    </row>
    <row r="31" spans="1:26" ht="18.75">
      <c r="A31" s="826"/>
      <c r="B31" s="827"/>
      <c r="C31" s="827"/>
      <c r="D31" s="828" t="s">
        <v>20</v>
      </c>
      <c r="E31" s="827"/>
      <c r="F31" s="827"/>
      <c r="G31" s="829"/>
      <c r="H31" s="590" t="s">
        <v>12</v>
      </c>
      <c r="I31" s="830"/>
      <c r="J31" s="830"/>
      <c r="K31" s="831"/>
      <c r="L31" s="831">
        <f t="shared" ref="L31:N31" ca="1" si="20">L32+L33</f>
        <v>2993639</v>
      </c>
      <c r="M31" s="831">
        <f t="shared" si="20"/>
        <v>0</v>
      </c>
      <c r="N31" s="831">
        <f t="shared" si="20"/>
        <v>1070347.8799999999</v>
      </c>
      <c r="O31" s="831">
        <f t="shared" ca="1" si="17"/>
        <v>35.754073219917295</v>
      </c>
      <c r="P31" s="831">
        <f t="shared" si="18"/>
        <v>0</v>
      </c>
      <c r="Q31" s="818"/>
      <c r="R31" s="818"/>
      <c r="S31" s="818"/>
      <c r="T31" s="818"/>
      <c r="U31" s="818"/>
      <c r="V31" s="818"/>
      <c r="W31" s="818"/>
      <c r="X31" s="818"/>
      <c r="Y31" s="818"/>
      <c r="Z31" s="818"/>
    </row>
    <row r="32" spans="1:26" ht="18.75" hidden="1">
      <c r="A32" s="832"/>
      <c r="B32" s="833"/>
      <c r="C32" s="833"/>
      <c r="D32" s="833"/>
      <c r="E32" s="834" t="s">
        <v>18</v>
      </c>
      <c r="F32" s="833"/>
      <c r="G32" s="835"/>
      <c r="H32" s="43" t="s">
        <v>12</v>
      </c>
      <c r="I32" s="836"/>
      <c r="J32" s="836"/>
      <c r="K32" s="837"/>
      <c r="L32" s="837">
        <f t="shared" ref="L32:N33" si="21">L423+L448+L471+L506+L527+L548+L633+L659+L689+L741+L758+L774+L790+L809</f>
        <v>0</v>
      </c>
      <c r="M32" s="837">
        <f t="shared" si="21"/>
        <v>0</v>
      </c>
      <c r="N32" s="837">
        <f t="shared" si="21"/>
        <v>0</v>
      </c>
      <c r="O32" s="837">
        <f t="shared" si="17"/>
        <v>0</v>
      </c>
      <c r="P32" s="837">
        <f t="shared" si="18"/>
        <v>0</v>
      </c>
      <c r="Q32" s="825"/>
      <c r="R32" s="825"/>
      <c r="S32" s="825"/>
      <c r="T32" s="825"/>
      <c r="U32" s="825"/>
      <c r="V32" s="825"/>
      <c r="W32" s="825"/>
      <c r="X32" s="825"/>
      <c r="Y32" s="825"/>
      <c r="Z32" s="825"/>
    </row>
    <row r="33" spans="1:26" ht="18.75" hidden="1">
      <c r="A33" s="832"/>
      <c r="B33" s="833"/>
      <c r="C33" s="833"/>
      <c r="D33" s="833"/>
      <c r="E33" s="834" t="s">
        <v>19</v>
      </c>
      <c r="F33" s="833"/>
      <c r="G33" s="835"/>
      <c r="H33" s="43" t="s">
        <v>12</v>
      </c>
      <c r="I33" s="836"/>
      <c r="J33" s="836"/>
      <c r="K33" s="837"/>
      <c r="L33" s="837">
        <f t="shared" ca="1" si="21"/>
        <v>2993639</v>
      </c>
      <c r="M33" s="837">
        <f t="shared" si="21"/>
        <v>0</v>
      </c>
      <c r="N33" s="837">
        <f t="shared" si="21"/>
        <v>1070347.8799999999</v>
      </c>
      <c r="O33" s="837">
        <f t="shared" ca="1" si="17"/>
        <v>35.754073219917295</v>
      </c>
      <c r="P33" s="837">
        <f t="shared" si="18"/>
        <v>0</v>
      </c>
      <c r="Q33" s="825"/>
      <c r="R33" s="825"/>
      <c r="S33" s="825"/>
      <c r="T33" s="825"/>
      <c r="U33" s="825"/>
      <c r="V33" s="825"/>
      <c r="W33" s="825"/>
      <c r="X33" s="825"/>
      <c r="Y33" s="825"/>
      <c r="Z33" s="825"/>
    </row>
    <row r="34" spans="1:26" ht="18.75">
      <c r="A34" s="826"/>
      <c r="B34" s="827"/>
      <c r="C34" s="827"/>
      <c r="D34" s="828" t="s">
        <v>21</v>
      </c>
      <c r="E34" s="827"/>
      <c r="F34" s="827"/>
      <c r="G34" s="829"/>
      <c r="H34" s="590" t="s">
        <v>12</v>
      </c>
      <c r="I34" s="830"/>
      <c r="J34" s="830"/>
      <c r="K34" s="831"/>
      <c r="L34" s="831">
        <f t="shared" ref="L34:N34" ca="1" si="22">L35+L36</f>
        <v>0</v>
      </c>
      <c r="M34" s="831">
        <f t="shared" si="22"/>
        <v>0</v>
      </c>
      <c r="N34" s="831">
        <f t="shared" si="22"/>
        <v>0</v>
      </c>
      <c r="O34" s="831">
        <f t="shared" ca="1" si="17"/>
        <v>0</v>
      </c>
      <c r="P34" s="831">
        <f t="shared" si="18"/>
        <v>0</v>
      </c>
      <c r="Q34" s="818"/>
      <c r="R34" s="818"/>
      <c r="S34" s="818"/>
      <c r="T34" s="818"/>
      <c r="U34" s="818"/>
      <c r="V34" s="818"/>
      <c r="W34" s="818"/>
      <c r="X34" s="818"/>
      <c r="Y34" s="818"/>
      <c r="Z34" s="818"/>
    </row>
    <row r="35" spans="1:26" ht="18.75" hidden="1">
      <c r="A35" s="832"/>
      <c r="B35" s="833"/>
      <c r="C35" s="833"/>
      <c r="D35" s="833"/>
      <c r="E35" s="834" t="s">
        <v>18</v>
      </c>
      <c r="F35" s="833"/>
      <c r="G35" s="835"/>
      <c r="H35" s="43" t="s">
        <v>12</v>
      </c>
      <c r="I35" s="836"/>
      <c r="J35" s="836"/>
      <c r="K35" s="837"/>
      <c r="L35" s="837">
        <f t="shared" ref="L35:N36" si="23">L430+L455+L478+L513+L534+L556+L640+L666+L696+L748+L765+L781+L797+L816</f>
        <v>0</v>
      </c>
      <c r="M35" s="837">
        <f t="shared" si="23"/>
        <v>0</v>
      </c>
      <c r="N35" s="837">
        <f t="shared" si="23"/>
        <v>0</v>
      </c>
      <c r="O35" s="837">
        <f t="shared" si="17"/>
        <v>0</v>
      </c>
      <c r="P35" s="837">
        <f t="shared" si="18"/>
        <v>0</v>
      </c>
      <c r="Q35" s="825"/>
      <c r="R35" s="825"/>
      <c r="S35" s="825"/>
      <c r="T35" s="825"/>
      <c r="U35" s="825"/>
      <c r="V35" s="825"/>
      <c r="W35" s="825"/>
      <c r="X35" s="825"/>
      <c r="Y35" s="825"/>
      <c r="Z35" s="825"/>
    </row>
    <row r="36" spans="1:26" ht="18.75" hidden="1">
      <c r="A36" s="838"/>
      <c r="B36" s="839"/>
      <c r="C36" s="839"/>
      <c r="D36" s="839"/>
      <c r="E36" s="840" t="s">
        <v>19</v>
      </c>
      <c r="F36" s="839"/>
      <c r="G36" s="841"/>
      <c r="H36" s="50" t="s">
        <v>12</v>
      </c>
      <c r="I36" s="842"/>
      <c r="J36" s="842"/>
      <c r="K36" s="843"/>
      <c r="L36" s="843">
        <f t="shared" ca="1" si="23"/>
        <v>0</v>
      </c>
      <c r="M36" s="843">
        <f t="shared" si="23"/>
        <v>0</v>
      </c>
      <c r="N36" s="843">
        <f t="shared" si="23"/>
        <v>0</v>
      </c>
      <c r="O36" s="843">
        <f t="shared" ca="1" si="17"/>
        <v>0</v>
      </c>
      <c r="P36" s="843">
        <f t="shared" si="18"/>
        <v>0</v>
      </c>
      <c r="Q36" s="825"/>
      <c r="R36" s="825"/>
      <c r="S36" s="825"/>
      <c r="T36" s="825"/>
      <c r="U36" s="825"/>
      <c r="V36" s="825"/>
      <c r="W36" s="825"/>
      <c r="X36" s="825"/>
      <c r="Y36" s="825"/>
      <c r="Z36" s="825"/>
    </row>
    <row r="37" spans="1:26" ht="19.5">
      <c r="A37" s="844" t="s">
        <v>24</v>
      </c>
      <c r="B37" s="845"/>
      <c r="C37" s="845"/>
      <c r="D37" s="845"/>
      <c r="E37" s="845"/>
      <c r="F37" s="845"/>
      <c r="G37" s="846"/>
      <c r="H37" s="847"/>
      <c r="I37" s="848"/>
      <c r="J37" s="848"/>
      <c r="K37" s="849"/>
      <c r="L37" s="850">
        <f t="shared" ref="L37:N37" ca="1" si="24">L41+L53+L66+L88+L119+L132+L149+L165+L181+L261+L277+L298+L315+L328+L345+L389+L402</f>
        <v>4053029</v>
      </c>
      <c r="M37" s="850">
        <f t="shared" ca="1" si="24"/>
        <v>3204077</v>
      </c>
      <c r="N37" s="850">
        <f t="shared" ca="1" si="24"/>
        <v>1628754.06</v>
      </c>
      <c r="O37" s="850">
        <f t="shared" ca="1" si="17"/>
        <v>40.186094400015399</v>
      </c>
      <c r="P37" s="850">
        <f t="shared" ca="1" si="18"/>
        <v>50.833798938040502</v>
      </c>
    </row>
    <row r="38" spans="1:26" ht="19.5">
      <c r="A38" s="851" t="s">
        <v>25</v>
      </c>
      <c r="B38" s="852"/>
      <c r="C38" s="852"/>
      <c r="D38" s="852"/>
      <c r="E38" s="852"/>
      <c r="F38" s="852"/>
      <c r="G38" s="853"/>
      <c r="H38" s="854"/>
      <c r="I38" s="855"/>
      <c r="J38" s="855"/>
      <c r="K38" s="856"/>
      <c r="L38" s="856"/>
      <c r="M38" s="856"/>
      <c r="N38" s="856"/>
      <c r="O38" s="856"/>
      <c r="P38" s="856"/>
    </row>
    <row r="39" spans="1:26" ht="19.5">
      <c r="A39" s="857"/>
      <c r="B39" s="858" t="s">
        <v>26</v>
      </c>
      <c r="C39" s="859"/>
      <c r="D39" s="859"/>
      <c r="E39" s="859"/>
      <c r="F39" s="859"/>
      <c r="G39" s="860"/>
      <c r="H39" s="861"/>
      <c r="I39" s="862"/>
      <c r="J39" s="862"/>
      <c r="K39" s="863"/>
      <c r="L39" s="863"/>
      <c r="M39" s="863"/>
      <c r="N39" s="863"/>
      <c r="O39" s="863"/>
      <c r="P39" s="863"/>
    </row>
    <row r="40" spans="1:26" ht="19.5">
      <c r="A40" s="864"/>
      <c r="B40" s="1513" t="s">
        <v>27</v>
      </c>
      <c r="C40" s="1485"/>
      <c r="D40" s="1485"/>
      <c r="E40" s="1485"/>
      <c r="F40" s="1485"/>
      <c r="G40" s="1491"/>
      <c r="H40" s="865"/>
      <c r="I40" s="866"/>
      <c r="J40" s="866"/>
      <c r="K40" s="867"/>
      <c r="L40" s="867"/>
      <c r="M40" s="867"/>
      <c r="N40" s="867"/>
      <c r="O40" s="867"/>
      <c r="P40" s="867"/>
    </row>
    <row r="41" spans="1:26" ht="19.5">
      <c r="A41" s="868"/>
      <c r="B41" s="869"/>
      <c r="C41" s="870" t="s">
        <v>16</v>
      </c>
      <c r="D41" s="871" t="s">
        <v>17</v>
      </c>
      <c r="E41" s="869"/>
      <c r="F41" s="869"/>
      <c r="G41" s="872"/>
      <c r="H41" s="82" t="s">
        <v>12</v>
      </c>
      <c r="I41" s="873"/>
      <c r="J41" s="873"/>
      <c r="K41" s="874"/>
      <c r="L41" s="875">
        <f t="shared" ref="L41:N41" ca="1" si="25">L42+L43</f>
        <v>472819</v>
      </c>
      <c r="M41" s="875">
        <f t="shared" ca="1" si="25"/>
        <v>480617</v>
      </c>
      <c r="N41" s="875">
        <f t="shared" ca="1" si="25"/>
        <v>216079</v>
      </c>
      <c r="O41" s="875">
        <f t="shared" ref="O41:O49" ca="1" si="26">IF(L41&gt;0,N41*100/L41,0)</f>
        <v>45.700151643652219</v>
      </c>
      <c r="P41" s="875">
        <f t="shared" ref="P41:P49" ca="1" si="27">IF(M41&gt;0,N41*100/M41,0)</f>
        <v>44.958667712544504</v>
      </c>
      <c r="Q41" s="818"/>
      <c r="R41" s="818"/>
      <c r="S41" s="818"/>
      <c r="T41" s="818"/>
      <c r="U41" s="818"/>
      <c r="V41" s="818"/>
      <c r="W41" s="818"/>
      <c r="X41" s="818"/>
      <c r="Y41" s="818"/>
      <c r="Z41" s="818"/>
    </row>
    <row r="42" spans="1:26" ht="18.75" hidden="1">
      <c r="A42" s="876"/>
      <c r="B42" s="877"/>
      <c r="C42" s="877"/>
      <c r="D42" s="877"/>
      <c r="E42" s="878" t="s">
        <v>18</v>
      </c>
      <c r="F42" s="877"/>
      <c r="G42" s="879"/>
      <c r="H42" s="90" t="s">
        <v>12</v>
      </c>
      <c r="I42" s="880"/>
      <c r="J42" s="880"/>
      <c r="K42" s="881"/>
      <c r="L42" s="881">
        <f t="shared" ref="L42:N43" si="28">L45+L48</f>
        <v>0</v>
      </c>
      <c r="M42" s="881">
        <f t="shared" si="28"/>
        <v>0</v>
      </c>
      <c r="N42" s="881">
        <f t="shared" si="28"/>
        <v>0</v>
      </c>
      <c r="O42" s="881">
        <f t="shared" si="26"/>
        <v>0</v>
      </c>
      <c r="P42" s="881">
        <f t="shared" si="27"/>
        <v>0</v>
      </c>
      <c r="Q42" s="825"/>
      <c r="R42" s="825"/>
      <c r="S42" s="825"/>
      <c r="T42" s="825"/>
      <c r="U42" s="825"/>
      <c r="V42" s="825"/>
      <c r="W42" s="825"/>
      <c r="X42" s="825"/>
      <c r="Y42" s="825"/>
      <c r="Z42" s="825"/>
    </row>
    <row r="43" spans="1:26" ht="18.75" hidden="1">
      <c r="A43" s="876"/>
      <c r="B43" s="877"/>
      <c r="C43" s="877"/>
      <c r="D43" s="877"/>
      <c r="E43" s="878" t="s">
        <v>19</v>
      </c>
      <c r="F43" s="877"/>
      <c r="G43" s="879"/>
      <c r="H43" s="90" t="s">
        <v>12</v>
      </c>
      <c r="I43" s="880"/>
      <c r="J43" s="880"/>
      <c r="K43" s="881"/>
      <c r="L43" s="881">
        <f t="shared" ca="1" si="28"/>
        <v>472819</v>
      </c>
      <c r="M43" s="881">
        <f t="shared" ca="1" si="28"/>
        <v>480617</v>
      </c>
      <c r="N43" s="881">
        <f t="shared" ca="1" si="28"/>
        <v>216079</v>
      </c>
      <c r="O43" s="881">
        <f t="shared" ca="1" si="26"/>
        <v>45.700151643652219</v>
      </c>
      <c r="P43" s="881">
        <f t="shared" ca="1" si="27"/>
        <v>44.958667712544504</v>
      </c>
      <c r="Q43" s="825"/>
      <c r="R43" s="825"/>
      <c r="S43" s="825"/>
      <c r="T43" s="825"/>
      <c r="U43" s="825"/>
      <c r="V43" s="825"/>
      <c r="W43" s="825"/>
      <c r="X43" s="825"/>
      <c r="Y43" s="825"/>
      <c r="Z43" s="825"/>
    </row>
    <row r="44" spans="1:26" ht="18.75">
      <c r="A44" s="826"/>
      <c r="B44" s="827"/>
      <c r="C44" s="827"/>
      <c r="D44" s="828" t="s">
        <v>20</v>
      </c>
      <c r="E44" s="827"/>
      <c r="F44" s="827"/>
      <c r="G44" s="829"/>
      <c r="H44" s="590" t="s">
        <v>12</v>
      </c>
      <c r="I44" s="830"/>
      <c r="J44" s="830"/>
      <c r="K44" s="831"/>
      <c r="L44" s="831">
        <f t="shared" ref="L44:N44" ca="1" si="29">L45+L46</f>
        <v>472819</v>
      </c>
      <c r="M44" s="831">
        <f t="shared" ca="1" si="29"/>
        <v>480617</v>
      </c>
      <c r="N44" s="831">
        <f t="shared" ca="1" si="29"/>
        <v>216079</v>
      </c>
      <c r="O44" s="831">
        <f t="shared" ca="1" si="26"/>
        <v>45.700151643652219</v>
      </c>
      <c r="P44" s="831">
        <f t="shared" ca="1" si="27"/>
        <v>44.958667712544504</v>
      </c>
      <c r="Q44" s="818"/>
      <c r="R44" s="818"/>
      <c r="S44" s="818"/>
      <c r="T44" s="818"/>
      <c r="U44" s="818"/>
      <c r="V44" s="818"/>
      <c r="W44" s="818"/>
      <c r="X44" s="818"/>
      <c r="Y44" s="818"/>
      <c r="Z44" s="818"/>
    </row>
    <row r="45" spans="1:26" ht="18.75" hidden="1">
      <c r="A45" s="832"/>
      <c r="B45" s="833"/>
      <c r="C45" s="833"/>
      <c r="D45" s="833"/>
      <c r="E45" s="834" t="s">
        <v>18</v>
      </c>
      <c r="F45" s="833"/>
      <c r="G45" s="835"/>
      <c r="H45" s="43" t="s">
        <v>12</v>
      </c>
      <c r="I45" s="836"/>
      <c r="J45" s="836"/>
      <c r="K45" s="837"/>
      <c r="L45" s="837">
        <v>0</v>
      </c>
      <c r="M45" s="837">
        <v>0</v>
      </c>
      <c r="N45" s="837">
        <v>0</v>
      </c>
      <c r="O45" s="837">
        <f t="shared" si="26"/>
        <v>0</v>
      </c>
      <c r="P45" s="837">
        <f t="shared" si="27"/>
        <v>0</v>
      </c>
      <c r="Q45" s="825"/>
      <c r="R45" s="825"/>
      <c r="S45" s="825"/>
      <c r="T45" s="825"/>
      <c r="U45" s="825"/>
      <c r="V45" s="825"/>
      <c r="W45" s="825"/>
      <c r="X45" s="825"/>
      <c r="Y45" s="825"/>
      <c r="Z45" s="825"/>
    </row>
    <row r="46" spans="1:26" ht="18.75" hidden="1">
      <c r="A46" s="832"/>
      <c r="B46" s="833"/>
      <c r="C46" s="833"/>
      <c r="D46" s="833"/>
      <c r="E46" s="834" t="s">
        <v>19</v>
      </c>
      <c r="F46" s="833"/>
      <c r="G46" s="835"/>
      <c r="H46" s="43" t="s">
        <v>12</v>
      </c>
      <c r="I46" s="836"/>
      <c r="J46" s="836"/>
      <c r="K46" s="837"/>
      <c r="L46" s="837">
        <f ca="1">IFERROR(__xludf.DUMMYFUNCTION("IMPORTRANGE(""https://docs.google.com/spreadsheets/d/1MeEWN-I1oV_STSDYn1IFDPWt_1FKiwhDph83XaGc0o0/edit?usp=sharing"",""งบพรบ!M14"")"),472819)</f>
        <v>472819</v>
      </c>
      <c r="M46" s="837">
        <f ca="1">IFERROR(__xludf.DUMMYFUNCTION("IMPORTRANGE(""https://docs.google.com/spreadsheets/d/1MeEWN-I1oV_STSDYn1IFDPWt_1FKiwhDph83XaGc0o0/edit?usp=sharing"",""งบพรบ!R14"")"),480617)</f>
        <v>480617</v>
      </c>
      <c r="N46" s="837">
        <f ca="1">IFERROR(__xludf.DUMMYFUNCTION("IMPORTRANGE(""https://docs.google.com/spreadsheets/d/1MeEWN-I1oV_STSDYn1IFDPWt_1FKiwhDph83XaGc0o0/edit?usp=sharing"",""งบพรบ!T14"")"),216079)</f>
        <v>216079</v>
      </c>
      <c r="O46" s="837">
        <f t="shared" ca="1" si="26"/>
        <v>45.700151643652219</v>
      </c>
      <c r="P46" s="837">
        <f t="shared" ca="1" si="27"/>
        <v>44.958667712544504</v>
      </c>
      <c r="Q46" s="825"/>
      <c r="R46" s="825"/>
      <c r="S46" s="825"/>
      <c r="T46" s="825"/>
      <c r="U46" s="825"/>
      <c r="V46" s="825"/>
      <c r="W46" s="825"/>
      <c r="X46" s="825"/>
      <c r="Y46" s="825"/>
      <c r="Z46" s="825"/>
    </row>
    <row r="47" spans="1:26" ht="18.75">
      <c r="A47" s="826"/>
      <c r="B47" s="827"/>
      <c r="C47" s="827"/>
      <c r="D47" s="828" t="s">
        <v>21</v>
      </c>
      <c r="E47" s="827"/>
      <c r="F47" s="827"/>
      <c r="G47" s="829"/>
      <c r="H47" s="590" t="s">
        <v>12</v>
      </c>
      <c r="I47" s="830"/>
      <c r="J47" s="830"/>
      <c r="K47" s="831"/>
      <c r="L47" s="831">
        <f t="shared" ref="L47:N47" ca="1" si="30">L48+L49</f>
        <v>0</v>
      </c>
      <c r="M47" s="831">
        <f t="shared" ca="1" si="30"/>
        <v>0</v>
      </c>
      <c r="N47" s="831">
        <f t="shared" ca="1" si="30"/>
        <v>0</v>
      </c>
      <c r="O47" s="831">
        <f t="shared" ca="1" si="26"/>
        <v>0</v>
      </c>
      <c r="P47" s="831">
        <f t="shared" ca="1" si="27"/>
        <v>0</v>
      </c>
      <c r="Q47" s="818"/>
      <c r="R47" s="818"/>
      <c r="S47" s="818"/>
      <c r="T47" s="818"/>
      <c r="U47" s="818"/>
      <c r="V47" s="818"/>
      <c r="W47" s="818"/>
      <c r="X47" s="818"/>
      <c r="Y47" s="818"/>
      <c r="Z47" s="818"/>
    </row>
    <row r="48" spans="1:26" ht="18.75" hidden="1">
      <c r="A48" s="832"/>
      <c r="B48" s="833"/>
      <c r="C48" s="833"/>
      <c r="D48" s="833"/>
      <c r="E48" s="834" t="s">
        <v>18</v>
      </c>
      <c r="F48" s="833"/>
      <c r="G48" s="835"/>
      <c r="H48" s="43" t="s">
        <v>12</v>
      </c>
      <c r="I48" s="836"/>
      <c r="J48" s="836"/>
      <c r="K48" s="837"/>
      <c r="L48" s="837">
        <v>0</v>
      </c>
      <c r="M48" s="837">
        <v>0</v>
      </c>
      <c r="N48" s="837">
        <v>0</v>
      </c>
      <c r="O48" s="837">
        <f t="shared" si="26"/>
        <v>0</v>
      </c>
      <c r="P48" s="837">
        <f t="shared" si="27"/>
        <v>0</v>
      </c>
      <c r="Q48" s="825"/>
      <c r="R48" s="825"/>
      <c r="S48" s="825"/>
      <c r="T48" s="825"/>
      <c r="U48" s="825"/>
      <c r="V48" s="825"/>
      <c r="W48" s="825"/>
      <c r="X48" s="825"/>
      <c r="Y48" s="825"/>
      <c r="Z48" s="825"/>
    </row>
    <row r="49" spans="1:26" ht="18.75" hidden="1">
      <c r="A49" s="838"/>
      <c r="B49" s="839"/>
      <c r="C49" s="839"/>
      <c r="D49" s="839"/>
      <c r="E49" s="840" t="s">
        <v>19</v>
      </c>
      <c r="F49" s="839"/>
      <c r="G49" s="841"/>
      <c r="H49" s="50" t="s">
        <v>12</v>
      </c>
      <c r="I49" s="842"/>
      <c r="J49" s="842"/>
      <c r="K49" s="843"/>
      <c r="L49" s="843">
        <f ca="1">IFERROR(__xludf.DUMMYFUNCTION("IMPORTRANGE(""https://docs.google.com/spreadsheets/d/1MeEWN-I1oV_STSDYn1IFDPWt_1FKiwhDph83XaGc0o0/edit?usp=sharing"",""งบพรบ!P14"")"),0)</f>
        <v>0</v>
      </c>
      <c r="M49" s="843">
        <f ca="1">IFERROR(__xludf.DUMMYFUNCTION("IMPORTRANGE(""https://docs.google.com/spreadsheets/d/1MeEWN-I1oV_STSDYn1IFDPWt_1FKiwhDph83XaGc0o0/edit?usp=sharing"",""งบพรบ!S14"")"),0)</f>
        <v>0</v>
      </c>
      <c r="N49" s="843">
        <f ca="1">IFERROR(__xludf.DUMMYFUNCTION("IMPORTRANGE(""https://docs.google.com/spreadsheets/d/1MeEWN-I1oV_STSDYn1IFDPWt_1FKiwhDph83XaGc0o0/edit?usp=sharing"",""งบพรบ!U14"")"),0)</f>
        <v>0</v>
      </c>
      <c r="O49" s="843">
        <f t="shared" ca="1" si="26"/>
        <v>0</v>
      </c>
      <c r="P49" s="843">
        <f t="shared" ca="1" si="27"/>
        <v>0</v>
      </c>
      <c r="Q49" s="825"/>
      <c r="R49" s="825"/>
      <c r="S49" s="825"/>
      <c r="T49" s="825"/>
      <c r="U49" s="825"/>
      <c r="V49" s="825"/>
      <c r="W49" s="825"/>
      <c r="X49" s="825"/>
      <c r="Y49" s="825"/>
      <c r="Z49" s="825"/>
    </row>
    <row r="50" spans="1:26" ht="19.5">
      <c r="A50" s="1514" t="s">
        <v>28</v>
      </c>
      <c r="B50" s="1494"/>
      <c r="C50" s="1494"/>
      <c r="D50" s="1494"/>
      <c r="E50" s="1494"/>
      <c r="F50" s="1494"/>
      <c r="G50" s="1495"/>
      <c r="H50" s="882"/>
      <c r="I50" s="883"/>
      <c r="J50" s="883"/>
      <c r="K50" s="884"/>
      <c r="L50" s="884"/>
      <c r="M50" s="884"/>
      <c r="N50" s="884"/>
      <c r="O50" s="884"/>
      <c r="P50" s="884"/>
    </row>
    <row r="51" spans="1:26" ht="19.5">
      <c r="A51" s="885"/>
      <c r="B51" s="1515" t="s">
        <v>29</v>
      </c>
      <c r="C51" s="1485"/>
      <c r="D51" s="1485"/>
      <c r="E51" s="1485"/>
      <c r="F51" s="1485"/>
      <c r="G51" s="1491"/>
      <c r="H51" s="886"/>
      <c r="I51" s="887"/>
      <c r="J51" s="887"/>
      <c r="K51" s="888"/>
      <c r="L51" s="888"/>
      <c r="M51" s="888"/>
      <c r="N51" s="888"/>
      <c r="O51" s="888"/>
      <c r="P51" s="888"/>
    </row>
    <row r="52" spans="1:26" ht="19.5">
      <c r="A52" s="889"/>
      <c r="B52" s="890" t="s">
        <v>30</v>
      </c>
      <c r="C52" s="891"/>
      <c r="D52" s="891"/>
      <c r="E52" s="891"/>
      <c r="F52" s="891"/>
      <c r="G52" s="892"/>
      <c r="H52" s="893"/>
      <c r="I52" s="894"/>
      <c r="J52" s="894"/>
      <c r="K52" s="895"/>
      <c r="L52" s="895"/>
      <c r="M52" s="895"/>
      <c r="N52" s="895"/>
      <c r="O52" s="895"/>
      <c r="P52" s="895"/>
    </row>
    <row r="53" spans="1:26" ht="19.5">
      <c r="A53" s="896"/>
      <c r="B53" s="897"/>
      <c r="C53" s="898" t="s">
        <v>16</v>
      </c>
      <c r="D53" s="899" t="s">
        <v>17</v>
      </c>
      <c r="E53" s="897"/>
      <c r="F53" s="897"/>
      <c r="G53" s="900"/>
      <c r="H53" s="113" t="s">
        <v>12</v>
      </c>
      <c r="I53" s="901"/>
      <c r="J53" s="901"/>
      <c r="K53" s="902"/>
      <c r="L53" s="903">
        <f t="shared" ref="L53:N53" ca="1" si="31">L54+L55</f>
        <v>842200</v>
      </c>
      <c r="M53" s="903">
        <f t="shared" ca="1" si="31"/>
        <v>631650</v>
      </c>
      <c r="N53" s="903">
        <f t="shared" ca="1" si="31"/>
        <v>364241.06</v>
      </c>
      <c r="O53" s="903">
        <f t="shared" ref="O53:O61" ca="1" si="32">IF(L53&gt;0,N53*100/L53,0)</f>
        <v>43.248760389456187</v>
      </c>
      <c r="P53" s="903">
        <f t="shared" ref="P53:P61" ca="1" si="33">IF(M53&gt;0,N53*100/M53,0)</f>
        <v>57.665013852608247</v>
      </c>
      <c r="Q53" s="818"/>
      <c r="R53" s="818"/>
      <c r="S53" s="818"/>
      <c r="T53" s="818"/>
      <c r="U53" s="818"/>
      <c r="V53" s="818"/>
      <c r="W53" s="818"/>
      <c r="X53" s="818"/>
      <c r="Y53" s="818"/>
      <c r="Z53" s="818"/>
    </row>
    <row r="54" spans="1:26" ht="18.75" hidden="1">
      <c r="A54" s="904"/>
      <c r="B54" s="905"/>
      <c r="C54" s="905"/>
      <c r="D54" s="905"/>
      <c r="E54" s="906" t="s">
        <v>18</v>
      </c>
      <c r="F54" s="905"/>
      <c r="G54" s="907"/>
      <c r="H54" s="121" t="s">
        <v>12</v>
      </c>
      <c r="I54" s="908"/>
      <c r="J54" s="908"/>
      <c r="K54" s="909"/>
      <c r="L54" s="909">
        <f t="shared" ref="L54:N55" si="34">L57+L60</f>
        <v>0</v>
      </c>
      <c r="M54" s="909">
        <f t="shared" si="34"/>
        <v>0</v>
      </c>
      <c r="N54" s="909">
        <f t="shared" si="34"/>
        <v>0</v>
      </c>
      <c r="O54" s="909">
        <f t="shared" si="32"/>
        <v>0</v>
      </c>
      <c r="P54" s="909">
        <f t="shared" si="33"/>
        <v>0</v>
      </c>
      <c r="Q54" s="825"/>
      <c r="R54" s="825"/>
      <c r="S54" s="825"/>
      <c r="T54" s="825"/>
      <c r="U54" s="825"/>
      <c r="V54" s="825"/>
      <c r="W54" s="825"/>
      <c r="X54" s="825"/>
      <c r="Y54" s="825"/>
      <c r="Z54" s="825"/>
    </row>
    <row r="55" spans="1:26" ht="18.75" hidden="1">
      <c r="A55" s="904"/>
      <c r="B55" s="905"/>
      <c r="C55" s="905"/>
      <c r="D55" s="905"/>
      <c r="E55" s="906" t="s">
        <v>19</v>
      </c>
      <c r="F55" s="905"/>
      <c r="G55" s="907"/>
      <c r="H55" s="121" t="s">
        <v>12</v>
      </c>
      <c r="I55" s="908"/>
      <c r="J55" s="908"/>
      <c r="K55" s="909"/>
      <c r="L55" s="909">
        <f t="shared" ca="1" si="34"/>
        <v>842200</v>
      </c>
      <c r="M55" s="909">
        <f t="shared" ca="1" si="34"/>
        <v>631650</v>
      </c>
      <c r="N55" s="909">
        <f t="shared" ca="1" si="34"/>
        <v>364241.06</v>
      </c>
      <c r="O55" s="909">
        <f t="shared" ca="1" si="32"/>
        <v>43.248760389456187</v>
      </c>
      <c r="P55" s="909">
        <f t="shared" ca="1" si="33"/>
        <v>57.665013852608247</v>
      </c>
      <c r="Q55" s="825"/>
      <c r="R55" s="825"/>
      <c r="S55" s="825"/>
      <c r="T55" s="825"/>
      <c r="U55" s="825"/>
      <c r="V55" s="825"/>
      <c r="W55" s="825"/>
      <c r="X55" s="825"/>
      <c r="Y55" s="825"/>
      <c r="Z55" s="825"/>
    </row>
    <row r="56" spans="1:26" ht="18.75">
      <c r="A56" s="826"/>
      <c r="B56" s="827"/>
      <c r="C56" s="827"/>
      <c r="D56" s="828" t="s">
        <v>20</v>
      </c>
      <c r="E56" s="827"/>
      <c r="F56" s="827"/>
      <c r="G56" s="829"/>
      <c r="H56" s="590" t="s">
        <v>12</v>
      </c>
      <c r="I56" s="830"/>
      <c r="J56" s="830"/>
      <c r="K56" s="831"/>
      <c r="L56" s="831">
        <f t="shared" ref="L56:N56" ca="1" si="35">L57+L58</f>
        <v>842200</v>
      </c>
      <c r="M56" s="831">
        <f t="shared" ca="1" si="35"/>
        <v>631650</v>
      </c>
      <c r="N56" s="831">
        <f t="shared" ca="1" si="35"/>
        <v>364241.06</v>
      </c>
      <c r="O56" s="831">
        <f t="shared" ca="1" si="32"/>
        <v>43.248760389456187</v>
      </c>
      <c r="P56" s="831">
        <f t="shared" ca="1" si="33"/>
        <v>57.665013852608247</v>
      </c>
      <c r="Q56" s="818"/>
      <c r="R56" s="818"/>
      <c r="S56" s="818"/>
      <c r="T56" s="818"/>
      <c r="U56" s="818"/>
      <c r="V56" s="818"/>
      <c r="W56" s="818"/>
      <c r="X56" s="818"/>
      <c r="Y56" s="818"/>
      <c r="Z56" s="818"/>
    </row>
    <row r="57" spans="1:26" ht="18.75" hidden="1">
      <c r="A57" s="832"/>
      <c r="B57" s="833"/>
      <c r="C57" s="833"/>
      <c r="D57" s="833"/>
      <c r="E57" s="834" t="s">
        <v>18</v>
      </c>
      <c r="F57" s="833"/>
      <c r="G57" s="835"/>
      <c r="H57" s="43" t="s">
        <v>12</v>
      </c>
      <c r="I57" s="836"/>
      <c r="J57" s="836"/>
      <c r="K57" s="837"/>
      <c r="L57" s="837">
        <v>0</v>
      </c>
      <c r="M57" s="837">
        <v>0</v>
      </c>
      <c r="N57" s="837">
        <v>0</v>
      </c>
      <c r="O57" s="837">
        <f t="shared" si="32"/>
        <v>0</v>
      </c>
      <c r="P57" s="837">
        <f t="shared" si="33"/>
        <v>0</v>
      </c>
      <c r="Q57" s="825"/>
      <c r="R57" s="825"/>
      <c r="S57" s="825"/>
      <c r="T57" s="825"/>
      <c r="U57" s="825"/>
      <c r="V57" s="825"/>
      <c r="W57" s="825"/>
      <c r="X57" s="825"/>
      <c r="Y57" s="825"/>
      <c r="Z57" s="825"/>
    </row>
    <row r="58" spans="1:26" ht="18.75" hidden="1">
      <c r="A58" s="832"/>
      <c r="B58" s="833"/>
      <c r="C58" s="833"/>
      <c r="D58" s="833"/>
      <c r="E58" s="834" t="s">
        <v>19</v>
      </c>
      <c r="F58" s="833"/>
      <c r="G58" s="835"/>
      <c r="H58" s="43" t="s">
        <v>12</v>
      </c>
      <c r="I58" s="836"/>
      <c r="J58" s="836"/>
      <c r="K58" s="837"/>
      <c r="L58" s="837">
        <f ca="1">IFERROR(__xludf.DUMMYFUNCTION("IMPORTRANGE(""https://docs.google.com/spreadsheets/d/1MeEWN-I1oV_STSDYn1IFDPWt_1FKiwhDph83XaGc0o0/edit?usp=sharing"",""งบพรบ!W14"")"),842200)</f>
        <v>842200</v>
      </c>
      <c r="M58" s="837">
        <f ca="1">IFERROR(__xludf.DUMMYFUNCTION("IMPORTRANGE(""https://docs.google.com/spreadsheets/d/1MeEWN-I1oV_STSDYn1IFDPWt_1FKiwhDph83XaGc0o0/edit?usp=sharing"",""งบพรบ!AB14"")"),631650)</f>
        <v>631650</v>
      </c>
      <c r="N58" s="837">
        <f ca="1">IFERROR(__xludf.DUMMYFUNCTION("IMPORTRANGE(""https://docs.google.com/spreadsheets/d/1MeEWN-I1oV_STSDYn1IFDPWt_1FKiwhDph83XaGc0o0/edit?usp=sharing"",""งบพรบ!AD14"")"),364241.06)</f>
        <v>364241.06</v>
      </c>
      <c r="O58" s="837">
        <f t="shared" ca="1" si="32"/>
        <v>43.248760389456187</v>
      </c>
      <c r="P58" s="837">
        <f t="shared" ca="1" si="33"/>
        <v>57.665013852608247</v>
      </c>
      <c r="Q58" s="825"/>
      <c r="R58" s="825"/>
      <c r="S58" s="825"/>
      <c r="T58" s="825"/>
      <c r="U58" s="825"/>
      <c r="V58" s="825"/>
      <c r="W58" s="825"/>
      <c r="X58" s="825"/>
      <c r="Y58" s="825"/>
      <c r="Z58" s="825"/>
    </row>
    <row r="59" spans="1:26" ht="18.75">
      <c r="A59" s="826"/>
      <c r="B59" s="827"/>
      <c r="C59" s="827"/>
      <c r="D59" s="828" t="s">
        <v>21</v>
      </c>
      <c r="E59" s="827"/>
      <c r="F59" s="827"/>
      <c r="G59" s="829"/>
      <c r="H59" s="590" t="s">
        <v>12</v>
      </c>
      <c r="I59" s="830"/>
      <c r="J59" s="830"/>
      <c r="K59" s="831"/>
      <c r="L59" s="831">
        <f t="shared" ref="L59:N59" ca="1" si="36">L60+L61</f>
        <v>0</v>
      </c>
      <c r="M59" s="831">
        <f t="shared" ca="1" si="36"/>
        <v>0</v>
      </c>
      <c r="N59" s="831">
        <f t="shared" ca="1" si="36"/>
        <v>0</v>
      </c>
      <c r="O59" s="831">
        <f t="shared" ca="1" si="32"/>
        <v>0</v>
      </c>
      <c r="P59" s="831">
        <f t="shared" ca="1" si="33"/>
        <v>0</v>
      </c>
      <c r="Q59" s="818"/>
      <c r="R59" s="818"/>
      <c r="S59" s="818"/>
      <c r="T59" s="818"/>
      <c r="U59" s="818"/>
      <c r="V59" s="818"/>
      <c r="W59" s="818"/>
      <c r="X59" s="818"/>
      <c r="Y59" s="818"/>
      <c r="Z59" s="818"/>
    </row>
    <row r="60" spans="1:26" ht="18.75" hidden="1">
      <c r="A60" s="832"/>
      <c r="B60" s="833"/>
      <c r="C60" s="833"/>
      <c r="D60" s="833"/>
      <c r="E60" s="834" t="s">
        <v>18</v>
      </c>
      <c r="F60" s="833"/>
      <c r="G60" s="835"/>
      <c r="H60" s="43" t="s">
        <v>12</v>
      </c>
      <c r="I60" s="836"/>
      <c r="J60" s="836"/>
      <c r="K60" s="837"/>
      <c r="L60" s="837">
        <v>0</v>
      </c>
      <c r="M60" s="837">
        <v>0</v>
      </c>
      <c r="N60" s="837">
        <v>0</v>
      </c>
      <c r="O60" s="837">
        <f t="shared" si="32"/>
        <v>0</v>
      </c>
      <c r="P60" s="837">
        <f t="shared" si="33"/>
        <v>0</v>
      </c>
      <c r="Q60" s="825"/>
      <c r="R60" s="825"/>
      <c r="S60" s="825"/>
      <c r="T60" s="825"/>
      <c r="U60" s="825"/>
      <c r="V60" s="825"/>
      <c r="W60" s="825"/>
      <c r="X60" s="825"/>
      <c r="Y60" s="825"/>
      <c r="Z60" s="825"/>
    </row>
    <row r="61" spans="1:26" ht="18.75" hidden="1">
      <c r="A61" s="838"/>
      <c r="B61" s="839"/>
      <c r="C61" s="839"/>
      <c r="D61" s="839"/>
      <c r="E61" s="840" t="s">
        <v>19</v>
      </c>
      <c r="F61" s="839"/>
      <c r="G61" s="841"/>
      <c r="H61" s="50" t="s">
        <v>12</v>
      </c>
      <c r="I61" s="842"/>
      <c r="J61" s="842"/>
      <c r="K61" s="843"/>
      <c r="L61" s="843">
        <f ca="1">IFERROR(__xludf.DUMMYFUNCTION("IMPORTRANGE(""https://docs.google.com/spreadsheets/d/1MeEWN-I1oV_STSDYn1IFDPWt_1FKiwhDph83XaGc0o0/edit?usp=sharing"",""งบพรบ!Z14"")"),0)</f>
        <v>0</v>
      </c>
      <c r="M61" s="843">
        <f ca="1">IFERROR(__xludf.DUMMYFUNCTION("IMPORTRANGE(""https://docs.google.com/spreadsheets/d/1MeEWN-I1oV_STSDYn1IFDPWt_1FKiwhDph83XaGc0o0/edit?usp=sharing"",""งบพรบ!AC14"")"),0)</f>
        <v>0</v>
      </c>
      <c r="N61" s="843">
        <f ca="1">IFERROR(__xludf.DUMMYFUNCTION("IMPORTRANGE(""https://docs.google.com/spreadsheets/d/1MeEWN-I1oV_STSDYn1IFDPWt_1FKiwhDph83XaGc0o0/edit?usp=sharing"",""งบพรบ!AE14"")"),0)</f>
        <v>0</v>
      </c>
      <c r="O61" s="843">
        <f t="shared" ca="1" si="32"/>
        <v>0</v>
      </c>
      <c r="P61" s="843">
        <f t="shared" ca="1" si="33"/>
        <v>0</v>
      </c>
      <c r="Q61" s="825"/>
      <c r="R61" s="825"/>
      <c r="S61" s="825"/>
      <c r="T61" s="825"/>
      <c r="U61" s="825"/>
      <c r="V61" s="825"/>
      <c r="W61" s="825"/>
      <c r="X61" s="825"/>
      <c r="Y61" s="825"/>
      <c r="Z61" s="825"/>
    </row>
    <row r="62" spans="1:26" ht="19.5">
      <c r="A62" s="910" t="s">
        <v>31</v>
      </c>
      <c r="B62" s="911"/>
      <c r="C62" s="911"/>
      <c r="D62" s="911"/>
      <c r="E62" s="912"/>
      <c r="F62" s="912"/>
      <c r="G62" s="913"/>
      <c r="H62" s="914"/>
      <c r="I62" s="915"/>
      <c r="J62" s="915"/>
      <c r="K62" s="916"/>
      <c r="L62" s="916"/>
      <c r="M62" s="916"/>
      <c r="N62" s="916"/>
      <c r="O62" s="916"/>
      <c r="P62" s="916"/>
    </row>
    <row r="63" spans="1:26" ht="19.5" hidden="1">
      <c r="A63" s="917" t="s">
        <v>32</v>
      </c>
      <c r="B63" s="918"/>
      <c r="C63" s="919"/>
      <c r="D63" s="918"/>
      <c r="E63" s="918"/>
      <c r="F63" s="918"/>
      <c r="G63" s="920"/>
      <c r="H63" s="921"/>
      <c r="I63" s="922"/>
      <c r="J63" s="922"/>
      <c r="K63" s="923"/>
      <c r="L63" s="923"/>
      <c r="M63" s="923"/>
      <c r="N63" s="923"/>
      <c r="O63" s="923"/>
      <c r="P63" s="923"/>
    </row>
    <row r="64" spans="1:26" ht="19.5" hidden="1">
      <c r="A64" s="924"/>
      <c r="B64" s="925" t="s">
        <v>33</v>
      </c>
      <c r="C64" s="926"/>
      <c r="D64" s="927"/>
      <c r="E64" s="926"/>
      <c r="F64" s="926"/>
      <c r="G64" s="928"/>
      <c r="H64" s="205" t="s">
        <v>34</v>
      </c>
      <c r="I64" s="929">
        <f t="shared" ref="I64:J65" ca="1" si="37">I76</f>
        <v>0</v>
      </c>
      <c r="J64" s="929">
        <f t="shared" si="37"/>
        <v>0</v>
      </c>
      <c r="K64" s="930">
        <f t="shared" ref="K64:K65" ca="1" si="38">IF(I64&gt;0,J64*100/I64,0)</f>
        <v>0</v>
      </c>
      <c r="L64" s="931"/>
      <c r="M64" s="931"/>
      <c r="N64" s="931"/>
      <c r="O64" s="931"/>
      <c r="P64" s="931"/>
    </row>
    <row r="65" spans="1:26" ht="19.5" hidden="1">
      <c r="A65" s="924"/>
      <c r="B65" s="926"/>
      <c r="C65" s="926"/>
      <c r="D65" s="927"/>
      <c r="E65" s="926"/>
      <c r="F65" s="926"/>
      <c r="G65" s="928"/>
      <c r="H65" s="205" t="s">
        <v>35</v>
      </c>
      <c r="I65" s="929">
        <f t="shared" ca="1" si="37"/>
        <v>0</v>
      </c>
      <c r="J65" s="929">
        <f t="shared" si="37"/>
        <v>0</v>
      </c>
      <c r="K65" s="930">
        <f t="shared" ca="1" si="38"/>
        <v>0</v>
      </c>
      <c r="L65" s="931"/>
      <c r="M65" s="931"/>
      <c r="N65" s="931"/>
      <c r="O65" s="931"/>
      <c r="P65" s="931"/>
    </row>
    <row r="66" spans="1:26" ht="19.5" hidden="1">
      <c r="A66" s="932"/>
      <c r="B66" s="933"/>
      <c r="C66" s="934" t="s">
        <v>16</v>
      </c>
      <c r="D66" s="935" t="s">
        <v>17</v>
      </c>
      <c r="E66" s="933"/>
      <c r="F66" s="933"/>
      <c r="G66" s="936"/>
      <c r="H66" s="152" t="s">
        <v>12</v>
      </c>
      <c r="I66" s="937"/>
      <c r="J66" s="937"/>
      <c r="K66" s="938"/>
      <c r="L66" s="939">
        <f t="shared" ref="L66:N66" ca="1" si="39">L67+L68</f>
        <v>0</v>
      </c>
      <c r="M66" s="939">
        <f t="shared" ca="1" si="39"/>
        <v>0</v>
      </c>
      <c r="N66" s="939">
        <f t="shared" ca="1" si="39"/>
        <v>0</v>
      </c>
      <c r="O66" s="939">
        <f t="shared" ref="O66:O74" ca="1" si="40">IF(L66&gt;0,N66*100/L66,0)</f>
        <v>0</v>
      </c>
      <c r="P66" s="939">
        <f t="shared" ref="P66:P74" ca="1" si="41">IF(M66&gt;0,N66*100/M66,0)</f>
        <v>0</v>
      </c>
      <c r="Q66" s="818"/>
      <c r="R66" s="818"/>
      <c r="S66" s="818"/>
      <c r="T66" s="818"/>
      <c r="U66" s="818"/>
      <c r="V66" s="818"/>
      <c r="W66" s="818"/>
      <c r="X66" s="818"/>
      <c r="Y66" s="818"/>
      <c r="Z66" s="818"/>
    </row>
    <row r="67" spans="1:26" ht="18.75" hidden="1">
      <c r="A67" s="940"/>
      <c r="B67" s="833"/>
      <c r="C67" s="833"/>
      <c r="D67" s="833"/>
      <c r="E67" s="834" t="s">
        <v>18</v>
      </c>
      <c r="F67" s="833"/>
      <c r="G67" s="941"/>
      <c r="H67" s="158" t="s">
        <v>12</v>
      </c>
      <c r="I67" s="836"/>
      <c r="J67" s="836"/>
      <c r="K67" s="837"/>
      <c r="L67" s="837">
        <f t="shared" ref="L67:N68" si="42">L70+L73</f>
        <v>0</v>
      </c>
      <c r="M67" s="837">
        <f t="shared" si="42"/>
        <v>0</v>
      </c>
      <c r="N67" s="837">
        <f t="shared" si="42"/>
        <v>0</v>
      </c>
      <c r="O67" s="837">
        <f t="shared" si="40"/>
        <v>0</v>
      </c>
      <c r="P67" s="837">
        <f t="shared" si="41"/>
        <v>0</v>
      </c>
      <c r="Q67" s="825"/>
      <c r="R67" s="825"/>
      <c r="S67" s="825"/>
      <c r="T67" s="825"/>
      <c r="U67" s="825"/>
      <c r="V67" s="825"/>
      <c r="W67" s="825"/>
      <c r="X67" s="825"/>
      <c r="Y67" s="825"/>
      <c r="Z67" s="825"/>
    </row>
    <row r="68" spans="1:26" ht="18.75" hidden="1">
      <c r="A68" s="940"/>
      <c r="B68" s="833"/>
      <c r="C68" s="833"/>
      <c r="D68" s="833"/>
      <c r="E68" s="834" t="s">
        <v>19</v>
      </c>
      <c r="F68" s="833"/>
      <c r="G68" s="941"/>
      <c r="H68" s="158" t="s">
        <v>12</v>
      </c>
      <c r="I68" s="836"/>
      <c r="J68" s="836"/>
      <c r="K68" s="837"/>
      <c r="L68" s="837">
        <f t="shared" ca="1" si="42"/>
        <v>0</v>
      </c>
      <c r="M68" s="837">
        <f t="shared" ca="1" si="42"/>
        <v>0</v>
      </c>
      <c r="N68" s="837">
        <f t="shared" ca="1" si="42"/>
        <v>0</v>
      </c>
      <c r="O68" s="837">
        <f t="shared" ca="1" si="40"/>
        <v>0</v>
      </c>
      <c r="P68" s="837">
        <f t="shared" ca="1" si="41"/>
        <v>0</v>
      </c>
      <c r="Q68" s="825"/>
      <c r="R68" s="825"/>
      <c r="S68" s="825"/>
      <c r="T68" s="825"/>
      <c r="U68" s="825"/>
      <c r="V68" s="825"/>
      <c r="W68" s="825"/>
      <c r="X68" s="825"/>
      <c r="Y68" s="825"/>
      <c r="Z68" s="825"/>
    </row>
    <row r="69" spans="1:26" ht="18.75" hidden="1">
      <c r="A69" s="942"/>
      <c r="B69" s="827"/>
      <c r="C69" s="943"/>
      <c r="D69" s="828" t="s">
        <v>20</v>
      </c>
      <c r="E69" s="827"/>
      <c r="F69" s="827"/>
      <c r="G69" s="829"/>
      <c r="H69" s="778" t="s">
        <v>12</v>
      </c>
      <c r="I69" s="944"/>
      <c r="J69" s="944"/>
      <c r="K69" s="945"/>
      <c r="L69" s="831">
        <f t="shared" ref="L69:N69" ca="1" si="43">L70+L71</f>
        <v>0</v>
      </c>
      <c r="M69" s="831">
        <f t="shared" ca="1" si="43"/>
        <v>0</v>
      </c>
      <c r="N69" s="831">
        <f t="shared" ca="1" si="43"/>
        <v>0</v>
      </c>
      <c r="O69" s="831">
        <f t="shared" ca="1" si="40"/>
        <v>0</v>
      </c>
      <c r="P69" s="831">
        <f t="shared" ca="1" si="41"/>
        <v>0</v>
      </c>
      <c r="Q69" s="818"/>
      <c r="R69" s="818"/>
      <c r="S69" s="818"/>
      <c r="T69" s="818"/>
      <c r="U69" s="818"/>
      <c r="V69" s="818"/>
      <c r="W69" s="818"/>
      <c r="X69" s="818"/>
      <c r="Y69" s="818"/>
      <c r="Z69" s="818"/>
    </row>
    <row r="70" spans="1:26" ht="19.5" hidden="1">
      <c r="A70" s="940"/>
      <c r="B70" s="833"/>
      <c r="C70" s="946"/>
      <c r="D70" s="833"/>
      <c r="E70" s="834" t="s">
        <v>36</v>
      </c>
      <c r="F70" s="833"/>
      <c r="G70" s="941"/>
      <c r="H70" s="165" t="s">
        <v>12</v>
      </c>
      <c r="I70" s="947"/>
      <c r="J70" s="947"/>
      <c r="K70" s="948"/>
      <c r="L70" s="837">
        <v>0</v>
      </c>
      <c r="M70" s="837">
        <v>0</v>
      </c>
      <c r="N70" s="837">
        <v>0</v>
      </c>
      <c r="O70" s="837">
        <f t="shared" si="40"/>
        <v>0</v>
      </c>
      <c r="P70" s="837">
        <f t="shared" si="41"/>
        <v>0</v>
      </c>
      <c r="Q70" s="825"/>
      <c r="R70" s="825"/>
      <c r="S70" s="825"/>
      <c r="T70" s="825"/>
      <c r="U70" s="825"/>
      <c r="V70" s="825"/>
      <c r="W70" s="825"/>
      <c r="X70" s="825"/>
      <c r="Y70" s="825"/>
      <c r="Z70" s="825"/>
    </row>
    <row r="71" spans="1:26" ht="19.5" hidden="1">
      <c r="A71" s="940"/>
      <c r="B71" s="833"/>
      <c r="C71" s="946"/>
      <c r="D71" s="833"/>
      <c r="E71" s="834" t="s">
        <v>37</v>
      </c>
      <c r="F71" s="833"/>
      <c r="G71" s="941"/>
      <c r="H71" s="165" t="s">
        <v>12</v>
      </c>
      <c r="I71" s="947"/>
      <c r="J71" s="947"/>
      <c r="K71" s="948"/>
      <c r="L71" s="837">
        <f ca="1">IFERROR(__xludf.DUMMYFUNCTION("IMPORTRANGE(""https://docs.google.com/spreadsheets/d/1MeEWN-I1oV_STSDYn1IFDPWt_1FKiwhDph83XaGc0o0/edit?usp=sharing"",""งบพรบ!AG14"")"),0)</f>
        <v>0</v>
      </c>
      <c r="M71" s="837">
        <f ca="1">IFERROR(__xludf.DUMMYFUNCTION("IMPORTRANGE(""https://docs.google.com/spreadsheets/d/1MeEWN-I1oV_STSDYn1IFDPWt_1FKiwhDph83XaGc0o0/edit?usp=sharing"",""งบพรบ!AL14"")"),0)</f>
        <v>0</v>
      </c>
      <c r="N71" s="837">
        <f ca="1">IFERROR(__xludf.DUMMYFUNCTION("IMPORTRANGE(""https://docs.google.com/spreadsheets/d/1MeEWN-I1oV_STSDYn1IFDPWt_1FKiwhDph83XaGc0o0/edit?usp=sharing"",""งบพรบ!AN14"")"),0)</f>
        <v>0</v>
      </c>
      <c r="O71" s="837">
        <f t="shared" ca="1" si="40"/>
        <v>0</v>
      </c>
      <c r="P71" s="837">
        <f t="shared" ca="1" si="41"/>
        <v>0</v>
      </c>
      <c r="Q71" s="825"/>
      <c r="R71" s="825"/>
      <c r="S71" s="825"/>
      <c r="T71" s="825"/>
      <c r="U71" s="825"/>
      <c r="V71" s="825"/>
      <c r="W71" s="825"/>
      <c r="X71" s="825"/>
      <c r="Y71" s="825"/>
      <c r="Z71" s="825"/>
    </row>
    <row r="72" spans="1:26" ht="18.75" hidden="1">
      <c r="A72" s="942"/>
      <c r="B72" s="827"/>
      <c r="C72" s="943"/>
      <c r="D72" s="828" t="s">
        <v>21</v>
      </c>
      <c r="E72" s="827"/>
      <c r="F72" s="827"/>
      <c r="G72" s="829"/>
      <c r="H72" s="168" t="s">
        <v>12</v>
      </c>
      <c r="I72" s="944"/>
      <c r="J72" s="944"/>
      <c r="K72" s="945"/>
      <c r="L72" s="831">
        <f t="shared" ref="L72:N72" ca="1" si="44">L73+L74</f>
        <v>0</v>
      </c>
      <c r="M72" s="831">
        <f t="shared" ca="1" si="44"/>
        <v>0</v>
      </c>
      <c r="N72" s="831">
        <f t="shared" ca="1" si="44"/>
        <v>0</v>
      </c>
      <c r="O72" s="831">
        <f t="shared" ca="1" si="40"/>
        <v>0</v>
      </c>
      <c r="P72" s="831">
        <f t="shared" ca="1" si="41"/>
        <v>0</v>
      </c>
      <c r="Q72" s="818"/>
      <c r="R72" s="818"/>
      <c r="S72" s="818"/>
      <c r="T72" s="818"/>
      <c r="U72" s="818"/>
      <c r="V72" s="818"/>
      <c r="W72" s="818"/>
      <c r="X72" s="818"/>
      <c r="Y72" s="818"/>
      <c r="Z72" s="818"/>
    </row>
    <row r="73" spans="1:26" ht="19.5" hidden="1">
      <c r="A73" s="940"/>
      <c r="B73" s="833"/>
      <c r="C73" s="946"/>
      <c r="D73" s="833"/>
      <c r="E73" s="834" t="s">
        <v>18</v>
      </c>
      <c r="F73" s="833"/>
      <c r="G73" s="941"/>
      <c r="H73" s="165" t="s">
        <v>12</v>
      </c>
      <c r="I73" s="947"/>
      <c r="J73" s="947"/>
      <c r="K73" s="948"/>
      <c r="L73" s="837">
        <v>0</v>
      </c>
      <c r="M73" s="837"/>
      <c r="N73" s="837"/>
      <c r="O73" s="837">
        <f t="shared" si="40"/>
        <v>0</v>
      </c>
      <c r="P73" s="837">
        <f t="shared" si="41"/>
        <v>0</v>
      </c>
      <c r="Q73" s="825"/>
      <c r="R73" s="825"/>
      <c r="S73" s="825"/>
      <c r="T73" s="825"/>
      <c r="U73" s="825"/>
      <c r="V73" s="825"/>
      <c r="W73" s="825"/>
      <c r="X73" s="825"/>
      <c r="Y73" s="825"/>
      <c r="Z73" s="825"/>
    </row>
    <row r="74" spans="1:26" ht="19.5" hidden="1">
      <c r="A74" s="940"/>
      <c r="B74" s="833"/>
      <c r="C74" s="946"/>
      <c r="D74" s="833"/>
      <c r="E74" s="834" t="s">
        <v>19</v>
      </c>
      <c r="F74" s="833"/>
      <c r="G74" s="941"/>
      <c r="H74" s="169" t="s">
        <v>12</v>
      </c>
      <c r="I74" s="947"/>
      <c r="J74" s="947"/>
      <c r="K74" s="948"/>
      <c r="L74" s="837">
        <f ca="1">IFERROR(__xludf.DUMMYFUNCTION("IMPORTRANGE(""https://docs.google.com/spreadsheets/d/1MeEWN-I1oV_STSDYn1IFDPWt_1FKiwhDph83XaGc0o0/edit?usp=sharing"",""งบพรบ!AJ14"")"),0)</f>
        <v>0</v>
      </c>
      <c r="M74" s="837">
        <f ca="1">IFERROR(__xludf.DUMMYFUNCTION("IMPORTRANGE(""https://docs.google.com/spreadsheets/d/1MeEWN-I1oV_STSDYn1IFDPWt_1FKiwhDph83XaGc0o0/edit?usp=sharing"",""งบพรบ!AM14"")"),0)</f>
        <v>0</v>
      </c>
      <c r="N74" s="837">
        <f ca="1">IFERROR(__xludf.DUMMYFUNCTION("IMPORTRANGE(""https://docs.google.com/spreadsheets/d/1MeEWN-I1oV_STSDYn1IFDPWt_1FKiwhDph83XaGc0o0/edit?usp=sharing"",""งบพรบ!AO14"")"),0)</f>
        <v>0</v>
      </c>
      <c r="O74" s="837">
        <f t="shared" ca="1" si="40"/>
        <v>0</v>
      </c>
      <c r="P74" s="837">
        <f t="shared" ca="1" si="41"/>
        <v>0</v>
      </c>
      <c r="Q74" s="825"/>
      <c r="R74" s="825"/>
      <c r="S74" s="825"/>
      <c r="T74" s="825"/>
      <c r="U74" s="825"/>
      <c r="V74" s="825"/>
      <c r="W74" s="825"/>
      <c r="X74" s="825"/>
      <c r="Y74" s="825"/>
      <c r="Z74" s="825"/>
    </row>
    <row r="75" spans="1:26" ht="19.5" hidden="1">
      <c r="A75" s="949"/>
      <c r="B75" s="950"/>
      <c r="C75" s="946" t="s">
        <v>16</v>
      </c>
      <c r="D75" s="951" t="s">
        <v>38</v>
      </c>
      <c r="E75" s="952"/>
      <c r="F75" s="952"/>
      <c r="G75" s="953"/>
      <c r="H75" s="954"/>
      <c r="I75" s="944"/>
      <c r="J75" s="944"/>
      <c r="K75" s="945"/>
      <c r="L75" s="945"/>
      <c r="M75" s="945"/>
      <c r="N75" s="945"/>
      <c r="O75" s="945"/>
      <c r="P75" s="945"/>
    </row>
    <row r="76" spans="1:26" ht="19.5" hidden="1">
      <c r="A76" s="949"/>
      <c r="B76" s="950"/>
      <c r="C76" s="950"/>
      <c r="D76" s="955" t="s">
        <v>39</v>
      </c>
      <c r="E76" s="956"/>
      <c r="F76" s="957"/>
      <c r="G76" s="958"/>
      <c r="H76" s="180" t="s">
        <v>34</v>
      </c>
      <c r="I76" s="830">
        <f t="shared" ref="I76:J77" ca="1" si="45">I78+I80+I82</f>
        <v>0</v>
      </c>
      <c r="J76" s="830">
        <f t="shared" si="45"/>
        <v>0</v>
      </c>
      <c r="K76" s="945">
        <f t="shared" ref="K76:K84" ca="1" si="46">IF(I76&gt;0,J76*100/I76,0)</f>
        <v>0</v>
      </c>
      <c r="L76" s="945"/>
      <c r="M76" s="945"/>
      <c r="N76" s="945"/>
      <c r="O76" s="945"/>
      <c r="P76" s="945"/>
    </row>
    <row r="77" spans="1:26" ht="19.5" hidden="1">
      <c r="A77" s="949"/>
      <c r="B77" s="950"/>
      <c r="C77" s="950"/>
      <c r="D77" s="950"/>
      <c r="E77" s="957"/>
      <c r="F77" s="957"/>
      <c r="G77" s="958"/>
      <c r="H77" s="180" t="s">
        <v>35</v>
      </c>
      <c r="I77" s="830">
        <f t="shared" ca="1" si="45"/>
        <v>0</v>
      </c>
      <c r="J77" s="830">
        <f t="shared" si="45"/>
        <v>0</v>
      </c>
      <c r="K77" s="945">
        <f t="shared" ca="1" si="46"/>
        <v>0</v>
      </c>
      <c r="L77" s="945"/>
      <c r="M77" s="945"/>
      <c r="N77" s="945"/>
      <c r="O77" s="945"/>
      <c r="P77" s="945"/>
    </row>
    <row r="78" spans="1:26" ht="18.75" hidden="1">
      <c r="A78" s="949"/>
      <c r="B78" s="950"/>
      <c r="C78" s="950"/>
      <c r="D78" s="950"/>
      <c r="E78" s="956" t="s">
        <v>40</v>
      </c>
      <c r="F78" s="956"/>
      <c r="G78" s="958"/>
      <c r="H78" s="730" t="s">
        <v>34</v>
      </c>
      <c r="I78" s="944">
        <f ca="1">IFERROR(__xludf.DUMMYFUNCTION("IMPORTRANGE(""https://docs.google.com/spreadsheets/d/1QqKyyYR6Q21VydFLVH3TRQUabQu_ym0Zz7PgGX0-kHA/edit?usp=sharing"",""แผน!H14"")"),0)</f>
        <v>0</v>
      </c>
      <c r="J78" s="959">
        <v>0</v>
      </c>
      <c r="K78" s="945">
        <f t="shared" ca="1" si="46"/>
        <v>0</v>
      </c>
      <c r="L78" s="945"/>
      <c r="M78" s="945"/>
      <c r="N78" s="945"/>
      <c r="O78" s="945"/>
      <c r="P78" s="945"/>
    </row>
    <row r="79" spans="1:26" ht="18.75" hidden="1">
      <c r="A79" s="949"/>
      <c r="B79" s="950"/>
      <c r="C79" s="950"/>
      <c r="D79" s="950"/>
      <c r="E79" s="957"/>
      <c r="F79" s="957"/>
      <c r="G79" s="958"/>
      <c r="H79" s="730" t="s">
        <v>35</v>
      </c>
      <c r="I79" s="944">
        <f ca="1">IFERROR(__xludf.DUMMYFUNCTION("IMPORTRANGE(""https://docs.google.com/spreadsheets/d/1QqKyyYR6Q21VydFLVH3TRQUabQu_ym0Zz7PgGX0-kHA/edit?usp=sharing"",""แผน!I14"")"),0)</f>
        <v>0</v>
      </c>
      <c r="J79" s="959">
        <v>0</v>
      </c>
      <c r="K79" s="945">
        <f t="shared" ca="1" si="46"/>
        <v>0</v>
      </c>
      <c r="L79" s="945"/>
      <c r="M79" s="945"/>
      <c r="N79" s="945"/>
      <c r="O79" s="945"/>
      <c r="P79" s="945"/>
    </row>
    <row r="80" spans="1:26" ht="18.75" hidden="1">
      <c r="A80" s="949"/>
      <c r="B80" s="950"/>
      <c r="C80" s="950"/>
      <c r="D80" s="950"/>
      <c r="E80" s="956" t="s">
        <v>41</v>
      </c>
      <c r="F80" s="956"/>
      <c r="G80" s="958"/>
      <c r="H80" s="730" t="s">
        <v>34</v>
      </c>
      <c r="I80" s="944">
        <f ca="1">IFERROR(__xludf.DUMMYFUNCTION("IMPORTRANGE(""https://docs.google.com/spreadsheets/d/1QqKyyYR6Q21VydFLVH3TRQUabQu_ym0Zz7PgGX0-kHA/edit?usp=sharing"",""แผน!F14"")"),0)</f>
        <v>0</v>
      </c>
      <c r="J80" s="959">
        <v>0</v>
      </c>
      <c r="K80" s="945">
        <f t="shared" ca="1" si="46"/>
        <v>0</v>
      </c>
      <c r="L80" s="945"/>
      <c r="M80" s="945"/>
      <c r="N80" s="945"/>
      <c r="O80" s="945"/>
      <c r="P80" s="945"/>
    </row>
    <row r="81" spans="1:26" ht="18.75" hidden="1">
      <c r="A81" s="949"/>
      <c r="B81" s="950"/>
      <c r="C81" s="950"/>
      <c r="D81" s="950"/>
      <c r="E81" s="957"/>
      <c r="F81" s="957"/>
      <c r="G81" s="958"/>
      <c r="H81" s="730" t="s">
        <v>35</v>
      </c>
      <c r="I81" s="944">
        <f ca="1">IFERROR(__xludf.DUMMYFUNCTION("IMPORTRANGE(""https://docs.google.com/spreadsheets/d/1QqKyyYR6Q21VydFLVH3TRQUabQu_ym0Zz7PgGX0-kHA/edit?usp=sharing"",""แผน!G14"")"),0)</f>
        <v>0</v>
      </c>
      <c r="J81" s="959">
        <v>0</v>
      </c>
      <c r="K81" s="945">
        <f t="shared" ca="1" si="46"/>
        <v>0</v>
      </c>
      <c r="L81" s="945"/>
      <c r="M81" s="945"/>
      <c r="N81" s="945"/>
      <c r="O81" s="945"/>
      <c r="P81" s="945"/>
    </row>
    <row r="82" spans="1:26" ht="18.75" hidden="1">
      <c r="A82" s="949"/>
      <c r="B82" s="950"/>
      <c r="C82" s="950"/>
      <c r="D82" s="950"/>
      <c r="E82" s="956" t="s">
        <v>42</v>
      </c>
      <c r="F82" s="956"/>
      <c r="G82" s="958"/>
      <c r="H82" s="730" t="s">
        <v>34</v>
      </c>
      <c r="I82" s="944">
        <f ca="1">IFERROR(__xludf.DUMMYFUNCTION("IMPORTRANGE(""https://docs.google.com/spreadsheets/d/1QqKyyYR6Q21VydFLVH3TRQUabQu_ym0Zz7PgGX0-kHA/edit?usp=sharing"",""แผน!D14"")"),0)</f>
        <v>0</v>
      </c>
      <c r="J82" s="959">
        <v>0</v>
      </c>
      <c r="K82" s="945">
        <f t="shared" ca="1" si="46"/>
        <v>0</v>
      </c>
      <c r="L82" s="945"/>
      <c r="M82" s="945"/>
      <c r="N82" s="945"/>
      <c r="O82" s="945"/>
      <c r="P82" s="945"/>
    </row>
    <row r="83" spans="1:26" ht="18.75" hidden="1">
      <c r="A83" s="949"/>
      <c r="B83" s="950"/>
      <c r="C83" s="950"/>
      <c r="D83" s="950"/>
      <c r="E83" s="957"/>
      <c r="F83" s="957"/>
      <c r="G83" s="958"/>
      <c r="H83" s="730" t="s">
        <v>35</v>
      </c>
      <c r="I83" s="944">
        <f ca="1">IFERROR(__xludf.DUMMYFUNCTION("IMPORTRANGE(""https://docs.google.com/spreadsheets/d/1QqKyyYR6Q21VydFLVH3TRQUabQu_ym0Zz7PgGX0-kHA/edit?usp=sharing"",""แผน!E14"")"),0)</f>
        <v>0</v>
      </c>
      <c r="J83" s="959">
        <v>0</v>
      </c>
      <c r="K83" s="945">
        <f t="shared" ca="1" si="46"/>
        <v>0</v>
      </c>
      <c r="L83" s="945"/>
      <c r="M83" s="945"/>
      <c r="N83" s="945"/>
      <c r="O83" s="945"/>
      <c r="P83" s="945"/>
    </row>
    <row r="84" spans="1:26" ht="18.75" hidden="1">
      <c r="A84" s="949"/>
      <c r="B84" s="950"/>
      <c r="C84" s="950"/>
      <c r="D84" s="955" t="s">
        <v>43</v>
      </c>
      <c r="E84" s="956"/>
      <c r="F84" s="957"/>
      <c r="G84" s="958"/>
      <c r="H84" s="777" t="s">
        <v>34</v>
      </c>
      <c r="I84" s="944">
        <f ca="1">IFERROR(__xludf.DUMMYFUNCTION("IMPORTRANGE(""https://docs.google.com/spreadsheets/d/1QqKyyYR6Q21VydFLVH3TRQUabQu_ym0Zz7PgGX0-kHA/edit?usp=sharing"",""แผน!J14"")"),0)</f>
        <v>0</v>
      </c>
      <c r="J84" s="959">
        <v>0</v>
      </c>
      <c r="K84" s="945">
        <f t="shared" ca="1" si="46"/>
        <v>0</v>
      </c>
      <c r="L84" s="945"/>
      <c r="M84" s="945"/>
      <c r="N84" s="945"/>
      <c r="O84" s="945"/>
      <c r="P84" s="945"/>
    </row>
    <row r="85" spans="1:26" ht="19.5">
      <c r="A85" s="917" t="s">
        <v>44</v>
      </c>
      <c r="B85" s="918"/>
      <c r="C85" s="919"/>
      <c r="D85" s="918"/>
      <c r="E85" s="918"/>
      <c r="F85" s="918"/>
      <c r="G85" s="920"/>
      <c r="H85" s="921"/>
      <c r="I85" s="922"/>
      <c r="J85" s="922"/>
      <c r="K85" s="923"/>
      <c r="L85" s="923"/>
      <c r="M85" s="923"/>
      <c r="N85" s="923"/>
      <c r="O85" s="923"/>
      <c r="P85" s="923"/>
    </row>
    <row r="86" spans="1:26" ht="19.5">
      <c r="A86" s="924"/>
      <c r="B86" s="925" t="s">
        <v>45</v>
      </c>
      <c r="C86" s="926"/>
      <c r="D86" s="927"/>
      <c r="E86" s="926"/>
      <c r="F86" s="926"/>
      <c r="G86" s="928"/>
      <c r="H86" s="205" t="s">
        <v>46</v>
      </c>
      <c r="I86" s="929">
        <f t="shared" ref="I86:J87" ca="1" si="47">I98</f>
        <v>45</v>
      </c>
      <c r="J86" s="929">
        <f t="shared" si="47"/>
        <v>45</v>
      </c>
      <c r="K86" s="930">
        <f t="shared" ref="K86:K87" ca="1" si="48">IF(I86&gt;0,J86*100/I86,0)</f>
        <v>100</v>
      </c>
      <c r="L86" s="931"/>
      <c r="M86" s="931"/>
      <c r="N86" s="931"/>
      <c r="O86" s="931"/>
      <c r="P86" s="931"/>
    </row>
    <row r="87" spans="1:26" ht="19.5">
      <c r="A87" s="924"/>
      <c r="B87" s="926"/>
      <c r="C87" s="926"/>
      <c r="D87" s="927"/>
      <c r="E87" s="926"/>
      <c r="F87" s="926"/>
      <c r="G87" s="928"/>
      <c r="H87" s="205" t="s">
        <v>35</v>
      </c>
      <c r="I87" s="929">
        <f t="shared" ca="1" si="47"/>
        <v>15</v>
      </c>
      <c r="J87" s="929">
        <f t="shared" si="47"/>
        <v>15</v>
      </c>
      <c r="K87" s="930">
        <f t="shared" ca="1" si="48"/>
        <v>100</v>
      </c>
      <c r="L87" s="931"/>
      <c r="M87" s="931"/>
      <c r="N87" s="931"/>
      <c r="O87" s="931"/>
      <c r="P87" s="931"/>
    </row>
    <row r="88" spans="1:26" ht="19.5">
      <c r="A88" s="932"/>
      <c r="B88" s="933"/>
      <c r="C88" s="934" t="s">
        <v>16</v>
      </c>
      <c r="D88" s="935" t="s">
        <v>17</v>
      </c>
      <c r="E88" s="933"/>
      <c r="F88" s="933"/>
      <c r="G88" s="936"/>
      <c r="H88" s="152" t="s">
        <v>12</v>
      </c>
      <c r="I88" s="937"/>
      <c r="J88" s="937"/>
      <c r="K88" s="938"/>
      <c r="L88" s="939">
        <f t="shared" ref="L88:N88" ca="1" si="49">L89+L90</f>
        <v>98460</v>
      </c>
      <c r="M88" s="939">
        <f t="shared" ca="1" si="49"/>
        <v>62510</v>
      </c>
      <c r="N88" s="939">
        <f t="shared" ca="1" si="49"/>
        <v>45240</v>
      </c>
      <c r="O88" s="939">
        <f t="shared" ref="O88:O96" ca="1" si="50">IF(L88&gt;0,N88*100/L88,0)</f>
        <v>45.947592931139546</v>
      </c>
      <c r="P88" s="939">
        <f t="shared" ref="P88:P96" ca="1" si="51">IF(M88&gt;0,N88*100/M88,0)</f>
        <v>72.372420412733959</v>
      </c>
      <c r="Q88" s="818"/>
      <c r="R88" s="818"/>
      <c r="S88" s="818"/>
      <c r="T88" s="818"/>
      <c r="U88" s="818"/>
      <c r="V88" s="818"/>
      <c r="W88" s="818"/>
      <c r="X88" s="818"/>
      <c r="Y88" s="818"/>
      <c r="Z88" s="818"/>
    </row>
    <row r="89" spans="1:26" ht="18.75" hidden="1">
      <c r="A89" s="940"/>
      <c r="B89" s="833"/>
      <c r="C89" s="833"/>
      <c r="D89" s="833"/>
      <c r="E89" s="834" t="s">
        <v>18</v>
      </c>
      <c r="F89" s="833"/>
      <c r="G89" s="941"/>
      <c r="H89" s="158" t="s">
        <v>12</v>
      </c>
      <c r="I89" s="836"/>
      <c r="J89" s="836"/>
      <c r="K89" s="837"/>
      <c r="L89" s="837">
        <f t="shared" ref="L89:N90" si="52">L92+L95</f>
        <v>0</v>
      </c>
      <c r="M89" s="837">
        <f t="shared" si="52"/>
        <v>0</v>
      </c>
      <c r="N89" s="837">
        <f t="shared" si="52"/>
        <v>0</v>
      </c>
      <c r="O89" s="837">
        <f t="shared" si="50"/>
        <v>0</v>
      </c>
      <c r="P89" s="837">
        <f t="shared" si="51"/>
        <v>0</v>
      </c>
      <c r="Q89" s="825"/>
      <c r="R89" s="825"/>
      <c r="S89" s="825"/>
      <c r="T89" s="825"/>
      <c r="U89" s="825"/>
      <c r="V89" s="825"/>
      <c r="W89" s="825"/>
      <c r="X89" s="825"/>
      <c r="Y89" s="825"/>
      <c r="Z89" s="825"/>
    </row>
    <row r="90" spans="1:26" ht="18.75" hidden="1">
      <c r="A90" s="940"/>
      <c r="B90" s="833"/>
      <c r="C90" s="833"/>
      <c r="D90" s="833"/>
      <c r="E90" s="834" t="s">
        <v>19</v>
      </c>
      <c r="F90" s="833"/>
      <c r="G90" s="941"/>
      <c r="H90" s="158" t="s">
        <v>12</v>
      </c>
      <c r="I90" s="836"/>
      <c r="J90" s="836"/>
      <c r="K90" s="837"/>
      <c r="L90" s="837">
        <f t="shared" ca="1" si="52"/>
        <v>98460</v>
      </c>
      <c r="M90" s="837">
        <f t="shared" ca="1" si="52"/>
        <v>62510</v>
      </c>
      <c r="N90" s="837">
        <f t="shared" ca="1" si="52"/>
        <v>45240</v>
      </c>
      <c r="O90" s="837">
        <f t="shared" ca="1" si="50"/>
        <v>45.947592931139546</v>
      </c>
      <c r="P90" s="837">
        <f t="shared" ca="1" si="51"/>
        <v>72.372420412733959</v>
      </c>
      <c r="Q90" s="825"/>
      <c r="R90" s="825"/>
      <c r="S90" s="825"/>
      <c r="T90" s="825"/>
      <c r="U90" s="825"/>
      <c r="V90" s="825"/>
      <c r="W90" s="825"/>
      <c r="X90" s="825"/>
      <c r="Y90" s="825"/>
      <c r="Z90" s="825"/>
    </row>
    <row r="91" spans="1:26" ht="18.75">
      <c r="A91" s="942"/>
      <c r="B91" s="827"/>
      <c r="C91" s="943"/>
      <c r="D91" s="828" t="s">
        <v>20</v>
      </c>
      <c r="E91" s="827"/>
      <c r="F91" s="827"/>
      <c r="G91" s="829"/>
      <c r="H91" s="778" t="s">
        <v>12</v>
      </c>
      <c r="I91" s="944"/>
      <c r="J91" s="944"/>
      <c r="K91" s="945"/>
      <c r="L91" s="831">
        <f t="shared" ref="L91:N91" ca="1" si="53">L92+L93</f>
        <v>98460</v>
      </c>
      <c r="M91" s="831">
        <f t="shared" ca="1" si="53"/>
        <v>62510</v>
      </c>
      <c r="N91" s="831">
        <f t="shared" ca="1" si="53"/>
        <v>45240</v>
      </c>
      <c r="O91" s="831">
        <f t="shared" ca="1" si="50"/>
        <v>45.947592931139546</v>
      </c>
      <c r="P91" s="831">
        <f t="shared" ca="1" si="51"/>
        <v>72.372420412733959</v>
      </c>
      <c r="Q91" s="818"/>
      <c r="R91" s="818"/>
      <c r="S91" s="818"/>
      <c r="T91" s="818"/>
      <c r="U91" s="818"/>
      <c r="V91" s="818"/>
      <c r="W91" s="818"/>
      <c r="X91" s="818"/>
      <c r="Y91" s="818"/>
      <c r="Z91" s="818"/>
    </row>
    <row r="92" spans="1:26" ht="19.5" hidden="1">
      <c r="A92" s="940"/>
      <c r="B92" s="833"/>
      <c r="C92" s="946"/>
      <c r="D92" s="833"/>
      <c r="E92" s="834" t="s">
        <v>36</v>
      </c>
      <c r="F92" s="833"/>
      <c r="G92" s="941"/>
      <c r="H92" s="165" t="s">
        <v>12</v>
      </c>
      <c r="I92" s="947"/>
      <c r="J92" s="947"/>
      <c r="K92" s="948"/>
      <c r="L92" s="837">
        <v>0</v>
      </c>
      <c r="M92" s="837">
        <v>0</v>
      </c>
      <c r="N92" s="837">
        <v>0</v>
      </c>
      <c r="O92" s="837">
        <f t="shared" si="50"/>
        <v>0</v>
      </c>
      <c r="P92" s="837">
        <f t="shared" si="51"/>
        <v>0</v>
      </c>
      <c r="Q92" s="825"/>
      <c r="R92" s="825"/>
      <c r="S92" s="825"/>
      <c r="T92" s="825"/>
      <c r="U92" s="825"/>
      <c r="V92" s="825"/>
      <c r="W92" s="825"/>
      <c r="X92" s="825"/>
      <c r="Y92" s="825"/>
      <c r="Z92" s="825"/>
    </row>
    <row r="93" spans="1:26" ht="19.5" hidden="1">
      <c r="A93" s="940"/>
      <c r="B93" s="833"/>
      <c r="C93" s="946"/>
      <c r="D93" s="833"/>
      <c r="E93" s="834" t="s">
        <v>37</v>
      </c>
      <c r="F93" s="833"/>
      <c r="G93" s="941"/>
      <c r="H93" s="165" t="s">
        <v>12</v>
      </c>
      <c r="I93" s="947"/>
      <c r="J93" s="947"/>
      <c r="K93" s="948"/>
      <c r="L93" s="837">
        <f ca="1">IFERROR(__xludf.DUMMYFUNCTION("IMPORTRANGE(""https://docs.google.com/spreadsheets/d/1MeEWN-I1oV_STSDYn1IFDPWt_1FKiwhDph83XaGc0o0/edit?usp=sharing"",""งบพรบ!AQ14"")"),98460)</f>
        <v>98460</v>
      </c>
      <c r="M93" s="837">
        <f ca="1">IFERROR(__xludf.DUMMYFUNCTION("IMPORTRANGE(""https://docs.google.com/spreadsheets/d/1MeEWN-I1oV_STSDYn1IFDPWt_1FKiwhDph83XaGc0o0/edit?usp=sharing"",""งบพรบ!AV14"")"),62510)</f>
        <v>62510</v>
      </c>
      <c r="N93" s="837">
        <f ca="1">IFERROR(__xludf.DUMMYFUNCTION("IMPORTRANGE(""https://docs.google.com/spreadsheets/d/1MeEWN-I1oV_STSDYn1IFDPWt_1FKiwhDph83XaGc0o0/edit?usp=sharing"",""งบพรบ!AX14"")"),45240)</f>
        <v>45240</v>
      </c>
      <c r="O93" s="837">
        <f t="shared" ca="1" si="50"/>
        <v>45.947592931139546</v>
      </c>
      <c r="P93" s="837">
        <f t="shared" ca="1" si="51"/>
        <v>72.372420412733959</v>
      </c>
      <c r="Q93" s="825"/>
      <c r="R93" s="825"/>
      <c r="S93" s="825"/>
      <c r="T93" s="825"/>
      <c r="U93" s="825"/>
      <c r="V93" s="825"/>
      <c r="W93" s="825"/>
      <c r="X93" s="825"/>
      <c r="Y93" s="825"/>
      <c r="Z93" s="825"/>
    </row>
    <row r="94" spans="1:26" ht="18.75">
      <c r="A94" s="942"/>
      <c r="B94" s="827"/>
      <c r="C94" s="943"/>
      <c r="D94" s="828" t="s">
        <v>21</v>
      </c>
      <c r="E94" s="827"/>
      <c r="F94" s="827"/>
      <c r="G94" s="829"/>
      <c r="H94" s="168" t="s">
        <v>12</v>
      </c>
      <c r="I94" s="944"/>
      <c r="J94" s="944"/>
      <c r="K94" s="945"/>
      <c r="L94" s="831">
        <f t="shared" ref="L94:N94" ca="1" si="54">L95+L96</f>
        <v>0</v>
      </c>
      <c r="M94" s="831">
        <f t="shared" ca="1" si="54"/>
        <v>0</v>
      </c>
      <c r="N94" s="831">
        <f t="shared" ca="1" si="54"/>
        <v>0</v>
      </c>
      <c r="O94" s="831">
        <f t="shared" ca="1" si="50"/>
        <v>0</v>
      </c>
      <c r="P94" s="831">
        <f t="shared" ca="1" si="51"/>
        <v>0</v>
      </c>
      <c r="Q94" s="818"/>
      <c r="R94" s="818"/>
      <c r="S94" s="818"/>
      <c r="T94" s="818"/>
      <c r="U94" s="818"/>
      <c r="V94" s="818"/>
      <c r="W94" s="818"/>
      <c r="X94" s="818"/>
      <c r="Y94" s="818"/>
      <c r="Z94" s="818"/>
    </row>
    <row r="95" spans="1:26" ht="19.5" hidden="1">
      <c r="A95" s="940"/>
      <c r="B95" s="833"/>
      <c r="C95" s="946"/>
      <c r="D95" s="833"/>
      <c r="E95" s="834" t="s">
        <v>18</v>
      </c>
      <c r="F95" s="833"/>
      <c r="G95" s="941"/>
      <c r="H95" s="165" t="s">
        <v>12</v>
      </c>
      <c r="I95" s="947"/>
      <c r="J95" s="947"/>
      <c r="K95" s="948"/>
      <c r="L95" s="837">
        <v>0</v>
      </c>
      <c r="M95" s="837">
        <v>0</v>
      </c>
      <c r="N95" s="837">
        <v>0</v>
      </c>
      <c r="O95" s="837">
        <f t="shared" si="50"/>
        <v>0</v>
      </c>
      <c r="P95" s="837">
        <f t="shared" si="51"/>
        <v>0</v>
      </c>
      <c r="Q95" s="825"/>
      <c r="R95" s="825"/>
      <c r="S95" s="825"/>
      <c r="T95" s="825"/>
      <c r="U95" s="825"/>
      <c r="V95" s="825"/>
      <c r="W95" s="825"/>
      <c r="X95" s="825"/>
      <c r="Y95" s="825"/>
      <c r="Z95" s="825"/>
    </row>
    <row r="96" spans="1:26" ht="19.5" hidden="1">
      <c r="A96" s="940"/>
      <c r="B96" s="833"/>
      <c r="C96" s="946"/>
      <c r="D96" s="833"/>
      <c r="E96" s="834" t="s">
        <v>19</v>
      </c>
      <c r="F96" s="833"/>
      <c r="G96" s="941"/>
      <c r="H96" s="169" t="s">
        <v>12</v>
      </c>
      <c r="I96" s="947"/>
      <c r="J96" s="947"/>
      <c r="K96" s="948"/>
      <c r="L96" s="837">
        <f ca="1">IFERROR(__xludf.DUMMYFUNCTION("IMPORTRANGE(""https://docs.google.com/spreadsheets/d/1MeEWN-I1oV_STSDYn1IFDPWt_1FKiwhDph83XaGc0o0/edit?usp=sharing"",""งบพรบ!AT14"")"),0)</f>
        <v>0</v>
      </c>
      <c r="M96" s="837">
        <f ca="1">IFERROR(__xludf.DUMMYFUNCTION("IMPORTRANGE(""https://docs.google.com/spreadsheets/d/1MeEWN-I1oV_STSDYn1IFDPWt_1FKiwhDph83XaGc0o0/edit?usp=sharing"",""งบพรบ!AW14"")"),0)</f>
        <v>0</v>
      </c>
      <c r="N96" s="837">
        <f ca="1">IFERROR(__xludf.DUMMYFUNCTION("IMPORTRANGE(""https://docs.google.com/spreadsheets/d/1MeEWN-I1oV_STSDYn1IFDPWt_1FKiwhDph83XaGc0o0/edit?usp=sharing"",""งบพรบ!AY14"")"),0)</f>
        <v>0</v>
      </c>
      <c r="O96" s="837">
        <f t="shared" ca="1" si="50"/>
        <v>0</v>
      </c>
      <c r="P96" s="837">
        <f t="shared" ca="1" si="51"/>
        <v>0</v>
      </c>
      <c r="Q96" s="825"/>
      <c r="R96" s="825"/>
      <c r="S96" s="825"/>
      <c r="T96" s="825"/>
      <c r="U96" s="825"/>
      <c r="V96" s="825"/>
      <c r="W96" s="825"/>
      <c r="X96" s="825"/>
      <c r="Y96" s="825"/>
      <c r="Z96" s="825"/>
    </row>
    <row r="97" spans="1:16" ht="19.5">
      <c r="A97" s="949"/>
      <c r="B97" s="950"/>
      <c r="C97" s="946" t="s">
        <v>16</v>
      </c>
      <c r="D97" s="951" t="s">
        <v>38</v>
      </c>
      <c r="E97" s="952"/>
      <c r="F97" s="952"/>
      <c r="G97" s="953"/>
      <c r="H97" s="954"/>
      <c r="I97" s="944"/>
      <c r="J97" s="830"/>
      <c r="K97" s="831"/>
      <c r="L97" s="831"/>
      <c r="M97" s="831"/>
      <c r="N97" s="831"/>
      <c r="O97" s="945"/>
      <c r="P97" s="945"/>
    </row>
    <row r="98" spans="1:16" ht="18.75">
      <c r="A98" s="949"/>
      <c r="B98" s="950"/>
      <c r="C98" s="950"/>
      <c r="D98" s="956" t="s">
        <v>47</v>
      </c>
      <c r="E98" s="956"/>
      <c r="F98" s="957"/>
      <c r="G98" s="958"/>
      <c r="H98" s="590" t="s">
        <v>46</v>
      </c>
      <c r="I98" s="830">
        <f ca="1">IFERROR(__xludf.DUMMYFUNCTION("IMPORTRANGE(""https://docs.google.com/spreadsheets/d/1QqKyyYR6Q21VydFLVH3TRQUabQu_ym0Zz7PgGX0-kHA/edit?usp=sharing"",""แผน!K14"")"),45)</f>
        <v>45</v>
      </c>
      <c r="J98" s="830">
        <f>J102</f>
        <v>45</v>
      </c>
      <c r="K98" s="831">
        <f t="shared" ref="K98:K100" ca="1" si="55">IF(I98&gt;0,J98*100/I98,0)</f>
        <v>100</v>
      </c>
      <c r="L98" s="831"/>
      <c r="M98" s="831"/>
      <c r="N98" s="831"/>
      <c r="O98" s="945"/>
      <c r="P98" s="945"/>
    </row>
    <row r="99" spans="1:16" ht="18.75">
      <c r="A99" s="949"/>
      <c r="B99" s="950"/>
      <c r="C99" s="950"/>
      <c r="D99" s="956" t="s">
        <v>48</v>
      </c>
      <c r="E99" s="956"/>
      <c r="F99" s="957"/>
      <c r="G99" s="958"/>
      <c r="H99" s="590" t="s">
        <v>35</v>
      </c>
      <c r="I99" s="830">
        <f ca="1">IFERROR(__xludf.DUMMYFUNCTION("IMPORTRANGE(""https://docs.google.com/spreadsheets/d/1QqKyyYR6Q21VydFLVH3TRQUabQu_ym0Zz7PgGX0-kHA/edit?usp=sharing"",""แผน!L14"")"),15)</f>
        <v>15</v>
      </c>
      <c r="J99" s="830">
        <f>J104</f>
        <v>15</v>
      </c>
      <c r="K99" s="831">
        <f t="shared" ca="1" si="55"/>
        <v>100</v>
      </c>
      <c r="L99" s="831"/>
      <c r="M99" s="831"/>
      <c r="N99" s="831"/>
      <c r="O99" s="945"/>
      <c r="P99" s="945"/>
    </row>
    <row r="100" spans="1:16" ht="18.75">
      <c r="A100" s="949"/>
      <c r="B100" s="950"/>
      <c r="C100" s="950"/>
      <c r="D100" s="950"/>
      <c r="E100" s="957"/>
      <c r="F100" s="957"/>
      <c r="G100" s="958"/>
      <c r="H100" s="590" t="s">
        <v>49</v>
      </c>
      <c r="I100" s="830">
        <f ca="1">IFERROR(__xludf.DUMMYFUNCTION("IMPORTRANGE(""https://docs.google.com/spreadsheets/d/1QqKyyYR6Q21VydFLVH3TRQUabQu_ym0Zz7PgGX0-kHA/edit?usp=sharing"",""แผน!M14"")"),2)</f>
        <v>2</v>
      </c>
      <c r="J100" s="830">
        <f>J107+J110</f>
        <v>1</v>
      </c>
      <c r="K100" s="831">
        <f t="shared" ca="1" si="55"/>
        <v>50</v>
      </c>
      <c r="L100" s="831"/>
      <c r="M100" s="831"/>
      <c r="N100" s="831"/>
      <c r="O100" s="945"/>
      <c r="P100" s="945"/>
    </row>
    <row r="101" spans="1:16" ht="19.5">
      <c r="A101" s="949"/>
      <c r="B101" s="950"/>
      <c r="C101" s="950"/>
      <c r="D101" s="957"/>
      <c r="E101" s="960" t="s">
        <v>50</v>
      </c>
      <c r="F101" s="957"/>
      <c r="G101" s="958"/>
      <c r="H101" s="590"/>
      <c r="I101" s="830"/>
      <c r="J101" s="830"/>
      <c r="K101" s="831"/>
      <c r="L101" s="831"/>
      <c r="M101" s="831"/>
      <c r="N101" s="831"/>
      <c r="O101" s="945"/>
      <c r="P101" s="945"/>
    </row>
    <row r="102" spans="1:16" ht="18.75">
      <c r="A102" s="949"/>
      <c r="B102" s="950"/>
      <c r="C102" s="950"/>
      <c r="D102" s="957"/>
      <c r="E102" s="961" t="s">
        <v>47</v>
      </c>
      <c r="F102" s="957"/>
      <c r="G102" s="958"/>
      <c r="H102" s="590" t="s">
        <v>46</v>
      </c>
      <c r="I102" s="830">
        <f ca="1">IFERROR(__xludf.DUMMYFUNCTION("IMPORTRANGE(""https://docs.google.com/spreadsheets/d/1QqKyyYR6Q21VydFLVH3TRQUabQu_ym0Zz7PgGX0-kHA/edit?usp=sharing"",""แผน!N14"")"),45)</f>
        <v>45</v>
      </c>
      <c r="J102" s="959">
        <v>45</v>
      </c>
      <c r="K102" s="831">
        <f t="shared" ref="K102:K104" ca="1" si="56">IF(I102&gt;0,J102*100/I102,0)</f>
        <v>100</v>
      </c>
      <c r="L102" s="831"/>
      <c r="M102" s="831"/>
      <c r="N102" s="831"/>
      <c r="O102" s="945"/>
      <c r="P102" s="945"/>
    </row>
    <row r="103" spans="1:16" ht="19.5">
      <c r="A103" s="949"/>
      <c r="B103" s="950"/>
      <c r="C103" s="950"/>
      <c r="D103" s="957"/>
      <c r="E103" s="956" t="s">
        <v>51</v>
      </c>
      <c r="F103" s="957"/>
      <c r="G103" s="958"/>
      <c r="H103" s="590" t="s">
        <v>35</v>
      </c>
      <c r="I103" s="830">
        <f ca="1">IFERROR(__xludf.DUMMYFUNCTION("IMPORTRANGE(""https://docs.google.com/spreadsheets/d/1QqKyyYR6Q21VydFLVH3TRQUabQu_ym0Zz7PgGX0-kHA/edit?usp=sharing"",""แผน!O14"")"),15)</f>
        <v>15</v>
      </c>
      <c r="J103" s="959">
        <v>15</v>
      </c>
      <c r="K103" s="831">
        <f t="shared" ca="1" si="56"/>
        <v>100</v>
      </c>
      <c r="L103" s="831"/>
      <c r="M103" s="831"/>
      <c r="N103" s="831"/>
      <c r="O103" s="945"/>
      <c r="P103" s="945"/>
    </row>
    <row r="104" spans="1:16" ht="18.75">
      <c r="A104" s="949"/>
      <c r="B104" s="950"/>
      <c r="C104" s="950"/>
      <c r="D104" s="957"/>
      <c r="E104" s="962" t="s">
        <v>52</v>
      </c>
      <c r="F104" s="957"/>
      <c r="G104" s="958"/>
      <c r="H104" s="590" t="s">
        <v>35</v>
      </c>
      <c r="I104" s="830">
        <f ca="1">IFERROR(__xludf.DUMMYFUNCTION("IMPORTRANGE(""https://docs.google.com/spreadsheets/d/1QqKyyYR6Q21VydFLVH3TRQUabQu_ym0Zz7PgGX0-kHA/edit?usp=sharing"",""แผน!O14"")"),15)</f>
        <v>15</v>
      </c>
      <c r="J104" s="959">
        <v>15</v>
      </c>
      <c r="K104" s="831">
        <f t="shared" ca="1" si="56"/>
        <v>100</v>
      </c>
      <c r="L104" s="831"/>
      <c r="M104" s="831"/>
      <c r="N104" s="831"/>
      <c r="O104" s="945"/>
      <c r="P104" s="945"/>
    </row>
    <row r="105" spans="1:16" ht="19.5">
      <c r="A105" s="949"/>
      <c r="B105" s="950"/>
      <c r="C105" s="950"/>
      <c r="D105" s="957"/>
      <c r="E105" s="960" t="s">
        <v>53</v>
      </c>
      <c r="F105" s="957"/>
      <c r="G105" s="958"/>
      <c r="H105" s="963"/>
      <c r="I105" s="830"/>
      <c r="J105" s="830"/>
      <c r="K105" s="831"/>
      <c r="L105" s="831"/>
      <c r="M105" s="831"/>
      <c r="N105" s="831"/>
      <c r="O105" s="945"/>
      <c r="P105" s="945"/>
    </row>
    <row r="106" spans="1:16" ht="19.5">
      <c r="A106" s="949"/>
      <c r="B106" s="950"/>
      <c r="C106" s="950"/>
      <c r="D106" s="957"/>
      <c r="E106" s="956" t="s">
        <v>54</v>
      </c>
      <c r="F106" s="957"/>
      <c r="G106" s="958"/>
      <c r="H106" s="590" t="s">
        <v>49</v>
      </c>
      <c r="I106" s="830">
        <f ca="1">IFERROR(__xludf.DUMMYFUNCTION("IMPORTRANGE(""https://docs.google.com/spreadsheets/d/1QqKyyYR6Q21VydFLVH3TRQUabQu_ym0Zz7PgGX0-kHA/edit?usp=sharing"",""แผน!P14"")"),1)</f>
        <v>1</v>
      </c>
      <c r="J106" s="959">
        <v>1</v>
      </c>
      <c r="K106" s="831">
        <f t="shared" ref="K106:K107" ca="1" si="57">IF(I106&gt;0,J106*100/I106,0)</f>
        <v>100</v>
      </c>
      <c r="L106" s="831"/>
      <c r="M106" s="831"/>
      <c r="N106" s="831"/>
      <c r="O106" s="945"/>
      <c r="P106" s="945"/>
    </row>
    <row r="107" spans="1:16" ht="18.75">
      <c r="A107" s="949"/>
      <c r="B107" s="950"/>
      <c r="C107" s="950"/>
      <c r="D107" s="957"/>
      <c r="E107" s="962" t="s">
        <v>55</v>
      </c>
      <c r="F107" s="957"/>
      <c r="G107" s="958"/>
      <c r="H107" s="590" t="s">
        <v>49</v>
      </c>
      <c r="I107" s="830">
        <f ca="1">IFERROR(__xludf.DUMMYFUNCTION("IMPORTRANGE(""https://docs.google.com/spreadsheets/d/1QqKyyYR6Q21VydFLVH3TRQUabQu_ym0Zz7PgGX0-kHA/edit?usp=sharing"",""แผน!P14"")"),1)</f>
        <v>1</v>
      </c>
      <c r="J107" s="959">
        <v>1</v>
      </c>
      <c r="K107" s="831">
        <f t="shared" ca="1" si="57"/>
        <v>100</v>
      </c>
      <c r="L107" s="831"/>
      <c r="M107" s="831"/>
      <c r="N107" s="831"/>
      <c r="O107" s="945"/>
      <c r="P107" s="945"/>
    </row>
    <row r="108" spans="1:16" ht="19.5">
      <c r="A108" s="949"/>
      <c r="B108" s="950"/>
      <c r="C108" s="950"/>
      <c r="D108" s="957"/>
      <c r="E108" s="960" t="s">
        <v>56</v>
      </c>
      <c r="F108" s="957"/>
      <c r="G108" s="958"/>
      <c r="H108" s="963"/>
      <c r="I108" s="830"/>
      <c r="J108" s="830"/>
      <c r="K108" s="831"/>
      <c r="L108" s="831"/>
      <c r="M108" s="831"/>
      <c r="N108" s="831"/>
      <c r="O108" s="945"/>
      <c r="P108" s="945"/>
    </row>
    <row r="109" spans="1:16" ht="19.5">
      <c r="A109" s="949"/>
      <c r="B109" s="950"/>
      <c r="C109" s="950"/>
      <c r="D109" s="957"/>
      <c r="E109" s="956" t="s">
        <v>57</v>
      </c>
      <c r="F109" s="957"/>
      <c r="G109" s="958"/>
      <c r="H109" s="590" t="s">
        <v>49</v>
      </c>
      <c r="I109" s="830">
        <f ca="1">IFERROR(__xludf.DUMMYFUNCTION("IMPORTRANGE(""https://docs.google.com/spreadsheets/d/1QqKyyYR6Q21VydFLVH3TRQUabQu_ym0Zz7PgGX0-kHA/edit?usp=sharing"",""แผน!Q14"")"),1)</f>
        <v>1</v>
      </c>
      <c r="J109" s="959">
        <v>0</v>
      </c>
      <c r="K109" s="831">
        <f t="shared" ref="K109:K116" ca="1" si="58">IF(I109&gt;0,J109*100/I109,0)</f>
        <v>0</v>
      </c>
      <c r="L109" s="831"/>
      <c r="M109" s="831"/>
      <c r="N109" s="831"/>
      <c r="O109" s="945"/>
      <c r="P109" s="945"/>
    </row>
    <row r="110" spans="1:16" ht="18.75">
      <c r="A110" s="949"/>
      <c r="B110" s="950"/>
      <c r="C110" s="950"/>
      <c r="D110" s="957"/>
      <c r="E110" s="964" t="s">
        <v>58</v>
      </c>
      <c r="F110" s="957"/>
      <c r="G110" s="958"/>
      <c r="H110" s="590" t="s">
        <v>49</v>
      </c>
      <c r="I110" s="830">
        <f ca="1">IFERROR(__xludf.DUMMYFUNCTION("IMPORTRANGE(""https://docs.google.com/spreadsheets/d/1QqKyyYR6Q21VydFLVH3TRQUabQu_ym0Zz7PgGX0-kHA/edit?usp=sharing"",""แผน!Q14"")"),1)</f>
        <v>1</v>
      </c>
      <c r="J110" s="959">
        <v>0</v>
      </c>
      <c r="K110" s="831">
        <f t="shared" ca="1" si="58"/>
        <v>0</v>
      </c>
      <c r="L110" s="831"/>
      <c r="M110" s="831"/>
      <c r="N110" s="831"/>
      <c r="O110" s="945"/>
      <c r="P110" s="945"/>
    </row>
    <row r="111" spans="1:16" ht="19.5">
      <c r="A111" s="949"/>
      <c r="B111" s="950"/>
      <c r="C111" s="950"/>
      <c r="D111" s="960" t="s">
        <v>59</v>
      </c>
      <c r="E111" s="960"/>
      <c r="F111" s="957"/>
      <c r="G111" s="958"/>
      <c r="H111" s="733" t="s">
        <v>35</v>
      </c>
      <c r="I111" s="965">
        <f ca="1">IFERROR(__xludf.DUMMYFUNCTION("IMPORTRANGE(""https://docs.google.com/spreadsheets/d/1QqKyyYR6Q21VydFLVH3TRQUabQu_ym0Zz7PgGX0-kHA/edit?usp=sharing"",""แผน!R14"")"),15)</f>
        <v>15</v>
      </c>
      <c r="J111" s="966">
        <f>J114</f>
        <v>0</v>
      </c>
      <c r="K111" s="967">
        <f t="shared" ca="1" si="58"/>
        <v>0</v>
      </c>
      <c r="L111" s="831"/>
      <c r="M111" s="831"/>
      <c r="N111" s="831"/>
      <c r="O111" s="945"/>
      <c r="P111" s="945"/>
    </row>
    <row r="112" spans="1:16" ht="19.5">
      <c r="A112" s="949"/>
      <c r="B112" s="950"/>
      <c r="C112" s="950"/>
      <c r="D112" s="950"/>
      <c r="E112" s="957"/>
      <c r="F112" s="957"/>
      <c r="G112" s="958"/>
      <c r="H112" s="196" t="s">
        <v>49</v>
      </c>
      <c r="I112" s="965">
        <f t="shared" ref="I112:J112" ca="1" si="59">I115+I116</f>
        <v>2</v>
      </c>
      <c r="J112" s="966">
        <f t="shared" si="59"/>
        <v>0</v>
      </c>
      <c r="K112" s="967">
        <f t="shared" ca="1" si="58"/>
        <v>0</v>
      </c>
      <c r="L112" s="831"/>
      <c r="M112" s="831"/>
      <c r="N112" s="831"/>
      <c r="O112" s="945"/>
      <c r="P112" s="945"/>
    </row>
    <row r="113" spans="1:26" ht="19.5">
      <c r="A113" s="949"/>
      <c r="B113" s="950"/>
      <c r="C113" s="950"/>
      <c r="D113" s="950"/>
      <c r="E113" s="968" t="s">
        <v>60</v>
      </c>
      <c r="F113" s="957"/>
      <c r="G113" s="958"/>
      <c r="H113" s="198" t="s">
        <v>35</v>
      </c>
      <c r="I113" s="944">
        <f ca="1">IFERROR(__xludf.DUMMYFUNCTION("IMPORTRANGE(""https://docs.google.com/spreadsheets/d/1QqKyyYR6Q21VydFLVH3TRQUabQu_ym0Zz7PgGX0-kHA/edit?usp=sharing"",""แผน!R14"")"),15)</f>
        <v>15</v>
      </c>
      <c r="J113" s="959">
        <v>0</v>
      </c>
      <c r="K113" s="831">
        <f t="shared" ca="1" si="58"/>
        <v>0</v>
      </c>
      <c r="L113" s="831"/>
      <c r="M113" s="831"/>
      <c r="N113" s="831"/>
      <c r="O113" s="945"/>
      <c r="P113" s="945"/>
    </row>
    <row r="114" spans="1:26" ht="19.5">
      <c r="A114" s="949"/>
      <c r="B114" s="950"/>
      <c r="C114" s="950"/>
      <c r="D114" s="950"/>
      <c r="E114" s="956" t="s">
        <v>61</v>
      </c>
      <c r="F114" s="957"/>
      <c r="G114" s="958"/>
      <c r="H114" s="199" t="s">
        <v>35</v>
      </c>
      <c r="I114" s="944">
        <f ca="1">IFERROR(__xludf.DUMMYFUNCTION("IMPORTRANGE(""https://docs.google.com/spreadsheets/d/1QqKyyYR6Q21VydFLVH3TRQUabQu_ym0Zz7PgGX0-kHA/edit?usp=sharing"",""แผน!R14"")"),15)</f>
        <v>15</v>
      </c>
      <c r="J114" s="959">
        <v>0</v>
      </c>
      <c r="K114" s="831">
        <f t="shared" ca="1" si="58"/>
        <v>0</v>
      </c>
      <c r="L114" s="831"/>
      <c r="M114" s="831"/>
      <c r="N114" s="831"/>
      <c r="O114" s="945"/>
      <c r="P114" s="945"/>
    </row>
    <row r="115" spans="1:26" ht="18.75">
      <c r="A115" s="949"/>
      <c r="B115" s="950"/>
      <c r="C115" s="950"/>
      <c r="D115" s="950"/>
      <c r="E115" s="956" t="s">
        <v>62</v>
      </c>
      <c r="F115" s="957"/>
      <c r="G115" s="958"/>
      <c r="H115" s="199" t="s">
        <v>49</v>
      </c>
      <c r="I115" s="944">
        <f ca="1">IFERROR(__xludf.DUMMYFUNCTION("IMPORTRANGE(""https://docs.google.com/spreadsheets/d/1QqKyyYR6Q21VydFLVH3TRQUabQu_ym0Zz7PgGX0-kHA/edit?usp=sharing"",""แผน!S14"")"),1)</f>
        <v>1</v>
      </c>
      <c r="J115" s="959">
        <v>0</v>
      </c>
      <c r="K115" s="831">
        <f t="shared" ca="1" si="58"/>
        <v>0</v>
      </c>
      <c r="L115" s="831"/>
      <c r="M115" s="831"/>
      <c r="N115" s="831"/>
      <c r="O115" s="945"/>
      <c r="P115" s="945"/>
    </row>
    <row r="116" spans="1:26" ht="18.75">
      <c r="A116" s="949"/>
      <c r="B116" s="950"/>
      <c r="C116" s="950"/>
      <c r="D116" s="950"/>
      <c r="E116" s="956" t="s">
        <v>63</v>
      </c>
      <c r="F116" s="957"/>
      <c r="G116" s="958"/>
      <c r="H116" s="199" t="s">
        <v>49</v>
      </c>
      <c r="I116" s="944">
        <f ca="1">IFERROR(__xludf.DUMMYFUNCTION("IMPORTRANGE(""https://docs.google.com/spreadsheets/d/1QqKyyYR6Q21VydFLVH3TRQUabQu_ym0Zz7PgGX0-kHA/edit?usp=sharing"",""แผน!T14"")"),1)</f>
        <v>1</v>
      </c>
      <c r="J116" s="959">
        <v>0</v>
      </c>
      <c r="K116" s="831">
        <f t="shared" ca="1" si="58"/>
        <v>0</v>
      </c>
      <c r="L116" s="831"/>
      <c r="M116" s="831"/>
      <c r="N116" s="831"/>
      <c r="O116" s="945"/>
      <c r="P116" s="945"/>
    </row>
    <row r="117" spans="1:26" ht="19.5">
      <c r="A117" s="917" t="s">
        <v>64</v>
      </c>
      <c r="B117" s="918"/>
      <c r="C117" s="969"/>
      <c r="D117" s="918"/>
      <c r="E117" s="918"/>
      <c r="F117" s="918"/>
      <c r="G117" s="918"/>
      <c r="H117" s="970"/>
      <c r="I117" s="971"/>
      <c r="J117" s="971"/>
      <c r="K117" s="972"/>
      <c r="L117" s="923"/>
      <c r="M117" s="923"/>
      <c r="N117" s="923"/>
      <c r="O117" s="923"/>
      <c r="P117" s="923"/>
    </row>
    <row r="118" spans="1:26" ht="19.5">
      <c r="A118" s="924"/>
      <c r="B118" s="925" t="s">
        <v>65</v>
      </c>
      <c r="C118" s="973"/>
      <c r="D118" s="927"/>
      <c r="E118" s="926"/>
      <c r="F118" s="926"/>
      <c r="G118" s="928"/>
      <c r="H118" s="205" t="s">
        <v>66</v>
      </c>
      <c r="I118" s="974">
        <v>1</v>
      </c>
      <c r="J118" s="974">
        <f>J438</f>
        <v>1</v>
      </c>
      <c r="K118" s="931">
        <f>IF(I118&gt;0,J118*100/I118,0)</f>
        <v>100</v>
      </c>
      <c r="L118" s="931"/>
      <c r="M118" s="931"/>
      <c r="N118" s="931"/>
      <c r="O118" s="931"/>
      <c r="P118" s="931"/>
    </row>
    <row r="119" spans="1:26" ht="19.5">
      <c r="A119" s="932"/>
      <c r="B119" s="933"/>
      <c r="C119" s="934" t="s">
        <v>16</v>
      </c>
      <c r="D119" s="935" t="s">
        <v>17</v>
      </c>
      <c r="E119" s="933"/>
      <c r="F119" s="933"/>
      <c r="G119" s="936"/>
      <c r="H119" s="152" t="s">
        <v>12</v>
      </c>
      <c r="I119" s="937"/>
      <c r="J119" s="937"/>
      <c r="K119" s="938"/>
      <c r="L119" s="939">
        <f t="shared" ref="L119:N119" ca="1" si="60">L120+L121</f>
        <v>0</v>
      </c>
      <c r="M119" s="939">
        <f t="shared" ca="1" si="60"/>
        <v>0</v>
      </c>
      <c r="N119" s="939">
        <f t="shared" ca="1" si="60"/>
        <v>0</v>
      </c>
      <c r="O119" s="939">
        <f t="shared" ref="O119:O127" ca="1" si="61">IF(L119&gt;0,N119*100/L119,0)</f>
        <v>0</v>
      </c>
      <c r="P119" s="939">
        <f t="shared" ref="P119:P127" ca="1" si="62">IF(M119&gt;0,N119*100/M119,0)</f>
        <v>0</v>
      </c>
      <c r="Q119" s="818"/>
      <c r="R119" s="818"/>
      <c r="S119" s="818"/>
      <c r="T119" s="818"/>
      <c r="U119" s="818"/>
      <c r="V119" s="818"/>
      <c r="W119" s="818"/>
      <c r="X119" s="818"/>
      <c r="Y119" s="818"/>
      <c r="Z119" s="818"/>
    </row>
    <row r="120" spans="1:26" ht="18.75" hidden="1">
      <c r="A120" s="940"/>
      <c r="B120" s="833"/>
      <c r="C120" s="833"/>
      <c r="D120" s="833"/>
      <c r="E120" s="834" t="s">
        <v>18</v>
      </c>
      <c r="F120" s="833"/>
      <c r="G120" s="941"/>
      <c r="H120" s="158" t="s">
        <v>12</v>
      </c>
      <c r="I120" s="836"/>
      <c r="J120" s="836"/>
      <c r="K120" s="837"/>
      <c r="L120" s="837">
        <f t="shared" ref="L120:N121" si="63">L123+L126</f>
        <v>0</v>
      </c>
      <c r="M120" s="837">
        <f t="shared" si="63"/>
        <v>0</v>
      </c>
      <c r="N120" s="837">
        <f t="shared" si="63"/>
        <v>0</v>
      </c>
      <c r="O120" s="837">
        <f t="shared" si="61"/>
        <v>0</v>
      </c>
      <c r="P120" s="837">
        <f t="shared" si="62"/>
        <v>0</v>
      </c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</row>
    <row r="121" spans="1:26" ht="18.75" hidden="1">
      <c r="A121" s="940"/>
      <c r="B121" s="833"/>
      <c r="C121" s="833"/>
      <c r="D121" s="833"/>
      <c r="E121" s="834" t="s">
        <v>19</v>
      </c>
      <c r="F121" s="833"/>
      <c r="G121" s="941"/>
      <c r="H121" s="158" t="s">
        <v>12</v>
      </c>
      <c r="I121" s="836"/>
      <c r="J121" s="836"/>
      <c r="K121" s="837"/>
      <c r="L121" s="837">
        <f t="shared" ca="1" si="63"/>
        <v>0</v>
      </c>
      <c r="M121" s="837">
        <f t="shared" ca="1" si="63"/>
        <v>0</v>
      </c>
      <c r="N121" s="837">
        <f t="shared" ca="1" si="63"/>
        <v>0</v>
      </c>
      <c r="O121" s="837">
        <f t="shared" ca="1" si="61"/>
        <v>0</v>
      </c>
      <c r="P121" s="837">
        <f t="shared" ca="1" si="62"/>
        <v>0</v>
      </c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</row>
    <row r="122" spans="1:26" ht="18.75" hidden="1">
      <c r="A122" s="942"/>
      <c r="B122" s="827"/>
      <c r="C122" s="943"/>
      <c r="D122" s="828" t="s">
        <v>20</v>
      </c>
      <c r="E122" s="827"/>
      <c r="F122" s="827"/>
      <c r="G122" s="829"/>
      <c r="H122" s="778" t="s">
        <v>12</v>
      </c>
      <c r="I122" s="944"/>
      <c r="J122" s="944"/>
      <c r="K122" s="945"/>
      <c r="L122" s="831">
        <f t="shared" ref="L122:N122" ca="1" si="64">L123+L124</f>
        <v>0</v>
      </c>
      <c r="M122" s="831">
        <f t="shared" ca="1" si="64"/>
        <v>0</v>
      </c>
      <c r="N122" s="831">
        <f t="shared" ca="1" si="64"/>
        <v>0</v>
      </c>
      <c r="O122" s="831">
        <f t="shared" ca="1" si="61"/>
        <v>0</v>
      </c>
      <c r="P122" s="831">
        <f t="shared" ca="1" si="62"/>
        <v>0</v>
      </c>
      <c r="Q122" s="818"/>
      <c r="R122" s="818"/>
      <c r="S122" s="818"/>
      <c r="T122" s="818"/>
      <c r="U122" s="818"/>
      <c r="V122" s="818"/>
      <c r="W122" s="818"/>
      <c r="X122" s="818"/>
      <c r="Y122" s="818"/>
      <c r="Z122" s="818"/>
    </row>
    <row r="123" spans="1:26" ht="18.75" hidden="1">
      <c r="A123" s="940"/>
      <c r="B123" s="833"/>
      <c r="C123" s="834"/>
      <c r="D123" s="833"/>
      <c r="E123" s="834" t="s">
        <v>36</v>
      </c>
      <c r="F123" s="833"/>
      <c r="G123" s="941"/>
      <c r="H123" s="165" t="s">
        <v>12</v>
      </c>
      <c r="I123" s="947"/>
      <c r="J123" s="947"/>
      <c r="K123" s="948"/>
      <c r="L123" s="837">
        <v>0</v>
      </c>
      <c r="M123" s="837">
        <v>0</v>
      </c>
      <c r="N123" s="837">
        <v>0</v>
      </c>
      <c r="O123" s="837">
        <f t="shared" si="61"/>
        <v>0</v>
      </c>
      <c r="P123" s="837">
        <f t="shared" si="62"/>
        <v>0</v>
      </c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</row>
    <row r="124" spans="1:26" ht="18.75" hidden="1">
      <c r="A124" s="940"/>
      <c r="B124" s="833"/>
      <c r="C124" s="834"/>
      <c r="D124" s="833"/>
      <c r="E124" s="834" t="s">
        <v>37</v>
      </c>
      <c r="F124" s="833"/>
      <c r="G124" s="941"/>
      <c r="H124" s="165" t="s">
        <v>12</v>
      </c>
      <c r="I124" s="947"/>
      <c r="J124" s="947"/>
      <c r="K124" s="948"/>
      <c r="L124" s="837">
        <f ca="1">IFERROR(__xludf.DUMMYFUNCTION("IMPORTRANGE(""https://docs.google.com/spreadsheets/d/1MeEWN-I1oV_STSDYn1IFDPWt_1FKiwhDph83XaGc0o0/edit?usp=sharing"",""งบพรบ!BA14"")"),0)</f>
        <v>0</v>
      </c>
      <c r="M124" s="837">
        <f ca="1">IFERROR(__xludf.DUMMYFUNCTION("IMPORTRANGE(""https://docs.google.com/spreadsheets/d/1MeEWN-I1oV_STSDYn1IFDPWt_1FKiwhDph83XaGc0o0/edit?usp=sharing"",""งบพรบ!BF14"")"),0)</f>
        <v>0</v>
      </c>
      <c r="N124" s="837">
        <f ca="1">IFERROR(__xludf.DUMMYFUNCTION("IMPORTRANGE(""https://docs.google.com/spreadsheets/d/1MeEWN-I1oV_STSDYn1IFDPWt_1FKiwhDph83XaGc0o0/edit?usp=sharing"",""งบพรบ!BH14"")"),0)</f>
        <v>0</v>
      </c>
      <c r="O124" s="837">
        <f t="shared" ca="1" si="61"/>
        <v>0</v>
      </c>
      <c r="P124" s="837">
        <f t="shared" ca="1" si="62"/>
        <v>0</v>
      </c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</row>
    <row r="125" spans="1:26" ht="18.75" hidden="1">
      <c r="A125" s="942"/>
      <c r="B125" s="827"/>
      <c r="C125" s="943"/>
      <c r="D125" s="828" t="s">
        <v>21</v>
      </c>
      <c r="E125" s="827"/>
      <c r="F125" s="827"/>
      <c r="G125" s="829"/>
      <c r="H125" s="168" t="s">
        <v>12</v>
      </c>
      <c r="I125" s="944"/>
      <c r="J125" s="944"/>
      <c r="K125" s="945"/>
      <c r="L125" s="831">
        <f t="shared" ref="L125:N125" ca="1" si="65">L126+L127</f>
        <v>0</v>
      </c>
      <c r="M125" s="831">
        <f t="shared" ca="1" si="65"/>
        <v>0</v>
      </c>
      <c r="N125" s="831">
        <f t="shared" ca="1" si="65"/>
        <v>0</v>
      </c>
      <c r="O125" s="831">
        <f t="shared" ca="1" si="61"/>
        <v>0</v>
      </c>
      <c r="P125" s="831">
        <f t="shared" ca="1" si="62"/>
        <v>0</v>
      </c>
      <c r="Q125" s="818"/>
      <c r="R125" s="818"/>
      <c r="S125" s="818"/>
      <c r="T125" s="818"/>
      <c r="U125" s="818"/>
      <c r="V125" s="818"/>
      <c r="W125" s="818"/>
      <c r="X125" s="818"/>
      <c r="Y125" s="818"/>
      <c r="Z125" s="818"/>
    </row>
    <row r="126" spans="1:26" ht="19.5" hidden="1">
      <c r="A126" s="940"/>
      <c r="B126" s="833"/>
      <c r="C126" s="946"/>
      <c r="D126" s="833"/>
      <c r="E126" s="834" t="s">
        <v>18</v>
      </c>
      <c r="F126" s="833"/>
      <c r="G126" s="941"/>
      <c r="H126" s="165" t="s">
        <v>12</v>
      </c>
      <c r="I126" s="947"/>
      <c r="J126" s="947"/>
      <c r="K126" s="948"/>
      <c r="L126" s="837">
        <v>0</v>
      </c>
      <c r="M126" s="837">
        <v>0</v>
      </c>
      <c r="N126" s="837">
        <v>0</v>
      </c>
      <c r="O126" s="837">
        <f t="shared" si="61"/>
        <v>0</v>
      </c>
      <c r="P126" s="837">
        <f t="shared" si="62"/>
        <v>0</v>
      </c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</row>
    <row r="127" spans="1:26" ht="19.5" hidden="1">
      <c r="A127" s="940"/>
      <c r="B127" s="833"/>
      <c r="C127" s="946"/>
      <c r="D127" s="833"/>
      <c r="E127" s="834" t="s">
        <v>19</v>
      </c>
      <c r="F127" s="833"/>
      <c r="G127" s="941"/>
      <c r="H127" s="169" t="s">
        <v>12</v>
      </c>
      <c r="I127" s="947"/>
      <c r="J127" s="947"/>
      <c r="K127" s="948"/>
      <c r="L127" s="837">
        <f ca="1">IFERROR(__xludf.DUMMYFUNCTION("IMPORTRANGE(""https://docs.google.com/spreadsheets/d/1MeEWN-I1oV_STSDYn1IFDPWt_1FKiwhDph83XaGc0o0/edit?usp=sharing"",""งบพรบ!BD14"")"),0)</f>
        <v>0</v>
      </c>
      <c r="M127" s="837">
        <f ca="1">IFERROR(__xludf.DUMMYFUNCTION("IMPORTRANGE(""https://docs.google.com/spreadsheets/d/1MeEWN-I1oV_STSDYn1IFDPWt_1FKiwhDph83XaGc0o0/edit?usp=sharing"",""งบพรบ!BG14"")"),0)</f>
        <v>0</v>
      </c>
      <c r="N127" s="837">
        <f ca="1">IFERROR(__xludf.DUMMYFUNCTION("IMPORTRANGE(""https://docs.google.com/spreadsheets/d/1MeEWN-I1oV_STSDYn1IFDPWt_1FKiwhDph83XaGc0o0/edit?usp=sharing"",""งบพรบ!BI14"")"),0)</f>
        <v>0</v>
      </c>
      <c r="O127" s="837">
        <f t="shared" ca="1" si="61"/>
        <v>0</v>
      </c>
      <c r="P127" s="837">
        <f t="shared" ca="1" si="62"/>
        <v>0</v>
      </c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</row>
    <row r="128" spans="1:26" ht="19.5" hidden="1">
      <c r="A128" s="917" t="s">
        <v>67</v>
      </c>
      <c r="B128" s="918"/>
      <c r="C128" s="969"/>
      <c r="D128" s="918"/>
      <c r="E128" s="918"/>
      <c r="F128" s="918"/>
      <c r="G128" s="918"/>
      <c r="H128" s="970"/>
      <c r="I128" s="971"/>
      <c r="J128" s="971"/>
      <c r="K128" s="972"/>
      <c r="L128" s="923"/>
      <c r="M128" s="923"/>
      <c r="N128" s="923"/>
      <c r="O128" s="923"/>
      <c r="P128" s="923"/>
    </row>
    <row r="129" spans="1:26" ht="19.5" hidden="1">
      <c r="A129" s="924"/>
      <c r="B129" s="925" t="s">
        <v>68</v>
      </c>
      <c r="C129" s="973"/>
      <c r="D129" s="927"/>
      <c r="E129" s="926"/>
      <c r="F129" s="926"/>
      <c r="G129" s="926"/>
      <c r="H129" s="207"/>
      <c r="I129" s="974"/>
      <c r="J129" s="974"/>
      <c r="K129" s="931"/>
      <c r="L129" s="931"/>
      <c r="M129" s="931"/>
      <c r="N129" s="931"/>
      <c r="O129" s="931"/>
      <c r="P129" s="931"/>
    </row>
    <row r="130" spans="1:26" ht="19.5" hidden="1">
      <c r="A130" s="924"/>
      <c r="B130" s="925"/>
      <c r="C130" s="975" t="s">
        <v>69</v>
      </c>
      <c r="D130" s="927"/>
      <c r="E130" s="926"/>
      <c r="F130" s="926"/>
      <c r="G130" s="928"/>
      <c r="H130" s="205" t="s">
        <v>66</v>
      </c>
      <c r="I130" s="929">
        <f t="shared" ref="I130:J130" ca="1" si="66">I146</f>
        <v>0</v>
      </c>
      <c r="J130" s="929">
        <f t="shared" si="66"/>
        <v>0</v>
      </c>
      <c r="K130" s="930">
        <f t="shared" ref="K130:K131" ca="1" si="67">IF(I130&gt;0,J130*100/I130,0)</f>
        <v>0</v>
      </c>
      <c r="L130" s="931"/>
      <c r="M130" s="931"/>
      <c r="N130" s="931"/>
      <c r="O130" s="931"/>
      <c r="P130" s="931"/>
    </row>
    <row r="131" spans="1:26" ht="19.5" hidden="1">
      <c r="A131" s="924"/>
      <c r="B131" s="925"/>
      <c r="C131" s="975" t="s">
        <v>70</v>
      </c>
      <c r="D131" s="927"/>
      <c r="E131" s="926"/>
      <c r="F131" s="926"/>
      <c r="G131" s="928"/>
      <c r="H131" s="205" t="s">
        <v>35</v>
      </c>
      <c r="I131" s="929">
        <f t="shared" ref="I131:J131" ca="1" si="68">I143</f>
        <v>0</v>
      </c>
      <c r="J131" s="929">
        <f t="shared" ca="1" si="68"/>
        <v>0</v>
      </c>
      <c r="K131" s="930">
        <f t="shared" ca="1" si="67"/>
        <v>0</v>
      </c>
      <c r="L131" s="931"/>
      <c r="M131" s="931"/>
      <c r="N131" s="931"/>
      <c r="O131" s="931"/>
      <c r="P131" s="931"/>
    </row>
    <row r="132" spans="1:26" ht="19.5" hidden="1">
      <c r="A132" s="932"/>
      <c r="B132" s="933"/>
      <c r="C132" s="934" t="s">
        <v>16</v>
      </c>
      <c r="D132" s="935" t="s">
        <v>17</v>
      </c>
      <c r="E132" s="933"/>
      <c r="F132" s="933"/>
      <c r="G132" s="936"/>
      <c r="H132" s="152" t="s">
        <v>12</v>
      </c>
      <c r="I132" s="937"/>
      <c r="J132" s="937"/>
      <c r="K132" s="938"/>
      <c r="L132" s="939">
        <f t="shared" ref="L132:N132" ca="1" si="69">L133+L134</f>
        <v>0</v>
      </c>
      <c r="M132" s="939">
        <f t="shared" ca="1" si="69"/>
        <v>0</v>
      </c>
      <c r="N132" s="939">
        <f t="shared" ca="1" si="69"/>
        <v>0</v>
      </c>
      <c r="O132" s="939">
        <f t="shared" ref="O132:O140" ca="1" si="70">IF(L132&gt;0,N132*100/L132,0)</f>
        <v>0</v>
      </c>
      <c r="P132" s="939">
        <f t="shared" ref="P132:P140" ca="1" si="71">IF(M132&gt;0,N132*100/M132,0)</f>
        <v>0</v>
      </c>
      <c r="Q132" s="818"/>
      <c r="R132" s="818"/>
      <c r="S132" s="818"/>
      <c r="T132" s="818"/>
      <c r="U132" s="818"/>
      <c r="V132" s="818"/>
      <c r="W132" s="818"/>
      <c r="X132" s="818"/>
      <c r="Y132" s="818"/>
      <c r="Z132" s="818"/>
    </row>
    <row r="133" spans="1:26" ht="18.75" hidden="1">
      <c r="A133" s="940"/>
      <c r="B133" s="833"/>
      <c r="C133" s="833"/>
      <c r="D133" s="833"/>
      <c r="E133" s="834" t="s">
        <v>18</v>
      </c>
      <c r="F133" s="833"/>
      <c r="G133" s="941"/>
      <c r="H133" s="158" t="s">
        <v>12</v>
      </c>
      <c r="I133" s="836"/>
      <c r="J133" s="836"/>
      <c r="K133" s="837"/>
      <c r="L133" s="837">
        <f t="shared" ref="L133:N134" si="72">L136+L139</f>
        <v>0</v>
      </c>
      <c r="M133" s="837">
        <f t="shared" si="72"/>
        <v>0</v>
      </c>
      <c r="N133" s="837">
        <f t="shared" si="72"/>
        <v>0</v>
      </c>
      <c r="O133" s="837">
        <f t="shared" si="70"/>
        <v>0</v>
      </c>
      <c r="P133" s="837">
        <f t="shared" si="71"/>
        <v>0</v>
      </c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</row>
    <row r="134" spans="1:26" ht="18.75" hidden="1">
      <c r="A134" s="940"/>
      <c r="B134" s="833"/>
      <c r="C134" s="833"/>
      <c r="D134" s="833"/>
      <c r="E134" s="834" t="s">
        <v>19</v>
      </c>
      <c r="F134" s="833"/>
      <c r="G134" s="941"/>
      <c r="H134" s="158" t="s">
        <v>12</v>
      </c>
      <c r="I134" s="836"/>
      <c r="J134" s="836"/>
      <c r="K134" s="837"/>
      <c r="L134" s="837">
        <f t="shared" ca="1" si="72"/>
        <v>0</v>
      </c>
      <c r="M134" s="837">
        <f t="shared" ca="1" si="72"/>
        <v>0</v>
      </c>
      <c r="N134" s="837">
        <f t="shared" ca="1" si="72"/>
        <v>0</v>
      </c>
      <c r="O134" s="837">
        <f t="shared" ca="1" si="70"/>
        <v>0</v>
      </c>
      <c r="P134" s="837">
        <f t="shared" ca="1" si="71"/>
        <v>0</v>
      </c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</row>
    <row r="135" spans="1:26" ht="18.75" hidden="1">
      <c r="A135" s="942"/>
      <c r="B135" s="827"/>
      <c r="C135" s="943"/>
      <c r="D135" s="828" t="s">
        <v>20</v>
      </c>
      <c r="E135" s="827"/>
      <c r="F135" s="827"/>
      <c r="G135" s="829"/>
      <c r="H135" s="778" t="s">
        <v>12</v>
      </c>
      <c r="I135" s="944"/>
      <c r="J135" s="944"/>
      <c r="K135" s="945"/>
      <c r="L135" s="831">
        <f t="shared" ref="L135:N135" ca="1" si="73">L136+L137</f>
        <v>0</v>
      </c>
      <c r="M135" s="831">
        <f t="shared" ca="1" si="73"/>
        <v>0</v>
      </c>
      <c r="N135" s="831">
        <f t="shared" ca="1" si="73"/>
        <v>0</v>
      </c>
      <c r="O135" s="831">
        <f t="shared" ca="1" si="70"/>
        <v>0</v>
      </c>
      <c r="P135" s="831">
        <f t="shared" ca="1" si="71"/>
        <v>0</v>
      </c>
      <c r="Q135" s="818"/>
      <c r="R135" s="818"/>
      <c r="S135" s="818"/>
      <c r="T135" s="818"/>
      <c r="U135" s="818"/>
      <c r="V135" s="818"/>
      <c r="W135" s="818"/>
      <c r="X135" s="818"/>
      <c r="Y135" s="818"/>
      <c r="Z135" s="818"/>
    </row>
    <row r="136" spans="1:26" ht="19.5" hidden="1">
      <c r="A136" s="940"/>
      <c r="B136" s="833"/>
      <c r="C136" s="946"/>
      <c r="D136" s="833"/>
      <c r="E136" s="834" t="s">
        <v>36</v>
      </c>
      <c r="F136" s="833"/>
      <c r="G136" s="941"/>
      <c r="H136" s="165" t="s">
        <v>12</v>
      </c>
      <c r="I136" s="947"/>
      <c r="J136" s="947"/>
      <c r="K136" s="948"/>
      <c r="L136" s="837">
        <v>0</v>
      </c>
      <c r="M136" s="837">
        <v>0</v>
      </c>
      <c r="N136" s="837">
        <v>0</v>
      </c>
      <c r="O136" s="837">
        <f t="shared" si="70"/>
        <v>0</v>
      </c>
      <c r="P136" s="837">
        <f t="shared" si="71"/>
        <v>0</v>
      </c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</row>
    <row r="137" spans="1:26" ht="19.5" hidden="1">
      <c r="A137" s="940"/>
      <c r="B137" s="833"/>
      <c r="C137" s="946"/>
      <c r="D137" s="833"/>
      <c r="E137" s="834" t="s">
        <v>37</v>
      </c>
      <c r="F137" s="833"/>
      <c r="G137" s="941"/>
      <c r="H137" s="165" t="s">
        <v>12</v>
      </c>
      <c r="I137" s="947"/>
      <c r="J137" s="947"/>
      <c r="K137" s="948"/>
      <c r="L137" s="837">
        <f ca="1">IFERROR(__xludf.DUMMYFUNCTION("IMPORTRANGE(""https://docs.google.com/spreadsheets/d/1MeEWN-I1oV_STSDYn1IFDPWt_1FKiwhDph83XaGc0o0/edit?usp=sharing"",""งบพรบ!BK14"")"),0)</f>
        <v>0</v>
      </c>
      <c r="M137" s="837">
        <f ca="1">IFERROR(__xludf.DUMMYFUNCTION("IMPORTRANGE(""https://docs.google.com/spreadsheets/d/1MeEWN-I1oV_STSDYn1IFDPWt_1FKiwhDph83XaGc0o0/edit?usp=sharing"",""งบพรบ!BP14"")"),0)</f>
        <v>0</v>
      </c>
      <c r="N137" s="837">
        <f ca="1">IFERROR(__xludf.DUMMYFUNCTION("IMPORTRANGE(""https://docs.google.com/spreadsheets/d/1MeEWN-I1oV_STSDYn1IFDPWt_1FKiwhDph83XaGc0o0/edit?usp=sharing"",""งบพรบ!BR14"")"),0)</f>
        <v>0</v>
      </c>
      <c r="O137" s="837">
        <f t="shared" ca="1" si="70"/>
        <v>0</v>
      </c>
      <c r="P137" s="837">
        <f t="shared" ca="1" si="71"/>
        <v>0</v>
      </c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</row>
    <row r="138" spans="1:26" ht="18.75" hidden="1">
      <c r="A138" s="942"/>
      <c r="B138" s="827"/>
      <c r="C138" s="943"/>
      <c r="D138" s="828" t="s">
        <v>21</v>
      </c>
      <c r="E138" s="827"/>
      <c r="F138" s="827"/>
      <c r="G138" s="829"/>
      <c r="H138" s="168" t="s">
        <v>12</v>
      </c>
      <c r="I138" s="944"/>
      <c r="J138" s="944"/>
      <c r="K138" s="945"/>
      <c r="L138" s="831">
        <f t="shared" ref="L138:N138" ca="1" si="74">L139+L140</f>
        <v>0</v>
      </c>
      <c r="M138" s="831">
        <f t="shared" ca="1" si="74"/>
        <v>0</v>
      </c>
      <c r="N138" s="831">
        <f t="shared" ca="1" si="74"/>
        <v>0</v>
      </c>
      <c r="O138" s="831">
        <f t="shared" ca="1" si="70"/>
        <v>0</v>
      </c>
      <c r="P138" s="831">
        <f t="shared" ca="1" si="71"/>
        <v>0</v>
      </c>
      <c r="Q138" s="818"/>
      <c r="R138" s="818"/>
      <c r="S138" s="818"/>
      <c r="T138" s="818"/>
      <c r="U138" s="818"/>
      <c r="V138" s="818"/>
      <c r="W138" s="818"/>
      <c r="X138" s="818"/>
      <c r="Y138" s="818"/>
      <c r="Z138" s="818"/>
    </row>
    <row r="139" spans="1:26" ht="19.5" hidden="1">
      <c r="A139" s="940"/>
      <c r="B139" s="833"/>
      <c r="C139" s="946"/>
      <c r="D139" s="833"/>
      <c r="E139" s="834" t="s">
        <v>18</v>
      </c>
      <c r="F139" s="833"/>
      <c r="G139" s="941"/>
      <c r="H139" s="165" t="s">
        <v>12</v>
      </c>
      <c r="I139" s="947"/>
      <c r="J139" s="947"/>
      <c r="K139" s="948"/>
      <c r="L139" s="837">
        <v>0</v>
      </c>
      <c r="M139" s="837">
        <v>0</v>
      </c>
      <c r="N139" s="837">
        <v>0</v>
      </c>
      <c r="O139" s="837">
        <f t="shared" si="70"/>
        <v>0</v>
      </c>
      <c r="P139" s="837">
        <f t="shared" si="71"/>
        <v>0</v>
      </c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</row>
    <row r="140" spans="1:26" ht="19.5" hidden="1">
      <c r="A140" s="940"/>
      <c r="B140" s="833"/>
      <c r="C140" s="946"/>
      <c r="D140" s="833"/>
      <c r="E140" s="834" t="s">
        <v>19</v>
      </c>
      <c r="F140" s="833"/>
      <c r="G140" s="941"/>
      <c r="H140" s="169" t="s">
        <v>12</v>
      </c>
      <c r="I140" s="947"/>
      <c r="J140" s="947"/>
      <c r="K140" s="948"/>
      <c r="L140" s="837">
        <f ca="1">IFERROR(__xludf.DUMMYFUNCTION("IMPORTRANGE(""https://docs.google.com/spreadsheets/d/1MeEWN-I1oV_STSDYn1IFDPWt_1FKiwhDph83XaGc0o0/edit?usp=sharing"",""งบพรบ!BN14"")"),0)</f>
        <v>0</v>
      </c>
      <c r="M140" s="837">
        <f ca="1">IFERROR(__xludf.DUMMYFUNCTION("IMPORTRANGE(""https://docs.google.com/spreadsheets/d/1MeEWN-I1oV_STSDYn1IFDPWt_1FKiwhDph83XaGc0o0/edit?usp=sharing"",""งบพรบ!BQ14"")"),0)</f>
        <v>0</v>
      </c>
      <c r="N140" s="837">
        <f ca="1">IFERROR(__xludf.DUMMYFUNCTION("IMPORTRANGE(""https://docs.google.com/spreadsheets/d/1MeEWN-I1oV_STSDYn1IFDPWt_1FKiwhDph83XaGc0o0/edit?usp=sharing"",""งบพรบ!BS14"")"),0)</f>
        <v>0</v>
      </c>
      <c r="O140" s="837">
        <f t="shared" ca="1" si="70"/>
        <v>0</v>
      </c>
      <c r="P140" s="837">
        <f t="shared" ca="1" si="71"/>
        <v>0</v>
      </c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</row>
    <row r="141" spans="1:26" ht="19.5" hidden="1">
      <c r="A141" s="949"/>
      <c r="B141" s="950"/>
      <c r="C141" s="934" t="s">
        <v>16</v>
      </c>
      <c r="D141" s="951" t="s">
        <v>38</v>
      </c>
      <c r="E141" s="952"/>
      <c r="F141" s="952"/>
      <c r="G141" s="953"/>
      <c r="H141" s="168"/>
      <c r="I141" s="830"/>
      <c r="J141" s="830"/>
      <c r="K141" s="831"/>
      <c r="L141" s="831"/>
      <c r="M141" s="831"/>
      <c r="N141" s="831"/>
      <c r="O141" s="831"/>
      <c r="P141" s="831"/>
    </row>
    <row r="142" spans="1:26" ht="19.5" hidden="1">
      <c r="A142" s="942"/>
      <c r="B142" s="827"/>
      <c r="C142" s="976"/>
      <c r="D142" s="943" t="s">
        <v>71</v>
      </c>
      <c r="E142" s="828"/>
      <c r="F142" s="827"/>
      <c r="G142" s="977"/>
      <c r="H142" s="168"/>
      <c r="I142" s="830"/>
      <c r="J142" s="959">
        <v>0</v>
      </c>
      <c r="K142" s="831"/>
      <c r="L142" s="831"/>
      <c r="M142" s="831"/>
      <c r="N142" s="831"/>
      <c r="O142" s="831"/>
      <c r="P142" s="831"/>
    </row>
    <row r="143" spans="1:26" ht="19.5" hidden="1">
      <c r="A143" s="942"/>
      <c r="B143" s="827"/>
      <c r="C143" s="976"/>
      <c r="D143" s="943" t="s">
        <v>72</v>
      </c>
      <c r="E143" s="828"/>
      <c r="F143" s="827"/>
      <c r="G143" s="977"/>
      <c r="H143" s="168" t="s">
        <v>35</v>
      </c>
      <c r="I143" s="830">
        <f ca="1">I145</f>
        <v>0</v>
      </c>
      <c r="J143" s="830">
        <f ca="1">IF(AND(J144&gt;=I144,J145&gt;=I145),J145,0)</f>
        <v>0</v>
      </c>
      <c r="K143" s="831">
        <f t="shared" ref="K143:K146" ca="1" si="75">IF(I143&gt;0,J143*100/I143,0)</f>
        <v>0</v>
      </c>
      <c r="L143" s="831"/>
      <c r="M143" s="831"/>
      <c r="N143" s="831"/>
      <c r="O143" s="831"/>
      <c r="P143" s="831"/>
    </row>
    <row r="144" spans="1:26" ht="19.5" hidden="1">
      <c r="A144" s="942"/>
      <c r="B144" s="827"/>
      <c r="C144" s="976"/>
      <c r="D144" s="957"/>
      <c r="E144" s="943" t="s">
        <v>73</v>
      </c>
      <c r="F144" s="827"/>
      <c r="G144" s="977"/>
      <c r="H144" s="168" t="s">
        <v>35</v>
      </c>
      <c r="I144" s="830">
        <f ca="1">IFERROR(__xludf.DUMMYFUNCTION("IMPORTRANGE(""https://docs.google.com/spreadsheets/d/1QqKyyYR6Q21VydFLVH3TRQUabQu_ym0Zz7PgGX0-kHA/edit?usp=sharing"",""แผน!U14"")"),0)</f>
        <v>0</v>
      </c>
      <c r="J144" s="959">
        <v>0</v>
      </c>
      <c r="K144" s="831">
        <f t="shared" ca="1" si="75"/>
        <v>0</v>
      </c>
      <c r="L144" s="831"/>
      <c r="M144" s="831"/>
      <c r="N144" s="831"/>
      <c r="O144" s="831"/>
      <c r="P144" s="831"/>
    </row>
    <row r="145" spans="1:26" ht="19.5" hidden="1">
      <c r="A145" s="942"/>
      <c r="B145" s="827"/>
      <c r="C145" s="976"/>
      <c r="D145" s="957"/>
      <c r="E145" s="943" t="s">
        <v>74</v>
      </c>
      <c r="F145" s="827"/>
      <c r="G145" s="977"/>
      <c r="H145" s="168" t="s">
        <v>35</v>
      </c>
      <c r="I145" s="830">
        <f ca="1">IFERROR(__xludf.DUMMYFUNCTION("IMPORTRANGE(""https://docs.google.com/spreadsheets/d/1QqKyyYR6Q21VydFLVH3TRQUabQu_ym0Zz7PgGX0-kHA/edit?usp=sharing"",""แผน!V14"")"),0)</f>
        <v>0</v>
      </c>
      <c r="J145" s="959">
        <v>0</v>
      </c>
      <c r="K145" s="831">
        <f t="shared" ca="1" si="75"/>
        <v>0</v>
      </c>
      <c r="L145" s="831"/>
      <c r="M145" s="831"/>
      <c r="N145" s="831"/>
      <c r="O145" s="831"/>
      <c r="P145" s="831"/>
    </row>
    <row r="146" spans="1:26" ht="19.5" hidden="1">
      <c r="A146" s="942"/>
      <c r="B146" s="827"/>
      <c r="C146" s="976"/>
      <c r="D146" s="943" t="s">
        <v>75</v>
      </c>
      <c r="E146" s="828"/>
      <c r="F146" s="827"/>
      <c r="G146" s="977"/>
      <c r="H146" s="168" t="s">
        <v>66</v>
      </c>
      <c r="I146" s="830">
        <f ca="1">IFERROR(__xludf.DUMMYFUNCTION("IMPORTRANGE(""https://docs.google.com/spreadsheets/d/1QqKyyYR6Q21VydFLVH3TRQUabQu_ym0Zz7PgGX0-kHA/edit?usp=sharing"",""แผน!W14"")"),0)</f>
        <v>0</v>
      </c>
      <c r="J146" s="959">
        <v>0</v>
      </c>
      <c r="K146" s="831">
        <f t="shared" ca="1" si="75"/>
        <v>0</v>
      </c>
      <c r="L146" s="831"/>
      <c r="M146" s="831"/>
      <c r="N146" s="831"/>
      <c r="O146" s="831"/>
      <c r="P146" s="831"/>
    </row>
    <row r="147" spans="1:26" ht="19.5" hidden="1">
      <c r="A147" s="917" t="s">
        <v>76</v>
      </c>
      <c r="B147" s="918"/>
      <c r="C147" s="969"/>
      <c r="D147" s="918"/>
      <c r="E147" s="918"/>
      <c r="F147" s="918"/>
      <c r="G147" s="918"/>
      <c r="H147" s="970"/>
      <c r="I147" s="971"/>
      <c r="J147" s="971"/>
      <c r="K147" s="972"/>
      <c r="L147" s="923"/>
      <c r="M147" s="923"/>
      <c r="N147" s="923"/>
      <c r="O147" s="923"/>
      <c r="P147" s="923"/>
    </row>
    <row r="148" spans="1:26" ht="19.5" hidden="1">
      <c r="A148" s="978"/>
      <c r="B148" s="925" t="s">
        <v>77</v>
      </c>
      <c r="C148" s="925"/>
      <c r="D148" s="925"/>
      <c r="E148" s="979"/>
      <c r="F148" s="980"/>
      <c r="G148" s="981"/>
      <c r="H148" s="221" t="s">
        <v>35</v>
      </c>
      <c r="I148" s="929">
        <f t="shared" ref="I148:J148" ca="1" si="76">I159</f>
        <v>0</v>
      </c>
      <c r="J148" s="929">
        <f t="shared" si="76"/>
        <v>0</v>
      </c>
      <c r="K148" s="930">
        <f ca="1">IF(I148&gt;0,J148*100/I148,0)</f>
        <v>0</v>
      </c>
      <c r="L148" s="930"/>
      <c r="M148" s="930"/>
      <c r="N148" s="930"/>
      <c r="O148" s="930"/>
      <c r="P148" s="930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32"/>
      <c r="B149" s="933"/>
      <c r="C149" s="934" t="s">
        <v>16</v>
      </c>
      <c r="D149" s="935" t="s">
        <v>17</v>
      </c>
      <c r="E149" s="933"/>
      <c r="F149" s="933"/>
      <c r="G149" s="936"/>
      <c r="H149" s="152" t="s">
        <v>12</v>
      </c>
      <c r="I149" s="937"/>
      <c r="J149" s="937"/>
      <c r="K149" s="938"/>
      <c r="L149" s="939">
        <f t="shared" ref="L149:N149" ca="1" si="77">L150+L151</f>
        <v>0</v>
      </c>
      <c r="M149" s="939">
        <f t="shared" ca="1" si="77"/>
        <v>0</v>
      </c>
      <c r="N149" s="939">
        <f t="shared" ca="1" si="77"/>
        <v>0</v>
      </c>
      <c r="O149" s="939">
        <f t="shared" ref="O149:O157" ca="1" si="78">IF(L149&gt;0,N149*100/L149,0)</f>
        <v>0</v>
      </c>
      <c r="P149" s="939">
        <f t="shared" ref="P149:P157" ca="1" si="79">IF(M149&gt;0,N149*100/M149,0)</f>
        <v>0</v>
      </c>
      <c r="Q149" s="818"/>
      <c r="R149" s="818"/>
      <c r="S149" s="818"/>
      <c r="T149" s="818"/>
      <c r="U149" s="818"/>
      <c r="V149" s="818"/>
      <c r="W149" s="818"/>
      <c r="X149" s="818"/>
      <c r="Y149" s="818"/>
      <c r="Z149" s="818"/>
    </row>
    <row r="150" spans="1:26" ht="18.75" hidden="1">
      <c r="A150" s="940"/>
      <c r="B150" s="833"/>
      <c r="C150" s="833"/>
      <c r="D150" s="833"/>
      <c r="E150" s="834" t="s">
        <v>18</v>
      </c>
      <c r="F150" s="833"/>
      <c r="G150" s="941"/>
      <c r="H150" s="158" t="s">
        <v>12</v>
      </c>
      <c r="I150" s="836"/>
      <c r="J150" s="836"/>
      <c r="K150" s="837"/>
      <c r="L150" s="837">
        <f t="shared" ref="L150:N151" si="80">L153+L156</f>
        <v>0</v>
      </c>
      <c r="M150" s="837">
        <f t="shared" si="80"/>
        <v>0</v>
      </c>
      <c r="N150" s="837">
        <f t="shared" si="80"/>
        <v>0</v>
      </c>
      <c r="O150" s="837">
        <f t="shared" si="78"/>
        <v>0</v>
      </c>
      <c r="P150" s="837">
        <f t="shared" si="79"/>
        <v>0</v>
      </c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</row>
    <row r="151" spans="1:26" ht="18.75" hidden="1">
      <c r="A151" s="940"/>
      <c r="B151" s="833"/>
      <c r="C151" s="833"/>
      <c r="D151" s="833"/>
      <c r="E151" s="834" t="s">
        <v>19</v>
      </c>
      <c r="F151" s="833"/>
      <c r="G151" s="941"/>
      <c r="H151" s="158" t="s">
        <v>12</v>
      </c>
      <c r="I151" s="836"/>
      <c r="J151" s="836"/>
      <c r="K151" s="837"/>
      <c r="L151" s="837">
        <f t="shared" ca="1" si="80"/>
        <v>0</v>
      </c>
      <c r="M151" s="837">
        <f t="shared" ca="1" si="80"/>
        <v>0</v>
      </c>
      <c r="N151" s="837">
        <f t="shared" ca="1" si="80"/>
        <v>0</v>
      </c>
      <c r="O151" s="837">
        <f t="shared" ca="1" si="78"/>
        <v>0</v>
      </c>
      <c r="P151" s="837">
        <f t="shared" ca="1" si="79"/>
        <v>0</v>
      </c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</row>
    <row r="152" spans="1:26" ht="18.75" hidden="1">
      <c r="A152" s="942"/>
      <c r="B152" s="827"/>
      <c r="C152" s="943"/>
      <c r="D152" s="828" t="s">
        <v>20</v>
      </c>
      <c r="E152" s="827"/>
      <c r="F152" s="827"/>
      <c r="G152" s="829"/>
      <c r="H152" s="778" t="s">
        <v>12</v>
      </c>
      <c r="I152" s="944"/>
      <c r="J152" s="944"/>
      <c r="K152" s="945"/>
      <c r="L152" s="831">
        <f t="shared" ref="L152:N152" ca="1" si="81">L153+L154</f>
        <v>0</v>
      </c>
      <c r="M152" s="831">
        <f t="shared" ca="1" si="81"/>
        <v>0</v>
      </c>
      <c r="N152" s="831">
        <f t="shared" ca="1" si="81"/>
        <v>0</v>
      </c>
      <c r="O152" s="831">
        <f t="shared" ca="1" si="78"/>
        <v>0</v>
      </c>
      <c r="P152" s="831">
        <f t="shared" ca="1" si="79"/>
        <v>0</v>
      </c>
      <c r="Q152" s="818"/>
      <c r="R152" s="818"/>
      <c r="S152" s="818"/>
      <c r="T152" s="818"/>
      <c r="U152" s="818"/>
      <c r="V152" s="818"/>
      <c r="W152" s="818"/>
      <c r="X152" s="818"/>
      <c r="Y152" s="818"/>
      <c r="Z152" s="818"/>
    </row>
    <row r="153" spans="1:26" ht="19.5" hidden="1">
      <c r="A153" s="940"/>
      <c r="B153" s="833"/>
      <c r="C153" s="946"/>
      <c r="D153" s="833"/>
      <c r="E153" s="834" t="s">
        <v>36</v>
      </c>
      <c r="F153" s="833"/>
      <c r="G153" s="941"/>
      <c r="H153" s="165" t="s">
        <v>12</v>
      </c>
      <c r="I153" s="947"/>
      <c r="J153" s="947"/>
      <c r="K153" s="948"/>
      <c r="L153" s="837">
        <v>0</v>
      </c>
      <c r="M153" s="837">
        <v>0</v>
      </c>
      <c r="N153" s="837">
        <v>0</v>
      </c>
      <c r="O153" s="837">
        <f t="shared" si="78"/>
        <v>0</v>
      </c>
      <c r="P153" s="837">
        <f t="shared" si="79"/>
        <v>0</v>
      </c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</row>
    <row r="154" spans="1:26" ht="19.5" hidden="1">
      <c r="A154" s="940"/>
      <c r="B154" s="833"/>
      <c r="C154" s="946"/>
      <c r="D154" s="833"/>
      <c r="E154" s="834" t="s">
        <v>37</v>
      </c>
      <c r="F154" s="833"/>
      <c r="G154" s="941"/>
      <c r="H154" s="165" t="s">
        <v>12</v>
      </c>
      <c r="I154" s="947"/>
      <c r="J154" s="947"/>
      <c r="K154" s="948"/>
      <c r="L154" s="837">
        <f ca="1">IFERROR(__xludf.DUMMYFUNCTION("IMPORTRANGE(""https://docs.google.com/spreadsheets/d/1MeEWN-I1oV_STSDYn1IFDPWt_1FKiwhDph83XaGc0o0/edit?usp=sharing"",""งบพรบ!BU14"")"),0)</f>
        <v>0</v>
      </c>
      <c r="M154" s="837">
        <f ca="1">IFERROR(__xludf.DUMMYFUNCTION("IMPORTRANGE(""https://docs.google.com/spreadsheets/d/1MeEWN-I1oV_STSDYn1IFDPWt_1FKiwhDph83XaGc0o0/edit?usp=sharing"",""งบพรบ!BZ14"")"),0)</f>
        <v>0</v>
      </c>
      <c r="N154" s="837">
        <f ca="1">IFERROR(__xludf.DUMMYFUNCTION("IMPORTRANGE(""https://docs.google.com/spreadsheets/d/1MeEWN-I1oV_STSDYn1IFDPWt_1FKiwhDph83XaGc0o0/edit?usp=sharing"",""งบพรบ!CB14"")"),0)</f>
        <v>0</v>
      </c>
      <c r="O154" s="837">
        <f t="shared" ca="1" si="78"/>
        <v>0</v>
      </c>
      <c r="P154" s="837">
        <f t="shared" ca="1" si="79"/>
        <v>0</v>
      </c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</row>
    <row r="155" spans="1:26" ht="18.75" hidden="1">
      <c r="A155" s="942"/>
      <c r="B155" s="827"/>
      <c r="C155" s="943"/>
      <c r="D155" s="828" t="s">
        <v>21</v>
      </c>
      <c r="E155" s="827"/>
      <c r="F155" s="827"/>
      <c r="G155" s="829"/>
      <c r="H155" s="168" t="s">
        <v>12</v>
      </c>
      <c r="I155" s="944"/>
      <c r="J155" s="944"/>
      <c r="K155" s="945"/>
      <c r="L155" s="831">
        <f t="shared" ref="L155:N155" ca="1" si="82">L156+L157</f>
        <v>0</v>
      </c>
      <c r="M155" s="831">
        <f t="shared" ca="1" si="82"/>
        <v>0</v>
      </c>
      <c r="N155" s="831">
        <f t="shared" ca="1" si="82"/>
        <v>0</v>
      </c>
      <c r="O155" s="831">
        <f t="shared" ca="1" si="78"/>
        <v>0</v>
      </c>
      <c r="P155" s="831">
        <f t="shared" ca="1" si="79"/>
        <v>0</v>
      </c>
      <c r="Q155" s="818"/>
      <c r="R155" s="818"/>
      <c r="S155" s="818"/>
      <c r="T155" s="818"/>
      <c r="U155" s="818"/>
      <c r="V155" s="818"/>
      <c r="W155" s="818"/>
      <c r="X155" s="818"/>
      <c r="Y155" s="818"/>
      <c r="Z155" s="818"/>
    </row>
    <row r="156" spans="1:26" ht="19.5" hidden="1">
      <c r="A156" s="940"/>
      <c r="B156" s="833"/>
      <c r="C156" s="946"/>
      <c r="D156" s="833"/>
      <c r="E156" s="834" t="s">
        <v>18</v>
      </c>
      <c r="F156" s="833"/>
      <c r="G156" s="941"/>
      <c r="H156" s="165" t="s">
        <v>12</v>
      </c>
      <c r="I156" s="947"/>
      <c r="J156" s="947"/>
      <c r="K156" s="948"/>
      <c r="L156" s="837">
        <v>0</v>
      </c>
      <c r="M156" s="837">
        <v>0</v>
      </c>
      <c r="N156" s="837">
        <v>0</v>
      </c>
      <c r="O156" s="837">
        <f t="shared" si="78"/>
        <v>0</v>
      </c>
      <c r="P156" s="837">
        <f t="shared" si="79"/>
        <v>0</v>
      </c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</row>
    <row r="157" spans="1:26" ht="19.5" hidden="1">
      <c r="A157" s="940"/>
      <c r="B157" s="833"/>
      <c r="C157" s="946"/>
      <c r="D157" s="833"/>
      <c r="E157" s="834" t="s">
        <v>19</v>
      </c>
      <c r="F157" s="833"/>
      <c r="G157" s="941"/>
      <c r="H157" s="169" t="s">
        <v>12</v>
      </c>
      <c r="I157" s="947"/>
      <c r="J157" s="947"/>
      <c r="K157" s="948"/>
      <c r="L157" s="837">
        <f ca="1">IFERROR(__xludf.DUMMYFUNCTION("IMPORTRANGE(""https://docs.google.com/spreadsheets/d/1MeEWN-I1oV_STSDYn1IFDPWt_1FKiwhDph83XaGc0o0/edit?usp=sharing"",""งบพรบ!BX14"")"),0)</f>
        <v>0</v>
      </c>
      <c r="M157" s="837">
        <f ca="1">IFERROR(__xludf.DUMMYFUNCTION("IMPORTRANGE(""https://docs.google.com/spreadsheets/d/1MeEWN-I1oV_STSDYn1IFDPWt_1FKiwhDph83XaGc0o0/edit?usp=sharing"",""งบพรบ!CA14"")"),0)</f>
        <v>0</v>
      </c>
      <c r="N157" s="837">
        <f ca="1">IFERROR(__xludf.DUMMYFUNCTION("IMPORTRANGE(""https://docs.google.com/spreadsheets/d/1MeEWN-I1oV_STSDYn1IFDPWt_1FKiwhDph83XaGc0o0/edit?usp=sharing"",""งบพรบ!CC14"")"),0)</f>
        <v>0</v>
      </c>
      <c r="O157" s="837">
        <f t="shared" ca="1" si="78"/>
        <v>0</v>
      </c>
      <c r="P157" s="837">
        <f t="shared" ca="1" si="79"/>
        <v>0</v>
      </c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</row>
    <row r="158" spans="1:26" ht="19.5" hidden="1">
      <c r="A158" s="949"/>
      <c r="B158" s="950"/>
      <c r="C158" s="946" t="s">
        <v>16</v>
      </c>
      <c r="D158" s="951" t="s">
        <v>38</v>
      </c>
      <c r="E158" s="952"/>
      <c r="F158" s="952"/>
      <c r="G158" s="953"/>
      <c r="H158" s="168"/>
      <c r="I158" s="830"/>
      <c r="J158" s="830"/>
      <c r="K158" s="831"/>
      <c r="L158" s="831"/>
      <c r="M158" s="831"/>
      <c r="N158" s="831"/>
      <c r="O158" s="831"/>
      <c r="P158" s="831"/>
    </row>
    <row r="159" spans="1:26" ht="19.5" hidden="1">
      <c r="A159" s="942"/>
      <c r="B159" s="827"/>
      <c r="C159" s="976"/>
      <c r="D159" s="943" t="s">
        <v>78</v>
      </c>
      <c r="E159" s="828"/>
      <c r="F159" s="827"/>
      <c r="G159" s="977"/>
      <c r="H159" s="168" t="s">
        <v>35</v>
      </c>
      <c r="I159" s="830">
        <f ca="1">IFERROR(__xludf.DUMMYFUNCTION("IMPORTRANGE(""https://docs.google.com/spreadsheets/d/1QqKyyYR6Q21VydFLVH3TRQUabQu_ym0Zz7PgGX0-kHA/edit?usp=sharing"",""แผน!X14"")"),0)</f>
        <v>0</v>
      </c>
      <c r="J159" s="959">
        <v>0</v>
      </c>
      <c r="K159" s="831">
        <f ca="1">IF(I159&gt;0,J159*100/I159,0)</f>
        <v>0</v>
      </c>
      <c r="L159" s="831"/>
      <c r="M159" s="831"/>
      <c r="N159" s="831"/>
      <c r="O159" s="831"/>
      <c r="P159" s="831"/>
    </row>
    <row r="160" spans="1:26" ht="19.5" hidden="1">
      <c r="A160" s="940"/>
      <c r="B160" s="833"/>
      <c r="C160" s="946"/>
      <c r="D160" s="834" t="s">
        <v>79</v>
      </c>
      <c r="E160" s="982"/>
      <c r="F160" s="833"/>
      <c r="G160" s="941"/>
      <c r="H160" s="169" t="s">
        <v>35</v>
      </c>
      <c r="I160" s="836"/>
      <c r="J160" s="836"/>
      <c r="K160" s="837"/>
      <c r="L160" s="837"/>
      <c r="M160" s="837"/>
      <c r="N160" s="837"/>
      <c r="O160" s="837"/>
      <c r="P160" s="83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983"/>
      <c r="B161" s="984"/>
      <c r="C161" s="985"/>
      <c r="D161" s="986" t="s">
        <v>80</v>
      </c>
      <c r="E161" s="987"/>
      <c r="F161" s="984"/>
      <c r="G161" s="988"/>
      <c r="H161" s="232" t="s">
        <v>35</v>
      </c>
      <c r="I161" s="989"/>
      <c r="J161" s="989"/>
      <c r="K161" s="990"/>
      <c r="L161" s="990"/>
      <c r="M161" s="990"/>
      <c r="N161" s="990"/>
      <c r="O161" s="990"/>
      <c r="P161" s="990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991" t="s">
        <v>81</v>
      </c>
      <c r="B162" s="992"/>
      <c r="C162" s="992"/>
      <c r="D162" s="992"/>
      <c r="E162" s="993"/>
      <c r="F162" s="993"/>
      <c r="G162" s="994"/>
      <c r="H162" s="995"/>
      <c r="I162" s="996"/>
      <c r="J162" s="996"/>
      <c r="K162" s="997"/>
      <c r="L162" s="997"/>
      <c r="M162" s="997"/>
      <c r="N162" s="997"/>
      <c r="O162" s="997"/>
      <c r="P162" s="997"/>
    </row>
    <row r="163" spans="1:26" ht="19.5">
      <c r="A163" s="998" t="s">
        <v>82</v>
      </c>
      <c r="B163" s="999"/>
      <c r="C163" s="999"/>
      <c r="D163" s="1000"/>
      <c r="E163" s="1000"/>
      <c r="F163" s="1000"/>
      <c r="G163" s="1001"/>
      <c r="H163" s="1002"/>
      <c r="I163" s="1003"/>
      <c r="J163" s="1003"/>
      <c r="K163" s="1004"/>
      <c r="L163" s="1004"/>
      <c r="M163" s="1004"/>
      <c r="N163" s="1004"/>
      <c r="O163" s="1004"/>
      <c r="P163" s="1004"/>
    </row>
    <row r="164" spans="1:26" ht="19.5">
      <c r="A164" s="1005"/>
      <c r="B164" s="1006" t="s">
        <v>83</v>
      </c>
      <c r="C164" s="1007"/>
      <c r="D164" s="952"/>
      <c r="E164" s="952"/>
      <c r="F164" s="952"/>
      <c r="G164" s="953"/>
      <c r="H164" s="252" t="s">
        <v>35</v>
      </c>
      <c r="I164" s="1008">
        <f t="shared" ref="I164:J164" ca="1" si="83">I174+I177</f>
        <v>12</v>
      </c>
      <c r="J164" s="1008">
        <f t="shared" si="83"/>
        <v>12</v>
      </c>
      <c r="K164" s="1009">
        <f ca="1">IF(I164&gt;0,J164*100/I164,0)</f>
        <v>100</v>
      </c>
      <c r="L164" s="1010"/>
      <c r="M164" s="1010"/>
      <c r="N164" s="1010"/>
      <c r="O164" s="1010"/>
      <c r="P164" s="1010"/>
    </row>
    <row r="165" spans="1:26" ht="19.5">
      <c r="A165" s="932"/>
      <c r="B165" s="933"/>
      <c r="C165" s="934" t="s">
        <v>16</v>
      </c>
      <c r="D165" s="935" t="s">
        <v>17</v>
      </c>
      <c r="E165" s="933"/>
      <c r="F165" s="933"/>
      <c r="G165" s="936"/>
      <c r="H165" s="152" t="s">
        <v>12</v>
      </c>
      <c r="I165" s="937"/>
      <c r="J165" s="937"/>
      <c r="K165" s="938"/>
      <c r="L165" s="939">
        <f t="shared" ref="L165:N165" ca="1" si="84">L166+L167</f>
        <v>23060</v>
      </c>
      <c r="M165" s="939">
        <f t="shared" ca="1" si="84"/>
        <v>34730</v>
      </c>
      <c r="N165" s="939">
        <f t="shared" ca="1" si="84"/>
        <v>23060</v>
      </c>
      <c r="O165" s="939">
        <f t="shared" ref="O165:O173" ca="1" si="85">IF(L165&gt;0,N165*100/L165,0)</f>
        <v>100</v>
      </c>
      <c r="P165" s="939">
        <f t="shared" ref="P165:P173" ca="1" si="86">IF(M165&gt;0,N165*100/M165,0)</f>
        <v>66.397926864382384</v>
      </c>
      <c r="Q165" s="818"/>
      <c r="R165" s="818"/>
      <c r="S165" s="818"/>
      <c r="T165" s="818"/>
      <c r="U165" s="818"/>
      <c r="V165" s="818"/>
      <c r="W165" s="818"/>
      <c r="X165" s="818"/>
      <c r="Y165" s="818"/>
      <c r="Z165" s="818"/>
    </row>
    <row r="166" spans="1:26" ht="18.75" hidden="1">
      <c r="A166" s="940"/>
      <c r="B166" s="833"/>
      <c r="C166" s="833"/>
      <c r="D166" s="833"/>
      <c r="E166" s="834" t="s">
        <v>18</v>
      </c>
      <c r="F166" s="833"/>
      <c r="G166" s="941"/>
      <c r="H166" s="158" t="s">
        <v>12</v>
      </c>
      <c r="I166" s="836"/>
      <c r="J166" s="836"/>
      <c r="K166" s="837"/>
      <c r="L166" s="837">
        <f t="shared" ref="L166:N167" si="87">L169+L172</f>
        <v>0</v>
      </c>
      <c r="M166" s="837">
        <f t="shared" si="87"/>
        <v>0</v>
      </c>
      <c r="N166" s="837">
        <f t="shared" si="87"/>
        <v>0</v>
      </c>
      <c r="O166" s="837">
        <f t="shared" si="85"/>
        <v>0</v>
      </c>
      <c r="P166" s="837">
        <f t="shared" si="86"/>
        <v>0</v>
      </c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</row>
    <row r="167" spans="1:26" ht="18.75" hidden="1">
      <c r="A167" s="940"/>
      <c r="B167" s="833"/>
      <c r="C167" s="833"/>
      <c r="D167" s="833"/>
      <c r="E167" s="834" t="s">
        <v>19</v>
      </c>
      <c r="F167" s="833"/>
      <c r="G167" s="941"/>
      <c r="H167" s="158" t="s">
        <v>12</v>
      </c>
      <c r="I167" s="836"/>
      <c r="J167" s="836"/>
      <c r="K167" s="837"/>
      <c r="L167" s="837">
        <f t="shared" ca="1" si="87"/>
        <v>23060</v>
      </c>
      <c r="M167" s="837">
        <f t="shared" ca="1" si="87"/>
        <v>34730</v>
      </c>
      <c r="N167" s="837">
        <f t="shared" ca="1" si="87"/>
        <v>23060</v>
      </c>
      <c r="O167" s="837">
        <f t="shared" ca="1" si="85"/>
        <v>100</v>
      </c>
      <c r="P167" s="837">
        <f t="shared" ca="1" si="86"/>
        <v>66.397926864382384</v>
      </c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</row>
    <row r="168" spans="1:26" ht="18.75">
      <c r="A168" s="942"/>
      <c r="B168" s="827"/>
      <c r="C168" s="943"/>
      <c r="D168" s="828" t="s">
        <v>20</v>
      </c>
      <c r="E168" s="827"/>
      <c r="F168" s="827"/>
      <c r="G168" s="829"/>
      <c r="H168" s="778" t="s">
        <v>12</v>
      </c>
      <c r="I168" s="944"/>
      <c r="J168" s="944"/>
      <c r="K168" s="945"/>
      <c r="L168" s="831">
        <f t="shared" ref="L168:N168" ca="1" si="88">L169+L170</f>
        <v>23060</v>
      </c>
      <c r="M168" s="831">
        <f t="shared" ca="1" si="88"/>
        <v>34730</v>
      </c>
      <c r="N168" s="831">
        <f t="shared" ca="1" si="88"/>
        <v>23060</v>
      </c>
      <c r="O168" s="831">
        <f t="shared" ca="1" si="85"/>
        <v>100</v>
      </c>
      <c r="P168" s="831">
        <f t="shared" ca="1" si="86"/>
        <v>66.397926864382384</v>
      </c>
      <c r="Q168" s="818"/>
      <c r="R168" s="818"/>
      <c r="S168" s="818"/>
      <c r="T168" s="818"/>
      <c r="U168" s="818"/>
      <c r="V168" s="818"/>
      <c r="W168" s="818"/>
      <c r="X168" s="818"/>
      <c r="Y168" s="818"/>
      <c r="Z168" s="818"/>
    </row>
    <row r="169" spans="1:26" ht="19.5" hidden="1">
      <c r="A169" s="940"/>
      <c r="B169" s="833"/>
      <c r="C169" s="946"/>
      <c r="D169" s="833"/>
      <c r="E169" s="834" t="s">
        <v>36</v>
      </c>
      <c r="F169" s="833"/>
      <c r="G169" s="941"/>
      <c r="H169" s="165" t="s">
        <v>12</v>
      </c>
      <c r="I169" s="947"/>
      <c r="J169" s="947"/>
      <c r="K169" s="948"/>
      <c r="L169" s="837">
        <v>0</v>
      </c>
      <c r="M169" s="837">
        <v>0</v>
      </c>
      <c r="N169" s="837">
        <v>0</v>
      </c>
      <c r="O169" s="837">
        <f t="shared" si="85"/>
        <v>0</v>
      </c>
      <c r="P169" s="837">
        <f t="shared" si="86"/>
        <v>0</v>
      </c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</row>
    <row r="170" spans="1:26" ht="19.5" hidden="1">
      <c r="A170" s="940"/>
      <c r="B170" s="833"/>
      <c r="C170" s="946"/>
      <c r="D170" s="833"/>
      <c r="E170" s="834" t="s">
        <v>37</v>
      </c>
      <c r="F170" s="833"/>
      <c r="G170" s="941"/>
      <c r="H170" s="165" t="s">
        <v>12</v>
      </c>
      <c r="I170" s="947"/>
      <c r="J170" s="947"/>
      <c r="K170" s="948"/>
      <c r="L170" s="837">
        <f ca="1">IFERROR(__xludf.DUMMYFUNCTION("IMPORTRANGE(""https://docs.google.com/spreadsheets/d/1MeEWN-I1oV_STSDYn1IFDPWt_1FKiwhDph83XaGc0o0/edit?usp=sharing"",""งบพรบ!CE14"")"),23060)</f>
        <v>23060</v>
      </c>
      <c r="M170" s="837">
        <f ca="1">IFERROR(__xludf.DUMMYFUNCTION("IMPORTRANGE(""https://docs.google.com/spreadsheets/d/1MeEWN-I1oV_STSDYn1IFDPWt_1FKiwhDph83XaGc0o0/edit?usp=sharing"",""งบพรบ!CJ14"")"),34730)</f>
        <v>34730</v>
      </c>
      <c r="N170" s="837">
        <f ca="1">IFERROR(__xludf.DUMMYFUNCTION("IMPORTRANGE(""https://docs.google.com/spreadsheets/d/1MeEWN-I1oV_STSDYn1IFDPWt_1FKiwhDph83XaGc0o0/edit?usp=sharing"",""งบพรบ!CL14"")"),23060)</f>
        <v>23060</v>
      </c>
      <c r="O170" s="837">
        <f t="shared" ca="1" si="85"/>
        <v>100</v>
      </c>
      <c r="P170" s="837">
        <f t="shared" ca="1" si="86"/>
        <v>66.397926864382384</v>
      </c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</row>
    <row r="171" spans="1:26" ht="18.75">
      <c r="A171" s="942"/>
      <c r="B171" s="827"/>
      <c r="C171" s="943"/>
      <c r="D171" s="828" t="s">
        <v>21</v>
      </c>
      <c r="E171" s="827"/>
      <c r="F171" s="827"/>
      <c r="G171" s="829"/>
      <c r="H171" s="168" t="s">
        <v>12</v>
      </c>
      <c r="I171" s="944"/>
      <c r="J171" s="944"/>
      <c r="K171" s="945"/>
      <c r="L171" s="831">
        <f t="shared" ref="L171:N171" ca="1" si="89">L172+L173</f>
        <v>0</v>
      </c>
      <c r="M171" s="831">
        <f t="shared" ca="1" si="89"/>
        <v>0</v>
      </c>
      <c r="N171" s="831">
        <f t="shared" ca="1" si="89"/>
        <v>0</v>
      </c>
      <c r="O171" s="831">
        <f t="shared" ca="1" si="85"/>
        <v>0</v>
      </c>
      <c r="P171" s="831">
        <f t="shared" ca="1" si="86"/>
        <v>0</v>
      </c>
      <c r="Q171" s="818"/>
      <c r="R171" s="818"/>
      <c r="S171" s="818"/>
      <c r="T171" s="818"/>
      <c r="U171" s="818"/>
      <c r="V171" s="818"/>
      <c r="W171" s="818"/>
      <c r="X171" s="818"/>
      <c r="Y171" s="818"/>
      <c r="Z171" s="818"/>
    </row>
    <row r="172" spans="1:26" ht="19.5" hidden="1">
      <c r="A172" s="940"/>
      <c r="B172" s="833"/>
      <c r="C172" s="946"/>
      <c r="D172" s="833"/>
      <c r="E172" s="834" t="s">
        <v>18</v>
      </c>
      <c r="F172" s="833"/>
      <c r="G172" s="941"/>
      <c r="H172" s="165" t="s">
        <v>12</v>
      </c>
      <c r="I172" s="947"/>
      <c r="J172" s="947"/>
      <c r="K172" s="948"/>
      <c r="L172" s="837">
        <v>0</v>
      </c>
      <c r="M172" s="837">
        <v>0</v>
      </c>
      <c r="N172" s="837">
        <v>0</v>
      </c>
      <c r="O172" s="837">
        <f t="shared" si="85"/>
        <v>0</v>
      </c>
      <c r="P172" s="837">
        <f t="shared" si="86"/>
        <v>0</v>
      </c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</row>
    <row r="173" spans="1:26" ht="19.5" hidden="1">
      <c r="A173" s="940"/>
      <c r="B173" s="833"/>
      <c r="C173" s="946"/>
      <c r="D173" s="833"/>
      <c r="E173" s="834" t="s">
        <v>19</v>
      </c>
      <c r="F173" s="833"/>
      <c r="G173" s="941"/>
      <c r="H173" s="169" t="s">
        <v>12</v>
      </c>
      <c r="I173" s="947"/>
      <c r="J173" s="947"/>
      <c r="K173" s="948"/>
      <c r="L173" s="837">
        <f ca="1">IFERROR(__xludf.DUMMYFUNCTION("IMPORTRANGE(""https://docs.google.com/spreadsheets/d/1MeEWN-I1oV_STSDYn1IFDPWt_1FKiwhDph83XaGc0o0/edit?usp=sharing"",""งบพรบ!CH14"")"),0)</f>
        <v>0</v>
      </c>
      <c r="M173" s="837">
        <f ca="1">IFERROR(__xludf.DUMMYFUNCTION("IMPORTRANGE(""https://docs.google.com/spreadsheets/d/1MeEWN-I1oV_STSDYn1IFDPWt_1FKiwhDph83XaGc0o0/edit?usp=sharing"",""งบพรบ!CK14"")"),0)</f>
        <v>0</v>
      </c>
      <c r="N173" s="837">
        <f ca="1">IFERROR(__xludf.DUMMYFUNCTION("IMPORTRANGE(""https://docs.google.com/spreadsheets/d/1MeEWN-I1oV_STSDYn1IFDPWt_1FKiwhDph83XaGc0o0/edit?usp=sharing"",""งบพรบ!CM14"")"),0)</f>
        <v>0</v>
      </c>
      <c r="O173" s="837">
        <f t="shared" ca="1" si="85"/>
        <v>0</v>
      </c>
      <c r="P173" s="837">
        <f t="shared" ca="1" si="86"/>
        <v>0</v>
      </c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</row>
    <row r="174" spans="1:26" ht="19.5">
      <c r="A174" s="1011"/>
      <c r="B174" s="1012"/>
      <c r="C174" s="1013" t="s">
        <v>84</v>
      </c>
      <c r="D174" s="1012"/>
      <c r="E174" s="1012"/>
      <c r="F174" s="1012"/>
      <c r="G174" s="1014"/>
      <c r="H174" s="260" t="s">
        <v>35</v>
      </c>
      <c r="I174" s="1015">
        <f t="shared" ref="I174:J174" ca="1" si="90">I176</f>
        <v>12</v>
      </c>
      <c r="J174" s="1015">
        <f t="shared" si="90"/>
        <v>12</v>
      </c>
      <c r="K174" s="1016">
        <f ca="1">IF(I174&gt;0,J174*100/I174,0)</f>
        <v>100</v>
      </c>
      <c r="L174" s="1016"/>
      <c r="M174" s="1016"/>
      <c r="N174" s="1016"/>
      <c r="O174" s="1016"/>
      <c r="P174" s="1016"/>
    </row>
    <row r="175" spans="1:26" ht="19.5">
      <c r="A175" s="949"/>
      <c r="B175" s="950"/>
      <c r="C175" s="946" t="s">
        <v>16</v>
      </c>
      <c r="D175" s="951" t="s">
        <v>38</v>
      </c>
      <c r="E175" s="952"/>
      <c r="F175" s="952"/>
      <c r="G175" s="953"/>
      <c r="H175" s="954"/>
      <c r="I175" s="944"/>
      <c r="J175" s="944"/>
      <c r="K175" s="945"/>
      <c r="L175" s="945"/>
      <c r="M175" s="945"/>
      <c r="N175" s="945"/>
      <c r="O175" s="945"/>
      <c r="P175" s="945"/>
    </row>
    <row r="176" spans="1:26" ht="18.75">
      <c r="A176" s="949"/>
      <c r="B176" s="950"/>
      <c r="C176" s="950"/>
      <c r="D176" s="1017" t="s">
        <v>85</v>
      </c>
      <c r="E176" s="957"/>
      <c r="F176" s="957"/>
      <c r="G176" s="958"/>
      <c r="H176" s="590" t="s">
        <v>35</v>
      </c>
      <c r="I176" s="830">
        <f ca="1">IFERROR(__xludf.DUMMYFUNCTION("IMPORTRANGE(""https://docs.google.com/spreadsheets/d/1QqKyyYR6Q21VydFLVH3TRQUabQu_ym0Zz7PgGX0-kHA/edit?usp=sharing"",""แผน!Y14"")"),12)</f>
        <v>12</v>
      </c>
      <c r="J176" s="959">
        <v>12</v>
      </c>
      <c r="K176" s="945">
        <f ca="1">IF(I176&gt;0,J176*100/I176,0)</f>
        <v>100</v>
      </c>
      <c r="L176" s="945"/>
      <c r="M176" s="945"/>
      <c r="N176" s="945"/>
      <c r="O176" s="945"/>
      <c r="P176" s="945"/>
    </row>
    <row r="177" spans="1:26" ht="19.5" hidden="1">
      <c r="A177" s="1011"/>
      <c r="B177" s="1018"/>
      <c r="C177" s="1019" t="s">
        <v>86</v>
      </c>
      <c r="D177" s="1018"/>
      <c r="E177" s="1012"/>
      <c r="F177" s="1012"/>
      <c r="G177" s="1014"/>
      <c r="H177" s="266" t="s">
        <v>35</v>
      </c>
      <c r="I177" s="1015"/>
      <c r="J177" s="1015">
        <f>J179</f>
        <v>0</v>
      </c>
      <c r="K177" s="1016"/>
      <c r="L177" s="1016"/>
      <c r="M177" s="1016"/>
      <c r="N177" s="1016"/>
      <c r="O177" s="1016"/>
      <c r="P177" s="1016"/>
    </row>
    <row r="178" spans="1:26" ht="19.5" hidden="1">
      <c r="A178" s="949"/>
      <c r="B178" s="950"/>
      <c r="C178" s="946" t="s">
        <v>16</v>
      </c>
      <c r="D178" s="1020" t="s">
        <v>38</v>
      </c>
      <c r="E178" s="952"/>
      <c r="F178" s="952"/>
      <c r="G178" s="953"/>
      <c r="H178" s="954"/>
      <c r="I178" s="944"/>
      <c r="J178" s="944"/>
      <c r="K178" s="945"/>
      <c r="L178" s="945"/>
      <c r="M178" s="945"/>
      <c r="N178" s="945"/>
      <c r="O178" s="945"/>
      <c r="P178" s="945"/>
    </row>
    <row r="179" spans="1:26" ht="18.75" hidden="1">
      <c r="A179" s="949"/>
      <c r="B179" s="950"/>
      <c r="C179" s="950"/>
      <c r="D179" s="1021" t="s">
        <v>87</v>
      </c>
      <c r="E179" s="957"/>
      <c r="F179" s="1022"/>
      <c r="G179" s="958"/>
      <c r="H179" s="43" t="s">
        <v>35</v>
      </c>
      <c r="I179" s="830"/>
      <c r="J179" s="830"/>
      <c r="K179" s="945"/>
      <c r="L179" s="945"/>
      <c r="M179" s="945"/>
      <c r="N179" s="945"/>
      <c r="O179" s="945"/>
      <c r="P179" s="945"/>
    </row>
    <row r="180" spans="1:26" ht="19.5">
      <c r="A180" s="1005"/>
      <c r="B180" s="1006" t="s">
        <v>88</v>
      </c>
      <c r="C180" s="1007"/>
      <c r="D180" s="952"/>
      <c r="E180" s="952"/>
      <c r="F180" s="952"/>
      <c r="G180" s="953"/>
      <c r="H180" s="252" t="s">
        <v>35</v>
      </c>
      <c r="I180" s="1008">
        <f t="shared" ref="I180:J180" ca="1" si="91">I225+I226</f>
        <v>0</v>
      </c>
      <c r="J180" s="1008">
        <f t="shared" si="91"/>
        <v>0</v>
      </c>
      <c r="K180" s="1009">
        <f ca="1">IF(I180&gt;0,J180*100/I180,0)</f>
        <v>0</v>
      </c>
      <c r="L180" s="1010"/>
      <c r="M180" s="1010"/>
      <c r="N180" s="1010"/>
      <c r="O180" s="1010"/>
      <c r="P180" s="1010"/>
    </row>
    <row r="181" spans="1:26" ht="19.5">
      <c r="A181" s="932"/>
      <c r="B181" s="933"/>
      <c r="C181" s="934" t="s">
        <v>16</v>
      </c>
      <c r="D181" s="935" t="s">
        <v>17</v>
      </c>
      <c r="E181" s="933"/>
      <c r="F181" s="933"/>
      <c r="G181" s="936"/>
      <c r="H181" s="152" t="s">
        <v>12</v>
      </c>
      <c r="I181" s="937"/>
      <c r="J181" s="937"/>
      <c r="K181" s="938"/>
      <c r="L181" s="939">
        <f t="shared" ref="L181:N181" ca="1" si="92">L182+L183</f>
        <v>63500</v>
      </c>
      <c r="M181" s="939">
        <f t="shared" ca="1" si="92"/>
        <v>48500</v>
      </c>
      <c r="N181" s="939">
        <f t="shared" ca="1" si="92"/>
        <v>29000</v>
      </c>
      <c r="O181" s="939">
        <f t="shared" ref="O181:O189" ca="1" si="93">IF(L181&gt;0,N181*100/L181,0)</f>
        <v>45.669291338582674</v>
      </c>
      <c r="P181" s="939">
        <f t="shared" ref="P181:P189" ca="1" si="94">IF(M181&gt;0,N181*100/M181,0)</f>
        <v>59.793814432989691</v>
      </c>
      <c r="Q181" s="818"/>
      <c r="R181" s="818"/>
      <c r="S181" s="818"/>
      <c r="T181" s="818"/>
      <c r="U181" s="818"/>
      <c r="V181" s="818"/>
      <c r="W181" s="818"/>
      <c r="X181" s="818"/>
      <c r="Y181" s="818"/>
      <c r="Z181" s="818"/>
    </row>
    <row r="182" spans="1:26" ht="18.75" hidden="1">
      <c r="A182" s="940"/>
      <c r="B182" s="833"/>
      <c r="C182" s="833"/>
      <c r="D182" s="833"/>
      <c r="E182" s="834" t="s">
        <v>18</v>
      </c>
      <c r="F182" s="833"/>
      <c r="G182" s="941"/>
      <c r="H182" s="158" t="s">
        <v>12</v>
      </c>
      <c r="I182" s="836"/>
      <c r="J182" s="836"/>
      <c r="K182" s="837"/>
      <c r="L182" s="837">
        <f t="shared" ref="L182:N183" si="95">L185+L188</f>
        <v>0</v>
      </c>
      <c r="M182" s="837">
        <f t="shared" si="95"/>
        <v>0</v>
      </c>
      <c r="N182" s="837">
        <f t="shared" si="95"/>
        <v>0</v>
      </c>
      <c r="O182" s="837">
        <f t="shared" si="93"/>
        <v>0</v>
      </c>
      <c r="P182" s="837">
        <f t="shared" si="94"/>
        <v>0</v>
      </c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</row>
    <row r="183" spans="1:26" ht="18.75" hidden="1">
      <c r="A183" s="940"/>
      <c r="B183" s="833"/>
      <c r="C183" s="833"/>
      <c r="D183" s="833"/>
      <c r="E183" s="834" t="s">
        <v>19</v>
      </c>
      <c r="F183" s="833"/>
      <c r="G183" s="941"/>
      <c r="H183" s="158" t="s">
        <v>12</v>
      </c>
      <c r="I183" s="836"/>
      <c r="J183" s="836"/>
      <c r="K183" s="837"/>
      <c r="L183" s="837">
        <f t="shared" ca="1" si="95"/>
        <v>63500</v>
      </c>
      <c r="M183" s="837">
        <f t="shared" ca="1" si="95"/>
        <v>48500</v>
      </c>
      <c r="N183" s="837">
        <f t="shared" ca="1" si="95"/>
        <v>29000</v>
      </c>
      <c r="O183" s="837">
        <f t="shared" ca="1" si="93"/>
        <v>45.669291338582674</v>
      </c>
      <c r="P183" s="837">
        <f t="shared" ca="1" si="94"/>
        <v>59.793814432989691</v>
      </c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</row>
    <row r="184" spans="1:26" ht="18.75">
      <c r="A184" s="942"/>
      <c r="B184" s="827"/>
      <c r="C184" s="943"/>
      <c r="D184" s="828" t="s">
        <v>20</v>
      </c>
      <c r="E184" s="827"/>
      <c r="F184" s="827"/>
      <c r="G184" s="829"/>
      <c r="H184" s="778" t="s">
        <v>12</v>
      </c>
      <c r="I184" s="944"/>
      <c r="J184" s="944"/>
      <c r="K184" s="945"/>
      <c r="L184" s="831">
        <f t="shared" ref="L184:N184" ca="1" si="96">L185+L186</f>
        <v>63500</v>
      </c>
      <c r="M184" s="831">
        <f t="shared" ca="1" si="96"/>
        <v>48500</v>
      </c>
      <c r="N184" s="831">
        <f t="shared" ca="1" si="96"/>
        <v>29000</v>
      </c>
      <c r="O184" s="831">
        <f t="shared" ca="1" si="93"/>
        <v>45.669291338582674</v>
      </c>
      <c r="P184" s="831">
        <f t="shared" ca="1" si="94"/>
        <v>59.793814432989691</v>
      </c>
      <c r="Q184" s="818"/>
      <c r="R184" s="818"/>
      <c r="S184" s="818"/>
      <c r="T184" s="818"/>
      <c r="U184" s="818"/>
      <c r="V184" s="818"/>
      <c r="W184" s="818"/>
      <c r="X184" s="818"/>
      <c r="Y184" s="818"/>
      <c r="Z184" s="818"/>
    </row>
    <row r="185" spans="1:26" ht="19.5" hidden="1">
      <c r="A185" s="940"/>
      <c r="B185" s="833"/>
      <c r="C185" s="946"/>
      <c r="D185" s="833"/>
      <c r="E185" s="834" t="s">
        <v>36</v>
      </c>
      <c r="F185" s="833"/>
      <c r="G185" s="941"/>
      <c r="H185" s="165" t="s">
        <v>12</v>
      </c>
      <c r="I185" s="947"/>
      <c r="J185" s="947"/>
      <c r="K185" s="948"/>
      <c r="L185" s="837">
        <v>0</v>
      </c>
      <c r="M185" s="837">
        <v>0</v>
      </c>
      <c r="N185" s="837">
        <v>0</v>
      </c>
      <c r="O185" s="837">
        <f t="shared" si="93"/>
        <v>0</v>
      </c>
      <c r="P185" s="837">
        <f t="shared" si="94"/>
        <v>0</v>
      </c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</row>
    <row r="186" spans="1:26" ht="19.5" hidden="1">
      <c r="A186" s="940"/>
      <c r="B186" s="833"/>
      <c r="C186" s="946"/>
      <c r="D186" s="833"/>
      <c r="E186" s="834" t="s">
        <v>37</v>
      </c>
      <c r="F186" s="833"/>
      <c r="G186" s="941"/>
      <c r="H186" s="165" t="s">
        <v>12</v>
      </c>
      <c r="I186" s="947"/>
      <c r="J186" s="947"/>
      <c r="K186" s="948"/>
      <c r="L186" s="837">
        <f ca="1">IFERROR(__xludf.DUMMYFUNCTION("IMPORTRANGE(""https://docs.google.com/spreadsheets/d/1MeEWN-I1oV_STSDYn1IFDPWt_1FKiwhDph83XaGc0o0/edit?usp=sharing"",""งบพรบ!CO14"")"),63500)</f>
        <v>63500</v>
      </c>
      <c r="M186" s="837">
        <f ca="1">IFERROR(__xludf.DUMMYFUNCTION("IMPORTRANGE(""https://docs.google.com/spreadsheets/d/1MeEWN-I1oV_STSDYn1IFDPWt_1FKiwhDph83XaGc0o0/edit?usp=sharing"",""งบพรบ!CT14"")"),48500)</f>
        <v>48500</v>
      </c>
      <c r="N186" s="837">
        <f ca="1">IFERROR(__xludf.DUMMYFUNCTION("IMPORTRANGE(""https://docs.google.com/spreadsheets/d/1MeEWN-I1oV_STSDYn1IFDPWt_1FKiwhDph83XaGc0o0/edit?usp=sharing"",""งบพรบ!CV14"")"),29000)</f>
        <v>29000</v>
      </c>
      <c r="O186" s="837">
        <f t="shared" ca="1" si="93"/>
        <v>45.669291338582674</v>
      </c>
      <c r="P186" s="837">
        <f t="shared" ca="1" si="94"/>
        <v>59.793814432989691</v>
      </c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</row>
    <row r="187" spans="1:26" ht="18.75">
      <c r="A187" s="942"/>
      <c r="B187" s="827"/>
      <c r="C187" s="943"/>
      <c r="D187" s="828" t="s">
        <v>21</v>
      </c>
      <c r="E187" s="827"/>
      <c r="F187" s="827"/>
      <c r="G187" s="829"/>
      <c r="H187" s="168" t="s">
        <v>12</v>
      </c>
      <c r="I187" s="944"/>
      <c r="J187" s="944"/>
      <c r="K187" s="945"/>
      <c r="L187" s="831">
        <f t="shared" ref="L187:N187" ca="1" si="97">L188+L189</f>
        <v>0</v>
      </c>
      <c r="M187" s="831">
        <f t="shared" ca="1" si="97"/>
        <v>0</v>
      </c>
      <c r="N187" s="831">
        <f t="shared" ca="1" si="97"/>
        <v>0</v>
      </c>
      <c r="O187" s="831">
        <f t="shared" ca="1" si="93"/>
        <v>0</v>
      </c>
      <c r="P187" s="831">
        <f t="shared" ca="1" si="94"/>
        <v>0</v>
      </c>
      <c r="Q187" s="818"/>
      <c r="R187" s="818"/>
      <c r="S187" s="818"/>
      <c r="T187" s="818"/>
      <c r="U187" s="818"/>
      <c r="V187" s="818"/>
      <c r="W187" s="818"/>
      <c r="X187" s="818"/>
      <c r="Y187" s="818"/>
      <c r="Z187" s="818"/>
    </row>
    <row r="188" spans="1:26" ht="19.5" hidden="1">
      <c r="A188" s="940"/>
      <c r="B188" s="833"/>
      <c r="C188" s="946"/>
      <c r="D188" s="833"/>
      <c r="E188" s="834" t="s">
        <v>18</v>
      </c>
      <c r="F188" s="833"/>
      <c r="G188" s="941"/>
      <c r="H188" s="165" t="s">
        <v>12</v>
      </c>
      <c r="I188" s="947"/>
      <c r="J188" s="947"/>
      <c r="K188" s="948"/>
      <c r="L188" s="837">
        <v>0</v>
      </c>
      <c r="M188" s="837">
        <v>0</v>
      </c>
      <c r="N188" s="837">
        <v>0</v>
      </c>
      <c r="O188" s="837">
        <f t="shared" si="93"/>
        <v>0</v>
      </c>
      <c r="P188" s="837">
        <f t="shared" si="94"/>
        <v>0</v>
      </c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</row>
    <row r="189" spans="1:26" ht="19.5" hidden="1">
      <c r="A189" s="940"/>
      <c r="B189" s="833"/>
      <c r="C189" s="946"/>
      <c r="D189" s="833"/>
      <c r="E189" s="834" t="s">
        <v>19</v>
      </c>
      <c r="F189" s="833"/>
      <c r="G189" s="941"/>
      <c r="H189" s="169" t="s">
        <v>12</v>
      </c>
      <c r="I189" s="947"/>
      <c r="J189" s="947"/>
      <c r="K189" s="948"/>
      <c r="L189" s="837">
        <f ca="1">IFERROR(__xludf.DUMMYFUNCTION("IMPORTRANGE(""https://docs.google.com/spreadsheets/d/1MeEWN-I1oV_STSDYn1IFDPWt_1FKiwhDph83XaGc0o0/edit?usp=sharing"",""งบพรบ!CR14"")"),0)</f>
        <v>0</v>
      </c>
      <c r="M189" s="837">
        <f ca="1">IFERROR(__xludf.DUMMYFUNCTION("IMPORTRANGE(""https://docs.google.com/spreadsheets/d/1MeEWN-I1oV_STSDYn1IFDPWt_1FKiwhDph83XaGc0o0/edit?usp=sharing"",""งบพรบ!CU14"")"),0)</f>
        <v>0</v>
      </c>
      <c r="N189" s="837">
        <f ca="1">IFERROR(__xludf.DUMMYFUNCTION("IMPORTRANGE(""https://docs.google.com/spreadsheets/d/1MeEWN-I1oV_STSDYn1IFDPWt_1FKiwhDph83XaGc0o0/edit?usp=sharing"",""งบพรบ!CW14"")"),0)</f>
        <v>0</v>
      </c>
      <c r="O189" s="837">
        <f t="shared" ca="1" si="93"/>
        <v>0</v>
      </c>
      <c r="P189" s="837">
        <f t="shared" ca="1" si="94"/>
        <v>0</v>
      </c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</row>
    <row r="190" spans="1:26" ht="19.5">
      <c r="A190" s="1011"/>
      <c r="B190" s="1018"/>
      <c r="C190" s="1023" t="s">
        <v>89</v>
      </c>
      <c r="D190" s="1012"/>
      <c r="E190" s="1012"/>
      <c r="F190" s="1012"/>
      <c r="G190" s="1014"/>
      <c r="H190" s="260" t="s">
        <v>90</v>
      </c>
      <c r="I190" s="1024">
        <f t="shared" ref="I190:J190" ca="1" si="98">I193</f>
        <v>4</v>
      </c>
      <c r="J190" s="1024">
        <f t="shared" si="98"/>
        <v>2</v>
      </c>
      <c r="K190" s="1025">
        <f ca="1">IF(I190&gt;0,J190*100/I190,0)</f>
        <v>50</v>
      </c>
      <c r="L190" s="1016"/>
      <c r="M190" s="1016"/>
      <c r="N190" s="1016"/>
      <c r="O190" s="1016"/>
      <c r="P190" s="1016"/>
    </row>
    <row r="191" spans="1:26" ht="19.5">
      <c r="A191" s="932"/>
      <c r="B191" s="933"/>
      <c r="C191" s="934" t="s">
        <v>16</v>
      </c>
      <c r="D191" s="1026" t="s">
        <v>17</v>
      </c>
      <c r="E191" s="933"/>
      <c r="F191" s="933"/>
      <c r="G191" s="936"/>
      <c r="H191" s="275" t="s">
        <v>12</v>
      </c>
      <c r="I191" s="937"/>
      <c r="J191" s="937"/>
      <c r="K191" s="938"/>
      <c r="L191" s="939">
        <f ca="1">IFERROR(__xludf.DUMMYFUNCTION("IMPORTRANGE(""https://docs.google.com/spreadsheets/d/1QqKyyYR6Q21VydFLVH3TRQUabQu_ym0Zz7PgGX0-kHA/edit?usp=sharing"",""แผน!Z14"")"),6000)</f>
        <v>6000</v>
      </c>
      <c r="M191" s="939"/>
      <c r="N191" s="1027">
        <v>2000</v>
      </c>
      <c r="O191" s="939">
        <f ca="1">IF(L191&gt;0,N191*100/L191,0)</f>
        <v>33.333333333333336</v>
      </c>
      <c r="P191" s="939">
        <f>IF(M191&gt;0,N191*100/M191,0)</f>
        <v>0</v>
      </c>
      <c r="Q191" s="818"/>
      <c r="R191" s="818"/>
      <c r="S191" s="818"/>
      <c r="T191" s="818"/>
      <c r="U191" s="818"/>
      <c r="V191" s="818"/>
      <c r="W191" s="818"/>
      <c r="X191" s="818"/>
      <c r="Y191" s="818"/>
      <c r="Z191" s="818"/>
    </row>
    <row r="192" spans="1:26" ht="19.5">
      <c r="A192" s="949"/>
      <c r="B192" s="950"/>
      <c r="C192" s="976" t="s">
        <v>16</v>
      </c>
      <c r="D192" s="951" t="s">
        <v>38</v>
      </c>
      <c r="E192" s="952"/>
      <c r="F192" s="952"/>
      <c r="G192" s="953"/>
      <c r="H192" s="954"/>
      <c r="I192" s="830"/>
      <c r="J192" s="830"/>
      <c r="K192" s="831"/>
      <c r="L192" s="831"/>
      <c r="M192" s="831"/>
      <c r="N192" s="831"/>
      <c r="O192" s="831"/>
      <c r="P192" s="831"/>
      <c r="Q192" s="818"/>
      <c r="R192" s="818"/>
      <c r="S192" s="818"/>
      <c r="T192" s="818"/>
      <c r="U192" s="818"/>
      <c r="V192" s="818"/>
      <c r="W192" s="818"/>
      <c r="X192" s="818"/>
      <c r="Y192" s="818"/>
      <c r="Z192" s="818"/>
    </row>
    <row r="193" spans="1:26" ht="18.75">
      <c r="A193" s="949"/>
      <c r="B193" s="950"/>
      <c r="C193" s="950"/>
      <c r="D193" s="956" t="s">
        <v>91</v>
      </c>
      <c r="E193" s="957"/>
      <c r="F193" s="957"/>
      <c r="G193" s="958"/>
      <c r="H193" s="730" t="s">
        <v>90</v>
      </c>
      <c r="I193" s="830">
        <f ca="1">IFERROR(__xludf.DUMMYFUNCTION("IMPORTRANGE(""https://docs.google.com/spreadsheets/d/1QqKyyYR6Q21VydFLVH3TRQUabQu_ym0Zz7PgGX0-kHA/edit?usp=sharing"",""แผน!AC14"")"),4)</f>
        <v>4</v>
      </c>
      <c r="J193" s="959">
        <v>2</v>
      </c>
      <c r="K193" s="831">
        <f ca="1">IF(I193&gt;0,J193*100/I193,0)</f>
        <v>50</v>
      </c>
      <c r="L193" s="831"/>
      <c r="M193" s="831"/>
      <c r="N193" s="831"/>
      <c r="O193" s="831"/>
      <c r="P193" s="831"/>
      <c r="Q193" s="818"/>
      <c r="R193" s="818"/>
      <c r="S193" s="818"/>
      <c r="T193" s="818"/>
      <c r="U193" s="818"/>
      <c r="V193" s="818"/>
      <c r="W193" s="818"/>
      <c r="X193" s="818"/>
      <c r="Y193" s="818"/>
      <c r="Z193" s="818"/>
    </row>
    <row r="194" spans="1:26" ht="18.75">
      <c r="A194" s="949"/>
      <c r="B194" s="950"/>
      <c r="C194" s="950"/>
      <c r="D194" s="956" t="s">
        <v>92</v>
      </c>
      <c r="E194" s="957"/>
      <c r="F194" s="957"/>
      <c r="G194" s="958"/>
      <c r="H194" s="277" t="s">
        <v>35</v>
      </c>
      <c r="I194" s="830"/>
      <c r="J194" s="830">
        <f>J195+J196</f>
        <v>55</v>
      </c>
      <c r="K194" s="831"/>
      <c r="L194" s="831"/>
      <c r="M194" s="831"/>
      <c r="N194" s="831"/>
      <c r="O194" s="831"/>
      <c r="P194" s="831"/>
      <c r="Q194" s="818"/>
      <c r="R194" s="818"/>
      <c r="S194" s="818"/>
      <c r="T194" s="818"/>
      <c r="U194" s="818"/>
      <c r="V194" s="818"/>
      <c r="W194" s="818"/>
      <c r="X194" s="818"/>
      <c r="Y194" s="818"/>
      <c r="Z194" s="818"/>
    </row>
    <row r="195" spans="1:26" ht="18.75">
      <c r="A195" s="949"/>
      <c r="B195" s="950"/>
      <c r="C195" s="950"/>
      <c r="D195" s="950"/>
      <c r="E195" s="956" t="s">
        <v>93</v>
      </c>
      <c r="F195" s="957"/>
      <c r="G195" s="958"/>
      <c r="H195" s="277" t="s">
        <v>35</v>
      </c>
      <c r="I195" s="830"/>
      <c r="J195" s="959">
        <v>55</v>
      </c>
      <c r="K195" s="831"/>
      <c r="L195" s="831"/>
      <c r="M195" s="831"/>
      <c r="N195" s="831"/>
      <c r="O195" s="831"/>
      <c r="P195" s="831"/>
      <c r="Q195" s="818"/>
      <c r="R195" s="818"/>
      <c r="S195" s="818"/>
      <c r="T195" s="818"/>
      <c r="U195" s="818"/>
      <c r="V195" s="818"/>
      <c r="W195" s="818"/>
      <c r="X195" s="818"/>
      <c r="Y195" s="818"/>
      <c r="Z195" s="818"/>
    </row>
    <row r="196" spans="1:26" ht="18.75">
      <c r="A196" s="949"/>
      <c r="B196" s="950"/>
      <c r="C196" s="950"/>
      <c r="D196" s="950"/>
      <c r="E196" s="956" t="s">
        <v>94</v>
      </c>
      <c r="F196" s="957"/>
      <c r="G196" s="958"/>
      <c r="H196" s="277" t="s">
        <v>35</v>
      </c>
      <c r="I196" s="830"/>
      <c r="J196" s="959">
        <v>0</v>
      </c>
      <c r="K196" s="831"/>
      <c r="L196" s="831"/>
      <c r="M196" s="831"/>
      <c r="N196" s="831"/>
      <c r="O196" s="831"/>
      <c r="P196" s="831"/>
      <c r="Q196" s="818"/>
      <c r="R196" s="818"/>
      <c r="S196" s="818"/>
      <c r="T196" s="818"/>
      <c r="U196" s="818"/>
      <c r="V196" s="818"/>
      <c r="W196" s="818"/>
      <c r="X196" s="818"/>
      <c r="Y196" s="818"/>
      <c r="Z196" s="818"/>
    </row>
    <row r="197" spans="1:26" ht="19.5">
      <c r="A197" s="1011"/>
      <c r="B197" s="1018"/>
      <c r="C197" s="1023" t="s">
        <v>95</v>
      </c>
      <c r="D197" s="1012"/>
      <c r="E197" s="1012"/>
      <c r="F197" s="1012"/>
      <c r="G197" s="1014"/>
      <c r="H197" s="278" t="s">
        <v>96</v>
      </c>
      <c r="I197" s="1024">
        <f t="shared" ref="I197:J197" ca="1" si="99">I204</f>
        <v>3</v>
      </c>
      <c r="J197" s="1024">
        <f t="shared" si="99"/>
        <v>3</v>
      </c>
      <c r="K197" s="1025">
        <f ca="1">IF(I197&gt;0,J197*100/I197,0)</f>
        <v>100</v>
      </c>
      <c r="L197" s="1016"/>
      <c r="M197" s="1016"/>
      <c r="N197" s="1016"/>
      <c r="O197" s="1016"/>
      <c r="P197" s="1016"/>
    </row>
    <row r="198" spans="1:26" ht="19.5">
      <c r="A198" s="932"/>
      <c r="B198" s="933"/>
      <c r="C198" s="934" t="s">
        <v>16</v>
      </c>
      <c r="D198" s="1026" t="s">
        <v>17</v>
      </c>
      <c r="E198" s="933"/>
      <c r="F198" s="933"/>
      <c r="G198" s="936"/>
      <c r="H198" s="275" t="s">
        <v>12</v>
      </c>
      <c r="I198" s="1028"/>
      <c r="J198" s="1028"/>
      <c r="K198" s="1029"/>
      <c r="L198" s="939">
        <f ca="1">L199+L200+L201+L202</f>
        <v>39000</v>
      </c>
      <c r="M198" s="939"/>
      <c r="N198" s="939">
        <f>N199+N200+N201+N202</f>
        <v>27000</v>
      </c>
      <c r="O198" s="939">
        <f ca="1">IF(L198&gt;0,N198*100/L198,0)</f>
        <v>69.230769230769226</v>
      </c>
      <c r="P198" s="939">
        <f>IF(M198&gt;0,N198*100/M198,0)</f>
        <v>0</v>
      </c>
      <c r="Q198" s="818"/>
      <c r="R198" s="818"/>
      <c r="S198" s="818"/>
      <c r="T198" s="818"/>
      <c r="U198" s="818"/>
      <c r="V198" s="818"/>
      <c r="W198" s="818"/>
      <c r="X198" s="818"/>
      <c r="Y198" s="818"/>
      <c r="Z198" s="818"/>
    </row>
    <row r="199" spans="1:26" ht="18.75">
      <c r="A199" s="942"/>
      <c r="B199" s="1030"/>
      <c r="C199" s="827"/>
      <c r="D199" s="943" t="s">
        <v>97</v>
      </c>
      <c r="E199" s="827"/>
      <c r="F199" s="827"/>
      <c r="G199" s="829"/>
      <c r="H199" s="778" t="s">
        <v>12</v>
      </c>
      <c r="I199" s="944"/>
      <c r="J199" s="944"/>
      <c r="K199" s="945"/>
      <c r="L199" s="831">
        <f ca="1">IFERROR(__xludf.DUMMYFUNCTION("IMPORTRANGE(""https://docs.google.com/spreadsheets/d/1QqKyyYR6Q21VydFLVH3TRQUabQu_ym0Zz7PgGX0-kHA/edit?usp=sharing"",""แผน!AE14"")"),3000)</f>
        <v>3000</v>
      </c>
      <c r="M199" s="831"/>
      <c r="N199" s="1031">
        <v>3000</v>
      </c>
      <c r="O199" s="831"/>
      <c r="P199" s="831"/>
      <c r="Q199" s="818"/>
      <c r="R199" s="818"/>
      <c r="S199" s="818"/>
      <c r="T199" s="818"/>
      <c r="U199" s="818"/>
      <c r="V199" s="818"/>
      <c r="W199" s="818"/>
      <c r="X199" s="818"/>
      <c r="Y199" s="818"/>
      <c r="Z199" s="818"/>
    </row>
    <row r="200" spans="1:26" ht="19.5">
      <c r="A200" s="1032"/>
      <c r="B200" s="1030"/>
      <c r="C200" s="976"/>
      <c r="D200" s="943" t="s">
        <v>98</v>
      </c>
      <c r="E200" s="827"/>
      <c r="F200" s="827"/>
      <c r="G200" s="829"/>
      <c r="H200" s="590" t="s">
        <v>12</v>
      </c>
      <c r="I200" s="830"/>
      <c r="J200" s="830"/>
      <c r="K200" s="831"/>
      <c r="L200" s="831">
        <f ca="1">IFERROR(__xludf.DUMMYFUNCTION("IMPORTRANGE(""https://docs.google.com/spreadsheets/d/1QqKyyYR6Q21VydFLVH3TRQUabQu_ym0Zz7PgGX0-kHA/edit?usp=sharing"",""แผน!AF14"")"),24000)</f>
        <v>24000</v>
      </c>
      <c r="M200" s="831"/>
      <c r="N200" s="1031">
        <v>24000</v>
      </c>
      <c r="O200" s="831"/>
      <c r="P200" s="831"/>
      <c r="Q200" s="1033"/>
      <c r="R200" s="1033"/>
      <c r="S200" s="1033"/>
      <c r="T200" s="1033"/>
      <c r="U200" s="1033"/>
      <c r="V200" s="1033"/>
      <c r="W200" s="1033"/>
      <c r="X200" s="1033"/>
      <c r="Y200" s="1033"/>
      <c r="Z200" s="1033"/>
    </row>
    <row r="201" spans="1:26" ht="19.5">
      <c r="A201" s="1032"/>
      <c r="B201" s="1030"/>
      <c r="C201" s="976"/>
      <c r="D201" s="943" t="s">
        <v>99</v>
      </c>
      <c r="E201" s="827"/>
      <c r="F201" s="827"/>
      <c r="G201" s="829"/>
      <c r="H201" s="590" t="s">
        <v>12</v>
      </c>
      <c r="I201" s="830"/>
      <c r="J201" s="830"/>
      <c r="K201" s="831"/>
      <c r="L201" s="831">
        <f ca="1">IFERROR(__xludf.DUMMYFUNCTION("IMPORTRANGE(""https://docs.google.com/spreadsheets/d/1QqKyyYR6Q21VydFLVH3TRQUabQu_ym0Zz7PgGX0-kHA/edit?usp=sharing"",""แผน!AG14"")"),12000)</f>
        <v>12000</v>
      </c>
      <c r="M201" s="831"/>
      <c r="N201" s="1031">
        <v>0</v>
      </c>
      <c r="O201" s="831"/>
      <c r="P201" s="831"/>
      <c r="Q201" s="1033"/>
      <c r="R201" s="1033"/>
      <c r="S201" s="1033"/>
      <c r="T201" s="1033"/>
      <c r="U201" s="1033"/>
      <c r="V201" s="1033"/>
      <c r="W201" s="1033"/>
      <c r="X201" s="1033"/>
      <c r="Y201" s="1033"/>
      <c r="Z201" s="1033"/>
    </row>
    <row r="202" spans="1:26" ht="19.5">
      <c r="A202" s="1032"/>
      <c r="B202" s="1030"/>
      <c r="C202" s="976"/>
      <c r="D202" s="943" t="s">
        <v>100</v>
      </c>
      <c r="E202" s="827"/>
      <c r="F202" s="827"/>
      <c r="G202" s="829"/>
      <c r="H202" s="590" t="s">
        <v>12</v>
      </c>
      <c r="I202" s="830"/>
      <c r="J202" s="830"/>
      <c r="K202" s="831"/>
      <c r="L202" s="831">
        <f ca="1">IFERROR(__xludf.DUMMYFUNCTION("IMPORTRANGE(""https://docs.google.com/spreadsheets/d/1QqKyyYR6Q21VydFLVH3TRQUabQu_ym0Zz7PgGX0-kHA/edit?usp=sharing"",""แผน!AH14"")"),0)</f>
        <v>0</v>
      </c>
      <c r="M202" s="831"/>
      <c r="N202" s="1031">
        <v>0</v>
      </c>
      <c r="O202" s="831"/>
      <c r="P202" s="831"/>
      <c r="Q202" s="1033"/>
      <c r="R202" s="1033"/>
      <c r="S202" s="1033"/>
      <c r="T202" s="1033"/>
      <c r="U202" s="1033"/>
      <c r="V202" s="1033"/>
      <c r="W202" s="1033"/>
      <c r="X202" s="1033"/>
      <c r="Y202" s="1033"/>
      <c r="Z202" s="1033"/>
    </row>
    <row r="203" spans="1:26" ht="19.5">
      <c r="A203" s="949"/>
      <c r="B203" s="950"/>
      <c r="C203" s="976" t="s">
        <v>16</v>
      </c>
      <c r="D203" s="951" t="s">
        <v>38</v>
      </c>
      <c r="E203" s="952"/>
      <c r="F203" s="952"/>
      <c r="G203" s="953"/>
      <c r="H203" s="954"/>
      <c r="I203" s="944"/>
      <c r="J203" s="944"/>
      <c r="K203" s="945"/>
      <c r="L203" s="945"/>
      <c r="M203" s="945"/>
      <c r="N203" s="945"/>
      <c r="O203" s="945"/>
      <c r="P203" s="945"/>
      <c r="Q203" s="818"/>
      <c r="R203" s="818"/>
      <c r="S203" s="818"/>
      <c r="T203" s="818"/>
      <c r="U203" s="818"/>
      <c r="V203" s="818"/>
      <c r="W203" s="818"/>
      <c r="X203" s="818"/>
      <c r="Y203" s="818"/>
      <c r="Z203" s="818"/>
    </row>
    <row r="204" spans="1:26" ht="18.75">
      <c r="A204" s="949"/>
      <c r="B204" s="950"/>
      <c r="C204" s="950"/>
      <c r="D204" s="955" t="s">
        <v>101</v>
      </c>
      <c r="E204" s="957"/>
      <c r="F204" s="957"/>
      <c r="G204" s="958"/>
      <c r="H204" s="954" t="s">
        <v>96</v>
      </c>
      <c r="I204" s="830">
        <f ca="1">IFERROR(__xludf.DUMMYFUNCTION("IMPORTRANGE(""https://docs.google.com/spreadsheets/d/1QqKyyYR6Q21VydFLVH3TRQUabQu_ym0Zz7PgGX0-kHA/edit?usp=sharing"",""แผน!AI14"")"),3)</f>
        <v>3</v>
      </c>
      <c r="J204" s="959">
        <v>3</v>
      </c>
      <c r="K204" s="945">
        <f ca="1">IF(I204&gt;0,J204*100/I204,0)</f>
        <v>100</v>
      </c>
      <c r="L204" s="831"/>
      <c r="M204" s="831"/>
      <c r="N204" s="831"/>
      <c r="O204" s="831"/>
      <c r="P204" s="831"/>
      <c r="Q204" s="818"/>
      <c r="R204" s="818"/>
      <c r="S204" s="818"/>
      <c r="T204" s="818"/>
      <c r="U204" s="818"/>
      <c r="V204" s="818"/>
      <c r="W204" s="818"/>
      <c r="X204" s="818"/>
      <c r="Y204" s="818"/>
      <c r="Z204" s="818"/>
    </row>
    <row r="205" spans="1:26" ht="18.75">
      <c r="A205" s="949"/>
      <c r="B205" s="950"/>
      <c r="C205" s="950"/>
      <c r="D205" s="956" t="s">
        <v>59</v>
      </c>
      <c r="E205" s="957"/>
      <c r="F205" s="957"/>
      <c r="G205" s="958"/>
      <c r="H205" s="954"/>
      <c r="I205" s="830"/>
      <c r="J205" s="830"/>
      <c r="K205" s="945"/>
      <c r="L205" s="831"/>
      <c r="M205" s="831"/>
      <c r="N205" s="831"/>
      <c r="O205" s="831"/>
      <c r="P205" s="831"/>
      <c r="Q205" s="818"/>
      <c r="R205" s="818"/>
      <c r="S205" s="818"/>
      <c r="T205" s="818"/>
      <c r="U205" s="818"/>
      <c r="V205" s="818"/>
      <c r="W205" s="818"/>
      <c r="X205" s="818"/>
      <c r="Y205" s="818"/>
      <c r="Z205" s="818"/>
    </row>
    <row r="206" spans="1:26" ht="18.75">
      <c r="A206" s="949"/>
      <c r="B206" s="950"/>
      <c r="C206" s="950"/>
      <c r="D206" s="957"/>
      <c r="E206" s="968" t="s">
        <v>102</v>
      </c>
      <c r="F206" s="1034"/>
      <c r="G206" s="1035"/>
      <c r="H206" s="1036" t="s">
        <v>96</v>
      </c>
      <c r="I206" s="830">
        <v>3</v>
      </c>
      <c r="J206" s="959">
        <v>0</v>
      </c>
      <c r="K206" s="945">
        <f t="shared" ref="K206:K208" si="100">IF(I206&gt;0,J206*100/I206,0)</f>
        <v>0</v>
      </c>
      <c r="L206" s="831"/>
      <c r="M206" s="831"/>
      <c r="N206" s="831"/>
      <c r="O206" s="831"/>
      <c r="P206" s="831"/>
      <c r="Q206" s="818"/>
      <c r="R206" s="818"/>
      <c r="S206" s="818"/>
      <c r="T206" s="818"/>
      <c r="U206" s="818"/>
      <c r="V206" s="818"/>
      <c r="W206" s="818"/>
      <c r="X206" s="818"/>
      <c r="Y206" s="818"/>
      <c r="Z206" s="818"/>
    </row>
    <row r="207" spans="1:26" ht="18.75">
      <c r="A207" s="949"/>
      <c r="B207" s="950"/>
      <c r="C207" s="950"/>
      <c r="D207" s="956"/>
      <c r="E207" s="956" t="s">
        <v>103</v>
      </c>
      <c r="F207" s="957"/>
      <c r="G207" s="957"/>
      <c r="H207" s="290" t="s">
        <v>104</v>
      </c>
      <c r="I207" s="830">
        <v>0</v>
      </c>
      <c r="J207" s="959">
        <v>0</v>
      </c>
      <c r="K207" s="945">
        <f t="shared" si="100"/>
        <v>0</v>
      </c>
      <c r="L207" s="831"/>
      <c r="M207" s="831"/>
      <c r="N207" s="831"/>
      <c r="O207" s="831"/>
      <c r="P207" s="831"/>
      <c r="Q207" s="818"/>
      <c r="R207" s="818"/>
      <c r="S207" s="818"/>
      <c r="T207" s="818"/>
      <c r="U207" s="818"/>
      <c r="V207" s="818"/>
      <c r="W207" s="818"/>
      <c r="X207" s="818"/>
      <c r="Y207" s="818"/>
      <c r="Z207" s="818"/>
    </row>
    <row r="208" spans="1:26" ht="19.5" hidden="1">
      <c r="A208" s="1011"/>
      <c r="B208" s="1018"/>
      <c r="C208" s="1023" t="s">
        <v>105</v>
      </c>
      <c r="D208" s="1012"/>
      <c r="E208" s="1012"/>
      <c r="F208" s="1037"/>
      <c r="G208" s="1014"/>
      <c r="H208" s="278" t="s">
        <v>96</v>
      </c>
      <c r="I208" s="1024">
        <f t="shared" ref="I208:J208" ca="1" si="101">I215</f>
        <v>0</v>
      </c>
      <c r="J208" s="1024">
        <f t="shared" si="101"/>
        <v>0</v>
      </c>
      <c r="K208" s="1025">
        <f t="shared" ca="1" si="100"/>
        <v>0</v>
      </c>
      <c r="L208" s="1016"/>
      <c r="M208" s="1016"/>
      <c r="N208" s="1016"/>
      <c r="O208" s="1016"/>
      <c r="P208" s="1016"/>
    </row>
    <row r="209" spans="1:26" ht="19.5" hidden="1">
      <c r="A209" s="932"/>
      <c r="B209" s="933"/>
      <c r="C209" s="934" t="s">
        <v>16</v>
      </c>
      <c r="D209" s="1026" t="s">
        <v>17</v>
      </c>
      <c r="E209" s="933"/>
      <c r="F209" s="933"/>
      <c r="G209" s="936"/>
      <c r="H209" s="275" t="s">
        <v>12</v>
      </c>
      <c r="I209" s="1028"/>
      <c r="J209" s="1028"/>
      <c r="K209" s="1029"/>
      <c r="L209" s="939">
        <f ca="1">L210+L211+L212</f>
        <v>0</v>
      </c>
      <c r="M209" s="939"/>
      <c r="N209" s="939">
        <f>N210+N211+N212</f>
        <v>0</v>
      </c>
      <c r="O209" s="939">
        <f ca="1">IF(L209&gt;0,N209*100/L209,0)</f>
        <v>0</v>
      </c>
      <c r="P209" s="939">
        <f>IF(M209&gt;0,N209*100/M209,0)</f>
        <v>0</v>
      </c>
      <c r="Q209" s="818"/>
      <c r="R209" s="818"/>
      <c r="S209" s="818"/>
      <c r="T209" s="818"/>
      <c r="U209" s="818"/>
      <c r="V209" s="818"/>
      <c r="W209" s="818"/>
      <c r="X209" s="818"/>
      <c r="Y209" s="818"/>
      <c r="Z209" s="818"/>
    </row>
    <row r="210" spans="1:26" ht="18.75" hidden="1">
      <c r="A210" s="942"/>
      <c r="B210" s="1030"/>
      <c r="C210" s="827"/>
      <c r="D210" s="943" t="s">
        <v>97</v>
      </c>
      <c r="E210" s="827"/>
      <c r="F210" s="827"/>
      <c r="G210" s="829"/>
      <c r="H210" s="778" t="s">
        <v>12</v>
      </c>
      <c r="I210" s="944"/>
      <c r="J210" s="944"/>
      <c r="K210" s="945"/>
      <c r="L210" s="831">
        <f ca="1">IFERROR(__xludf.DUMMYFUNCTION("IMPORTRANGE(""https://docs.google.com/spreadsheets/d/1QqKyyYR6Q21VydFLVH3TRQUabQu_ym0Zz7PgGX0-kHA/edit?usp=sharing"",""แผน!AK14"")"),0)</f>
        <v>0</v>
      </c>
      <c r="M210" s="831"/>
      <c r="N210" s="1031">
        <v>0</v>
      </c>
      <c r="O210" s="831"/>
      <c r="P210" s="831"/>
      <c r="Q210" s="818"/>
      <c r="R210" s="818"/>
      <c r="S210" s="818"/>
      <c r="T210" s="818"/>
      <c r="U210" s="818"/>
      <c r="V210" s="818"/>
      <c r="W210" s="818"/>
      <c r="X210" s="818"/>
      <c r="Y210" s="818"/>
      <c r="Z210" s="818"/>
    </row>
    <row r="211" spans="1:26" ht="19.5" hidden="1">
      <c r="A211" s="1032"/>
      <c r="B211" s="1030"/>
      <c r="C211" s="1038"/>
      <c r="D211" s="943" t="s">
        <v>99</v>
      </c>
      <c r="E211" s="827"/>
      <c r="F211" s="827"/>
      <c r="G211" s="829"/>
      <c r="H211" s="778" t="s">
        <v>12</v>
      </c>
      <c r="I211" s="830"/>
      <c r="J211" s="830"/>
      <c r="K211" s="831"/>
      <c r="L211" s="831">
        <f ca="1">IFERROR(__xludf.DUMMYFUNCTION("IMPORTRANGE(""https://docs.google.com/spreadsheets/d/1QqKyyYR6Q21VydFLVH3TRQUabQu_ym0Zz7PgGX0-kHA/edit?usp=sharing"",""แผน!AL14"")"),0)</f>
        <v>0</v>
      </c>
      <c r="M211" s="831"/>
      <c r="N211" s="1031">
        <v>0</v>
      </c>
      <c r="O211" s="831"/>
      <c r="P211" s="831"/>
      <c r="Q211" s="1033"/>
      <c r="R211" s="1033"/>
      <c r="S211" s="1033"/>
      <c r="T211" s="1033"/>
      <c r="U211" s="1033"/>
      <c r="V211" s="1033"/>
      <c r="W211" s="1033"/>
      <c r="X211" s="1033"/>
      <c r="Y211" s="1033"/>
      <c r="Z211" s="1033"/>
    </row>
    <row r="212" spans="1:26" ht="19.5" hidden="1">
      <c r="A212" s="1032"/>
      <c r="B212" s="1030"/>
      <c r="C212" s="1038"/>
      <c r="D212" s="943" t="s">
        <v>98</v>
      </c>
      <c r="E212" s="827"/>
      <c r="F212" s="827"/>
      <c r="G212" s="829"/>
      <c r="H212" s="778" t="s">
        <v>12</v>
      </c>
      <c r="I212" s="830"/>
      <c r="J212" s="830"/>
      <c r="K212" s="831"/>
      <c r="L212" s="831">
        <f ca="1">IFERROR(__xludf.DUMMYFUNCTION("IMPORTRANGE(""https://docs.google.com/spreadsheets/d/1QqKyyYR6Q21VydFLVH3TRQUabQu_ym0Zz7PgGX0-kHA/edit?usp=sharing"",""แผน!AM14"")"),0)</f>
        <v>0</v>
      </c>
      <c r="M212" s="831"/>
      <c r="N212" s="1031">
        <v>0</v>
      </c>
      <c r="O212" s="831"/>
      <c r="P212" s="831"/>
      <c r="Q212" s="1033"/>
      <c r="R212" s="1033"/>
      <c r="S212" s="1033"/>
      <c r="T212" s="1033"/>
      <c r="U212" s="1033"/>
      <c r="V212" s="1033"/>
      <c r="W212" s="1033"/>
      <c r="X212" s="1033"/>
      <c r="Y212" s="1033"/>
      <c r="Z212" s="1033"/>
    </row>
    <row r="213" spans="1:26" ht="19.5" hidden="1">
      <c r="A213" s="949"/>
      <c r="B213" s="950"/>
      <c r="C213" s="1038" t="s">
        <v>16</v>
      </c>
      <c r="D213" s="951" t="s">
        <v>38</v>
      </c>
      <c r="E213" s="952"/>
      <c r="F213" s="952"/>
      <c r="G213" s="953"/>
      <c r="H213" s="954"/>
      <c r="I213" s="944"/>
      <c r="J213" s="830"/>
      <c r="K213" s="831"/>
      <c r="L213" s="831"/>
      <c r="M213" s="831"/>
      <c r="N213" s="831"/>
      <c r="O213" s="945"/>
      <c r="P213" s="945"/>
      <c r="Q213" s="818"/>
      <c r="R213" s="818"/>
      <c r="S213" s="818"/>
      <c r="T213" s="818"/>
      <c r="U213" s="818"/>
      <c r="V213" s="818"/>
      <c r="W213" s="818"/>
      <c r="X213" s="818"/>
      <c r="Y213" s="818"/>
      <c r="Z213" s="818"/>
    </row>
    <row r="214" spans="1:26" ht="18.75" hidden="1">
      <c r="A214" s="949"/>
      <c r="B214" s="950"/>
      <c r="C214" s="950"/>
      <c r="D214" s="955" t="s">
        <v>106</v>
      </c>
      <c r="E214" s="957"/>
      <c r="F214" s="957"/>
      <c r="G214" s="958"/>
      <c r="H214" s="954" t="s">
        <v>96</v>
      </c>
      <c r="I214" s="830">
        <f ca="1">IFERROR(__xludf.DUMMYFUNCTION("IMPORTRANGE(""https://docs.google.com/spreadsheets/d/1QqKyyYR6Q21VydFLVH3TRQUabQu_ym0Zz7PgGX0-kHA/edit?usp=sharing"",""แผน!AN14"")"),0)</f>
        <v>0</v>
      </c>
      <c r="J214" s="959">
        <v>0</v>
      </c>
      <c r="K214" s="831">
        <f t="shared" ref="K214:K216" ca="1" si="102">IF(I214&gt;0,J214*100/I214,0)</f>
        <v>0</v>
      </c>
      <c r="L214" s="831"/>
      <c r="M214" s="831"/>
      <c r="N214" s="831"/>
      <c r="O214" s="831"/>
      <c r="P214" s="831"/>
      <c r="Q214" s="818"/>
      <c r="R214" s="818"/>
      <c r="S214" s="818"/>
      <c r="T214" s="818"/>
      <c r="U214" s="818"/>
      <c r="V214" s="818"/>
      <c r="W214" s="818"/>
      <c r="X214" s="818"/>
      <c r="Y214" s="818"/>
      <c r="Z214" s="818"/>
    </row>
    <row r="215" spans="1:26" ht="18.75" hidden="1">
      <c r="A215" s="949"/>
      <c r="B215" s="950"/>
      <c r="C215" s="950"/>
      <c r="D215" s="955" t="s">
        <v>107</v>
      </c>
      <c r="E215" s="957"/>
      <c r="F215" s="957"/>
      <c r="G215" s="958"/>
      <c r="H215" s="954" t="s">
        <v>96</v>
      </c>
      <c r="I215" s="830">
        <f ca="1">IFERROR(__xludf.DUMMYFUNCTION("IMPORTRANGE(""https://docs.google.com/spreadsheets/d/1QqKyyYR6Q21VydFLVH3TRQUabQu_ym0Zz7PgGX0-kHA/edit?usp=sharing"",""แผน!AN14"")"),0)</f>
        <v>0</v>
      </c>
      <c r="J215" s="959">
        <v>0</v>
      </c>
      <c r="K215" s="831">
        <f t="shared" ca="1" si="102"/>
        <v>0</v>
      </c>
      <c r="L215" s="831"/>
      <c r="M215" s="831"/>
      <c r="N215" s="831"/>
      <c r="O215" s="831"/>
      <c r="P215" s="831"/>
      <c r="Q215" s="818"/>
      <c r="R215" s="818"/>
      <c r="S215" s="818"/>
      <c r="T215" s="818"/>
      <c r="U215" s="818"/>
      <c r="V215" s="818"/>
      <c r="W215" s="818"/>
      <c r="X215" s="818"/>
      <c r="Y215" s="818"/>
      <c r="Z215" s="818"/>
    </row>
    <row r="216" spans="1:26" ht="19.5">
      <c r="A216" s="1011"/>
      <c r="B216" s="1018"/>
      <c r="C216" s="1023" t="s">
        <v>108</v>
      </c>
      <c r="D216" s="1012"/>
      <c r="E216" s="1012"/>
      <c r="F216" s="1037"/>
      <c r="G216" s="1014"/>
      <c r="H216" s="260" t="s">
        <v>109</v>
      </c>
      <c r="I216" s="1024">
        <f t="shared" ref="I216:J216" ca="1" si="103">I224</f>
        <v>50000</v>
      </c>
      <c r="J216" s="1024">
        <f t="shared" si="103"/>
        <v>0</v>
      </c>
      <c r="K216" s="1025">
        <f t="shared" ca="1" si="102"/>
        <v>0</v>
      </c>
      <c r="L216" s="1016"/>
      <c r="M216" s="1016"/>
      <c r="N216" s="1016"/>
      <c r="O216" s="1016"/>
      <c r="P216" s="1016"/>
    </row>
    <row r="217" spans="1:26" ht="19.5">
      <c r="A217" s="932"/>
      <c r="B217" s="933"/>
      <c r="C217" s="934" t="s">
        <v>16</v>
      </c>
      <c r="D217" s="1026" t="s">
        <v>17</v>
      </c>
      <c r="E217" s="933"/>
      <c r="F217" s="933"/>
      <c r="G217" s="936"/>
      <c r="H217" s="275" t="s">
        <v>12</v>
      </c>
      <c r="I217" s="1028"/>
      <c r="J217" s="1028"/>
      <c r="K217" s="1029"/>
      <c r="L217" s="939">
        <f ca="1">L218+L219+L220</f>
        <v>18500</v>
      </c>
      <c r="M217" s="939"/>
      <c r="N217" s="939">
        <f>N218+N219+N220</f>
        <v>0</v>
      </c>
      <c r="O217" s="939">
        <f ca="1">IF(L217&gt;0,N217*100/L217,0)</f>
        <v>0</v>
      </c>
      <c r="P217" s="939">
        <f>IF(M217&gt;0,N217*100/M217,0)</f>
        <v>0</v>
      </c>
      <c r="Q217" s="818"/>
      <c r="R217" s="818"/>
      <c r="S217" s="818"/>
      <c r="T217" s="818"/>
      <c r="U217" s="818"/>
      <c r="V217" s="818"/>
      <c r="W217" s="818"/>
      <c r="X217" s="818"/>
      <c r="Y217" s="818"/>
      <c r="Z217" s="818"/>
    </row>
    <row r="218" spans="1:26" ht="18.75">
      <c r="A218" s="942"/>
      <c r="B218" s="1030"/>
      <c r="C218" s="827"/>
      <c r="D218" s="943" t="s">
        <v>97</v>
      </c>
      <c r="E218" s="827"/>
      <c r="F218" s="827"/>
      <c r="G218" s="829"/>
      <c r="H218" s="778" t="s">
        <v>12</v>
      </c>
      <c r="I218" s="944"/>
      <c r="J218" s="944"/>
      <c r="K218" s="945"/>
      <c r="L218" s="831">
        <f ca="1">IFERROR(__xludf.DUMMYFUNCTION("IMPORTRANGE(""https://docs.google.com/spreadsheets/d/1QqKyyYR6Q21VydFLVH3TRQUabQu_ym0Zz7PgGX0-kHA/edit?usp=sharing"",""แผน!AP14"")"),5000)</f>
        <v>5000</v>
      </c>
      <c r="M218" s="831"/>
      <c r="N218" s="1031">
        <v>0</v>
      </c>
      <c r="O218" s="831"/>
      <c r="P218" s="831"/>
      <c r="Q218" s="818"/>
      <c r="R218" s="818"/>
      <c r="S218" s="818"/>
      <c r="T218" s="818"/>
      <c r="U218" s="818"/>
      <c r="V218" s="818"/>
      <c r="W218" s="818"/>
      <c r="X218" s="818"/>
      <c r="Y218" s="818"/>
      <c r="Z218" s="818"/>
    </row>
    <row r="219" spans="1:26" ht="19.5">
      <c r="A219" s="1032"/>
      <c r="B219" s="1030"/>
      <c r="C219" s="1038"/>
      <c r="D219" s="943" t="s">
        <v>110</v>
      </c>
      <c r="E219" s="827"/>
      <c r="F219" s="827"/>
      <c r="G219" s="829"/>
      <c r="H219" s="778" t="s">
        <v>12</v>
      </c>
      <c r="I219" s="830"/>
      <c r="J219" s="830"/>
      <c r="K219" s="831"/>
      <c r="L219" s="831">
        <f ca="1">IFERROR(__xludf.DUMMYFUNCTION("IMPORTRANGE(""https://docs.google.com/spreadsheets/d/1QqKyyYR6Q21VydFLVH3TRQUabQu_ym0Zz7PgGX0-kHA/edit?usp=sharing"",""แผน!AQ14"")"),13500)</f>
        <v>13500</v>
      </c>
      <c r="M219" s="831"/>
      <c r="N219" s="1031">
        <v>0</v>
      </c>
      <c r="O219" s="831"/>
      <c r="P219" s="831"/>
      <c r="Q219" s="1033"/>
      <c r="R219" s="1033"/>
      <c r="S219" s="1033"/>
      <c r="T219" s="1033"/>
      <c r="U219" s="1033"/>
      <c r="V219" s="1033"/>
      <c r="W219" s="1033"/>
      <c r="X219" s="1033"/>
      <c r="Y219" s="1033"/>
      <c r="Z219" s="1033"/>
    </row>
    <row r="220" spans="1:26" ht="19.5">
      <c r="A220" s="1032"/>
      <c r="B220" s="1030"/>
      <c r="C220" s="1038"/>
      <c r="D220" s="943" t="s">
        <v>98</v>
      </c>
      <c r="E220" s="827"/>
      <c r="F220" s="827"/>
      <c r="G220" s="829"/>
      <c r="H220" s="778" t="s">
        <v>12</v>
      </c>
      <c r="I220" s="830"/>
      <c r="J220" s="830"/>
      <c r="K220" s="831"/>
      <c r="L220" s="831">
        <f ca="1">IFERROR(__xludf.DUMMYFUNCTION("IMPORTRANGE(""https://docs.google.com/spreadsheets/d/1QqKyyYR6Q21VydFLVH3TRQUabQu_ym0Zz7PgGX0-kHA/edit?usp=sharing"",""แผน!AR14"")"),0)</f>
        <v>0</v>
      </c>
      <c r="M220" s="831"/>
      <c r="N220" s="1031">
        <v>0</v>
      </c>
      <c r="O220" s="831"/>
      <c r="P220" s="831"/>
      <c r="Q220" s="1033"/>
      <c r="R220" s="1033"/>
      <c r="S220" s="1033"/>
      <c r="T220" s="1033"/>
      <c r="U220" s="1033"/>
      <c r="V220" s="1033"/>
      <c r="W220" s="1033"/>
      <c r="X220" s="1033"/>
      <c r="Y220" s="1033"/>
      <c r="Z220" s="1033"/>
    </row>
    <row r="221" spans="1:26" ht="19.5">
      <c r="A221" s="949"/>
      <c r="B221" s="950"/>
      <c r="C221" s="1038" t="s">
        <v>16</v>
      </c>
      <c r="D221" s="951" t="s">
        <v>38</v>
      </c>
      <c r="E221" s="952"/>
      <c r="F221" s="952"/>
      <c r="G221" s="953"/>
      <c r="H221" s="954"/>
      <c r="I221" s="944"/>
      <c r="J221" s="944"/>
      <c r="K221" s="945"/>
      <c r="L221" s="945"/>
      <c r="M221" s="945"/>
      <c r="N221" s="945"/>
      <c r="O221" s="945"/>
      <c r="P221" s="945"/>
      <c r="Q221" s="818"/>
      <c r="R221" s="818"/>
      <c r="S221" s="818"/>
      <c r="T221" s="818"/>
      <c r="U221" s="818"/>
      <c r="V221" s="818"/>
      <c r="W221" s="818"/>
      <c r="X221" s="818"/>
      <c r="Y221" s="818"/>
      <c r="Z221" s="818"/>
    </row>
    <row r="222" spans="1:26" ht="18.75">
      <c r="A222" s="949"/>
      <c r="B222" s="950"/>
      <c r="C222" s="950"/>
      <c r="D222" s="943" t="s">
        <v>111</v>
      </c>
      <c r="E222" s="957"/>
      <c r="F222" s="957"/>
      <c r="G222" s="958"/>
      <c r="H222" s="954"/>
      <c r="I222" s="830"/>
      <c r="J222" s="830"/>
      <c r="K222" s="945"/>
      <c r="L222" s="945"/>
      <c r="M222" s="945"/>
      <c r="N222" s="945"/>
      <c r="O222" s="945"/>
      <c r="P222" s="945"/>
      <c r="Q222" s="818"/>
      <c r="R222" s="818"/>
      <c r="S222" s="818"/>
      <c r="T222" s="818"/>
      <c r="U222" s="818"/>
      <c r="V222" s="818"/>
      <c r="W222" s="818"/>
      <c r="X222" s="818"/>
      <c r="Y222" s="818"/>
      <c r="Z222" s="818"/>
    </row>
    <row r="223" spans="1:26" ht="18.75">
      <c r="A223" s="949"/>
      <c r="B223" s="950"/>
      <c r="C223" s="950"/>
      <c r="D223" s="950"/>
      <c r="E223" s="955" t="s">
        <v>112</v>
      </c>
      <c r="F223" s="957"/>
      <c r="G223" s="958"/>
      <c r="H223" s="730" t="s">
        <v>109</v>
      </c>
      <c r="I223" s="830">
        <f ca="1">IFERROR(__xludf.DUMMYFUNCTION("IMPORTRANGE(""https://docs.google.com/spreadsheets/d/1QqKyyYR6Q21VydFLVH3TRQUabQu_ym0Zz7PgGX0-kHA/edit?usp=sharing"",""แผน!AT14"")"),50000)</f>
        <v>50000</v>
      </c>
      <c r="J223" s="959">
        <v>0</v>
      </c>
      <c r="K223" s="945">
        <f t="shared" ref="K223:K226" ca="1" si="104">IF(I223&gt;0,J223*100/I223,0)</f>
        <v>0</v>
      </c>
      <c r="L223" s="945"/>
      <c r="M223" s="945"/>
      <c r="N223" s="945"/>
      <c r="O223" s="945"/>
      <c r="P223" s="945"/>
      <c r="Q223" s="818"/>
      <c r="R223" s="818"/>
      <c r="S223" s="818"/>
      <c r="T223" s="818"/>
      <c r="U223" s="818"/>
      <c r="V223" s="818"/>
      <c r="W223" s="818"/>
      <c r="X223" s="818"/>
      <c r="Y223" s="818"/>
      <c r="Z223" s="818"/>
    </row>
    <row r="224" spans="1:26" ht="18.75">
      <c r="A224" s="949"/>
      <c r="B224" s="950"/>
      <c r="C224" s="950"/>
      <c r="D224" s="950"/>
      <c r="E224" s="955" t="s">
        <v>113</v>
      </c>
      <c r="F224" s="957"/>
      <c r="G224" s="958"/>
      <c r="H224" s="730" t="s">
        <v>109</v>
      </c>
      <c r="I224" s="830">
        <f ca="1">IFERROR(__xludf.DUMMYFUNCTION("IMPORTRANGE(""https://docs.google.com/spreadsheets/d/1QqKyyYR6Q21VydFLVH3TRQUabQu_ym0Zz7PgGX0-kHA/edit?usp=sharing"",""แผน!AT14"")"),50000)</f>
        <v>50000</v>
      </c>
      <c r="J224" s="959">
        <v>0</v>
      </c>
      <c r="K224" s="945">
        <f t="shared" ca="1" si="104"/>
        <v>0</v>
      </c>
      <c r="L224" s="831"/>
      <c r="M224" s="831"/>
      <c r="N224" s="831"/>
      <c r="O224" s="831"/>
      <c r="P224" s="831"/>
      <c r="Q224" s="818"/>
      <c r="R224" s="818"/>
      <c r="S224" s="818"/>
      <c r="T224" s="818"/>
      <c r="U224" s="818"/>
      <c r="V224" s="818"/>
      <c r="W224" s="818"/>
      <c r="X224" s="818"/>
      <c r="Y224" s="818"/>
      <c r="Z224" s="818"/>
    </row>
    <row r="225" spans="1:26" ht="18.75">
      <c r="A225" s="949"/>
      <c r="B225" s="950"/>
      <c r="C225" s="950"/>
      <c r="D225" s="943" t="s">
        <v>114</v>
      </c>
      <c r="E225" s="957"/>
      <c r="F225" s="957"/>
      <c r="G225" s="958"/>
      <c r="H225" s="730" t="s">
        <v>35</v>
      </c>
      <c r="I225" s="830">
        <f ca="1">IFERROR(__xludf.DUMMYFUNCTION("IMPORTRANGE(""https://docs.google.com/spreadsheets/d/1QqKyyYR6Q21VydFLVH3TRQUabQu_ym0Zz7PgGX0-kHA/edit?usp=sharing"",""แผน!AS14"")"),0)</f>
        <v>0</v>
      </c>
      <c r="J225" s="959">
        <v>0</v>
      </c>
      <c r="K225" s="945">
        <f t="shared" ca="1" si="104"/>
        <v>0</v>
      </c>
      <c r="L225" s="831"/>
      <c r="M225" s="831"/>
      <c r="N225" s="831"/>
      <c r="O225" s="831"/>
      <c r="P225" s="831"/>
      <c r="Q225" s="818"/>
      <c r="R225" s="818"/>
      <c r="S225" s="818"/>
      <c r="T225" s="818"/>
      <c r="U225" s="818"/>
      <c r="V225" s="818"/>
      <c r="W225" s="818"/>
      <c r="X225" s="818"/>
      <c r="Y225" s="818"/>
      <c r="Z225" s="818"/>
    </row>
    <row r="226" spans="1:26" ht="19.5" hidden="1">
      <c r="A226" s="1011"/>
      <c r="B226" s="1018"/>
      <c r="C226" s="1039" t="s">
        <v>115</v>
      </c>
      <c r="D226" s="1012"/>
      <c r="E226" s="1012"/>
      <c r="F226" s="1012"/>
      <c r="G226" s="1014"/>
      <c r="H226" s="266" t="s">
        <v>35</v>
      </c>
      <c r="I226" s="1040">
        <f t="shared" ref="I226:J226" ca="1" si="105">I237+I248</f>
        <v>0</v>
      </c>
      <c r="J226" s="1040">
        <f t="shared" si="105"/>
        <v>0</v>
      </c>
      <c r="K226" s="1041">
        <f t="shared" ca="1" si="104"/>
        <v>0</v>
      </c>
      <c r="L226" s="1016"/>
      <c r="M226" s="1016"/>
      <c r="N226" s="1016"/>
      <c r="O226" s="1016"/>
      <c r="P226" s="1016"/>
    </row>
    <row r="227" spans="1:26" ht="19.5" hidden="1">
      <c r="A227" s="1042"/>
      <c r="B227" s="1043"/>
      <c r="C227" s="1044" t="s">
        <v>16</v>
      </c>
      <c r="D227" s="1045" t="s">
        <v>17</v>
      </c>
      <c r="E227" s="1043"/>
      <c r="F227" s="1043"/>
      <c r="G227" s="1046"/>
      <c r="H227" s="1047" t="s">
        <v>12</v>
      </c>
      <c r="I227" s="1048"/>
      <c r="J227" s="1048"/>
      <c r="K227" s="1049"/>
      <c r="L227" s="1050">
        <f t="shared" ref="L227:L231" ca="1" si="106">L238+L249</f>
        <v>0</v>
      </c>
      <c r="M227" s="1050"/>
      <c r="N227" s="1050">
        <f t="shared" ref="N227:N231" si="107">N238+N249</f>
        <v>0</v>
      </c>
      <c r="O227" s="1051"/>
      <c r="P227" s="1051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</row>
    <row r="228" spans="1:26" ht="18.75" hidden="1">
      <c r="A228" s="940"/>
      <c r="B228" s="1052"/>
      <c r="C228" s="833"/>
      <c r="D228" s="834" t="s">
        <v>97</v>
      </c>
      <c r="E228" s="833"/>
      <c r="F228" s="833"/>
      <c r="G228" s="835"/>
      <c r="H228" s="165" t="s">
        <v>12</v>
      </c>
      <c r="I228" s="947"/>
      <c r="J228" s="947"/>
      <c r="K228" s="948"/>
      <c r="L228" s="837">
        <f t="shared" ca="1" si="106"/>
        <v>0</v>
      </c>
      <c r="M228" s="837"/>
      <c r="N228" s="837">
        <f t="shared" si="107"/>
        <v>0</v>
      </c>
      <c r="O228" s="837"/>
      <c r="P228" s="837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</row>
    <row r="229" spans="1:26" ht="19.5" hidden="1">
      <c r="A229" s="1053"/>
      <c r="B229" s="1052"/>
      <c r="C229" s="1054"/>
      <c r="D229" s="834" t="s">
        <v>98</v>
      </c>
      <c r="E229" s="833"/>
      <c r="F229" s="833"/>
      <c r="G229" s="835"/>
      <c r="H229" s="165" t="s">
        <v>12</v>
      </c>
      <c r="I229" s="836"/>
      <c r="J229" s="836"/>
      <c r="K229" s="837"/>
      <c r="L229" s="837">
        <f t="shared" ca="1" si="106"/>
        <v>0</v>
      </c>
      <c r="M229" s="837"/>
      <c r="N229" s="837">
        <f t="shared" si="107"/>
        <v>0</v>
      </c>
      <c r="O229" s="837"/>
      <c r="P229" s="837"/>
      <c r="Q229" s="1055"/>
      <c r="R229" s="1055"/>
      <c r="S229" s="1055"/>
      <c r="T229" s="1055"/>
      <c r="U229" s="1055"/>
      <c r="V229" s="1055"/>
      <c r="W229" s="1055"/>
      <c r="X229" s="1055"/>
      <c r="Y229" s="1055"/>
      <c r="Z229" s="1055"/>
    </row>
    <row r="230" spans="1:26" ht="19.5" hidden="1">
      <c r="A230" s="1053"/>
      <c r="B230" s="1052"/>
      <c r="C230" s="1054"/>
      <c r="D230" s="834" t="s">
        <v>116</v>
      </c>
      <c r="E230" s="833"/>
      <c r="F230" s="833"/>
      <c r="G230" s="835"/>
      <c r="H230" s="165" t="s">
        <v>12</v>
      </c>
      <c r="I230" s="836"/>
      <c r="J230" s="836"/>
      <c r="K230" s="837"/>
      <c r="L230" s="837">
        <f t="shared" ca="1" si="106"/>
        <v>0</v>
      </c>
      <c r="M230" s="837"/>
      <c r="N230" s="837">
        <f t="shared" si="107"/>
        <v>0</v>
      </c>
      <c r="O230" s="837"/>
      <c r="P230" s="837"/>
      <c r="Q230" s="1055"/>
      <c r="R230" s="1055"/>
      <c r="S230" s="1055"/>
      <c r="T230" s="1055"/>
      <c r="U230" s="1055"/>
      <c r="V230" s="1055"/>
      <c r="W230" s="1055"/>
      <c r="X230" s="1055"/>
      <c r="Y230" s="1055"/>
      <c r="Z230" s="1055"/>
    </row>
    <row r="231" spans="1:26" ht="19.5" hidden="1">
      <c r="A231" s="1053"/>
      <c r="B231" s="1052"/>
      <c r="C231" s="1054"/>
      <c r="D231" s="834" t="s">
        <v>100</v>
      </c>
      <c r="E231" s="833"/>
      <c r="F231" s="833"/>
      <c r="G231" s="835"/>
      <c r="H231" s="165" t="s">
        <v>12</v>
      </c>
      <c r="I231" s="836"/>
      <c r="J231" s="836"/>
      <c r="K231" s="837"/>
      <c r="L231" s="837">
        <f t="shared" ca="1" si="106"/>
        <v>0</v>
      </c>
      <c r="M231" s="837"/>
      <c r="N231" s="837">
        <f t="shared" si="107"/>
        <v>0</v>
      </c>
      <c r="O231" s="837"/>
      <c r="P231" s="837"/>
      <c r="Q231" s="1055"/>
      <c r="R231" s="1055"/>
      <c r="S231" s="1055"/>
      <c r="T231" s="1055"/>
      <c r="U231" s="1055"/>
      <c r="V231" s="1055"/>
      <c r="W231" s="1055"/>
      <c r="X231" s="1055"/>
      <c r="Y231" s="1055"/>
      <c r="Z231" s="1055"/>
    </row>
    <row r="232" spans="1:26" ht="19.5" hidden="1">
      <c r="A232" s="1056"/>
      <c r="B232" s="1057"/>
      <c r="C232" s="1054" t="s">
        <v>16</v>
      </c>
      <c r="D232" s="1020" t="s">
        <v>38</v>
      </c>
      <c r="E232" s="1058"/>
      <c r="F232" s="1058"/>
      <c r="G232" s="1059"/>
      <c r="H232" s="1060"/>
      <c r="I232" s="947"/>
      <c r="J232" s="836"/>
      <c r="K232" s="837"/>
      <c r="L232" s="837"/>
      <c r="M232" s="837"/>
      <c r="N232" s="837"/>
      <c r="O232" s="948"/>
      <c r="P232" s="948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</row>
    <row r="233" spans="1:26" ht="18.75" hidden="1">
      <c r="A233" s="1056"/>
      <c r="B233" s="1057"/>
      <c r="C233" s="1057"/>
      <c r="D233" s="1022" t="s">
        <v>117</v>
      </c>
      <c r="E233" s="1061"/>
      <c r="F233" s="1061"/>
      <c r="G233" s="1062"/>
      <c r="H233" s="583" t="s">
        <v>35</v>
      </c>
      <c r="I233" s="836">
        <f t="shared" ref="I233:J233" ca="1" si="108">I244+I255</f>
        <v>0</v>
      </c>
      <c r="J233" s="836">
        <f t="shared" si="108"/>
        <v>0</v>
      </c>
      <c r="K233" s="837">
        <f ca="1">IF(I233&gt;0,J233*100/I233,0)</f>
        <v>0</v>
      </c>
      <c r="L233" s="837"/>
      <c r="M233" s="837"/>
      <c r="N233" s="837"/>
      <c r="O233" s="837"/>
      <c r="P233" s="837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</row>
    <row r="234" spans="1:26" ht="18.75" hidden="1">
      <c r="A234" s="1056"/>
      <c r="B234" s="1057"/>
      <c r="C234" s="1057"/>
      <c r="D234" s="1063" t="s">
        <v>43</v>
      </c>
      <c r="E234" s="1061"/>
      <c r="F234" s="1061"/>
      <c r="G234" s="1062"/>
      <c r="H234" s="583"/>
      <c r="I234" s="836"/>
      <c r="J234" s="836"/>
      <c r="K234" s="837"/>
      <c r="L234" s="837"/>
      <c r="M234" s="837"/>
      <c r="N234" s="837"/>
      <c r="O234" s="948"/>
      <c r="P234" s="948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</row>
    <row r="235" spans="1:26" ht="18.75" hidden="1">
      <c r="A235" s="1056"/>
      <c r="B235" s="1057"/>
      <c r="C235" s="1057"/>
      <c r="D235" s="1057"/>
      <c r="E235" s="1021" t="s">
        <v>118</v>
      </c>
      <c r="F235" s="1061"/>
      <c r="G235" s="1062"/>
      <c r="H235" s="583" t="s">
        <v>35</v>
      </c>
      <c r="I235" s="836">
        <f t="shared" ref="I235:J236" si="109">I246+I257</f>
        <v>0</v>
      </c>
      <c r="J235" s="836">
        <f t="shared" si="109"/>
        <v>0</v>
      </c>
      <c r="K235" s="837">
        <f t="shared" ref="K235:K237" si="110">IF(I235&gt;0,J235*100/I235,0)</f>
        <v>0</v>
      </c>
      <c r="L235" s="837"/>
      <c r="M235" s="837"/>
      <c r="N235" s="837"/>
      <c r="O235" s="837"/>
      <c r="P235" s="837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</row>
    <row r="236" spans="1:26" ht="18.75" hidden="1">
      <c r="A236" s="1056"/>
      <c r="B236" s="1057"/>
      <c r="C236" s="1057"/>
      <c r="D236" s="1057"/>
      <c r="E236" s="1021" t="s">
        <v>119</v>
      </c>
      <c r="F236" s="1061"/>
      <c r="G236" s="1062"/>
      <c r="H236" s="583" t="s">
        <v>66</v>
      </c>
      <c r="I236" s="836">
        <f t="shared" si="109"/>
        <v>0</v>
      </c>
      <c r="J236" s="836">
        <f t="shared" si="109"/>
        <v>0</v>
      </c>
      <c r="K236" s="837">
        <f t="shared" si="110"/>
        <v>0</v>
      </c>
      <c r="L236" s="837"/>
      <c r="M236" s="837"/>
      <c r="N236" s="837"/>
      <c r="O236" s="837"/>
      <c r="P236" s="837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</row>
    <row r="237" spans="1:26" ht="19.5" hidden="1">
      <c r="A237" s="1011"/>
      <c r="B237" s="1018"/>
      <c r="C237" s="1023" t="s">
        <v>331</v>
      </c>
      <c r="D237" s="1012"/>
      <c r="E237" s="1012"/>
      <c r="F237" s="1012"/>
      <c r="G237" s="1014"/>
      <c r="H237" s="260" t="s">
        <v>35</v>
      </c>
      <c r="I237" s="1024">
        <f t="shared" ref="I237:J237" ca="1" si="111">I244</f>
        <v>0</v>
      </c>
      <c r="J237" s="1024">
        <f t="shared" si="111"/>
        <v>0</v>
      </c>
      <c r="K237" s="1025">
        <f t="shared" ca="1" si="110"/>
        <v>0</v>
      </c>
      <c r="L237" s="1016"/>
      <c r="M237" s="1016"/>
      <c r="N237" s="1016"/>
      <c r="O237" s="1016"/>
      <c r="P237" s="1016"/>
    </row>
    <row r="238" spans="1:26" ht="19.5" hidden="1">
      <c r="A238" s="932"/>
      <c r="B238" s="933"/>
      <c r="C238" s="934" t="s">
        <v>16</v>
      </c>
      <c r="D238" s="935" t="s">
        <v>17</v>
      </c>
      <c r="E238" s="933"/>
      <c r="F238" s="933"/>
      <c r="G238" s="936"/>
      <c r="H238" s="275" t="s">
        <v>12</v>
      </c>
      <c r="I238" s="1028"/>
      <c r="J238" s="1028"/>
      <c r="K238" s="1029"/>
      <c r="L238" s="939">
        <f ca="1">L239+L240+L241+L242</f>
        <v>0</v>
      </c>
      <c r="M238" s="939"/>
      <c r="N238" s="939">
        <f>N239+N240+N241+N242</f>
        <v>0</v>
      </c>
      <c r="O238" s="939">
        <f ca="1">IF(L238&gt;0,N238*100/L238,0)</f>
        <v>0</v>
      </c>
      <c r="P238" s="939">
        <f>IF(M238&gt;0,N238*100/M238,0)</f>
        <v>0</v>
      </c>
      <c r="Q238" s="818"/>
      <c r="R238" s="818"/>
      <c r="S238" s="818"/>
      <c r="T238" s="818"/>
      <c r="U238" s="818"/>
      <c r="V238" s="818"/>
      <c r="W238" s="818"/>
      <c r="X238" s="818"/>
      <c r="Y238" s="818"/>
      <c r="Z238" s="818"/>
    </row>
    <row r="239" spans="1:26" ht="18.75" hidden="1">
      <c r="A239" s="1064"/>
      <c r="B239" s="1065"/>
      <c r="C239" s="1066"/>
      <c r="D239" s="1067" t="s">
        <v>97</v>
      </c>
      <c r="E239" s="1066"/>
      <c r="F239" s="1066"/>
      <c r="G239" s="1068"/>
      <c r="H239" s="319" t="s">
        <v>12</v>
      </c>
      <c r="I239" s="1069"/>
      <c r="J239" s="1069"/>
      <c r="K239" s="1070"/>
      <c r="L239" s="1071">
        <f ca="1">IFERROR(__xludf.DUMMYFUNCTION("IMPORTRANGE(""https://docs.google.com/spreadsheets/d/1QqKyyYR6Q21VydFLVH3TRQUabQu_ym0Zz7PgGX0-kHA/edit?usp=sharing"",""แผน!AV14"")"),0)</f>
        <v>0</v>
      </c>
      <c r="M239" s="1071"/>
      <c r="N239" s="1072">
        <v>0</v>
      </c>
      <c r="O239" s="1071"/>
      <c r="P239" s="1071"/>
      <c r="Q239" s="1073"/>
      <c r="R239" s="1073"/>
      <c r="S239" s="1073"/>
      <c r="T239" s="1073"/>
      <c r="U239" s="1073"/>
      <c r="V239" s="1073"/>
      <c r="W239" s="1073"/>
      <c r="X239" s="1073"/>
      <c r="Y239" s="1073"/>
      <c r="Z239" s="1073"/>
    </row>
    <row r="240" spans="1:26" ht="19.5" hidden="1">
      <c r="A240" s="1074"/>
      <c r="B240" s="1065"/>
      <c r="C240" s="1075"/>
      <c r="D240" s="1067" t="s">
        <v>98</v>
      </c>
      <c r="E240" s="1066"/>
      <c r="F240" s="1066"/>
      <c r="G240" s="1068"/>
      <c r="H240" s="319" t="s">
        <v>12</v>
      </c>
      <c r="I240" s="1076"/>
      <c r="J240" s="1076"/>
      <c r="K240" s="1071"/>
      <c r="L240" s="1071">
        <f ca="1">IFERROR(__xludf.DUMMYFUNCTION("IMPORTRANGE(""https://docs.google.com/spreadsheets/d/1QqKyyYR6Q21VydFLVH3TRQUabQu_ym0Zz7PgGX0-kHA/edit?usp=sharing"",""แผน!AW14"")"),0)</f>
        <v>0</v>
      </c>
      <c r="M240" s="1071"/>
      <c r="N240" s="1072">
        <v>0</v>
      </c>
      <c r="O240" s="1071"/>
      <c r="P240" s="1071"/>
      <c r="Q240" s="1077"/>
      <c r="R240" s="1077"/>
      <c r="S240" s="1077"/>
      <c r="T240" s="1077"/>
      <c r="U240" s="1077"/>
      <c r="V240" s="1077"/>
      <c r="W240" s="1077"/>
      <c r="X240" s="1077"/>
      <c r="Y240" s="1077"/>
      <c r="Z240" s="1077"/>
    </row>
    <row r="241" spans="1:26" ht="19.5" hidden="1">
      <c r="A241" s="1074"/>
      <c r="B241" s="1065"/>
      <c r="C241" s="1075"/>
      <c r="D241" s="1067" t="s">
        <v>116</v>
      </c>
      <c r="E241" s="1066"/>
      <c r="F241" s="1066"/>
      <c r="G241" s="1068"/>
      <c r="H241" s="319" t="s">
        <v>12</v>
      </c>
      <c r="I241" s="1076"/>
      <c r="J241" s="1076"/>
      <c r="K241" s="1071"/>
      <c r="L241" s="1071">
        <f ca="1">IFERROR(__xludf.DUMMYFUNCTION("IMPORTRANGE(""https://docs.google.com/spreadsheets/d/1QqKyyYR6Q21VydFLVH3TRQUabQu_ym0Zz7PgGX0-kHA/edit?usp=sharing"",""แผน!AX14"")"),0)</f>
        <v>0</v>
      </c>
      <c r="M241" s="1071"/>
      <c r="N241" s="1072">
        <v>0</v>
      </c>
      <c r="O241" s="1071"/>
      <c r="P241" s="1071"/>
      <c r="Q241" s="1077"/>
      <c r="R241" s="1077"/>
      <c r="S241" s="1077"/>
      <c r="T241" s="1077"/>
      <c r="U241" s="1077"/>
      <c r="V241" s="1077"/>
      <c r="W241" s="1077"/>
      <c r="X241" s="1077"/>
      <c r="Y241" s="1077"/>
      <c r="Z241" s="1077"/>
    </row>
    <row r="242" spans="1:26" ht="19.5" hidden="1">
      <c r="A242" s="1074"/>
      <c r="B242" s="1065"/>
      <c r="C242" s="1075"/>
      <c r="D242" s="1067" t="s">
        <v>100</v>
      </c>
      <c r="E242" s="1066"/>
      <c r="F242" s="1066"/>
      <c r="G242" s="1068"/>
      <c r="H242" s="319" t="s">
        <v>12</v>
      </c>
      <c r="I242" s="1076"/>
      <c r="J242" s="1076"/>
      <c r="K242" s="1071"/>
      <c r="L242" s="1071">
        <f ca="1">IFERROR(__xludf.DUMMYFUNCTION("IMPORTRANGE(""https://docs.google.com/spreadsheets/d/1QqKyyYR6Q21VydFLVH3TRQUabQu_ym0Zz7PgGX0-kHA/edit?usp=sharing"",""แผน!AY14"")"),0)</f>
        <v>0</v>
      </c>
      <c r="M242" s="1071"/>
      <c r="N242" s="1072">
        <v>0</v>
      </c>
      <c r="O242" s="1071"/>
      <c r="P242" s="1071"/>
      <c r="Q242" s="1077"/>
      <c r="R242" s="1077"/>
      <c r="S242" s="1077"/>
      <c r="T242" s="1077"/>
      <c r="U242" s="1077"/>
      <c r="V242" s="1077"/>
      <c r="W242" s="1077"/>
      <c r="X242" s="1077"/>
      <c r="Y242" s="1077"/>
      <c r="Z242" s="1077"/>
    </row>
    <row r="243" spans="1:26" ht="19.5" hidden="1">
      <c r="A243" s="949"/>
      <c r="B243" s="950"/>
      <c r="C243" s="1038" t="s">
        <v>16</v>
      </c>
      <c r="D243" s="951" t="s">
        <v>38</v>
      </c>
      <c r="E243" s="952"/>
      <c r="F243" s="952"/>
      <c r="G243" s="953"/>
      <c r="H243" s="954"/>
      <c r="I243" s="944"/>
      <c r="J243" s="830"/>
      <c r="K243" s="831"/>
      <c r="L243" s="831"/>
      <c r="M243" s="831"/>
      <c r="N243" s="831"/>
      <c r="O243" s="945"/>
      <c r="P243" s="945"/>
      <c r="Q243" s="818"/>
      <c r="R243" s="818"/>
      <c r="S243" s="818"/>
      <c r="T243" s="818"/>
      <c r="U243" s="818"/>
      <c r="V243" s="818"/>
      <c r="W243" s="818"/>
      <c r="X243" s="818"/>
      <c r="Y243" s="818"/>
      <c r="Z243" s="818"/>
    </row>
    <row r="244" spans="1:26" ht="18.75" hidden="1">
      <c r="A244" s="949"/>
      <c r="B244" s="950"/>
      <c r="C244" s="950"/>
      <c r="D244" s="956" t="s">
        <v>117</v>
      </c>
      <c r="E244" s="957"/>
      <c r="F244" s="957"/>
      <c r="G244" s="958"/>
      <c r="H244" s="730" t="s">
        <v>35</v>
      </c>
      <c r="I244" s="830">
        <f ca="1">IFERROR(__xludf.DUMMYFUNCTION("IMPORTRANGE(""https://docs.google.com/spreadsheets/d/1QqKyyYR6Q21VydFLVH3TRQUabQu_ym0Zz7PgGX0-kHA/edit?usp=sharing"",""แผน!BE14"")"),0)</f>
        <v>0</v>
      </c>
      <c r="J244" s="959">
        <v>0</v>
      </c>
      <c r="K244" s="831">
        <f ca="1">IF(I244&gt;0,J244*100/I244,0)</f>
        <v>0</v>
      </c>
      <c r="L244" s="831"/>
      <c r="M244" s="831"/>
      <c r="N244" s="831"/>
      <c r="O244" s="831"/>
      <c r="P244" s="831"/>
      <c r="Q244" s="818"/>
      <c r="R244" s="818"/>
      <c r="S244" s="818"/>
      <c r="T244" s="818"/>
      <c r="U244" s="818"/>
      <c r="V244" s="818"/>
      <c r="W244" s="818"/>
      <c r="X244" s="818"/>
      <c r="Y244" s="818"/>
      <c r="Z244" s="818"/>
    </row>
    <row r="245" spans="1:26" ht="18.75" hidden="1">
      <c r="A245" s="949"/>
      <c r="B245" s="950"/>
      <c r="C245" s="950"/>
      <c r="D245" s="1078" t="s">
        <v>43</v>
      </c>
      <c r="E245" s="957"/>
      <c r="F245" s="957"/>
      <c r="G245" s="958"/>
      <c r="H245" s="730"/>
      <c r="I245" s="830"/>
      <c r="J245" s="830"/>
      <c r="K245" s="831"/>
      <c r="L245" s="831"/>
      <c r="M245" s="831"/>
      <c r="N245" s="831"/>
      <c r="O245" s="945"/>
      <c r="P245" s="945"/>
      <c r="Q245" s="818"/>
      <c r="R245" s="818"/>
      <c r="S245" s="818"/>
      <c r="T245" s="818"/>
      <c r="U245" s="818"/>
      <c r="V245" s="818"/>
      <c r="W245" s="818"/>
      <c r="X245" s="818"/>
      <c r="Y245" s="818"/>
      <c r="Z245" s="818"/>
    </row>
    <row r="246" spans="1:26" ht="18.75" hidden="1">
      <c r="A246" s="949"/>
      <c r="B246" s="950"/>
      <c r="C246" s="950"/>
      <c r="D246" s="950"/>
      <c r="E246" s="955" t="s">
        <v>118</v>
      </c>
      <c r="F246" s="957"/>
      <c r="G246" s="958"/>
      <c r="H246" s="730" t="s">
        <v>35</v>
      </c>
      <c r="I246" s="830"/>
      <c r="J246" s="959">
        <v>0</v>
      </c>
      <c r="K246" s="831">
        <f t="shared" ref="K246:K248" si="112">IF(I246&gt;0,J246*100/I246,0)</f>
        <v>0</v>
      </c>
      <c r="L246" s="831"/>
      <c r="M246" s="831"/>
      <c r="N246" s="831"/>
      <c r="O246" s="831"/>
      <c r="P246" s="831"/>
      <c r="Q246" s="818"/>
      <c r="R246" s="818"/>
      <c r="S246" s="818"/>
      <c r="T246" s="818"/>
      <c r="U246" s="818"/>
      <c r="V246" s="818"/>
      <c r="W246" s="818"/>
      <c r="X246" s="818"/>
      <c r="Y246" s="818"/>
      <c r="Z246" s="818"/>
    </row>
    <row r="247" spans="1:26" ht="18.75" hidden="1">
      <c r="A247" s="949"/>
      <c r="B247" s="950"/>
      <c r="C247" s="950"/>
      <c r="D247" s="950"/>
      <c r="E247" s="955" t="s">
        <v>119</v>
      </c>
      <c r="F247" s="957"/>
      <c r="G247" s="958"/>
      <c r="H247" s="730" t="s">
        <v>66</v>
      </c>
      <c r="I247" s="830"/>
      <c r="J247" s="959">
        <v>0</v>
      </c>
      <c r="K247" s="831">
        <f t="shared" si="112"/>
        <v>0</v>
      </c>
      <c r="L247" s="831"/>
      <c r="M247" s="831"/>
      <c r="N247" s="831"/>
      <c r="O247" s="831"/>
      <c r="P247" s="831"/>
      <c r="Q247" s="818"/>
      <c r="R247" s="818"/>
      <c r="S247" s="818"/>
      <c r="T247" s="818"/>
      <c r="U247" s="818"/>
      <c r="V247" s="818"/>
      <c r="W247" s="818"/>
      <c r="X247" s="818"/>
      <c r="Y247" s="818"/>
      <c r="Z247" s="818"/>
    </row>
    <row r="248" spans="1:26" ht="19.5" hidden="1">
      <c r="A248" s="1011"/>
      <c r="B248" s="1018"/>
      <c r="C248" s="1023" t="s">
        <v>332</v>
      </c>
      <c r="D248" s="1012"/>
      <c r="E248" s="1012"/>
      <c r="F248" s="1012"/>
      <c r="G248" s="1014"/>
      <c r="H248" s="260" t="s">
        <v>35</v>
      </c>
      <c r="I248" s="1024">
        <f t="shared" ref="I248:J248" ca="1" si="113">I255</f>
        <v>0</v>
      </c>
      <c r="J248" s="1024">
        <f t="shared" si="113"/>
        <v>0</v>
      </c>
      <c r="K248" s="1025">
        <f t="shared" ca="1" si="112"/>
        <v>0</v>
      </c>
      <c r="L248" s="1016"/>
      <c r="M248" s="1016"/>
      <c r="N248" s="1016"/>
      <c r="O248" s="1016"/>
      <c r="P248" s="1016"/>
    </row>
    <row r="249" spans="1:26" ht="19.5" hidden="1">
      <c r="A249" s="932"/>
      <c r="B249" s="933"/>
      <c r="C249" s="934" t="s">
        <v>16</v>
      </c>
      <c r="D249" s="1026" t="s">
        <v>17</v>
      </c>
      <c r="E249" s="933"/>
      <c r="F249" s="933"/>
      <c r="G249" s="936"/>
      <c r="H249" s="275" t="s">
        <v>12</v>
      </c>
      <c r="I249" s="1028"/>
      <c r="J249" s="1028"/>
      <c r="K249" s="1029"/>
      <c r="L249" s="939">
        <f ca="1">L250+L251+L252+L253</f>
        <v>0</v>
      </c>
      <c r="M249" s="939"/>
      <c r="N249" s="939">
        <f>N250+N251+N252+N253</f>
        <v>0</v>
      </c>
      <c r="O249" s="939">
        <f ca="1">IF(L249&gt;0,N249*100/L249,0)</f>
        <v>0</v>
      </c>
      <c r="P249" s="939">
        <f>IF(M249&gt;0,N249*100/M249,0)</f>
        <v>0</v>
      </c>
      <c r="Q249" s="818"/>
      <c r="R249" s="818"/>
      <c r="S249" s="818"/>
      <c r="T249" s="818"/>
      <c r="U249" s="818"/>
      <c r="V249" s="818"/>
      <c r="W249" s="818"/>
      <c r="X249" s="818"/>
      <c r="Y249" s="818"/>
      <c r="Z249" s="818"/>
    </row>
    <row r="250" spans="1:26" ht="18.75" hidden="1">
      <c r="A250" s="1064"/>
      <c r="B250" s="1065"/>
      <c r="C250" s="1066"/>
      <c r="D250" s="1067" t="s">
        <v>97</v>
      </c>
      <c r="E250" s="1066"/>
      <c r="F250" s="1066"/>
      <c r="G250" s="1068"/>
      <c r="H250" s="319" t="s">
        <v>12</v>
      </c>
      <c r="I250" s="1069"/>
      <c r="J250" s="1069"/>
      <c r="K250" s="1070"/>
      <c r="L250" s="1071">
        <f ca="1">IFERROR(__xludf.DUMMYFUNCTION("IMPORTRANGE(""https://docs.google.com/spreadsheets/d/1QqKyyYR6Q21VydFLVH3TRQUabQu_ym0Zz7PgGX0-kHA/edit?usp=sharing"",""แผน!AZ14"")"),0)</f>
        <v>0</v>
      </c>
      <c r="M250" s="1071"/>
      <c r="N250" s="1072">
        <v>0</v>
      </c>
      <c r="O250" s="1071"/>
      <c r="P250" s="1071"/>
      <c r="Q250" s="1073"/>
      <c r="R250" s="1073"/>
      <c r="S250" s="1073"/>
      <c r="T250" s="1073"/>
      <c r="U250" s="1073"/>
      <c r="V250" s="1073"/>
      <c r="W250" s="1073"/>
      <c r="X250" s="1073"/>
      <c r="Y250" s="1073"/>
      <c r="Z250" s="1073"/>
    </row>
    <row r="251" spans="1:26" ht="19.5" hidden="1">
      <c r="A251" s="1074"/>
      <c r="B251" s="1065"/>
      <c r="C251" s="1075"/>
      <c r="D251" s="1067" t="s">
        <v>98</v>
      </c>
      <c r="E251" s="1066"/>
      <c r="F251" s="1066"/>
      <c r="G251" s="1068"/>
      <c r="H251" s="319" t="s">
        <v>12</v>
      </c>
      <c r="I251" s="1076"/>
      <c r="J251" s="1076"/>
      <c r="K251" s="1071"/>
      <c r="L251" s="1071">
        <f ca="1">IFERROR(__xludf.DUMMYFUNCTION("IMPORTRANGE(""https://docs.google.com/spreadsheets/d/1QqKyyYR6Q21VydFLVH3TRQUabQu_ym0Zz7PgGX0-kHA/edit?usp=sharing"",""แผน!BA14"")"),0)</f>
        <v>0</v>
      </c>
      <c r="M251" s="1071"/>
      <c r="N251" s="1072">
        <v>0</v>
      </c>
      <c r="O251" s="1071"/>
      <c r="P251" s="1071"/>
      <c r="Q251" s="1077"/>
      <c r="R251" s="1077"/>
      <c r="S251" s="1077"/>
      <c r="T251" s="1077"/>
      <c r="U251" s="1077"/>
      <c r="V251" s="1077"/>
      <c r="W251" s="1077"/>
      <c r="X251" s="1077"/>
      <c r="Y251" s="1077"/>
      <c r="Z251" s="1077"/>
    </row>
    <row r="252" spans="1:26" ht="19.5" hidden="1">
      <c r="A252" s="1074"/>
      <c r="B252" s="1065"/>
      <c r="C252" s="1075"/>
      <c r="D252" s="1067" t="s">
        <v>116</v>
      </c>
      <c r="E252" s="1066"/>
      <c r="F252" s="1066"/>
      <c r="G252" s="1068"/>
      <c r="H252" s="319" t="s">
        <v>12</v>
      </c>
      <c r="I252" s="1076"/>
      <c r="J252" s="1076"/>
      <c r="K252" s="1071"/>
      <c r="L252" s="1071">
        <f ca="1">IFERROR(__xludf.DUMMYFUNCTION("IMPORTRANGE(""https://docs.google.com/spreadsheets/d/1QqKyyYR6Q21VydFLVH3TRQUabQu_ym0Zz7PgGX0-kHA/edit?usp=sharing"",""แผน!BB14"")"),0)</f>
        <v>0</v>
      </c>
      <c r="M252" s="1071"/>
      <c r="N252" s="1072">
        <v>0</v>
      </c>
      <c r="O252" s="1071"/>
      <c r="P252" s="1071"/>
      <c r="Q252" s="1077"/>
      <c r="R252" s="1077"/>
      <c r="S252" s="1077"/>
      <c r="T252" s="1077"/>
      <c r="U252" s="1077"/>
      <c r="V252" s="1077"/>
      <c r="W252" s="1077"/>
      <c r="X252" s="1077"/>
      <c r="Y252" s="1077"/>
      <c r="Z252" s="1077"/>
    </row>
    <row r="253" spans="1:26" ht="19.5" hidden="1">
      <c r="A253" s="1074"/>
      <c r="B253" s="1065"/>
      <c r="C253" s="1075"/>
      <c r="D253" s="1067" t="s">
        <v>100</v>
      </c>
      <c r="E253" s="1066"/>
      <c r="F253" s="1066"/>
      <c r="G253" s="1068"/>
      <c r="H253" s="319" t="s">
        <v>12</v>
      </c>
      <c r="I253" s="1076"/>
      <c r="J253" s="1076"/>
      <c r="K253" s="1071"/>
      <c r="L253" s="1071">
        <f ca="1">IFERROR(__xludf.DUMMYFUNCTION("IMPORTRANGE(""https://docs.google.com/spreadsheets/d/1QqKyyYR6Q21VydFLVH3TRQUabQu_ym0Zz7PgGX0-kHA/edit?usp=sharing"",""แผน!BC14"")"),0)</f>
        <v>0</v>
      </c>
      <c r="M253" s="1071"/>
      <c r="N253" s="1072">
        <v>0</v>
      </c>
      <c r="O253" s="1071"/>
      <c r="P253" s="1071"/>
      <c r="Q253" s="1077"/>
      <c r="R253" s="1077"/>
      <c r="S253" s="1077"/>
      <c r="T253" s="1077"/>
      <c r="U253" s="1077"/>
      <c r="V253" s="1077"/>
      <c r="W253" s="1077"/>
      <c r="X253" s="1077"/>
      <c r="Y253" s="1077"/>
      <c r="Z253" s="1077"/>
    </row>
    <row r="254" spans="1:26" ht="19.5" hidden="1">
      <c r="A254" s="949"/>
      <c r="B254" s="950"/>
      <c r="C254" s="1038" t="s">
        <v>16</v>
      </c>
      <c r="D254" s="951" t="s">
        <v>38</v>
      </c>
      <c r="E254" s="952"/>
      <c r="F254" s="952"/>
      <c r="G254" s="953"/>
      <c r="H254" s="954"/>
      <c r="I254" s="944"/>
      <c r="J254" s="830"/>
      <c r="K254" s="831"/>
      <c r="L254" s="831"/>
      <c r="M254" s="831"/>
      <c r="N254" s="831"/>
      <c r="O254" s="945"/>
      <c r="P254" s="945"/>
      <c r="Q254" s="818"/>
      <c r="R254" s="818"/>
      <c r="S254" s="818"/>
      <c r="T254" s="818"/>
      <c r="U254" s="818"/>
      <c r="V254" s="818"/>
      <c r="W254" s="818"/>
      <c r="X254" s="818"/>
      <c r="Y254" s="818"/>
      <c r="Z254" s="818"/>
    </row>
    <row r="255" spans="1:26" ht="18.75" hidden="1">
      <c r="A255" s="949"/>
      <c r="B255" s="950"/>
      <c r="C255" s="950"/>
      <c r="D255" s="956" t="s">
        <v>117</v>
      </c>
      <c r="E255" s="957"/>
      <c r="F255" s="957"/>
      <c r="G255" s="958"/>
      <c r="H255" s="730" t="s">
        <v>35</v>
      </c>
      <c r="I255" s="830">
        <f ca="1">IFERROR(__xludf.DUMMYFUNCTION("IMPORTRANGE(""https://docs.google.com/spreadsheets/d/1QqKyyYR6Q21VydFLVH3TRQUabQu_ym0Zz7PgGX0-kHA/edit?usp=sharing"",""แผน!BF14"")"),0)</f>
        <v>0</v>
      </c>
      <c r="J255" s="959">
        <v>0</v>
      </c>
      <c r="K255" s="831">
        <f ca="1">IF(I255&gt;0,J255*100/I255,0)</f>
        <v>0</v>
      </c>
      <c r="L255" s="831"/>
      <c r="M255" s="831"/>
      <c r="N255" s="831"/>
      <c r="O255" s="831"/>
      <c r="P255" s="831"/>
      <c r="Q255" s="818"/>
      <c r="R255" s="818"/>
      <c r="S255" s="818"/>
      <c r="T255" s="818"/>
      <c r="U255" s="818"/>
      <c r="V255" s="818"/>
      <c r="W255" s="818"/>
      <c r="X255" s="818"/>
      <c r="Y255" s="818"/>
      <c r="Z255" s="818"/>
    </row>
    <row r="256" spans="1:26" ht="18.75" hidden="1">
      <c r="A256" s="949"/>
      <c r="B256" s="950"/>
      <c r="C256" s="950"/>
      <c r="D256" s="1078" t="s">
        <v>43</v>
      </c>
      <c r="E256" s="957"/>
      <c r="F256" s="957"/>
      <c r="G256" s="958"/>
      <c r="H256" s="730"/>
      <c r="I256" s="830"/>
      <c r="J256" s="830"/>
      <c r="K256" s="831"/>
      <c r="L256" s="831"/>
      <c r="M256" s="831"/>
      <c r="N256" s="831"/>
      <c r="O256" s="945"/>
      <c r="P256" s="945"/>
      <c r="Q256" s="818"/>
      <c r="R256" s="818"/>
      <c r="S256" s="818"/>
      <c r="T256" s="818"/>
      <c r="U256" s="818"/>
      <c r="V256" s="818"/>
      <c r="W256" s="818"/>
      <c r="X256" s="818"/>
      <c r="Y256" s="818"/>
      <c r="Z256" s="818"/>
    </row>
    <row r="257" spans="1:26" ht="18.75" hidden="1">
      <c r="A257" s="949"/>
      <c r="B257" s="950"/>
      <c r="C257" s="950"/>
      <c r="D257" s="950"/>
      <c r="E257" s="955" t="s">
        <v>118</v>
      </c>
      <c r="F257" s="957"/>
      <c r="G257" s="958"/>
      <c r="H257" s="730" t="s">
        <v>35</v>
      </c>
      <c r="I257" s="830"/>
      <c r="J257" s="959">
        <v>0</v>
      </c>
      <c r="K257" s="831">
        <f t="shared" ref="K257:K258" si="114">IF(I257&gt;0,J257*100/I257,0)</f>
        <v>0</v>
      </c>
      <c r="L257" s="831"/>
      <c r="M257" s="831"/>
      <c r="N257" s="831"/>
      <c r="O257" s="831"/>
      <c r="P257" s="831"/>
      <c r="Q257" s="818"/>
      <c r="R257" s="818"/>
      <c r="S257" s="818"/>
      <c r="T257" s="818"/>
      <c r="U257" s="818"/>
      <c r="V257" s="818"/>
      <c r="W257" s="818"/>
      <c r="X257" s="818"/>
      <c r="Y257" s="818"/>
      <c r="Z257" s="818"/>
    </row>
    <row r="258" spans="1:26" ht="18.75" hidden="1">
      <c r="A258" s="949"/>
      <c r="B258" s="950"/>
      <c r="C258" s="950"/>
      <c r="D258" s="950"/>
      <c r="E258" s="955" t="s">
        <v>119</v>
      </c>
      <c r="F258" s="957"/>
      <c r="G258" s="958"/>
      <c r="H258" s="730" t="s">
        <v>66</v>
      </c>
      <c r="I258" s="830"/>
      <c r="J258" s="959">
        <v>0</v>
      </c>
      <c r="K258" s="831">
        <f t="shared" si="114"/>
        <v>0</v>
      </c>
      <c r="L258" s="831"/>
      <c r="M258" s="831"/>
      <c r="N258" s="831"/>
      <c r="O258" s="831"/>
      <c r="P258" s="831"/>
      <c r="Q258" s="818"/>
      <c r="R258" s="818"/>
      <c r="S258" s="818"/>
      <c r="T258" s="818"/>
      <c r="U258" s="818"/>
      <c r="V258" s="818"/>
      <c r="W258" s="818"/>
      <c r="X258" s="818"/>
      <c r="Y258" s="818"/>
      <c r="Z258" s="818"/>
    </row>
    <row r="259" spans="1:26" ht="19.5">
      <c r="A259" s="998" t="s">
        <v>122</v>
      </c>
      <c r="B259" s="999"/>
      <c r="C259" s="999"/>
      <c r="D259" s="1000"/>
      <c r="E259" s="1000"/>
      <c r="F259" s="1000"/>
      <c r="G259" s="1001"/>
      <c r="H259" s="1002"/>
      <c r="I259" s="1003"/>
      <c r="J259" s="1003"/>
      <c r="K259" s="1004"/>
      <c r="L259" s="1004"/>
      <c r="M259" s="1004"/>
      <c r="N259" s="1004"/>
      <c r="O259" s="1004"/>
      <c r="P259" s="1004"/>
    </row>
    <row r="260" spans="1:26" ht="19.5">
      <c r="A260" s="1005"/>
      <c r="B260" s="1006" t="s">
        <v>123</v>
      </c>
      <c r="C260" s="1007"/>
      <c r="D260" s="952"/>
      <c r="E260" s="952"/>
      <c r="F260" s="952"/>
      <c r="G260" s="953"/>
      <c r="H260" s="252" t="s">
        <v>35</v>
      </c>
      <c r="I260" s="1008">
        <f t="shared" ref="I260:J260" ca="1" si="115">I271</f>
        <v>22</v>
      </c>
      <c r="J260" s="1008">
        <f t="shared" si="115"/>
        <v>22</v>
      </c>
      <c r="K260" s="1009">
        <f ca="1">IF(I260&gt;0,J260*100/I260,0)</f>
        <v>100</v>
      </c>
      <c r="L260" s="1010"/>
      <c r="M260" s="1010"/>
      <c r="N260" s="1010"/>
      <c r="O260" s="1010"/>
      <c r="P260" s="1010"/>
    </row>
    <row r="261" spans="1:26" ht="19.5">
      <c r="A261" s="932"/>
      <c r="B261" s="933"/>
      <c r="C261" s="934" t="s">
        <v>16</v>
      </c>
      <c r="D261" s="935" t="s">
        <v>17</v>
      </c>
      <c r="E261" s="933"/>
      <c r="F261" s="933"/>
      <c r="G261" s="936"/>
      <c r="H261" s="152" t="s">
        <v>12</v>
      </c>
      <c r="I261" s="937"/>
      <c r="J261" s="937"/>
      <c r="K261" s="938"/>
      <c r="L261" s="939">
        <f t="shared" ref="L261:N261" ca="1" si="116">L262+L263</f>
        <v>26900</v>
      </c>
      <c r="M261" s="939">
        <f t="shared" ca="1" si="116"/>
        <v>23900</v>
      </c>
      <c r="N261" s="939">
        <f t="shared" ca="1" si="116"/>
        <v>21740</v>
      </c>
      <c r="O261" s="939">
        <f t="shared" ref="O261:O269" ca="1" si="117">IF(L261&gt;0,N261*100/L261,0)</f>
        <v>80.817843866171003</v>
      </c>
      <c r="P261" s="939">
        <f t="shared" ref="P261:P269" ca="1" si="118">IF(M261&gt;0,N261*100/M261,0)</f>
        <v>90.962343096234306</v>
      </c>
      <c r="Q261" s="818"/>
      <c r="R261" s="818"/>
      <c r="S261" s="818"/>
      <c r="T261" s="818"/>
      <c r="U261" s="818"/>
      <c r="V261" s="818"/>
      <c r="W261" s="818"/>
      <c r="X261" s="818"/>
      <c r="Y261" s="818"/>
      <c r="Z261" s="818"/>
    </row>
    <row r="262" spans="1:26" ht="18.75" hidden="1">
      <c r="A262" s="940"/>
      <c r="B262" s="833"/>
      <c r="C262" s="833"/>
      <c r="D262" s="833"/>
      <c r="E262" s="834" t="s">
        <v>18</v>
      </c>
      <c r="F262" s="833"/>
      <c r="G262" s="941"/>
      <c r="H262" s="158" t="s">
        <v>12</v>
      </c>
      <c r="I262" s="836"/>
      <c r="J262" s="836"/>
      <c r="K262" s="837"/>
      <c r="L262" s="837">
        <f t="shared" ref="L262:N263" si="119">L265+L268</f>
        <v>0</v>
      </c>
      <c r="M262" s="837">
        <f t="shared" si="119"/>
        <v>0</v>
      </c>
      <c r="N262" s="837">
        <f t="shared" si="119"/>
        <v>0</v>
      </c>
      <c r="O262" s="837">
        <f t="shared" si="117"/>
        <v>0</v>
      </c>
      <c r="P262" s="837">
        <f t="shared" si="118"/>
        <v>0</v>
      </c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</row>
    <row r="263" spans="1:26" ht="18.75" hidden="1">
      <c r="A263" s="940"/>
      <c r="B263" s="833"/>
      <c r="C263" s="833"/>
      <c r="D263" s="833"/>
      <c r="E263" s="834" t="s">
        <v>19</v>
      </c>
      <c r="F263" s="833"/>
      <c r="G263" s="941"/>
      <c r="H263" s="158" t="s">
        <v>12</v>
      </c>
      <c r="I263" s="836"/>
      <c r="J263" s="836"/>
      <c r="K263" s="837"/>
      <c r="L263" s="837">
        <f t="shared" ca="1" si="119"/>
        <v>26900</v>
      </c>
      <c r="M263" s="837">
        <f t="shared" ca="1" si="119"/>
        <v>23900</v>
      </c>
      <c r="N263" s="837">
        <f t="shared" ca="1" si="119"/>
        <v>21740</v>
      </c>
      <c r="O263" s="837">
        <f t="shared" ca="1" si="117"/>
        <v>80.817843866171003</v>
      </c>
      <c r="P263" s="837">
        <f t="shared" ca="1" si="118"/>
        <v>90.962343096234306</v>
      </c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</row>
    <row r="264" spans="1:26" ht="18.75">
      <c r="A264" s="942"/>
      <c r="B264" s="827"/>
      <c r="C264" s="943"/>
      <c r="D264" s="828" t="s">
        <v>20</v>
      </c>
      <c r="E264" s="827"/>
      <c r="F264" s="827"/>
      <c r="G264" s="829"/>
      <c r="H264" s="778" t="s">
        <v>12</v>
      </c>
      <c r="I264" s="944"/>
      <c r="J264" s="944"/>
      <c r="K264" s="945"/>
      <c r="L264" s="831">
        <f t="shared" ref="L264:N264" ca="1" si="120">L265+L266</f>
        <v>26900</v>
      </c>
      <c r="M264" s="831">
        <f t="shared" ca="1" si="120"/>
        <v>23900</v>
      </c>
      <c r="N264" s="831">
        <f t="shared" ca="1" si="120"/>
        <v>21740</v>
      </c>
      <c r="O264" s="831">
        <f t="shared" ca="1" si="117"/>
        <v>80.817843866171003</v>
      </c>
      <c r="P264" s="831">
        <f t="shared" ca="1" si="118"/>
        <v>90.962343096234306</v>
      </c>
      <c r="Q264" s="818"/>
      <c r="R264" s="818"/>
      <c r="S264" s="818"/>
      <c r="T264" s="818"/>
      <c r="U264" s="818"/>
      <c r="V264" s="818"/>
      <c r="W264" s="818"/>
      <c r="X264" s="818"/>
      <c r="Y264" s="818"/>
      <c r="Z264" s="818"/>
    </row>
    <row r="265" spans="1:26" ht="19.5" hidden="1">
      <c r="A265" s="940"/>
      <c r="B265" s="833"/>
      <c r="C265" s="946"/>
      <c r="D265" s="833"/>
      <c r="E265" s="834" t="s">
        <v>36</v>
      </c>
      <c r="F265" s="833"/>
      <c r="G265" s="941"/>
      <c r="H265" s="165" t="s">
        <v>12</v>
      </c>
      <c r="I265" s="947"/>
      <c r="J265" s="947"/>
      <c r="K265" s="948"/>
      <c r="L265" s="837">
        <v>0</v>
      </c>
      <c r="M265" s="837">
        <v>0</v>
      </c>
      <c r="N265" s="837">
        <v>0</v>
      </c>
      <c r="O265" s="837">
        <f t="shared" si="117"/>
        <v>0</v>
      </c>
      <c r="P265" s="837">
        <f t="shared" si="118"/>
        <v>0</v>
      </c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</row>
    <row r="266" spans="1:26" ht="19.5" hidden="1">
      <c r="A266" s="940"/>
      <c r="B266" s="833"/>
      <c r="C266" s="946"/>
      <c r="D266" s="833"/>
      <c r="E266" s="834" t="s">
        <v>37</v>
      </c>
      <c r="F266" s="833"/>
      <c r="G266" s="941"/>
      <c r="H266" s="165" t="s">
        <v>12</v>
      </c>
      <c r="I266" s="947"/>
      <c r="J266" s="947"/>
      <c r="K266" s="948"/>
      <c r="L266" s="837">
        <f ca="1">IFERROR(__xludf.DUMMYFUNCTION("IMPORTRANGE(""https://docs.google.com/spreadsheets/d/1MeEWN-I1oV_STSDYn1IFDPWt_1FKiwhDph83XaGc0o0/edit?usp=sharing"",""งบพรบ!CY14"")"),26900)</f>
        <v>26900</v>
      </c>
      <c r="M266" s="837">
        <f ca="1">IFERROR(__xludf.DUMMYFUNCTION("IMPORTRANGE(""https://docs.google.com/spreadsheets/d/1MeEWN-I1oV_STSDYn1IFDPWt_1FKiwhDph83XaGc0o0/edit?usp=sharing"",""งบพรบ!DD14"")"),23900)</f>
        <v>23900</v>
      </c>
      <c r="N266" s="837">
        <f ca="1">IFERROR(__xludf.DUMMYFUNCTION("IMPORTRANGE(""https://docs.google.com/spreadsheets/d/1MeEWN-I1oV_STSDYn1IFDPWt_1FKiwhDph83XaGc0o0/edit?usp=sharing"",""งบพรบ!DF14"")"),21740)</f>
        <v>21740</v>
      </c>
      <c r="O266" s="837">
        <f t="shared" ca="1" si="117"/>
        <v>80.817843866171003</v>
      </c>
      <c r="P266" s="837">
        <f t="shared" ca="1" si="118"/>
        <v>90.962343096234306</v>
      </c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</row>
    <row r="267" spans="1:26" ht="18.75">
      <c r="A267" s="942"/>
      <c r="B267" s="827"/>
      <c r="C267" s="943"/>
      <c r="D267" s="828" t="s">
        <v>21</v>
      </c>
      <c r="E267" s="827"/>
      <c r="F267" s="827"/>
      <c r="G267" s="829"/>
      <c r="H267" s="168" t="s">
        <v>12</v>
      </c>
      <c r="I267" s="944"/>
      <c r="J267" s="944"/>
      <c r="K267" s="945"/>
      <c r="L267" s="831">
        <f t="shared" ref="L267:N267" ca="1" si="121">L268+L269</f>
        <v>0</v>
      </c>
      <c r="M267" s="831">
        <f t="shared" ca="1" si="121"/>
        <v>0</v>
      </c>
      <c r="N267" s="831">
        <f t="shared" ca="1" si="121"/>
        <v>0</v>
      </c>
      <c r="O267" s="831">
        <f t="shared" ca="1" si="117"/>
        <v>0</v>
      </c>
      <c r="P267" s="831">
        <f t="shared" ca="1" si="118"/>
        <v>0</v>
      </c>
      <c r="Q267" s="818"/>
      <c r="R267" s="818"/>
      <c r="S267" s="818"/>
      <c r="T267" s="818"/>
      <c r="U267" s="818"/>
      <c r="V267" s="818"/>
      <c r="W267" s="818"/>
      <c r="X267" s="818"/>
      <c r="Y267" s="818"/>
      <c r="Z267" s="818"/>
    </row>
    <row r="268" spans="1:26" ht="19.5" hidden="1">
      <c r="A268" s="940"/>
      <c r="B268" s="833"/>
      <c r="C268" s="946"/>
      <c r="D268" s="833"/>
      <c r="E268" s="834" t="s">
        <v>18</v>
      </c>
      <c r="F268" s="833"/>
      <c r="G268" s="941"/>
      <c r="H268" s="165" t="s">
        <v>12</v>
      </c>
      <c r="I268" s="947"/>
      <c r="J268" s="947"/>
      <c r="K268" s="948"/>
      <c r="L268" s="837">
        <v>0</v>
      </c>
      <c r="M268" s="837">
        <v>0</v>
      </c>
      <c r="N268" s="837">
        <v>0</v>
      </c>
      <c r="O268" s="837">
        <f t="shared" si="117"/>
        <v>0</v>
      </c>
      <c r="P268" s="837">
        <f t="shared" si="118"/>
        <v>0</v>
      </c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</row>
    <row r="269" spans="1:26" ht="19.5" hidden="1">
      <c r="A269" s="940"/>
      <c r="B269" s="833"/>
      <c r="C269" s="946"/>
      <c r="D269" s="833"/>
      <c r="E269" s="834" t="s">
        <v>19</v>
      </c>
      <c r="F269" s="833"/>
      <c r="G269" s="941"/>
      <c r="H269" s="169" t="s">
        <v>12</v>
      </c>
      <c r="I269" s="947"/>
      <c r="J269" s="947"/>
      <c r="K269" s="948"/>
      <c r="L269" s="837">
        <f ca="1">IFERROR(__xludf.DUMMYFUNCTION("IMPORTRANGE(""https://docs.google.com/spreadsheets/d/1MeEWN-I1oV_STSDYn1IFDPWt_1FKiwhDph83XaGc0o0/edit?usp=sharing"",""งบพรบ!DB14"")"),0)</f>
        <v>0</v>
      </c>
      <c r="M269" s="837">
        <f ca="1">IFERROR(__xludf.DUMMYFUNCTION("IMPORTRANGE(""https://docs.google.com/spreadsheets/d/1MeEWN-I1oV_STSDYn1IFDPWt_1FKiwhDph83XaGc0o0/edit?usp=sharing"",""งบพรบ!DE14"")"),0)</f>
        <v>0</v>
      </c>
      <c r="N269" s="837">
        <f ca="1">IFERROR(__xludf.DUMMYFUNCTION("IMPORTRANGE(""https://docs.google.com/spreadsheets/d/1MeEWN-I1oV_STSDYn1IFDPWt_1FKiwhDph83XaGc0o0/edit?usp=sharing"",""งบพรบ!DG14"")"),0)</f>
        <v>0</v>
      </c>
      <c r="O269" s="837">
        <f t="shared" ca="1" si="117"/>
        <v>0</v>
      </c>
      <c r="P269" s="837">
        <f t="shared" ca="1" si="118"/>
        <v>0</v>
      </c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</row>
    <row r="270" spans="1:26" ht="19.5">
      <c r="A270" s="949"/>
      <c r="B270" s="950"/>
      <c r="C270" s="943" t="s">
        <v>16</v>
      </c>
      <c r="D270" s="951" t="s">
        <v>38</v>
      </c>
      <c r="E270" s="952"/>
      <c r="F270" s="952"/>
      <c r="G270" s="953"/>
      <c r="H270" s="954"/>
      <c r="I270" s="944"/>
      <c r="J270" s="944"/>
      <c r="K270" s="945"/>
      <c r="L270" s="945"/>
      <c r="M270" s="945"/>
      <c r="N270" s="945"/>
      <c r="O270" s="945"/>
      <c r="P270" s="945"/>
    </row>
    <row r="271" spans="1:26" ht="18.75">
      <c r="A271" s="949"/>
      <c r="B271" s="950"/>
      <c r="C271" s="950"/>
      <c r="D271" s="1079" t="s">
        <v>124</v>
      </c>
      <c r="E271" s="957"/>
      <c r="F271" s="1022"/>
      <c r="G271" s="958"/>
      <c r="H271" s="346" t="s">
        <v>35</v>
      </c>
      <c r="I271" s="830">
        <f ca="1">IFERROR(__xludf.DUMMYFUNCTION("IMPORTRANGE(""https://docs.google.com/spreadsheets/d/1QqKyyYR6Q21VydFLVH3TRQUabQu_ym0Zz7PgGX0-kHA/edit?usp=sharing"",""แผน!EA14"")"),22)</f>
        <v>22</v>
      </c>
      <c r="J271" s="959">
        <v>22</v>
      </c>
      <c r="K271" s="945">
        <f ca="1">IF(I271&gt;0,J271*100/I271,0)</f>
        <v>100</v>
      </c>
      <c r="L271" s="945"/>
      <c r="M271" s="945"/>
      <c r="N271" s="945"/>
      <c r="O271" s="945"/>
      <c r="P271" s="945"/>
    </row>
    <row r="272" spans="1:26" ht="18.75" hidden="1">
      <c r="A272" s="1080"/>
      <c r="B272" s="1081"/>
      <c r="C272" s="1081"/>
      <c r="D272" s="1082" t="s">
        <v>125</v>
      </c>
      <c r="E272" s="1083"/>
      <c r="F272" s="1083"/>
      <c r="G272" s="1084"/>
      <c r="H272" s="50" t="s">
        <v>35</v>
      </c>
      <c r="I272" s="1085">
        <v>0</v>
      </c>
      <c r="J272" s="1085">
        <v>0</v>
      </c>
      <c r="K272" s="1086">
        <v>0</v>
      </c>
      <c r="L272" s="1086"/>
      <c r="M272" s="1086"/>
      <c r="N272" s="1086"/>
      <c r="O272" s="1086"/>
      <c r="P272" s="1086"/>
    </row>
    <row r="273" spans="1:26" ht="19.5">
      <c r="A273" s="1087" t="s">
        <v>126</v>
      </c>
      <c r="B273" s="1088"/>
      <c r="C273" s="1088"/>
      <c r="D273" s="1088"/>
      <c r="E273" s="1089"/>
      <c r="F273" s="1089"/>
      <c r="G273" s="1090"/>
      <c r="H273" s="1091"/>
      <c r="I273" s="1092"/>
      <c r="J273" s="1092"/>
      <c r="K273" s="1093"/>
      <c r="L273" s="1093"/>
      <c r="M273" s="1093"/>
      <c r="N273" s="1093"/>
      <c r="O273" s="1093"/>
      <c r="P273" s="1093"/>
    </row>
    <row r="274" spans="1:26" ht="19.5">
      <c r="A274" s="1094" t="s">
        <v>127</v>
      </c>
      <c r="B274" s="1095"/>
      <c r="C274" s="1096"/>
      <c r="D274" s="1095"/>
      <c r="E274" s="1095"/>
      <c r="F274" s="1095"/>
      <c r="G274" s="1095"/>
      <c r="H274" s="1097"/>
      <c r="I274" s="1098"/>
      <c r="J274" s="1099"/>
      <c r="K274" s="1100"/>
      <c r="L274" s="1100"/>
      <c r="M274" s="1100"/>
      <c r="N274" s="1100"/>
      <c r="O274" s="1100"/>
      <c r="P274" s="1100"/>
    </row>
    <row r="275" spans="1:26" ht="19.5">
      <c r="A275" s="1101"/>
      <c r="B275" s="1102" t="s">
        <v>128</v>
      </c>
      <c r="C275" s="1103"/>
      <c r="D275" s="1104"/>
      <c r="E275" s="1103"/>
      <c r="F275" s="1103"/>
      <c r="G275" s="1105"/>
      <c r="H275" s="374" t="s">
        <v>35</v>
      </c>
      <c r="I275" s="1106">
        <f t="shared" ref="I275:J275" ca="1" si="122">I288</f>
        <v>50</v>
      </c>
      <c r="J275" s="1106">
        <f t="shared" ca="1" si="122"/>
        <v>0</v>
      </c>
      <c r="K275" s="1107">
        <f t="shared" ref="K275:K276" ca="1" si="123">IF(I275&gt;0,J275*100/I275,0)</f>
        <v>0</v>
      </c>
      <c r="L275" s="1108"/>
      <c r="M275" s="1108"/>
      <c r="N275" s="1108"/>
      <c r="O275" s="1108"/>
      <c r="P275" s="1108"/>
    </row>
    <row r="276" spans="1:26" ht="19.5">
      <c r="A276" s="1101"/>
      <c r="B276" s="1102"/>
      <c r="C276" s="1103"/>
      <c r="D276" s="1104"/>
      <c r="E276" s="1103"/>
      <c r="F276" s="1103"/>
      <c r="G276" s="1105"/>
      <c r="H276" s="374" t="s">
        <v>46</v>
      </c>
      <c r="I276" s="1106">
        <f t="shared" ref="I276:J276" ca="1" si="124">I287</f>
        <v>500</v>
      </c>
      <c r="J276" s="1106">
        <f t="shared" si="124"/>
        <v>0</v>
      </c>
      <c r="K276" s="1107">
        <f t="shared" ca="1" si="123"/>
        <v>0</v>
      </c>
      <c r="L276" s="1108"/>
      <c r="M276" s="1108"/>
      <c r="N276" s="1108"/>
      <c r="O276" s="1108"/>
      <c r="P276" s="1108"/>
    </row>
    <row r="277" spans="1:26" ht="19.5">
      <c r="A277" s="932"/>
      <c r="B277" s="933"/>
      <c r="C277" s="934" t="s">
        <v>16</v>
      </c>
      <c r="D277" s="935" t="s">
        <v>17</v>
      </c>
      <c r="E277" s="933"/>
      <c r="F277" s="933"/>
      <c r="G277" s="936"/>
      <c r="H277" s="152" t="s">
        <v>12</v>
      </c>
      <c r="I277" s="937"/>
      <c r="J277" s="937"/>
      <c r="K277" s="938"/>
      <c r="L277" s="939">
        <f t="shared" ref="L277:N277" ca="1" si="125">L278+L279</f>
        <v>343610</v>
      </c>
      <c r="M277" s="939">
        <f t="shared" ca="1" si="125"/>
        <v>303060</v>
      </c>
      <c r="N277" s="939">
        <f t="shared" ca="1" si="125"/>
        <v>140674</v>
      </c>
      <c r="O277" s="939">
        <f t="shared" ref="O277:O285" ca="1" si="126">IF(L277&gt;0,N277*100/L277,0)</f>
        <v>40.940019207822822</v>
      </c>
      <c r="P277" s="939">
        <f t="shared" ref="P277:P285" ca="1" si="127">IF(M277&gt;0,N277*100/M277,0)</f>
        <v>46.417871048637231</v>
      </c>
      <c r="Q277" s="818"/>
      <c r="R277" s="818"/>
      <c r="S277" s="818"/>
      <c r="T277" s="818"/>
      <c r="U277" s="818"/>
      <c r="V277" s="818"/>
      <c r="W277" s="818"/>
      <c r="X277" s="818"/>
      <c r="Y277" s="818"/>
      <c r="Z277" s="818"/>
    </row>
    <row r="278" spans="1:26" ht="18.75" hidden="1">
      <c r="A278" s="940"/>
      <c r="B278" s="833"/>
      <c r="C278" s="833"/>
      <c r="D278" s="833"/>
      <c r="E278" s="834" t="s">
        <v>18</v>
      </c>
      <c r="F278" s="833"/>
      <c r="G278" s="941"/>
      <c r="H278" s="158" t="s">
        <v>12</v>
      </c>
      <c r="I278" s="836"/>
      <c r="J278" s="836"/>
      <c r="K278" s="837"/>
      <c r="L278" s="837">
        <f t="shared" ref="L278:N279" si="128">L281+L284</f>
        <v>0</v>
      </c>
      <c r="M278" s="837">
        <f t="shared" si="128"/>
        <v>0</v>
      </c>
      <c r="N278" s="837">
        <f t="shared" si="128"/>
        <v>0</v>
      </c>
      <c r="O278" s="837">
        <f t="shared" si="126"/>
        <v>0</v>
      </c>
      <c r="P278" s="837">
        <f t="shared" si="127"/>
        <v>0</v>
      </c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</row>
    <row r="279" spans="1:26" ht="18.75" hidden="1">
      <c r="A279" s="940"/>
      <c r="B279" s="833"/>
      <c r="C279" s="833"/>
      <c r="D279" s="833"/>
      <c r="E279" s="834" t="s">
        <v>19</v>
      </c>
      <c r="F279" s="833"/>
      <c r="G279" s="941"/>
      <c r="H279" s="158" t="s">
        <v>12</v>
      </c>
      <c r="I279" s="836"/>
      <c r="J279" s="836"/>
      <c r="K279" s="837"/>
      <c r="L279" s="837">
        <f t="shared" ca="1" si="128"/>
        <v>343610</v>
      </c>
      <c r="M279" s="837">
        <f t="shared" ca="1" si="128"/>
        <v>303060</v>
      </c>
      <c r="N279" s="837">
        <f t="shared" ca="1" si="128"/>
        <v>140674</v>
      </c>
      <c r="O279" s="837">
        <f t="shared" ca="1" si="126"/>
        <v>40.940019207822822</v>
      </c>
      <c r="P279" s="837">
        <f t="shared" ca="1" si="127"/>
        <v>46.417871048637231</v>
      </c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</row>
    <row r="280" spans="1:26" ht="18.75">
      <c r="A280" s="942"/>
      <c r="B280" s="827"/>
      <c r="C280" s="943"/>
      <c r="D280" s="828" t="s">
        <v>20</v>
      </c>
      <c r="E280" s="827"/>
      <c r="F280" s="827"/>
      <c r="G280" s="829"/>
      <c r="H280" s="778" t="s">
        <v>12</v>
      </c>
      <c r="I280" s="944"/>
      <c r="J280" s="944"/>
      <c r="K280" s="945"/>
      <c r="L280" s="831">
        <f t="shared" ref="L280:N280" ca="1" si="129">L281+L282</f>
        <v>343610</v>
      </c>
      <c r="M280" s="831">
        <f t="shared" ca="1" si="129"/>
        <v>303060</v>
      </c>
      <c r="N280" s="831">
        <f t="shared" ca="1" si="129"/>
        <v>140674</v>
      </c>
      <c r="O280" s="831">
        <f t="shared" ca="1" si="126"/>
        <v>40.940019207822822</v>
      </c>
      <c r="P280" s="831">
        <f t="shared" ca="1" si="127"/>
        <v>46.417871048637231</v>
      </c>
      <c r="Q280" s="818"/>
      <c r="R280" s="818"/>
      <c r="S280" s="818"/>
      <c r="T280" s="818"/>
      <c r="U280" s="818"/>
      <c r="V280" s="818"/>
      <c r="W280" s="818"/>
      <c r="X280" s="818"/>
      <c r="Y280" s="818"/>
      <c r="Z280" s="818"/>
    </row>
    <row r="281" spans="1:26" ht="19.5" hidden="1">
      <c r="A281" s="940"/>
      <c r="B281" s="833"/>
      <c r="C281" s="946"/>
      <c r="D281" s="833"/>
      <c r="E281" s="834" t="s">
        <v>36</v>
      </c>
      <c r="F281" s="833"/>
      <c r="G281" s="941"/>
      <c r="H281" s="165" t="s">
        <v>12</v>
      </c>
      <c r="I281" s="947"/>
      <c r="J281" s="947"/>
      <c r="K281" s="948"/>
      <c r="L281" s="837">
        <v>0</v>
      </c>
      <c r="M281" s="837">
        <v>0</v>
      </c>
      <c r="N281" s="837">
        <v>0</v>
      </c>
      <c r="O281" s="837">
        <f t="shared" si="126"/>
        <v>0</v>
      </c>
      <c r="P281" s="837">
        <f t="shared" si="127"/>
        <v>0</v>
      </c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</row>
    <row r="282" spans="1:26" ht="19.5" hidden="1">
      <c r="A282" s="940"/>
      <c r="B282" s="833"/>
      <c r="C282" s="946"/>
      <c r="D282" s="833"/>
      <c r="E282" s="834" t="s">
        <v>37</v>
      </c>
      <c r="F282" s="833"/>
      <c r="G282" s="941"/>
      <c r="H282" s="165" t="s">
        <v>12</v>
      </c>
      <c r="I282" s="947"/>
      <c r="J282" s="947"/>
      <c r="K282" s="948"/>
      <c r="L282" s="837">
        <f ca="1">IFERROR(__xludf.DUMMYFUNCTION("IMPORTRANGE(""https://docs.google.com/spreadsheets/d/1MeEWN-I1oV_STSDYn1IFDPWt_1FKiwhDph83XaGc0o0/edit?usp=sharing"",""งบพรบ!DI14"")"),343610)</f>
        <v>343610</v>
      </c>
      <c r="M282" s="837">
        <f ca="1">IFERROR(__xludf.DUMMYFUNCTION("IMPORTRANGE(""https://docs.google.com/spreadsheets/d/1MeEWN-I1oV_STSDYn1IFDPWt_1FKiwhDph83XaGc0o0/edit?usp=sharing"",""งบพรบ!DN14"")"),303060)</f>
        <v>303060</v>
      </c>
      <c r="N282" s="837">
        <f ca="1">IFERROR(__xludf.DUMMYFUNCTION("IMPORTRANGE(""https://docs.google.com/spreadsheets/d/1MeEWN-I1oV_STSDYn1IFDPWt_1FKiwhDph83XaGc0o0/edit?usp=sharing"",""งบพรบ!DP14"")"),140674)</f>
        <v>140674</v>
      </c>
      <c r="O282" s="837">
        <f t="shared" ca="1" si="126"/>
        <v>40.940019207822822</v>
      </c>
      <c r="P282" s="837">
        <f t="shared" ca="1" si="127"/>
        <v>46.417871048637231</v>
      </c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</row>
    <row r="283" spans="1:26" ht="18.75">
      <c r="A283" s="942"/>
      <c r="B283" s="827"/>
      <c r="C283" s="943"/>
      <c r="D283" s="828" t="s">
        <v>21</v>
      </c>
      <c r="E283" s="827"/>
      <c r="F283" s="827"/>
      <c r="G283" s="829"/>
      <c r="H283" s="168" t="s">
        <v>12</v>
      </c>
      <c r="I283" s="944"/>
      <c r="J283" s="944"/>
      <c r="K283" s="945"/>
      <c r="L283" s="831">
        <f t="shared" ref="L283:N283" ca="1" si="130">L284+L285</f>
        <v>0</v>
      </c>
      <c r="M283" s="831">
        <f t="shared" ca="1" si="130"/>
        <v>0</v>
      </c>
      <c r="N283" s="831">
        <f t="shared" ca="1" si="130"/>
        <v>0</v>
      </c>
      <c r="O283" s="831">
        <f t="shared" ca="1" si="126"/>
        <v>0</v>
      </c>
      <c r="P283" s="831">
        <f t="shared" ca="1" si="127"/>
        <v>0</v>
      </c>
      <c r="Q283" s="818"/>
      <c r="R283" s="818"/>
      <c r="S283" s="818"/>
      <c r="T283" s="818"/>
      <c r="U283" s="818"/>
      <c r="V283" s="818"/>
      <c r="W283" s="818"/>
      <c r="X283" s="818"/>
      <c r="Y283" s="818"/>
      <c r="Z283" s="818"/>
    </row>
    <row r="284" spans="1:26" ht="19.5" hidden="1">
      <c r="A284" s="940"/>
      <c r="B284" s="833"/>
      <c r="C284" s="946"/>
      <c r="D284" s="833"/>
      <c r="E284" s="834" t="s">
        <v>18</v>
      </c>
      <c r="F284" s="833"/>
      <c r="G284" s="941"/>
      <c r="H284" s="165" t="s">
        <v>12</v>
      </c>
      <c r="I284" s="947"/>
      <c r="J284" s="947"/>
      <c r="K284" s="948"/>
      <c r="L284" s="837">
        <v>0</v>
      </c>
      <c r="M284" s="837">
        <v>0</v>
      </c>
      <c r="N284" s="837">
        <v>0</v>
      </c>
      <c r="O284" s="837">
        <f t="shared" si="126"/>
        <v>0</v>
      </c>
      <c r="P284" s="837">
        <f t="shared" si="127"/>
        <v>0</v>
      </c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</row>
    <row r="285" spans="1:26" ht="19.5" hidden="1">
      <c r="A285" s="940"/>
      <c r="B285" s="833"/>
      <c r="C285" s="946"/>
      <c r="D285" s="833"/>
      <c r="E285" s="834" t="s">
        <v>19</v>
      </c>
      <c r="F285" s="833"/>
      <c r="G285" s="941"/>
      <c r="H285" s="169" t="s">
        <v>12</v>
      </c>
      <c r="I285" s="947"/>
      <c r="J285" s="947"/>
      <c r="K285" s="948"/>
      <c r="L285" s="837">
        <f ca="1">IFERROR(__xludf.DUMMYFUNCTION("IMPORTRANGE(""https://docs.google.com/spreadsheets/d/1MeEWN-I1oV_STSDYn1IFDPWt_1FKiwhDph83XaGc0o0/edit?usp=sharing"",""งบพรบ!DL14"")"),0)</f>
        <v>0</v>
      </c>
      <c r="M285" s="837">
        <f ca="1">IFERROR(__xludf.DUMMYFUNCTION("IMPORTRANGE(""https://docs.google.com/spreadsheets/d/1MeEWN-I1oV_STSDYn1IFDPWt_1FKiwhDph83XaGc0o0/edit?usp=sharing"",""งบพรบ!DO14"")"),0)</f>
        <v>0</v>
      </c>
      <c r="N285" s="837">
        <f ca="1">IFERROR(__xludf.DUMMYFUNCTION("IMPORTRANGE(""https://docs.google.com/spreadsheets/d/1MeEWN-I1oV_STSDYn1IFDPWt_1FKiwhDph83XaGc0o0/edit?usp=sharing"",""งบพรบ!DQ14"")"),0)</f>
        <v>0</v>
      </c>
      <c r="O285" s="837">
        <f t="shared" ca="1" si="126"/>
        <v>0</v>
      </c>
      <c r="P285" s="837">
        <f t="shared" ca="1" si="127"/>
        <v>0</v>
      </c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</row>
    <row r="286" spans="1:26" ht="19.5">
      <c r="A286" s="949"/>
      <c r="B286" s="950"/>
      <c r="C286" s="946" t="s">
        <v>16</v>
      </c>
      <c r="D286" s="951" t="s">
        <v>38</v>
      </c>
      <c r="E286" s="952"/>
      <c r="F286" s="952"/>
      <c r="G286" s="953"/>
      <c r="H286" s="954"/>
      <c r="I286" s="944"/>
      <c r="J286" s="944"/>
      <c r="K286" s="945"/>
      <c r="L286" s="945"/>
      <c r="M286" s="945"/>
      <c r="N286" s="945"/>
      <c r="O286" s="945"/>
      <c r="P286" s="945"/>
    </row>
    <row r="287" spans="1:26" ht="18.75">
      <c r="A287" s="949"/>
      <c r="B287" s="950"/>
      <c r="C287" s="950"/>
      <c r="D287" s="961" t="s">
        <v>129</v>
      </c>
      <c r="E287" s="950"/>
      <c r="F287" s="957"/>
      <c r="G287" s="958"/>
      <c r="H287" s="777" t="s">
        <v>46</v>
      </c>
      <c r="I287" s="830">
        <f ca="1">IFERROR(__xludf.DUMMYFUNCTION("IMPORTRANGE(""https://docs.google.com/spreadsheets/d/1QqKyyYR6Q21VydFLVH3TRQUabQu_ym0Zz7PgGX0-kHA/edit?usp=sharing"",""แผน!EC14"")"),500)</f>
        <v>500</v>
      </c>
      <c r="J287" s="959">
        <v>0</v>
      </c>
      <c r="K287" s="945">
        <f t="shared" ref="K287:K288" ca="1" si="131">IF(I287&gt;0,J287*100/I287,0)</f>
        <v>0</v>
      </c>
      <c r="L287" s="945"/>
      <c r="M287" s="945"/>
      <c r="N287" s="945"/>
      <c r="O287" s="945"/>
      <c r="P287" s="945"/>
    </row>
    <row r="288" spans="1:26" ht="19.5">
      <c r="A288" s="949"/>
      <c r="B288" s="950"/>
      <c r="C288" s="950"/>
      <c r="D288" s="961" t="s">
        <v>130</v>
      </c>
      <c r="E288" s="950"/>
      <c r="F288" s="957"/>
      <c r="G288" s="958"/>
      <c r="H288" s="180" t="s">
        <v>35</v>
      </c>
      <c r="I288" s="966">
        <f ca="1">IFERROR(__xludf.DUMMYFUNCTION("IMPORTRANGE(""https://docs.google.com/spreadsheets/d/1QqKyyYR6Q21VydFLVH3TRQUabQu_ym0Zz7PgGX0-kHA/edit?usp=sharing"",""แผน!EB14"")"),50)</f>
        <v>50</v>
      </c>
      <c r="J288" s="966">
        <f ca="1">IF(AND(J291&gt;=I288,J294&gt;=I288),J294,0)</f>
        <v>0</v>
      </c>
      <c r="K288" s="1109">
        <f t="shared" ca="1" si="131"/>
        <v>0</v>
      </c>
      <c r="L288" s="945"/>
      <c r="M288" s="945"/>
      <c r="N288" s="945"/>
      <c r="O288" s="945"/>
      <c r="P288" s="945"/>
    </row>
    <row r="289" spans="1:26" ht="19.5">
      <c r="A289" s="949"/>
      <c r="B289" s="950"/>
      <c r="C289" s="950"/>
      <c r="D289" s="1110"/>
      <c r="E289" s="1111" t="s">
        <v>131</v>
      </c>
      <c r="F289" s="957"/>
      <c r="G289" s="958"/>
      <c r="H289" s="730"/>
      <c r="I289" s="944"/>
      <c r="J289" s="830"/>
      <c r="K289" s="945"/>
      <c r="L289" s="945"/>
      <c r="M289" s="945"/>
      <c r="N289" s="945"/>
      <c r="O289" s="945"/>
      <c r="P289" s="945"/>
    </row>
    <row r="290" spans="1:26" ht="19.5">
      <c r="A290" s="949"/>
      <c r="B290" s="950"/>
      <c r="C290" s="950"/>
      <c r="D290" s="1110"/>
      <c r="E290" s="961" t="s">
        <v>132</v>
      </c>
      <c r="F290" s="957"/>
      <c r="G290" s="958"/>
      <c r="H290" s="730" t="s">
        <v>35</v>
      </c>
      <c r="I290" s="944">
        <f ca="1">IFERROR(__xludf.DUMMYFUNCTION("IMPORTRANGE(""https://docs.google.com/spreadsheets/d/1QqKyyYR6Q21VydFLVH3TRQUabQu_ym0Zz7PgGX0-kHA/edit?usp=sharing"",""แผน!EB14"")"),50)</f>
        <v>50</v>
      </c>
      <c r="J290" s="959">
        <v>50</v>
      </c>
      <c r="K290" s="945">
        <f t="shared" ref="K290:K291" ca="1" si="132">IF(I290&gt;0,J290*100/I290,0)</f>
        <v>100</v>
      </c>
      <c r="L290" s="945"/>
      <c r="M290" s="945"/>
      <c r="N290" s="945"/>
      <c r="O290" s="945"/>
      <c r="P290" s="945"/>
    </row>
    <row r="291" spans="1:26" ht="19.5">
      <c r="A291" s="949"/>
      <c r="B291" s="950"/>
      <c r="C291" s="950"/>
      <c r="D291" s="957"/>
      <c r="E291" s="961" t="s">
        <v>133</v>
      </c>
      <c r="F291" s="957"/>
      <c r="G291" s="958"/>
      <c r="H291" s="730" t="s">
        <v>35</v>
      </c>
      <c r="I291" s="944">
        <f ca="1">IFERROR(__xludf.DUMMYFUNCTION("IMPORTRANGE(""https://docs.google.com/spreadsheets/d/1QqKyyYR6Q21VydFLVH3TRQUabQu_ym0Zz7PgGX0-kHA/edit?usp=sharing"",""แผน!EB14"")"),50)</f>
        <v>50</v>
      </c>
      <c r="J291" s="959">
        <v>50</v>
      </c>
      <c r="K291" s="945">
        <f t="shared" ca="1" si="132"/>
        <v>100</v>
      </c>
      <c r="L291" s="945"/>
      <c r="M291" s="945"/>
      <c r="N291" s="945"/>
      <c r="O291" s="945"/>
      <c r="P291" s="945"/>
    </row>
    <row r="292" spans="1:26" ht="19.5">
      <c r="A292" s="1112"/>
      <c r="B292" s="1113"/>
      <c r="C292" s="1113"/>
      <c r="D292" s="1114"/>
      <c r="E292" s="1115" t="s">
        <v>134</v>
      </c>
      <c r="F292" s="1034"/>
      <c r="G292" s="1035"/>
      <c r="H292" s="387"/>
      <c r="I292" s="1028"/>
      <c r="J292" s="937"/>
      <c r="K292" s="1029"/>
      <c r="L292" s="1029"/>
      <c r="M292" s="1029"/>
      <c r="N292" s="1029"/>
      <c r="O292" s="1029"/>
      <c r="P292" s="1029"/>
    </row>
    <row r="293" spans="1:26" ht="19.5">
      <c r="A293" s="949"/>
      <c r="B293" s="950"/>
      <c r="C293" s="950"/>
      <c r="D293" s="1110"/>
      <c r="E293" s="961" t="s">
        <v>132</v>
      </c>
      <c r="F293" s="957"/>
      <c r="G293" s="958"/>
      <c r="H293" s="730" t="s">
        <v>35</v>
      </c>
      <c r="I293" s="944">
        <f ca="1">IFERROR(__xludf.DUMMYFUNCTION("IMPORTRANGE(""https://docs.google.com/spreadsheets/d/1QqKyyYR6Q21VydFLVH3TRQUabQu_ym0Zz7PgGX0-kHA/edit?usp=sharing"",""แผน!EB14"")"),50)</f>
        <v>50</v>
      </c>
      <c r="J293" s="959">
        <v>0</v>
      </c>
      <c r="K293" s="945">
        <f t="shared" ref="K293:K294" ca="1" si="133">IF(I293&gt;0,J293*100/I293,0)</f>
        <v>0</v>
      </c>
      <c r="L293" s="945"/>
      <c r="M293" s="945"/>
      <c r="N293" s="945"/>
      <c r="O293" s="945"/>
      <c r="P293" s="945"/>
    </row>
    <row r="294" spans="1:26" ht="19.5">
      <c r="A294" s="1080"/>
      <c r="B294" s="1081"/>
      <c r="C294" s="1081"/>
      <c r="D294" s="1083"/>
      <c r="E294" s="1116" t="s">
        <v>136</v>
      </c>
      <c r="F294" s="1083"/>
      <c r="G294" s="1084"/>
      <c r="H294" s="391" t="s">
        <v>35</v>
      </c>
      <c r="I294" s="1117">
        <f ca="1">IFERROR(__xludf.DUMMYFUNCTION("IMPORTRANGE(""https://docs.google.com/spreadsheets/d/1QqKyyYR6Q21VydFLVH3TRQUabQu_ym0Zz7PgGX0-kHA/edit?usp=sharing"",""แผน!EB14"")"),50)</f>
        <v>50</v>
      </c>
      <c r="J294" s="1118">
        <v>0</v>
      </c>
      <c r="K294" s="1086">
        <f t="shared" ca="1" si="133"/>
        <v>0</v>
      </c>
      <c r="L294" s="1086"/>
      <c r="M294" s="1086"/>
      <c r="N294" s="1086"/>
      <c r="O294" s="1086"/>
      <c r="P294" s="1086"/>
    </row>
    <row r="295" spans="1:26" ht="19.5">
      <c r="A295" s="1119" t="s">
        <v>137</v>
      </c>
      <c r="B295" s="1120"/>
      <c r="C295" s="1120"/>
      <c r="D295" s="1120"/>
      <c r="E295" s="1121"/>
      <c r="F295" s="1121"/>
      <c r="G295" s="1122"/>
      <c r="H295" s="1123"/>
      <c r="I295" s="1124"/>
      <c r="J295" s="1124"/>
      <c r="K295" s="1125"/>
      <c r="L295" s="1125"/>
      <c r="M295" s="1125"/>
      <c r="N295" s="1125"/>
      <c r="O295" s="1125"/>
      <c r="P295" s="1125"/>
    </row>
    <row r="296" spans="1:26" ht="19.5">
      <c r="A296" s="1126" t="s">
        <v>138</v>
      </c>
      <c r="B296" s="1127"/>
      <c r="C296" s="1127"/>
      <c r="D296" s="1128"/>
      <c r="E296" s="1128"/>
      <c r="F296" s="1128"/>
      <c r="G296" s="1129"/>
      <c r="H296" s="1130"/>
      <c r="I296" s="1131"/>
      <c r="J296" s="1131"/>
      <c r="K296" s="1132"/>
      <c r="L296" s="1132"/>
      <c r="M296" s="1132"/>
      <c r="N296" s="1132"/>
      <c r="O296" s="1132"/>
      <c r="P296" s="1132"/>
    </row>
    <row r="297" spans="1:26" ht="19.5">
      <c r="A297" s="1133"/>
      <c r="B297" s="1134" t="s">
        <v>139</v>
      </c>
      <c r="C297" s="1135"/>
      <c r="D297" s="1135"/>
      <c r="E297" s="1135"/>
      <c r="F297" s="1135"/>
      <c r="G297" s="1136"/>
      <c r="H297" s="412" t="s">
        <v>35</v>
      </c>
      <c r="I297" s="1137">
        <f t="shared" ref="I297:J297" ca="1" si="134">I309</f>
        <v>20</v>
      </c>
      <c r="J297" s="1137">
        <f t="shared" si="134"/>
        <v>20</v>
      </c>
      <c r="K297" s="1138">
        <f ca="1">IF(I297&gt;0,J297*100/I297,0)</f>
        <v>100</v>
      </c>
      <c r="L297" s="1139"/>
      <c r="M297" s="1139"/>
      <c r="N297" s="1139"/>
      <c r="O297" s="1139"/>
      <c r="P297" s="1139"/>
    </row>
    <row r="298" spans="1:26" ht="19.5">
      <c r="A298" s="932"/>
      <c r="B298" s="933"/>
      <c r="C298" s="934" t="s">
        <v>16</v>
      </c>
      <c r="D298" s="935" t="s">
        <v>17</v>
      </c>
      <c r="E298" s="933"/>
      <c r="F298" s="933"/>
      <c r="G298" s="936"/>
      <c r="H298" s="152" t="s">
        <v>12</v>
      </c>
      <c r="I298" s="937"/>
      <c r="J298" s="937"/>
      <c r="K298" s="938"/>
      <c r="L298" s="939">
        <f t="shared" ref="L298:N298" ca="1" si="135">L299+L300</f>
        <v>82400</v>
      </c>
      <c r="M298" s="939">
        <f t="shared" ca="1" si="135"/>
        <v>64400</v>
      </c>
      <c r="N298" s="939">
        <f t="shared" ca="1" si="135"/>
        <v>7560</v>
      </c>
      <c r="O298" s="939">
        <f t="shared" ref="O298:O306" ca="1" si="136">IF(L298&gt;0,N298*100/L298,0)</f>
        <v>9.1747572815533989</v>
      </c>
      <c r="P298" s="939">
        <f t="shared" ref="P298:P306" ca="1" si="137">IF(M298&gt;0,N298*100/M298,0)</f>
        <v>11.739130434782609</v>
      </c>
      <c r="Q298" s="818"/>
      <c r="R298" s="818"/>
      <c r="S298" s="818"/>
      <c r="T298" s="818"/>
      <c r="U298" s="818"/>
      <c r="V298" s="818"/>
      <c r="W298" s="818"/>
      <c r="X298" s="818"/>
      <c r="Y298" s="818"/>
      <c r="Z298" s="818"/>
    </row>
    <row r="299" spans="1:26" ht="18.75" hidden="1">
      <c r="A299" s="940"/>
      <c r="B299" s="833"/>
      <c r="C299" s="833"/>
      <c r="D299" s="833"/>
      <c r="E299" s="834" t="s">
        <v>18</v>
      </c>
      <c r="F299" s="833"/>
      <c r="G299" s="941"/>
      <c r="H299" s="158" t="s">
        <v>12</v>
      </c>
      <c r="I299" s="836"/>
      <c r="J299" s="836"/>
      <c r="K299" s="837"/>
      <c r="L299" s="837">
        <f t="shared" ref="L299:N300" si="138">L302+L305</f>
        <v>0</v>
      </c>
      <c r="M299" s="837">
        <f t="shared" si="138"/>
        <v>0</v>
      </c>
      <c r="N299" s="837">
        <f t="shared" si="138"/>
        <v>0</v>
      </c>
      <c r="O299" s="837">
        <f t="shared" si="136"/>
        <v>0</v>
      </c>
      <c r="P299" s="837">
        <f t="shared" si="137"/>
        <v>0</v>
      </c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</row>
    <row r="300" spans="1:26" ht="18.75" hidden="1">
      <c r="A300" s="940"/>
      <c r="B300" s="833"/>
      <c r="C300" s="833"/>
      <c r="D300" s="833"/>
      <c r="E300" s="834" t="s">
        <v>19</v>
      </c>
      <c r="F300" s="833"/>
      <c r="G300" s="941"/>
      <c r="H300" s="158" t="s">
        <v>12</v>
      </c>
      <c r="I300" s="836"/>
      <c r="J300" s="836"/>
      <c r="K300" s="837"/>
      <c r="L300" s="837">
        <f t="shared" ca="1" si="138"/>
        <v>82400</v>
      </c>
      <c r="M300" s="837">
        <f t="shared" ca="1" si="138"/>
        <v>64400</v>
      </c>
      <c r="N300" s="837">
        <f t="shared" ca="1" si="138"/>
        <v>7560</v>
      </c>
      <c r="O300" s="837">
        <f t="shared" ca="1" si="136"/>
        <v>9.1747572815533989</v>
      </c>
      <c r="P300" s="837">
        <f t="shared" ca="1" si="137"/>
        <v>11.739130434782609</v>
      </c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</row>
    <row r="301" spans="1:26" ht="18.75">
      <c r="A301" s="942"/>
      <c r="B301" s="827"/>
      <c r="C301" s="943"/>
      <c r="D301" s="828" t="s">
        <v>20</v>
      </c>
      <c r="E301" s="827"/>
      <c r="F301" s="827"/>
      <c r="G301" s="829"/>
      <c r="H301" s="778" t="s">
        <v>12</v>
      </c>
      <c r="I301" s="944"/>
      <c r="J301" s="944"/>
      <c r="K301" s="945"/>
      <c r="L301" s="831">
        <f t="shared" ref="L301:N301" ca="1" si="139">L302+L303</f>
        <v>82400</v>
      </c>
      <c r="M301" s="831">
        <f t="shared" ca="1" si="139"/>
        <v>64400</v>
      </c>
      <c r="N301" s="831">
        <f t="shared" ca="1" si="139"/>
        <v>7560</v>
      </c>
      <c r="O301" s="831">
        <f t="shared" ca="1" si="136"/>
        <v>9.1747572815533989</v>
      </c>
      <c r="P301" s="831">
        <f t="shared" ca="1" si="137"/>
        <v>11.739130434782609</v>
      </c>
      <c r="Q301" s="818"/>
      <c r="R301" s="818"/>
      <c r="S301" s="818"/>
      <c r="T301" s="818"/>
      <c r="U301" s="818"/>
      <c r="V301" s="818"/>
      <c r="W301" s="818"/>
      <c r="X301" s="818"/>
      <c r="Y301" s="818"/>
      <c r="Z301" s="818"/>
    </row>
    <row r="302" spans="1:26" ht="19.5" hidden="1">
      <c r="A302" s="940"/>
      <c r="B302" s="833"/>
      <c r="C302" s="946"/>
      <c r="D302" s="833"/>
      <c r="E302" s="834" t="s">
        <v>36</v>
      </c>
      <c r="F302" s="833"/>
      <c r="G302" s="941"/>
      <c r="H302" s="165" t="s">
        <v>12</v>
      </c>
      <c r="I302" s="947"/>
      <c r="J302" s="947"/>
      <c r="K302" s="948"/>
      <c r="L302" s="837">
        <v>0</v>
      </c>
      <c r="M302" s="837">
        <v>0</v>
      </c>
      <c r="N302" s="837">
        <v>0</v>
      </c>
      <c r="O302" s="837">
        <f t="shared" si="136"/>
        <v>0</v>
      </c>
      <c r="P302" s="837">
        <f t="shared" si="137"/>
        <v>0</v>
      </c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</row>
    <row r="303" spans="1:26" ht="19.5" hidden="1">
      <c r="A303" s="940"/>
      <c r="B303" s="833"/>
      <c r="C303" s="946"/>
      <c r="D303" s="833"/>
      <c r="E303" s="834" t="s">
        <v>37</v>
      </c>
      <c r="F303" s="833"/>
      <c r="G303" s="941"/>
      <c r="H303" s="165" t="s">
        <v>12</v>
      </c>
      <c r="I303" s="947"/>
      <c r="J303" s="947"/>
      <c r="K303" s="948"/>
      <c r="L303" s="837">
        <f ca="1">IFERROR(__xludf.DUMMYFUNCTION("IMPORTRANGE(""https://docs.google.com/spreadsheets/d/1MeEWN-I1oV_STSDYn1IFDPWt_1FKiwhDph83XaGc0o0/edit?usp=sharing"",""งบพรบ!DS14"")"),82400)</f>
        <v>82400</v>
      </c>
      <c r="M303" s="837">
        <f ca="1">IFERROR(__xludf.DUMMYFUNCTION("IMPORTRANGE(""https://docs.google.com/spreadsheets/d/1MeEWN-I1oV_STSDYn1IFDPWt_1FKiwhDph83XaGc0o0/edit?usp=sharing"",""งบพรบ!DX14"")"),64400)</f>
        <v>64400</v>
      </c>
      <c r="N303" s="837">
        <f ca="1">IFERROR(__xludf.DUMMYFUNCTION("IMPORTRANGE(""https://docs.google.com/spreadsheets/d/1MeEWN-I1oV_STSDYn1IFDPWt_1FKiwhDph83XaGc0o0/edit?usp=sharing"",""งบพรบ!DZ14"")"),7560)</f>
        <v>7560</v>
      </c>
      <c r="O303" s="837">
        <f t="shared" ca="1" si="136"/>
        <v>9.1747572815533989</v>
      </c>
      <c r="P303" s="837">
        <f t="shared" ca="1" si="137"/>
        <v>11.739130434782609</v>
      </c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</row>
    <row r="304" spans="1:26" ht="18.75">
      <c r="A304" s="942"/>
      <c r="B304" s="827"/>
      <c r="C304" s="943"/>
      <c r="D304" s="828" t="s">
        <v>21</v>
      </c>
      <c r="E304" s="827"/>
      <c r="F304" s="827"/>
      <c r="G304" s="829"/>
      <c r="H304" s="168" t="s">
        <v>12</v>
      </c>
      <c r="I304" s="944"/>
      <c r="J304" s="944"/>
      <c r="K304" s="945"/>
      <c r="L304" s="831">
        <f t="shared" ref="L304:N304" ca="1" si="140">L305+L306</f>
        <v>0</v>
      </c>
      <c r="M304" s="831">
        <f t="shared" ca="1" si="140"/>
        <v>0</v>
      </c>
      <c r="N304" s="831">
        <f t="shared" ca="1" si="140"/>
        <v>0</v>
      </c>
      <c r="O304" s="831">
        <f t="shared" ca="1" si="136"/>
        <v>0</v>
      </c>
      <c r="P304" s="831">
        <f t="shared" ca="1" si="137"/>
        <v>0</v>
      </c>
      <c r="Q304" s="818"/>
      <c r="R304" s="818"/>
      <c r="S304" s="818"/>
      <c r="T304" s="818"/>
      <c r="U304" s="818"/>
      <c r="V304" s="818"/>
      <c r="W304" s="818"/>
      <c r="X304" s="818"/>
      <c r="Y304" s="818"/>
      <c r="Z304" s="818"/>
    </row>
    <row r="305" spans="1:26" ht="19.5" hidden="1">
      <c r="A305" s="940"/>
      <c r="B305" s="833"/>
      <c r="C305" s="946"/>
      <c r="D305" s="833"/>
      <c r="E305" s="834" t="s">
        <v>18</v>
      </c>
      <c r="F305" s="833"/>
      <c r="G305" s="941"/>
      <c r="H305" s="165" t="s">
        <v>12</v>
      </c>
      <c r="I305" s="947"/>
      <c r="J305" s="947"/>
      <c r="K305" s="948"/>
      <c r="L305" s="837">
        <v>0</v>
      </c>
      <c r="M305" s="837">
        <v>0</v>
      </c>
      <c r="N305" s="837">
        <v>0</v>
      </c>
      <c r="O305" s="837">
        <f t="shared" si="136"/>
        <v>0</v>
      </c>
      <c r="P305" s="837">
        <f t="shared" si="137"/>
        <v>0</v>
      </c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</row>
    <row r="306" spans="1:26" ht="19.5" hidden="1">
      <c r="A306" s="940"/>
      <c r="B306" s="833"/>
      <c r="C306" s="946"/>
      <c r="D306" s="833"/>
      <c r="E306" s="834" t="s">
        <v>19</v>
      </c>
      <c r="F306" s="833"/>
      <c r="G306" s="941"/>
      <c r="H306" s="169" t="s">
        <v>12</v>
      </c>
      <c r="I306" s="947"/>
      <c r="J306" s="947"/>
      <c r="K306" s="948"/>
      <c r="L306" s="837">
        <f ca="1">IFERROR(__xludf.DUMMYFUNCTION("IMPORTRANGE(""https://docs.google.com/spreadsheets/d/1MeEWN-I1oV_STSDYn1IFDPWt_1FKiwhDph83XaGc0o0/edit?usp=sharing"",""งบพรบ!DV14"")"),0)</f>
        <v>0</v>
      </c>
      <c r="M306" s="837">
        <f ca="1">IFERROR(__xludf.DUMMYFUNCTION("IMPORTRANGE(""https://docs.google.com/spreadsheets/d/1MeEWN-I1oV_STSDYn1IFDPWt_1FKiwhDph83XaGc0o0/edit?usp=sharing"",""งบพรบ!DY14"")"),0)</f>
        <v>0</v>
      </c>
      <c r="N306" s="837">
        <f ca="1">IFERROR(__xludf.DUMMYFUNCTION("IMPORTRANGE(""https://docs.google.com/spreadsheets/d/1MeEWN-I1oV_STSDYn1IFDPWt_1FKiwhDph83XaGc0o0/edit?usp=sharing"",""งบพรบ!EA14"")"),0)</f>
        <v>0</v>
      </c>
      <c r="O306" s="837">
        <f t="shared" ca="1" si="136"/>
        <v>0</v>
      </c>
      <c r="P306" s="837">
        <f t="shared" ca="1" si="137"/>
        <v>0</v>
      </c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</row>
    <row r="307" spans="1:26" ht="19.5">
      <c r="A307" s="949"/>
      <c r="B307" s="950"/>
      <c r="C307" s="946" t="s">
        <v>16</v>
      </c>
      <c r="D307" s="951" t="s">
        <v>38</v>
      </c>
      <c r="E307" s="952"/>
      <c r="F307" s="952"/>
      <c r="G307" s="953"/>
      <c r="H307" s="954"/>
      <c r="I307" s="830"/>
      <c r="J307" s="830"/>
      <c r="K307" s="831"/>
      <c r="L307" s="831"/>
      <c r="M307" s="831"/>
      <c r="N307" s="831"/>
      <c r="O307" s="831"/>
      <c r="P307" s="831"/>
    </row>
    <row r="308" spans="1:26" ht="18.75">
      <c r="A308" s="949"/>
      <c r="B308" s="950"/>
      <c r="C308" s="950"/>
      <c r="D308" s="956" t="s">
        <v>140</v>
      </c>
      <c r="E308" s="956"/>
      <c r="F308" s="956"/>
      <c r="G308" s="958"/>
      <c r="H308" s="730"/>
      <c r="I308" s="830"/>
      <c r="J308" s="959">
        <v>0</v>
      </c>
      <c r="K308" s="831"/>
      <c r="L308" s="831"/>
      <c r="M308" s="831"/>
      <c r="N308" s="831"/>
      <c r="O308" s="831"/>
      <c r="P308" s="831"/>
    </row>
    <row r="309" spans="1:26" ht="18.75">
      <c r="A309" s="949"/>
      <c r="B309" s="950"/>
      <c r="C309" s="950"/>
      <c r="D309" s="956" t="s">
        <v>141</v>
      </c>
      <c r="E309" s="956"/>
      <c r="F309" s="956"/>
      <c r="G309" s="958"/>
      <c r="H309" s="730" t="s">
        <v>35</v>
      </c>
      <c r="I309" s="830">
        <f ca="1">IFERROR(__xludf.DUMMYFUNCTION("IMPORTRANGE(""https://docs.google.com/spreadsheets/d/1QqKyyYR6Q21VydFLVH3TRQUabQu_ym0Zz7PgGX0-kHA/edit?usp=sharing"",""แผน!ED14"")"),20)</f>
        <v>20</v>
      </c>
      <c r="J309" s="959">
        <v>20</v>
      </c>
      <c r="K309" s="831">
        <f t="shared" ref="K309:K312" ca="1" si="141">IF(I309&gt;0,J309*100/I309,0)</f>
        <v>100</v>
      </c>
      <c r="L309" s="831"/>
      <c r="M309" s="831"/>
      <c r="N309" s="831"/>
      <c r="O309" s="831"/>
      <c r="P309" s="831"/>
    </row>
    <row r="310" spans="1:26" ht="18.75">
      <c r="A310" s="949"/>
      <c r="B310" s="950"/>
      <c r="C310" s="950"/>
      <c r="D310" s="956" t="s">
        <v>142</v>
      </c>
      <c r="E310" s="956"/>
      <c r="F310" s="956"/>
      <c r="G310" s="958"/>
      <c r="H310" s="730" t="s">
        <v>35</v>
      </c>
      <c r="I310" s="830">
        <f ca="1">IFERROR(__xludf.DUMMYFUNCTION("IMPORTRANGE(""https://docs.google.com/spreadsheets/d/1QqKyyYR6Q21VydFLVH3TRQUabQu_ym0Zz7PgGX0-kHA/edit?usp=sharing"",""แผน!ED14"")"),20)</f>
        <v>20</v>
      </c>
      <c r="J310" s="959">
        <v>20</v>
      </c>
      <c r="K310" s="831">
        <f t="shared" ca="1" si="141"/>
        <v>100</v>
      </c>
      <c r="L310" s="831"/>
      <c r="M310" s="831"/>
      <c r="N310" s="831"/>
      <c r="O310" s="831"/>
      <c r="P310" s="831"/>
    </row>
    <row r="311" spans="1:26" ht="18.75">
      <c r="A311" s="949"/>
      <c r="B311" s="950"/>
      <c r="C311" s="950"/>
      <c r="D311" s="956" t="s">
        <v>59</v>
      </c>
      <c r="E311" s="956"/>
      <c r="F311" s="956"/>
      <c r="G311" s="958"/>
      <c r="H311" s="730" t="s">
        <v>35</v>
      </c>
      <c r="I311" s="830">
        <f ca="1">IFERROR(__xludf.DUMMYFUNCTION("IMPORTRANGE(""https://docs.google.com/spreadsheets/d/1QqKyyYR6Q21VydFLVH3TRQUabQu_ym0Zz7PgGX0-kHA/edit?usp=sharing"",""แผน!ED14"")"),20)</f>
        <v>20</v>
      </c>
      <c r="J311" s="959">
        <v>0</v>
      </c>
      <c r="K311" s="831">
        <f t="shared" ca="1" si="141"/>
        <v>0</v>
      </c>
      <c r="L311" s="831"/>
      <c r="M311" s="831"/>
      <c r="N311" s="831"/>
      <c r="O311" s="831"/>
      <c r="P311" s="831"/>
    </row>
    <row r="312" spans="1:26" ht="18.75">
      <c r="A312" s="949"/>
      <c r="B312" s="950"/>
      <c r="C312" s="950"/>
      <c r="D312" s="956" t="s">
        <v>143</v>
      </c>
      <c r="E312" s="956"/>
      <c r="F312" s="956"/>
      <c r="G312" s="958"/>
      <c r="H312" s="730" t="s">
        <v>35</v>
      </c>
      <c r="I312" s="830">
        <f ca="1">IFERROR(__xludf.DUMMYFUNCTION("IMPORTRANGE(""https://docs.google.com/spreadsheets/d/1QqKyyYR6Q21VydFLVH3TRQUabQu_ym0Zz7PgGX0-kHA/edit?usp=sharing"",""แผน!EE14"")"),4)</f>
        <v>4</v>
      </c>
      <c r="J312" s="959">
        <v>4</v>
      </c>
      <c r="K312" s="831">
        <f t="shared" ca="1" si="141"/>
        <v>100</v>
      </c>
      <c r="L312" s="831"/>
      <c r="M312" s="831"/>
      <c r="N312" s="831"/>
      <c r="O312" s="831"/>
      <c r="P312" s="831"/>
    </row>
    <row r="313" spans="1:26" ht="19.5">
      <c r="A313" s="1126" t="s">
        <v>144</v>
      </c>
      <c r="B313" s="1127"/>
      <c r="C313" s="1127"/>
      <c r="D313" s="1128"/>
      <c r="E313" s="1127"/>
      <c r="F313" s="1127"/>
      <c r="G313" s="1127"/>
      <c r="H313" s="1140"/>
      <c r="I313" s="1131"/>
      <c r="J313" s="1131"/>
      <c r="K313" s="1132"/>
      <c r="L313" s="1132"/>
      <c r="M313" s="1132"/>
      <c r="N313" s="1132"/>
      <c r="O313" s="1132"/>
      <c r="P313" s="1132"/>
    </row>
    <row r="314" spans="1:26" ht="19.5">
      <c r="A314" s="1141"/>
      <c r="B314" s="1134" t="s">
        <v>145</v>
      </c>
      <c r="C314" s="1142"/>
      <c r="D314" s="1143"/>
      <c r="E314" s="1135"/>
      <c r="F314" s="1135"/>
      <c r="G314" s="1136"/>
      <c r="H314" s="412" t="s">
        <v>146</v>
      </c>
      <c r="I314" s="1137">
        <f t="shared" ref="I314:J314" ca="1" si="142">I325</f>
        <v>1</v>
      </c>
      <c r="J314" s="1137">
        <f t="shared" si="142"/>
        <v>0</v>
      </c>
      <c r="K314" s="1138">
        <f ca="1">IF(I314&gt;0,J314*100/I314,0)</f>
        <v>0</v>
      </c>
      <c r="L314" s="1139"/>
      <c r="M314" s="1139"/>
      <c r="N314" s="1139"/>
      <c r="O314" s="1139"/>
      <c r="P314" s="1139"/>
    </row>
    <row r="315" spans="1:26" ht="19.5">
      <c r="A315" s="932"/>
      <c r="B315" s="933"/>
      <c r="C315" s="934" t="s">
        <v>16</v>
      </c>
      <c r="D315" s="935" t="s">
        <v>17</v>
      </c>
      <c r="E315" s="933"/>
      <c r="F315" s="933"/>
      <c r="G315" s="936"/>
      <c r="H315" s="152" t="s">
        <v>12</v>
      </c>
      <c r="I315" s="937"/>
      <c r="J315" s="937"/>
      <c r="K315" s="938"/>
      <c r="L315" s="939">
        <f t="shared" ref="L315:N315" ca="1" si="143">L316+L317</f>
        <v>296000</v>
      </c>
      <c r="M315" s="939">
        <f t="shared" ca="1" si="143"/>
        <v>218000</v>
      </c>
      <c r="N315" s="939">
        <f t="shared" ca="1" si="143"/>
        <v>108520</v>
      </c>
      <c r="O315" s="939">
        <f t="shared" ref="O315:O323" ca="1" si="144">IF(L315&gt;0,N315*100/L315,0)</f>
        <v>36.662162162162161</v>
      </c>
      <c r="P315" s="939">
        <f t="shared" ref="P315:P323" ca="1" si="145">IF(M315&gt;0,N315*100/M315,0)</f>
        <v>49.779816513761467</v>
      </c>
      <c r="Q315" s="818"/>
      <c r="R315" s="818"/>
      <c r="S315" s="818"/>
      <c r="T315" s="818"/>
      <c r="U315" s="818"/>
      <c r="V315" s="818"/>
      <c r="W315" s="818"/>
      <c r="X315" s="818"/>
      <c r="Y315" s="818"/>
      <c r="Z315" s="818"/>
    </row>
    <row r="316" spans="1:26" ht="18.75" hidden="1">
      <c r="A316" s="940"/>
      <c r="B316" s="833"/>
      <c r="C316" s="833"/>
      <c r="D316" s="833"/>
      <c r="E316" s="834" t="s">
        <v>18</v>
      </c>
      <c r="F316" s="833"/>
      <c r="G316" s="941"/>
      <c r="H316" s="158" t="s">
        <v>12</v>
      </c>
      <c r="I316" s="836"/>
      <c r="J316" s="836"/>
      <c r="K316" s="837"/>
      <c r="L316" s="837">
        <f t="shared" ref="L316:N317" si="146">L319+L322</f>
        <v>0</v>
      </c>
      <c r="M316" s="837">
        <f t="shared" si="146"/>
        <v>0</v>
      </c>
      <c r="N316" s="837">
        <f t="shared" si="146"/>
        <v>0</v>
      </c>
      <c r="O316" s="837">
        <f t="shared" si="144"/>
        <v>0</v>
      </c>
      <c r="P316" s="837">
        <f t="shared" si="145"/>
        <v>0</v>
      </c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</row>
    <row r="317" spans="1:26" ht="18.75" hidden="1">
      <c r="A317" s="940"/>
      <c r="B317" s="833"/>
      <c r="C317" s="833"/>
      <c r="D317" s="833"/>
      <c r="E317" s="834" t="s">
        <v>19</v>
      </c>
      <c r="F317" s="833"/>
      <c r="G317" s="941"/>
      <c r="H317" s="158" t="s">
        <v>12</v>
      </c>
      <c r="I317" s="836"/>
      <c r="J317" s="836"/>
      <c r="K317" s="837"/>
      <c r="L317" s="837">
        <f t="shared" ca="1" si="146"/>
        <v>296000</v>
      </c>
      <c r="M317" s="837">
        <f t="shared" ca="1" si="146"/>
        <v>218000</v>
      </c>
      <c r="N317" s="837">
        <f t="shared" ca="1" si="146"/>
        <v>108520</v>
      </c>
      <c r="O317" s="837">
        <f t="shared" ca="1" si="144"/>
        <v>36.662162162162161</v>
      </c>
      <c r="P317" s="837">
        <f t="shared" ca="1" si="145"/>
        <v>49.779816513761467</v>
      </c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</row>
    <row r="318" spans="1:26" ht="18.75">
      <c r="A318" s="942"/>
      <c r="B318" s="827"/>
      <c r="C318" s="943"/>
      <c r="D318" s="828" t="s">
        <v>20</v>
      </c>
      <c r="E318" s="827"/>
      <c r="F318" s="827"/>
      <c r="G318" s="829"/>
      <c r="H318" s="778" t="s">
        <v>12</v>
      </c>
      <c r="I318" s="944"/>
      <c r="J318" s="944"/>
      <c r="K318" s="945"/>
      <c r="L318" s="831">
        <f t="shared" ref="L318:N318" ca="1" si="147">L319+L320</f>
        <v>296000</v>
      </c>
      <c r="M318" s="831">
        <f t="shared" ca="1" si="147"/>
        <v>218000</v>
      </c>
      <c r="N318" s="831">
        <f t="shared" ca="1" si="147"/>
        <v>108520</v>
      </c>
      <c r="O318" s="831">
        <f t="shared" ca="1" si="144"/>
        <v>36.662162162162161</v>
      </c>
      <c r="P318" s="831">
        <f t="shared" ca="1" si="145"/>
        <v>49.779816513761467</v>
      </c>
      <c r="Q318" s="818"/>
      <c r="R318" s="818"/>
      <c r="S318" s="818"/>
      <c r="T318" s="818"/>
      <c r="U318" s="818"/>
      <c r="V318" s="818"/>
      <c r="W318" s="818"/>
      <c r="X318" s="818"/>
      <c r="Y318" s="818"/>
      <c r="Z318" s="818"/>
    </row>
    <row r="319" spans="1:26" ht="19.5" hidden="1">
      <c r="A319" s="940"/>
      <c r="B319" s="833"/>
      <c r="C319" s="946"/>
      <c r="D319" s="833"/>
      <c r="E319" s="834" t="s">
        <v>36</v>
      </c>
      <c r="F319" s="833"/>
      <c r="G319" s="941"/>
      <c r="H319" s="165" t="s">
        <v>12</v>
      </c>
      <c r="I319" s="947"/>
      <c r="J319" s="947"/>
      <c r="K319" s="948"/>
      <c r="L319" s="837">
        <v>0</v>
      </c>
      <c r="M319" s="837">
        <v>0</v>
      </c>
      <c r="N319" s="837">
        <v>0</v>
      </c>
      <c r="O319" s="837">
        <f t="shared" si="144"/>
        <v>0</v>
      </c>
      <c r="P319" s="837">
        <f t="shared" si="145"/>
        <v>0</v>
      </c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</row>
    <row r="320" spans="1:26" ht="19.5" hidden="1">
      <c r="A320" s="940"/>
      <c r="B320" s="833"/>
      <c r="C320" s="946"/>
      <c r="D320" s="833"/>
      <c r="E320" s="834" t="s">
        <v>37</v>
      </c>
      <c r="F320" s="833"/>
      <c r="G320" s="941"/>
      <c r="H320" s="165" t="s">
        <v>12</v>
      </c>
      <c r="I320" s="947"/>
      <c r="J320" s="947"/>
      <c r="K320" s="948"/>
      <c r="L320" s="837">
        <f ca="1">IFERROR(__xludf.DUMMYFUNCTION("IMPORTRANGE(""https://docs.google.com/spreadsheets/d/1MeEWN-I1oV_STSDYn1IFDPWt_1FKiwhDph83XaGc0o0/edit?usp=sharing"",""งบพรบ!EC14"")"),296000)</f>
        <v>296000</v>
      </c>
      <c r="M320" s="837">
        <f ca="1">IFERROR(__xludf.DUMMYFUNCTION("IMPORTRANGE(""https://docs.google.com/spreadsheets/d/1MeEWN-I1oV_STSDYn1IFDPWt_1FKiwhDph83XaGc0o0/edit?usp=sharing"",""งบพรบ!EH14"")"),218000)</f>
        <v>218000</v>
      </c>
      <c r="N320" s="837">
        <f ca="1">IFERROR(__xludf.DUMMYFUNCTION("IMPORTRANGE(""https://docs.google.com/spreadsheets/d/1MeEWN-I1oV_STSDYn1IFDPWt_1FKiwhDph83XaGc0o0/edit?usp=sharing"",""งบพรบ!EJ14"")"),108520)</f>
        <v>108520</v>
      </c>
      <c r="O320" s="837">
        <f t="shared" ca="1" si="144"/>
        <v>36.662162162162161</v>
      </c>
      <c r="P320" s="837">
        <f t="shared" ca="1" si="145"/>
        <v>49.779816513761467</v>
      </c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</row>
    <row r="321" spans="1:26" ht="18.75">
      <c r="A321" s="942"/>
      <c r="B321" s="827"/>
      <c r="C321" s="943"/>
      <c r="D321" s="828" t="s">
        <v>21</v>
      </c>
      <c r="E321" s="827"/>
      <c r="F321" s="827"/>
      <c r="G321" s="829"/>
      <c r="H321" s="168" t="s">
        <v>12</v>
      </c>
      <c r="I321" s="944"/>
      <c r="J321" s="944"/>
      <c r="K321" s="945"/>
      <c r="L321" s="831">
        <f t="shared" ref="L321:N321" ca="1" si="148">L322+L323</f>
        <v>0</v>
      </c>
      <c r="M321" s="831">
        <f t="shared" ca="1" si="148"/>
        <v>0</v>
      </c>
      <c r="N321" s="831">
        <f t="shared" ca="1" si="148"/>
        <v>0</v>
      </c>
      <c r="O321" s="831">
        <f t="shared" ca="1" si="144"/>
        <v>0</v>
      </c>
      <c r="P321" s="831">
        <f t="shared" ca="1" si="145"/>
        <v>0</v>
      </c>
      <c r="Q321" s="818"/>
      <c r="R321" s="818"/>
      <c r="S321" s="818"/>
      <c r="T321" s="818"/>
      <c r="U321" s="818"/>
      <c r="V321" s="818"/>
      <c r="W321" s="818"/>
      <c r="X321" s="818"/>
      <c r="Y321" s="818"/>
      <c r="Z321" s="818"/>
    </row>
    <row r="322" spans="1:26" ht="19.5" hidden="1">
      <c r="A322" s="940"/>
      <c r="B322" s="833"/>
      <c r="C322" s="946"/>
      <c r="D322" s="833"/>
      <c r="E322" s="834" t="s">
        <v>18</v>
      </c>
      <c r="F322" s="833"/>
      <c r="G322" s="941"/>
      <c r="H322" s="165" t="s">
        <v>12</v>
      </c>
      <c r="I322" s="947"/>
      <c r="J322" s="947"/>
      <c r="K322" s="948"/>
      <c r="L322" s="837">
        <v>0</v>
      </c>
      <c r="M322" s="837">
        <v>0</v>
      </c>
      <c r="N322" s="837">
        <v>0</v>
      </c>
      <c r="O322" s="837">
        <f t="shared" si="144"/>
        <v>0</v>
      </c>
      <c r="P322" s="837">
        <f t="shared" si="145"/>
        <v>0</v>
      </c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</row>
    <row r="323" spans="1:26" ht="19.5" hidden="1">
      <c r="A323" s="940"/>
      <c r="B323" s="833"/>
      <c r="C323" s="946"/>
      <c r="D323" s="833"/>
      <c r="E323" s="834" t="s">
        <v>19</v>
      </c>
      <c r="F323" s="833"/>
      <c r="G323" s="941"/>
      <c r="H323" s="169" t="s">
        <v>12</v>
      </c>
      <c r="I323" s="947"/>
      <c r="J323" s="947"/>
      <c r="K323" s="948"/>
      <c r="L323" s="837">
        <f ca="1">IFERROR(__xludf.DUMMYFUNCTION("IMPORTRANGE(""https://docs.google.com/spreadsheets/d/1MeEWN-I1oV_STSDYn1IFDPWt_1FKiwhDph83XaGc0o0/edit?usp=sharing"",""งบพรบ!EF14"")"),0)</f>
        <v>0</v>
      </c>
      <c r="M323" s="837">
        <f ca="1">IFERROR(__xludf.DUMMYFUNCTION("IMPORTRANGE(""https://docs.google.com/spreadsheets/d/1MeEWN-I1oV_STSDYn1IFDPWt_1FKiwhDph83XaGc0o0/edit?usp=sharing"",""งบพรบ!EI14"")"),0)</f>
        <v>0</v>
      </c>
      <c r="N323" s="837">
        <f ca="1">IFERROR(__xludf.DUMMYFUNCTION("IMPORTRANGE(""https://docs.google.com/spreadsheets/d/1MeEWN-I1oV_STSDYn1IFDPWt_1FKiwhDph83XaGc0o0/edit?usp=sharing"",""งบพรบ!EK14"")"),0)</f>
        <v>0</v>
      </c>
      <c r="O323" s="837">
        <f t="shared" ca="1" si="144"/>
        <v>0</v>
      </c>
      <c r="P323" s="837">
        <f t="shared" ca="1" si="145"/>
        <v>0</v>
      </c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</row>
    <row r="324" spans="1:26" ht="19.5">
      <c r="A324" s="949"/>
      <c r="B324" s="950"/>
      <c r="C324" s="946" t="s">
        <v>16</v>
      </c>
      <c r="D324" s="951" t="s">
        <v>38</v>
      </c>
      <c r="E324" s="952"/>
      <c r="F324" s="952"/>
      <c r="G324" s="953"/>
      <c r="H324" s="954"/>
      <c r="I324" s="944"/>
      <c r="J324" s="830"/>
      <c r="K324" s="831"/>
      <c r="L324" s="831"/>
      <c r="M324" s="831"/>
      <c r="N324" s="831"/>
      <c r="O324" s="945"/>
      <c r="P324" s="945"/>
    </row>
    <row r="325" spans="1:26" ht="18.75">
      <c r="A325" s="949"/>
      <c r="B325" s="950"/>
      <c r="C325" s="950"/>
      <c r="D325" s="955" t="s">
        <v>147</v>
      </c>
      <c r="E325" s="957"/>
      <c r="F325" s="956"/>
      <c r="G325" s="958"/>
      <c r="H325" s="590" t="s">
        <v>146</v>
      </c>
      <c r="I325" s="830">
        <f ca="1">IFERROR(__xludf.DUMMYFUNCTION("IMPORTRANGE(""https://docs.google.com/spreadsheets/d/1QqKyyYR6Q21VydFLVH3TRQUabQu_ym0Zz7PgGX0-kHA/edit?usp=sharing"",""แผน!EF14"")"),1)</f>
        <v>1</v>
      </c>
      <c r="J325" s="959">
        <v>0</v>
      </c>
      <c r="K325" s="831">
        <f ca="1">IF(I325&gt;0,J325*100/I325,0)</f>
        <v>0</v>
      </c>
      <c r="L325" s="831"/>
      <c r="M325" s="831"/>
      <c r="N325" s="831"/>
      <c r="O325" s="945"/>
      <c r="P325" s="945"/>
    </row>
    <row r="326" spans="1:26" ht="19.5">
      <c r="A326" s="1126" t="s">
        <v>148</v>
      </c>
      <c r="B326" s="1127"/>
      <c r="C326" s="1127"/>
      <c r="D326" s="1128"/>
      <c r="E326" s="1127"/>
      <c r="F326" s="1127"/>
      <c r="G326" s="1127"/>
      <c r="H326" s="1140"/>
      <c r="I326" s="1131"/>
      <c r="J326" s="1131"/>
      <c r="K326" s="1132"/>
      <c r="L326" s="1132"/>
      <c r="M326" s="1132"/>
      <c r="N326" s="1132"/>
      <c r="O326" s="1132"/>
      <c r="P326" s="1132"/>
    </row>
    <row r="327" spans="1:26" ht="19.5">
      <c r="A327" s="1133"/>
      <c r="B327" s="1134" t="s">
        <v>149</v>
      </c>
      <c r="C327" s="1143"/>
      <c r="D327" s="1135"/>
      <c r="E327" s="1135"/>
      <c r="F327" s="1135"/>
      <c r="G327" s="1136"/>
      <c r="H327" s="412" t="s">
        <v>35</v>
      </c>
      <c r="I327" s="1137">
        <f ca="1">IFERROR(__xludf.DUMMYFUNCTION("IMPORTRANGE(""https://docs.google.com/spreadsheets/d/1QqKyyYR6Q21VydFLVH3TRQUabQu_ym0Zz7PgGX0-kHA/edit?usp=sharing"",""แผน!EG14"")"),7500)</f>
        <v>7500</v>
      </c>
      <c r="J327" s="1137">
        <f ca="1">J338+J341+J342+J343</f>
        <v>8402</v>
      </c>
      <c r="K327" s="1138">
        <f ca="1">IF(I327&gt;0,J327*100/I327,0)</f>
        <v>112.02666666666667</v>
      </c>
      <c r="L327" s="1139"/>
      <c r="M327" s="1139"/>
      <c r="N327" s="1139"/>
      <c r="O327" s="1139"/>
      <c r="P327" s="1139"/>
    </row>
    <row r="328" spans="1:26" ht="19.5">
      <c r="A328" s="932"/>
      <c r="B328" s="933"/>
      <c r="C328" s="934" t="s">
        <v>16</v>
      </c>
      <c r="D328" s="935" t="s">
        <v>17</v>
      </c>
      <c r="E328" s="933"/>
      <c r="F328" s="933"/>
      <c r="G328" s="936"/>
      <c r="H328" s="152" t="s">
        <v>12</v>
      </c>
      <c r="I328" s="937"/>
      <c r="J328" s="937"/>
      <c r="K328" s="938"/>
      <c r="L328" s="939">
        <f t="shared" ref="L328:N328" ca="1" si="149">L329+L330</f>
        <v>182000</v>
      </c>
      <c r="M328" s="939">
        <f t="shared" ca="1" si="149"/>
        <v>139000</v>
      </c>
      <c r="N328" s="939">
        <f t="shared" ca="1" si="149"/>
        <v>64440</v>
      </c>
      <c r="O328" s="939">
        <f t="shared" ref="O328:O336" ca="1" si="150">IF(L328&gt;0,N328*100/L328,0)</f>
        <v>35.406593406593409</v>
      </c>
      <c r="P328" s="939">
        <f t="shared" ref="P328:P336" ca="1" si="151">IF(M328&gt;0,N328*100/M328,0)</f>
        <v>46.359712230215827</v>
      </c>
      <c r="Q328" s="818"/>
      <c r="R328" s="818"/>
      <c r="S328" s="818"/>
      <c r="T328" s="818"/>
      <c r="U328" s="818"/>
      <c r="V328" s="818"/>
      <c r="W328" s="818"/>
      <c r="X328" s="818"/>
      <c r="Y328" s="818"/>
      <c r="Z328" s="818"/>
    </row>
    <row r="329" spans="1:26" ht="18.75" hidden="1">
      <c r="A329" s="940"/>
      <c r="B329" s="833"/>
      <c r="C329" s="833"/>
      <c r="D329" s="833"/>
      <c r="E329" s="834" t="s">
        <v>18</v>
      </c>
      <c r="F329" s="833"/>
      <c r="G329" s="941"/>
      <c r="H329" s="158" t="s">
        <v>12</v>
      </c>
      <c r="I329" s="836"/>
      <c r="J329" s="836"/>
      <c r="K329" s="837"/>
      <c r="L329" s="837">
        <f t="shared" ref="L329:N330" si="152">L332+L335</f>
        <v>0</v>
      </c>
      <c r="M329" s="837">
        <f t="shared" si="152"/>
        <v>0</v>
      </c>
      <c r="N329" s="837">
        <f t="shared" si="152"/>
        <v>0</v>
      </c>
      <c r="O329" s="837">
        <f t="shared" si="150"/>
        <v>0</v>
      </c>
      <c r="P329" s="837">
        <f t="shared" si="151"/>
        <v>0</v>
      </c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</row>
    <row r="330" spans="1:26" ht="18.75" hidden="1">
      <c r="A330" s="940"/>
      <c r="B330" s="833"/>
      <c r="C330" s="833"/>
      <c r="D330" s="833"/>
      <c r="E330" s="834" t="s">
        <v>19</v>
      </c>
      <c r="F330" s="833"/>
      <c r="G330" s="941"/>
      <c r="H330" s="158" t="s">
        <v>12</v>
      </c>
      <c r="I330" s="836"/>
      <c r="J330" s="836"/>
      <c r="K330" s="837"/>
      <c r="L330" s="837">
        <f t="shared" ca="1" si="152"/>
        <v>182000</v>
      </c>
      <c r="M330" s="837">
        <f t="shared" ca="1" si="152"/>
        <v>139000</v>
      </c>
      <c r="N330" s="837">
        <f t="shared" ca="1" si="152"/>
        <v>64440</v>
      </c>
      <c r="O330" s="837">
        <f t="shared" ca="1" si="150"/>
        <v>35.406593406593409</v>
      </c>
      <c r="P330" s="837">
        <f t="shared" ca="1" si="151"/>
        <v>46.359712230215827</v>
      </c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</row>
    <row r="331" spans="1:26" ht="18.75">
      <c r="A331" s="942"/>
      <c r="B331" s="827"/>
      <c r="C331" s="943"/>
      <c r="D331" s="828" t="s">
        <v>20</v>
      </c>
      <c r="E331" s="827"/>
      <c r="F331" s="827"/>
      <c r="G331" s="829"/>
      <c r="H331" s="778" t="s">
        <v>12</v>
      </c>
      <c r="I331" s="944"/>
      <c r="J331" s="944"/>
      <c r="K331" s="945"/>
      <c r="L331" s="831">
        <f t="shared" ref="L331:N331" ca="1" si="153">L332+L333</f>
        <v>182000</v>
      </c>
      <c r="M331" s="831">
        <f t="shared" ca="1" si="153"/>
        <v>139000</v>
      </c>
      <c r="N331" s="831">
        <f t="shared" ca="1" si="153"/>
        <v>64440</v>
      </c>
      <c r="O331" s="831">
        <f t="shared" ca="1" si="150"/>
        <v>35.406593406593409</v>
      </c>
      <c r="P331" s="831">
        <f t="shared" ca="1" si="151"/>
        <v>46.359712230215827</v>
      </c>
      <c r="Q331" s="818"/>
      <c r="R331" s="818"/>
      <c r="S331" s="818"/>
      <c r="T331" s="818"/>
      <c r="U331" s="818"/>
      <c r="V331" s="818"/>
      <c r="W331" s="818"/>
      <c r="X331" s="818"/>
      <c r="Y331" s="818"/>
      <c r="Z331" s="818"/>
    </row>
    <row r="332" spans="1:26" ht="19.5" hidden="1">
      <c r="A332" s="940"/>
      <c r="B332" s="833"/>
      <c r="C332" s="946"/>
      <c r="D332" s="833"/>
      <c r="E332" s="834" t="s">
        <v>36</v>
      </c>
      <c r="F332" s="833"/>
      <c r="G332" s="941"/>
      <c r="H332" s="165" t="s">
        <v>12</v>
      </c>
      <c r="I332" s="947"/>
      <c r="J332" s="947"/>
      <c r="K332" s="948"/>
      <c r="L332" s="837">
        <v>0</v>
      </c>
      <c r="M332" s="837">
        <v>0</v>
      </c>
      <c r="N332" s="837">
        <v>0</v>
      </c>
      <c r="O332" s="837">
        <f t="shared" si="150"/>
        <v>0</v>
      </c>
      <c r="P332" s="837">
        <f t="shared" si="151"/>
        <v>0</v>
      </c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</row>
    <row r="333" spans="1:26" ht="19.5" hidden="1">
      <c r="A333" s="940"/>
      <c r="B333" s="833"/>
      <c r="C333" s="946"/>
      <c r="D333" s="833"/>
      <c r="E333" s="834" t="s">
        <v>37</v>
      </c>
      <c r="F333" s="833"/>
      <c r="G333" s="941"/>
      <c r="H333" s="165" t="s">
        <v>12</v>
      </c>
      <c r="I333" s="947"/>
      <c r="J333" s="947"/>
      <c r="K333" s="948"/>
      <c r="L333" s="837">
        <f ca="1">IFERROR(__xludf.DUMMYFUNCTION("IMPORTRANGE(""https://docs.google.com/spreadsheets/d/1MeEWN-I1oV_STSDYn1IFDPWt_1FKiwhDph83XaGc0o0/edit?usp=sharing"",""งบพรบ!EM14"")"),182000)</f>
        <v>182000</v>
      </c>
      <c r="M333" s="837">
        <f ca="1">IFERROR(__xludf.DUMMYFUNCTION("IMPORTRANGE(""https://docs.google.com/spreadsheets/d/1MeEWN-I1oV_STSDYn1IFDPWt_1FKiwhDph83XaGc0o0/edit?usp=sharing"",""งบพรบ!ER14"")"),139000)</f>
        <v>139000</v>
      </c>
      <c r="N333" s="837">
        <f ca="1">IFERROR(__xludf.DUMMYFUNCTION("IMPORTRANGE(""https://docs.google.com/spreadsheets/d/1MeEWN-I1oV_STSDYn1IFDPWt_1FKiwhDph83XaGc0o0/edit?usp=sharing"",""งบพรบ!ET14"")"),64440)</f>
        <v>64440</v>
      </c>
      <c r="O333" s="837">
        <f t="shared" ca="1" si="150"/>
        <v>35.406593406593409</v>
      </c>
      <c r="P333" s="837">
        <f t="shared" ca="1" si="151"/>
        <v>46.359712230215827</v>
      </c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</row>
    <row r="334" spans="1:26" ht="18.75">
      <c r="A334" s="942"/>
      <c r="B334" s="827"/>
      <c r="C334" s="943"/>
      <c r="D334" s="828" t="s">
        <v>21</v>
      </c>
      <c r="E334" s="827"/>
      <c r="F334" s="827"/>
      <c r="G334" s="829"/>
      <c r="H334" s="168" t="s">
        <v>12</v>
      </c>
      <c r="I334" s="944"/>
      <c r="J334" s="944"/>
      <c r="K334" s="945"/>
      <c r="L334" s="831">
        <f t="shared" ref="L334:N334" ca="1" si="154">L335+L336</f>
        <v>0</v>
      </c>
      <c r="M334" s="831">
        <f t="shared" ca="1" si="154"/>
        <v>0</v>
      </c>
      <c r="N334" s="831">
        <f t="shared" ca="1" si="154"/>
        <v>0</v>
      </c>
      <c r="O334" s="831">
        <f t="shared" ca="1" si="150"/>
        <v>0</v>
      </c>
      <c r="P334" s="831">
        <f t="shared" ca="1" si="151"/>
        <v>0</v>
      </c>
      <c r="Q334" s="818"/>
      <c r="R334" s="818"/>
      <c r="S334" s="818"/>
      <c r="T334" s="818"/>
      <c r="U334" s="818"/>
      <c r="V334" s="818"/>
      <c r="W334" s="818"/>
      <c r="X334" s="818"/>
      <c r="Y334" s="818"/>
      <c r="Z334" s="818"/>
    </row>
    <row r="335" spans="1:26" ht="19.5" hidden="1">
      <c r="A335" s="940"/>
      <c r="B335" s="833"/>
      <c r="C335" s="946"/>
      <c r="D335" s="833"/>
      <c r="E335" s="834" t="s">
        <v>18</v>
      </c>
      <c r="F335" s="833"/>
      <c r="G335" s="941"/>
      <c r="H335" s="165" t="s">
        <v>12</v>
      </c>
      <c r="I335" s="947"/>
      <c r="J335" s="947"/>
      <c r="K335" s="948"/>
      <c r="L335" s="837">
        <v>0</v>
      </c>
      <c r="M335" s="837">
        <v>0</v>
      </c>
      <c r="N335" s="837">
        <v>0</v>
      </c>
      <c r="O335" s="837">
        <f t="shared" si="150"/>
        <v>0</v>
      </c>
      <c r="P335" s="837">
        <f t="shared" si="151"/>
        <v>0</v>
      </c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</row>
    <row r="336" spans="1:26" ht="19.5" hidden="1">
      <c r="A336" s="940"/>
      <c r="B336" s="833"/>
      <c r="C336" s="946"/>
      <c r="D336" s="833"/>
      <c r="E336" s="834" t="s">
        <v>19</v>
      </c>
      <c r="F336" s="833"/>
      <c r="G336" s="941"/>
      <c r="H336" s="169" t="s">
        <v>12</v>
      </c>
      <c r="I336" s="947"/>
      <c r="J336" s="947"/>
      <c r="K336" s="948"/>
      <c r="L336" s="837">
        <f ca="1">IFERROR(__xludf.DUMMYFUNCTION("IMPORTRANGE(""https://docs.google.com/spreadsheets/d/1MeEWN-I1oV_STSDYn1IFDPWt_1FKiwhDph83XaGc0o0/edit?usp=sharing"",""งบพรบ!EP14"")"),0)</f>
        <v>0</v>
      </c>
      <c r="M336" s="837">
        <f ca="1">IFERROR(__xludf.DUMMYFUNCTION("IMPORTRANGE(""https://docs.google.com/spreadsheets/d/1MeEWN-I1oV_STSDYn1IFDPWt_1FKiwhDph83XaGc0o0/edit?usp=sharing"",""งบพรบ!ES14"")"),0)</f>
        <v>0</v>
      </c>
      <c r="N336" s="837">
        <f ca="1">IFERROR(__xludf.DUMMYFUNCTION("IMPORTRANGE(""https://docs.google.com/spreadsheets/d/1MeEWN-I1oV_STSDYn1IFDPWt_1FKiwhDph83XaGc0o0/edit?usp=sharing"",""งบพรบ!EU14"")"),0)</f>
        <v>0</v>
      </c>
      <c r="O336" s="837">
        <f t="shared" ca="1" si="150"/>
        <v>0</v>
      </c>
      <c r="P336" s="837">
        <f t="shared" ca="1" si="151"/>
        <v>0</v>
      </c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</row>
    <row r="337" spans="1:26" ht="19.5">
      <c r="A337" s="949"/>
      <c r="B337" s="950"/>
      <c r="C337" s="946" t="s">
        <v>16</v>
      </c>
      <c r="D337" s="951" t="s">
        <v>38</v>
      </c>
      <c r="E337" s="952"/>
      <c r="F337" s="952"/>
      <c r="G337" s="953"/>
      <c r="H337" s="954"/>
      <c r="I337" s="944"/>
      <c r="J337" s="830"/>
      <c r="K337" s="831"/>
      <c r="L337" s="831"/>
      <c r="M337" s="831"/>
      <c r="N337" s="831"/>
      <c r="O337" s="945"/>
      <c r="P337" s="945"/>
    </row>
    <row r="338" spans="1:26" ht="18.75">
      <c r="A338" s="1032"/>
      <c r="B338" s="827"/>
      <c r="C338" s="1030"/>
      <c r="D338" s="956" t="s">
        <v>150</v>
      </c>
      <c r="E338" s="950"/>
      <c r="F338" s="827"/>
      <c r="G338" s="829"/>
      <c r="H338" s="277" t="s">
        <v>35</v>
      </c>
      <c r="I338" s="830">
        <f ca="1">IFERROR(__xludf.DUMMYFUNCTION("IMPORTRANGE(""https://docs.google.com/spreadsheets/d/1QqKyyYR6Q21VydFLVH3TRQUabQu_ym0Zz7PgGX0-kHA/edit?usp=sharing"",""แผน!EG14"")"),7500)</f>
        <v>7500</v>
      </c>
      <c r="J338" s="830">
        <f ca="1">IFERROR(__xludf.DUMMYFUNCTION("IMPORTRANGE(""https://docs.google.com/spreadsheets/d/1kVcqe37tkHyjCSG3S0O1AXqVkqjo8mSIZil3BcpIysc/edit?usp=sharing"",""ศูนย์!D14"")"),8323)</f>
        <v>8323</v>
      </c>
      <c r="K338" s="831">
        <f ca="1">IF(I338&gt;0,J338*100/I338,0)</f>
        <v>110.97333333333333</v>
      </c>
      <c r="L338" s="831"/>
      <c r="M338" s="831"/>
      <c r="N338" s="831"/>
      <c r="O338" s="831"/>
      <c r="P338" s="831"/>
    </row>
    <row r="339" spans="1:26" ht="18.75">
      <c r="A339" s="1032"/>
      <c r="B339" s="827"/>
      <c r="C339" s="1030"/>
      <c r="D339" s="956" t="s">
        <v>151</v>
      </c>
      <c r="E339" s="950"/>
      <c r="F339" s="827"/>
      <c r="G339" s="829"/>
      <c r="H339" s="277"/>
      <c r="I339" s="830"/>
      <c r="J339" s="830"/>
      <c r="K339" s="831"/>
      <c r="L339" s="831"/>
      <c r="M339" s="831"/>
      <c r="N339" s="831"/>
      <c r="O339" s="831"/>
      <c r="P339" s="831"/>
    </row>
    <row r="340" spans="1:26" ht="18.75">
      <c r="A340" s="1032"/>
      <c r="B340" s="827"/>
      <c r="C340" s="1030"/>
      <c r="D340" s="957"/>
      <c r="E340" s="956" t="s">
        <v>152</v>
      </c>
      <c r="F340" s="827"/>
      <c r="G340" s="829"/>
      <c r="H340" s="277" t="s">
        <v>153</v>
      </c>
      <c r="I340" s="830">
        <f ca="1">IFERROR(__xludf.DUMMYFUNCTION("IMPORTRANGE(""https://docs.google.com/spreadsheets/d/1QqKyyYR6Q21VydFLVH3TRQUabQu_ym0Zz7PgGX0-kHA/edit?usp=sharing"",""แผน!EH14"")"),7)</f>
        <v>7</v>
      </c>
      <c r="J340" s="830">
        <f ca="1">IFERROR(__xludf.DUMMYFUNCTION("IMPORTRANGE(""https://docs.google.com/spreadsheets/d/1kVcqe37tkHyjCSG3S0O1AXqVkqjo8mSIZil3BcpIysc/edit?usp=sharing"",""ศูนย์!E14"")"),3)</f>
        <v>3</v>
      </c>
      <c r="K340" s="831">
        <f ca="1">IF(I340&gt;0,J340*100/I340,0)</f>
        <v>42.857142857142854</v>
      </c>
      <c r="L340" s="831"/>
      <c r="M340" s="831"/>
      <c r="N340" s="831"/>
      <c r="O340" s="831"/>
      <c r="P340" s="831"/>
    </row>
    <row r="341" spans="1:26" ht="18.75">
      <c r="A341" s="1032"/>
      <c r="B341" s="827"/>
      <c r="C341" s="1030"/>
      <c r="D341" s="957"/>
      <c r="E341" s="956" t="s">
        <v>154</v>
      </c>
      <c r="F341" s="827"/>
      <c r="G341" s="829"/>
      <c r="H341" s="277" t="s">
        <v>35</v>
      </c>
      <c r="I341" s="830"/>
      <c r="J341" s="830">
        <f ca="1">IFERROR(__xludf.DUMMYFUNCTION("IMPORTRANGE(""https://docs.google.com/spreadsheets/d/1kVcqe37tkHyjCSG3S0O1AXqVkqjo8mSIZil3BcpIysc/edit?usp=sharing"",""ศูนย์!F14"")"),79)</f>
        <v>79</v>
      </c>
      <c r="K341" s="831"/>
      <c r="L341" s="831"/>
      <c r="M341" s="831"/>
      <c r="N341" s="831"/>
      <c r="O341" s="831"/>
      <c r="P341" s="831"/>
    </row>
    <row r="342" spans="1:26" ht="18.75">
      <c r="A342" s="1032"/>
      <c r="B342" s="827"/>
      <c r="C342" s="1030"/>
      <c r="D342" s="956" t="s">
        <v>155</v>
      </c>
      <c r="E342" s="957"/>
      <c r="F342" s="957"/>
      <c r="G342" s="829"/>
      <c r="H342" s="277" t="s">
        <v>35</v>
      </c>
      <c r="I342" s="830"/>
      <c r="J342" s="830">
        <f ca="1">IFERROR(__xludf.DUMMYFUNCTION("IMPORTRANGE(""https://docs.google.com/spreadsheets/d/1kVcqe37tkHyjCSG3S0O1AXqVkqjo8mSIZil3BcpIysc/edit?usp=sharing"",""ศูนย์!G14"")"),0)</f>
        <v>0</v>
      </c>
      <c r="K342" s="831"/>
      <c r="L342" s="831"/>
      <c r="M342" s="831"/>
      <c r="N342" s="831"/>
      <c r="O342" s="831"/>
      <c r="P342" s="831"/>
    </row>
    <row r="343" spans="1:26" ht="18.75">
      <c r="A343" s="1032"/>
      <c r="B343" s="827"/>
      <c r="C343" s="1030"/>
      <c r="D343" s="956" t="s">
        <v>156</v>
      </c>
      <c r="E343" s="957"/>
      <c r="F343" s="957"/>
      <c r="G343" s="829"/>
      <c r="H343" s="277" t="s">
        <v>35</v>
      </c>
      <c r="I343" s="830"/>
      <c r="J343" s="830">
        <f ca="1">IFERROR(__xludf.DUMMYFUNCTION("IMPORTRANGE(""https://docs.google.com/spreadsheets/d/1kVcqe37tkHyjCSG3S0O1AXqVkqjo8mSIZil3BcpIysc/edit?usp=sharing"",""ศูนย์!H14"")"),0)</f>
        <v>0</v>
      </c>
      <c r="K343" s="831"/>
      <c r="L343" s="831"/>
      <c r="M343" s="831"/>
      <c r="N343" s="831"/>
      <c r="O343" s="831"/>
      <c r="P343" s="831"/>
    </row>
    <row r="344" spans="1:26" ht="19.5">
      <c r="A344" s="1133"/>
      <c r="B344" s="1134" t="s">
        <v>157</v>
      </c>
      <c r="C344" s="1143"/>
      <c r="D344" s="1135"/>
      <c r="E344" s="1135"/>
      <c r="F344" s="1135"/>
      <c r="G344" s="1136"/>
      <c r="H344" s="412"/>
      <c r="I344" s="1144"/>
      <c r="J344" s="1144"/>
      <c r="K344" s="1139"/>
      <c r="L344" s="1139"/>
      <c r="M344" s="1139"/>
      <c r="N344" s="1139"/>
      <c r="O344" s="1139"/>
      <c r="P344" s="1139"/>
    </row>
    <row r="345" spans="1:26" ht="19.5">
      <c r="A345" s="932"/>
      <c r="B345" s="933"/>
      <c r="C345" s="934" t="s">
        <v>16</v>
      </c>
      <c r="D345" s="935" t="s">
        <v>17</v>
      </c>
      <c r="E345" s="933"/>
      <c r="F345" s="933"/>
      <c r="G345" s="936"/>
      <c r="H345" s="152" t="s">
        <v>12</v>
      </c>
      <c r="I345" s="937"/>
      <c r="J345" s="937"/>
      <c r="K345" s="938"/>
      <c r="L345" s="939">
        <f t="shared" ref="L345:N345" ca="1" si="155">L346+L347</f>
        <v>1622080</v>
      </c>
      <c r="M345" s="939">
        <f t="shared" ca="1" si="155"/>
        <v>1197710</v>
      </c>
      <c r="N345" s="939">
        <f t="shared" ca="1" si="155"/>
        <v>608200</v>
      </c>
      <c r="O345" s="939">
        <f t="shared" ref="O345:O353" ca="1" si="156">IF(L345&gt;0,N345*100/L345,0)</f>
        <v>37.49506806076149</v>
      </c>
      <c r="P345" s="939">
        <f t="shared" ref="P345:P353" ca="1" si="157">IF(M345&gt;0,N345*100/M345,0)</f>
        <v>50.780238956007715</v>
      </c>
      <c r="Q345" s="818"/>
      <c r="R345" s="818"/>
      <c r="S345" s="818"/>
      <c r="T345" s="818"/>
      <c r="U345" s="818"/>
      <c r="V345" s="818"/>
      <c r="W345" s="818"/>
      <c r="X345" s="818"/>
      <c r="Y345" s="818"/>
      <c r="Z345" s="818"/>
    </row>
    <row r="346" spans="1:26" ht="18.75" hidden="1">
      <c r="A346" s="940"/>
      <c r="B346" s="833"/>
      <c r="C346" s="833"/>
      <c r="D346" s="833"/>
      <c r="E346" s="834" t="s">
        <v>18</v>
      </c>
      <c r="F346" s="833"/>
      <c r="G346" s="941"/>
      <c r="H346" s="158" t="s">
        <v>12</v>
      </c>
      <c r="I346" s="836"/>
      <c r="J346" s="836"/>
      <c r="K346" s="837"/>
      <c r="L346" s="837">
        <f t="shared" ref="L346:N347" si="158">L349+L352</f>
        <v>0</v>
      </c>
      <c r="M346" s="837">
        <f t="shared" si="158"/>
        <v>0</v>
      </c>
      <c r="N346" s="837">
        <f t="shared" si="158"/>
        <v>0</v>
      </c>
      <c r="O346" s="837">
        <f t="shared" si="156"/>
        <v>0</v>
      </c>
      <c r="P346" s="837">
        <f t="shared" si="157"/>
        <v>0</v>
      </c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</row>
    <row r="347" spans="1:26" ht="18.75" hidden="1">
      <c r="A347" s="940"/>
      <c r="B347" s="833"/>
      <c r="C347" s="833"/>
      <c r="D347" s="833"/>
      <c r="E347" s="834" t="s">
        <v>19</v>
      </c>
      <c r="F347" s="833"/>
      <c r="G347" s="941"/>
      <c r="H347" s="158" t="s">
        <v>12</v>
      </c>
      <c r="I347" s="836"/>
      <c r="J347" s="836"/>
      <c r="K347" s="837"/>
      <c r="L347" s="837">
        <f t="shared" ca="1" si="158"/>
        <v>1622080</v>
      </c>
      <c r="M347" s="837">
        <f t="shared" ca="1" si="158"/>
        <v>1197710</v>
      </c>
      <c r="N347" s="837">
        <f t="shared" ca="1" si="158"/>
        <v>608200</v>
      </c>
      <c r="O347" s="837">
        <f t="shared" ca="1" si="156"/>
        <v>37.49506806076149</v>
      </c>
      <c r="P347" s="837">
        <f t="shared" ca="1" si="157"/>
        <v>50.780238956007715</v>
      </c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</row>
    <row r="348" spans="1:26" ht="18.75">
      <c r="A348" s="942"/>
      <c r="B348" s="827"/>
      <c r="C348" s="943"/>
      <c r="D348" s="828" t="s">
        <v>20</v>
      </c>
      <c r="E348" s="827"/>
      <c r="F348" s="827"/>
      <c r="G348" s="829"/>
      <c r="H348" s="778" t="s">
        <v>12</v>
      </c>
      <c r="I348" s="944"/>
      <c r="J348" s="944"/>
      <c r="K348" s="945"/>
      <c r="L348" s="831">
        <f t="shared" ref="L348:N348" ca="1" si="159">L349+L350</f>
        <v>1562080</v>
      </c>
      <c r="M348" s="831">
        <f t="shared" ca="1" si="159"/>
        <v>1138110</v>
      </c>
      <c r="N348" s="831">
        <f t="shared" ca="1" si="159"/>
        <v>548600</v>
      </c>
      <c r="O348" s="831">
        <f t="shared" ca="1" si="156"/>
        <v>35.119840213049265</v>
      </c>
      <c r="P348" s="831">
        <f t="shared" ca="1" si="157"/>
        <v>48.202722056743198</v>
      </c>
      <c r="Q348" s="818"/>
      <c r="R348" s="818"/>
      <c r="S348" s="818"/>
      <c r="T348" s="818"/>
      <c r="U348" s="818"/>
      <c r="V348" s="818"/>
      <c r="W348" s="818"/>
      <c r="X348" s="818"/>
      <c r="Y348" s="818"/>
      <c r="Z348" s="818"/>
    </row>
    <row r="349" spans="1:26" ht="19.5" hidden="1">
      <c r="A349" s="940"/>
      <c r="B349" s="833"/>
      <c r="C349" s="946"/>
      <c r="D349" s="833"/>
      <c r="E349" s="834" t="s">
        <v>36</v>
      </c>
      <c r="F349" s="833"/>
      <c r="G349" s="941"/>
      <c r="H349" s="165" t="s">
        <v>12</v>
      </c>
      <c r="I349" s="947"/>
      <c r="J349" s="947"/>
      <c r="K349" s="948"/>
      <c r="L349" s="837">
        <v>0</v>
      </c>
      <c r="M349" s="837">
        <v>0</v>
      </c>
      <c r="N349" s="837">
        <v>0</v>
      </c>
      <c r="O349" s="837">
        <f t="shared" si="156"/>
        <v>0</v>
      </c>
      <c r="P349" s="837">
        <f t="shared" si="157"/>
        <v>0</v>
      </c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</row>
    <row r="350" spans="1:26" ht="19.5" hidden="1">
      <c r="A350" s="940"/>
      <c r="B350" s="833"/>
      <c r="C350" s="946"/>
      <c r="D350" s="833"/>
      <c r="E350" s="834" t="s">
        <v>37</v>
      </c>
      <c r="F350" s="833"/>
      <c r="G350" s="941"/>
      <c r="H350" s="165" t="s">
        <v>12</v>
      </c>
      <c r="I350" s="947"/>
      <c r="J350" s="947"/>
      <c r="K350" s="948"/>
      <c r="L350" s="837">
        <f ca="1">IFERROR(__xludf.DUMMYFUNCTION("IMPORTRANGE(""https://docs.google.com/spreadsheets/d/1MeEWN-I1oV_STSDYn1IFDPWt_1FKiwhDph83XaGc0o0/edit?usp=sharing"",""งบพรบ!EW14"")"),1562080)</f>
        <v>1562080</v>
      </c>
      <c r="M350" s="837">
        <f ca="1">IFERROR(__xludf.DUMMYFUNCTION("IMPORTRANGE(""https://docs.google.com/spreadsheets/d/1MeEWN-I1oV_STSDYn1IFDPWt_1FKiwhDph83XaGc0o0/edit?usp=sharing"",""งบพรบ!FB14"")"),1138110)</f>
        <v>1138110</v>
      </c>
      <c r="N350" s="837">
        <f ca="1">IFERROR(__xludf.DUMMYFUNCTION("IMPORTRANGE(""https://docs.google.com/spreadsheets/d/1MeEWN-I1oV_STSDYn1IFDPWt_1FKiwhDph83XaGc0o0/edit?usp=sharing"",""งบพรบ!FD14"")"),548600)</f>
        <v>548600</v>
      </c>
      <c r="O350" s="837">
        <f t="shared" ca="1" si="156"/>
        <v>35.119840213049265</v>
      </c>
      <c r="P350" s="837">
        <f t="shared" ca="1" si="157"/>
        <v>48.202722056743198</v>
      </c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</row>
    <row r="351" spans="1:26" ht="18.75">
      <c r="A351" s="942"/>
      <c r="B351" s="827"/>
      <c r="C351" s="943"/>
      <c r="D351" s="828" t="s">
        <v>21</v>
      </c>
      <c r="E351" s="827"/>
      <c r="F351" s="827"/>
      <c r="G351" s="829"/>
      <c r="H351" s="168" t="s">
        <v>12</v>
      </c>
      <c r="I351" s="944"/>
      <c r="J351" s="944"/>
      <c r="K351" s="945"/>
      <c r="L351" s="831">
        <f t="shared" ref="L351:N351" ca="1" si="160">L352+L353</f>
        <v>60000</v>
      </c>
      <c r="M351" s="831">
        <f t="shared" ca="1" si="160"/>
        <v>59600</v>
      </c>
      <c r="N351" s="831">
        <f t="shared" ca="1" si="160"/>
        <v>59600</v>
      </c>
      <c r="O351" s="831">
        <f t="shared" ca="1" si="156"/>
        <v>99.333333333333329</v>
      </c>
      <c r="P351" s="831">
        <f t="shared" ca="1" si="157"/>
        <v>100</v>
      </c>
      <c r="Q351" s="818"/>
      <c r="R351" s="818"/>
      <c r="S351" s="818"/>
      <c r="T351" s="818"/>
      <c r="U351" s="818"/>
      <c r="V351" s="818"/>
      <c r="W351" s="818"/>
      <c r="X351" s="818"/>
      <c r="Y351" s="818"/>
      <c r="Z351" s="818"/>
    </row>
    <row r="352" spans="1:26" ht="19.5" hidden="1">
      <c r="A352" s="940"/>
      <c r="B352" s="833"/>
      <c r="C352" s="946"/>
      <c r="D352" s="833"/>
      <c r="E352" s="834" t="s">
        <v>18</v>
      </c>
      <c r="F352" s="833"/>
      <c r="G352" s="941"/>
      <c r="H352" s="165" t="s">
        <v>12</v>
      </c>
      <c r="I352" s="947"/>
      <c r="J352" s="947"/>
      <c r="K352" s="948"/>
      <c r="L352" s="837">
        <v>0</v>
      </c>
      <c r="M352" s="837">
        <v>0</v>
      </c>
      <c r="N352" s="837">
        <v>0</v>
      </c>
      <c r="O352" s="837">
        <f t="shared" si="156"/>
        <v>0</v>
      </c>
      <c r="P352" s="837">
        <f t="shared" si="157"/>
        <v>0</v>
      </c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</row>
    <row r="353" spans="1:26" ht="19.5" hidden="1">
      <c r="A353" s="940"/>
      <c r="B353" s="833"/>
      <c r="C353" s="946"/>
      <c r="D353" s="833"/>
      <c r="E353" s="834" t="s">
        <v>19</v>
      </c>
      <c r="F353" s="833"/>
      <c r="G353" s="941"/>
      <c r="H353" s="169" t="s">
        <v>12</v>
      </c>
      <c r="I353" s="947"/>
      <c r="J353" s="947"/>
      <c r="K353" s="948"/>
      <c r="L353" s="837">
        <f ca="1">IFERROR(__xludf.DUMMYFUNCTION("IMPORTRANGE(""https://docs.google.com/spreadsheets/d/1MeEWN-I1oV_STSDYn1IFDPWt_1FKiwhDph83XaGc0o0/edit?usp=sharing"",""งบพรบ!EZ14"")"),60000)</f>
        <v>60000</v>
      </c>
      <c r="M353" s="837">
        <f ca="1">IFERROR(__xludf.DUMMYFUNCTION("IMPORTRANGE(""https://docs.google.com/spreadsheets/d/1MeEWN-I1oV_STSDYn1IFDPWt_1FKiwhDph83XaGc0o0/edit?usp=sharing"",""งบพรบ!FC14"")"),59600)</f>
        <v>59600</v>
      </c>
      <c r="N353" s="837">
        <f ca="1">IFERROR(__xludf.DUMMYFUNCTION("IMPORTRANGE(""https://docs.google.com/spreadsheets/d/1MeEWN-I1oV_STSDYn1IFDPWt_1FKiwhDph83XaGc0o0/edit?usp=sharing"",""งบพรบ!FE14"")"),59600)</f>
        <v>59600</v>
      </c>
      <c r="O353" s="837">
        <f t="shared" ca="1" si="156"/>
        <v>99.333333333333329</v>
      </c>
      <c r="P353" s="837">
        <f t="shared" ca="1" si="157"/>
        <v>100</v>
      </c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</row>
    <row r="354" spans="1:26" ht="19.5">
      <c r="A354" s="1011"/>
      <c r="B354" s="1018"/>
      <c r="C354" s="1012"/>
      <c r="D354" s="1145" t="s">
        <v>158</v>
      </c>
      <c r="E354" s="1012"/>
      <c r="F354" s="1012"/>
      <c r="G354" s="1014"/>
      <c r="H354" s="1146"/>
      <c r="I354" s="1015"/>
      <c r="J354" s="1015"/>
      <c r="K354" s="1016"/>
      <c r="L354" s="1016"/>
      <c r="M354" s="1016"/>
      <c r="N354" s="1016"/>
      <c r="O354" s="1016"/>
      <c r="P354" s="1016"/>
    </row>
    <row r="355" spans="1:26" ht="19.5">
      <c r="A355" s="1147"/>
      <c r="B355" s="1148"/>
      <c r="C355" s="1149"/>
      <c r="D355" s="1150" t="s">
        <v>159</v>
      </c>
      <c r="E355" s="1151"/>
      <c r="F355" s="1151"/>
      <c r="G355" s="1152"/>
      <c r="H355" s="431" t="s">
        <v>35</v>
      </c>
      <c r="I355" s="1153">
        <f ca="1">IFERROR(__xludf.DUMMYFUNCTION("IMPORTRANGE(""https://docs.google.com/spreadsheets/d/1QqKyyYR6Q21VydFLVH3TRQUabQu_ym0Zz7PgGX0-kHA/edit?usp=sharing"",""แผน!EP14"")"),560)</f>
        <v>560</v>
      </c>
      <c r="J355" s="1153">
        <f ca="1">J362</f>
        <v>3</v>
      </c>
      <c r="K355" s="1154">
        <f ca="1">IF(I355&gt;0,J355*100/I355,0)</f>
        <v>0.5357142857142857</v>
      </c>
      <c r="L355" s="1155"/>
      <c r="M355" s="1155"/>
      <c r="N355" s="1155"/>
      <c r="O355" s="1155"/>
      <c r="P355" s="1155"/>
    </row>
    <row r="356" spans="1:26" ht="19.5">
      <c r="A356" s="1147"/>
      <c r="B356" s="1148"/>
      <c r="C356" s="1149"/>
      <c r="D356" s="1156" t="s">
        <v>160</v>
      </c>
      <c r="E356" s="1151"/>
      <c r="F356" s="1151"/>
      <c r="G356" s="1152"/>
      <c r="H356" s="1157"/>
      <c r="I356" s="1158"/>
      <c r="J356" s="1158"/>
      <c r="K356" s="1155"/>
      <c r="L356" s="1155"/>
      <c r="M356" s="1155"/>
      <c r="N356" s="1155"/>
      <c r="O356" s="1155"/>
      <c r="P356" s="1155"/>
    </row>
    <row r="357" spans="1:26" ht="19.5">
      <c r="A357" s="949"/>
      <c r="B357" s="950"/>
      <c r="C357" s="946" t="s">
        <v>16</v>
      </c>
      <c r="D357" s="951" t="s">
        <v>38</v>
      </c>
      <c r="E357" s="952"/>
      <c r="F357" s="952"/>
      <c r="G357" s="953"/>
      <c r="H357" s="954"/>
      <c r="I357" s="830"/>
      <c r="J357" s="830"/>
      <c r="K357" s="831"/>
      <c r="L357" s="945"/>
      <c r="M357" s="945"/>
      <c r="N357" s="945"/>
      <c r="O357" s="945"/>
      <c r="P357" s="945"/>
    </row>
    <row r="358" spans="1:26" ht="18.75">
      <c r="A358" s="949"/>
      <c r="B358" s="957"/>
      <c r="C358" s="950"/>
      <c r="D358" s="957"/>
      <c r="E358" s="955" t="s">
        <v>161</v>
      </c>
      <c r="F358" s="957"/>
      <c r="G358" s="958"/>
      <c r="H358" s="777" t="s">
        <v>35</v>
      </c>
      <c r="I358" s="830">
        <v>0</v>
      </c>
      <c r="J358" s="830">
        <f ca="1">IFERROR(__xludf.DUMMYFUNCTION("IMPORTRANGE(""https://docs.google.com/spreadsheets/d/1XWAQStnk-4SwqDmLtmXYiTMKHgktTP8We1SCoS47DrQ/edit?usp=sharing"",""จัดที่ดิน!W14"")"),130)</f>
        <v>130</v>
      </c>
      <c r="K358" s="831">
        <f t="shared" ref="K358:K365" si="161">IF(I358&gt;0,J358*100/I358,0)</f>
        <v>0</v>
      </c>
      <c r="L358" s="945"/>
      <c r="M358" s="945"/>
      <c r="N358" s="945"/>
      <c r="O358" s="945"/>
      <c r="P358" s="945"/>
    </row>
    <row r="359" spans="1:26" ht="18.75">
      <c r="A359" s="949"/>
      <c r="B359" s="957"/>
      <c r="C359" s="950"/>
      <c r="D359" s="957"/>
      <c r="E359" s="957"/>
      <c r="F359" s="957"/>
      <c r="G359" s="958"/>
      <c r="H359" s="777" t="s">
        <v>46</v>
      </c>
      <c r="I359" s="830">
        <f ca="1">IFERROR(__xludf.DUMMYFUNCTION("IMPORTRANGE(""https://docs.google.com/spreadsheets/d/1QqKyyYR6Q21VydFLVH3TRQUabQu_ym0Zz7PgGX0-kHA/edit?usp=sharing"",""แผน!EO14"")"),5600)</f>
        <v>5600</v>
      </c>
      <c r="J359" s="830">
        <f ca="1">IFERROR(__xludf.DUMMYFUNCTION("IMPORTRANGE(""https://docs.google.com/spreadsheets/d/1XWAQStnk-4SwqDmLtmXYiTMKHgktTP8We1SCoS47DrQ/edit?usp=sharing"",""จัดที่ดิน!X14"")"),1229.48)</f>
        <v>1229.48</v>
      </c>
      <c r="K359" s="831">
        <f t="shared" ca="1" si="161"/>
        <v>21.954999999999998</v>
      </c>
      <c r="L359" s="945"/>
      <c r="M359" s="945"/>
      <c r="N359" s="945"/>
      <c r="O359" s="945"/>
      <c r="P359" s="945"/>
    </row>
    <row r="360" spans="1:26" ht="18.75">
      <c r="A360" s="949"/>
      <c r="B360" s="957"/>
      <c r="C360" s="950"/>
      <c r="D360" s="957"/>
      <c r="E360" s="955" t="s">
        <v>162</v>
      </c>
      <c r="F360" s="957"/>
      <c r="G360" s="958"/>
      <c r="H360" s="730" t="s">
        <v>35</v>
      </c>
      <c r="I360" s="830">
        <f ca="1">IFERROR(__xludf.DUMMYFUNCTION("IMPORTRANGE(""https://docs.google.com/spreadsheets/d/1QqKyyYR6Q21VydFLVH3TRQUabQu_ym0Zz7PgGX0-kHA/edit?usp=sharing"",""แผน!EP14"")"),560)</f>
        <v>560</v>
      </c>
      <c r="J360" s="830">
        <f ca="1">IFERROR(__xludf.DUMMYFUNCTION("IMPORTRANGE(""https://docs.google.com/spreadsheets/d/1XWAQStnk-4SwqDmLtmXYiTMKHgktTP8We1SCoS47DrQ/edit?usp=sharing"",""จัดที่ดิน!Y14"")"),3)</f>
        <v>3</v>
      </c>
      <c r="K360" s="831">
        <f t="shared" ca="1" si="161"/>
        <v>0.5357142857142857</v>
      </c>
      <c r="L360" s="945"/>
      <c r="M360" s="945"/>
      <c r="N360" s="945"/>
      <c r="O360" s="945"/>
      <c r="P360" s="945"/>
    </row>
    <row r="361" spans="1:26" ht="18.75">
      <c r="A361" s="949"/>
      <c r="B361" s="957"/>
      <c r="C361" s="950"/>
      <c r="D361" s="957"/>
      <c r="E361" s="957"/>
      <c r="F361" s="957"/>
      <c r="G361" s="958"/>
      <c r="H361" s="730" t="s">
        <v>46</v>
      </c>
      <c r="I361" s="830">
        <v>0</v>
      </c>
      <c r="J361" s="830">
        <f ca="1">IFERROR(__xludf.DUMMYFUNCTION("IMPORTRANGE(""https://docs.google.com/spreadsheets/d/1XWAQStnk-4SwqDmLtmXYiTMKHgktTP8We1SCoS47DrQ/edit?usp=sharing"",""จัดที่ดิน!Z14"")"),24.95)</f>
        <v>24.95</v>
      </c>
      <c r="K361" s="831">
        <f t="shared" si="161"/>
        <v>0</v>
      </c>
      <c r="L361" s="945"/>
      <c r="M361" s="945"/>
      <c r="N361" s="945"/>
      <c r="O361" s="945"/>
      <c r="P361" s="945"/>
    </row>
    <row r="362" spans="1:26" ht="18.75">
      <c r="A362" s="949"/>
      <c r="B362" s="957"/>
      <c r="C362" s="950"/>
      <c r="D362" s="957"/>
      <c r="E362" s="955" t="s">
        <v>163</v>
      </c>
      <c r="F362" s="957"/>
      <c r="G362" s="958"/>
      <c r="H362" s="730" t="s">
        <v>35</v>
      </c>
      <c r="I362" s="830">
        <f ca="1">IFERROR(__xludf.DUMMYFUNCTION("IMPORTRANGE(""https://docs.google.com/spreadsheets/d/1QqKyyYR6Q21VydFLVH3TRQUabQu_ym0Zz7PgGX0-kHA/edit?usp=sharing"",""แผน!EP14"")"),560)</f>
        <v>560</v>
      </c>
      <c r="J362" s="830">
        <f ca="1">IFERROR(__xludf.DUMMYFUNCTION("IMPORTRANGE(""https://docs.google.com/spreadsheets/d/1XWAQStnk-4SwqDmLtmXYiTMKHgktTP8We1SCoS47DrQ/edit?usp=sharing"",""จัดที่ดิน!AA14"")"),3)</f>
        <v>3</v>
      </c>
      <c r="K362" s="831">
        <f t="shared" ca="1" si="161"/>
        <v>0.5357142857142857</v>
      </c>
      <c r="L362" s="945"/>
      <c r="M362" s="945"/>
      <c r="N362" s="945"/>
      <c r="O362" s="945"/>
      <c r="P362" s="945"/>
    </row>
    <row r="363" spans="1:26" ht="18.75">
      <c r="A363" s="1159" t="s">
        <v>164</v>
      </c>
      <c r="B363" s="957"/>
      <c r="C363" s="950"/>
      <c r="D363" s="957"/>
      <c r="E363" s="956"/>
      <c r="F363" s="957"/>
      <c r="G363" s="958"/>
      <c r="H363" s="730" t="s">
        <v>46</v>
      </c>
      <c r="I363" s="830">
        <v>0</v>
      </c>
      <c r="J363" s="830">
        <f ca="1">IFERROR(__xludf.DUMMYFUNCTION("IMPORTRANGE(""https://docs.google.com/spreadsheets/d/1XWAQStnk-4SwqDmLtmXYiTMKHgktTP8We1SCoS47DrQ/edit?usp=sharing"",""จัดที่ดิน!AB14"")"),24.95)</f>
        <v>24.95</v>
      </c>
      <c r="K363" s="831">
        <f t="shared" si="161"/>
        <v>0</v>
      </c>
      <c r="L363" s="945"/>
      <c r="M363" s="945"/>
      <c r="N363" s="945"/>
      <c r="O363" s="945"/>
      <c r="P363" s="945"/>
    </row>
    <row r="364" spans="1:26" ht="19.5">
      <c r="A364" s="1160"/>
      <c r="B364" s="1161"/>
      <c r="C364" s="1162"/>
      <c r="D364" s="1163" t="s">
        <v>165</v>
      </c>
      <c r="E364" s="1164"/>
      <c r="F364" s="1164"/>
      <c r="G364" s="1165"/>
      <c r="H364" s="446" t="s">
        <v>35</v>
      </c>
      <c r="I364" s="1166">
        <f t="shared" ref="I364:J364" ca="1" si="162">I365+I374</f>
        <v>1110</v>
      </c>
      <c r="J364" s="1166">
        <f t="shared" ca="1" si="162"/>
        <v>39</v>
      </c>
      <c r="K364" s="1167">
        <f t="shared" ca="1" si="161"/>
        <v>3.5135135135135136</v>
      </c>
      <c r="L364" s="1168"/>
      <c r="M364" s="1168"/>
      <c r="N364" s="1168"/>
      <c r="O364" s="1168"/>
      <c r="P364" s="1168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69"/>
      <c r="B365" s="1170"/>
      <c r="C365" s="1171"/>
      <c r="D365" s="1171" t="s">
        <v>166</v>
      </c>
      <c r="E365" s="1172"/>
      <c r="F365" s="1172"/>
      <c r="G365" s="1173"/>
      <c r="H365" s="457" t="s">
        <v>35</v>
      </c>
      <c r="I365" s="1174">
        <f ca="1">IFERROR(__xludf.DUMMYFUNCTION("IMPORTRANGE(""https://docs.google.com/spreadsheets/d/1QqKyyYR6Q21VydFLVH3TRQUabQu_ym0Zz7PgGX0-kHA/edit?usp=sharing"",""แผน!EJ14"")"),160)</f>
        <v>160</v>
      </c>
      <c r="J365" s="1174">
        <f ca="1">J372</f>
        <v>3</v>
      </c>
      <c r="K365" s="1175">
        <f t="shared" ca="1" si="161"/>
        <v>1.875</v>
      </c>
      <c r="L365" s="1176"/>
      <c r="M365" s="1176"/>
      <c r="N365" s="1176"/>
      <c r="O365" s="1176"/>
      <c r="P365" s="1176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69"/>
      <c r="B366" s="1170"/>
      <c r="C366" s="1171"/>
      <c r="D366" s="1177" t="s">
        <v>167</v>
      </c>
      <c r="E366" s="1172"/>
      <c r="F366" s="1172"/>
      <c r="G366" s="1173"/>
      <c r="H366" s="1178"/>
      <c r="I366" s="1179"/>
      <c r="J366" s="1179"/>
      <c r="K366" s="1176"/>
      <c r="L366" s="1176"/>
      <c r="M366" s="1176"/>
      <c r="N366" s="1176"/>
      <c r="O366" s="1176"/>
      <c r="P366" s="1176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49"/>
      <c r="B367" s="950"/>
      <c r="C367" s="946" t="s">
        <v>16</v>
      </c>
      <c r="D367" s="951" t="s">
        <v>38</v>
      </c>
      <c r="E367" s="952"/>
      <c r="F367" s="952"/>
      <c r="G367" s="953"/>
      <c r="H367" s="954"/>
      <c r="I367" s="830"/>
      <c r="J367" s="830"/>
      <c r="K367" s="831"/>
      <c r="L367" s="945"/>
      <c r="M367" s="945"/>
      <c r="N367" s="945"/>
      <c r="O367" s="945"/>
      <c r="P367" s="945"/>
    </row>
    <row r="368" spans="1:26" ht="18.75">
      <c r="A368" s="949"/>
      <c r="B368" s="957"/>
      <c r="C368" s="950"/>
      <c r="D368" s="957"/>
      <c r="E368" s="955" t="s">
        <v>161</v>
      </c>
      <c r="F368" s="957"/>
      <c r="G368" s="958"/>
      <c r="H368" s="777" t="s">
        <v>35</v>
      </c>
      <c r="I368" s="830">
        <v>0</v>
      </c>
      <c r="J368" s="830">
        <f ca="1">IFERROR(__xludf.DUMMYFUNCTION("IMPORTRANGE(""https://docs.google.com/spreadsheets/d/1XWAQStnk-4SwqDmLtmXYiTMKHgktTP8We1SCoS47DrQ/edit?usp=sharing"",""จัดที่ดิน!E14"")"),47)</f>
        <v>47</v>
      </c>
      <c r="K368" s="831">
        <f t="shared" ref="K368:K374" si="163">IF(I368&gt;0,J368*100/I368,0)</f>
        <v>0</v>
      </c>
      <c r="L368" s="945"/>
      <c r="M368" s="945"/>
      <c r="N368" s="945"/>
      <c r="O368" s="945"/>
      <c r="P368" s="945"/>
    </row>
    <row r="369" spans="1:26" ht="18.75">
      <c r="A369" s="949"/>
      <c r="B369" s="957"/>
      <c r="C369" s="950"/>
      <c r="D369" s="957"/>
      <c r="E369" s="957"/>
      <c r="F369" s="957"/>
      <c r="G369" s="958"/>
      <c r="H369" s="777" t="s">
        <v>46</v>
      </c>
      <c r="I369" s="830">
        <f ca="1">IFERROR(__xludf.DUMMYFUNCTION("IMPORTRANGE(""https://docs.google.com/spreadsheets/d/1QqKyyYR6Q21VydFLVH3TRQUabQu_ym0Zz7PgGX0-kHA/edit?usp=sharing"",""แผน!EI14"")"),1600)</f>
        <v>1600</v>
      </c>
      <c r="J369" s="830">
        <f ca="1">IFERROR(__xludf.DUMMYFUNCTION("IMPORTRANGE(""https://docs.google.com/spreadsheets/d/1XWAQStnk-4SwqDmLtmXYiTMKHgktTP8We1SCoS47DrQ/edit?usp=sharing"",""จัดที่ดิน!F14"")"),468.68)</f>
        <v>468.68</v>
      </c>
      <c r="K369" s="831">
        <f t="shared" ca="1" si="163"/>
        <v>29.2925</v>
      </c>
      <c r="L369" s="945"/>
      <c r="M369" s="945"/>
      <c r="N369" s="945"/>
      <c r="O369" s="945"/>
      <c r="P369" s="945"/>
    </row>
    <row r="370" spans="1:26" ht="18.75">
      <c r="A370" s="949"/>
      <c r="B370" s="957"/>
      <c r="C370" s="950"/>
      <c r="D370" s="957"/>
      <c r="E370" s="955" t="s">
        <v>162</v>
      </c>
      <c r="F370" s="957"/>
      <c r="G370" s="958"/>
      <c r="H370" s="730" t="s">
        <v>35</v>
      </c>
      <c r="I370" s="830">
        <f ca="1">IFERROR(__xludf.DUMMYFUNCTION("IMPORTRANGE(""https://docs.google.com/spreadsheets/d/1QqKyyYR6Q21VydFLVH3TRQUabQu_ym0Zz7PgGX0-kHA/edit?usp=sharing"",""แผน!EJ14"")"),160)</f>
        <v>160</v>
      </c>
      <c r="J370" s="830">
        <f ca="1">IFERROR(__xludf.DUMMYFUNCTION("IMPORTRANGE(""https://docs.google.com/spreadsheets/d/1XWAQStnk-4SwqDmLtmXYiTMKHgktTP8We1SCoS47DrQ/edit?usp=sharing"",""จัดที่ดิน!G14"")"),3)</f>
        <v>3</v>
      </c>
      <c r="K370" s="831">
        <f t="shared" ca="1" si="163"/>
        <v>1.875</v>
      </c>
      <c r="L370" s="945"/>
      <c r="M370" s="945"/>
      <c r="N370" s="945"/>
      <c r="O370" s="945"/>
      <c r="P370" s="945"/>
    </row>
    <row r="371" spans="1:26" ht="18.75">
      <c r="A371" s="949"/>
      <c r="B371" s="957"/>
      <c r="C371" s="950"/>
      <c r="D371" s="957"/>
      <c r="E371" s="957"/>
      <c r="F371" s="957"/>
      <c r="G371" s="958"/>
      <c r="H371" s="730" t="s">
        <v>46</v>
      </c>
      <c r="I371" s="830">
        <v>0</v>
      </c>
      <c r="J371" s="830">
        <f ca="1">IFERROR(__xludf.DUMMYFUNCTION("IMPORTRANGE(""https://docs.google.com/spreadsheets/d/1XWAQStnk-4SwqDmLtmXYiTMKHgktTP8We1SCoS47DrQ/edit?usp=sharing"",""จัดที่ดิน!H14"")"),24.95)</f>
        <v>24.95</v>
      </c>
      <c r="K371" s="831">
        <f t="shared" si="163"/>
        <v>0</v>
      </c>
      <c r="L371" s="945"/>
      <c r="M371" s="945"/>
      <c r="N371" s="945"/>
      <c r="O371" s="945"/>
      <c r="P371" s="945"/>
    </row>
    <row r="372" spans="1:26" ht="18.75">
      <c r="A372" s="949"/>
      <c r="B372" s="957"/>
      <c r="C372" s="950"/>
      <c r="D372" s="957"/>
      <c r="E372" s="955" t="s">
        <v>163</v>
      </c>
      <c r="F372" s="957"/>
      <c r="G372" s="958"/>
      <c r="H372" s="730" t="s">
        <v>35</v>
      </c>
      <c r="I372" s="830">
        <f ca="1">IFERROR(__xludf.DUMMYFUNCTION("IMPORTRANGE(""https://docs.google.com/spreadsheets/d/1QqKyyYR6Q21VydFLVH3TRQUabQu_ym0Zz7PgGX0-kHA/edit?usp=sharing"",""แผน!EJ14"")"),160)</f>
        <v>160</v>
      </c>
      <c r="J372" s="830">
        <f ca="1">IFERROR(__xludf.DUMMYFUNCTION("IMPORTRANGE(""https://docs.google.com/spreadsheets/d/1XWAQStnk-4SwqDmLtmXYiTMKHgktTP8We1SCoS47DrQ/edit?usp=sharing"",""จัดที่ดิน!I14"")"),3)</f>
        <v>3</v>
      </c>
      <c r="K372" s="831">
        <f t="shared" ca="1" si="163"/>
        <v>1.875</v>
      </c>
      <c r="L372" s="945"/>
      <c r="M372" s="945"/>
      <c r="N372" s="945"/>
      <c r="O372" s="945"/>
      <c r="P372" s="945"/>
    </row>
    <row r="373" spans="1:26" ht="18.75">
      <c r="A373" s="1159" t="s">
        <v>164</v>
      </c>
      <c r="B373" s="957"/>
      <c r="C373" s="950"/>
      <c r="D373" s="957"/>
      <c r="E373" s="956"/>
      <c r="F373" s="957"/>
      <c r="G373" s="958"/>
      <c r="H373" s="730" t="s">
        <v>46</v>
      </c>
      <c r="I373" s="830">
        <v>0</v>
      </c>
      <c r="J373" s="830">
        <f ca="1">IFERROR(__xludf.DUMMYFUNCTION("IMPORTRANGE(""https://docs.google.com/spreadsheets/d/1XWAQStnk-4SwqDmLtmXYiTMKHgktTP8We1SCoS47DrQ/edit?usp=sharing"",""จัดที่ดิน!J14"")"),24.95)</f>
        <v>24.95</v>
      </c>
      <c r="K373" s="831">
        <f t="shared" si="163"/>
        <v>0</v>
      </c>
      <c r="L373" s="945"/>
      <c r="M373" s="945"/>
      <c r="N373" s="945"/>
      <c r="O373" s="945"/>
      <c r="P373" s="945"/>
    </row>
    <row r="374" spans="1:26" ht="19.5">
      <c r="A374" s="1169"/>
      <c r="B374" s="1170"/>
      <c r="C374" s="1171"/>
      <c r="D374" s="1171" t="s">
        <v>168</v>
      </c>
      <c r="E374" s="1172"/>
      <c r="F374" s="1172"/>
      <c r="G374" s="1173"/>
      <c r="H374" s="457" t="s">
        <v>35</v>
      </c>
      <c r="I374" s="1180">
        <f ca="1">IFERROR(__xludf.DUMMYFUNCTION("IMPORTRANGE(""https://docs.google.com/spreadsheets/d/1QqKyyYR6Q21VydFLVH3TRQUabQu_ym0Zz7PgGX0-kHA/edit?usp=sharing"",""แผน!EU14"")"),950)</f>
        <v>950</v>
      </c>
      <c r="J374" s="1174">
        <f ca="1">J381</f>
        <v>36</v>
      </c>
      <c r="K374" s="1175">
        <f t="shared" ca="1" si="163"/>
        <v>3.7894736842105261</v>
      </c>
      <c r="L374" s="1176"/>
      <c r="M374" s="1176"/>
      <c r="N374" s="1176"/>
      <c r="O374" s="1176"/>
      <c r="P374" s="1176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69"/>
      <c r="B375" s="1170"/>
      <c r="C375" s="1171"/>
      <c r="D375" s="1177" t="s">
        <v>169</v>
      </c>
      <c r="E375" s="1172"/>
      <c r="F375" s="1172"/>
      <c r="G375" s="1173"/>
      <c r="H375" s="1178"/>
      <c r="I375" s="1179"/>
      <c r="J375" s="1179"/>
      <c r="K375" s="1176"/>
      <c r="L375" s="1176"/>
      <c r="M375" s="1176"/>
      <c r="N375" s="1176"/>
      <c r="O375" s="1176"/>
      <c r="P375" s="1176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49"/>
      <c r="B376" s="950"/>
      <c r="C376" s="946" t="s">
        <v>16</v>
      </c>
      <c r="D376" s="951" t="s">
        <v>38</v>
      </c>
      <c r="E376" s="952"/>
      <c r="F376" s="952"/>
      <c r="G376" s="953"/>
      <c r="H376" s="954"/>
      <c r="I376" s="830"/>
      <c r="J376" s="830"/>
      <c r="K376" s="831"/>
      <c r="L376" s="945"/>
      <c r="M376" s="945"/>
      <c r="N376" s="945"/>
      <c r="O376" s="945"/>
      <c r="P376" s="945"/>
    </row>
    <row r="377" spans="1:26" ht="18.75">
      <c r="A377" s="949"/>
      <c r="B377" s="957"/>
      <c r="C377" s="950"/>
      <c r="D377" s="957"/>
      <c r="E377" s="955" t="s">
        <v>161</v>
      </c>
      <c r="F377" s="957"/>
      <c r="G377" s="958"/>
      <c r="H377" s="777" t="s">
        <v>35</v>
      </c>
      <c r="I377" s="830">
        <v>0</v>
      </c>
      <c r="J377" s="830">
        <f ca="1">IFERROR(__xludf.DUMMYFUNCTION("IMPORTRANGE(""https://docs.google.com/spreadsheets/d/1XWAQStnk-4SwqDmLtmXYiTMKHgktTP8We1SCoS47DrQ/edit?usp=sharing"",""จัดที่ดิน!AH14"")"),83)</f>
        <v>83</v>
      </c>
      <c r="K377" s="831">
        <f t="shared" ref="K377:K382" si="164">IF(I377&gt;0,J377*100/I377,0)</f>
        <v>0</v>
      </c>
      <c r="L377" s="945"/>
      <c r="M377" s="945"/>
      <c r="N377" s="945"/>
      <c r="O377" s="945"/>
      <c r="P377" s="945"/>
    </row>
    <row r="378" spans="1:26" ht="18.75">
      <c r="A378" s="949"/>
      <c r="B378" s="957"/>
      <c r="C378" s="950"/>
      <c r="D378" s="957"/>
      <c r="E378" s="957"/>
      <c r="F378" s="957"/>
      <c r="G378" s="958"/>
      <c r="H378" s="777" t="s">
        <v>46</v>
      </c>
      <c r="I378" s="830">
        <f ca="1">IFERROR(__xludf.DUMMYFUNCTION("IMPORTRANGE(""https://docs.google.com/spreadsheets/d/1QqKyyYR6Q21VydFLVH3TRQUabQu_ym0Zz7PgGX0-kHA/edit?usp=sharing"",""แผน!ET14"")"),4000)</f>
        <v>4000</v>
      </c>
      <c r="J378" s="830">
        <f ca="1">IFERROR(__xludf.DUMMYFUNCTION("IMPORTRANGE(""https://docs.google.com/spreadsheets/d/1XWAQStnk-4SwqDmLtmXYiTMKHgktTP8We1SCoS47DrQ/edit?usp=sharing"",""จัดที่ดิน!AI14"")"),760.8)</f>
        <v>760.8</v>
      </c>
      <c r="K378" s="831">
        <f t="shared" ca="1" si="164"/>
        <v>19.02</v>
      </c>
      <c r="L378" s="945"/>
      <c r="M378" s="945"/>
      <c r="N378" s="945"/>
      <c r="O378" s="945"/>
      <c r="P378" s="945"/>
    </row>
    <row r="379" spans="1:26" ht="18.75">
      <c r="A379" s="949"/>
      <c r="B379" s="957"/>
      <c r="C379" s="950"/>
      <c r="D379" s="957"/>
      <c r="E379" s="955" t="s">
        <v>162</v>
      </c>
      <c r="F379" s="957"/>
      <c r="G379" s="958"/>
      <c r="H379" s="730" t="s">
        <v>35</v>
      </c>
      <c r="I379" s="830">
        <f ca="1">IFERROR(__xludf.DUMMYFUNCTION("IMPORTRANGE(""https://docs.google.com/spreadsheets/d/1QqKyyYR6Q21VydFLVH3TRQUabQu_ym0Zz7PgGX0-kHA/edit?usp=sharing"",""แผน!EU14"")"),950)</f>
        <v>950</v>
      </c>
      <c r="J379" s="830">
        <f ca="1">IFERROR(__xludf.DUMMYFUNCTION("IMPORTRANGE(""https://docs.google.com/spreadsheets/d/1XWAQStnk-4SwqDmLtmXYiTMKHgktTP8We1SCoS47DrQ/edit?usp=sharing"",""จัดที่ดิน!AJ14"")"),36)</f>
        <v>36</v>
      </c>
      <c r="K379" s="831">
        <f t="shared" ca="1" si="164"/>
        <v>3.7894736842105261</v>
      </c>
      <c r="L379" s="945"/>
      <c r="M379" s="945"/>
      <c r="N379" s="945"/>
      <c r="O379" s="945"/>
      <c r="P379" s="945"/>
    </row>
    <row r="380" spans="1:26" ht="18.75">
      <c r="A380" s="949"/>
      <c r="B380" s="957"/>
      <c r="C380" s="950"/>
      <c r="D380" s="957"/>
      <c r="E380" s="957"/>
      <c r="F380" s="957"/>
      <c r="G380" s="958"/>
      <c r="H380" s="730" t="s">
        <v>46</v>
      </c>
      <c r="I380" s="830">
        <v>0</v>
      </c>
      <c r="J380" s="830">
        <f ca="1">IFERROR(__xludf.DUMMYFUNCTION("IMPORTRANGE(""https://docs.google.com/spreadsheets/d/1XWAQStnk-4SwqDmLtmXYiTMKHgktTP8We1SCoS47DrQ/edit?usp=sharing"",""จัดที่ดิน!AK14"")"),520.49)</f>
        <v>520.49</v>
      </c>
      <c r="K380" s="831">
        <f t="shared" si="164"/>
        <v>0</v>
      </c>
      <c r="L380" s="945"/>
      <c r="M380" s="945"/>
      <c r="N380" s="945"/>
      <c r="O380" s="945"/>
      <c r="P380" s="945"/>
    </row>
    <row r="381" spans="1:26" ht="18.75">
      <c r="A381" s="949"/>
      <c r="B381" s="957"/>
      <c r="C381" s="950"/>
      <c r="D381" s="957"/>
      <c r="E381" s="955" t="s">
        <v>163</v>
      </c>
      <c r="F381" s="957"/>
      <c r="G381" s="958"/>
      <c r="H381" s="730" t="s">
        <v>35</v>
      </c>
      <c r="I381" s="830">
        <f ca="1">IFERROR(__xludf.DUMMYFUNCTION("IMPORTRANGE(""https://docs.google.com/spreadsheets/d/1QqKyyYR6Q21VydFLVH3TRQUabQu_ym0Zz7PgGX0-kHA/edit?usp=sharing"",""แผน!EU14"")"),950)</f>
        <v>950</v>
      </c>
      <c r="J381" s="830">
        <f ca="1">IFERROR(__xludf.DUMMYFUNCTION("IMPORTRANGE(""https://docs.google.com/spreadsheets/d/1XWAQStnk-4SwqDmLtmXYiTMKHgktTP8We1SCoS47DrQ/edit?usp=sharing"",""จัดที่ดิน!AL14"")"),36)</f>
        <v>36</v>
      </c>
      <c r="K381" s="831">
        <f t="shared" ca="1" si="164"/>
        <v>3.7894736842105261</v>
      </c>
      <c r="L381" s="945"/>
      <c r="M381" s="945"/>
      <c r="N381" s="945"/>
      <c r="O381" s="945"/>
      <c r="P381" s="945"/>
    </row>
    <row r="382" spans="1:26" ht="18.75">
      <c r="A382" s="1159" t="s">
        <v>164</v>
      </c>
      <c r="B382" s="957"/>
      <c r="C382" s="950"/>
      <c r="D382" s="957"/>
      <c r="E382" s="956"/>
      <c r="F382" s="957"/>
      <c r="G382" s="958"/>
      <c r="H382" s="730" t="s">
        <v>46</v>
      </c>
      <c r="I382" s="830">
        <v>0</v>
      </c>
      <c r="J382" s="830">
        <f ca="1">IFERROR(__xludf.DUMMYFUNCTION("IMPORTRANGE(""https://docs.google.com/spreadsheets/d/1XWAQStnk-4SwqDmLtmXYiTMKHgktTP8We1SCoS47DrQ/edit?usp=sharing"",""จัดที่ดิน!AM14"")"),520.49)</f>
        <v>520.49</v>
      </c>
      <c r="K382" s="831">
        <f t="shared" si="164"/>
        <v>0</v>
      </c>
      <c r="L382" s="945"/>
      <c r="M382" s="945"/>
      <c r="N382" s="945"/>
      <c r="O382" s="945"/>
      <c r="P382" s="945"/>
    </row>
    <row r="383" spans="1:26" ht="19.5">
      <c r="A383" s="1011"/>
      <c r="B383" s="1018"/>
      <c r="C383" s="1012"/>
      <c r="D383" s="1145" t="s">
        <v>170</v>
      </c>
      <c r="E383" s="1012"/>
      <c r="F383" s="1012"/>
      <c r="G383" s="1014"/>
      <c r="H383" s="1146"/>
      <c r="I383" s="1015"/>
      <c r="J383" s="1015"/>
      <c r="K383" s="1016"/>
      <c r="L383" s="1016"/>
      <c r="M383" s="1016"/>
      <c r="N383" s="1016"/>
      <c r="O383" s="1016"/>
      <c r="P383" s="1016"/>
    </row>
    <row r="384" spans="1:26" ht="19.5">
      <c r="A384" s="949"/>
      <c r="B384" s="950"/>
      <c r="C384" s="827" t="s">
        <v>16</v>
      </c>
      <c r="D384" s="951" t="s">
        <v>38</v>
      </c>
      <c r="E384" s="952"/>
      <c r="F384" s="952"/>
      <c r="G384" s="953"/>
      <c r="H384" s="954"/>
      <c r="I384" s="830"/>
      <c r="J384" s="830"/>
      <c r="K384" s="831"/>
      <c r="L384" s="945"/>
      <c r="M384" s="945"/>
      <c r="N384" s="945"/>
      <c r="O384" s="945"/>
      <c r="P384" s="945"/>
    </row>
    <row r="385" spans="1:26" ht="18.75">
      <c r="A385" s="1080"/>
      <c r="B385" s="1083"/>
      <c r="C385" s="1081"/>
      <c r="D385" s="1083"/>
      <c r="E385" s="1181" t="s">
        <v>163</v>
      </c>
      <c r="F385" s="1083"/>
      <c r="G385" s="1084"/>
      <c r="H385" s="468" t="s">
        <v>35</v>
      </c>
      <c r="I385" s="1085">
        <f ca="1">IFERROR(__xludf.DUMMYFUNCTION("IMPORTRANGE(""https://docs.google.com/spreadsheets/d/1QqKyyYR6Q21VydFLVH3TRQUabQu_ym0Zz7PgGX0-kHA/edit?usp=sharing"",""แผน!EW14"")"),185)</f>
        <v>185</v>
      </c>
      <c r="J385" s="1085">
        <f ca="1">IFERROR(__xludf.DUMMYFUNCTION("IMPORTRANGE(""https://docs.google.com/spreadsheets/d/1XWAQStnk-4SwqDmLtmXYiTMKHgktTP8We1SCoS47DrQ/edit?usp=sharing"",""จัดที่ดิน!AP14"")"),0)</f>
        <v>0</v>
      </c>
      <c r="K385" s="1182">
        <f ca="1">IF(I385&gt;0,J385*100/I385,0)</f>
        <v>0</v>
      </c>
      <c r="L385" s="1086"/>
      <c r="M385" s="1086"/>
      <c r="N385" s="1086"/>
      <c r="O385" s="1086"/>
      <c r="P385" s="1086"/>
    </row>
    <row r="386" spans="1:26" ht="19.5" hidden="1">
      <c r="A386" s="1183" t="s">
        <v>171</v>
      </c>
      <c r="B386" s="1184"/>
      <c r="C386" s="1184"/>
      <c r="D386" s="1184"/>
      <c r="E386" s="1185"/>
      <c r="F386" s="1185"/>
      <c r="G386" s="1186"/>
      <c r="H386" s="1187"/>
      <c r="I386" s="1188"/>
      <c r="J386" s="1188"/>
      <c r="K386" s="1189"/>
      <c r="L386" s="1189"/>
      <c r="M386" s="1189"/>
      <c r="N386" s="1189"/>
      <c r="O386" s="1189"/>
      <c r="P386" s="1189"/>
    </row>
    <row r="387" spans="1:26" ht="19.5" hidden="1">
      <c r="A387" s="1190" t="s">
        <v>172</v>
      </c>
      <c r="B387" s="1191"/>
      <c r="C387" s="1191"/>
      <c r="D387" s="1192"/>
      <c r="E387" s="1191"/>
      <c r="F387" s="1191"/>
      <c r="G387" s="1191"/>
      <c r="H387" s="1193"/>
      <c r="I387" s="1194"/>
      <c r="J387" s="1194"/>
      <c r="K387" s="1195"/>
      <c r="L387" s="1195"/>
      <c r="M387" s="1195"/>
      <c r="N387" s="1195"/>
      <c r="O387" s="1195"/>
      <c r="P387" s="1195"/>
    </row>
    <row r="388" spans="1:26" ht="19.5" hidden="1">
      <c r="A388" s="1196"/>
      <c r="B388" s="1197" t="s">
        <v>173</v>
      </c>
      <c r="C388" s="1198"/>
      <c r="D388" s="1199"/>
      <c r="E388" s="1199"/>
      <c r="F388" s="1199"/>
      <c r="G388" s="1200"/>
      <c r="H388" s="489" t="s">
        <v>66</v>
      </c>
      <c r="I388" s="1201">
        <f t="shared" ref="I388:J388" si="165">I400</f>
        <v>0</v>
      </c>
      <c r="J388" s="1201">
        <f t="shared" si="165"/>
        <v>0</v>
      </c>
      <c r="K388" s="1202">
        <f>IF(I388&gt;0,J388*100/I388,0)</f>
        <v>0</v>
      </c>
      <c r="L388" s="1203"/>
      <c r="M388" s="1203"/>
      <c r="N388" s="1203"/>
      <c r="O388" s="1203"/>
      <c r="P388" s="1203"/>
    </row>
    <row r="389" spans="1:26" ht="19.5" hidden="1">
      <c r="A389" s="932"/>
      <c r="B389" s="933"/>
      <c r="C389" s="934" t="s">
        <v>16</v>
      </c>
      <c r="D389" s="935" t="s">
        <v>17</v>
      </c>
      <c r="E389" s="933"/>
      <c r="F389" s="933"/>
      <c r="G389" s="936"/>
      <c r="H389" s="152" t="s">
        <v>12</v>
      </c>
      <c r="I389" s="937"/>
      <c r="J389" s="937"/>
      <c r="K389" s="938"/>
      <c r="L389" s="939">
        <f t="shared" ref="L389:N389" ca="1" si="166">L390+L391</f>
        <v>0</v>
      </c>
      <c r="M389" s="939">
        <f t="shared" ca="1" si="166"/>
        <v>0</v>
      </c>
      <c r="N389" s="939">
        <f t="shared" ca="1" si="166"/>
        <v>0</v>
      </c>
      <c r="O389" s="939">
        <f t="shared" ref="O389:O397" ca="1" si="167">IF(L389&gt;0,N389*100/L389,0)</f>
        <v>0</v>
      </c>
      <c r="P389" s="939">
        <f t="shared" ref="P389:P397" ca="1" si="168">IF(M389&gt;0,N389*100/M389,0)</f>
        <v>0</v>
      </c>
      <c r="Q389" s="818"/>
      <c r="R389" s="818"/>
      <c r="S389" s="818"/>
      <c r="T389" s="818"/>
      <c r="U389" s="818"/>
      <c r="V389" s="818"/>
      <c r="W389" s="818"/>
      <c r="X389" s="818"/>
      <c r="Y389" s="818"/>
      <c r="Z389" s="818"/>
    </row>
    <row r="390" spans="1:26" ht="18.75" hidden="1">
      <c r="A390" s="940"/>
      <c r="B390" s="833"/>
      <c r="C390" s="833"/>
      <c r="D390" s="833"/>
      <c r="E390" s="834" t="s">
        <v>18</v>
      </c>
      <c r="F390" s="833"/>
      <c r="G390" s="941"/>
      <c r="H390" s="158" t="s">
        <v>12</v>
      </c>
      <c r="I390" s="836"/>
      <c r="J390" s="836"/>
      <c r="K390" s="837"/>
      <c r="L390" s="837">
        <f t="shared" ref="L390:N391" si="169">L393+L396</f>
        <v>0</v>
      </c>
      <c r="M390" s="837">
        <f t="shared" si="169"/>
        <v>0</v>
      </c>
      <c r="N390" s="837">
        <f t="shared" si="169"/>
        <v>0</v>
      </c>
      <c r="O390" s="837">
        <f t="shared" si="167"/>
        <v>0</v>
      </c>
      <c r="P390" s="837">
        <f t="shared" si="168"/>
        <v>0</v>
      </c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</row>
    <row r="391" spans="1:26" ht="18.75" hidden="1">
      <c r="A391" s="940"/>
      <c r="B391" s="833"/>
      <c r="C391" s="833"/>
      <c r="D391" s="833"/>
      <c r="E391" s="834" t="s">
        <v>19</v>
      </c>
      <c r="F391" s="833"/>
      <c r="G391" s="941"/>
      <c r="H391" s="158" t="s">
        <v>12</v>
      </c>
      <c r="I391" s="836"/>
      <c r="J391" s="836"/>
      <c r="K391" s="837"/>
      <c r="L391" s="837">
        <f t="shared" ca="1" si="169"/>
        <v>0</v>
      </c>
      <c r="M391" s="837">
        <f t="shared" ca="1" si="169"/>
        <v>0</v>
      </c>
      <c r="N391" s="837">
        <f t="shared" ca="1" si="169"/>
        <v>0</v>
      </c>
      <c r="O391" s="837">
        <f t="shared" ca="1" si="167"/>
        <v>0</v>
      </c>
      <c r="P391" s="837">
        <f t="shared" ca="1" si="168"/>
        <v>0</v>
      </c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</row>
    <row r="392" spans="1:26" ht="18.75" hidden="1">
      <c r="A392" s="942"/>
      <c r="B392" s="827"/>
      <c r="C392" s="943"/>
      <c r="D392" s="828" t="s">
        <v>20</v>
      </c>
      <c r="E392" s="827"/>
      <c r="F392" s="827"/>
      <c r="G392" s="829"/>
      <c r="H392" s="778" t="s">
        <v>12</v>
      </c>
      <c r="I392" s="944"/>
      <c r="J392" s="944"/>
      <c r="K392" s="945"/>
      <c r="L392" s="831">
        <f t="shared" ref="L392:N392" ca="1" si="170">L393+L394</f>
        <v>0</v>
      </c>
      <c r="M392" s="831">
        <f t="shared" ca="1" si="170"/>
        <v>0</v>
      </c>
      <c r="N392" s="831">
        <f t="shared" ca="1" si="170"/>
        <v>0</v>
      </c>
      <c r="O392" s="831">
        <f t="shared" ca="1" si="167"/>
        <v>0</v>
      </c>
      <c r="P392" s="831">
        <f t="shared" ca="1" si="168"/>
        <v>0</v>
      </c>
      <c r="Q392" s="818"/>
      <c r="R392" s="818"/>
      <c r="S392" s="818"/>
      <c r="T392" s="818"/>
      <c r="U392" s="818"/>
      <c r="V392" s="818"/>
      <c r="W392" s="818"/>
      <c r="X392" s="818"/>
      <c r="Y392" s="818"/>
      <c r="Z392" s="818"/>
    </row>
    <row r="393" spans="1:26" ht="19.5" hidden="1">
      <c r="A393" s="940"/>
      <c r="B393" s="833"/>
      <c r="C393" s="946"/>
      <c r="D393" s="833"/>
      <c r="E393" s="834" t="s">
        <v>36</v>
      </c>
      <c r="F393" s="833"/>
      <c r="G393" s="941"/>
      <c r="H393" s="165" t="s">
        <v>12</v>
      </c>
      <c r="I393" s="947"/>
      <c r="J393" s="947"/>
      <c r="K393" s="948"/>
      <c r="L393" s="837">
        <v>0</v>
      </c>
      <c r="M393" s="837">
        <v>0</v>
      </c>
      <c r="N393" s="837">
        <v>0</v>
      </c>
      <c r="O393" s="837">
        <f t="shared" si="167"/>
        <v>0</v>
      </c>
      <c r="P393" s="837">
        <f t="shared" si="168"/>
        <v>0</v>
      </c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</row>
    <row r="394" spans="1:26" ht="19.5" hidden="1">
      <c r="A394" s="940"/>
      <c r="B394" s="833"/>
      <c r="C394" s="946"/>
      <c r="D394" s="833"/>
      <c r="E394" s="834" t="s">
        <v>37</v>
      </c>
      <c r="F394" s="833"/>
      <c r="G394" s="941"/>
      <c r="H394" s="165" t="s">
        <v>12</v>
      </c>
      <c r="I394" s="947"/>
      <c r="J394" s="947"/>
      <c r="K394" s="948"/>
      <c r="L394" s="837">
        <f ca="1">IFERROR(__xludf.DUMMYFUNCTION("IMPORTRANGE(""https://docs.google.com/spreadsheets/d/1MeEWN-I1oV_STSDYn1IFDPWt_1FKiwhDph83XaGc0o0/edit?usp=sharing"",""งบพรบ!FG14"")"),0)</f>
        <v>0</v>
      </c>
      <c r="M394" s="837">
        <f ca="1">IFERROR(__xludf.DUMMYFUNCTION("IMPORTRANGE(""https://docs.google.com/spreadsheets/d/1MeEWN-I1oV_STSDYn1IFDPWt_1FKiwhDph83XaGc0o0/edit?usp=sharing"",""งบพรบ!FL14"")"),0)</f>
        <v>0</v>
      </c>
      <c r="N394" s="837">
        <f ca="1">IFERROR(__xludf.DUMMYFUNCTION("IMPORTRANGE(""https://docs.google.com/spreadsheets/d/1MeEWN-I1oV_STSDYn1IFDPWt_1FKiwhDph83XaGc0o0/edit?usp=sharing"",""งบพรบ!FN14"")"),0)</f>
        <v>0</v>
      </c>
      <c r="O394" s="837">
        <f t="shared" ca="1" si="167"/>
        <v>0</v>
      </c>
      <c r="P394" s="837">
        <f t="shared" ca="1" si="168"/>
        <v>0</v>
      </c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</row>
    <row r="395" spans="1:26" ht="18.75" hidden="1">
      <c r="A395" s="942"/>
      <c r="B395" s="827"/>
      <c r="C395" s="943"/>
      <c r="D395" s="828" t="s">
        <v>21</v>
      </c>
      <c r="E395" s="827"/>
      <c r="F395" s="827"/>
      <c r="G395" s="829"/>
      <c r="H395" s="168" t="s">
        <v>12</v>
      </c>
      <c r="I395" s="944"/>
      <c r="J395" s="944"/>
      <c r="K395" s="945"/>
      <c r="L395" s="831">
        <f t="shared" ref="L395:N395" ca="1" si="171">L396+L397</f>
        <v>0</v>
      </c>
      <c r="M395" s="831">
        <f t="shared" ca="1" si="171"/>
        <v>0</v>
      </c>
      <c r="N395" s="831">
        <f t="shared" ca="1" si="171"/>
        <v>0</v>
      </c>
      <c r="O395" s="831">
        <f t="shared" ca="1" si="167"/>
        <v>0</v>
      </c>
      <c r="P395" s="831">
        <f t="shared" ca="1" si="168"/>
        <v>0</v>
      </c>
      <c r="Q395" s="818"/>
      <c r="R395" s="818"/>
      <c r="S395" s="818"/>
      <c r="T395" s="818"/>
      <c r="U395" s="818"/>
      <c r="V395" s="818"/>
      <c r="W395" s="818"/>
      <c r="X395" s="818"/>
      <c r="Y395" s="818"/>
      <c r="Z395" s="818"/>
    </row>
    <row r="396" spans="1:26" ht="19.5" hidden="1">
      <c r="A396" s="940"/>
      <c r="B396" s="833"/>
      <c r="C396" s="946"/>
      <c r="D396" s="833"/>
      <c r="E396" s="834" t="s">
        <v>18</v>
      </c>
      <c r="F396" s="833"/>
      <c r="G396" s="941"/>
      <c r="H396" s="165" t="s">
        <v>12</v>
      </c>
      <c r="I396" s="947"/>
      <c r="J396" s="947"/>
      <c r="K396" s="948"/>
      <c r="L396" s="837">
        <v>0</v>
      </c>
      <c r="M396" s="837">
        <v>0</v>
      </c>
      <c r="N396" s="837">
        <v>0</v>
      </c>
      <c r="O396" s="837">
        <f t="shared" si="167"/>
        <v>0</v>
      </c>
      <c r="P396" s="837">
        <f t="shared" si="168"/>
        <v>0</v>
      </c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</row>
    <row r="397" spans="1:26" ht="19.5" hidden="1">
      <c r="A397" s="940"/>
      <c r="B397" s="833"/>
      <c r="C397" s="946"/>
      <c r="D397" s="833"/>
      <c r="E397" s="834" t="s">
        <v>19</v>
      </c>
      <c r="F397" s="833"/>
      <c r="G397" s="941"/>
      <c r="H397" s="169" t="s">
        <v>12</v>
      </c>
      <c r="I397" s="947"/>
      <c r="J397" s="947"/>
      <c r="K397" s="948"/>
      <c r="L397" s="837">
        <f ca="1">IFERROR(__xludf.DUMMYFUNCTION("IMPORTRANGE(""https://docs.google.com/spreadsheets/d/1MeEWN-I1oV_STSDYn1IFDPWt_1FKiwhDph83XaGc0o0/edit?usp=sharing"",""งบพรบ!FJ14"")"),0)</f>
        <v>0</v>
      </c>
      <c r="M397" s="837">
        <f ca="1">IFERROR(__xludf.DUMMYFUNCTION("IMPORTRANGE(""https://docs.google.com/spreadsheets/d/1MeEWN-I1oV_STSDYn1IFDPWt_1FKiwhDph83XaGc0o0/edit?usp=sharing"",""งบพรบ!FM14"")"),0)</f>
        <v>0</v>
      </c>
      <c r="N397" s="837">
        <f ca="1">IFERROR(__xludf.DUMMYFUNCTION("IMPORTRANGE(""https://docs.google.com/spreadsheets/d/1MeEWN-I1oV_STSDYn1IFDPWt_1FKiwhDph83XaGc0o0/edit?usp=sharing"",""งบพรบ!FO14"")"),0)</f>
        <v>0</v>
      </c>
      <c r="O397" s="837">
        <f t="shared" ca="1" si="167"/>
        <v>0</v>
      </c>
      <c r="P397" s="837">
        <f t="shared" ca="1" si="168"/>
        <v>0</v>
      </c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</row>
    <row r="398" spans="1:26" ht="19.5" hidden="1">
      <c r="A398" s="949"/>
      <c r="B398" s="950"/>
      <c r="C398" s="946" t="s">
        <v>16</v>
      </c>
      <c r="D398" s="951" t="s">
        <v>38</v>
      </c>
      <c r="E398" s="952"/>
      <c r="F398" s="952"/>
      <c r="G398" s="953"/>
      <c r="H398" s="954"/>
      <c r="I398" s="944"/>
      <c r="J398" s="830"/>
      <c r="K398" s="831"/>
      <c r="L398" s="831"/>
      <c r="M398" s="831"/>
      <c r="N398" s="831"/>
      <c r="O398" s="945"/>
      <c r="P398" s="945"/>
    </row>
    <row r="399" spans="1:26" ht="18.75" hidden="1">
      <c r="A399" s="1204"/>
      <c r="B399" s="933"/>
      <c r="C399" s="1205"/>
      <c r="D399" s="968" t="s">
        <v>174</v>
      </c>
      <c r="E399" s="1113"/>
      <c r="F399" s="933"/>
      <c r="G399" s="936"/>
      <c r="H399" s="496" t="s">
        <v>9</v>
      </c>
      <c r="I399" s="830">
        <v>0</v>
      </c>
      <c r="J399" s="959">
        <v>0</v>
      </c>
      <c r="K399" s="831">
        <f t="shared" ref="K399:K401" si="172">IF(I399&gt;0,J399*100/I399,0)</f>
        <v>0</v>
      </c>
      <c r="L399" s="1206"/>
      <c r="M399" s="1206"/>
      <c r="N399" s="1206"/>
      <c r="O399" s="1206"/>
      <c r="P399" s="1206"/>
      <c r="Q399" s="818"/>
      <c r="R399" s="818"/>
      <c r="S399" s="818"/>
      <c r="T399" s="818"/>
      <c r="U399" s="818"/>
      <c r="V399" s="818"/>
      <c r="W399" s="818"/>
      <c r="X399" s="818"/>
      <c r="Y399" s="818"/>
      <c r="Z399" s="818"/>
    </row>
    <row r="400" spans="1:26" ht="18.75" hidden="1">
      <c r="A400" s="1032"/>
      <c r="B400" s="827"/>
      <c r="C400" s="1030"/>
      <c r="D400" s="956" t="s">
        <v>175</v>
      </c>
      <c r="E400" s="950"/>
      <c r="F400" s="827"/>
      <c r="G400" s="829"/>
      <c r="H400" s="277" t="s">
        <v>66</v>
      </c>
      <c r="I400" s="830">
        <v>0</v>
      </c>
      <c r="J400" s="959">
        <v>0</v>
      </c>
      <c r="K400" s="831">
        <f t="shared" si="172"/>
        <v>0</v>
      </c>
      <c r="L400" s="831"/>
      <c r="M400" s="831"/>
      <c r="N400" s="831"/>
      <c r="O400" s="831"/>
      <c r="P400" s="831"/>
    </row>
    <row r="401" spans="1:26" ht="19.5" hidden="1">
      <c r="A401" s="1196"/>
      <c r="B401" s="1197" t="s">
        <v>176</v>
      </c>
      <c r="C401" s="1198"/>
      <c r="D401" s="1199"/>
      <c r="E401" s="1199"/>
      <c r="F401" s="1199"/>
      <c r="G401" s="1200"/>
      <c r="H401" s="489" t="s">
        <v>66</v>
      </c>
      <c r="I401" s="1201">
        <f t="shared" ref="I401:J401" si="173">I412</f>
        <v>0</v>
      </c>
      <c r="J401" s="1201">
        <f t="shared" si="173"/>
        <v>0</v>
      </c>
      <c r="K401" s="1202">
        <f t="shared" si="172"/>
        <v>0</v>
      </c>
      <c r="L401" s="1203"/>
      <c r="M401" s="1203"/>
      <c r="N401" s="1203"/>
      <c r="O401" s="1203"/>
      <c r="P401" s="1203"/>
    </row>
    <row r="402" spans="1:26" ht="19.5" hidden="1">
      <c r="A402" s="932"/>
      <c r="B402" s="933"/>
      <c r="C402" s="934" t="s">
        <v>16</v>
      </c>
      <c r="D402" s="935" t="s">
        <v>17</v>
      </c>
      <c r="E402" s="933"/>
      <c r="F402" s="933"/>
      <c r="G402" s="936"/>
      <c r="H402" s="152" t="s">
        <v>12</v>
      </c>
      <c r="I402" s="937"/>
      <c r="J402" s="937"/>
      <c r="K402" s="938"/>
      <c r="L402" s="939">
        <f t="shared" ref="L402:N402" ca="1" si="174">L403+L404</f>
        <v>0</v>
      </c>
      <c r="M402" s="939">
        <f t="shared" ca="1" si="174"/>
        <v>0</v>
      </c>
      <c r="N402" s="939">
        <f t="shared" ca="1" si="174"/>
        <v>0</v>
      </c>
      <c r="O402" s="939">
        <f t="shared" ref="O402:O410" ca="1" si="175">IF(L402&gt;0,N402*100/L402,0)</f>
        <v>0</v>
      </c>
      <c r="P402" s="939">
        <f t="shared" ref="P402:P410" ca="1" si="176">IF(M402&gt;0,N402*100/M402,0)</f>
        <v>0</v>
      </c>
      <c r="Q402" s="818"/>
      <c r="R402" s="818"/>
      <c r="S402" s="818"/>
      <c r="T402" s="818"/>
      <c r="U402" s="818"/>
      <c r="V402" s="818"/>
      <c r="W402" s="818"/>
      <c r="X402" s="818"/>
      <c r="Y402" s="818"/>
      <c r="Z402" s="818"/>
    </row>
    <row r="403" spans="1:26" ht="18.75" hidden="1">
      <c r="A403" s="940"/>
      <c r="B403" s="833"/>
      <c r="C403" s="833"/>
      <c r="D403" s="833"/>
      <c r="E403" s="834" t="s">
        <v>18</v>
      </c>
      <c r="F403" s="833"/>
      <c r="G403" s="941"/>
      <c r="H403" s="158" t="s">
        <v>12</v>
      </c>
      <c r="I403" s="836"/>
      <c r="J403" s="836"/>
      <c r="K403" s="837"/>
      <c r="L403" s="837">
        <f t="shared" ref="L403:N404" si="177">L406+L409</f>
        <v>0</v>
      </c>
      <c r="M403" s="837">
        <f t="shared" si="177"/>
        <v>0</v>
      </c>
      <c r="N403" s="837">
        <f t="shared" si="177"/>
        <v>0</v>
      </c>
      <c r="O403" s="837">
        <f t="shared" si="175"/>
        <v>0</v>
      </c>
      <c r="P403" s="837">
        <f t="shared" si="176"/>
        <v>0</v>
      </c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</row>
    <row r="404" spans="1:26" ht="18.75" hidden="1">
      <c r="A404" s="940"/>
      <c r="B404" s="833"/>
      <c r="C404" s="833"/>
      <c r="D404" s="833"/>
      <c r="E404" s="834" t="s">
        <v>19</v>
      </c>
      <c r="F404" s="833"/>
      <c r="G404" s="941"/>
      <c r="H404" s="158" t="s">
        <v>12</v>
      </c>
      <c r="I404" s="836"/>
      <c r="J404" s="836"/>
      <c r="K404" s="837"/>
      <c r="L404" s="837">
        <f t="shared" ca="1" si="177"/>
        <v>0</v>
      </c>
      <c r="M404" s="837">
        <f t="shared" ca="1" si="177"/>
        <v>0</v>
      </c>
      <c r="N404" s="837">
        <f t="shared" ca="1" si="177"/>
        <v>0</v>
      </c>
      <c r="O404" s="837">
        <f t="shared" ca="1" si="175"/>
        <v>0</v>
      </c>
      <c r="P404" s="837">
        <f t="shared" ca="1" si="176"/>
        <v>0</v>
      </c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</row>
    <row r="405" spans="1:26" ht="18.75" hidden="1">
      <c r="A405" s="942"/>
      <c r="B405" s="827"/>
      <c r="C405" s="943"/>
      <c r="D405" s="828" t="s">
        <v>20</v>
      </c>
      <c r="E405" s="827"/>
      <c r="F405" s="827"/>
      <c r="G405" s="829"/>
      <c r="H405" s="778" t="s">
        <v>12</v>
      </c>
      <c r="I405" s="944"/>
      <c r="J405" s="944"/>
      <c r="K405" s="945"/>
      <c r="L405" s="831">
        <f t="shared" ref="L405:N405" ca="1" si="178">L406+L407</f>
        <v>0</v>
      </c>
      <c r="M405" s="831">
        <f t="shared" ca="1" si="178"/>
        <v>0</v>
      </c>
      <c r="N405" s="831">
        <f t="shared" ca="1" si="178"/>
        <v>0</v>
      </c>
      <c r="O405" s="831">
        <f t="shared" ca="1" si="175"/>
        <v>0</v>
      </c>
      <c r="P405" s="831">
        <f t="shared" ca="1" si="176"/>
        <v>0</v>
      </c>
      <c r="Q405" s="818"/>
      <c r="R405" s="818"/>
      <c r="S405" s="818"/>
      <c r="T405" s="818"/>
      <c r="U405" s="818"/>
      <c r="V405" s="818"/>
      <c r="W405" s="818"/>
      <c r="X405" s="818"/>
      <c r="Y405" s="818"/>
      <c r="Z405" s="818"/>
    </row>
    <row r="406" spans="1:26" ht="19.5" hidden="1">
      <c r="A406" s="940"/>
      <c r="B406" s="833"/>
      <c r="C406" s="946"/>
      <c r="D406" s="833"/>
      <c r="E406" s="834" t="s">
        <v>36</v>
      </c>
      <c r="F406" s="833"/>
      <c r="G406" s="941"/>
      <c r="H406" s="165" t="s">
        <v>12</v>
      </c>
      <c r="I406" s="947"/>
      <c r="J406" s="947"/>
      <c r="K406" s="948"/>
      <c r="L406" s="837">
        <v>0</v>
      </c>
      <c r="M406" s="837">
        <v>0</v>
      </c>
      <c r="N406" s="837">
        <v>0</v>
      </c>
      <c r="O406" s="837">
        <f t="shared" si="175"/>
        <v>0</v>
      </c>
      <c r="P406" s="837">
        <f t="shared" si="176"/>
        <v>0</v>
      </c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</row>
    <row r="407" spans="1:26" ht="19.5" hidden="1">
      <c r="A407" s="940"/>
      <c r="B407" s="833"/>
      <c r="C407" s="946"/>
      <c r="D407" s="833"/>
      <c r="E407" s="834" t="s">
        <v>37</v>
      </c>
      <c r="F407" s="833"/>
      <c r="G407" s="941"/>
      <c r="H407" s="165" t="s">
        <v>12</v>
      </c>
      <c r="I407" s="947"/>
      <c r="J407" s="947"/>
      <c r="K407" s="948"/>
      <c r="L407" s="837">
        <f ca="1">IFERROR(__xludf.DUMMYFUNCTION("IMPORTRANGE(""https://docs.google.com/spreadsheets/d/1MeEWN-I1oV_STSDYn1IFDPWt_1FKiwhDph83XaGc0o0/edit?usp=sharing"",""งบพรบ!FQ14"")"),0)</f>
        <v>0</v>
      </c>
      <c r="M407" s="837">
        <f ca="1">IFERROR(__xludf.DUMMYFUNCTION("IMPORTRANGE(""https://docs.google.com/spreadsheets/d/1MeEWN-I1oV_STSDYn1IFDPWt_1FKiwhDph83XaGc0o0/edit?usp=sharing"",""งบพรบ!FV14"")"),0)</f>
        <v>0</v>
      </c>
      <c r="N407" s="837">
        <f ca="1">IFERROR(__xludf.DUMMYFUNCTION("IMPORTRANGE(""https://docs.google.com/spreadsheets/d/1MeEWN-I1oV_STSDYn1IFDPWt_1FKiwhDph83XaGc0o0/edit?usp=sharing"",""งบพรบ!FX14"")"),0)</f>
        <v>0</v>
      </c>
      <c r="O407" s="837">
        <f t="shared" ca="1" si="175"/>
        <v>0</v>
      </c>
      <c r="P407" s="837">
        <f t="shared" ca="1" si="176"/>
        <v>0</v>
      </c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</row>
    <row r="408" spans="1:26" ht="18.75" hidden="1">
      <c r="A408" s="942"/>
      <c r="B408" s="827"/>
      <c r="C408" s="943"/>
      <c r="D408" s="828" t="s">
        <v>21</v>
      </c>
      <c r="E408" s="827"/>
      <c r="F408" s="827"/>
      <c r="G408" s="829"/>
      <c r="H408" s="168" t="s">
        <v>12</v>
      </c>
      <c r="I408" s="944"/>
      <c r="J408" s="944"/>
      <c r="K408" s="945"/>
      <c r="L408" s="831">
        <f t="shared" ref="L408:N408" ca="1" si="179">L409+L410</f>
        <v>0</v>
      </c>
      <c r="M408" s="831">
        <f t="shared" ca="1" si="179"/>
        <v>0</v>
      </c>
      <c r="N408" s="831">
        <f t="shared" ca="1" si="179"/>
        <v>0</v>
      </c>
      <c r="O408" s="831">
        <f t="shared" ca="1" si="175"/>
        <v>0</v>
      </c>
      <c r="P408" s="831">
        <f t="shared" ca="1" si="176"/>
        <v>0</v>
      </c>
      <c r="Q408" s="818"/>
      <c r="R408" s="818"/>
      <c r="S408" s="818"/>
      <c r="T408" s="818"/>
      <c r="U408" s="818"/>
      <c r="V408" s="818"/>
      <c r="W408" s="818"/>
      <c r="X408" s="818"/>
      <c r="Y408" s="818"/>
      <c r="Z408" s="818"/>
    </row>
    <row r="409" spans="1:26" ht="19.5" hidden="1">
      <c r="A409" s="940"/>
      <c r="B409" s="833"/>
      <c r="C409" s="946"/>
      <c r="D409" s="833"/>
      <c r="E409" s="834" t="s">
        <v>18</v>
      </c>
      <c r="F409" s="833"/>
      <c r="G409" s="941"/>
      <c r="H409" s="165" t="s">
        <v>12</v>
      </c>
      <c r="I409" s="947"/>
      <c r="J409" s="947"/>
      <c r="K409" s="948"/>
      <c r="L409" s="837">
        <v>0</v>
      </c>
      <c r="M409" s="837">
        <v>0</v>
      </c>
      <c r="N409" s="837">
        <v>0</v>
      </c>
      <c r="O409" s="837">
        <f t="shared" si="175"/>
        <v>0</v>
      </c>
      <c r="P409" s="837">
        <f t="shared" si="176"/>
        <v>0</v>
      </c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</row>
    <row r="410" spans="1:26" ht="19.5" hidden="1">
      <c r="A410" s="940"/>
      <c r="B410" s="833"/>
      <c r="C410" s="946"/>
      <c r="D410" s="833"/>
      <c r="E410" s="834" t="s">
        <v>19</v>
      </c>
      <c r="F410" s="833"/>
      <c r="G410" s="941"/>
      <c r="H410" s="169" t="s">
        <v>12</v>
      </c>
      <c r="I410" s="947"/>
      <c r="J410" s="947"/>
      <c r="K410" s="948"/>
      <c r="L410" s="837">
        <f ca="1">IFERROR(__xludf.DUMMYFUNCTION("IMPORTRANGE(""https://docs.google.com/spreadsheets/d/1MeEWN-I1oV_STSDYn1IFDPWt_1FKiwhDph83XaGc0o0/edit?usp=sharing"",""งบพรบ!FT14"")"),0)</f>
        <v>0</v>
      </c>
      <c r="M410" s="837">
        <f ca="1">IFERROR(__xludf.DUMMYFUNCTION("IMPORTRANGE(""https://docs.google.com/spreadsheets/d/1MeEWN-I1oV_STSDYn1IFDPWt_1FKiwhDph83XaGc0o0/edit?usp=sharing"",""งบพรบ!FW14"")"),0)</f>
        <v>0</v>
      </c>
      <c r="N410" s="837">
        <f ca="1">IFERROR(__xludf.DUMMYFUNCTION("IMPORTRANGE(""https://docs.google.com/spreadsheets/d/1MeEWN-I1oV_STSDYn1IFDPWt_1FKiwhDph83XaGc0o0/edit?usp=sharing"",""งบพรบ!FY14"")"),0)</f>
        <v>0</v>
      </c>
      <c r="O410" s="837">
        <f t="shared" ca="1" si="175"/>
        <v>0</v>
      </c>
      <c r="P410" s="837">
        <f t="shared" ca="1" si="176"/>
        <v>0</v>
      </c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</row>
    <row r="411" spans="1:26" ht="19.5" hidden="1">
      <c r="A411" s="949"/>
      <c r="B411" s="950"/>
      <c r="C411" s="946" t="s">
        <v>16</v>
      </c>
      <c r="D411" s="1207" t="s">
        <v>38</v>
      </c>
      <c r="E411" s="1208"/>
      <c r="F411" s="1208"/>
      <c r="G411" s="1209"/>
      <c r="H411" s="954"/>
      <c r="I411" s="830"/>
      <c r="J411" s="830"/>
      <c r="K411" s="831"/>
      <c r="L411" s="945"/>
      <c r="M411" s="945"/>
      <c r="N411" s="945"/>
      <c r="O411" s="945"/>
      <c r="P411" s="945"/>
    </row>
    <row r="412" spans="1:26" ht="18.75" hidden="1">
      <c r="A412" s="949"/>
      <c r="B412" s="957"/>
      <c r="C412" s="957"/>
      <c r="D412" s="956" t="s">
        <v>177</v>
      </c>
      <c r="E412" s="957"/>
      <c r="F412" s="957"/>
      <c r="G412" s="958"/>
      <c r="H412" s="501" t="s">
        <v>66</v>
      </c>
      <c r="I412" s="830">
        <v>0</v>
      </c>
      <c r="J412" s="959">
        <v>0</v>
      </c>
      <c r="K412" s="831">
        <f t="shared" ref="K412:K413" si="180">IF(I412&gt;0,J412*100/I412,0)</f>
        <v>0</v>
      </c>
      <c r="L412" s="945"/>
      <c r="M412" s="945"/>
      <c r="N412" s="945"/>
      <c r="O412" s="945"/>
      <c r="P412" s="945"/>
    </row>
    <row r="413" spans="1:26" ht="19.5" hidden="1" thickBot="1">
      <c r="A413" s="1210"/>
      <c r="B413" s="1211"/>
      <c r="C413" s="1211"/>
      <c r="D413" s="1212" t="s">
        <v>178</v>
      </c>
      <c r="E413" s="1211"/>
      <c r="F413" s="1211"/>
      <c r="G413" s="1213"/>
      <c r="H413" s="506" t="s">
        <v>179</v>
      </c>
      <c r="I413" s="1214">
        <v>0</v>
      </c>
      <c r="J413" s="1215">
        <v>0</v>
      </c>
      <c r="K413" s="1216">
        <f t="shared" si="180"/>
        <v>0</v>
      </c>
      <c r="L413" s="1217"/>
      <c r="M413" s="1217"/>
      <c r="N413" s="1217"/>
      <c r="O413" s="1217"/>
      <c r="P413" s="1217"/>
    </row>
    <row r="414" spans="1:26" ht="19.5">
      <c r="A414" s="1218" t="s">
        <v>180</v>
      </c>
      <c r="B414" s="1219"/>
      <c r="C414" s="1219"/>
      <c r="D414" s="1219"/>
      <c r="E414" s="1219"/>
      <c r="F414" s="1219"/>
      <c r="G414" s="1220"/>
      <c r="H414" s="1221"/>
      <c r="I414" s="1222"/>
      <c r="J414" s="1222"/>
      <c r="K414" s="1223"/>
      <c r="L414" s="1224">
        <f t="shared" ref="L414:N414" ca="1" si="181">L419+L444+L467+L502+L523+L544+L629+L655+L685+L737+L754+L770+L786+L805</f>
        <v>2993639</v>
      </c>
      <c r="M414" s="1224">
        <f t="shared" si="181"/>
        <v>0</v>
      </c>
      <c r="N414" s="1224">
        <f t="shared" si="181"/>
        <v>1070347.8799999999</v>
      </c>
      <c r="O414" s="1224">
        <f ca="1">IF(L414&gt;0,N414*100/L414,0)</f>
        <v>35.754073219917295</v>
      </c>
      <c r="P414" s="1224">
        <f>IF(M414&gt;0,N414*100/M414,0)</f>
        <v>0</v>
      </c>
    </row>
    <row r="415" spans="1:26" ht="19.5">
      <c r="A415" s="1225" t="s">
        <v>181</v>
      </c>
      <c r="B415" s="1226"/>
      <c r="C415" s="1226"/>
      <c r="D415" s="1226"/>
      <c r="E415" s="1226"/>
      <c r="F415" s="1226"/>
      <c r="G415" s="1226"/>
      <c r="H415" s="1227"/>
      <c r="I415" s="1228"/>
      <c r="J415" s="1228"/>
      <c r="K415" s="1229"/>
      <c r="L415" s="1230"/>
      <c r="M415" s="1230"/>
      <c r="N415" s="1230"/>
      <c r="O415" s="1230"/>
      <c r="P415" s="1230"/>
    </row>
    <row r="416" spans="1:26" ht="19.5">
      <c r="A416" s="1225" t="s">
        <v>182</v>
      </c>
      <c r="B416" s="1226"/>
      <c r="C416" s="1226"/>
      <c r="D416" s="1226"/>
      <c r="E416" s="1226"/>
      <c r="F416" s="1226"/>
      <c r="G416" s="1231"/>
      <c r="H416" s="1232"/>
      <c r="I416" s="1233"/>
      <c r="J416" s="1233"/>
      <c r="K416" s="1230"/>
      <c r="L416" s="1230"/>
      <c r="M416" s="1230"/>
      <c r="N416" s="1230"/>
      <c r="O416" s="1230"/>
      <c r="P416" s="1230"/>
    </row>
    <row r="417" spans="1:26" ht="39">
      <c r="A417" s="527">
        <v>1</v>
      </c>
      <c r="B417" s="1234" t="s">
        <v>183</v>
      </c>
      <c r="C417" s="1234"/>
      <c r="D417" s="1235"/>
      <c r="E417" s="1235"/>
      <c r="F417" s="1235"/>
      <c r="G417" s="1236"/>
      <c r="H417" s="532" t="s">
        <v>35</v>
      </c>
      <c r="I417" s="1237">
        <f t="shared" ref="I417:J418" ca="1" si="182">I433</f>
        <v>60</v>
      </c>
      <c r="J417" s="1237">
        <f t="shared" ca="1" si="182"/>
        <v>60</v>
      </c>
      <c r="K417" s="1238">
        <f t="shared" ref="K417:K418" ca="1" si="183">IF(I417&gt;0,J417*100/I417,0)</f>
        <v>100</v>
      </c>
      <c r="L417" s="1239"/>
      <c r="M417" s="1239"/>
      <c r="N417" s="1239"/>
      <c r="O417" s="1239"/>
      <c r="P417" s="1239"/>
    </row>
    <row r="418" spans="1:26" ht="19.5">
      <c r="A418" s="1240"/>
      <c r="B418" s="527"/>
      <c r="C418" s="1234"/>
      <c r="D418" s="1235"/>
      <c r="E418" s="1235"/>
      <c r="F418" s="1235"/>
      <c r="G418" s="1236"/>
      <c r="H418" s="532" t="s">
        <v>49</v>
      </c>
      <c r="I418" s="1237">
        <f t="shared" ca="1" si="182"/>
        <v>2</v>
      </c>
      <c r="J418" s="1237">
        <f t="shared" si="182"/>
        <v>2</v>
      </c>
      <c r="K418" s="1238">
        <f t="shared" ca="1" si="183"/>
        <v>100</v>
      </c>
      <c r="L418" s="1239"/>
      <c r="M418" s="1239"/>
      <c r="N418" s="1239"/>
      <c r="O418" s="1239"/>
      <c r="P418" s="1239"/>
    </row>
    <row r="419" spans="1:26" ht="19.5">
      <c r="A419" s="932"/>
      <c r="B419" s="933"/>
      <c r="C419" s="933" t="s">
        <v>16</v>
      </c>
      <c r="D419" s="1510" t="s">
        <v>17</v>
      </c>
      <c r="E419" s="1487"/>
      <c r="F419" s="1487"/>
      <c r="G419" s="936"/>
      <c r="H419" s="275" t="s">
        <v>12</v>
      </c>
      <c r="I419" s="937"/>
      <c r="J419" s="937"/>
      <c r="K419" s="938"/>
      <c r="L419" s="939">
        <f t="shared" ref="L419:N419" ca="1" si="184">L420+L421</f>
        <v>188600</v>
      </c>
      <c r="M419" s="939">
        <f t="shared" si="184"/>
        <v>0</v>
      </c>
      <c r="N419" s="939">
        <f t="shared" si="184"/>
        <v>172700</v>
      </c>
      <c r="O419" s="939">
        <f t="shared" ref="O419:O424" ca="1" si="185">IF(L419&gt;0,N419*100/L419,0)</f>
        <v>91.569459172852604</v>
      </c>
      <c r="P419" s="939">
        <f t="shared" ref="P419:P424" si="186">IF(M419&gt;0,N419*100/M419,0)</f>
        <v>0</v>
      </c>
      <c r="Q419" s="818"/>
      <c r="R419" s="818"/>
      <c r="S419" s="818"/>
      <c r="T419" s="818"/>
      <c r="U419" s="818"/>
      <c r="V419" s="818"/>
      <c r="W419" s="818"/>
      <c r="X419" s="818"/>
      <c r="Y419" s="818"/>
      <c r="Z419" s="818"/>
    </row>
    <row r="420" spans="1:26" ht="18.75" hidden="1">
      <c r="A420" s="940"/>
      <c r="B420" s="833"/>
      <c r="C420" s="833"/>
      <c r="D420" s="1061"/>
      <c r="E420" s="834" t="s">
        <v>184</v>
      </c>
      <c r="F420" s="833"/>
      <c r="G420" s="941"/>
      <c r="H420" s="165" t="s">
        <v>12</v>
      </c>
      <c r="I420" s="836"/>
      <c r="J420" s="836"/>
      <c r="K420" s="837"/>
      <c r="L420" s="837">
        <f t="shared" ref="L420:N421" si="187">L423+L430</f>
        <v>0</v>
      </c>
      <c r="M420" s="837">
        <f t="shared" si="187"/>
        <v>0</v>
      </c>
      <c r="N420" s="837">
        <f t="shared" si="187"/>
        <v>0</v>
      </c>
      <c r="O420" s="837">
        <f t="shared" si="185"/>
        <v>0</v>
      </c>
      <c r="P420" s="837">
        <f t="shared" si="186"/>
        <v>0</v>
      </c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</row>
    <row r="421" spans="1:26" ht="18.75" hidden="1">
      <c r="A421" s="940"/>
      <c r="B421" s="833"/>
      <c r="C421" s="833"/>
      <c r="D421" s="1061"/>
      <c r="E421" s="834" t="s">
        <v>185</v>
      </c>
      <c r="F421" s="833"/>
      <c r="G421" s="941"/>
      <c r="H421" s="165" t="s">
        <v>12</v>
      </c>
      <c r="I421" s="836"/>
      <c r="J421" s="836"/>
      <c r="K421" s="837"/>
      <c r="L421" s="837">
        <f t="shared" ca="1" si="187"/>
        <v>188600</v>
      </c>
      <c r="M421" s="837">
        <f t="shared" si="187"/>
        <v>0</v>
      </c>
      <c r="N421" s="837">
        <f t="shared" si="187"/>
        <v>172700</v>
      </c>
      <c r="O421" s="837">
        <f t="shared" ca="1" si="185"/>
        <v>91.569459172852604</v>
      </c>
      <c r="P421" s="837">
        <f t="shared" si="186"/>
        <v>0</v>
      </c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</row>
    <row r="422" spans="1:26" ht="18.75">
      <c r="A422" s="942"/>
      <c r="B422" s="1030"/>
      <c r="C422" s="827"/>
      <c r="D422" s="828" t="s">
        <v>20</v>
      </c>
      <c r="E422" s="827"/>
      <c r="F422" s="827"/>
      <c r="G422" s="829"/>
      <c r="H422" s="778" t="s">
        <v>12</v>
      </c>
      <c r="I422" s="944"/>
      <c r="J422" s="944"/>
      <c r="K422" s="945"/>
      <c r="L422" s="831">
        <f t="shared" ref="L422:N422" ca="1" si="188">L423+L424</f>
        <v>188600</v>
      </c>
      <c r="M422" s="831">
        <f t="shared" si="188"/>
        <v>0</v>
      </c>
      <c r="N422" s="831">
        <f t="shared" si="188"/>
        <v>172700</v>
      </c>
      <c r="O422" s="831">
        <f t="shared" ca="1" si="185"/>
        <v>91.569459172852604</v>
      </c>
      <c r="P422" s="831">
        <f t="shared" si="186"/>
        <v>0</v>
      </c>
      <c r="Q422" s="818"/>
      <c r="R422" s="818"/>
      <c r="S422" s="818"/>
      <c r="T422" s="818"/>
      <c r="U422" s="818"/>
      <c r="V422" s="818"/>
      <c r="W422" s="818"/>
      <c r="X422" s="818"/>
      <c r="Y422" s="818"/>
      <c r="Z422" s="818"/>
    </row>
    <row r="423" spans="1:26" ht="18.75" hidden="1">
      <c r="A423" s="940"/>
      <c r="B423" s="833"/>
      <c r="C423" s="833"/>
      <c r="D423" s="1061"/>
      <c r="E423" s="834" t="s">
        <v>184</v>
      </c>
      <c r="F423" s="833"/>
      <c r="G423" s="941"/>
      <c r="H423" s="165" t="s">
        <v>12</v>
      </c>
      <c r="I423" s="836"/>
      <c r="J423" s="836"/>
      <c r="K423" s="837"/>
      <c r="L423" s="837">
        <v>0</v>
      </c>
      <c r="M423" s="837">
        <v>0</v>
      </c>
      <c r="N423" s="837">
        <v>0</v>
      </c>
      <c r="O423" s="837">
        <f t="shared" si="185"/>
        <v>0</v>
      </c>
      <c r="P423" s="837">
        <f t="shared" si="186"/>
        <v>0</v>
      </c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</row>
    <row r="424" spans="1:26" ht="18.75" hidden="1">
      <c r="A424" s="940"/>
      <c r="B424" s="833"/>
      <c r="C424" s="833"/>
      <c r="D424" s="1061"/>
      <c r="E424" s="834" t="s">
        <v>185</v>
      </c>
      <c r="F424" s="833"/>
      <c r="G424" s="941"/>
      <c r="H424" s="165" t="s">
        <v>12</v>
      </c>
      <c r="I424" s="836"/>
      <c r="J424" s="836"/>
      <c r="K424" s="837"/>
      <c r="L424" s="837">
        <f ca="1">IFERROR(__xludf.DUMMYFUNCTION("IMPORTRANGE(""https://docs.google.com/spreadsheets/d/1QqKyyYR6Q21VydFLVH3TRQUabQu_ym0Zz7PgGX0-kHA/edit?usp=sharing"",""แผน!EY14"")"),188600)</f>
        <v>188600</v>
      </c>
      <c r="M424" s="837">
        <v>0</v>
      </c>
      <c r="N424" s="837">
        <f>N425+N426+N427+N428</f>
        <v>172700</v>
      </c>
      <c r="O424" s="837">
        <f t="shared" ca="1" si="185"/>
        <v>91.569459172852604</v>
      </c>
      <c r="P424" s="837">
        <f t="shared" si="186"/>
        <v>0</v>
      </c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</row>
    <row r="425" spans="1:26" ht="18.75">
      <c r="A425" s="1241"/>
      <c r="B425" s="1242"/>
      <c r="C425" s="1243"/>
      <c r="D425" s="1243"/>
      <c r="E425" s="1243"/>
      <c r="F425" s="1243" t="s">
        <v>186</v>
      </c>
      <c r="G425" s="963"/>
      <c r="H425" s="778" t="s">
        <v>12</v>
      </c>
      <c r="I425" s="830"/>
      <c r="J425" s="830"/>
      <c r="K425" s="831"/>
      <c r="L425" s="831"/>
      <c r="M425" s="831"/>
      <c r="N425" s="1031">
        <v>158340</v>
      </c>
      <c r="O425" s="831"/>
      <c r="P425" s="831"/>
      <c r="Q425" s="1244"/>
      <c r="R425" s="1244"/>
      <c r="S425" s="1244"/>
      <c r="T425" s="1244"/>
      <c r="U425" s="1244"/>
      <c r="V425" s="1244"/>
      <c r="W425" s="1244"/>
      <c r="X425" s="1244"/>
      <c r="Y425" s="1244"/>
      <c r="Z425" s="1244"/>
    </row>
    <row r="426" spans="1:26" ht="18.75">
      <c r="A426" s="1241"/>
      <c r="B426" s="1242"/>
      <c r="C426" s="1243"/>
      <c r="D426" s="1243"/>
      <c r="E426" s="1243"/>
      <c r="F426" s="1243" t="s">
        <v>187</v>
      </c>
      <c r="G426" s="963"/>
      <c r="H426" s="778" t="s">
        <v>12</v>
      </c>
      <c r="I426" s="830"/>
      <c r="J426" s="830"/>
      <c r="K426" s="831"/>
      <c r="L426" s="831"/>
      <c r="M426" s="831"/>
      <c r="N426" s="1031">
        <v>0</v>
      </c>
      <c r="O426" s="831"/>
      <c r="P426" s="831"/>
      <c r="Q426" s="1244"/>
      <c r="R426" s="1244"/>
      <c r="S426" s="1244"/>
      <c r="T426" s="1244"/>
      <c r="U426" s="1244"/>
      <c r="V426" s="1244"/>
      <c r="W426" s="1244"/>
      <c r="X426" s="1244"/>
      <c r="Y426" s="1244"/>
      <c r="Z426" s="1244"/>
    </row>
    <row r="427" spans="1:26" ht="18.75">
      <c r="A427" s="1241"/>
      <c r="B427" s="1242"/>
      <c r="C427" s="1243"/>
      <c r="D427" s="1243"/>
      <c r="E427" s="1243"/>
      <c r="F427" s="1243" t="s">
        <v>188</v>
      </c>
      <c r="G427" s="963"/>
      <c r="H427" s="778" t="s">
        <v>12</v>
      </c>
      <c r="I427" s="830"/>
      <c r="J427" s="830"/>
      <c r="K427" s="831"/>
      <c r="L427" s="831"/>
      <c r="M427" s="831"/>
      <c r="N427" s="1031">
        <v>0</v>
      </c>
      <c r="O427" s="831"/>
      <c r="P427" s="831"/>
      <c r="Q427" s="1244"/>
      <c r="R427" s="1244"/>
      <c r="S427" s="1244"/>
      <c r="T427" s="1244"/>
      <c r="U427" s="1244"/>
      <c r="V427" s="1244"/>
      <c r="W427" s="1244"/>
      <c r="X427" s="1244"/>
      <c r="Y427" s="1244"/>
      <c r="Z427" s="1244"/>
    </row>
    <row r="428" spans="1:26" ht="18.75">
      <c r="A428" s="1032"/>
      <c r="B428" s="1030"/>
      <c r="C428" s="827"/>
      <c r="D428" s="827"/>
      <c r="E428" s="827"/>
      <c r="F428" s="943" t="s">
        <v>189</v>
      </c>
      <c r="G428" s="977"/>
      <c r="H428" s="778" t="s">
        <v>12</v>
      </c>
      <c r="I428" s="830"/>
      <c r="J428" s="830"/>
      <c r="K428" s="831"/>
      <c r="L428" s="831"/>
      <c r="M428" s="831"/>
      <c r="N428" s="1031">
        <v>14360</v>
      </c>
      <c r="O428" s="831"/>
      <c r="P428" s="831"/>
      <c r="Q428" s="818"/>
      <c r="R428" s="818"/>
      <c r="S428" s="818"/>
      <c r="T428" s="818"/>
      <c r="U428" s="818"/>
      <c r="V428" s="818"/>
      <c r="W428" s="818"/>
      <c r="X428" s="818"/>
      <c r="Y428" s="818"/>
      <c r="Z428" s="818"/>
    </row>
    <row r="429" spans="1:26" ht="18.75">
      <c r="A429" s="942"/>
      <c r="B429" s="1030"/>
      <c r="C429" s="827"/>
      <c r="D429" s="828" t="s">
        <v>21</v>
      </c>
      <c r="E429" s="827"/>
      <c r="F429" s="827"/>
      <c r="G429" s="829"/>
      <c r="H429" s="168" t="s">
        <v>12</v>
      </c>
      <c r="I429" s="944"/>
      <c r="J429" s="944"/>
      <c r="K429" s="945"/>
      <c r="L429" s="831">
        <f t="shared" ref="L429:N429" ca="1" si="189">L430+L431</f>
        <v>0</v>
      </c>
      <c r="M429" s="831">
        <f t="shared" si="189"/>
        <v>0</v>
      </c>
      <c r="N429" s="831">
        <f t="shared" si="189"/>
        <v>0</v>
      </c>
      <c r="O429" s="831">
        <f t="shared" ref="O429:O431" ca="1" si="190">IF(L429&gt;0,N429*100/L429,0)</f>
        <v>0</v>
      </c>
      <c r="P429" s="831">
        <f t="shared" ref="P429:P431" si="191">IF(M429&gt;0,N429*100/M429,0)</f>
        <v>0</v>
      </c>
      <c r="Q429" s="818"/>
      <c r="R429" s="818"/>
      <c r="S429" s="818"/>
      <c r="T429" s="818"/>
      <c r="U429" s="818"/>
      <c r="V429" s="818"/>
      <c r="W429" s="818"/>
      <c r="X429" s="818"/>
      <c r="Y429" s="818"/>
      <c r="Z429" s="818"/>
    </row>
    <row r="430" spans="1:26" ht="18.75" hidden="1">
      <c r="A430" s="940"/>
      <c r="B430" s="1052"/>
      <c r="C430" s="833"/>
      <c r="D430" s="833"/>
      <c r="E430" s="834" t="s">
        <v>18</v>
      </c>
      <c r="F430" s="833"/>
      <c r="G430" s="835"/>
      <c r="H430" s="165" t="s">
        <v>12</v>
      </c>
      <c r="I430" s="947"/>
      <c r="J430" s="947"/>
      <c r="K430" s="948"/>
      <c r="L430" s="837">
        <v>0</v>
      </c>
      <c r="M430" s="837">
        <v>0</v>
      </c>
      <c r="N430" s="837">
        <v>0</v>
      </c>
      <c r="O430" s="837">
        <f t="shared" si="190"/>
        <v>0</v>
      </c>
      <c r="P430" s="837">
        <f t="shared" si="191"/>
        <v>0</v>
      </c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</row>
    <row r="431" spans="1:26" ht="18.75" hidden="1">
      <c r="A431" s="940"/>
      <c r="B431" s="1052"/>
      <c r="C431" s="833"/>
      <c r="D431" s="833"/>
      <c r="E431" s="834" t="s">
        <v>19</v>
      </c>
      <c r="F431" s="833"/>
      <c r="G431" s="835"/>
      <c r="H431" s="169" t="s">
        <v>12</v>
      </c>
      <c r="I431" s="947"/>
      <c r="J431" s="947"/>
      <c r="K431" s="948"/>
      <c r="L431" s="837">
        <f ca="1">IFERROR(__xludf.DUMMYFUNCTION("IMPORTRANGE(""https://docs.google.com/spreadsheets/d/1QqKyyYR6Q21VydFLVH3TRQUabQu_ym0Zz7PgGX0-kHA/edit?usp=sharing"",""แผน!FB14"")"),0)</f>
        <v>0</v>
      </c>
      <c r="M431" s="837">
        <v>0</v>
      </c>
      <c r="N431" s="837">
        <v>0</v>
      </c>
      <c r="O431" s="837">
        <f t="shared" ca="1" si="190"/>
        <v>0</v>
      </c>
      <c r="P431" s="837">
        <f t="shared" si="191"/>
        <v>0</v>
      </c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</row>
    <row r="432" spans="1:26" ht="19.5">
      <c r="A432" s="1112"/>
      <c r="B432" s="1113"/>
      <c r="C432" s="933" t="s">
        <v>16</v>
      </c>
      <c r="D432" s="1245" t="s">
        <v>38</v>
      </c>
      <c r="E432" s="1246"/>
      <c r="F432" s="1246"/>
      <c r="G432" s="1247"/>
      <c r="H432" s="1248"/>
      <c r="I432" s="937"/>
      <c r="J432" s="937"/>
      <c r="K432" s="938"/>
      <c r="L432" s="938"/>
      <c r="M432" s="938"/>
      <c r="N432" s="938"/>
      <c r="O432" s="938"/>
      <c r="P432" s="938"/>
      <c r="Q432" s="818"/>
      <c r="R432" s="818"/>
      <c r="S432" s="818"/>
      <c r="T432" s="818"/>
      <c r="U432" s="818"/>
      <c r="V432" s="818"/>
      <c r="W432" s="818"/>
      <c r="X432" s="818"/>
      <c r="Y432" s="818"/>
      <c r="Z432" s="818"/>
    </row>
    <row r="433" spans="1:26" ht="19.5">
      <c r="A433" s="949"/>
      <c r="B433" s="950"/>
      <c r="C433" s="950"/>
      <c r="D433" s="960" t="s">
        <v>190</v>
      </c>
      <c r="E433" s="957"/>
      <c r="F433" s="957"/>
      <c r="G433" s="958"/>
      <c r="H433" s="196" t="s">
        <v>35</v>
      </c>
      <c r="I433" s="966">
        <f ca="1">I435</f>
        <v>60</v>
      </c>
      <c r="J433" s="966">
        <f ca="1">IF(AND(J435=I435,J437=I437,J439=I439),I437+I439,IF(AND(J435=I437,J437=I437),I437,IF(AND(J435=I439,J439=I439),I439,0)))</f>
        <v>60</v>
      </c>
      <c r="K433" s="967">
        <f t="shared" ref="K433:K435" ca="1" si="192">IF(I433&gt;0,J433*100/I433,0)</f>
        <v>100</v>
      </c>
      <c r="L433" s="831"/>
      <c r="M433" s="831"/>
      <c r="N433" s="831"/>
      <c r="O433" s="831"/>
      <c r="P433" s="831"/>
      <c r="Q433" s="818"/>
      <c r="R433" s="818"/>
      <c r="S433" s="818"/>
      <c r="T433" s="818"/>
      <c r="U433" s="818"/>
      <c r="V433" s="818"/>
      <c r="W433" s="818"/>
      <c r="X433" s="818"/>
      <c r="Y433" s="818"/>
      <c r="Z433" s="818"/>
    </row>
    <row r="434" spans="1:26" ht="19.5">
      <c r="A434" s="949"/>
      <c r="B434" s="950"/>
      <c r="C434" s="950"/>
      <c r="D434" s="960" t="s">
        <v>191</v>
      </c>
      <c r="E434" s="957"/>
      <c r="F434" s="957"/>
      <c r="G434" s="958"/>
      <c r="H434" s="196" t="s">
        <v>49</v>
      </c>
      <c r="I434" s="966">
        <f t="shared" ref="I434:J434" ca="1" si="193">I438+I440</f>
        <v>2</v>
      </c>
      <c r="J434" s="966">
        <f t="shared" si="193"/>
        <v>2</v>
      </c>
      <c r="K434" s="967">
        <f t="shared" ca="1" si="192"/>
        <v>100</v>
      </c>
      <c r="L434" s="831"/>
      <c r="M434" s="831"/>
      <c r="N434" s="831"/>
      <c r="O434" s="831"/>
      <c r="P434" s="831"/>
      <c r="Q434" s="818"/>
      <c r="R434" s="818"/>
      <c r="S434" s="818"/>
      <c r="T434" s="818"/>
      <c r="U434" s="818"/>
      <c r="V434" s="818"/>
      <c r="W434" s="818"/>
      <c r="X434" s="818"/>
      <c r="Y434" s="818"/>
      <c r="Z434" s="818"/>
    </row>
    <row r="435" spans="1:26" ht="18.75">
      <c r="A435" s="949"/>
      <c r="B435" s="950"/>
      <c r="C435" s="950"/>
      <c r="D435" s="956" t="s">
        <v>192</v>
      </c>
      <c r="E435" s="957"/>
      <c r="F435" s="957"/>
      <c r="G435" s="958"/>
      <c r="H435" s="590" t="s">
        <v>35</v>
      </c>
      <c r="I435" s="548">
        <f ca="1">IFERROR(__xludf.DUMMYFUNCTION("IMPORTRANGE(""https://docs.google.com/spreadsheets/d/1QqKyyYR6Q21VydFLVH3TRQUabQu_ym0Zz7PgGX0-kHA/edit?usp=sharing"",""แผน!FC14"")"),60)</f>
        <v>60</v>
      </c>
      <c r="J435" s="549">
        <v>60</v>
      </c>
      <c r="K435" s="831">
        <f t="shared" ca="1" si="192"/>
        <v>100</v>
      </c>
      <c r="L435" s="831"/>
      <c r="M435" s="831"/>
      <c r="N435" s="831"/>
      <c r="O435" s="831"/>
      <c r="P435" s="831"/>
      <c r="Q435" s="818"/>
      <c r="R435" s="818"/>
      <c r="S435" s="818"/>
      <c r="T435" s="818"/>
      <c r="U435" s="818"/>
      <c r="V435" s="818"/>
      <c r="W435" s="818"/>
      <c r="X435" s="818"/>
      <c r="Y435" s="818"/>
      <c r="Z435" s="818"/>
    </row>
    <row r="436" spans="1:26" ht="18.75">
      <c r="A436" s="949"/>
      <c r="B436" s="950"/>
      <c r="C436" s="950"/>
      <c r="D436" s="956" t="s">
        <v>193</v>
      </c>
      <c r="E436" s="957"/>
      <c r="F436" s="957"/>
      <c r="G436" s="958"/>
      <c r="H436" s="590"/>
      <c r="I436" s="830"/>
      <c r="J436" s="830"/>
      <c r="K436" s="831"/>
      <c r="L436" s="831"/>
      <c r="M436" s="831"/>
      <c r="N436" s="831"/>
      <c r="O436" s="831"/>
      <c r="P436" s="831"/>
      <c r="Q436" s="818"/>
      <c r="R436" s="818"/>
      <c r="S436" s="818"/>
      <c r="T436" s="818"/>
      <c r="U436" s="818"/>
      <c r="V436" s="818"/>
      <c r="W436" s="818"/>
      <c r="X436" s="818"/>
      <c r="Y436" s="818"/>
      <c r="Z436" s="818"/>
    </row>
    <row r="437" spans="1:26" ht="18.75">
      <c r="A437" s="949"/>
      <c r="B437" s="950"/>
      <c r="C437" s="950"/>
      <c r="D437" s="956" t="s">
        <v>194</v>
      </c>
      <c r="E437" s="957"/>
      <c r="F437" s="957"/>
      <c r="G437" s="958"/>
      <c r="H437" s="590" t="s">
        <v>35</v>
      </c>
      <c r="I437" s="548">
        <f ca="1">IFERROR(__xludf.DUMMYFUNCTION("IMPORTRANGE(""https://docs.google.com/spreadsheets/d/1QqKyyYR6Q21VydFLVH3TRQUabQu_ym0Zz7PgGX0-kHA/edit?usp=sharing"",""แผน!FD14"")"),40)</f>
        <v>40</v>
      </c>
      <c r="J437" s="549">
        <v>40</v>
      </c>
      <c r="K437" s="831">
        <f t="shared" ref="K437:K443" ca="1" si="194">IF(I437&gt;0,J437*100/I437,0)</f>
        <v>100</v>
      </c>
      <c r="L437" s="831"/>
      <c r="M437" s="831"/>
      <c r="N437" s="831"/>
      <c r="O437" s="831"/>
      <c r="P437" s="831"/>
      <c r="Q437" s="818"/>
      <c r="R437" s="818"/>
      <c r="S437" s="818"/>
      <c r="T437" s="818"/>
      <c r="U437" s="818"/>
      <c r="V437" s="818"/>
      <c r="W437" s="818"/>
      <c r="X437" s="818"/>
      <c r="Y437" s="818"/>
      <c r="Z437" s="818"/>
    </row>
    <row r="438" spans="1:26" ht="18.75">
      <c r="A438" s="949"/>
      <c r="B438" s="950"/>
      <c r="C438" s="950"/>
      <c r="D438" s="956" t="s">
        <v>195</v>
      </c>
      <c r="E438" s="957"/>
      <c r="F438" s="957"/>
      <c r="G438" s="958"/>
      <c r="H438" s="590" t="s">
        <v>49</v>
      </c>
      <c r="I438" s="830">
        <f ca="1">IFERROR(__xludf.DUMMYFUNCTION("IMPORTRANGE(""https://docs.google.com/spreadsheets/d/1QqKyyYR6Q21VydFLVH3TRQUabQu_ym0Zz7PgGX0-kHA/edit?usp=sharing"",""แผน!FE14"")"),1)</f>
        <v>1</v>
      </c>
      <c r="J438" s="959">
        <v>1</v>
      </c>
      <c r="K438" s="831">
        <f t="shared" ca="1" si="194"/>
        <v>100</v>
      </c>
      <c r="L438" s="831"/>
      <c r="M438" s="831"/>
      <c r="N438" s="831"/>
      <c r="O438" s="831"/>
      <c r="P438" s="831"/>
      <c r="Q438" s="818"/>
      <c r="R438" s="818"/>
      <c r="S438" s="818"/>
      <c r="T438" s="818"/>
      <c r="U438" s="818"/>
      <c r="V438" s="818"/>
      <c r="W438" s="818"/>
      <c r="X438" s="818"/>
      <c r="Y438" s="818"/>
      <c r="Z438" s="818"/>
    </row>
    <row r="439" spans="1:26" ht="18.75">
      <c r="A439" s="949"/>
      <c r="B439" s="950"/>
      <c r="C439" s="950"/>
      <c r="D439" s="956" t="s">
        <v>196</v>
      </c>
      <c r="E439" s="957"/>
      <c r="F439" s="957"/>
      <c r="G439" s="958"/>
      <c r="H439" s="590" t="s">
        <v>35</v>
      </c>
      <c r="I439" s="548">
        <f ca="1">IFERROR(__xludf.DUMMYFUNCTION("IMPORTRANGE(""https://docs.google.com/spreadsheets/d/1QqKyyYR6Q21VydFLVH3TRQUabQu_ym0Zz7PgGX0-kHA/edit?usp=sharing"",""แผน!FF14"")"),20)</f>
        <v>20</v>
      </c>
      <c r="J439" s="549">
        <v>20</v>
      </c>
      <c r="K439" s="831">
        <f t="shared" ca="1" si="194"/>
        <v>100</v>
      </c>
      <c r="L439" s="831"/>
      <c r="M439" s="831"/>
      <c r="N439" s="831"/>
      <c r="O439" s="831"/>
      <c r="P439" s="831"/>
      <c r="Q439" s="818"/>
      <c r="R439" s="818"/>
      <c r="S439" s="818"/>
      <c r="T439" s="818"/>
      <c r="U439" s="818"/>
      <c r="V439" s="818"/>
      <c r="W439" s="818"/>
      <c r="X439" s="818"/>
      <c r="Y439" s="818"/>
      <c r="Z439" s="818"/>
    </row>
    <row r="440" spans="1:26" ht="18.75">
      <c r="A440" s="949"/>
      <c r="B440" s="950"/>
      <c r="C440" s="950"/>
      <c r="D440" s="956" t="s">
        <v>197</v>
      </c>
      <c r="E440" s="957"/>
      <c r="F440" s="957"/>
      <c r="G440" s="958"/>
      <c r="H440" s="590" t="s">
        <v>49</v>
      </c>
      <c r="I440" s="830">
        <f ca="1">IFERROR(__xludf.DUMMYFUNCTION("IMPORTRANGE(""https://docs.google.com/spreadsheets/d/1QqKyyYR6Q21VydFLVH3TRQUabQu_ym0Zz7PgGX0-kHA/edit?usp=sharing"",""แผน!FG14"")"),1)</f>
        <v>1</v>
      </c>
      <c r="J440" s="959">
        <v>1</v>
      </c>
      <c r="K440" s="831">
        <f t="shared" ca="1" si="194"/>
        <v>100</v>
      </c>
      <c r="L440" s="831"/>
      <c r="M440" s="831"/>
      <c r="N440" s="831"/>
      <c r="O440" s="831"/>
      <c r="P440" s="831"/>
      <c r="Q440" s="818"/>
      <c r="R440" s="818"/>
      <c r="S440" s="818"/>
      <c r="T440" s="818"/>
      <c r="U440" s="818"/>
      <c r="V440" s="818"/>
      <c r="W440" s="818"/>
      <c r="X440" s="818"/>
      <c r="Y440" s="818"/>
      <c r="Z440" s="818"/>
    </row>
    <row r="441" spans="1:26" ht="18.75">
      <c r="A441" s="949"/>
      <c r="B441" s="950"/>
      <c r="C441" s="950"/>
      <c r="D441" s="956" t="s">
        <v>198</v>
      </c>
      <c r="E441" s="957"/>
      <c r="F441" s="957"/>
      <c r="G441" s="958"/>
      <c r="H441" s="590" t="s">
        <v>35</v>
      </c>
      <c r="I441" s="830">
        <f ca="1">IFERROR(__xludf.DUMMYFUNCTION("IMPORTRANGE(""https://docs.google.com/spreadsheets/d/1QqKyyYR6Q21VydFLVH3TRQUabQu_ym0Zz7PgGX0-kHA/edit?usp=sharing"",""แผน!FH14"")"),0)</f>
        <v>0</v>
      </c>
      <c r="J441" s="830">
        <v>0</v>
      </c>
      <c r="K441" s="831">
        <f t="shared" ca="1" si="194"/>
        <v>0</v>
      </c>
      <c r="L441" s="831"/>
      <c r="M441" s="831"/>
      <c r="N441" s="831"/>
      <c r="O441" s="831"/>
      <c r="P441" s="831"/>
      <c r="Q441" s="818"/>
      <c r="R441" s="818"/>
      <c r="S441" s="818"/>
      <c r="T441" s="818"/>
      <c r="U441" s="818"/>
      <c r="V441" s="818"/>
      <c r="W441" s="818"/>
      <c r="X441" s="818"/>
      <c r="Y441" s="818"/>
      <c r="Z441" s="818"/>
    </row>
    <row r="442" spans="1:26" ht="19.5" hidden="1">
      <c r="A442" s="550">
        <v>2</v>
      </c>
      <c r="B442" s="1249" t="s">
        <v>199</v>
      </c>
      <c r="C442" s="1250"/>
      <c r="D442" s="1250"/>
      <c r="E442" s="1250"/>
      <c r="F442" s="1250"/>
      <c r="G442" s="1251"/>
      <c r="H442" s="554" t="s">
        <v>35</v>
      </c>
      <c r="I442" s="1252">
        <f t="shared" ref="I442:J442" ca="1" si="195">I460</f>
        <v>0</v>
      </c>
      <c r="J442" s="1252">
        <f t="shared" si="195"/>
        <v>0</v>
      </c>
      <c r="K442" s="1253">
        <f t="shared" ca="1" si="194"/>
        <v>0</v>
      </c>
      <c r="L442" s="1254"/>
      <c r="M442" s="1254"/>
      <c r="N442" s="1254"/>
      <c r="O442" s="1254"/>
      <c r="P442" s="1254"/>
      <c r="Q442" s="1244"/>
      <c r="R442" s="1244"/>
      <c r="S442" s="1244"/>
      <c r="T442" s="1244"/>
      <c r="U442" s="1244"/>
      <c r="V442" s="1244"/>
      <c r="W442" s="1244"/>
      <c r="X442" s="1244"/>
      <c r="Y442" s="1244"/>
      <c r="Z442" s="1244"/>
    </row>
    <row r="443" spans="1:26" ht="19.5" hidden="1">
      <c r="A443" s="1255"/>
      <c r="B443" s="1256"/>
      <c r="C443" s="1257"/>
      <c r="D443" s="1257"/>
      <c r="E443" s="1257"/>
      <c r="F443" s="1257"/>
      <c r="G443" s="1258"/>
      <c r="H443" s="532" t="s">
        <v>46</v>
      </c>
      <c r="I443" s="1237">
        <f t="shared" ref="I443:J443" ca="1" si="196">I462</f>
        <v>0</v>
      </c>
      <c r="J443" s="1237">
        <f t="shared" si="196"/>
        <v>0</v>
      </c>
      <c r="K443" s="1238">
        <f t="shared" ca="1" si="194"/>
        <v>0</v>
      </c>
      <c r="L443" s="1239"/>
      <c r="M443" s="1239"/>
      <c r="N443" s="1239"/>
      <c r="O443" s="1239"/>
      <c r="P443" s="1239"/>
      <c r="Q443" s="1244"/>
      <c r="R443" s="1244"/>
      <c r="S443" s="1244"/>
      <c r="T443" s="1244"/>
      <c r="U443" s="1244"/>
      <c r="V443" s="1244"/>
      <c r="W443" s="1244"/>
      <c r="X443" s="1244"/>
      <c r="Y443" s="1244"/>
      <c r="Z443" s="1244"/>
    </row>
    <row r="444" spans="1:26" ht="19.5" hidden="1">
      <c r="A444" s="1259"/>
      <c r="B444" s="1243"/>
      <c r="C444" s="1243" t="s">
        <v>16</v>
      </c>
      <c r="D444" s="1507" t="s">
        <v>17</v>
      </c>
      <c r="E444" s="1485"/>
      <c r="F444" s="1485"/>
      <c r="G444" s="963"/>
      <c r="H444" s="563" t="s">
        <v>12</v>
      </c>
      <c r="I444" s="830"/>
      <c r="J444" s="830"/>
      <c r="K444" s="831"/>
      <c r="L444" s="967">
        <f t="shared" ref="L444:N444" ca="1" si="197">L445+L446</f>
        <v>0</v>
      </c>
      <c r="M444" s="967">
        <f t="shared" si="197"/>
        <v>0</v>
      </c>
      <c r="N444" s="967">
        <f t="shared" si="197"/>
        <v>0</v>
      </c>
      <c r="O444" s="967">
        <f t="shared" ref="O444:O449" ca="1" si="198">IF(L444&gt;0,N444*100/L444,0)</f>
        <v>0</v>
      </c>
      <c r="P444" s="967">
        <f t="shared" ref="P444:P449" si="199">IF(M444&gt;0,N444*100/M444,0)</f>
        <v>0</v>
      </c>
      <c r="Q444" s="1244"/>
      <c r="R444" s="1244"/>
      <c r="S444" s="1244"/>
      <c r="T444" s="1244"/>
      <c r="U444" s="1244"/>
      <c r="V444" s="1244"/>
      <c r="W444" s="1244"/>
      <c r="X444" s="1244"/>
      <c r="Y444" s="1244"/>
      <c r="Z444" s="1244"/>
    </row>
    <row r="445" spans="1:26" ht="18.75" hidden="1">
      <c r="A445" s="1260"/>
      <c r="B445" s="1261"/>
      <c r="C445" s="1261"/>
      <c r="D445" s="1262"/>
      <c r="E445" s="1261" t="s">
        <v>184</v>
      </c>
      <c r="F445" s="1261"/>
      <c r="G445" s="1263"/>
      <c r="H445" s="165" t="s">
        <v>12</v>
      </c>
      <c r="I445" s="836"/>
      <c r="J445" s="836"/>
      <c r="K445" s="837"/>
      <c r="L445" s="837">
        <f t="shared" ref="L445:N446" si="200">L448+L455</f>
        <v>0</v>
      </c>
      <c r="M445" s="837">
        <f t="shared" si="200"/>
        <v>0</v>
      </c>
      <c r="N445" s="837">
        <f t="shared" si="200"/>
        <v>0</v>
      </c>
      <c r="O445" s="837">
        <f t="shared" si="198"/>
        <v>0</v>
      </c>
      <c r="P445" s="837">
        <f t="shared" si="199"/>
        <v>0</v>
      </c>
      <c r="Q445" s="1264"/>
      <c r="R445" s="1264"/>
      <c r="S445" s="1264"/>
      <c r="T445" s="1264"/>
      <c r="U445" s="1264"/>
      <c r="V445" s="1264"/>
      <c r="W445" s="1264"/>
      <c r="X445" s="1264"/>
      <c r="Y445" s="1264"/>
      <c r="Z445" s="1264"/>
    </row>
    <row r="446" spans="1:26" ht="18.75" hidden="1">
      <c r="A446" s="1260"/>
      <c r="B446" s="1265"/>
      <c r="C446" s="1261"/>
      <c r="D446" s="1262"/>
      <c r="E446" s="1261" t="s">
        <v>185</v>
      </c>
      <c r="F446" s="1261"/>
      <c r="G446" s="1263"/>
      <c r="H446" s="165" t="s">
        <v>12</v>
      </c>
      <c r="I446" s="836"/>
      <c r="J446" s="836"/>
      <c r="K446" s="837"/>
      <c r="L446" s="837">
        <f t="shared" ca="1" si="200"/>
        <v>0</v>
      </c>
      <c r="M446" s="837">
        <f t="shared" si="200"/>
        <v>0</v>
      </c>
      <c r="N446" s="837">
        <f t="shared" si="200"/>
        <v>0</v>
      </c>
      <c r="O446" s="837">
        <f t="shared" ca="1" si="198"/>
        <v>0</v>
      </c>
      <c r="P446" s="837">
        <f t="shared" si="199"/>
        <v>0</v>
      </c>
      <c r="Q446" s="1264"/>
      <c r="R446" s="1264"/>
      <c r="S446" s="1264"/>
      <c r="T446" s="1264"/>
      <c r="U446" s="1264"/>
      <c r="V446" s="1264"/>
      <c r="W446" s="1264"/>
      <c r="X446" s="1264"/>
      <c r="Y446" s="1264"/>
      <c r="Z446" s="1264"/>
    </row>
    <row r="447" spans="1:26" ht="18.75" hidden="1">
      <c r="A447" s="1259"/>
      <c r="B447" s="1242"/>
      <c r="C447" s="1243"/>
      <c r="D447" s="1266" t="s">
        <v>20</v>
      </c>
      <c r="E447" s="1243"/>
      <c r="F447" s="1243"/>
      <c r="G447" s="963"/>
      <c r="H447" s="778" t="s">
        <v>12</v>
      </c>
      <c r="I447" s="944"/>
      <c r="J447" s="944"/>
      <c r="K447" s="945"/>
      <c r="L447" s="831">
        <f t="shared" ref="L447:N447" ca="1" si="201">L448+L449</f>
        <v>0</v>
      </c>
      <c r="M447" s="831">
        <f t="shared" si="201"/>
        <v>0</v>
      </c>
      <c r="N447" s="831">
        <f t="shared" si="201"/>
        <v>0</v>
      </c>
      <c r="O447" s="831">
        <f t="shared" ca="1" si="198"/>
        <v>0</v>
      </c>
      <c r="P447" s="831">
        <f t="shared" si="199"/>
        <v>0</v>
      </c>
      <c r="Q447" s="1244"/>
      <c r="R447" s="1244"/>
      <c r="S447" s="1244"/>
      <c r="T447" s="1244"/>
      <c r="U447" s="1244"/>
      <c r="V447" s="1244"/>
      <c r="W447" s="1244"/>
      <c r="X447" s="1244"/>
      <c r="Y447" s="1244"/>
      <c r="Z447" s="1244"/>
    </row>
    <row r="448" spans="1:26" ht="18.75" hidden="1">
      <c r="A448" s="1260"/>
      <c r="B448" s="1265"/>
      <c r="C448" s="1261"/>
      <c r="D448" s="1262"/>
      <c r="E448" s="1261" t="s">
        <v>184</v>
      </c>
      <c r="F448" s="1261"/>
      <c r="G448" s="1263"/>
      <c r="H448" s="165" t="s">
        <v>12</v>
      </c>
      <c r="I448" s="836"/>
      <c r="J448" s="836"/>
      <c r="K448" s="837"/>
      <c r="L448" s="837">
        <v>0</v>
      </c>
      <c r="M448" s="837">
        <v>0</v>
      </c>
      <c r="N448" s="837">
        <v>0</v>
      </c>
      <c r="O448" s="837">
        <f t="shared" si="198"/>
        <v>0</v>
      </c>
      <c r="P448" s="837">
        <f t="shared" si="199"/>
        <v>0</v>
      </c>
      <c r="Q448" s="1264"/>
      <c r="R448" s="1264"/>
      <c r="S448" s="1264"/>
      <c r="T448" s="1264"/>
      <c r="U448" s="1264"/>
      <c r="V448" s="1264"/>
      <c r="W448" s="1264"/>
      <c r="X448" s="1264"/>
      <c r="Y448" s="1264"/>
      <c r="Z448" s="1264"/>
    </row>
    <row r="449" spans="1:26" ht="18.75" hidden="1">
      <c r="A449" s="1260"/>
      <c r="B449" s="1265"/>
      <c r="C449" s="1261"/>
      <c r="D449" s="1262"/>
      <c r="E449" s="1261" t="s">
        <v>185</v>
      </c>
      <c r="F449" s="1261"/>
      <c r="G449" s="1263"/>
      <c r="H449" s="165" t="s">
        <v>12</v>
      </c>
      <c r="I449" s="836"/>
      <c r="J449" s="836"/>
      <c r="K449" s="837"/>
      <c r="L449" s="837">
        <f ca="1">IFERROR(__xludf.DUMMYFUNCTION("IMPORTRANGE(""https://docs.google.com/spreadsheets/d/1QqKyyYR6Q21VydFLVH3TRQUabQu_ym0Zz7PgGX0-kHA/edit?usp=sharing"",""แผน!FJ14"")"),0)</f>
        <v>0</v>
      </c>
      <c r="M449" s="837">
        <v>0</v>
      </c>
      <c r="N449" s="837">
        <f>N450+N451+N452+N453</f>
        <v>0</v>
      </c>
      <c r="O449" s="837">
        <f t="shared" ca="1" si="198"/>
        <v>0</v>
      </c>
      <c r="P449" s="837">
        <f t="shared" si="199"/>
        <v>0</v>
      </c>
      <c r="Q449" s="1264"/>
      <c r="R449" s="1264"/>
      <c r="S449" s="1264"/>
      <c r="T449" s="1264"/>
      <c r="U449" s="1264"/>
      <c r="V449" s="1264"/>
      <c r="W449" s="1264"/>
      <c r="X449" s="1264"/>
      <c r="Y449" s="1264"/>
      <c r="Z449" s="1264"/>
    </row>
    <row r="450" spans="1:26" ht="18.75" hidden="1">
      <c r="A450" s="1241"/>
      <c r="B450" s="1242"/>
      <c r="C450" s="1243"/>
      <c r="D450" s="1243"/>
      <c r="E450" s="1243"/>
      <c r="F450" s="1243" t="s">
        <v>186</v>
      </c>
      <c r="G450" s="963"/>
      <c r="H450" s="778" t="s">
        <v>12</v>
      </c>
      <c r="I450" s="830"/>
      <c r="J450" s="830"/>
      <c r="K450" s="831"/>
      <c r="L450" s="831"/>
      <c r="M450" s="831"/>
      <c r="N450" s="1031">
        <v>0</v>
      </c>
      <c r="O450" s="831"/>
      <c r="P450" s="831"/>
      <c r="Q450" s="1244"/>
      <c r="R450" s="1244"/>
      <c r="S450" s="1244"/>
      <c r="T450" s="1244"/>
      <c r="U450" s="1244"/>
      <c r="V450" s="1244"/>
      <c r="W450" s="1244"/>
      <c r="X450" s="1244"/>
      <c r="Y450" s="1244"/>
      <c r="Z450" s="1244"/>
    </row>
    <row r="451" spans="1:26" ht="18.75" hidden="1">
      <c r="A451" s="1241"/>
      <c r="B451" s="1242"/>
      <c r="C451" s="1243"/>
      <c r="D451" s="1243"/>
      <c r="E451" s="1243"/>
      <c r="F451" s="1243" t="s">
        <v>187</v>
      </c>
      <c r="G451" s="963"/>
      <c r="H451" s="778" t="s">
        <v>12</v>
      </c>
      <c r="I451" s="830"/>
      <c r="J451" s="830"/>
      <c r="K451" s="831"/>
      <c r="L451" s="831"/>
      <c r="M451" s="831"/>
      <c r="N451" s="1031">
        <v>0</v>
      </c>
      <c r="O451" s="831"/>
      <c r="P451" s="831"/>
      <c r="Q451" s="1244"/>
      <c r="R451" s="1244"/>
      <c r="S451" s="1244"/>
      <c r="T451" s="1244"/>
      <c r="U451" s="1244"/>
      <c r="V451" s="1244"/>
      <c r="W451" s="1244"/>
      <c r="X451" s="1244"/>
      <c r="Y451" s="1244"/>
      <c r="Z451" s="1244"/>
    </row>
    <row r="452" spans="1:26" ht="18.75" hidden="1">
      <c r="A452" s="1241"/>
      <c r="B452" s="1242"/>
      <c r="C452" s="1242"/>
      <c r="D452" s="1242"/>
      <c r="E452" s="1242"/>
      <c r="F452" s="1243" t="s">
        <v>188</v>
      </c>
      <c r="G452" s="963"/>
      <c r="H452" s="778" t="s">
        <v>12</v>
      </c>
      <c r="I452" s="830"/>
      <c r="J452" s="830"/>
      <c r="K452" s="831"/>
      <c r="L452" s="831"/>
      <c r="M452" s="831"/>
      <c r="N452" s="1031">
        <v>0</v>
      </c>
      <c r="O452" s="831"/>
      <c r="P452" s="831"/>
      <c r="Q452" s="1244"/>
      <c r="R452" s="1244"/>
      <c r="S452" s="1244"/>
      <c r="T452" s="1244"/>
      <c r="U452" s="1244"/>
      <c r="V452" s="1244"/>
      <c r="W452" s="1244"/>
      <c r="X452" s="1244"/>
      <c r="Y452" s="1244"/>
      <c r="Z452" s="1244"/>
    </row>
    <row r="453" spans="1:26" ht="18.75" hidden="1">
      <c r="A453" s="1241"/>
      <c r="B453" s="1242"/>
      <c r="C453" s="1242"/>
      <c r="D453" s="1242"/>
      <c r="E453" s="1242"/>
      <c r="F453" s="1243" t="s">
        <v>189</v>
      </c>
      <c r="G453" s="963"/>
      <c r="H453" s="778" t="s">
        <v>12</v>
      </c>
      <c r="I453" s="830"/>
      <c r="J453" s="830"/>
      <c r="K453" s="831"/>
      <c r="L453" s="831"/>
      <c r="M453" s="831"/>
      <c r="N453" s="1031">
        <v>0</v>
      </c>
      <c r="O453" s="831"/>
      <c r="P453" s="831"/>
      <c r="Q453" s="1244"/>
      <c r="R453" s="1244"/>
      <c r="S453" s="1244"/>
      <c r="T453" s="1244"/>
      <c r="U453" s="1244"/>
      <c r="V453" s="1244"/>
      <c r="W453" s="1244"/>
      <c r="X453" s="1244"/>
      <c r="Y453" s="1244"/>
      <c r="Z453" s="1244"/>
    </row>
    <row r="454" spans="1:26" ht="18.75" hidden="1">
      <c r="A454" s="1259"/>
      <c r="B454" s="1242"/>
      <c r="C454" s="1242"/>
      <c r="D454" s="1266" t="s">
        <v>21</v>
      </c>
      <c r="E454" s="1242"/>
      <c r="F454" s="1243"/>
      <c r="G454" s="963"/>
      <c r="H454" s="168" t="s">
        <v>12</v>
      </c>
      <c r="I454" s="944"/>
      <c r="J454" s="944"/>
      <c r="K454" s="945"/>
      <c r="L454" s="831">
        <f t="shared" ref="L454:N454" ca="1" si="202">L455+L456</f>
        <v>0</v>
      </c>
      <c r="M454" s="831">
        <f t="shared" si="202"/>
        <v>0</v>
      </c>
      <c r="N454" s="831">
        <f t="shared" si="202"/>
        <v>0</v>
      </c>
      <c r="O454" s="831">
        <f t="shared" ref="O454:O456" ca="1" si="203">IF(L454&gt;0,N454*100/L454,0)</f>
        <v>0</v>
      </c>
      <c r="P454" s="831">
        <f t="shared" ref="P454:P456" si="204">IF(M454&gt;0,N454*100/M454,0)</f>
        <v>0</v>
      </c>
      <c r="Q454" s="1244"/>
      <c r="R454" s="1244"/>
      <c r="S454" s="1244"/>
      <c r="T454" s="1244"/>
      <c r="U454" s="1244"/>
      <c r="V454" s="1244"/>
      <c r="W454" s="1244"/>
      <c r="X454" s="1244"/>
      <c r="Y454" s="1244"/>
      <c r="Z454" s="1244"/>
    </row>
    <row r="455" spans="1:26" ht="18.75" hidden="1">
      <c r="A455" s="1260"/>
      <c r="B455" s="1265"/>
      <c r="C455" s="1265"/>
      <c r="D455" s="1265"/>
      <c r="E455" s="1265" t="s">
        <v>18</v>
      </c>
      <c r="F455" s="1261"/>
      <c r="G455" s="1263"/>
      <c r="H455" s="165" t="s">
        <v>12</v>
      </c>
      <c r="I455" s="947"/>
      <c r="J455" s="947"/>
      <c r="K455" s="948"/>
      <c r="L455" s="837">
        <v>0</v>
      </c>
      <c r="M455" s="837">
        <v>0</v>
      </c>
      <c r="N455" s="837">
        <v>0</v>
      </c>
      <c r="O455" s="837">
        <f t="shared" si="203"/>
        <v>0</v>
      </c>
      <c r="P455" s="837">
        <f t="shared" si="204"/>
        <v>0</v>
      </c>
      <c r="Q455" s="1264"/>
      <c r="R455" s="1264"/>
      <c r="S455" s="1264"/>
      <c r="T455" s="1264"/>
      <c r="U455" s="1264"/>
      <c r="V455" s="1264"/>
      <c r="W455" s="1264"/>
      <c r="X455" s="1264"/>
      <c r="Y455" s="1264"/>
      <c r="Z455" s="1264"/>
    </row>
    <row r="456" spans="1:26" ht="18.75" hidden="1">
      <c r="A456" s="1260"/>
      <c r="B456" s="1265"/>
      <c r="C456" s="1265"/>
      <c r="D456" s="1265"/>
      <c r="E456" s="1265" t="s">
        <v>19</v>
      </c>
      <c r="F456" s="1261"/>
      <c r="G456" s="1263"/>
      <c r="H456" s="169" t="s">
        <v>12</v>
      </c>
      <c r="I456" s="947"/>
      <c r="J456" s="947"/>
      <c r="K456" s="948"/>
      <c r="L456" s="837">
        <f ca="1">IFERROR(__xludf.DUMMYFUNCTION("IMPORTRANGE(""https://docs.google.com/spreadsheets/d/1QqKyyYR6Q21VydFLVH3TRQUabQu_ym0Zz7PgGX0-kHA/edit?usp=sharing"",""แผน!FM14"")"),0)</f>
        <v>0</v>
      </c>
      <c r="M456" s="837">
        <v>0</v>
      </c>
      <c r="N456" s="837">
        <v>0</v>
      </c>
      <c r="O456" s="837">
        <f t="shared" ca="1" si="203"/>
        <v>0</v>
      </c>
      <c r="P456" s="837">
        <f t="shared" si="204"/>
        <v>0</v>
      </c>
      <c r="Q456" s="1264"/>
      <c r="R456" s="1264"/>
      <c r="S456" s="1264"/>
      <c r="T456" s="1264"/>
      <c r="U456" s="1264"/>
      <c r="V456" s="1264"/>
      <c r="W456" s="1264"/>
      <c r="X456" s="1264"/>
      <c r="Y456" s="1264"/>
      <c r="Z456" s="1264"/>
    </row>
    <row r="457" spans="1:26" ht="19.5" hidden="1">
      <c r="A457" s="1267"/>
      <c r="B457" s="1268"/>
      <c r="C457" s="1242" t="s">
        <v>16</v>
      </c>
      <c r="D457" s="1269" t="s">
        <v>38</v>
      </c>
      <c r="E457" s="1270"/>
      <c r="F457" s="1271"/>
      <c r="G457" s="1272"/>
      <c r="H457" s="954"/>
      <c r="I457" s="830"/>
      <c r="J457" s="830"/>
      <c r="K457" s="831"/>
      <c r="L457" s="831"/>
      <c r="M457" s="831"/>
      <c r="N457" s="831"/>
      <c r="O457" s="831"/>
      <c r="P457" s="831"/>
      <c r="Q457" s="1244"/>
      <c r="R457" s="1244"/>
      <c r="S457" s="1244"/>
      <c r="T457" s="1244"/>
      <c r="U457" s="1244"/>
      <c r="V457" s="1244"/>
      <c r="W457" s="1244"/>
      <c r="X457" s="1244"/>
      <c r="Y457" s="1244"/>
      <c r="Z457" s="1244"/>
    </row>
    <row r="458" spans="1:26" ht="18.75" hidden="1">
      <c r="A458" s="1273"/>
      <c r="B458" s="1274"/>
      <c r="C458" s="1274"/>
      <c r="D458" s="1274" t="s">
        <v>200</v>
      </c>
      <c r="E458" s="1274"/>
      <c r="F458" s="1262"/>
      <c r="G458" s="1060"/>
      <c r="H458" s="583" t="s">
        <v>35</v>
      </c>
      <c r="I458" s="836">
        <v>0</v>
      </c>
      <c r="J458" s="836">
        <v>0</v>
      </c>
      <c r="K458" s="837">
        <f>IF(I458&gt;0,J458*100/I458,0)</f>
        <v>0</v>
      </c>
      <c r="L458" s="837"/>
      <c r="M458" s="837"/>
      <c r="N458" s="837"/>
      <c r="O458" s="837"/>
      <c r="P458" s="837"/>
      <c r="Q458" s="1264"/>
      <c r="R458" s="1264"/>
      <c r="S458" s="1264"/>
      <c r="T458" s="1264"/>
      <c r="U458" s="1264"/>
      <c r="V458" s="1264"/>
      <c r="W458" s="1264"/>
      <c r="X458" s="1264"/>
      <c r="Y458" s="1264"/>
      <c r="Z458" s="1264"/>
    </row>
    <row r="459" spans="1:26" ht="18.75" hidden="1">
      <c r="A459" s="1273"/>
      <c r="B459" s="1274"/>
      <c r="C459" s="1274"/>
      <c r="D459" s="1274" t="s">
        <v>201</v>
      </c>
      <c r="E459" s="1274"/>
      <c r="F459" s="1262"/>
      <c r="G459" s="1060"/>
      <c r="H459" s="583"/>
      <c r="I459" s="836"/>
      <c r="J459" s="836"/>
      <c r="K459" s="837"/>
      <c r="L459" s="837"/>
      <c r="M459" s="837"/>
      <c r="N459" s="837"/>
      <c r="O459" s="837"/>
      <c r="P459" s="837"/>
      <c r="Q459" s="1264"/>
      <c r="R459" s="1264"/>
      <c r="S459" s="1264"/>
      <c r="T459" s="1264"/>
      <c r="U459" s="1264"/>
      <c r="V459" s="1264"/>
      <c r="W459" s="1264"/>
      <c r="X459" s="1264"/>
      <c r="Y459" s="1264"/>
      <c r="Z459" s="1264"/>
    </row>
    <row r="460" spans="1:26" ht="18.75" hidden="1">
      <c r="A460" s="1267"/>
      <c r="B460" s="1268"/>
      <c r="C460" s="1268"/>
      <c r="D460" s="1268" t="s">
        <v>202</v>
      </c>
      <c r="E460" s="1268"/>
      <c r="F460" s="961"/>
      <c r="G460" s="954"/>
      <c r="H460" s="730" t="s">
        <v>35</v>
      </c>
      <c r="I460" s="830">
        <f ca="1">IFERROR(__xludf.DUMMYFUNCTION("IMPORTRANGE(""https://docs.google.com/spreadsheets/d/1QqKyyYR6Q21VydFLVH3TRQUabQu_ym0Zz7PgGX0-kHA/edit?usp=sharing"",""แผน!FN14"")"),0)</f>
        <v>0</v>
      </c>
      <c r="J460" s="959">
        <v>0</v>
      </c>
      <c r="K460" s="831">
        <f ca="1">IF(I460&gt;0,J460*100/I460,0)</f>
        <v>0</v>
      </c>
      <c r="L460" s="831"/>
      <c r="M460" s="831"/>
      <c r="N460" s="831"/>
      <c r="O460" s="831"/>
      <c r="P460" s="831"/>
      <c r="Q460" s="1244"/>
      <c r="R460" s="1244"/>
      <c r="S460" s="1244"/>
      <c r="T460" s="1244"/>
      <c r="U460" s="1244"/>
      <c r="V460" s="1244"/>
      <c r="W460" s="1244"/>
      <c r="X460" s="1244"/>
      <c r="Y460" s="1244"/>
      <c r="Z460" s="1244"/>
    </row>
    <row r="461" spans="1:26" ht="18.75" hidden="1">
      <c r="A461" s="1267"/>
      <c r="B461" s="1268"/>
      <c r="C461" s="1268"/>
      <c r="D461" s="1268" t="s">
        <v>203</v>
      </c>
      <c r="E461" s="961"/>
      <c r="F461" s="961"/>
      <c r="G461" s="954"/>
      <c r="H461" s="730"/>
      <c r="I461" s="830"/>
      <c r="J461" s="830"/>
      <c r="K461" s="831"/>
      <c r="L461" s="831"/>
      <c r="M461" s="831"/>
      <c r="N461" s="831"/>
      <c r="O461" s="831"/>
      <c r="P461" s="831"/>
      <c r="Q461" s="1244"/>
      <c r="R461" s="1244"/>
      <c r="S461" s="1244"/>
      <c r="T461" s="1244"/>
      <c r="U461" s="1244"/>
      <c r="V461" s="1244"/>
      <c r="W461" s="1244"/>
      <c r="X461" s="1244"/>
      <c r="Y461" s="1244"/>
      <c r="Z461" s="1244"/>
    </row>
    <row r="462" spans="1:26" ht="18.75" hidden="1">
      <c r="A462" s="1267"/>
      <c r="B462" s="1268"/>
      <c r="C462" s="1268"/>
      <c r="D462" s="1268" t="s">
        <v>204</v>
      </c>
      <c r="E462" s="961"/>
      <c r="F462" s="961"/>
      <c r="G462" s="954"/>
      <c r="H462" s="730" t="s">
        <v>46</v>
      </c>
      <c r="I462" s="830">
        <f ca="1">IFERROR(__xludf.DUMMYFUNCTION("IMPORTRANGE(""https://docs.google.com/spreadsheets/d/1QqKyyYR6Q21VydFLVH3TRQUabQu_ym0Zz7PgGX0-kHA/edit?usp=sharing"",""แผน!FO14"")"),0)</f>
        <v>0</v>
      </c>
      <c r="J462" s="959">
        <v>0</v>
      </c>
      <c r="K462" s="831">
        <f ca="1">IF(I462&gt;0,J462*100/I462,0)</f>
        <v>0</v>
      </c>
      <c r="L462" s="831"/>
      <c r="M462" s="831"/>
      <c r="N462" s="831"/>
      <c r="O462" s="831"/>
      <c r="P462" s="831"/>
      <c r="Q462" s="1244"/>
      <c r="R462" s="1244"/>
      <c r="S462" s="1244"/>
      <c r="T462" s="1244"/>
      <c r="U462" s="1244"/>
      <c r="V462" s="1244"/>
      <c r="W462" s="1244"/>
      <c r="X462" s="1244"/>
      <c r="Y462" s="1244"/>
      <c r="Z462" s="1244"/>
    </row>
    <row r="463" spans="1:26" ht="18.75" hidden="1">
      <c r="A463" s="1267"/>
      <c r="B463" s="1268"/>
      <c r="C463" s="1268"/>
      <c r="D463" s="1268" t="s">
        <v>59</v>
      </c>
      <c r="E463" s="961"/>
      <c r="F463" s="1243"/>
      <c r="G463" s="963"/>
      <c r="H463" s="730" t="s">
        <v>46</v>
      </c>
      <c r="I463" s="830">
        <f ca="1">IFERROR(__xludf.DUMMYFUNCTION("IMPORTRANGE(""https://docs.google.com/spreadsheets/d/1QqKyyYR6Q21VydFLVH3TRQUabQu_ym0Zz7PgGX0-kHA/edit?usp=sharing"",""แผน!FO14"")"),0)</f>
        <v>0</v>
      </c>
      <c r="J463" s="959">
        <v>0</v>
      </c>
      <c r="K463" s="831"/>
      <c r="L463" s="831"/>
      <c r="M463" s="831"/>
      <c r="N463" s="831"/>
      <c r="O463" s="831"/>
      <c r="P463" s="831"/>
      <c r="Q463" s="1244"/>
      <c r="R463" s="1244"/>
      <c r="S463" s="1244"/>
      <c r="T463" s="1244"/>
      <c r="U463" s="1244"/>
      <c r="V463" s="1244"/>
      <c r="W463" s="1244"/>
      <c r="X463" s="1244"/>
      <c r="Y463" s="1244"/>
      <c r="Z463" s="1244"/>
    </row>
    <row r="464" spans="1:26" ht="19.5" hidden="1">
      <c r="A464" s="1267"/>
      <c r="B464" s="1268"/>
      <c r="C464" s="1268"/>
      <c r="D464" s="1268"/>
      <c r="E464" s="961"/>
      <c r="F464" s="961"/>
      <c r="G464" s="1275"/>
      <c r="H464" s="730" t="s">
        <v>35</v>
      </c>
      <c r="I464" s="830">
        <f ca="1">IFERROR(__xludf.DUMMYFUNCTION("IMPORTRANGE(""https://docs.google.com/spreadsheets/d/1QqKyyYR6Q21VydFLVH3TRQUabQu_ym0Zz7PgGX0-kHA/edit?usp=sharing"",""แผน!FN14"")"),0)</f>
        <v>0</v>
      </c>
      <c r="J464" s="959">
        <v>0</v>
      </c>
      <c r="K464" s="831"/>
      <c r="L464" s="831"/>
      <c r="M464" s="831"/>
      <c r="N464" s="831"/>
      <c r="O464" s="831"/>
      <c r="P464" s="831"/>
      <c r="Q464" s="1244"/>
      <c r="R464" s="1244"/>
      <c r="S464" s="1244"/>
      <c r="T464" s="1244"/>
      <c r="U464" s="1244"/>
      <c r="V464" s="1244"/>
      <c r="W464" s="1244"/>
      <c r="X464" s="1244"/>
      <c r="Y464" s="1244"/>
      <c r="Z464" s="1244"/>
    </row>
    <row r="465" spans="1:26" ht="19.5">
      <c r="A465" s="550">
        <v>3</v>
      </c>
      <c r="B465" s="1249" t="s">
        <v>205</v>
      </c>
      <c r="C465" s="1250"/>
      <c r="D465" s="1250"/>
      <c r="E465" s="1250"/>
      <c r="F465" s="1250"/>
      <c r="G465" s="1251"/>
      <c r="H465" s="554" t="s">
        <v>35</v>
      </c>
      <c r="I465" s="1252">
        <f ca="1">IFERROR(__xludf.DUMMYFUNCTION("IMPORTRANGE(""https://docs.google.com/spreadsheets/d/1QqKyyYR6Q21VydFLVH3TRQUabQu_ym0Zz7PgGX0-kHA/edit?usp=sharing"",""แผน!FX14"")"),131)</f>
        <v>131</v>
      </c>
      <c r="J465" s="1252">
        <f>J485+J489+J492</f>
        <v>131</v>
      </c>
      <c r="K465" s="1253">
        <f t="shared" ref="K465:K466" ca="1" si="205">IF(I465&gt;0,J465*100/I465,0)</f>
        <v>100</v>
      </c>
      <c r="L465" s="1254"/>
      <c r="M465" s="1254"/>
      <c r="N465" s="1254"/>
      <c r="O465" s="1254"/>
      <c r="P465" s="1254"/>
      <c r="Q465" s="1244"/>
      <c r="R465" s="1244"/>
      <c r="S465" s="1244"/>
      <c r="T465" s="1244"/>
      <c r="U465" s="1244"/>
      <c r="V465" s="1244"/>
      <c r="W465" s="1244"/>
      <c r="X465" s="1244"/>
      <c r="Y465" s="1244"/>
      <c r="Z465" s="1244"/>
    </row>
    <row r="466" spans="1:26" ht="19.5">
      <c r="A466" s="1255"/>
      <c r="B466" s="1256"/>
      <c r="C466" s="1257"/>
      <c r="D466" s="1257"/>
      <c r="E466" s="1257"/>
      <c r="F466" s="1257"/>
      <c r="G466" s="1258"/>
      <c r="H466" s="532" t="s">
        <v>46</v>
      </c>
      <c r="I466" s="1237">
        <f ca="1">IFERROR(__xludf.DUMMYFUNCTION("IMPORTRANGE(""https://docs.google.com/spreadsheets/d/1QqKyyYR6Q21VydFLVH3TRQUabQu_ym0Zz7PgGX0-kHA/edit?usp=sharing"",""แผน!FW14"")"),1300)</f>
        <v>1300</v>
      </c>
      <c r="J466" s="1237">
        <f>J495+J498</f>
        <v>0</v>
      </c>
      <c r="K466" s="1238">
        <f t="shared" ca="1" si="205"/>
        <v>0</v>
      </c>
      <c r="L466" s="1239"/>
      <c r="M466" s="1239"/>
      <c r="N466" s="1239"/>
      <c r="O466" s="1239"/>
      <c r="P466" s="1239"/>
      <c r="Q466" s="1244"/>
      <c r="R466" s="1244"/>
      <c r="S466" s="1244"/>
      <c r="T466" s="1244"/>
      <c r="U466" s="1244"/>
      <c r="V466" s="1244"/>
      <c r="W466" s="1244"/>
      <c r="X466" s="1244"/>
      <c r="Y466" s="1244"/>
      <c r="Z466" s="1244"/>
    </row>
    <row r="467" spans="1:26" ht="19.5">
      <c r="A467" s="1259"/>
      <c r="B467" s="1243"/>
      <c r="C467" s="1243" t="s">
        <v>16</v>
      </c>
      <c r="D467" s="1507" t="s">
        <v>17</v>
      </c>
      <c r="E467" s="1485"/>
      <c r="F467" s="1485"/>
      <c r="G467" s="963"/>
      <c r="H467" s="563" t="s">
        <v>12</v>
      </c>
      <c r="I467" s="830"/>
      <c r="J467" s="830"/>
      <c r="K467" s="831"/>
      <c r="L467" s="967">
        <f t="shared" ref="L467:N467" ca="1" si="206">L468+L469</f>
        <v>1167958</v>
      </c>
      <c r="M467" s="967">
        <f t="shared" si="206"/>
        <v>0</v>
      </c>
      <c r="N467" s="967">
        <f t="shared" si="206"/>
        <v>216691</v>
      </c>
      <c r="O467" s="967">
        <f t="shared" ref="O467:O472" ca="1" si="207">IF(L467&gt;0,N467*100/L467,0)</f>
        <v>18.552978788620823</v>
      </c>
      <c r="P467" s="967">
        <f t="shared" ref="P467:P472" si="208">IF(M467&gt;0,N467*100/M467,0)</f>
        <v>0</v>
      </c>
      <c r="Q467" s="1244"/>
      <c r="R467" s="1244"/>
      <c r="S467" s="1244"/>
      <c r="T467" s="1244"/>
      <c r="U467" s="1244"/>
      <c r="V467" s="1244"/>
      <c r="W467" s="1244"/>
      <c r="X467" s="1244"/>
      <c r="Y467" s="1244"/>
      <c r="Z467" s="1244"/>
    </row>
    <row r="468" spans="1:26" ht="18.75" hidden="1">
      <c r="A468" s="1260"/>
      <c r="B468" s="1261"/>
      <c r="C468" s="1261"/>
      <c r="D468" s="1262"/>
      <c r="E468" s="1261" t="s">
        <v>184</v>
      </c>
      <c r="F468" s="1261"/>
      <c r="G468" s="1263"/>
      <c r="H468" s="165" t="s">
        <v>12</v>
      </c>
      <c r="I468" s="836"/>
      <c r="J468" s="836"/>
      <c r="K468" s="837"/>
      <c r="L468" s="837">
        <f t="shared" ref="L468:N469" si="209">L471+L478</f>
        <v>0</v>
      </c>
      <c r="M468" s="837">
        <f t="shared" si="209"/>
        <v>0</v>
      </c>
      <c r="N468" s="837">
        <f t="shared" si="209"/>
        <v>0</v>
      </c>
      <c r="O468" s="837">
        <f t="shared" si="207"/>
        <v>0</v>
      </c>
      <c r="P468" s="837">
        <f t="shared" si="208"/>
        <v>0</v>
      </c>
      <c r="Q468" s="1264"/>
      <c r="R468" s="1264"/>
      <c r="S468" s="1264"/>
      <c r="T468" s="1264"/>
      <c r="U468" s="1264"/>
      <c r="V468" s="1264"/>
      <c r="W468" s="1264"/>
      <c r="X468" s="1264"/>
      <c r="Y468" s="1264"/>
      <c r="Z468" s="1264"/>
    </row>
    <row r="469" spans="1:26" ht="18.75" hidden="1">
      <c r="A469" s="1260"/>
      <c r="B469" s="1265"/>
      <c r="C469" s="1261"/>
      <c r="D469" s="1262"/>
      <c r="E469" s="1261" t="s">
        <v>185</v>
      </c>
      <c r="F469" s="1261"/>
      <c r="G469" s="1263"/>
      <c r="H469" s="165" t="s">
        <v>12</v>
      </c>
      <c r="I469" s="836"/>
      <c r="J469" s="836"/>
      <c r="K469" s="837"/>
      <c r="L469" s="837">
        <f t="shared" ca="1" si="209"/>
        <v>1167958</v>
      </c>
      <c r="M469" s="837">
        <f t="shared" si="209"/>
        <v>0</v>
      </c>
      <c r="N469" s="837">
        <f t="shared" si="209"/>
        <v>216691</v>
      </c>
      <c r="O469" s="837">
        <f t="shared" ca="1" si="207"/>
        <v>18.552978788620823</v>
      </c>
      <c r="P469" s="837">
        <f t="shared" si="208"/>
        <v>0</v>
      </c>
      <c r="Q469" s="1264"/>
      <c r="R469" s="1264"/>
      <c r="S469" s="1264"/>
      <c r="T469" s="1264"/>
      <c r="U469" s="1264"/>
      <c r="V469" s="1264"/>
      <c r="W469" s="1264"/>
      <c r="X469" s="1264"/>
      <c r="Y469" s="1264"/>
      <c r="Z469" s="1264"/>
    </row>
    <row r="470" spans="1:26" ht="18.75">
      <c r="A470" s="1259"/>
      <c r="B470" s="1242"/>
      <c r="C470" s="1243"/>
      <c r="D470" s="1266" t="s">
        <v>20</v>
      </c>
      <c r="E470" s="1243"/>
      <c r="F470" s="1243"/>
      <c r="G470" s="963"/>
      <c r="H470" s="778" t="s">
        <v>12</v>
      </c>
      <c r="I470" s="944"/>
      <c r="J470" s="944"/>
      <c r="K470" s="945"/>
      <c r="L470" s="831">
        <f t="shared" ref="L470:N470" ca="1" si="210">L471+L472</f>
        <v>1167958</v>
      </c>
      <c r="M470" s="831">
        <f t="shared" si="210"/>
        <v>0</v>
      </c>
      <c r="N470" s="831">
        <f t="shared" si="210"/>
        <v>216691</v>
      </c>
      <c r="O470" s="831">
        <f t="shared" ca="1" si="207"/>
        <v>18.552978788620823</v>
      </c>
      <c r="P470" s="831">
        <f t="shared" si="208"/>
        <v>0</v>
      </c>
      <c r="Q470" s="1244"/>
      <c r="R470" s="1244"/>
      <c r="S470" s="1244"/>
      <c r="T470" s="1244"/>
      <c r="U470" s="1244"/>
      <c r="V470" s="1244"/>
      <c r="W470" s="1244"/>
      <c r="X470" s="1244"/>
      <c r="Y470" s="1244"/>
      <c r="Z470" s="1244"/>
    </row>
    <row r="471" spans="1:26" ht="18.75" hidden="1">
      <c r="A471" s="1260"/>
      <c r="B471" s="1265"/>
      <c r="C471" s="1261"/>
      <c r="D471" s="1262"/>
      <c r="E471" s="1261" t="s">
        <v>184</v>
      </c>
      <c r="F471" s="1261"/>
      <c r="G471" s="1263"/>
      <c r="H471" s="165" t="s">
        <v>12</v>
      </c>
      <c r="I471" s="836"/>
      <c r="J471" s="836"/>
      <c r="K471" s="837"/>
      <c r="L471" s="837">
        <v>0</v>
      </c>
      <c r="M471" s="837">
        <v>0</v>
      </c>
      <c r="N471" s="837">
        <v>0</v>
      </c>
      <c r="O471" s="837">
        <f t="shared" si="207"/>
        <v>0</v>
      </c>
      <c r="P471" s="837">
        <f t="shared" si="208"/>
        <v>0</v>
      </c>
      <c r="Q471" s="1264"/>
      <c r="R471" s="1264"/>
      <c r="S471" s="1264"/>
      <c r="T471" s="1264"/>
      <c r="U471" s="1264"/>
      <c r="V471" s="1264"/>
      <c r="W471" s="1264"/>
      <c r="X471" s="1264"/>
      <c r="Y471" s="1264"/>
      <c r="Z471" s="1264"/>
    </row>
    <row r="472" spans="1:26" ht="18.75" hidden="1">
      <c r="A472" s="1260"/>
      <c r="B472" s="1265"/>
      <c r="C472" s="1261"/>
      <c r="D472" s="1262"/>
      <c r="E472" s="1261" t="s">
        <v>185</v>
      </c>
      <c r="F472" s="1261"/>
      <c r="G472" s="1263"/>
      <c r="H472" s="165" t="s">
        <v>12</v>
      </c>
      <c r="I472" s="836"/>
      <c r="J472" s="836"/>
      <c r="K472" s="837"/>
      <c r="L472" s="837">
        <f ca="1">IFERROR(__xludf.DUMMYFUNCTION("IMPORTRANGE(""https://docs.google.com/spreadsheets/d/1QqKyyYR6Q21VydFLVH3TRQUabQu_ym0Zz7PgGX0-kHA/edit?usp=sharing"",""แผน!FS14"")"),1167958)</f>
        <v>1167958</v>
      </c>
      <c r="M472" s="837">
        <v>0</v>
      </c>
      <c r="N472" s="837">
        <f>N473+N474+N475+N476</f>
        <v>216691</v>
      </c>
      <c r="O472" s="837">
        <f t="shared" ca="1" si="207"/>
        <v>18.552978788620823</v>
      </c>
      <c r="P472" s="837">
        <f t="shared" si="208"/>
        <v>0</v>
      </c>
      <c r="Q472" s="1264"/>
      <c r="R472" s="1264"/>
      <c r="S472" s="1264"/>
      <c r="T472" s="1264"/>
      <c r="U472" s="1264"/>
      <c r="V472" s="1264"/>
      <c r="W472" s="1264"/>
      <c r="X472" s="1264"/>
      <c r="Y472" s="1264"/>
      <c r="Z472" s="1264"/>
    </row>
    <row r="473" spans="1:26" ht="18.75">
      <c r="A473" s="1241"/>
      <c r="B473" s="1242"/>
      <c r="C473" s="1243"/>
      <c r="D473" s="1243"/>
      <c r="E473" s="1243"/>
      <c r="F473" s="1243" t="s">
        <v>186</v>
      </c>
      <c r="G473" s="963"/>
      <c r="H473" s="778" t="s">
        <v>12</v>
      </c>
      <c r="I473" s="830"/>
      <c r="J473" s="830"/>
      <c r="K473" s="831"/>
      <c r="L473" s="831"/>
      <c r="M473" s="831"/>
      <c r="N473" s="1031">
        <v>152451</v>
      </c>
      <c r="O473" s="831"/>
      <c r="P473" s="831"/>
      <c r="Q473" s="1244"/>
      <c r="R473" s="1244"/>
      <c r="S473" s="1244"/>
      <c r="T473" s="1244"/>
      <c r="U473" s="1244"/>
      <c r="V473" s="1244"/>
      <c r="W473" s="1244"/>
      <c r="X473" s="1244"/>
      <c r="Y473" s="1244"/>
      <c r="Z473" s="1244"/>
    </row>
    <row r="474" spans="1:26" ht="18.75">
      <c r="A474" s="1241"/>
      <c r="B474" s="1242"/>
      <c r="C474" s="1243"/>
      <c r="D474" s="1243"/>
      <c r="E474" s="1243"/>
      <c r="F474" s="1243" t="s">
        <v>187</v>
      </c>
      <c r="G474" s="963"/>
      <c r="H474" s="778" t="s">
        <v>12</v>
      </c>
      <c r="I474" s="830"/>
      <c r="J474" s="830"/>
      <c r="K474" s="831"/>
      <c r="L474" s="831"/>
      <c r="M474" s="831"/>
      <c r="N474" s="1031">
        <v>0</v>
      </c>
      <c r="O474" s="831"/>
      <c r="P474" s="831"/>
      <c r="Q474" s="1244"/>
      <c r="R474" s="1244"/>
      <c r="S474" s="1244"/>
      <c r="T474" s="1244"/>
      <c r="U474" s="1244"/>
      <c r="V474" s="1244"/>
      <c r="W474" s="1244"/>
      <c r="X474" s="1244"/>
      <c r="Y474" s="1244"/>
      <c r="Z474" s="1244"/>
    </row>
    <row r="475" spans="1:26" ht="18.75">
      <c r="A475" s="1241"/>
      <c r="B475" s="1242"/>
      <c r="C475" s="1242"/>
      <c r="D475" s="1242"/>
      <c r="E475" s="1242"/>
      <c r="F475" s="1243" t="s">
        <v>188</v>
      </c>
      <c r="G475" s="963"/>
      <c r="H475" s="778" t="s">
        <v>12</v>
      </c>
      <c r="I475" s="830"/>
      <c r="J475" s="830"/>
      <c r="K475" s="831"/>
      <c r="L475" s="831"/>
      <c r="M475" s="831"/>
      <c r="N475" s="1031">
        <v>52000</v>
      </c>
      <c r="O475" s="831"/>
      <c r="P475" s="831"/>
      <c r="Q475" s="1244"/>
      <c r="R475" s="1244"/>
      <c r="S475" s="1244"/>
      <c r="T475" s="1244"/>
      <c r="U475" s="1244"/>
      <c r="V475" s="1244"/>
      <c r="W475" s="1244"/>
      <c r="X475" s="1244"/>
      <c r="Y475" s="1244"/>
      <c r="Z475" s="1244"/>
    </row>
    <row r="476" spans="1:26" ht="18.75">
      <c r="A476" s="1241"/>
      <c r="B476" s="1242"/>
      <c r="C476" s="1242"/>
      <c r="D476" s="1242"/>
      <c r="E476" s="1242"/>
      <c r="F476" s="1243" t="s">
        <v>189</v>
      </c>
      <c r="G476" s="963"/>
      <c r="H476" s="778" t="s">
        <v>12</v>
      </c>
      <c r="I476" s="830"/>
      <c r="J476" s="830"/>
      <c r="K476" s="831"/>
      <c r="L476" s="831"/>
      <c r="M476" s="831"/>
      <c r="N476" s="1031">
        <v>12240</v>
      </c>
      <c r="O476" s="831"/>
      <c r="P476" s="831"/>
      <c r="Q476" s="1244"/>
      <c r="R476" s="1244"/>
      <c r="S476" s="1244"/>
      <c r="T476" s="1244"/>
      <c r="U476" s="1244"/>
      <c r="V476" s="1244"/>
      <c r="W476" s="1244"/>
      <c r="X476" s="1244"/>
      <c r="Y476" s="1244"/>
      <c r="Z476" s="1244"/>
    </row>
    <row r="477" spans="1:26" ht="18.75">
      <c r="A477" s="1259"/>
      <c r="B477" s="1242"/>
      <c r="C477" s="1242"/>
      <c r="D477" s="1266" t="s">
        <v>21</v>
      </c>
      <c r="E477" s="1242"/>
      <c r="F477" s="1242"/>
      <c r="G477" s="963"/>
      <c r="H477" s="168" t="s">
        <v>12</v>
      </c>
      <c r="I477" s="944"/>
      <c r="J477" s="944"/>
      <c r="K477" s="945"/>
      <c r="L477" s="831">
        <f t="shared" ref="L477:N477" ca="1" si="211">L478+L479</f>
        <v>0</v>
      </c>
      <c r="M477" s="831">
        <f t="shared" si="211"/>
        <v>0</v>
      </c>
      <c r="N477" s="831">
        <f t="shared" si="211"/>
        <v>0</v>
      </c>
      <c r="O477" s="831">
        <f t="shared" ref="O477:O479" ca="1" si="212">IF(L477&gt;0,N477*100/L477,0)</f>
        <v>0</v>
      </c>
      <c r="P477" s="831">
        <f t="shared" ref="P477:P479" si="213">IF(M477&gt;0,N477*100/M477,0)</f>
        <v>0</v>
      </c>
      <c r="Q477" s="1244"/>
      <c r="R477" s="1244"/>
      <c r="S477" s="1244"/>
      <c r="T477" s="1244"/>
      <c r="U477" s="1244"/>
      <c r="V477" s="1244"/>
      <c r="W477" s="1244"/>
      <c r="X477" s="1244"/>
      <c r="Y477" s="1244"/>
      <c r="Z477" s="1244"/>
    </row>
    <row r="478" spans="1:26" ht="18.75" hidden="1">
      <c r="A478" s="1260"/>
      <c r="B478" s="1265"/>
      <c r="C478" s="1265"/>
      <c r="D478" s="1265"/>
      <c r="E478" s="1265" t="s">
        <v>18</v>
      </c>
      <c r="F478" s="1265"/>
      <c r="G478" s="1263"/>
      <c r="H478" s="165" t="s">
        <v>12</v>
      </c>
      <c r="I478" s="947"/>
      <c r="J478" s="947"/>
      <c r="K478" s="948"/>
      <c r="L478" s="837">
        <v>0</v>
      </c>
      <c r="M478" s="837">
        <v>0</v>
      </c>
      <c r="N478" s="837">
        <v>0</v>
      </c>
      <c r="O478" s="837">
        <f t="shared" si="212"/>
        <v>0</v>
      </c>
      <c r="P478" s="837">
        <f t="shared" si="213"/>
        <v>0</v>
      </c>
      <c r="Q478" s="1264"/>
      <c r="R478" s="1264"/>
      <c r="S478" s="1264"/>
      <c r="T478" s="1264"/>
      <c r="U478" s="1264"/>
      <c r="V478" s="1264"/>
      <c r="W478" s="1264"/>
      <c r="X478" s="1264"/>
      <c r="Y478" s="1264"/>
      <c r="Z478" s="1264"/>
    </row>
    <row r="479" spans="1:26" ht="18.75" hidden="1">
      <c r="A479" s="1260"/>
      <c r="B479" s="1265"/>
      <c r="C479" s="1265"/>
      <c r="D479" s="1265"/>
      <c r="E479" s="1265" t="s">
        <v>19</v>
      </c>
      <c r="F479" s="1265"/>
      <c r="G479" s="1263"/>
      <c r="H479" s="169" t="s">
        <v>12</v>
      </c>
      <c r="I479" s="947"/>
      <c r="J479" s="947"/>
      <c r="K479" s="948"/>
      <c r="L479" s="837">
        <f ca="1">IFERROR(__xludf.DUMMYFUNCTION("IMPORTRANGE(""https://docs.google.com/spreadsheets/d/1QqKyyYR6Q21VydFLVH3TRQUabQu_ym0Zz7PgGX0-kHA/edit?usp=sharing"",""แผน!FV14"")"),0)</f>
        <v>0</v>
      </c>
      <c r="M479" s="837">
        <v>0</v>
      </c>
      <c r="N479" s="837">
        <v>0</v>
      </c>
      <c r="O479" s="837">
        <f t="shared" ca="1" si="212"/>
        <v>0</v>
      </c>
      <c r="P479" s="837">
        <f t="shared" si="213"/>
        <v>0</v>
      </c>
      <c r="Q479" s="1264"/>
      <c r="R479" s="1264"/>
      <c r="S479" s="1264"/>
      <c r="T479" s="1264"/>
      <c r="U479" s="1264"/>
      <c r="V479" s="1264"/>
      <c r="W479" s="1264"/>
      <c r="X479" s="1264"/>
      <c r="Y479" s="1264"/>
      <c r="Z479" s="1264"/>
    </row>
    <row r="480" spans="1:26" ht="19.5">
      <c r="A480" s="1267"/>
      <c r="B480" s="1268"/>
      <c r="C480" s="1242" t="s">
        <v>16</v>
      </c>
      <c r="D480" s="1276" t="s">
        <v>38</v>
      </c>
      <c r="E480" s="1270"/>
      <c r="F480" s="1271"/>
      <c r="G480" s="1272"/>
      <c r="H480" s="954"/>
      <c r="I480" s="830"/>
      <c r="J480" s="830"/>
      <c r="K480" s="831"/>
      <c r="L480" s="831"/>
      <c r="M480" s="831"/>
      <c r="N480" s="831"/>
      <c r="O480" s="831"/>
      <c r="P480" s="831"/>
      <c r="Q480" s="1244"/>
      <c r="R480" s="1244"/>
      <c r="S480" s="1244"/>
      <c r="T480" s="1244"/>
      <c r="U480" s="1244"/>
      <c r="V480" s="1244"/>
      <c r="W480" s="1244"/>
      <c r="X480" s="1244"/>
      <c r="Y480" s="1244"/>
      <c r="Z480" s="1244"/>
    </row>
    <row r="481" spans="1:26" ht="19.5">
      <c r="A481" s="1267"/>
      <c r="B481" s="1268"/>
      <c r="C481" s="1268"/>
      <c r="D481" s="1277" t="s">
        <v>206</v>
      </c>
      <c r="E481" s="1268"/>
      <c r="F481" s="1268"/>
      <c r="G481" s="954"/>
      <c r="H481" s="963"/>
      <c r="I481" s="830"/>
      <c r="J481" s="830"/>
      <c r="K481" s="831"/>
      <c r="L481" s="831"/>
      <c r="M481" s="831"/>
      <c r="N481" s="831"/>
      <c r="O481" s="831"/>
      <c r="P481" s="831"/>
      <c r="Q481" s="1244"/>
      <c r="R481" s="1244"/>
      <c r="S481" s="1244"/>
      <c r="T481" s="1244"/>
      <c r="U481" s="1244"/>
      <c r="V481" s="1244"/>
      <c r="W481" s="1244"/>
      <c r="X481" s="1244"/>
      <c r="Y481" s="1244"/>
      <c r="Z481" s="1244"/>
    </row>
    <row r="482" spans="1:26" ht="18.75">
      <c r="A482" s="1267"/>
      <c r="B482" s="1268"/>
      <c r="C482" s="1268"/>
      <c r="D482" s="1268"/>
      <c r="E482" s="1268" t="s">
        <v>207</v>
      </c>
      <c r="F482" s="1268"/>
      <c r="G482" s="954"/>
      <c r="H482" s="963"/>
      <c r="I482" s="830"/>
      <c r="J482" s="830"/>
      <c r="K482" s="831"/>
      <c r="L482" s="831"/>
      <c r="M482" s="831"/>
      <c r="N482" s="831"/>
      <c r="O482" s="831"/>
      <c r="P482" s="831"/>
      <c r="Q482" s="1244"/>
      <c r="R482" s="1244"/>
      <c r="S482" s="1244"/>
      <c r="T482" s="1244"/>
      <c r="U482" s="1244"/>
      <c r="V482" s="1244"/>
      <c r="W482" s="1244"/>
      <c r="X482" s="1244"/>
      <c r="Y482" s="1244"/>
      <c r="Z482" s="1244"/>
    </row>
    <row r="483" spans="1:26" ht="18.75">
      <c r="A483" s="1267"/>
      <c r="B483" s="1268"/>
      <c r="C483" s="1268"/>
      <c r="D483" s="1268"/>
      <c r="E483" s="1268"/>
      <c r="F483" s="1268" t="s">
        <v>208</v>
      </c>
      <c r="G483" s="954"/>
      <c r="H483" s="590" t="s">
        <v>46</v>
      </c>
      <c r="I483" s="830">
        <f ca="1">IFERROR(__xludf.DUMMYFUNCTION("IMPORTRANGE(""https://docs.google.com/spreadsheets/d/1QqKyyYR6Q21VydFLVH3TRQUabQu_ym0Zz7PgGX0-kHA/edit?usp=sharing"",""แผน!FY14"")"),1170)</f>
        <v>1170</v>
      </c>
      <c r="J483" s="959">
        <v>1170</v>
      </c>
      <c r="K483" s="831">
        <f ca="1">IF(I483&gt;0,J483*100/I483,0)</f>
        <v>100</v>
      </c>
      <c r="L483" s="831"/>
      <c r="M483" s="831"/>
      <c r="N483" s="831"/>
      <c r="O483" s="831"/>
      <c r="P483" s="831"/>
      <c r="Q483" s="1244"/>
      <c r="R483" s="1244"/>
      <c r="S483" s="1244"/>
      <c r="T483" s="1244"/>
      <c r="U483" s="1244"/>
      <c r="V483" s="1244"/>
      <c r="W483" s="1244"/>
      <c r="X483" s="1244"/>
      <c r="Y483" s="1244"/>
      <c r="Z483" s="1244"/>
    </row>
    <row r="484" spans="1:26" ht="18.75">
      <c r="A484" s="1267"/>
      <c r="B484" s="1268"/>
      <c r="C484" s="1268"/>
      <c r="D484" s="1268"/>
      <c r="E484" s="1268"/>
      <c r="F484" s="1268" t="s">
        <v>209</v>
      </c>
      <c r="G484" s="954"/>
      <c r="H484" s="590" t="s">
        <v>35</v>
      </c>
      <c r="I484" s="830"/>
      <c r="J484" s="959">
        <v>117</v>
      </c>
      <c r="K484" s="831"/>
      <c r="L484" s="831"/>
      <c r="M484" s="831"/>
      <c r="N484" s="831"/>
      <c r="O484" s="831"/>
      <c r="P484" s="831"/>
      <c r="Q484" s="1244"/>
      <c r="R484" s="1244"/>
      <c r="S484" s="1244"/>
      <c r="T484" s="1244"/>
      <c r="U484" s="1244"/>
      <c r="V484" s="1244"/>
      <c r="W484" s="1244"/>
      <c r="X484" s="1244"/>
      <c r="Y484" s="1244"/>
      <c r="Z484" s="1244"/>
    </row>
    <row r="485" spans="1:26" ht="18.75">
      <c r="A485" s="1267"/>
      <c r="B485" s="1268"/>
      <c r="C485" s="1268"/>
      <c r="D485" s="1268"/>
      <c r="E485" s="1268"/>
      <c r="F485" s="1268" t="s">
        <v>210</v>
      </c>
      <c r="G485" s="954"/>
      <c r="H485" s="590" t="s">
        <v>35</v>
      </c>
      <c r="I485" s="830">
        <f ca="1">IFERROR(__xludf.DUMMYFUNCTION("IMPORTRANGE(""https://docs.google.com/spreadsheets/d/1QqKyyYR6Q21VydFLVH3TRQUabQu_ym0Zz7PgGX0-kHA/edit?usp=sharing"",""แผน!FZ14"")"),117)</f>
        <v>117</v>
      </c>
      <c r="J485" s="959">
        <v>117</v>
      </c>
      <c r="K485" s="831">
        <f ca="1">IF(I485&gt;0,J485*100/I485,0)</f>
        <v>100</v>
      </c>
      <c r="L485" s="831"/>
      <c r="M485" s="831"/>
      <c r="N485" s="831"/>
      <c r="O485" s="831"/>
      <c r="P485" s="831"/>
      <c r="Q485" s="1244"/>
      <c r="R485" s="1244"/>
      <c r="S485" s="1244"/>
      <c r="T485" s="1244"/>
      <c r="U485" s="1244"/>
      <c r="V485" s="1244"/>
      <c r="W485" s="1244"/>
      <c r="X485" s="1244"/>
      <c r="Y485" s="1244"/>
      <c r="Z485" s="1244"/>
    </row>
    <row r="486" spans="1:26" ht="18.75">
      <c r="A486" s="1267"/>
      <c r="B486" s="1268"/>
      <c r="C486" s="1268"/>
      <c r="D486" s="1268"/>
      <c r="E486" s="1268" t="s">
        <v>62</v>
      </c>
      <c r="F486" s="1268"/>
      <c r="G486" s="954"/>
      <c r="H486" s="590"/>
      <c r="I486" s="830"/>
      <c r="J486" s="830"/>
      <c r="K486" s="831"/>
      <c r="L486" s="831"/>
      <c r="M486" s="831"/>
      <c r="N486" s="831"/>
      <c r="O486" s="831"/>
      <c r="P486" s="831"/>
      <c r="Q486" s="1244"/>
      <c r="R486" s="1244"/>
      <c r="S486" s="1244"/>
      <c r="T486" s="1244"/>
      <c r="U486" s="1244"/>
      <c r="V486" s="1244"/>
      <c r="W486" s="1244"/>
      <c r="X486" s="1244"/>
      <c r="Y486" s="1244"/>
      <c r="Z486" s="1244"/>
    </row>
    <row r="487" spans="1:26" ht="18.75">
      <c r="A487" s="1267"/>
      <c r="B487" s="1268"/>
      <c r="C487" s="1268"/>
      <c r="D487" s="1268"/>
      <c r="E487" s="1268"/>
      <c r="F487" s="1268" t="s">
        <v>208</v>
      </c>
      <c r="G487" s="954"/>
      <c r="H487" s="590" t="s">
        <v>46</v>
      </c>
      <c r="I487" s="830">
        <f ca="1">IFERROR(__xludf.DUMMYFUNCTION("IMPORTRANGE(""https://docs.google.com/spreadsheets/d/1QqKyyYR6Q21VydFLVH3TRQUabQu_ym0Zz7PgGX0-kHA/edit?usp=sharing"",""แผน!GA14"")"),130)</f>
        <v>130</v>
      </c>
      <c r="J487" s="959">
        <v>130</v>
      </c>
      <c r="K487" s="831">
        <f ca="1">IF(I487&gt;0,J487*100/I487,0)</f>
        <v>100</v>
      </c>
      <c r="L487" s="831"/>
      <c r="M487" s="831"/>
      <c r="N487" s="831"/>
      <c r="O487" s="831"/>
      <c r="P487" s="831"/>
      <c r="Q487" s="1244"/>
      <c r="R487" s="1244"/>
      <c r="S487" s="1244"/>
      <c r="T487" s="1244"/>
      <c r="U487" s="1244"/>
      <c r="V487" s="1244"/>
      <c r="W487" s="1244"/>
      <c r="X487" s="1244"/>
      <c r="Y487" s="1244"/>
      <c r="Z487" s="1244"/>
    </row>
    <row r="488" spans="1:26" ht="18.75">
      <c r="A488" s="1267"/>
      <c r="B488" s="1268"/>
      <c r="C488" s="1268"/>
      <c r="D488" s="1268"/>
      <c r="E488" s="1268"/>
      <c r="F488" s="1268" t="s">
        <v>211</v>
      </c>
      <c r="G488" s="954"/>
      <c r="H488" s="590" t="s">
        <v>35</v>
      </c>
      <c r="I488" s="830"/>
      <c r="J488" s="959">
        <v>0</v>
      </c>
      <c r="K488" s="831"/>
      <c r="L488" s="831"/>
      <c r="M488" s="831"/>
      <c r="N488" s="831"/>
      <c r="O488" s="831"/>
      <c r="P488" s="831"/>
      <c r="Q488" s="1244"/>
      <c r="R488" s="1244"/>
      <c r="S488" s="1244"/>
      <c r="T488" s="1244"/>
      <c r="U488" s="1244"/>
      <c r="V488" s="1244"/>
      <c r="W488" s="1244"/>
      <c r="X488" s="1244"/>
      <c r="Y488" s="1244"/>
      <c r="Z488" s="1244"/>
    </row>
    <row r="489" spans="1:26" ht="18.75">
      <c r="A489" s="1267"/>
      <c r="B489" s="1268"/>
      <c r="C489" s="1268"/>
      <c r="D489" s="1268"/>
      <c r="E489" s="1268"/>
      <c r="F489" s="1268" t="s">
        <v>212</v>
      </c>
      <c r="G489" s="954"/>
      <c r="H489" s="590" t="s">
        <v>35</v>
      </c>
      <c r="I489" s="830">
        <f ca="1">IFERROR(__xludf.DUMMYFUNCTION("IMPORTRANGE(""https://docs.google.com/spreadsheets/d/1QqKyyYR6Q21VydFLVH3TRQUabQu_ym0Zz7PgGX0-kHA/edit?usp=sharing"",""แผน!GB14"")"),13)</f>
        <v>13</v>
      </c>
      <c r="J489" s="959">
        <v>13</v>
      </c>
      <c r="K489" s="831">
        <f ca="1">IF(I489&gt;0,J489*100/I489,0)</f>
        <v>100</v>
      </c>
      <c r="L489" s="831"/>
      <c r="M489" s="831"/>
      <c r="N489" s="831"/>
      <c r="O489" s="831"/>
      <c r="P489" s="831"/>
      <c r="Q489" s="1244"/>
      <c r="R489" s="1244"/>
      <c r="S489" s="1244"/>
      <c r="T489" s="1244"/>
      <c r="U489" s="1244"/>
      <c r="V489" s="1244"/>
      <c r="W489" s="1244"/>
      <c r="X489" s="1244"/>
      <c r="Y489" s="1244"/>
      <c r="Z489" s="1244"/>
    </row>
    <row r="490" spans="1:26" ht="18.75">
      <c r="A490" s="1267"/>
      <c r="B490" s="1268"/>
      <c r="C490" s="1268"/>
      <c r="D490" s="1268"/>
      <c r="E490" s="1268" t="s">
        <v>63</v>
      </c>
      <c r="F490" s="961"/>
      <c r="G490" s="954"/>
      <c r="H490" s="590"/>
      <c r="I490" s="830"/>
      <c r="J490" s="830"/>
      <c r="K490" s="831"/>
      <c r="L490" s="831"/>
      <c r="M490" s="831"/>
      <c r="N490" s="831"/>
      <c r="O490" s="831"/>
      <c r="P490" s="831"/>
      <c r="Q490" s="1244"/>
      <c r="R490" s="1244"/>
      <c r="S490" s="1244"/>
      <c r="T490" s="1244"/>
      <c r="U490" s="1244"/>
      <c r="V490" s="1244"/>
      <c r="W490" s="1244"/>
      <c r="X490" s="1244"/>
      <c r="Y490" s="1244"/>
      <c r="Z490" s="1244"/>
    </row>
    <row r="491" spans="1:26" ht="18.75">
      <c r="A491" s="1267"/>
      <c r="B491" s="1268"/>
      <c r="C491" s="1268"/>
      <c r="D491" s="1268"/>
      <c r="E491" s="1268"/>
      <c r="F491" s="1268" t="s">
        <v>213</v>
      </c>
      <c r="G491" s="954"/>
      <c r="H491" s="590" t="s">
        <v>35</v>
      </c>
      <c r="I491" s="830"/>
      <c r="J491" s="959">
        <v>1</v>
      </c>
      <c r="K491" s="831"/>
      <c r="L491" s="831"/>
      <c r="M491" s="831"/>
      <c r="N491" s="831"/>
      <c r="O491" s="831"/>
      <c r="P491" s="831"/>
      <c r="Q491" s="1244"/>
      <c r="R491" s="1244"/>
      <c r="S491" s="1244"/>
      <c r="T491" s="1244"/>
      <c r="U491" s="1244"/>
      <c r="V491" s="1244"/>
      <c r="W491" s="1244"/>
      <c r="X491" s="1244"/>
      <c r="Y491" s="1244"/>
      <c r="Z491" s="1244"/>
    </row>
    <row r="492" spans="1:26" ht="18.75">
      <c r="A492" s="1267"/>
      <c r="B492" s="1268"/>
      <c r="C492" s="1268"/>
      <c r="D492" s="1268"/>
      <c r="E492" s="1268"/>
      <c r="F492" s="1268" t="s">
        <v>214</v>
      </c>
      <c r="G492" s="954"/>
      <c r="H492" s="590" t="s">
        <v>35</v>
      </c>
      <c r="I492" s="830">
        <f ca="1">IFERROR(__xludf.DUMMYFUNCTION("IMPORTRANGE(""https://docs.google.com/spreadsheets/d/1QqKyyYR6Q21VydFLVH3TRQUabQu_ym0Zz7PgGX0-kHA/edit?usp=sharing"",""แผน!GC14"")"),1)</f>
        <v>1</v>
      </c>
      <c r="J492" s="959">
        <v>1</v>
      </c>
      <c r="K492" s="831">
        <f ca="1">IF(I492&gt;0,J492*100/I492,0)</f>
        <v>100</v>
      </c>
      <c r="L492" s="831"/>
      <c r="M492" s="831"/>
      <c r="N492" s="831"/>
      <c r="O492" s="831"/>
      <c r="P492" s="831"/>
      <c r="Q492" s="1244"/>
      <c r="R492" s="1244"/>
      <c r="S492" s="1244"/>
      <c r="T492" s="1244"/>
      <c r="U492" s="1244"/>
      <c r="V492" s="1244"/>
      <c r="W492" s="1244"/>
      <c r="X492" s="1244"/>
      <c r="Y492" s="1244"/>
      <c r="Z492" s="1244"/>
    </row>
    <row r="493" spans="1:26" ht="19.5">
      <c r="A493" s="1267"/>
      <c r="B493" s="1268"/>
      <c r="C493" s="1268"/>
      <c r="D493" s="1277" t="s">
        <v>59</v>
      </c>
      <c r="E493" s="1268"/>
      <c r="F493" s="961"/>
      <c r="G493" s="954"/>
      <c r="H493" s="963"/>
      <c r="I493" s="830"/>
      <c r="J493" s="830"/>
      <c r="K493" s="831"/>
      <c r="L493" s="831"/>
      <c r="M493" s="831"/>
      <c r="N493" s="831"/>
      <c r="O493" s="831"/>
      <c r="P493" s="831"/>
      <c r="Q493" s="1244"/>
      <c r="R493" s="1244"/>
      <c r="S493" s="1244"/>
      <c r="T493" s="1244"/>
      <c r="U493" s="1244"/>
      <c r="V493" s="1244"/>
      <c r="W493" s="1244"/>
      <c r="X493" s="1244"/>
      <c r="Y493" s="1244"/>
      <c r="Z493" s="1244"/>
    </row>
    <row r="494" spans="1:26" ht="18.75">
      <c r="A494" s="1267"/>
      <c r="B494" s="1268"/>
      <c r="C494" s="1268"/>
      <c r="D494" s="1268"/>
      <c r="E494" s="1268" t="s">
        <v>207</v>
      </c>
      <c r="F494" s="961"/>
      <c r="G494" s="954"/>
      <c r="H494" s="963"/>
      <c r="I494" s="830"/>
      <c r="J494" s="830"/>
      <c r="K494" s="831"/>
      <c r="L494" s="831"/>
      <c r="M494" s="831"/>
      <c r="N494" s="831"/>
      <c r="O494" s="831"/>
      <c r="P494" s="831"/>
      <c r="Q494" s="1244"/>
      <c r="R494" s="1244"/>
      <c r="S494" s="1244"/>
      <c r="T494" s="1244"/>
      <c r="U494" s="1244"/>
      <c r="V494" s="1244"/>
      <c r="W494" s="1244"/>
      <c r="X494" s="1244"/>
      <c r="Y494" s="1244"/>
      <c r="Z494" s="1244"/>
    </row>
    <row r="495" spans="1:26" ht="18.75">
      <c r="A495" s="1267"/>
      <c r="B495" s="1268"/>
      <c r="C495" s="1268"/>
      <c r="D495" s="1268"/>
      <c r="E495" s="1268"/>
      <c r="F495" s="961" t="s">
        <v>215</v>
      </c>
      <c r="G495" s="954"/>
      <c r="H495" s="590" t="s">
        <v>46</v>
      </c>
      <c r="I495" s="830">
        <f ca="1">IFERROR(__xludf.DUMMYFUNCTION("IMPORTRANGE(""https://docs.google.com/spreadsheets/d/1QqKyyYR6Q21VydFLVH3TRQUabQu_ym0Zz7PgGX0-kHA/edit?usp=sharing"",""แผน!FY14"")"),1170)</f>
        <v>1170</v>
      </c>
      <c r="J495" s="959">
        <v>0</v>
      </c>
      <c r="K495" s="831">
        <f ca="1">IF(I495&gt;0,J495*100/I495,0)</f>
        <v>0</v>
      </c>
      <c r="L495" s="831"/>
      <c r="M495" s="831"/>
      <c r="N495" s="831"/>
      <c r="O495" s="831"/>
      <c r="P495" s="831"/>
      <c r="Q495" s="1244"/>
      <c r="R495" s="1244"/>
      <c r="S495" s="1244"/>
      <c r="T495" s="1244"/>
      <c r="U495" s="1244"/>
      <c r="V495" s="1244"/>
      <c r="W495" s="1244"/>
      <c r="X495" s="1244"/>
      <c r="Y495" s="1244"/>
      <c r="Z495" s="1244"/>
    </row>
    <row r="496" spans="1:26" ht="18.75">
      <c r="A496" s="1267"/>
      <c r="B496" s="1268"/>
      <c r="C496" s="1268"/>
      <c r="D496" s="1268"/>
      <c r="E496" s="1268"/>
      <c r="F496" s="961" t="s">
        <v>216</v>
      </c>
      <c r="G496" s="954"/>
      <c r="H496" s="590" t="s">
        <v>46</v>
      </c>
      <c r="I496" s="830"/>
      <c r="J496" s="959">
        <v>0</v>
      </c>
      <c r="K496" s="831"/>
      <c r="L496" s="831"/>
      <c r="M496" s="831"/>
      <c r="N496" s="831"/>
      <c r="O496" s="831"/>
      <c r="P496" s="831"/>
      <c r="Q496" s="1244"/>
      <c r="R496" s="1244"/>
      <c r="S496" s="1244"/>
      <c r="T496" s="1244"/>
      <c r="U496" s="1244"/>
      <c r="V496" s="1244"/>
      <c r="W496" s="1244"/>
      <c r="X496" s="1244"/>
      <c r="Y496" s="1244"/>
      <c r="Z496" s="1244"/>
    </row>
    <row r="497" spans="1:26" ht="18.75">
      <c r="A497" s="1267"/>
      <c r="B497" s="1268"/>
      <c r="C497" s="1268"/>
      <c r="D497" s="1268"/>
      <c r="E497" s="1268" t="s">
        <v>62</v>
      </c>
      <c r="F497" s="961"/>
      <c r="G497" s="954"/>
      <c r="H497" s="963"/>
      <c r="I497" s="830"/>
      <c r="J497" s="830"/>
      <c r="K497" s="831"/>
      <c r="L497" s="831"/>
      <c r="M497" s="831"/>
      <c r="N497" s="831"/>
      <c r="O497" s="831"/>
      <c r="P497" s="831"/>
      <c r="Q497" s="1244"/>
      <c r="R497" s="1244"/>
      <c r="S497" s="1244"/>
      <c r="T497" s="1244"/>
      <c r="U497" s="1244"/>
      <c r="V497" s="1244"/>
      <c r="W497" s="1244"/>
      <c r="X497" s="1244"/>
      <c r="Y497" s="1244"/>
      <c r="Z497" s="1244"/>
    </row>
    <row r="498" spans="1:26" ht="18.75">
      <c r="A498" s="1267"/>
      <c r="B498" s="1268"/>
      <c r="C498" s="1268"/>
      <c r="D498" s="1268"/>
      <c r="E498" s="961"/>
      <c r="F498" s="961" t="s">
        <v>217</v>
      </c>
      <c r="G498" s="954"/>
      <c r="H498" s="590" t="s">
        <v>46</v>
      </c>
      <c r="I498" s="830">
        <f ca="1">IFERROR(__xludf.DUMMYFUNCTION("IMPORTRANGE(""https://docs.google.com/spreadsheets/d/1QqKyyYR6Q21VydFLVH3TRQUabQu_ym0Zz7PgGX0-kHA/edit?usp=sharing"",""แผน!GA14"")"),130)</f>
        <v>130</v>
      </c>
      <c r="J498" s="959">
        <v>0</v>
      </c>
      <c r="K498" s="831">
        <f ca="1">IF(I498&gt;0,J498*100/I498,0)</f>
        <v>0</v>
      </c>
      <c r="L498" s="831"/>
      <c r="M498" s="831"/>
      <c r="N498" s="831"/>
      <c r="O498" s="831"/>
      <c r="P498" s="831"/>
      <c r="Q498" s="1244"/>
      <c r="R498" s="1244"/>
      <c r="S498" s="1244"/>
      <c r="T498" s="1244"/>
      <c r="U498" s="1244"/>
      <c r="V498" s="1244"/>
      <c r="W498" s="1244"/>
      <c r="X498" s="1244"/>
      <c r="Y498" s="1244"/>
      <c r="Z498" s="1244"/>
    </row>
    <row r="499" spans="1:26" ht="18.75">
      <c r="A499" s="1267"/>
      <c r="B499" s="1268"/>
      <c r="C499" s="1268"/>
      <c r="D499" s="1268"/>
      <c r="E499" s="961"/>
      <c r="F499" s="961" t="s">
        <v>218</v>
      </c>
      <c r="G499" s="954"/>
      <c r="H499" s="590" t="s">
        <v>46</v>
      </c>
      <c r="I499" s="830"/>
      <c r="J499" s="959">
        <v>0</v>
      </c>
      <c r="K499" s="831"/>
      <c r="L499" s="831"/>
      <c r="M499" s="831"/>
      <c r="N499" s="831"/>
      <c r="O499" s="831"/>
      <c r="P499" s="831"/>
      <c r="Q499" s="1244"/>
      <c r="R499" s="1244"/>
      <c r="S499" s="1244"/>
      <c r="T499" s="1244"/>
      <c r="U499" s="1244"/>
      <c r="V499" s="1244"/>
      <c r="W499" s="1244"/>
      <c r="X499" s="1244"/>
      <c r="Y499" s="1244"/>
      <c r="Z499" s="1244"/>
    </row>
    <row r="500" spans="1:26" ht="19.5" hidden="1">
      <c r="A500" s="594">
        <v>4</v>
      </c>
      <c r="B500" s="1278" t="s">
        <v>219</v>
      </c>
      <c r="C500" s="1279"/>
      <c r="D500" s="1280"/>
      <c r="E500" s="1280"/>
      <c r="F500" s="1280"/>
      <c r="G500" s="1281"/>
      <c r="H500" s="599" t="s">
        <v>109</v>
      </c>
      <c r="I500" s="1282"/>
      <c r="J500" s="1282">
        <f t="shared" ref="J500:J501" si="214">J516</f>
        <v>0</v>
      </c>
      <c r="K500" s="1283">
        <f t="shared" ref="K500:K501" si="215">IF(I500&gt;0,J500*100/I500,0)</f>
        <v>0</v>
      </c>
      <c r="L500" s="1284"/>
      <c r="M500" s="1284"/>
      <c r="N500" s="1284"/>
      <c r="O500" s="1284"/>
      <c r="P500" s="1284"/>
      <c r="Q500" s="1264"/>
      <c r="R500" s="1264"/>
      <c r="S500" s="1264"/>
      <c r="T500" s="1264"/>
      <c r="U500" s="1264"/>
      <c r="V500" s="1264"/>
      <c r="W500" s="1264"/>
      <c r="X500" s="1264"/>
      <c r="Y500" s="1264"/>
      <c r="Z500" s="1264"/>
    </row>
    <row r="501" spans="1:26" ht="19.5" hidden="1">
      <c r="A501" s="1285"/>
      <c r="B501" s="1286" t="s">
        <v>220</v>
      </c>
      <c r="C501" s="1286"/>
      <c r="D501" s="1287"/>
      <c r="E501" s="1287"/>
      <c r="F501" s="1287"/>
      <c r="G501" s="1288"/>
      <c r="H501" s="608" t="s">
        <v>35</v>
      </c>
      <c r="I501" s="1289"/>
      <c r="J501" s="1289">
        <f t="shared" si="214"/>
        <v>0</v>
      </c>
      <c r="K501" s="1290">
        <f t="shared" si="215"/>
        <v>0</v>
      </c>
      <c r="L501" s="1291"/>
      <c r="M501" s="1291"/>
      <c r="N501" s="1291"/>
      <c r="O501" s="1291"/>
      <c r="P501" s="1291"/>
      <c r="Q501" s="1264"/>
      <c r="R501" s="1264"/>
      <c r="S501" s="1264"/>
      <c r="T501" s="1264"/>
      <c r="U501" s="1264"/>
      <c r="V501" s="1264"/>
      <c r="W501" s="1264"/>
      <c r="X501" s="1264"/>
      <c r="Y501" s="1264"/>
      <c r="Z501" s="1264"/>
    </row>
    <row r="502" spans="1:26" ht="19.5" hidden="1">
      <c r="A502" s="1260"/>
      <c r="B502" s="1261"/>
      <c r="C502" s="1261" t="s">
        <v>16</v>
      </c>
      <c r="D502" s="1508" t="s">
        <v>17</v>
      </c>
      <c r="E502" s="1485"/>
      <c r="F502" s="1485"/>
      <c r="G502" s="1263"/>
      <c r="H502" s="612" t="s">
        <v>12</v>
      </c>
      <c r="I502" s="836"/>
      <c r="J502" s="836"/>
      <c r="K502" s="837"/>
      <c r="L502" s="1292">
        <f t="shared" ref="L502:N502" si="216">L503+L504</f>
        <v>0</v>
      </c>
      <c r="M502" s="1292">
        <f t="shared" si="216"/>
        <v>0</v>
      </c>
      <c r="N502" s="1292">
        <f t="shared" si="216"/>
        <v>0</v>
      </c>
      <c r="O502" s="1292">
        <f t="shared" ref="O502:O507" si="217">IF(L502&gt;0,N502*100/L502,0)</f>
        <v>0</v>
      </c>
      <c r="P502" s="1292">
        <f t="shared" ref="P502:P507" si="218">IF(M502&gt;0,N502*100/M502,0)</f>
        <v>0</v>
      </c>
      <c r="Q502" s="1264"/>
      <c r="R502" s="1264"/>
      <c r="S502" s="1264"/>
      <c r="T502" s="1264"/>
      <c r="U502" s="1264"/>
      <c r="V502" s="1264"/>
      <c r="W502" s="1264"/>
      <c r="X502" s="1264"/>
      <c r="Y502" s="1264"/>
      <c r="Z502" s="1264"/>
    </row>
    <row r="503" spans="1:26" ht="18.75" hidden="1">
      <c r="A503" s="1260"/>
      <c r="B503" s="1261"/>
      <c r="C503" s="1261"/>
      <c r="D503" s="1262"/>
      <c r="E503" s="1261" t="s">
        <v>184</v>
      </c>
      <c r="F503" s="1261"/>
      <c r="G503" s="1263"/>
      <c r="H503" s="165" t="s">
        <v>12</v>
      </c>
      <c r="I503" s="836"/>
      <c r="J503" s="836"/>
      <c r="K503" s="837"/>
      <c r="L503" s="837">
        <f t="shared" ref="L503:N504" si="219">L506+L513</f>
        <v>0</v>
      </c>
      <c r="M503" s="837">
        <f t="shared" si="219"/>
        <v>0</v>
      </c>
      <c r="N503" s="837">
        <f t="shared" si="219"/>
        <v>0</v>
      </c>
      <c r="O503" s="837">
        <f t="shared" si="217"/>
        <v>0</v>
      </c>
      <c r="P503" s="837">
        <f t="shared" si="218"/>
        <v>0</v>
      </c>
      <c r="Q503" s="1264"/>
      <c r="R503" s="1264"/>
      <c r="S503" s="1264"/>
      <c r="T503" s="1264"/>
      <c r="U503" s="1264"/>
      <c r="V503" s="1264"/>
      <c r="W503" s="1264"/>
      <c r="X503" s="1264"/>
      <c r="Y503" s="1264"/>
      <c r="Z503" s="1264"/>
    </row>
    <row r="504" spans="1:26" ht="18.75" hidden="1">
      <c r="A504" s="1260"/>
      <c r="B504" s="1265"/>
      <c r="C504" s="1261"/>
      <c r="D504" s="1262"/>
      <c r="E504" s="1261" t="s">
        <v>185</v>
      </c>
      <c r="F504" s="1261"/>
      <c r="G504" s="1263"/>
      <c r="H504" s="165" t="s">
        <v>12</v>
      </c>
      <c r="I504" s="836"/>
      <c r="J504" s="836"/>
      <c r="K504" s="837"/>
      <c r="L504" s="837">
        <f t="shared" si="219"/>
        <v>0</v>
      </c>
      <c r="M504" s="837">
        <f t="shared" si="219"/>
        <v>0</v>
      </c>
      <c r="N504" s="837">
        <f t="shared" si="219"/>
        <v>0</v>
      </c>
      <c r="O504" s="837">
        <f t="shared" si="217"/>
        <v>0</v>
      </c>
      <c r="P504" s="837">
        <f t="shared" si="218"/>
        <v>0</v>
      </c>
      <c r="Q504" s="1264"/>
      <c r="R504" s="1264"/>
      <c r="S504" s="1264"/>
      <c r="T504" s="1264"/>
      <c r="U504" s="1264"/>
      <c r="V504" s="1264"/>
      <c r="W504" s="1264"/>
      <c r="X504" s="1264"/>
      <c r="Y504" s="1264"/>
      <c r="Z504" s="1264"/>
    </row>
    <row r="505" spans="1:26" ht="18.75" hidden="1">
      <c r="A505" s="1260"/>
      <c r="B505" s="1265"/>
      <c r="C505" s="1261"/>
      <c r="D505" s="1293" t="s">
        <v>20</v>
      </c>
      <c r="E505" s="1261"/>
      <c r="F505" s="1261"/>
      <c r="G505" s="1263"/>
      <c r="H505" s="165" t="s">
        <v>12</v>
      </c>
      <c r="I505" s="947"/>
      <c r="J505" s="947"/>
      <c r="K505" s="948"/>
      <c r="L505" s="837">
        <f t="shared" ref="L505:N505" si="220">L506+L507</f>
        <v>0</v>
      </c>
      <c r="M505" s="837">
        <f t="shared" si="220"/>
        <v>0</v>
      </c>
      <c r="N505" s="837">
        <f t="shared" si="220"/>
        <v>0</v>
      </c>
      <c r="O505" s="837">
        <f t="shared" si="217"/>
        <v>0</v>
      </c>
      <c r="P505" s="837">
        <f t="shared" si="218"/>
        <v>0</v>
      </c>
      <c r="Q505" s="1264"/>
      <c r="R505" s="1264"/>
      <c r="S505" s="1264"/>
      <c r="T505" s="1264"/>
      <c r="U505" s="1264"/>
      <c r="V505" s="1264"/>
      <c r="W505" s="1264"/>
      <c r="X505" s="1264"/>
      <c r="Y505" s="1264"/>
      <c r="Z505" s="1264"/>
    </row>
    <row r="506" spans="1:26" ht="18.75" hidden="1">
      <c r="A506" s="1260"/>
      <c r="B506" s="1265"/>
      <c r="C506" s="1261"/>
      <c r="D506" s="1262"/>
      <c r="E506" s="1261" t="s">
        <v>184</v>
      </c>
      <c r="F506" s="1261"/>
      <c r="G506" s="1263"/>
      <c r="H506" s="165" t="s">
        <v>12</v>
      </c>
      <c r="I506" s="836"/>
      <c r="J506" s="836"/>
      <c r="K506" s="837"/>
      <c r="L506" s="837">
        <v>0</v>
      </c>
      <c r="M506" s="837">
        <v>0</v>
      </c>
      <c r="N506" s="837">
        <v>0</v>
      </c>
      <c r="O506" s="837">
        <f t="shared" si="217"/>
        <v>0</v>
      </c>
      <c r="P506" s="837">
        <f t="shared" si="218"/>
        <v>0</v>
      </c>
      <c r="Q506" s="1264"/>
      <c r="R506" s="1264"/>
      <c r="S506" s="1264"/>
      <c r="T506" s="1264"/>
      <c r="U506" s="1264"/>
      <c r="V506" s="1264"/>
      <c r="W506" s="1264"/>
      <c r="X506" s="1264"/>
      <c r="Y506" s="1264"/>
      <c r="Z506" s="1264"/>
    </row>
    <row r="507" spans="1:26" ht="18.75" hidden="1">
      <c r="A507" s="1260"/>
      <c r="B507" s="1265"/>
      <c r="C507" s="1261"/>
      <c r="D507" s="1262"/>
      <c r="E507" s="1261" t="s">
        <v>185</v>
      </c>
      <c r="F507" s="1261"/>
      <c r="G507" s="1263"/>
      <c r="H507" s="165" t="s">
        <v>12</v>
      </c>
      <c r="I507" s="836"/>
      <c r="J507" s="836"/>
      <c r="K507" s="837"/>
      <c r="L507" s="837">
        <v>0</v>
      </c>
      <c r="M507" s="837">
        <v>0</v>
      </c>
      <c r="N507" s="837">
        <f>N508+N509+N510+N511</f>
        <v>0</v>
      </c>
      <c r="O507" s="837">
        <f t="shared" si="217"/>
        <v>0</v>
      </c>
      <c r="P507" s="837">
        <f t="shared" si="218"/>
        <v>0</v>
      </c>
      <c r="Q507" s="1264"/>
      <c r="R507" s="1264"/>
      <c r="S507" s="1264"/>
      <c r="T507" s="1264"/>
      <c r="U507" s="1264"/>
      <c r="V507" s="1264"/>
      <c r="W507" s="1264"/>
      <c r="X507" s="1264"/>
      <c r="Y507" s="1264"/>
      <c r="Z507" s="1264"/>
    </row>
    <row r="508" spans="1:26" ht="18.75" hidden="1">
      <c r="A508" s="1294"/>
      <c r="B508" s="1265"/>
      <c r="C508" s="1261"/>
      <c r="D508" s="1261"/>
      <c r="E508" s="1261"/>
      <c r="F508" s="1261" t="s">
        <v>186</v>
      </c>
      <c r="G508" s="1263"/>
      <c r="H508" s="165" t="s">
        <v>12</v>
      </c>
      <c r="I508" s="836"/>
      <c r="J508" s="836"/>
      <c r="K508" s="837"/>
      <c r="L508" s="837"/>
      <c r="M508" s="837"/>
      <c r="N508" s="837">
        <v>0</v>
      </c>
      <c r="O508" s="837"/>
      <c r="P508" s="837"/>
      <c r="Q508" s="1264"/>
      <c r="R508" s="1264"/>
      <c r="S508" s="1264"/>
      <c r="T508" s="1264"/>
      <c r="U508" s="1264"/>
      <c r="V508" s="1264"/>
      <c r="W508" s="1264"/>
      <c r="X508" s="1264"/>
      <c r="Y508" s="1264"/>
      <c r="Z508" s="1264"/>
    </row>
    <row r="509" spans="1:26" ht="18.75" hidden="1">
      <c r="A509" s="1294"/>
      <c r="B509" s="1265"/>
      <c r="C509" s="1261"/>
      <c r="D509" s="1261"/>
      <c r="E509" s="1261"/>
      <c r="F509" s="1261" t="s">
        <v>187</v>
      </c>
      <c r="G509" s="1263"/>
      <c r="H509" s="165" t="s">
        <v>12</v>
      </c>
      <c r="I509" s="836"/>
      <c r="J509" s="836"/>
      <c r="K509" s="837"/>
      <c r="L509" s="837"/>
      <c r="M509" s="837"/>
      <c r="N509" s="837">
        <v>0</v>
      </c>
      <c r="O509" s="837"/>
      <c r="P509" s="837"/>
      <c r="Q509" s="1264"/>
      <c r="R509" s="1264"/>
      <c r="S509" s="1264"/>
      <c r="T509" s="1264"/>
      <c r="U509" s="1264"/>
      <c r="V509" s="1264"/>
      <c r="W509" s="1264"/>
      <c r="X509" s="1264"/>
      <c r="Y509" s="1264"/>
      <c r="Z509" s="1264"/>
    </row>
    <row r="510" spans="1:26" ht="18.75" hidden="1">
      <c r="A510" s="1294"/>
      <c r="B510" s="1265"/>
      <c r="C510" s="1265"/>
      <c r="D510" s="1265"/>
      <c r="E510" s="1261"/>
      <c r="F510" s="1261" t="s">
        <v>188</v>
      </c>
      <c r="G510" s="1263"/>
      <c r="H510" s="165" t="s">
        <v>12</v>
      </c>
      <c r="I510" s="836"/>
      <c r="J510" s="836"/>
      <c r="K510" s="837"/>
      <c r="L510" s="837"/>
      <c r="M510" s="837"/>
      <c r="N510" s="837">
        <v>0</v>
      </c>
      <c r="O510" s="837"/>
      <c r="P510" s="837"/>
      <c r="Q510" s="1264"/>
      <c r="R510" s="1264"/>
      <c r="S510" s="1264"/>
      <c r="T510" s="1264"/>
      <c r="U510" s="1264"/>
      <c r="V510" s="1264"/>
      <c r="W510" s="1264"/>
      <c r="X510" s="1264"/>
      <c r="Y510" s="1264"/>
      <c r="Z510" s="1264"/>
    </row>
    <row r="511" spans="1:26" ht="18.75" hidden="1">
      <c r="A511" s="1294"/>
      <c r="B511" s="1265"/>
      <c r="C511" s="1265"/>
      <c r="D511" s="1265"/>
      <c r="E511" s="1261"/>
      <c r="F511" s="1261" t="s">
        <v>189</v>
      </c>
      <c r="G511" s="1263"/>
      <c r="H511" s="165" t="s">
        <v>12</v>
      </c>
      <c r="I511" s="836"/>
      <c r="J511" s="836"/>
      <c r="K511" s="837"/>
      <c r="L511" s="837"/>
      <c r="M511" s="837"/>
      <c r="N511" s="837">
        <v>0</v>
      </c>
      <c r="O511" s="837"/>
      <c r="P511" s="837"/>
      <c r="Q511" s="1264"/>
      <c r="R511" s="1264"/>
      <c r="S511" s="1264"/>
      <c r="T511" s="1264"/>
      <c r="U511" s="1264"/>
      <c r="V511" s="1264"/>
      <c r="W511" s="1264"/>
      <c r="X511" s="1264"/>
      <c r="Y511" s="1264"/>
      <c r="Z511" s="1264"/>
    </row>
    <row r="512" spans="1:26" ht="18.75" hidden="1">
      <c r="A512" s="1260"/>
      <c r="B512" s="1265"/>
      <c r="C512" s="1265"/>
      <c r="D512" s="1293" t="s">
        <v>21</v>
      </c>
      <c r="E512" s="1265"/>
      <c r="F512" s="1261"/>
      <c r="G512" s="1263"/>
      <c r="H512" s="169" t="s">
        <v>12</v>
      </c>
      <c r="I512" s="947"/>
      <c r="J512" s="947"/>
      <c r="K512" s="948"/>
      <c r="L512" s="837">
        <f t="shared" ref="L512:N512" si="221">L513+L514</f>
        <v>0</v>
      </c>
      <c r="M512" s="837">
        <f t="shared" si="221"/>
        <v>0</v>
      </c>
      <c r="N512" s="837">
        <f t="shared" si="221"/>
        <v>0</v>
      </c>
      <c r="O512" s="837">
        <f t="shared" ref="O512:O514" si="222">IF(L512&gt;0,N512*100/L512,0)</f>
        <v>0</v>
      </c>
      <c r="P512" s="837">
        <f t="shared" ref="P512:P514" si="223">IF(M512&gt;0,N512*100/M512,0)</f>
        <v>0</v>
      </c>
      <c r="Q512" s="1264"/>
      <c r="R512" s="1264"/>
      <c r="S512" s="1264"/>
      <c r="T512" s="1264"/>
      <c r="U512" s="1264"/>
      <c r="V512" s="1264"/>
      <c r="W512" s="1264"/>
      <c r="X512" s="1264"/>
      <c r="Y512" s="1264"/>
      <c r="Z512" s="1264"/>
    </row>
    <row r="513" spans="1:26" ht="18.75" hidden="1">
      <c r="A513" s="1260"/>
      <c r="B513" s="1265"/>
      <c r="C513" s="1265"/>
      <c r="D513" s="1265"/>
      <c r="E513" s="1265" t="s">
        <v>18</v>
      </c>
      <c r="F513" s="1261"/>
      <c r="G513" s="1263"/>
      <c r="H513" s="165" t="s">
        <v>12</v>
      </c>
      <c r="I513" s="947"/>
      <c r="J513" s="947"/>
      <c r="K513" s="948"/>
      <c r="L513" s="837">
        <v>0</v>
      </c>
      <c r="M513" s="837">
        <v>0</v>
      </c>
      <c r="N513" s="837">
        <v>0</v>
      </c>
      <c r="O513" s="837">
        <f t="shared" si="222"/>
        <v>0</v>
      </c>
      <c r="P513" s="837">
        <f t="shared" si="223"/>
        <v>0</v>
      </c>
      <c r="Q513" s="1264"/>
      <c r="R513" s="1264"/>
      <c r="S513" s="1264"/>
      <c r="T513" s="1264"/>
      <c r="U513" s="1264"/>
      <c r="V513" s="1264"/>
      <c r="W513" s="1264"/>
      <c r="X513" s="1264"/>
      <c r="Y513" s="1264"/>
      <c r="Z513" s="1264"/>
    </row>
    <row r="514" spans="1:26" ht="18.75" hidden="1">
      <c r="A514" s="1260"/>
      <c r="B514" s="1265"/>
      <c r="C514" s="1265"/>
      <c r="D514" s="1261"/>
      <c r="E514" s="1265" t="s">
        <v>19</v>
      </c>
      <c r="F514" s="1261"/>
      <c r="G514" s="1263"/>
      <c r="H514" s="169" t="s">
        <v>12</v>
      </c>
      <c r="I514" s="947"/>
      <c r="J514" s="947"/>
      <c r="K514" s="948"/>
      <c r="L514" s="837">
        <v>0</v>
      </c>
      <c r="M514" s="837">
        <v>0</v>
      </c>
      <c r="N514" s="837">
        <v>0</v>
      </c>
      <c r="O514" s="837">
        <f t="shared" si="222"/>
        <v>0</v>
      </c>
      <c r="P514" s="837">
        <f t="shared" si="223"/>
        <v>0</v>
      </c>
      <c r="Q514" s="1264"/>
      <c r="R514" s="1264"/>
      <c r="S514" s="1264"/>
      <c r="T514" s="1264"/>
      <c r="U514" s="1264"/>
      <c r="V514" s="1264"/>
      <c r="W514" s="1264"/>
      <c r="X514" s="1264"/>
      <c r="Y514" s="1264"/>
      <c r="Z514" s="1264"/>
    </row>
    <row r="515" spans="1:26" ht="19.5" hidden="1">
      <c r="A515" s="1273"/>
      <c r="B515" s="1274"/>
      <c r="C515" s="1265" t="s">
        <v>16</v>
      </c>
      <c r="D515" s="1295" t="s">
        <v>38</v>
      </c>
      <c r="E515" s="1296"/>
      <c r="F515" s="1296"/>
      <c r="G515" s="1297"/>
      <c r="H515" s="1060"/>
      <c r="I515" s="947"/>
      <c r="J515" s="947"/>
      <c r="K515" s="948"/>
      <c r="L515" s="948"/>
      <c r="M515" s="948"/>
      <c r="N515" s="948"/>
      <c r="O515" s="948"/>
      <c r="P515" s="948"/>
      <c r="Q515" s="1264"/>
      <c r="R515" s="1264"/>
      <c r="S515" s="1264"/>
      <c r="T515" s="1264"/>
      <c r="U515" s="1264"/>
      <c r="V515" s="1264"/>
      <c r="W515" s="1264"/>
      <c r="X515" s="1264"/>
      <c r="Y515" s="1264"/>
      <c r="Z515" s="1264"/>
    </row>
    <row r="516" spans="1:26" ht="18.75" hidden="1">
      <c r="A516" s="1273"/>
      <c r="B516" s="1274"/>
      <c r="C516" s="1274"/>
      <c r="D516" s="1274" t="s">
        <v>221</v>
      </c>
      <c r="E516" s="1262"/>
      <c r="F516" s="1262"/>
      <c r="G516" s="1060"/>
      <c r="H516" s="619" t="s">
        <v>109</v>
      </c>
      <c r="I516" s="836"/>
      <c r="J516" s="836">
        <v>0</v>
      </c>
      <c r="K516" s="948">
        <f t="shared" ref="K516:K517" si="224">IF(I516&gt;0,J516*100/I516,0)</f>
        <v>0</v>
      </c>
      <c r="L516" s="948"/>
      <c r="M516" s="948"/>
      <c r="N516" s="948"/>
      <c r="O516" s="948"/>
      <c r="P516" s="948"/>
      <c r="Q516" s="1264"/>
      <c r="R516" s="1264"/>
      <c r="S516" s="1264"/>
      <c r="T516" s="1264"/>
      <c r="U516" s="1264"/>
      <c r="V516" s="1264"/>
      <c r="W516" s="1264"/>
      <c r="X516" s="1264"/>
      <c r="Y516" s="1264"/>
      <c r="Z516" s="1264"/>
    </row>
    <row r="517" spans="1:26" ht="19.5" hidden="1">
      <c r="A517" s="1273"/>
      <c r="B517" s="1274"/>
      <c r="C517" s="1274"/>
      <c r="D517" s="1274" t="s">
        <v>222</v>
      </c>
      <c r="E517" s="1262"/>
      <c r="F517" s="1262"/>
      <c r="G517" s="1060"/>
      <c r="H517" s="620" t="s">
        <v>35</v>
      </c>
      <c r="I517" s="1298"/>
      <c r="J517" s="1298">
        <f>J518+J519</f>
        <v>0</v>
      </c>
      <c r="K517" s="1299">
        <f t="shared" si="224"/>
        <v>0</v>
      </c>
      <c r="L517" s="948"/>
      <c r="M517" s="948"/>
      <c r="N517" s="948"/>
      <c r="O517" s="948"/>
      <c r="P517" s="948"/>
      <c r="Q517" s="1264"/>
      <c r="R517" s="1264"/>
      <c r="S517" s="1264"/>
      <c r="T517" s="1264"/>
      <c r="U517" s="1264"/>
      <c r="V517" s="1264"/>
      <c r="W517" s="1264"/>
      <c r="X517" s="1264"/>
      <c r="Y517" s="1264"/>
      <c r="Z517" s="1264"/>
    </row>
    <row r="518" spans="1:26" ht="18.75" hidden="1">
      <c r="A518" s="1273"/>
      <c r="B518" s="1274"/>
      <c r="C518" s="1274"/>
      <c r="D518" s="1274"/>
      <c r="E518" s="1274" t="s">
        <v>223</v>
      </c>
      <c r="F518" s="1262"/>
      <c r="G518" s="1060"/>
      <c r="H518" s="583" t="s">
        <v>35</v>
      </c>
      <c r="I518" s="836"/>
      <c r="J518" s="836"/>
      <c r="K518" s="948"/>
      <c r="L518" s="948"/>
      <c r="M518" s="948"/>
      <c r="N518" s="948"/>
      <c r="O518" s="948"/>
      <c r="P518" s="948"/>
      <c r="Q518" s="1264"/>
      <c r="R518" s="1264"/>
      <c r="S518" s="1264"/>
      <c r="T518" s="1264"/>
      <c r="U518" s="1264"/>
      <c r="V518" s="1264"/>
      <c r="W518" s="1264"/>
      <c r="X518" s="1264"/>
      <c r="Y518" s="1264"/>
      <c r="Z518" s="1264"/>
    </row>
    <row r="519" spans="1:26" ht="18.75" hidden="1">
      <c r="A519" s="1273"/>
      <c r="B519" s="1274"/>
      <c r="C519" s="1274"/>
      <c r="D519" s="1274"/>
      <c r="E519" s="1274" t="s">
        <v>224</v>
      </c>
      <c r="F519" s="1262"/>
      <c r="G519" s="1060"/>
      <c r="H519" s="619" t="s">
        <v>35</v>
      </c>
      <c r="I519" s="836"/>
      <c r="J519" s="836"/>
      <c r="K519" s="948"/>
      <c r="L519" s="948"/>
      <c r="M519" s="948"/>
      <c r="N519" s="948"/>
      <c r="O519" s="948"/>
      <c r="P519" s="948"/>
      <c r="Q519" s="1264"/>
      <c r="R519" s="1264"/>
      <c r="S519" s="1264"/>
      <c r="T519" s="1264"/>
      <c r="U519" s="1264"/>
      <c r="V519" s="1264"/>
      <c r="W519" s="1264"/>
      <c r="X519" s="1264"/>
      <c r="Y519" s="1264"/>
      <c r="Z519" s="1264"/>
    </row>
    <row r="520" spans="1:26" ht="19.5">
      <c r="A520" s="1300" t="s">
        <v>137</v>
      </c>
      <c r="B520" s="1301"/>
      <c r="C520" s="1301"/>
      <c r="D520" s="1302"/>
      <c r="E520" s="1302"/>
      <c r="F520" s="1302"/>
      <c r="G520" s="1303"/>
      <c r="H520" s="1304"/>
      <c r="I520" s="1305"/>
      <c r="J520" s="1305"/>
      <c r="K520" s="1306"/>
      <c r="L520" s="1306"/>
      <c r="M520" s="1306"/>
      <c r="N520" s="1306"/>
      <c r="O520" s="1306"/>
      <c r="P520" s="1306"/>
    </row>
    <row r="521" spans="1:26" ht="19.5" hidden="1">
      <c r="A521" s="630">
        <v>5</v>
      </c>
      <c r="B521" s="1307" t="s">
        <v>225</v>
      </c>
      <c r="C521" s="1308"/>
      <c r="D521" s="1309"/>
      <c r="E521" s="1309"/>
      <c r="F521" s="1309"/>
      <c r="G521" s="1309"/>
      <c r="H521" s="1310"/>
      <c r="I521" s="1311"/>
      <c r="J521" s="1311"/>
      <c r="K521" s="1312"/>
      <c r="L521" s="1312"/>
      <c r="M521" s="1312"/>
      <c r="N521" s="1312"/>
      <c r="O521" s="1312"/>
      <c r="P521" s="1312"/>
      <c r="Q521" s="1244"/>
      <c r="R521" s="1244"/>
      <c r="S521" s="1244"/>
      <c r="T521" s="1244"/>
      <c r="U521" s="1244"/>
      <c r="V521" s="1244"/>
      <c r="W521" s="1244"/>
      <c r="X521" s="1244"/>
      <c r="Y521" s="1244"/>
      <c r="Z521" s="1244"/>
    </row>
    <row r="522" spans="1:26" ht="19.5" hidden="1">
      <c r="A522" s="1313"/>
      <c r="B522" s="1314" t="s">
        <v>226</v>
      </c>
      <c r="C522" s="1315"/>
      <c r="D522" s="1315"/>
      <c r="E522" s="1315"/>
      <c r="F522" s="1315"/>
      <c r="G522" s="1316"/>
      <c r="H522" s="641" t="s">
        <v>35</v>
      </c>
      <c r="I522" s="1317">
        <f t="shared" ref="I522:J522" ca="1" si="225">I537</f>
        <v>0</v>
      </c>
      <c r="J522" s="1317">
        <f t="shared" ca="1" si="225"/>
        <v>0</v>
      </c>
      <c r="K522" s="1318">
        <f ca="1">IF(I522&gt;0,J522*100/I522,0)</f>
        <v>0</v>
      </c>
      <c r="L522" s="1319"/>
      <c r="M522" s="1319"/>
      <c r="N522" s="1319"/>
      <c r="O522" s="1319"/>
      <c r="P522" s="1319"/>
      <c r="Q522" s="1244"/>
      <c r="R522" s="1244"/>
      <c r="S522" s="1244"/>
      <c r="T522" s="1244"/>
      <c r="U522" s="1244"/>
      <c r="V522" s="1244"/>
      <c r="W522" s="1244"/>
      <c r="X522" s="1244"/>
      <c r="Y522" s="1244"/>
      <c r="Z522" s="1244"/>
    </row>
    <row r="523" spans="1:26" ht="19.5" hidden="1">
      <c r="A523" s="1259"/>
      <c r="B523" s="1243"/>
      <c r="C523" s="1243" t="s">
        <v>16</v>
      </c>
      <c r="D523" s="1507" t="s">
        <v>17</v>
      </c>
      <c r="E523" s="1485"/>
      <c r="F523" s="1485"/>
      <c r="G523" s="963"/>
      <c r="H523" s="563" t="s">
        <v>12</v>
      </c>
      <c r="I523" s="830"/>
      <c r="J523" s="830"/>
      <c r="K523" s="831"/>
      <c r="L523" s="967">
        <f t="shared" ref="L523:N523" ca="1" si="226">L524+L525</f>
        <v>0</v>
      </c>
      <c r="M523" s="967">
        <f t="shared" si="226"/>
        <v>0</v>
      </c>
      <c r="N523" s="967">
        <f t="shared" si="226"/>
        <v>0</v>
      </c>
      <c r="O523" s="967">
        <f t="shared" ref="O523:O528" ca="1" si="227">IF(L523&gt;0,N523*100/L523,0)</f>
        <v>0</v>
      </c>
      <c r="P523" s="967">
        <f t="shared" ref="P523:P528" si="228">IF(M523&gt;0,N523*100/M523,0)</f>
        <v>0</v>
      </c>
      <c r="Q523" s="1244"/>
      <c r="R523" s="1244"/>
      <c r="S523" s="1244"/>
      <c r="T523" s="1244"/>
      <c r="U523" s="1244"/>
      <c r="V523" s="1244"/>
      <c r="W523" s="1244"/>
      <c r="X523" s="1244"/>
      <c r="Y523" s="1244"/>
      <c r="Z523" s="1244"/>
    </row>
    <row r="524" spans="1:26" ht="18.75" hidden="1">
      <c r="A524" s="1260"/>
      <c r="B524" s="1261"/>
      <c r="C524" s="1261"/>
      <c r="D524" s="1262"/>
      <c r="E524" s="1261" t="s">
        <v>184</v>
      </c>
      <c r="F524" s="1261"/>
      <c r="G524" s="1263"/>
      <c r="H524" s="165" t="s">
        <v>12</v>
      </c>
      <c r="I524" s="836"/>
      <c r="J524" s="836"/>
      <c r="K524" s="837"/>
      <c r="L524" s="837">
        <f t="shared" ref="L524:N525" si="229">L527+L534</f>
        <v>0</v>
      </c>
      <c r="M524" s="837">
        <f t="shared" si="229"/>
        <v>0</v>
      </c>
      <c r="N524" s="837">
        <f t="shared" si="229"/>
        <v>0</v>
      </c>
      <c r="O524" s="837">
        <f t="shared" si="227"/>
        <v>0</v>
      </c>
      <c r="P524" s="837">
        <f t="shared" si="228"/>
        <v>0</v>
      </c>
      <c r="Q524" s="1264"/>
      <c r="R524" s="1264"/>
      <c r="S524" s="1264"/>
      <c r="T524" s="1264"/>
      <c r="U524" s="1264"/>
      <c r="V524" s="1264"/>
      <c r="W524" s="1264"/>
      <c r="X524" s="1264"/>
      <c r="Y524" s="1264"/>
      <c r="Z524" s="1264"/>
    </row>
    <row r="525" spans="1:26" ht="18.75" hidden="1">
      <c r="A525" s="1260"/>
      <c r="B525" s="1265"/>
      <c r="C525" s="1261"/>
      <c r="D525" s="1262"/>
      <c r="E525" s="1261" t="s">
        <v>185</v>
      </c>
      <c r="F525" s="1261"/>
      <c r="G525" s="1263"/>
      <c r="H525" s="165" t="s">
        <v>12</v>
      </c>
      <c r="I525" s="836"/>
      <c r="J525" s="836"/>
      <c r="K525" s="837"/>
      <c r="L525" s="837">
        <f t="shared" ca="1" si="229"/>
        <v>0</v>
      </c>
      <c r="M525" s="837">
        <f t="shared" si="229"/>
        <v>0</v>
      </c>
      <c r="N525" s="837">
        <f t="shared" si="229"/>
        <v>0</v>
      </c>
      <c r="O525" s="837">
        <f t="shared" ca="1" si="227"/>
        <v>0</v>
      </c>
      <c r="P525" s="837">
        <f t="shared" si="228"/>
        <v>0</v>
      </c>
      <c r="Q525" s="1264"/>
      <c r="R525" s="1264"/>
      <c r="S525" s="1264"/>
      <c r="T525" s="1264"/>
      <c r="U525" s="1264"/>
      <c r="V525" s="1264"/>
      <c r="W525" s="1264"/>
      <c r="X525" s="1264"/>
      <c r="Y525" s="1264"/>
      <c r="Z525" s="1264"/>
    </row>
    <row r="526" spans="1:26" ht="18.75" hidden="1">
      <c r="A526" s="1259"/>
      <c r="B526" s="1242"/>
      <c r="C526" s="1243"/>
      <c r="D526" s="1266" t="s">
        <v>20</v>
      </c>
      <c r="E526" s="1243"/>
      <c r="F526" s="1243"/>
      <c r="G526" s="963"/>
      <c r="H526" s="778" t="s">
        <v>12</v>
      </c>
      <c r="I526" s="944"/>
      <c r="J526" s="944"/>
      <c r="K526" s="945"/>
      <c r="L526" s="831">
        <f t="shared" ref="L526:N526" ca="1" si="230">L527+L528</f>
        <v>0</v>
      </c>
      <c r="M526" s="831">
        <f t="shared" si="230"/>
        <v>0</v>
      </c>
      <c r="N526" s="831">
        <f t="shared" si="230"/>
        <v>0</v>
      </c>
      <c r="O526" s="831">
        <f t="shared" ca="1" si="227"/>
        <v>0</v>
      </c>
      <c r="P526" s="831">
        <f t="shared" si="228"/>
        <v>0</v>
      </c>
      <c r="Q526" s="1244"/>
      <c r="R526" s="1244"/>
      <c r="S526" s="1244"/>
      <c r="T526" s="1244"/>
      <c r="U526" s="1244"/>
      <c r="V526" s="1244"/>
      <c r="W526" s="1244"/>
      <c r="X526" s="1244"/>
      <c r="Y526" s="1244"/>
      <c r="Z526" s="1244"/>
    </row>
    <row r="527" spans="1:26" ht="18.75" hidden="1">
      <c r="A527" s="1260"/>
      <c r="B527" s="1265"/>
      <c r="C527" s="1261"/>
      <c r="D527" s="1262"/>
      <c r="E527" s="1261" t="s">
        <v>184</v>
      </c>
      <c r="F527" s="1261"/>
      <c r="G527" s="1263"/>
      <c r="H527" s="165" t="s">
        <v>12</v>
      </c>
      <c r="I527" s="836"/>
      <c r="J527" s="836"/>
      <c r="K527" s="837"/>
      <c r="L527" s="837">
        <v>0</v>
      </c>
      <c r="M527" s="837">
        <v>0</v>
      </c>
      <c r="N527" s="837">
        <v>0</v>
      </c>
      <c r="O527" s="837">
        <f t="shared" si="227"/>
        <v>0</v>
      </c>
      <c r="P527" s="837">
        <f t="shared" si="228"/>
        <v>0</v>
      </c>
      <c r="Q527" s="1264"/>
      <c r="R527" s="1264"/>
      <c r="S527" s="1264"/>
      <c r="T527" s="1264"/>
      <c r="U527" s="1264"/>
      <c r="V527" s="1264"/>
      <c r="W527" s="1264"/>
      <c r="X527" s="1264"/>
      <c r="Y527" s="1264"/>
      <c r="Z527" s="1264"/>
    </row>
    <row r="528" spans="1:26" ht="18.75" hidden="1">
      <c r="A528" s="1260"/>
      <c r="B528" s="1265"/>
      <c r="C528" s="1261"/>
      <c r="D528" s="1262"/>
      <c r="E528" s="1261" t="s">
        <v>185</v>
      </c>
      <c r="F528" s="1261"/>
      <c r="G528" s="1263"/>
      <c r="H528" s="165" t="s">
        <v>12</v>
      </c>
      <c r="I528" s="836"/>
      <c r="J528" s="836"/>
      <c r="K528" s="837"/>
      <c r="L528" s="837">
        <f ca="1">IFERROR(__xludf.DUMMYFUNCTION("IMPORTRANGE(""https://docs.google.com/spreadsheets/d/1QqKyyYR6Q21VydFLVH3TRQUabQu_ym0Zz7PgGX0-kHA/edit?usp=sharing"",""แผน!GQ14"")"),0)</f>
        <v>0</v>
      </c>
      <c r="M528" s="837">
        <v>0</v>
      </c>
      <c r="N528" s="837">
        <f>N529+N530+N531+N532</f>
        <v>0</v>
      </c>
      <c r="O528" s="837">
        <f t="shared" ca="1" si="227"/>
        <v>0</v>
      </c>
      <c r="P528" s="837">
        <f t="shared" si="228"/>
        <v>0</v>
      </c>
      <c r="Q528" s="1264"/>
      <c r="R528" s="1264"/>
      <c r="S528" s="1264"/>
      <c r="T528" s="1264"/>
      <c r="U528" s="1264"/>
      <c r="V528" s="1264"/>
      <c r="W528" s="1264"/>
      <c r="X528" s="1264"/>
      <c r="Y528" s="1264"/>
      <c r="Z528" s="1264"/>
    </row>
    <row r="529" spans="1:26" ht="18.75" hidden="1">
      <c r="A529" s="1241"/>
      <c r="B529" s="1242"/>
      <c r="C529" s="1243"/>
      <c r="D529" s="1243"/>
      <c r="E529" s="1243"/>
      <c r="F529" s="1243" t="s">
        <v>186</v>
      </c>
      <c r="G529" s="963"/>
      <c r="H529" s="778" t="s">
        <v>12</v>
      </c>
      <c r="I529" s="830"/>
      <c r="J529" s="830"/>
      <c r="K529" s="831"/>
      <c r="L529" s="831"/>
      <c r="M529" s="831"/>
      <c r="N529" s="1031">
        <v>0</v>
      </c>
      <c r="O529" s="831"/>
      <c r="P529" s="831"/>
      <c r="Q529" s="1244"/>
      <c r="R529" s="1244"/>
      <c r="S529" s="1244"/>
      <c r="T529" s="1244"/>
      <c r="U529" s="1244"/>
      <c r="V529" s="1244"/>
      <c r="W529" s="1244"/>
      <c r="X529" s="1244"/>
      <c r="Y529" s="1244"/>
      <c r="Z529" s="1244"/>
    </row>
    <row r="530" spans="1:26" ht="18.75" hidden="1">
      <c r="A530" s="1241"/>
      <c r="B530" s="1242"/>
      <c r="C530" s="1243"/>
      <c r="D530" s="1243"/>
      <c r="E530" s="1243"/>
      <c r="F530" s="1243" t="s">
        <v>187</v>
      </c>
      <c r="G530" s="963"/>
      <c r="H530" s="778" t="s">
        <v>12</v>
      </c>
      <c r="I530" s="830"/>
      <c r="J530" s="830"/>
      <c r="K530" s="831"/>
      <c r="L530" s="831"/>
      <c r="M530" s="831"/>
      <c r="N530" s="1031">
        <v>0</v>
      </c>
      <c r="O530" s="831"/>
      <c r="P530" s="831"/>
      <c r="Q530" s="1244"/>
      <c r="R530" s="1244"/>
      <c r="S530" s="1244"/>
      <c r="T530" s="1244"/>
      <c r="U530" s="1244"/>
      <c r="V530" s="1244"/>
      <c r="W530" s="1244"/>
      <c r="X530" s="1244"/>
      <c r="Y530" s="1244"/>
      <c r="Z530" s="1244"/>
    </row>
    <row r="531" spans="1:26" ht="18.75" hidden="1">
      <c r="A531" s="1241"/>
      <c r="B531" s="1242"/>
      <c r="C531" s="1243"/>
      <c r="D531" s="1243"/>
      <c r="E531" s="1243"/>
      <c r="F531" s="1243" t="s">
        <v>188</v>
      </c>
      <c r="G531" s="963"/>
      <c r="H531" s="778" t="s">
        <v>12</v>
      </c>
      <c r="I531" s="830"/>
      <c r="J531" s="830"/>
      <c r="K531" s="831"/>
      <c r="L531" s="831"/>
      <c r="M531" s="831"/>
      <c r="N531" s="1031">
        <v>0</v>
      </c>
      <c r="O531" s="831"/>
      <c r="P531" s="831"/>
      <c r="Q531" s="1244"/>
      <c r="R531" s="1244"/>
      <c r="S531" s="1244"/>
      <c r="T531" s="1244"/>
      <c r="U531" s="1244"/>
      <c r="V531" s="1244"/>
      <c r="W531" s="1244"/>
      <c r="X531" s="1244"/>
      <c r="Y531" s="1244"/>
      <c r="Z531" s="1244"/>
    </row>
    <row r="532" spans="1:26" ht="18.75" hidden="1">
      <c r="A532" s="1241"/>
      <c r="B532" s="1242"/>
      <c r="C532" s="1243"/>
      <c r="D532" s="1243"/>
      <c r="E532" s="1243"/>
      <c r="F532" s="1243" t="s">
        <v>189</v>
      </c>
      <c r="G532" s="963"/>
      <c r="H532" s="778" t="s">
        <v>12</v>
      </c>
      <c r="I532" s="830"/>
      <c r="J532" s="830"/>
      <c r="K532" s="831"/>
      <c r="L532" s="831"/>
      <c r="M532" s="831"/>
      <c r="N532" s="1031">
        <v>0</v>
      </c>
      <c r="O532" s="831"/>
      <c r="P532" s="831"/>
      <c r="Q532" s="1244"/>
      <c r="R532" s="1244"/>
      <c r="S532" s="1244"/>
      <c r="T532" s="1244"/>
      <c r="U532" s="1244"/>
      <c r="V532" s="1244"/>
      <c r="W532" s="1244"/>
      <c r="X532" s="1244"/>
      <c r="Y532" s="1244"/>
      <c r="Z532" s="1244"/>
    </row>
    <row r="533" spans="1:26" ht="18.75" hidden="1">
      <c r="A533" s="1259"/>
      <c r="B533" s="1242"/>
      <c r="C533" s="1243"/>
      <c r="D533" s="1266" t="s">
        <v>21</v>
      </c>
      <c r="E533" s="1243"/>
      <c r="F533" s="1243"/>
      <c r="G533" s="963"/>
      <c r="H533" s="168" t="s">
        <v>12</v>
      </c>
      <c r="I533" s="944"/>
      <c r="J533" s="944"/>
      <c r="K533" s="945"/>
      <c r="L533" s="831">
        <f t="shared" ref="L533:N533" ca="1" si="231">L534+L535</f>
        <v>0</v>
      </c>
      <c r="M533" s="831">
        <f t="shared" si="231"/>
        <v>0</v>
      </c>
      <c r="N533" s="831">
        <f t="shared" si="231"/>
        <v>0</v>
      </c>
      <c r="O533" s="831">
        <f t="shared" ref="O533:O535" ca="1" si="232">IF(L533&gt;0,N533*100/L533,0)</f>
        <v>0</v>
      </c>
      <c r="P533" s="831">
        <f t="shared" ref="P533:P535" si="233">IF(M533&gt;0,N533*100/M533,0)</f>
        <v>0</v>
      </c>
      <c r="Q533" s="1244"/>
      <c r="R533" s="1244"/>
      <c r="S533" s="1244"/>
      <c r="T533" s="1244"/>
      <c r="U533" s="1244"/>
      <c r="V533" s="1244"/>
      <c r="W533" s="1244"/>
      <c r="X533" s="1244"/>
      <c r="Y533" s="1244"/>
      <c r="Z533" s="1244"/>
    </row>
    <row r="534" spans="1:26" ht="18.75" hidden="1">
      <c r="A534" s="1260"/>
      <c r="B534" s="1265"/>
      <c r="C534" s="1261"/>
      <c r="D534" s="1261"/>
      <c r="E534" s="1261" t="s">
        <v>18</v>
      </c>
      <c r="F534" s="1261"/>
      <c r="G534" s="1263"/>
      <c r="H534" s="165" t="s">
        <v>12</v>
      </c>
      <c r="I534" s="947"/>
      <c r="J534" s="947"/>
      <c r="K534" s="948"/>
      <c r="L534" s="837">
        <v>0</v>
      </c>
      <c r="M534" s="837">
        <v>0</v>
      </c>
      <c r="N534" s="837">
        <v>0</v>
      </c>
      <c r="O534" s="837">
        <f t="shared" si="232"/>
        <v>0</v>
      </c>
      <c r="P534" s="837">
        <f t="shared" si="233"/>
        <v>0</v>
      </c>
      <c r="Q534" s="1264"/>
      <c r="R534" s="1264"/>
      <c r="S534" s="1264"/>
      <c r="T534" s="1264"/>
      <c r="U534" s="1264"/>
      <c r="V534" s="1264"/>
      <c r="W534" s="1264"/>
      <c r="X534" s="1264"/>
      <c r="Y534" s="1264"/>
      <c r="Z534" s="1264"/>
    </row>
    <row r="535" spans="1:26" ht="18.75" hidden="1">
      <c r="A535" s="1260"/>
      <c r="B535" s="1265"/>
      <c r="C535" s="1261"/>
      <c r="D535" s="1261"/>
      <c r="E535" s="1261" t="s">
        <v>19</v>
      </c>
      <c r="F535" s="1261"/>
      <c r="G535" s="1263"/>
      <c r="H535" s="169" t="s">
        <v>12</v>
      </c>
      <c r="I535" s="947"/>
      <c r="J535" s="947"/>
      <c r="K535" s="948"/>
      <c r="L535" s="837">
        <f ca="1">IFERROR(__xludf.DUMMYFUNCTION("IMPORTRANGE(""https://docs.google.com/spreadsheets/d/1QqKyyYR6Q21VydFLVH3TRQUabQu_ym0Zz7PgGX0-kHA/edit?usp=sharing"",""แผน!GT14"")"),0)</f>
        <v>0</v>
      </c>
      <c r="M535" s="837">
        <v>0</v>
      </c>
      <c r="N535" s="837">
        <v>0</v>
      </c>
      <c r="O535" s="837">
        <f t="shared" ca="1" si="232"/>
        <v>0</v>
      </c>
      <c r="P535" s="837">
        <f t="shared" si="233"/>
        <v>0</v>
      </c>
      <c r="Q535" s="1264"/>
      <c r="R535" s="1264"/>
      <c r="S535" s="1264"/>
      <c r="T535" s="1264"/>
      <c r="U535" s="1264"/>
      <c r="V535" s="1264"/>
      <c r="W535" s="1264"/>
      <c r="X535" s="1264"/>
      <c r="Y535" s="1264"/>
      <c r="Z535" s="1264"/>
    </row>
    <row r="536" spans="1:26" ht="19.5" hidden="1">
      <c r="A536" s="1267"/>
      <c r="B536" s="1268"/>
      <c r="C536" s="1243" t="s">
        <v>16</v>
      </c>
      <c r="D536" s="1320" t="s">
        <v>38</v>
      </c>
      <c r="E536" s="1271"/>
      <c r="F536" s="1271"/>
      <c r="G536" s="1272"/>
      <c r="H536" s="954"/>
      <c r="I536" s="944"/>
      <c r="J536" s="944"/>
      <c r="K536" s="945"/>
      <c r="L536" s="945"/>
      <c r="M536" s="945"/>
      <c r="N536" s="945"/>
      <c r="O536" s="945"/>
      <c r="P536" s="945"/>
      <c r="Q536" s="1244"/>
      <c r="R536" s="1244"/>
      <c r="S536" s="1244"/>
      <c r="T536" s="1244"/>
      <c r="U536" s="1244"/>
      <c r="V536" s="1244"/>
      <c r="W536" s="1244"/>
      <c r="X536" s="1244"/>
      <c r="Y536" s="1244"/>
      <c r="Z536" s="1244"/>
    </row>
    <row r="537" spans="1:26" ht="19.5" hidden="1">
      <c r="A537" s="1241"/>
      <c r="B537" s="1242"/>
      <c r="C537" s="1243"/>
      <c r="D537" s="1243" t="s">
        <v>227</v>
      </c>
      <c r="E537" s="1243"/>
      <c r="F537" s="1243"/>
      <c r="G537" s="963"/>
      <c r="H537" s="590" t="s">
        <v>35</v>
      </c>
      <c r="I537" s="966">
        <f ca="1">IFERROR(__xludf.DUMMYFUNCTION("IMPORTRANGE(""https://docs.google.com/spreadsheets/d/1QqKyyYR6Q21VydFLVH3TRQUabQu_ym0Zz7PgGX0-kHA/edit?usp=sharing"",""แผน!GU14"")"),0)</f>
        <v>0</v>
      </c>
      <c r="J537" s="966">
        <f ca="1">IF(AND(J538=I538,J539=I539,J540=I540,J541=I541),I537,0)</f>
        <v>0</v>
      </c>
      <c r="K537" s="831">
        <f t="shared" ref="K537:K543" ca="1" si="234">IF(I537&gt;0,J537*100/I537,0)</f>
        <v>0</v>
      </c>
      <c r="L537" s="831"/>
      <c r="M537" s="831"/>
      <c r="N537" s="831"/>
      <c r="O537" s="831"/>
      <c r="P537" s="831"/>
      <c r="Q537" s="1321"/>
      <c r="R537" s="1321"/>
      <c r="S537" s="1321"/>
      <c r="T537" s="1321"/>
      <c r="U537" s="1321"/>
      <c r="V537" s="1321"/>
      <c r="W537" s="1321"/>
      <c r="X537" s="1321"/>
      <c r="Y537" s="1321"/>
      <c r="Z537" s="1321"/>
    </row>
    <row r="538" spans="1:26" ht="18.75" hidden="1">
      <c r="A538" s="1241"/>
      <c r="B538" s="1242"/>
      <c r="C538" s="1243"/>
      <c r="D538" s="1243"/>
      <c r="E538" s="1243" t="s">
        <v>228</v>
      </c>
      <c r="F538" s="1243"/>
      <c r="G538" s="963"/>
      <c r="H538" s="590" t="s">
        <v>35</v>
      </c>
      <c r="I538" s="830">
        <f ca="1">IFERROR(__xludf.DUMMYFUNCTION("IMPORTRANGE(""https://docs.google.com/spreadsheets/d/1QqKyyYR6Q21VydFLVH3TRQUabQu_ym0Zz7PgGX0-kHA/edit?usp=sharing"",""แผน!GV14"")"),0)</f>
        <v>0</v>
      </c>
      <c r="J538" s="959">
        <v>0</v>
      </c>
      <c r="K538" s="831">
        <f t="shared" ca="1" si="234"/>
        <v>0</v>
      </c>
      <c r="L538" s="831"/>
      <c r="M538" s="831"/>
      <c r="N538" s="831"/>
      <c r="O538" s="831"/>
      <c r="P538" s="831"/>
      <c r="Q538" s="1321"/>
      <c r="R538" s="1321"/>
      <c r="S538" s="1321"/>
      <c r="T538" s="1321"/>
      <c r="U538" s="1321"/>
      <c r="V538" s="1321"/>
      <c r="W538" s="1321"/>
      <c r="X538" s="1321"/>
      <c r="Y538" s="1321"/>
      <c r="Z538" s="1321"/>
    </row>
    <row r="539" spans="1:26" ht="18.75" hidden="1">
      <c r="A539" s="1241"/>
      <c r="B539" s="1242"/>
      <c r="C539" s="1243"/>
      <c r="D539" s="1243"/>
      <c r="E539" s="1243" t="s">
        <v>229</v>
      </c>
      <c r="F539" s="1243"/>
      <c r="G539" s="963"/>
      <c r="H539" s="590" t="s">
        <v>35</v>
      </c>
      <c r="I539" s="830">
        <f ca="1">IFERROR(__xludf.DUMMYFUNCTION("IMPORTRANGE(""https://docs.google.com/spreadsheets/d/1QqKyyYR6Q21VydFLVH3TRQUabQu_ym0Zz7PgGX0-kHA/edit?usp=sharing"",""แผน!GW14"")"),0)</f>
        <v>0</v>
      </c>
      <c r="J539" s="959">
        <v>0</v>
      </c>
      <c r="K539" s="831">
        <f t="shared" ca="1" si="234"/>
        <v>0</v>
      </c>
      <c r="L539" s="831"/>
      <c r="M539" s="831"/>
      <c r="N539" s="831"/>
      <c r="O539" s="831"/>
      <c r="P539" s="831"/>
      <c r="Q539" s="1321"/>
      <c r="R539" s="1321"/>
      <c r="S539" s="1321"/>
      <c r="T539" s="1321"/>
      <c r="U539" s="1321"/>
      <c r="V539" s="1321"/>
      <c r="W539" s="1321"/>
      <c r="X539" s="1321"/>
      <c r="Y539" s="1321"/>
      <c r="Z539" s="1321"/>
    </row>
    <row r="540" spans="1:26" ht="18.75" hidden="1">
      <c r="A540" s="1241"/>
      <c r="B540" s="1242"/>
      <c r="C540" s="1243"/>
      <c r="D540" s="1243"/>
      <c r="E540" s="1243" t="s">
        <v>230</v>
      </c>
      <c r="F540" s="1243"/>
      <c r="G540" s="963"/>
      <c r="H540" s="590" t="s">
        <v>35</v>
      </c>
      <c r="I540" s="830">
        <f ca="1">IFERROR(__xludf.DUMMYFUNCTION("IMPORTRANGE(""https://docs.google.com/spreadsheets/d/1QqKyyYR6Q21VydFLVH3TRQUabQu_ym0Zz7PgGX0-kHA/edit?usp=sharing"",""แผน!GX14"")"),0)</f>
        <v>0</v>
      </c>
      <c r="J540" s="959">
        <v>0</v>
      </c>
      <c r="K540" s="831">
        <f t="shared" ca="1" si="234"/>
        <v>0</v>
      </c>
      <c r="L540" s="831"/>
      <c r="M540" s="831"/>
      <c r="N540" s="831"/>
      <c r="O540" s="831"/>
      <c r="P540" s="831"/>
      <c r="Q540" s="1321"/>
      <c r="R540" s="1321"/>
      <c r="S540" s="1321"/>
      <c r="T540" s="1321"/>
      <c r="U540" s="1321"/>
      <c r="V540" s="1321"/>
      <c r="W540" s="1321"/>
      <c r="X540" s="1321"/>
      <c r="Y540" s="1321"/>
      <c r="Z540" s="1321"/>
    </row>
    <row r="541" spans="1:26" ht="18.75" hidden="1">
      <c r="A541" s="1241"/>
      <c r="B541" s="1242"/>
      <c r="C541" s="1243"/>
      <c r="D541" s="1243"/>
      <c r="E541" s="1322" t="s">
        <v>231</v>
      </c>
      <c r="F541" s="1243"/>
      <c r="G541" s="963"/>
      <c r="H541" s="590" t="s">
        <v>35</v>
      </c>
      <c r="I541" s="830">
        <f ca="1">IFERROR(__xludf.DUMMYFUNCTION("IMPORTRANGE(""https://docs.google.com/spreadsheets/d/1QqKyyYR6Q21VydFLVH3TRQUabQu_ym0Zz7PgGX0-kHA/edit?usp=sharing"",""แผน!GY14"")"),0)</f>
        <v>0</v>
      </c>
      <c r="J541" s="959">
        <v>0</v>
      </c>
      <c r="K541" s="831">
        <f t="shared" ca="1" si="234"/>
        <v>0</v>
      </c>
      <c r="L541" s="831"/>
      <c r="M541" s="831"/>
      <c r="N541" s="831"/>
      <c r="O541" s="831"/>
      <c r="P541" s="831"/>
      <c r="Q541" s="1321"/>
      <c r="R541" s="1321"/>
      <c r="S541" s="1321"/>
      <c r="T541" s="1321"/>
      <c r="U541" s="1321"/>
      <c r="V541" s="1321"/>
      <c r="W541" s="1321"/>
      <c r="X541" s="1321"/>
      <c r="Y541" s="1321"/>
      <c r="Z541" s="1321"/>
    </row>
    <row r="542" spans="1:26" ht="18.75" hidden="1">
      <c r="A542" s="1241"/>
      <c r="B542" s="1242"/>
      <c r="C542" s="1243"/>
      <c r="D542" s="1243" t="s">
        <v>59</v>
      </c>
      <c r="E542" s="1243"/>
      <c r="F542" s="1243"/>
      <c r="G542" s="963"/>
      <c r="H542" s="590" t="s">
        <v>35</v>
      </c>
      <c r="I542" s="830">
        <f ca="1">IFERROR(__xludf.DUMMYFUNCTION("IMPORTRANGE(""https://docs.google.com/spreadsheets/d/1QqKyyYR6Q21VydFLVH3TRQUabQu_ym0Zz7PgGX0-kHA/edit?usp=sharing"",""แผน!GZ14"")"),0)</f>
        <v>0</v>
      </c>
      <c r="J542" s="959">
        <v>0</v>
      </c>
      <c r="K542" s="831">
        <f t="shared" ca="1" si="234"/>
        <v>0</v>
      </c>
      <c r="L542" s="831"/>
      <c r="M542" s="831"/>
      <c r="N542" s="831"/>
      <c r="O542" s="831"/>
      <c r="P542" s="831"/>
      <c r="Q542" s="1321"/>
      <c r="R542" s="1321"/>
      <c r="S542" s="1321"/>
      <c r="T542" s="1321"/>
      <c r="U542" s="1321"/>
      <c r="V542" s="1321"/>
      <c r="W542" s="1321"/>
      <c r="X542" s="1321"/>
      <c r="Y542" s="1321"/>
      <c r="Z542" s="1321"/>
    </row>
    <row r="543" spans="1:26" ht="19.5">
      <c r="A543" s="630">
        <v>6</v>
      </c>
      <c r="B543" s="1323" t="s">
        <v>232</v>
      </c>
      <c r="C543" s="1309"/>
      <c r="D543" s="1309"/>
      <c r="E543" s="1309"/>
      <c r="F543" s="1309"/>
      <c r="G543" s="1310"/>
      <c r="H543" s="652" t="s">
        <v>46</v>
      </c>
      <c r="I543" s="1324">
        <f t="shared" ref="I543:J543" ca="1" si="235">I559</f>
        <v>156826</v>
      </c>
      <c r="J543" s="1324">
        <f t="shared" si="235"/>
        <v>0</v>
      </c>
      <c r="K543" s="1325">
        <f t="shared" ca="1" si="234"/>
        <v>0</v>
      </c>
      <c r="L543" s="1312"/>
      <c r="M543" s="1312"/>
      <c r="N543" s="1312"/>
      <c r="O543" s="1312"/>
      <c r="P543" s="1312"/>
      <c r="Q543" s="1244"/>
      <c r="R543" s="1244"/>
      <c r="S543" s="1244"/>
      <c r="T543" s="1244"/>
      <c r="U543" s="1244"/>
      <c r="V543" s="1244"/>
      <c r="W543" s="1244"/>
      <c r="X543" s="1244"/>
      <c r="Y543" s="1244"/>
      <c r="Z543" s="1244"/>
    </row>
    <row r="544" spans="1:26" ht="19.5">
      <c r="A544" s="1326"/>
      <c r="B544" s="1327"/>
      <c r="C544" s="1327" t="s">
        <v>16</v>
      </c>
      <c r="D544" s="1511" t="s">
        <v>17</v>
      </c>
      <c r="E544" s="1487"/>
      <c r="F544" s="1487"/>
      <c r="G544" s="1328"/>
      <c r="H544" s="275" t="s">
        <v>12</v>
      </c>
      <c r="I544" s="937"/>
      <c r="J544" s="937"/>
      <c r="K544" s="938"/>
      <c r="L544" s="939">
        <f t="shared" ref="L544:N544" ca="1" si="236">L545+L546</f>
        <v>787961</v>
      </c>
      <c r="M544" s="939">
        <f t="shared" si="236"/>
        <v>0</v>
      </c>
      <c r="N544" s="939">
        <f t="shared" si="236"/>
        <v>245210</v>
      </c>
      <c r="O544" s="939">
        <f t="shared" ref="O544:O549" ca="1" si="237">IF(L544&gt;0,N544*100/L544,0)</f>
        <v>31.119560485861609</v>
      </c>
      <c r="P544" s="939">
        <f t="shared" ref="P544:P549" si="238">IF(M544&gt;0,N544*100/M544,0)</f>
        <v>0</v>
      </c>
      <c r="Q544" s="1244"/>
      <c r="R544" s="1244"/>
      <c r="S544" s="1244"/>
      <c r="T544" s="1244"/>
      <c r="U544" s="1244"/>
      <c r="V544" s="1244"/>
      <c r="W544" s="1244"/>
      <c r="X544" s="1244"/>
      <c r="Y544" s="1244"/>
      <c r="Z544" s="1244"/>
    </row>
    <row r="545" spans="1:26" ht="18.75" hidden="1">
      <c r="A545" s="1260"/>
      <c r="B545" s="1261"/>
      <c r="C545" s="1261"/>
      <c r="D545" s="1261"/>
      <c r="E545" s="1261" t="s">
        <v>184</v>
      </c>
      <c r="F545" s="1261"/>
      <c r="G545" s="1263"/>
      <c r="H545" s="165" t="s">
        <v>12</v>
      </c>
      <c r="I545" s="836"/>
      <c r="J545" s="836"/>
      <c r="K545" s="837"/>
      <c r="L545" s="837">
        <f t="shared" ref="L545:L546" si="239">L548+L556</f>
        <v>0</v>
      </c>
      <c r="M545" s="837">
        <f t="shared" ref="M545:N546" si="240">M548+M555</f>
        <v>0</v>
      </c>
      <c r="N545" s="837">
        <f t="shared" si="240"/>
        <v>0</v>
      </c>
      <c r="O545" s="837">
        <f t="shared" si="237"/>
        <v>0</v>
      </c>
      <c r="P545" s="837">
        <f t="shared" si="238"/>
        <v>0</v>
      </c>
      <c r="Q545" s="1264"/>
      <c r="R545" s="1264"/>
      <c r="S545" s="1264"/>
      <c r="T545" s="1264"/>
      <c r="U545" s="1264"/>
      <c r="V545" s="1264"/>
      <c r="W545" s="1264"/>
      <c r="X545" s="1264"/>
      <c r="Y545" s="1264"/>
      <c r="Z545" s="1264"/>
    </row>
    <row r="546" spans="1:26" ht="18.75" hidden="1">
      <c r="A546" s="1260"/>
      <c r="B546" s="1265"/>
      <c r="C546" s="1261"/>
      <c r="D546" s="1261"/>
      <c r="E546" s="1261" t="s">
        <v>185</v>
      </c>
      <c r="F546" s="1261"/>
      <c r="G546" s="1263"/>
      <c r="H546" s="165" t="s">
        <v>12</v>
      </c>
      <c r="I546" s="836"/>
      <c r="J546" s="836"/>
      <c r="K546" s="837"/>
      <c r="L546" s="837">
        <f t="shared" ca="1" si="239"/>
        <v>787961</v>
      </c>
      <c r="M546" s="837">
        <f t="shared" si="240"/>
        <v>0</v>
      </c>
      <c r="N546" s="837">
        <f t="shared" si="240"/>
        <v>245210</v>
      </c>
      <c r="O546" s="837">
        <f t="shared" ca="1" si="237"/>
        <v>31.119560485861609</v>
      </c>
      <c r="P546" s="837">
        <f t="shared" si="238"/>
        <v>0</v>
      </c>
      <c r="Q546" s="1264"/>
      <c r="R546" s="1264"/>
      <c r="S546" s="1264"/>
      <c r="T546" s="1264"/>
      <c r="U546" s="1264"/>
      <c r="V546" s="1264"/>
      <c r="W546" s="1264"/>
      <c r="X546" s="1264"/>
      <c r="Y546" s="1264"/>
      <c r="Z546" s="1264"/>
    </row>
    <row r="547" spans="1:26" ht="18.75">
      <c r="A547" s="1259"/>
      <c r="B547" s="1242"/>
      <c r="C547" s="1243"/>
      <c r="D547" s="1266" t="s">
        <v>20</v>
      </c>
      <c r="E547" s="1243"/>
      <c r="F547" s="1243"/>
      <c r="G547" s="963"/>
      <c r="H547" s="778" t="s">
        <v>12</v>
      </c>
      <c r="I547" s="944"/>
      <c r="J547" s="944"/>
      <c r="K547" s="945"/>
      <c r="L547" s="831">
        <f t="shared" ref="L547:N547" ca="1" si="241">L548+L549</f>
        <v>787961</v>
      </c>
      <c r="M547" s="831">
        <f t="shared" si="241"/>
        <v>0</v>
      </c>
      <c r="N547" s="831">
        <f t="shared" si="241"/>
        <v>245210</v>
      </c>
      <c r="O547" s="831">
        <f t="shared" ca="1" si="237"/>
        <v>31.119560485861609</v>
      </c>
      <c r="P547" s="831">
        <f t="shared" si="238"/>
        <v>0</v>
      </c>
      <c r="Q547" s="1244"/>
      <c r="R547" s="1244"/>
      <c r="S547" s="1244"/>
      <c r="T547" s="1244"/>
      <c r="U547" s="1244"/>
      <c r="V547" s="1244"/>
      <c r="W547" s="1244"/>
      <c r="X547" s="1244"/>
      <c r="Y547" s="1244"/>
      <c r="Z547" s="1244"/>
    </row>
    <row r="548" spans="1:26" ht="18.75" hidden="1">
      <c r="A548" s="1260"/>
      <c r="B548" s="1265"/>
      <c r="C548" s="1261"/>
      <c r="D548" s="1262"/>
      <c r="E548" s="1261" t="s">
        <v>184</v>
      </c>
      <c r="F548" s="1261"/>
      <c r="G548" s="1263"/>
      <c r="H548" s="165" t="s">
        <v>12</v>
      </c>
      <c r="I548" s="836"/>
      <c r="J548" s="836"/>
      <c r="K548" s="837"/>
      <c r="L548" s="837">
        <v>0</v>
      </c>
      <c r="M548" s="837">
        <v>0</v>
      </c>
      <c r="N548" s="837">
        <v>0</v>
      </c>
      <c r="O548" s="837">
        <f t="shared" si="237"/>
        <v>0</v>
      </c>
      <c r="P548" s="837">
        <f t="shared" si="238"/>
        <v>0</v>
      </c>
      <c r="Q548" s="1264"/>
      <c r="R548" s="1264"/>
      <c r="S548" s="1264"/>
      <c r="T548" s="1264"/>
      <c r="U548" s="1264"/>
      <c r="V548" s="1264"/>
      <c r="W548" s="1264"/>
      <c r="X548" s="1264"/>
      <c r="Y548" s="1264"/>
      <c r="Z548" s="1264"/>
    </row>
    <row r="549" spans="1:26" ht="18.75" hidden="1">
      <c r="A549" s="1260"/>
      <c r="B549" s="1265"/>
      <c r="C549" s="1261"/>
      <c r="D549" s="1262"/>
      <c r="E549" s="1261" t="s">
        <v>185</v>
      </c>
      <c r="F549" s="1261"/>
      <c r="G549" s="1263"/>
      <c r="H549" s="165" t="s">
        <v>12</v>
      </c>
      <c r="I549" s="836"/>
      <c r="J549" s="836"/>
      <c r="K549" s="837"/>
      <c r="L549" s="837">
        <f ca="1">IFERROR(__xludf.DUMMYFUNCTION("IMPORTRANGE(""https://docs.google.com/spreadsheets/d/1QqKyyYR6Q21VydFLVH3TRQUabQu_ym0Zz7PgGX0-kHA/edit?usp=sharing"",""แผน!HB14"")"),787961)</f>
        <v>787961</v>
      </c>
      <c r="M549" s="837">
        <v>0</v>
      </c>
      <c r="N549" s="837">
        <f>N550+N551+N552+N553+N554</f>
        <v>245210</v>
      </c>
      <c r="O549" s="837">
        <f t="shared" ca="1" si="237"/>
        <v>31.119560485861609</v>
      </c>
      <c r="P549" s="837">
        <f t="shared" si="238"/>
        <v>0</v>
      </c>
      <c r="Q549" s="1264"/>
      <c r="R549" s="1264"/>
      <c r="S549" s="1264"/>
      <c r="T549" s="1264"/>
      <c r="U549" s="1264"/>
      <c r="V549" s="1264"/>
      <c r="W549" s="1264"/>
      <c r="X549" s="1264"/>
      <c r="Y549" s="1264"/>
      <c r="Z549" s="1264"/>
    </row>
    <row r="550" spans="1:26" ht="18.75">
      <c r="A550" s="1241"/>
      <c r="B550" s="1242"/>
      <c r="C550" s="1243"/>
      <c r="D550" s="1243"/>
      <c r="E550" s="1243"/>
      <c r="F550" s="1243" t="s">
        <v>186</v>
      </c>
      <c r="G550" s="963"/>
      <c r="H550" s="778" t="s">
        <v>12</v>
      </c>
      <c r="I550" s="830"/>
      <c r="J550" s="830"/>
      <c r="K550" s="831"/>
      <c r="L550" s="831"/>
      <c r="M550" s="831"/>
      <c r="N550" s="1031">
        <v>0</v>
      </c>
      <c r="O550" s="831"/>
      <c r="P550" s="831"/>
      <c r="Q550" s="1244"/>
      <c r="R550" s="1244"/>
      <c r="S550" s="1244"/>
      <c r="T550" s="1244"/>
      <c r="U550" s="1244"/>
      <c r="V550" s="1244"/>
      <c r="W550" s="1244"/>
      <c r="X550" s="1244"/>
      <c r="Y550" s="1244"/>
      <c r="Z550" s="1244"/>
    </row>
    <row r="551" spans="1:26" ht="18.75">
      <c r="A551" s="1241"/>
      <c r="B551" s="1242"/>
      <c r="C551" s="1242"/>
      <c r="D551" s="1242"/>
      <c r="E551" s="1243"/>
      <c r="F551" s="1243" t="s">
        <v>187</v>
      </c>
      <c r="G551" s="963"/>
      <c r="H551" s="778" t="s">
        <v>12</v>
      </c>
      <c r="I551" s="830"/>
      <c r="J551" s="830"/>
      <c r="K551" s="831"/>
      <c r="L551" s="831"/>
      <c r="M551" s="831"/>
      <c r="N551" s="1031">
        <v>0</v>
      </c>
      <c r="O551" s="831"/>
      <c r="P551" s="831"/>
      <c r="Q551" s="1244"/>
      <c r="R551" s="1244"/>
      <c r="S551" s="1244"/>
      <c r="T551" s="1244"/>
      <c r="U551" s="1244"/>
      <c r="V551" s="1244"/>
      <c r="W551" s="1244"/>
      <c r="X551" s="1244"/>
      <c r="Y551" s="1244"/>
      <c r="Z551" s="1244"/>
    </row>
    <row r="552" spans="1:26" ht="18.75">
      <c r="A552" s="1241"/>
      <c r="B552" s="1242"/>
      <c r="C552" s="1243"/>
      <c r="D552" s="1243"/>
      <c r="E552" s="1243"/>
      <c r="F552" s="1243" t="s">
        <v>188</v>
      </c>
      <c r="G552" s="963"/>
      <c r="H552" s="778" t="s">
        <v>12</v>
      </c>
      <c r="I552" s="830"/>
      <c r="J552" s="830"/>
      <c r="K552" s="831"/>
      <c r="L552" s="831"/>
      <c r="M552" s="831"/>
      <c r="N552" s="1031">
        <v>52000</v>
      </c>
      <c r="O552" s="831"/>
      <c r="P552" s="831"/>
      <c r="Q552" s="1244"/>
      <c r="R552" s="1244"/>
      <c r="S552" s="1244"/>
      <c r="T552" s="1244"/>
      <c r="U552" s="1244"/>
      <c r="V552" s="1244"/>
      <c r="W552" s="1244"/>
      <c r="X552" s="1244"/>
      <c r="Y552" s="1244"/>
      <c r="Z552" s="1244"/>
    </row>
    <row r="553" spans="1:26" ht="18.75">
      <c r="A553" s="1241"/>
      <c r="B553" s="1242"/>
      <c r="C553" s="1242"/>
      <c r="D553" s="1242"/>
      <c r="E553" s="1243"/>
      <c r="F553" s="1243" t="s">
        <v>189</v>
      </c>
      <c r="G553" s="963"/>
      <c r="H553" s="778" t="s">
        <v>12</v>
      </c>
      <c r="I553" s="830"/>
      <c r="J553" s="830"/>
      <c r="K553" s="831"/>
      <c r="L553" s="831"/>
      <c r="M553" s="831"/>
      <c r="N553" s="1031">
        <f>70550+51260+23400+48000</f>
        <v>193210</v>
      </c>
      <c r="O553" s="831"/>
      <c r="P553" s="831"/>
      <c r="Q553" s="1244"/>
      <c r="R553" s="1244"/>
      <c r="S553" s="1244"/>
      <c r="T553" s="1244"/>
      <c r="U553" s="1244"/>
      <c r="V553" s="1244"/>
      <c r="W553" s="1244"/>
      <c r="X553" s="1244"/>
      <c r="Y553" s="1244"/>
      <c r="Z553" s="1244"/>
    </row>
    <row r="554" spans="1:26" ht="18.75">
      <c r="A554" s="1241"/>
      <c r="B554" s="1242"/>
      <c r="C554" s="1242"/>
      <c r="D554" s="1242"/>
      <c r="E554" s="1243"/>
      <c r="F554" s="1243" t="s">
        <v>233</v>
      </c>
      <c r="G554" s="963"/>
      <c r="H554" s="778" t="s">
        <v>12</v>
      </c>
      <c r="I554" s="830"/>
      <c r="J554" s="830"/>
      <c r="K554" s="831"/>
      <c r="L554" s="831"/>
      <c r="M554" s="831"/>
      <c r="N554" s="1031">
        <v>0</v>
      </c>
      <c r="O554" s="831"/>
      <c r="P554" s="831"/>
      <c r="Q554" s="1244"/>
      <c r="R554" s="1244"/>
      <c r="S554" s="1244"/>
      <c r="T554" s="1244"/>
      <c r="U554" s="1244"/>
      <c r="V554" s="1244"/>
      <c r="W554" s="1244"/>
      <c r="X554" s="1244"/>
      <c r="Y554" s="1244"/>
      <c r="Z554" s="1244"/>
    </row>
    <row r="555" spans="1:26" ht="18.75">
      <c r="A555" s="1259"/>
      <c r="B555" s="1242"/>
      <c r="C555" s="1242"/>
      <c r="D555" s="1266" t="s">
        <v>21</v>
      </c>
      <c r="E555" s="1243"/>
      <c r="F555" s="1243"/>
      <c r="G555" s="963"/>
      <c r="H555" s="168" t="s">
        <v>12</v>
      </c>
      <c r="I555" s="944"/>
      <c r="J555" s="944"/>
      <c r="K555" s="945"/>
      <c r="L555" s="831">
        <f t="shared" ref="L555:N555" ca="1" si="242">L556+L557</f>
        <v>0</v>
      </c>
      <c r="M555" s="831">
        <f t="shared" si="242"/>
        <v>0</v>
      </c>
      <c r="N555" s="831">
        <f t="shared" si="242"/>
        <v>0</v>
      </c>
      <c r="O555" s="831">
        <f t="shared" ref="O555:O557" ca="1" si="243">IF(L555&gt;0,N555*100/L555,0)</f>
        <v>0</v>
      </c>
      <c r="P555" s="831">
        <f t="shared" ref="P555:P557" si="244">IF(M555&gt;0,N555*100/M555,0)</f>
        <v>0</v>
      </c>
      <c r="Q555" s="1244"/>
      <c r="R555" s="1244"/>
      <c r="S555" s="1244"/>
      <c r="T555" s="1244"/>
      <c r="U555" s="1244"/>
      <c r="V555" s="1244"/>
      <c r="W555" s="1244"/>
      <c r="X555" s="1244"/>
      <c r="Y555" s="1244"/>
      <c r="Z555" s="1244"/>
    </row>
    <row r="556" spans="1:26" ht="18.75" hidden="1">
      <c r="A556" s="1260"/>
      <c r="B556" s="1265"/>
      <c r="C556" s="1265"/>
      <c r="D556" s="1261"/>
      <c r="E556" s="1261" t="s">
        <v>18</v>
      </c>
      <c r="F556" s="1261"/>
      <c r="G556" s="1263"/>
      <c r="H556" s="165" t="s">
        <v>12</v>
      </c>
      <c r="I556" s="947"/>
      <c r="J556" s="947"/>
      <c r="K556" s="948"/>
      <c r="L556" s="837">
        <v>0</v>
      </c>
      <c r="M556" s="837">
        <v>0</v>
      </c>
      <c r="N556" s="837">
        <v>0</v>
      </c>
      <c r="O556" s="837">
        <f t="shared" si="243"/>
        <v>0</v>
      </c>
      <c r="P556" s="837">
        <f t="shared" si="244"/>
        <v>0</v>
      </c>
      <c r="Q556" s="1264"/>
      <c r="R556" s="1264"/>
      <c r="S556" s="1264"/>
      <c r="T556" s="1264"/>
      <c r="U556" s="1264"/>
      <c r="V556" s="1264"/>
      <c r="W556" s="1264"/>
      <c r="X556" s="1264"/>
      <c r="Y556" s="1264"/>
      <c r="Z556" s="1264"/>
    </row>
    <row r="557" spans="1:26" ht="18.75" hidden="1">
      <c r="A557" s="1260"/>
      <c r="B557" s="1265"/>
      <c r="C557" s="1265"/>
      <c r="D557" s="1261"/>
      <c r="E557" s="1261" t="s">
        <v>19</v>
      </c>
      <c r="F557" s="1261"/>
      <c r="G557" s="1263"/>
      <c r="H557" s="169" t="s">
        <v>12</v>
      </c>
      <c r="I557" s="947"/>
      <c r="J557" s="947"/>
      <c r="K557" s="948"/>
      <c r="L557" s="837">
        <f ca="1">IFERROR(__xludf.DUMMYFUNCTION("IMPORTRANGE(""https://docs.google.com/spreadsheets/d/1QqKyyYR6Q21VydFLVH3TRQUabQu_ym0Zz7PgGX0-kHA/edit?usp=sharing"",""แผน!HF14"")"),0)</f>
        <v>0</v>
      </c>
      <c r="M557" s="837">
        <v>0</v>
      </c>
      <c r="N557" s="837">
        <v>0</v>
      </c>
      <c r="O557" s="837">
        <f t="shared" ca="1" si="243"/>
        <v>0</v>
      </c>
      <c r="P557" s="837">
        <f t="shared" si="244"/>
        <v>0</v>
      </c>
      <c r="Q557" s="1264"/>
      <c r="R557" s="1264"/>
      <c r="S557" s="1264"/>
      <c r="T557" s="1264"/>
      <c r="U557" s="1264"/>
      <c r="V557" s="1264"/>
      <c r="W557" s="1264"/>
      <c r="X557" s="1264"/>
      <c r="Y557" s="1264"/>
      <c r="Z557" s="1264"/>
    </row>
    <row r="558" spans="1:26" ht="19.5">
      <c r="A558" s="1267"/>
      <c r="B558" s="1268"/>
      <c r="C558" s="1242" t="s">
        <v>16</v>
      </c>
      <c r="D558" s="1320" t="s">
        <v>38</v>
      </c>
      <c r="E558" s="1271"/>
      <c r="F558" s="1271"/>
      <c r="G558" s="1272"/>
      <c r="H558" s="954"/>
      <c r="I558" s="944"/>
      <c r="J558" s="944"/>
      <c r="K558" s="945"/>
      <c r="L558" s="945"/>
      <c r="M558" s="945"/>
      <c r="N558" s="945"/>
      <c r="O558" s="945"/>
      <c r="P558" s="945"/>
      <c r="Q558" s="1244"/>
      <c r="R558" s="1244"/>
      <c r="S558" s="1244"/>
      <c r="T558" s="1244"/>
      <c r="U558" s="1244"/>
      <c r="V558" s="1244"/>
      <c r="W558" s="1244"/>
      <c r="X558" s="1244"/>
      <c r="Y558" s="1244"/>
      <c r="Z558" s="1244"/>
    </row>
    <row r="559" spans="1:26" ht="19.5">
      <c r="A559" s="1329"/>
      <c r="B559" s="1330" t="s">
        <v>234</v>
      </c>
      <c r="C559" s="1331"/>
      <c r="D559" s="1331"/>
      <c r="E559" s="1315"/>
      <c r="F559" s="1315"/>
      <c r="G559" s="1316"/>
      <c r="H559" s="661" t="s">
        <v>46</v>
      </c>
      <c r="I559" s="1317">
        <f t="shared" ref="I559:J559" ca="1" si="245">I576</f>
        <v>156826</v>
      </c>
      <c r="J559" s="1317">
        <f t="shared" si="245"/>
        <v>0</v>
      </c>
      <c r="K559" s="1318">
        <f t="shared" ref="K559:K561" ca="1" si="246">IF(I559&gt;0,J559*100/I559,0)</f>
        <v>0</v>
      </c>
      <c r="L559" s="1319"/>
      <c r="M559" s="1319"/>
      <c r="N559" s="1319"/>
      <c r="O559" s="1319"/>
      <c r="P559" s="1319"/>
      <c r="Q559" s="1244"/>
      <c r="R559" s="1244"/>
      <c r="S559" s="1244"/>
      <c r="T559" s="1244"/>
      <c r="U559" s="1244"/>
      <c r="V559" s="1244"/>
      <c r="W559" s="1244"/>
      <c r="X559" s="1244"/>
      <c r="Y559" s="1244"/>
      <c r="Z559" s="1244"/>
    </row>
    <row r="560" spans="1:26" ht="19.5">
      <c r="A560" s="1267"/>
      <c r="B560" s="1268"/>
      <c r="C560" s="1277" t="s">
        <v>235</v>
      </c>
      <c r="D560" s="1268"/>
      <c r="E560" s="961"/>
      <c r="F560" s="961"/>
      <c r="G560" s="954"/>
      <c r="H560" s="733" t="s">
        <v>46</v>
      </c>
      <c r="I560" s="965">
        <f ca="1">IFERROR(__xludf.DUMMYFUNCTION("IMPORTRANGE(""https://docs.google.com/spreadsheets/d/1QqKyyYR6Q21VydFLVH3TRQUabQu_ym0Zz7PgGX0-kHA/edit?usp=sharing"",""แผน!HH14"")"),156826)</f>
        <v>156826</v>
      </c>
      <c r="J560" s="965">
        <f t="shared" ref="J560:J561" si="247">J562+J564+J566</f>
        <v>156735</v>
      </c>
      <c r="K560" s="1109">
        <f t="shared" ca="1" si="246"/>
        <v>99.941973907387805</v>
      </c>
      <c r="L560" s="945"/>
      <c r="M560" s="945"/>
      <c r="N560" s="945"/>
      <c r="O560" s="945"/>
      <c r="P560" s="945"/>
      <c r="Q560" s="1244"/>
      <c r="R560" s="1244"/>
      <c r="S560" s="1244"/>
      <c r="T560" s="1244"/>
      <c r="U560" s="1244"/>
      <c r="V560" s="1244"/>
      <c r="W560" s="1244"/>
      <c r="X560" s="1244"/>
      <c r="Y560" s="1244"/>
      <c r="Z560" s="1244"/>
    </row>
    <row r="561" spans="1:26" ht="19.5">
      <c r="A561" s="1267"/>
      <c r="B561" s="1268"/>
      <c r="C561" s="1268"/>
      <c r="D561" s="961"/>
      <c r="E561" s="961"/>
      <c r="F561" s="961"/>
      <c r="G561" s="954"/>
      <c r="H561" s="733" t="s">
        <v>34</v>
      </c>
      <c r="I561" s="965">
        <f ca="1">IFERROR(__xludf.DUMMYFUNCTION("IMPORTRANGE(""https://docs.google.com/spreadsheets/d/1QqKyyYR6Q21VydFLVH3TRQUabQu_ym0Zz7PgGX0-kHA/edit?usp=sharing"",""แผน!HG14"")"),12334)</f>
        <v>12334</v>
      </c>
      <c r="J561" s="965">
        <f t="shared" si="247"/>
        <v>12330</v>
      </c>
      <c r="K561" s="1109">
        <f t="shared" ca="1" si="246"/>
        <v>99.967569320577269</v>
      </c>
      <c r="L561" s="945"/>
      <c r="M561" s="945"/>
      <c r="N561" s="945"/>
      <c r="O561" s="945"/>
      <c r="P561" s="945"/>
      <c r="Q561" s="1244"/>
      <c r="R561" s="1244"/>
      <c r="S561" s="1244"/>
      <c r="T561" s="1244"/>
      <c r="U561" s="1244"/>
      <c r="V561" s="1244"/>
      <c r="W561" s="1244"/>
      <c r="X561" s="1244"/>
      <c r="Y561" s="1244"/>
      <c r="Z561" s="1244"/>
    </row>
    <row r="562" spans="1:26" ht="18.75">
      <c r="A562" s="1267"/>
      <c r="B562" s="1268"/>
      <c r="C562" s="1268"/>
      <c r="D562" s="961" t="s">
        <v>236</v>
      </c>
      <c r="E562" s="961"/>
      <c r="F562" s="961"/>
      <c r="G562" s="954"/>
      <c r="H562" s="730" t="s">
        <v>46</v>
      </c>
      <c r="I562" s="944"/>
      <c r="J562" s="959">
        <v>146620</v>
      </c>
      <c r="K562" s="945"/>
      <c r="L562" s="945"/>
      <c r="M562" s="945"/>
      <c r="N562" s="945"/>
      <c r="O562" s="945"/>
      <c r="P562" s="945"/>
      <c r="Q562" s="1244"/>
      <c r="R562" s="1244"/>
      <c r="S562" s="1244"/>
      <c r="T562" s="1244"/>
      <c r="U562" s="1244"/>
      <c r="V562" s="1244"/>
      <c r="W562" s="1244"/>
      <c r="X562" s="1244"/>
      <c r="Y562" s="1244"/>
      <c r="Z562" s="1244"/>
    </row>
    <row r="563" spans="1:26" ht="18.75">
      <c r="A563" s="1267"/>
      <c r="B563" s="1268"/>
      <c r="C563" s="1268"/>
      <c r="D563" s="1268"/>
      <c r="E563" s="961"/>
      <c r="F563" s="961"/>
      <c r="G563" s="954"/>
      <c r="H563" s="730" t="s">
        <v>34</v>
      </c>
      <c r="I563" s="944"/>
      <c r="J563" s="959">
        <v>11543</v>
      </c>
      <c r="K563" s="945"/>
      <c r="L563" s="945"/>
      <c r="M563" s="945"/>
      <c r="N563" s="945"/>
      <c r="O563" s="945"/>
      <c r="P563" s="945"/>
      <c r="Q563" s="1244"/>
      <c r="R563" s="1244"/>
      <c r="S563" s="1244"/>
      <c r="T563" s="1244"/>
      <c r="U563" s="1244"/>
      <c r="V563" s="1244"/>
      <c r="W563" s="1244"/>
      <c r="X563" s="1244"/>
      <c r="Y563" s="1244"/>
      <c r="Z563" s="1244"/>
    </row>
    <row r="564" spans="1:26" ht="18.75">
      <c r="A564" s="1267"/>
      <c r="B564" s="1268"/>
      <c r="C564" s="1268"/>
      <c r="D564" s="961" t="s">
        <v>237</v>
      </c>
      <c r="E564" s="961"/>
      <c r="F564" s="961"/>
      <c r="G564" s="954"/>
      <c r="H564" s="730" t="s">
        <v>46</v>
      </c>
      <c r="I564" s="944"/>
      <c r="J564" s="959">
        <v>3664</v>
      </c>
      <c r="K564" s="945"/>
      <c r="L564" s="945"/>
      <c r="M564" s="945"/>
      <c r="N564" s="945"/>
      <c r="O564" s="945"/>
      <c r="P564" s="945"/>
      <c r="Q564" s="1244"/>
      <c r="R564" s="1244"/>
      <c r="S564" s="1244"/>
      <c r="T564" s="1244"/>
      <c r="U564" s="1244"/>
      <c r="V564" s="1244"/>
      <c r="W564" s="1244"/>
      <c r="X564" s="1244"/>
      <c r="Y564" s="1244"/>
      <c r="Z564" s="1244"/>
    </row>
    <row r="565" spans="1:26" ht="18.75">
      <c r="A565" s="1267"/>
      <c r="B565" s="1268"/>
      <c r="C565" s="1268"/>
      <c r="D565" s="961"/>
      <c r="E565" s="961"/>
      <c r="F565" s="961"/>
      <c r="G565" s="954"/>
      <c r="H565" s="730" t="s">
        <v>34</v>
      </c>
      <c r="I565" s="944"/>
      <c r="J565" s="959">
        <v>257</v>
      </c>
      <c r="K565" s="945"/>
      <c r="L565" s="945"/>
      <c r="M565" s="945"/>
      <c r="N565" s="945"/>
      <c r="O565" s="945"/>
      <c r="P565" s="945"/>
      <c r="Q565" s="1244"/>
      <c r="R565" s="1244"/>
      <c r="S565" s="1244"/>
      <c r="T565" s="1244"/>
      <c r="U565" s="1244"/>
      <c r="V565" s="1244"/>
      <c r="W565" s="1244"/>
      <c r="X565" s="1244"/>
      <c r="Y565" s="1244"/>
      <c r="Z565" s="1244"/>
    </row>
    <row r="566" spans="1:26" ht="18.75">
      <c r="A566" s="1267"/>
      <c r="B566" s="1268"/>
      <c r="C566" s="1268"/>
      <c r="D566" s="961" t="s">
        <v>238</v>
      </c>
      <c r="E566" s="961"/>
      <c r="F566" s="961"/>
      <c r="G566" s="954"/>
      <c r="H566" s="730" t="s">
        <v>46</v>
      </c>
      <c r="I566" s="944"/>
      <c r="J566" s="959">
        <v>6451</v>
      </c>
      <c r="K566" s="945"/>
      <c r="L566" s="945"/>
      <c r="M566" s="945"/>
      <c r="N566" s="945"/>
      <c r="O566" s="945"/>
      <c r="P566" s="945"/>
      <c r="Q566" s="1244"/>
      <c r="R566" s="1244"/>
      <c r="S566" s="1244"/>
      <c r="T566" s="1244"/>
      <c r="U566" s="1244"/>
      <c r="V566" s="1244"/>
      <c r="W566" s="1244"/>
      <c r="X566" s="1244"/>
      <c r="Y566" s="1244"/>
      <c r="Z566" s="1244"/>
    </row>
    <row r="567" spans="1:26" ht="18.75">
      <c r="A567" s="1267"/>
      <c r="B567" s="1268"/>
      <c r="C567" s="1268"/>
      <c r="D567" s="961"/>
      <c r="E567" s="961"/>
      <c r="F567" s="961"/>
      <c r="G567" s="954"/>
      <c r="H567" s="730" t="s">
        <v>34</v>
      </c>
      <c r="I567" s="944"/>
      <c r="J567" s="959">
        <v>530</v>
      </c>
      <c r="K567" s="945"/>
      <c r="L567" s="945"/>
      <c r="M567" s="945"/>
      <c r="N567" s="945"/>
      <c r="O567" s="945"/>
      <c r="P567" s="945"/>
      <c r="Q567" s="1244"/>
      <c r="R567" s="1244"/>
      <c r="S567" s="1244"/>
      <c r="T567" s="1244"/>
      <c r="U567" s="1244"/>
      <c r="V567" s="1244"/>
      <c r="W567" s="1244"/>
      <c r="X567" s="1244"/>
      <c r="Y567" s="1244"/>
      <c r="Z567" s="1244"/>
    </row>
    <row r="568" spans="1:26" ht="19.5">
      <c r="A568" s="1267"/>
      <c r="B568" s="1268"/>
      <c r="C568" s="1277" t="s">
        <v>239</v>
      </c>
      <c r="D568" s="961"/>
      <c r="E568" s="961"/>
      <c r="F568" s="961"/>
      <c r="G568" s="954"/>
      <c r="H568" s="733" t="s">
        <v>46</v>
      </c>
      <c r="I568" s="965">
        <f ca="1">IFERROR(__xludf.DUMMYFUNCTION("IMPORTRANGE(""https://docs.google.com/spreadsheets/d/1QqKyyYR6Q21VydFLVH3TRQUabQu_ym0Zz7PgGX0-kHA/edit?usp=sharing"",""แผน!HH14"")"),156826)</f>
        <v>156826</v>
      </c>
      <c r="J568" s="966">
        <f t="shared" ref="J568:J569" si="248">J570+J572+J574</f>
        <v>0</v>
      </c>
      <c r="K568" s="1109">
        <f t="shared" ref="K568:K569" ca="1" si="249">IF(I568&gt;0,J568*100/I568,0)</f>
        <v>0</v>
      </c>
      <c r="L568" s="945"/>
      <c r="M568" s="945"/>
      <c r="N568" s="945"/>
      <c r="O568" s="945"/>
      <c r="P568" s="945"/>
      <c r="Q568" s="1244"/>
      <c r="R568" s="1244"/>
      <c r="S568" s="1244"/>
      <c r="T568" s="1244"/>
      <c r="U568" s="1244"/>
      <c r="V568" s="1244"/>
      <c r="W568" s="1244"/>
      <c r="X568" s="1244"/>
      <c r="Y568" s="1244"/>
      <c r="Z568" s="1244"/>
    </row>
    <row r="569" spans="1:26" ht="19.5">
      <c r="A569" s="1267"/>
      <c r="B569" s="1268"/>
      <c r="C569" s="1268"/>
      <c r="D569" s="1268"/>
      <c r="E569" s="961"/>
      <c r="F569" s="961"/>
      <c r="G569" s="954"/>
      <c r="H569" s="733" t="s">
        <v>34</v>
      </c>
      <c r="I569" s="965">
        <f ca="1">IFERROR(__xludf.DUMMYFUNCTION("IMPORTRANGE(""https://docs.google.com/spreadsheets/d/1QqKyyYR6Q21VydFLVH3TRQUabQu_ym0Zz7PgGX0-kHA/edit?usp=sharing"",""แผน!HG14"")"),12334)</f>
        <v>12334</v>
      </c>
      <c r="J569" s="966">
        <f t="shared" si="248"/>
        <v>0</v>
      </c>
      <c r="K569" s="1109">
        <f t="shared" ca="1" si="249"/>
        <v>0</v>
      </c>
      <c r="L569" s="945"/>
      <c r="M569" s="945"/>
      <c r="N569" s="945"/>
      <c r="O569" s="945"/>
      <c r="P569" s="945"/>
      <c r="Q569" s="1244"/>
      <c r="R569" s="1244"/>
      <c r="S569" s="1244"/>
      <c r="T569" s="1244"/>
      <c r="U569" s="1244"/>
      <c r="V569" s="1244"/>
      <c r="W569" s="1244"/>
      <c r="X569" s="1244"/>
      <c r="Y569" s="1244"/>
      <c r="Z569" s="1244"/>
    </row>
    <row r="570" spans="1:26" ht="18.75">
      <c r="A570" s="1267"/>
      <c r="B570" s="1268"/>
      <c r="C570" s="1268"/>
      <c r="D570" s="961" t="s">
        <v>240</v>
      </c>
      <c r="E570" s="1268"/>
      <c r="F570" s="961"/>
      <c r="G570" s="954"/>
      <c r="H570" s="730" t="s">
        <v>46</v>
      </c>
      <c r="I570" s="944"/>
      <c r="J570" s="959">
        <v>0</v>
      </c>
      <c r="K570" s="945"/>
      <c r="L570" s="945"/>
      <c r="M570" s="945"/>
      <c r="N570" s="945"/>
      <c r="O570" s="945"/>
      <c r="P570" s="945"/>
      <c r="Q570" s="1244"/>
      <c r="R570" s="1244"/>
      <c r="S570" s="1244"/>
      <c r="T570" s="1244"/>
      <c r="U570" s="1244"/>
      <c r="V570" s="1244"/>
      <c r="W570" s="1244"/>
      <c r="X570" s="1244"/>
      <c r="Y570" s="1244"/>
      <c r="Z570" s="1244"/>
    </row>
    <row r="571" spans="1:26" ht="18.75">
      <c r="A571" s="1267"/>
      <c r="B571" s="1268"/>
      <c r="C571" s="1268"/>
      <c r="D571" s="1268"/>
      <c r="E571" s="961"/>
      <c r="F571" s="961"/>
      <c r="G571" s="954"/>
      <c r="H571" s="730" t="s">
        <v>34</v>
      </c>
      <c r="I571" s="944"/>
      <c r="J571" s="959">
        <v>0</v>
      </c>
      <c r="K571" s="945"/>
      <c r="L571" s="945"/>
      <c r="M571" s="945"/>
      <c r="N571" s="945"/>
      <c r="O571" s="945"/>
      <c r="P571" s="945"/>
      <c r="Q571" s="1244"/>
      <c r="R571" s="1244"/>
      <c r="S571" s="1244"/>
      <c r="T571" s="1244"/>
      <c r="U571" s="1244"/>
      <c r="V571" s="1244"/>
      <c r="W571" s="1244"/>
      <c r="X571" s="1244"/>
      <c r="Y571" s="1244"/>
      <c r="Z571" s="1244"/>
    </row>
    <row r="572" spans="1:26" ht="18.75">
      <c r="A572" s="1267"/>
      <c r="B572" s="1268"/>
      <c r="C572" s="1268"/>
      <c r="D572" s="961" t="s">
        <v>241</v>
      </c>
      <c r="E572" s="961"/>
      <c r="F572" s="961"/>
      <c r="G572" s="954"/>
      <c r="H572" s="730" t="s">
        <v>46</v>
      </c>
      <c r="I572" s="944"/>
      <c r="J572" s="959">
        <v>0</v>
      </c>
      <c r="K572" s="945"/>
      <c r="L572" s="945"/>
      <c r="M572" s="945"/>
      <c r="N572" s="945"/>
      <c r="O572" s="945"/>
      <c r="P572" s="945"/>
      <c r="Q572" s="1244"/>
      <c r="R572" s="1244"/>
      <c r="S572" s="1244"/>
      <c r="T572" s="1244"/>
      <c r="U572" s="1244"/>
      <c r="V572" s="1244"/>
      <c r="W572" s="1244"/>
      <c r="X572" s="1244"/>
      <c r="Y572" s="1244"/>
      <c r="Z572" s="1244"/>
    </row>
    <row r="573" spans="1:26" ht="18.75">
      <c r="A573" s="1267"/>
      <c r="B573" s="1268"/>
      <c r="C573" s="1268"/>
      <c r="D573" s="961"/>
      <c r="E573" s="961"/>
      <c r="F573" s="961"/>
      <c r="G573" s="954"/>
      <c r="H573" s="730" t="s">
        <v>34</v>
      </c>
      <c r="I573" s="944"/>
      <c r="J573" s="959">
        <v>0</v>
      </c>
      <c r="K573" s="945"/>
      <c r="L573" s="945"/>
      <c r="M573" s="945"/>
      <c r="N573" s="945"/>
      <c r="O573" s="945"/>
      <c r="P573" s="945"/>
      <c r="Q573" s="1244"/>
      <c r="R573" s="1244"/>
      <c r="S573" s="1244"/>
      <c r="T573" s="1244"/>
      <c r="U573" s="1244"/>
      <c r="V573" s="1244"/>
      <c r="W573" s="1244"/>
      <c r="X573" s="1244"/>
      <c r="Y573" s="1244"/>
      <c r="Z573" s="1244"/>
    </row>
    <row r="574" spans="1:26" ht="18.75">
      <c r="A574" s="1267"/>
      <c r="B574" s="1268"/>
      <c r="C574" s="1268"/>
      <c r="D574" s="961" t="s">
        <v>242</v>
      </c>
      <c r="E574" s="961"/>
      <c r="F574" s="961"/>
      <c r="G574" s="954"/>
      <c r="H574" s="730" t="s">
        <v>46</v>
      </c>
      <c r="I574" s="944"/>
      <c r="J574" s="959">
        <v>0</v>
      </c>
      <c r="K574" s="945"/>
      <c r="L574" s="945"/>
      <c r="M574" s="945"/>
      <c r="N574" s="945"/>
      <c r="O574" s="945"/>
      <c r="P574" s="945"/>
      <c r="Q574" s="1244"/>
      <c r="R574" s="1244"/>
      <c r="S574" s="1244"/>
      <c r="T574" s="1244"/>
      <c r="U574" s="1244"/>
      <c r="V574" s="1244"/>
      <c r="W574" s="1244"/>
      <c r="X574" s="1244"/>
      <c r="Y574" s="1244"/>
      <c r="Z574" s="1244"/>
    </row>
    <row r="575" spans="1:26" ht="18.75">
      <c r="A575" s="1267"/>
      <c r="B575" s="1268"/>
      <c r="C575" s="1268"/>
      <c r="D575" s="1268"/>
      <c r="E575" s="961"/>
      <c r="F575" s="961"/>
      <c r="G575" s="954"/>
      <c r="H575" s="730" t="s">
        <v>34</v>
      </c>
      <c r="I575" s="944"/>
      <c r="J575" s="959">
        <v>0</v>
      </c>
      <c r="K575" s="945"/>
      <c r="L575" s="945"/>
      <c r="M575" s="945"/>
      <c r="N575" s="945"/>
      <c r="O575" s="945"/>
      <c r="P575" s="945"/>
      <c r="Q575" s="1244"/>
      <c r="R575" s="1244"/>
      <c r="S575" s="1244"/>
      <c r="T575" s="1244"/>
      <c r="U575" s="1244"/>
      <c r="V575" s="1244"/>
      <c r="W575" s="1244"/>
      <c r="X575" s="1244"/>
      <c r="Y575" s="1244"/>
      <c r="Z575" s="1244"/>
    </row>
    <row r="576" spans="1:26" ht="19.5">
      <c r="A576" s="1267"/>
      <c r="B576" s="1268"/>
      <c r="C576" s="1277" t="s">
        <v>243</v>
      </c>
      <c r="D576" s="1268"/>
      <c r="E576" s="1268"/>
      <c r="F576" s="961"/>
      <c r="G576" s="954"/>
      <c r="H576" s="733" t="s">
        <v>46</v>
      </c>
      <c r="I576" s="965">
        <f ca="1">IFERROR(__xludf.DUMMYFUNCTION("IMPORTRANGE(""https://docs.google.com/spreadsheets/d/1QqKyyYR6Q21VydFLVH3TRQUabQu_ym0Zz7PgGX0-kHA/edit?usp=sharing"",""แผน!HH14"")"),156826)</f>
        <v>156826</v>
      </c>
      <c r="J576" s="966">
        <f t="shared" ref="J576:J577" si="250">J578+J580+J582+J588+J590</f>
        <v>0</v>
      </c>
      <c r="K576" s="1109">
        <f t="shared" ref="K576:K577" ca="1" si="251">IF(I576&gt;0,J576*100/I576,0)</f>
        <v>0</v>
      </c>
      <c r="L576" s="945"/>
      <c r="M576" s="945"/>
      <c r="N576" s="945"/>
      <c r="O576" s="945"/>
      <c r="P576" s="945"/>
      <c r="Q576" s="1244"/>
      <c r="R576" s="1244"/>
      <c r="S576" s="1244"/>
      <c r="T576" s="1244"/>
      <c r="U576" s="1244"/>
      <c r="V576" s="1244"/>
      <c r="W576" s="1244"/>
      <c r="X576" s="1244"/>
      <c r="Y576" s="1244"/>
      <c r="Z576" s="1244"/>
    </row>
    <row r="577" spans="1:26" ht="19.5">
      <c r="A577" s="1267"/>
      <c r="B577" s="1268"/>
      <c r="C577" s="1268"/>
      <c r="D577" s="1268"/>
      <c r="E577" s="961"/>
      <c r="F577" s="961"/>
      <c r="G577" s="954"/>
      <c r="H577" s="733" t="s">
        <v>34</v>
      </c>
      <c r="I577" s="965">
        <f ca="1">IFERROR(__xludf.DUMMYFUNCTION("IMPORTRANGE(""https://docs.google.com/spreadsheets/d/1QqKyyYR6Q21VydFLVH3TRQUabQu_ym0Zz7PgGX0-kHA/edit?usp=sharing"",""แผน!HG14"")"),12334)</f>
        <v>12334</v>
      </c>
      <c r="J577" s="966">
        <f t="shared" si="250"/>
        <v>0</v>
      </c>
      <c r="K577" s="1109">
        <f t="shared" ca="1" si="251"/>
        <v>0</v>
      </c>
      <c r="L577" s="945"/>
      <c r="M577" s="945"/>
      <c r="N577" s="945"/>
      <c r="O577" s="945"/>
      <c r="P577" s="945"/>
      <c r="Q577" s="1244"/>
      <c r="R577" s="1244"/>
      <c r="S577" s="1244"/>
      <c r="T577" s="1244"/>
      <c r="U577" s="1244"/>
      <c r="V577" s="1244"/>
      <c r="W577" s="1244"/>
      <c r="X577" s="1244"/>
      <c r="Y577" s="1244"/>
      <c r="Z577" s="1244"/>
    </row>
    <row r="578" spans="1:26" ht="18.75">
      <c r="A578" s="1267"/>
      <c r="B578" s="1268"/>
      <c r="C578" s="1268"/>
      <c r="D578" s="961" t="s">
        <v>244</v>
      </c>
      <c r="E578" s="961"/>
      <c r="F578" s="961"/>
      <c r="G578" s="954"/>
      <c r="H578" s="730" t="s">
        <v>46</v>
      </c>
      <c r="I578" s="944"/>
      <c r="J578" s="959">
        <v>0</v>
      </c>
      <c r="K578" s="945"/>
      <c r="L578" s="945"/>
      <c r="M578" s="945"/>
      <c r="N578" s="945"/>
      <c r="O578" s="945"/>
      <c r="P578" s="945"/>
      <c r="Q578" s="1244"/>
      <c r="R578" s="1244"/>
      <c r="S578" s="1244"/>
      <c r="T578" s="1244"/>
      <c r="U578" s="1244"/>
      <c r="V578" s="1244"/>
      <c r="W578" s="1244"/>
      <c r="X578" s="1244"/>
      <c r="Y578" s="1244"/>
      <c r="Z578" s="1244"/>
    </row>
    <row r="579" spans="1:26" ht="18.75">
      <c r="A579" s="1267"/>
      <c r="B579" s="1268"/>
      <c r="C579" s="1268"/>
      <c r="D579" s="1268"/>
      <c r="E579" s="961"/>
      <c r="F579" s="961"/>
      <c r="G579" s="954"/>
      <c r="H579" s="730" t="s">
        <v>34</v>
      </c>
      <c r="I579" s="944"/>
      <c r="J579" s="959">
        <v>0</v>
      </c>
      <c r="K579" s="945"/>
      <c r="L579" s="945"/>
      <c r="M579" s="945"/>
      <c r="N579" s="945"/>
      <c r="O579" s="945"/>
      <c r="P579" s="945"/>
      <c r="Q579" s="1244"/>
      <c r="R579" s="1244"/>
      <c r="S579" s="1244"/>
      <c r="T579" s="1244"/>
      <c r="U579" s="1244"/>
      <c r="V579" s="1244"/>
      <c r="W579" s="1244"/>
      <c r="X579" s="1244"/>
      <c r="Y579" s="1244"/>
      <c r="Z579" s="1244"/>
    </row>
    <row r="580" spans="1:26" ht="18.75">
      <c r="A580" s="1267"/>
      <c r="B580" s="1268"/>
      <c r="C580" s="1268"/>
      <c r="D580" s="961" t="s">
        <v>245</v>
      </c>
      <c r="E580" s="961"/>
      <c r="F580" s="961"/>
      <c r="G580" s="954"/>
      <c r="H580" s="730" t="s">
        <v>46</v>
      </c>
      <c r="I580" s="944"/>
      <c r="J580" s="959">
        <v>0</v>
      </c>
      <c r="K580" s="945"/>
      <c r="L580" s="945"/>
      <c r="M580" s="945"/>
      <c r="N580" s="945"/>
      <c r="O580" s="945"/>
      <c r="P580" s="945"/>
      <c r="Q580" s="1244"/>
      <c r="R580" s="1244"/>
      <c r="S580" s="1244"/>
      <c r="T580" s="1244"/>
      <c r="U580" s="1244"/>
      <c r="V580" s="1244"/>
      <c r="W580" s="1244"/>
      <c r="X580" s="1244"/>
      <c r="Y580" s="1244"/>
      <c r="Z580" s="1244"/>
    </row>
    <row r="581" spans="1:26" ht="18.75">
      <c r="A581" s="1267"/>
      <c r="B581" s="1268"/>
      <c r="C581" s="1268"/>
      <c r="D581" s="1268"/>
      <c r="E581" s="961"/>
      <c r="F581" s="961"/>
      <c r="G581" s="954"/>
      <c r="H581" s="730" t="s">
        <v>34</v>
      </c>
      <c r="I581" s="944"/>
      <c r="J581" s="959">
        <v>0</v>
      </c>
      <c r="K581" s="945"/>
      <c r="L581" s="945"/>
      <c r="M581" s="945"/>
      <c r="N581" s="945"/>
      <c r="O581" s="945"/>
      <c r="P581" s="945"/>
      <c r="Q581" s="1244"/>
      <c r="R581" s="1244"/>
      <c r="S581" s="1244"/>
      <c r="T581" s="1244"/>
      <c r="U581" s="1244"/>
      <c r="V581" s="1244"/>
      <c r="W581" s="1244"/>
      <c r="X581" s="1244"/>
      <c r="Y581" s="1244"/>
      <c r="Z581" s="1244"/>
    </row>
    <row r="582" spans="1:26" ht="19.5">
      <c r="A582" s="1267"/>
      <c r="B582" s="1268"/>
      <c r="C582" s="1268"/>
      <c r="D582" s="961" t="s">
        <v>246</v>
      </c>
      <c r="E582" s="961"/>
      <c r="F582" s="961"/>
      <c r="G582" s="954"/>
      <c r="H582" s="730" t="s">
        <v>46</v>
      </c>
      <c r="I582" s="944"/>
      <c r="J582" s="966">
        <f t="shared" ref="J582:J583" si="252">J584+J586</f>
        <v>0</v>
      </c>
      <c r="K582" s="1109"/>
      <c r="L582" s="945"/>
      <c r="M582" s="945"/>
      <c r="N582" s="945"/>
      <c r="O582" s="945"/>
      <c r="P582" s="945"/>
      <c r="Q582" s="1244"/>
      <c r="R582" s="1244"/>
      <c r="S582" s="1244"/>
      <c r="T582" s="1244"/>
      <c r="U582" s="1244"/>
      <c r="V582" s="1244"/>
      <c r="W582" s="1244"/>
      <c r="X582" s="1244"/>
      <c r="Y582" s="1244"/>
      <c r="Z582" s="1244"/>
    </row>
    <row r="583" spans="1:26" ht="19.5">
      <c r="A583" s="1267"/>
      <c r="B583" s="1268"/>
      <c r="C583" s="1268"/>
      <c r="D583" s="1268"/>
      <c r="E583" s="961"/>
      <c r="F583" s="961"/>
      <c r="G583" s="954"/>
      <c r="H583" s="730" t="s">
        <v>34</v>
      </c>
      <c r="I583" s="944"/>
      <c r="J583" s="966">
        <f t="shared" si="252"/>
        <v>0</v>
      </c>
      <c r="K583" s="1109"/>
      <c r="L583" s="945"/>
      <c r="M583" s="945"/>
      <c r="N583" s="945"/>
      <c r="O583" s="945"/>
      <c r="P583" s="945"/>
      <c r="Q583" s="1244"/>
      <c r="R583" s="1244"/>
      <c r="S583" s="1244"/>
      <c r="T583" s="1244"/>
      <c r="U583" s="1244"/>
      <c r="V583" s="1244"/>
      <c r="W583" s="1244"/>
      <c r="X583" s="1244"/>
      <c r="Y583" s="1244"/>
      <c r="Z583" s="1244"/>
    </row>
    <row r="584" spans="1:26" ht="18.75">
      <c r="A584" s="1267"/>
      <c r="B584" s="1268"/>
      <c r="C584" s="1268"/>
      <c r="D584" s="1268"/>
      <c r="E584" s="961" t="s">
        <v>247</v>
      </c>
      <c r="F584" s="961"/>
      <c r="G584" s="954"/>
      <c r="H584" s="730" t="s">
        <v>46</v>
      </c>
      <c r="I584" s="944"/>
      <c r="J584" s="959">
        <v>0</v>
      </c>
      <c r="K584" s="945"/>
      <c r="L584" s="945"/>
      <c r="M584" s="945"/>
      <c r="N584" s="945"/>
      <c r="O584" s="945"/>
      <c r="P584" s="945"/>
      <c r="Q584" s="1244"/>
      <c r="R584" s="1244"/>
      <c r="S584" s="1244"/>
      <c r="T584" s="1244"/>
      <c r="U584" s="1244"/>
      <c r="V584" s="1244"/>
      <c r="W584" s="1244"/>
      <c r="X584" s="1244"/>
      <c r="Y584" s="1244"/>
      <c r="Z584" s="1244"/>
    </row>
    <row r="585" spans="1:26" ht="18.75">
      <c r="A585" s="1267"/>
      <c r="B585" s="1268"/>
      <c r="C585" s="1268"/>
      <c r="D585" s="1268"/>
      <c r="E585" s="961"/>
      <c r="F585" s="961"/>
      <c r="G585" s="954"/>
      <c r="H585" s="730" t="s">
        <v>34</v>
      </c>
      <c r="I585" s="944"/>
      <c r="J585" s="959">
        <v>0</v>
      </c>
      <c r="K585" s="945"/>
      <c r="L585" s="945"/>
      <c r="M585" s="945"/>
      <c r="N585" s="945"/>
      <c r="O585" s="945"/>
      <c r="P585" s="945"/>
      <c r="Q585" s="1244"/>
      <c r="R585" s="1244"/>
      <c r="S585" s="1244"/>
      <c r="T585" s="1244"/>
      <c r="U585" s="1244"/>
      <c r="V585" s="1244"/>
      <c r="W585" s="1244"/>
      <c r="X585" s="1244"/>
      <c r="Y585" s="1244"/>
      <c r="Z585" s="1244"/>
    </row>
    <row r="586" spans="1:26" ht="18.75">
      <c r="A586" s="1267"/>
      <c r="B586" s="1268"/>
      <c r="C586" s="1268"/>
      <c r="D586" s="1268"/>
      <c r="E586" s="961" t="s">
        <v>248</v>
      </c>
      <c r="F586" s="961"/>
      <c r="G586" s="954"/>
      <c r="H586" s="730" t="s">
        <v>46</v>
      </c>
      <c r="I586" s="944"/>
      <c r="J586" s="959">
        <v>0</v>
      </c>
      <c r="K586" s="945"/>
      <c r="L586" s="945"/>
      <c r="M586" s="945"/>
      <c r="N586" s="945"/>
      <c r="O586" s="945"/>
      <c r="P586" s="945"/>
      <c r="Q586" s="1244"/>
      <c r="R586" s="1244"/>
      <c r="S586" s="1244"/>
      <c r="T586" s="1244"/>
      <c r="U586" s="1244"/>
      <c r="V586" s="1244"/>
      <c r="W586" s="1244"/>
      <c r="X586" s="1244"/>
      <c r="Y586" s="1244"/>
      <c r="Z586" s="1244"/>
    </row>
    <row r="587" spans="1:26" ht="18.75">
      <c r="A587" s="1267"/>
      <c r="B587" s="1268"/>
      <c r="C587" s="1268"/>
      <c r="D587" s="1268"/>
      <c r="E587" s="1268"/>
      <c r="F587" s="961"/>
      <c r="G587" s="954"/>
      <c r="H587" s="730" t="s">
        <v>34</v>
      </c>
      <c r="I587" s="944"/>
      <c r="J587" s="959">
        <v>0</v>
      </c>
      <c r="K587" s="945"/>
      <c r="L587" s="945"/>
      <c r="M587" s="945"/>
      <c r="N587" s="945"/>
      <c r="O587" s="945"/>
      <c r="P587" s="945"/>
      <c r="Q587" s="1244"/>
      <c r="R587" s="1244"/>
      <c r="S587" s="1244"/>
      <c r="T587" s="1244"/>
      <c r="U587" s="1244"/>
      <c r="V587" s="1244"/>
      <c r="W587" s="1244"/>
      <c r="X587" s="1244"/>
      <c r="Y587" s="1244"/>
      <c r="Z587" s="1244"/>
    </row>
    <row r="588" spans="1:26" ht="18.75">
      <c r="A588" s="1267"/>
      <c r="B588" s="1268"/>
      <c r="C588" s="1268"/>
      <c r="D588" s="961" t="s">
        <v>249</v>
      </c>
      <c r="E588" s="961"/>
      <c r="F588" s="961"/>
      <c r="G588" s="954"/>
      <c r="H588" s="730" t="s">
        <v>46</v>
      </c>
      <c r="I588" s="944"/>
      <c r="J588" s="959">
        <v>0</v>
      </c>
      <c r="K588" s="945"/>
      <c r="L588" s="945"/>
      <c r="M588" s="945"/>
      <c r="N588" s="945"/>
      <c r="O588" s="945"/>
      <c r="P588" s="945"/>
      <c r="Q588" s="1244"/>
      <c r="R588" s="1244"/>
      <c r="S588" s="1244"/>
      <c r="T588" s="1244"/>
      <c r="U588" s="1244"/>
      <c r="V588" s="1244"/>
      <c r="W588" s="1244"/>
      <c r="X588" s="1244"/>
      <c r="Y588" s="1244"/>
      <c r="Z588" s="1244"/>
    </row>
    <row r="589" spans="1:26" ht="18.75">
      <c r="A589" s="1267"/>
      <c r="B589" s="1268"/>
      <c r="C589" s="1268"/>
      <c r="D589" s="1268"/>
      <c r="E589" s="1268"/>
      <c r="F589" s="961"/>
      <c r="G589" s="954"/>
      <c r="H589" s="730" t="s">
        <v>34</v>
      </c>
      <c r="I589" s="944"/>
      <c r="J589" s="959">
        <v>0</v>
      </c>
      <c r="K589" s="945"/>
      <c r="L589" s="945"/>
      <c r="M589" s="945"/>
      <c r="N589" s="945"/>
      <c r="O589" s="945"/>
      <c r="P589" s="945"/>
      <c r="Q589" s="1244"/>
      <c r="R589" s="1244"/>
      <c r="S589" s="1244"/>
      <c r="T589" s="1244"/>
      <c r="U589" s="1244"/>
      <c r="V589" s="1244"/>
      <c r="W589" s="1244"/>
      <c r="X589" s="1244"/>
      <c r="Y589" s="1244"/>
      <c r="Z589" s="1244"/>
    </row>
    <row r="590" spans="1:26" ht="18.75">
      <c r="A590" s="1267"/>
      <c r="B590" s="1268"/>
      <c r="C590" s="1268"/>
      <c r="D590" s="961" t="s">
        <v>250</v>
      </c>
      <c r="E590" s="961"/>
      <c r="F590" s="961"/>
      <c r="G590" s="954"/>
      <c r="H590" s="730" t="s">
        <v>46</v>
      </c>
      <c r="I590" s="944"/>
      <c r="J590" s="959">
        <v>0</v>
      </c>
      <c r="K590" s="945"/>
      <c r="L590" s="945"/>
      <c r="M590" s="945"/>
      <c r="N590" s="945"/>
      <c r="O590" s="945"/>
      <c r="P590" s="945"/>
      <c r="Q590" s="1244"/>
      <c r="R590" s="1244"/>
      <c r="S590" s="1244"/>
      <c r="T590" s="1244"/>
      <c r="U590" s="1244"/>
      <c r="V590" s="1244"/>
      <c r="W590" s="1244"/>
      <c r="X590" s="1244"/>
      <c r="Y590" s="1244"/>
      <c r="Z590" s="1244"/>
    </row>
    <row r="591" spans="1:26" ht="18.75">
      <c r="A591" s="1332"/>
      <c r="B591" s="1333"/>
      <c r="C591" s="1333"/>
      <c r="D591" s="1333"/>
      <c r="E591" s="1244"/>
      <c r="F591" s="1244"/>
      <c r="G591" s="1334"/>
      <c r="H591" s="665" t="s">
        <v>34</v>
      </c>
      <c r="I591" s="1335"/>
      <c r="J591" s="1336">
        <v>0</v>
      </c>
      <c r="K591" s="1337"/>
      <c r="L591" s="1337"/>
      <c r="M591" s="1337"/>
      <c r="N591" s="1337"/>
      <c r="O591" s="1337"/>
      <c r="P591" s="1337"/>
      <c r="Q591" s="1244"/>
      <c r="R591" s="1244"/>
      <c r="S591" s="1244"/>
      <c r="T591" s="1244"/>
      <c r="U591" s="1244"/>
      <c r="V591" s="1244"/>
      <c r="W591" s="1244"/>
      <c r="X591" s="1244"/>
      <c r="Y591" s="1244"/>
      <c r="Z591" s="1244"/>
    </row>
    <row r="592" spans="1:26" ht="19.5">
      <c r="A592" s="1329"/>
      <c r="B592" s="1330" t="s">
        <v>251</v>
      </c>
      <c r="C592" s="1331"/>
      <c r="D592" s="1331"/>
      <c r="E592" s="1315"/>
      <c r="F592" s="1315"/>
      <c r="G592" s="1316"/>
      <c r="H592" s="661" t="s">
        <v>46</v>
      </c>
      <c r="I592" s="1338">
        <f t="shared" ref="I592:J592" ca="1" si="253">I593</f>
        <v>6645.84</v>
      </c>
      <c r="J592" s="1317">
        <f t="shared" si="253"/>
        <v>0</v>
      </c>
      <c r="K592" s="1318">
        <f t="shared" ref="K592:K594" ca="1" si="254">IF(I592&gt;0,J592*100/I592,0)</f>
        <v>0</v>
      </c>
      <c r="L592" s="1319"/>
      <c r="M592" s="1319"/>
      <c r="N592" s="1319"/>
      <c r="O592" s="1319"/>
      <c r="P592" s="1319"/>
      <c r="Q592" s="1244"/>
      <c r="R592" s="1244"/>
      <c r="S592" s="1244"/>
      <c r="T592" s="1244"/>
      <c r="U592" s="1244"/>
      <c r="V592" s="1244"/>
      <c r="W592" s="1244"/>
      <c r="X592" s="1244"/>
      <c r="Y592" s="1244"/>
      <c r="Z592" s="1244"/>
    </row>
    <row r="593" spans="1:26" ht="19.5">
      <c r="A593" s="1267"/>
      <c r="B593" s="1268"/>
      <c r="C593" s="1277" t="s">
        <v>252</v>
      </c>
      <c r="D593" s="1268"/>
      <c r="E593" s="1268"/>
      <c r="F593" s="961"/>
      <c r="G593" s="954"/>
      <c r="H593" s="733" t="s">
        <v>46</v>
      </c>
      <c r="I593" s="1339">
        <f ca="1">IFERROR(__xludf.DUMMYFUNCTION("IMPORTRANGE(""https://docs.google.com/spreadsheets/d/1QqKyyYR6Q21VydFLVH3TRQUabQu_ym0Zz7PgGX0-kHA/edit?usp=sharing"",""แผน!HJ14"")"),6645.84)</f>
        <v>6645.84</v>
      </c>
      <c r="J593" s="965">
        <f t="shared" ref="J593:J594" si="255">J595+J603+J609</f>
        <v>0</v>
      </c>
      <c r="K593" s="1109">
        <f t="shared" ca="1" si="254"/>
        <v>0</v>
      </c>
      <c r="L593" s="945"/>
      <c r="M593" s="945"/>
      <c r="N593" s="945"/>
      <c r="O593" s="945"/>
      <c r="P593" s="945"/>
      <c r="Q593" s="1244"/>
      <c r="R593" s="1244"/>
      <c r="S593" s="1244"/>
      <c r="T593" s="1244"/>
      <c r="U593" s="1244"/>
      <c r="V593" s="1244"/>
      <c r="W593" s="1244"/>
      <c r="X593" s="1244"/>
      <c r="Y593" s="1244"/>
      <c r="Z593" s="1244"/>
    </row>
    <row r="594" spans="1:26" ht="19.5">
      <c r="A594" s="1267"/>
      <c r="B594" s="1268"/>
      <c r="C594" s="1268"/>
      <c r="D594" s="1268"/>
      <c r="E594" s="961"/>
      <c r="F594" s="961"/>
      <c r="G594" s="954"/>
      <c r="H594" s="733" t="s">
        <v>34</v>
      </c>
      <c r="I594" s="965">
        <f ca="1">IFERROR(__xludf.DUMMYFUNCTION("IMPORTRANGE(""https://docs.google.com/spreadsheets/d/1QqKyyYR6Q21VydFLVH3TRQUabQu_ym0Zz7PgGX0-kHA/edit?usp=sharing"",""แผน!HI14"")"),390)</f>
        <v>390</v>
      </c>
      <c r="J594" s="965">
        <f t="shared" si="255"/>
        <v>0</v>
      </c>
      <c r="K594" s="1109">
        <f t="shared" ca="1" si="254"/>
        <v>0</v>
      </c>
      <c r="L594" s="945"/>
      <c r="M594" s="945"/>
      <c r="N594" s="945"/>
      <c r="O594" s="945"/>
      <c r="P594" s="945"/>
      <c r="Q594" s="1244"/>
      <c r="R594" s="1244"/>
      <c r="S594" s="1244"/>
      <c r="T594" s="1244"/>
      <c r="U594" s="1244"/>
      <c r="V594" s="1244"/>
      <c r="W594" s="1244"/>
      <c r="X594" s="1244"/>
      <c r="Y594" s="1244"/>
      <c r="Z594" s="1244"/>
    </row>
    <row r="595" spans="1:26" ht="18.75">
      <c r="A595" s="1267"/>
      <c r="B595" s="1268"/>
      <c r="C595" s="1268" t="s">
        <v>253</v>
      </c>
      <c r="D595" s="1268"/>
      <c r="E595" s="1268"/>
      <c r="F595" s="961"/>
      <c r="G595" s="954"/>
      <c r="H595" s="730" t="s">
        <v>46</v>
      </c>
      <c r="I595" s="944"/>
      <c r="J595" s="944">
        <f t="shared" ref="J595:J596" si="256">J597+J599</f>
        <v>0</v>
      </c>
      <c r="K595" s="945"/>
      <c r="L595" s="945"/>
      <c r="M595" s="945"/>
      <c r="N595" s="945"/>
      <c r="O595" s="945"/>
      <c r="P595" s="945"/>
      <c r="Q595" s="1244"/>
      <c r="R595" s="1244"/>
      <c r="S595" s="1244"/>
      <c r="T595" s="1244"/>
      <c r="U595" s="1244"/>
      <c r="V595" s="1244"/>
      <c r="W595" s="1244"/>
      <c r="X595" s="1244"/>
      <c r="Y595" s="1244"/>
      <c r="Z595" s="1244"/>
    </row>
    <row r="596" spans="1:26" ht="18.75">
      <c r="A596" s="1267"/>
      <c r="B596" s="1268"/>
      <c r="C596" s="1268"/>
      <c r="D596" s="1268"/>
      <c r="E596" s="961"/>
      <c r="F596" s="961"/>
      <c r="G596" s="954"/>
      <c r="H596" s="730" t="s">
        <v>34</v>
      </c>
      <c r="I596" s="944"/>
      <c r="J596" s="944">
        <f t="shared" si="256"/>
        <v>0</v>
      </c>
      <c r="K596" s="945"/>
      <c r="L596" s="945"/>
      <c r="M596" s="945"/>
      <c r="N596" s="945"/>
      <c r="O596" s="945"/>
      <c r="P596" s="945"/>
      <c r="Q596" s="1244"/>
      <c r="R596" s="1244"/>
      <c r="S596" s="1244"/>
      <c r="T596" s="1244"/>
      <c r="U596" s="1244"/>
      <c r="V596" s="1244"/>
      <c r="W596" s="1244"/>
      <c r="X596" s="1244"/>
      <c r="Y596" s="1244"/>
      <c r="Z596" s="1244"/>
    </row>
    <row r="597" spans="1:26" ht="18.75">
      <c r="A597" s="1267"/>
      <c r="B597" s="1268"/>
      <c r="C597" s="1268"/>
      <c r="D597" s="1017" t="s">
        <v>254</v>
      </c>
      <c r="E597" s="961"/>
      <c r="F597" s="961"/>
      <c r="G597" s="954"/>
      <c r="H597" s="730" t="s">
        <v>46</v>
      </c>
      <c r="I597" s="944"/>
      <c r="J597" s="959">
        <v>0</v>
      </c>
      <c r="K597" s="945"/>
      <c r="L597" s="945"/>
      <c r="M597" s="945"/>
      <c r="N597" s="945"/>
      <c r="O597" s="945"/>
      <c r="P597" s="945"/>
      <c r="Q597" s="1244"/>
      <c r="R597" s="1244"/>
      <c r="S597" s="1244"/>
      <c r="T597" s="1244"/>
      <c r="U597" s="1244"/>
      <c r="V597" s="1244"/>
      <c r="W597" s="1244"/>
      <c r="X597" s="1244"/>
      <c r="Y597" s="1244"/>
      <c r="Z597" s="1244"/>
    </row>
    <row r="598" spans="1:26" ht="18.75">
      <c r="A598" s="1267"/>
      <c r="B598" s="1268"/>
      <c r="C598" s="1268"/>
      <c r="D598" s="1268"/>
      <c r="E598" s="961"/>
      <c r="F598" s="961"/>
      <c r="G598" s="954"/>
      <c r="H598" s="730" t="s">
        <v>34</v>
      </c>
      <c r="I598" s="830"/>
      <c r="J598" s="959">
        <v>0</v>
      </c>
      <c r="K598" s="945"/>
      <c r="L598" s="945"/>
      <c r="M598" s="945"/>
      <c r="N598" s="945"/>
      <c r="O598" s="945"/>
      <c r="P598" s="945"/>
      <c r="Q598" s="1244"/>
      <c r="R598" s="1244"/>
      <c r="S598" s="1244"/>
      <c r="T598" s="1244"/>
      <c r="U598" s="1244"/>
      <c r="V598" s="1244"/>
      <c r="W598" s="1244"/>
      <c r="X598" s="1244"/>
      <c r="Y598" s="1244"/>
      <c r="Z598" s="1244"/>
    </row>
    <row r="599" spans="1:26" ht="18.75">
      <c r="A599" s="1267"/>
      <c r="B599" s="1268"/>
      <c r="C599" s="1268"/>
      <c r="D599" s="1017" t="s">
        <v>255</v>
      </c>
      <c r="E599" s="961"/>
      <c r="F599" s="961"/>
      <c r="G599" s="954"/>
      <c r="H599" s="730" t="s">
        <v>46</v>
      </c>
      <c r="I599" s="830"/>
      <c r="J599" s="959">
        <v>0</v>
      </c>
      <c r="K599" s="945"/>
      <c r="L599" s="945"/>
      <c r="M599" s="945"/>
      <c r="N599" s="945"/>
      <c r="O599" s="945"/>
      <c r="P599" s="945"/>
      <c r="Q599" s="1244"/>
      <c r="R599" s="1244"/>
      <c r="S599" s="1244"/>
      <c r="T599" s="1244"/>
      <c r="U599" s="1244"/>
      <c r="V599" s="1244"/>
      <c r="W599" s="1244"/>
      <c r="X599" s="1244"/>
      <c r="Y599" s="1244"/>
      <c r="Z599" s="1244"/>
    </row>
    <row r="600" spans="1:26" ht="18.75">
      <c r="A600" s="1267"/>
      <c r="B600" s="1268"/>
      <c r="C600" s="1268"/>
      <c r="D600" s="1268"/>
      <c r="E600" s="961"/>
      <c r="F600" s="961"/>
      <c r="G600" s="954"/>
      <c r="H600" s="730" t="s">
        <v>34</v>
      </c>
      <c r="I600" s="830"/>
      <c r="J600" s="959">
        <v>0</v>
      </c>
      <c r="K600" s="945"/>
      <c r="L600" s="945"/>
      <c r="M600" s="945"/>
      <c r="N600" s="945"/>
      <c r="O600" s="945"/>
      <c r="P600" s="945"/>
      <c r="Q600" s="1244"/>
      <c r="R600" s="1244"/>
      <c r="S600" s="1244"/>
      <c r="T600" s="1244"/>
      <c r="U600" s="1244"/>
      <c r="V600" s="1244"/>
      <c r="W600" s="1244"/>
      <c r="X600" s="1244"/>
      <c r="Y600" s="1244"/>
      <c r="Z600" s="1244"/>
    </row>
    <row r="601" spans="1:26" ht="18.75">
      <c r="A601" s="1267"/>
      <c r="B601" s="1268"/>
      <c r="C601" s="1268"/>
      <c r="D601" s="1017" t="s">
        <v>256</v>
      </c>
      <c r="E601" s="961"/>
      <c r="F601" s="961"/>
      <c r="G601" s="954"/>
      <c r="H601" s="730" t="s">
        <v>46</v>
      </c>
      <c r="I601" s="830"/>
      <c r="J601" s="959">
        <v>0</v>
      </c>
      <c r="K601" s="945"/>
      <c r="L601" s="945"/>
      <c r="M601" s="945"/>
      <c r="N601" s="945"/>
      <c r="O601" s="945"/>
      <c r="P601" s="945"/>
      <c r="Q601" s="1244"/>
      <c r="R601" s="1244"/>
      <c r="S601" s="1244"/>
      <c r="T601" s="1244"/>
      <c r="U601" s="1244"/>
      <c r="V601" s="1244"/>
      <c r="W601" s="1244"/>
      <c r="X601" s="1244"/>
      <c r="Y601" s="1244"/>
      <c r="Z601" s="1244"/>
    </row>
    <row r="602" spans="1:26" ht="18.75">
      <c r="A602" s="1267"/>
      <c r="B602" s="1268"/>
      <c r="C602" s="1268"/>
      <c r="D602" s="1268"/>
      <c r="E602" s="961"/>
      <c r="F602" s="961"/>
      <c r="G602" s="954"/>
      <c r="H602" s="730" t="s">
        <v>34</v>
      </c>
      <c r="I602" s="830"/>
      <c r="J602" s="959">
        <v>0</v>
      </c>
      <c r="K602" s="945"/>
      <c r="L602" s="945"/>
      <c r="M602" s="945"/>
      <c r="N602" s="945"/>
      <c r="O602" s="945"/>
      <c r="P602" s="945"/>
      <c r="Q602" s="1244"/>
      <c r="R602" s="1244"/>
      <c r="S602" s="1244"/>
      <c r="T602" s="1244"/>
      <c r="U602" s="1244"/>
      <c r="V602" s="1244"/>
      <c r="W602" s="1244"/>
      <c r="X602" s="1244"/>
      <c r="Y602" s="1244"/>
      <c r="Z602" s="1244"/>
    </row>
    <row r="603" spans="1:26" ht="18.75">
      <c r="A603" s="1267"/>
      <c r="B603" s="1268"/>
      <c r="C603" s="1340" t="s">
        <v>257</v>
      </c>
      <c r="D603" s="1268"/>
      <c r="E603" s="1268"/>
      <c r="F603" s="961"/>
      <c r="G603" s="954"/>
      <c r="H603" s="730" t="s">
        <v>46</v>
      </c>
      <c r="I603" s="830"/>
      <c r="J603" s="830">
        <f t="shared" ref="J603:J604" si="257">J605+J607</f>
        <v>0</v>
      </c>
      <c r="K603" s="945"/>
      <c r="L603" s="945"/>
      <c r="M603" s="945"/>
      <c r="N603" s="945"/>
      <c r="O603" s="945"/>
      <c r="P603" s="945"/>
      <c r="Q603" s="1244"/>
      <c r="R603" s="1244"/>
      <c r="S603" s="1244"/>
      <c r="T603" s="1244"/>
      <c r="U603" s="1244"/>
      <c r="V603" s="1244"/>
      <c r="W603" s="1244"/>
      <c r="X603" s="1244"/>
      <c r="Y603" s="1244"/>
      <c r="Z603" s="1244"/>
    </row>
    <row r="604" spans="1:26" ht="18.75">
      <c r="A604" s="1267"/>
      <c r="B604" s="1268"/>
      <c r="C604" s="1268"/>
      <c r="D604" s="1268"/>
      <c r="E604" s="961"/>
      <c r="F604" s="961"/>
      <c r="G604" s="954"/>
      <c r="H604" s="730" t="s">
        <v>34</v>
      </c>
      <c r="I604" s="830"/>
      <c r="J604" s="830">
        <f t="shared" si="257"/>
        <v>0</v>
      </c>
      <c r="K604" s="945"/>
      <c r="L604" s="945"/>
      <c r="M604" s="945"/>
      <c r="N604" s="945"/>
      <c r="O604" s="945"/>
      <c r="P604" s="945"/>
      <c r="Q604" s="1244"/>
      <c r="R604" s="1244"/>
      <c r="S604" s="1244"/>
      <c r="T604" s="1244"/>
      <c r="U604" s="1244"/>
      <c r="V604" s="1244"/>
      <c r="W604" s="1244"/>
      <c r="X604" s="1244"/>
      <c r="Y604" s="1244"/>
      <c r="Z604" s="1244"/>
    </row>
    <row r="605" spans="1:26" ht="18.75">
      <c r="A605" s="1267"/>
      <c r="B605" s="1268"/>
      <c r="C605" s="1268"/>
      <c r="D605" s="1340" t="s">
        <v>258</v>
      </c>
      <c r="E605" s="961"/>
      <c r="F605" s="961"/>
      <c r="G605" s="954"/>
      <c r="H605" s="730" t="s">
        <v>46</v>
      </c>
      <c r="I605" s="830"/>
      <c r="J605" s="959">
        <v>0</v>
      </c>
      <c r="K605" s="945"/>
      <c r="L605" s="945"/>
      <c r="M605" s="945"/>
      <c r="N605" s="945"/>
      <c r="O605" s="945"/>
      <c r="P605" s="945"/>
      <c r="Q605" s="1244"/>
      <c r="R605" s="1244"/>
      <c r="S605" s="1244"/>
      <c r="T605" s="1244"/>
      <c r="U605" s="1244"/>
      <c r="V605" s="1244"/>
      <c r="W605" s="1244"/>
      <c r="X605" s="1244"/>
      <c r="Y605" s="1244"/>
      <c r="Z605" s="1244"/>
    </row>
    <row r="606" spans="1:26" ht="18.75">
      <c r="A606" s="1267"/>
      <c r="B606" s="1268"/>
      <c r="C606" s="1268"/>
      <c r="D606" s="1268"/>
      <c r="E606" s="1268"/>
      <c r="F606" s="961"/>
      <c r="G606" s="954"/>
      <c r="H606" s="730" t="s">
        <v>34</v>
      </c>
      <c r="I606" s="830"/>
      <c r="J606" s="959">
        <v>0</v>
      </c>
      <c r="K606" s="945"/>
      <c r="L606" s="945"/>
      <c r="M606" s="945"/>
      <c r="N606" s="945"/>
      <c r="O606" s="945"/>
      <c r="P606" s="945"/>
      <c r="Q606" s="1244"/>
      <c r="R606" s="1244"/>
      <c r="S606" s="1244"/>
      <c r="T606" s="1244"/>
      <c r="U606" s="1244"/>
      <c r="V606" s="1244"/>
      <c r="W606" s="1244"/>
      <c r="X606" s="1244"/>
      <c r="Y606" s="1244"/>
      <c r="Z606" s="1244"/>
    </row>
    <row r="607" spans="1:26" ht="18.75">
      <c r="A607" s="1267"/>
      <c r="B607" s="1268"/>
      <c r="C607" s="1268"/>
      <c r="D607" s="1340" t="s">
        <v>259</v>
      </c>
      <c r="E607" s="1268"/>
      <c r="F607" s="961"/>
      <c r="G607" s="954"/>
      <c r="H607" s="730" t="s">
        <v>46</v>
      </c>
      <c r="I607" s="830"/>
      <c r="J607" s="959">
        <v>0</v>
      </c>
      <c r="K607" s="945"/>
      <c r="L607" s="945"/>
      <c r="M607" s="945"/>
      <c r="N607" s="945"/>
      <c r="O607" s="945"/>
      <c r="P607" s="945"/>
      <c r="Q607" s="1244"/>
      <c r="R607" s="1244"/>
      <c r="S607" s="1244"/>
      <c r="T607" s="1244"/>
      <c r="U607" s="1244"/>
      <c r="V607" s="1244"/>
      <c r="W607" s="1244"/>
      <c r="X607" s="1244"/>
      <c r="Y607" s="1244"/>
      <c r="Z607" s="1244"/>
    </row>
    <row r="608" spans="1:26" ht="18.75">
      <c r="A608" s="1267"/>
      <c r="B608" s="1268"/>
      <c r="C608" s="1268"/>
      <c r="D608" s="1268"/>
      <c r="E608" s="961"/>
      <c r="F608" s="961"/>
      <c r="G608" s="954"/>
      <c r="H608" s="730" t="s">
        <v>34</v>
      </c>
      <c r="I608" s="830"/>
      <c r="J608" s="959">
        <v>0</v>
      </c>
      <c r="K608" s="945"/>
      <c r="L608" s="945"/>
      <c r="M608" s="945"/>
      <c r="N608" s="945"/>
      <c r="O608" s="945"/>
      <c r="P608" s="945"/>
      <c r="Q608" s="1244"/>
      <c r="R608" s="1244"/>
      <c r="S608" s="1244"/>
      <c r="T608" s="1244"/>
      <c r="U608" s="1244"/>
      <c r="V608" s="1244"/>
      <c r="W608" s="1244"/>
      <c r="X608" s="1244"/>
      <c r="Y608" s="1244"/>
      <c r="Z608" s="1244"/>
    </row>
    <row r="609" spans="1:26" ht="18.75">
      <c r="A609" s="1267"/>
      <c r="B609" s="1268"/>
      <c r="C609" s="1268" t="s">
        <v>260</v>
      </c>
      <c r="D609" s="1268"/>
      <c r="E609" s="1268"/>
      <c r="F609" s="961"/>
      <c r="G609" s="954"/>
      <c r="H609" s="730" t="s">
        <v>46</v>
      </c>
      <c r="I609" s="830"/>
      <c r="J609" s="959">
        <v>0</v>
      </c>
      <c r="K609" s="945"/>
      <c r="L609" s="945"/>
      <c r="M609" s="945"/>
      <c r="N609" s="945"/>
      <c r="O609" s="945"/>
      <c r="P609" s="945"/>
      <c r="Q609" s="1244"/>
      <c r="R609" s="1244"/>
      <c r="S609" s="1244"/>
      <c r="T609" s="1244"/>
      <c r="U609" s="1244"/>
      <c r="V609" s="1244"/>
      <c r="W609" s="1244"/>
      <c r="X609" s="1244"/>
      <c r="Y609" s="1244"/>
      <c r="Z609" s="1244"/>
    </row>
    <row r="610" spans="1:26" ht="18.75">
      <c r="A610" s="1267"/>
      <c r="B610" s="1268"/>
      <c r="C610" s="1268"/>
      <c r="D610" s="1268"/>
      <c r="E610" s="961"/>
      <c r="F610" s="961"/>
      <c r="G610" s="954"/>
      <c r="H610" s="730" t="s">
        <v>34</v>
      </c>
      <c r="I610" s="830"/>
      <c r="J610" s="959">
        <v>0</v>
      </c>
      <c r="K610" s="945"/>
      <c r="L610" s="945"/>
      <c r="M610" s="945"/>
      <c r="N610" s="945"/>
      <c r="O610" s="945"/>
      <c r="P610" s="945"/>
      <c r="Q610" s="1244"/>
      <c r="R610" s="1244"/>
      <c r="S610" s="1244"/>
      <c r="T610" s="1244"/>
      <c r="U610" s="1244"/>
      <c r="V610" s="1244"/>
      <c r="W610" s="1244"/>
      <c r="X610" s="1244"/>
      <c r="Y610" s="1244"/>
      <c r="Z610" s="1244"/>
    </row>
    <row r="611" spans="1:26" ht="19.5" hidden="1">
      <c r="A611" s="1329"/>
      <c r="B611" s="1341" t="s">
        <v>261</v>
      </c>
      <c r="C611" s="1331"/>
      <c r="D611" s="1331"/>
      <c r="E611" s="1315"/>
      <c r="F611" s="1315"/>
      <c r="G611" s="1316"/>
      <c r="H611" s="673" t="s">
        <v>46</v>
      </c>
      <c r="I611" s="1317">
        <v>0</v>
      </c>
      <c r="J611" s="1317">
        <f>J614+J616</f>
        <v>0</v>
      </c>
      <c r="K611" s="1318">
        <f t="shared" ref="K611:K613" si="258">IF(I611&gt;0,J611*100/I611,0)</f>
        <v>0</v>
      </c>
      <c r="L611" s="1319"/>
      <c r="M611" s="1319"/>
      <c r="N611" s="1319"/>
      <c r="O611" s="1319"/>
      <c r="P611" s="1319"/>
      <c r="Q611" s="1244"/>
      <c r="R611" s="1244"/>
      <c r="S611" s="1244"/>
      <c r="T611" s="1244"/>
      <c r="U611" s="1244"/>
      <c r="V611" s="1244"/>
      <c r="W611" s="1244"/>
      <c r="X611" s="1244"/>
      <c r="Y611" s="1244"/>
      <c r="Z611" s="1244"/>
    </row>
    <row r="612" spans="1:26" ht="19.5" hidden="1">
      <c r="A612" s="1342"/>
      <c r="B612" s="1343"/>
      <c r="C612" s="1344" t="s">
        <v>262</v>
      </c>
      <c r="D612" s="1343"/>
      <c r="E612" s="1343"/>
      <c r="F612" s="1345"/>
      <c r="G612" s="1346"/>
      <c r="H612" s="680" t="s">
        <v>46</v>
      </c>
      <c r="I612" s="1347">
        <v>0</v>
      </c>
      <c r="J612" s="1347">
        <f t="shared" ref="J612:J613" si="259">J614+J616</f>
        <v>0</v>
      </c>
      <c r="K612" s="1348">
        <f t="shared" si="258"/>
        <v>0</v>
      </c>
      <c r="L612" s="1349"/>
      <c r="M612" s="1349"/>
      <c r="N612" s="1349"/>
      <c r="O612" s="1349"/>
      <c r="P612" s="1349"/>
      <c r="Q612" s="1264"/>
      <c r="R612" s="1264"/>
      <c r="S612" s="1264"/>
      <c r="T612" s="1264"/>
      <c r="U612" s="1264"/>
      <c r="V612" s="1264"/>
      <c r="W612" s="1264"/>
      <c r="X612" s="1264"/>
      <c r="Y612" s="1264"/>
      <c r="Z612" s="1264"/>
    </row>
    <row r="613" spans="1:26" ht="19.5" hidden="1">
      <c r="A613" s="1342"/>
      <c r="B613" s="1343"/>
      <c r="C613" s="1343" t="s">
        <v>263</v>
      </c>
      <c r="D613" s="1343"/>
      <c r="E613" s="1343"/>
      <c r="F613" s="1345"/>
      <c r="G613" s="1346"/>
      <c r="H613" s="680" t="s">
        <v>34</v>
      </c>
      <c r="I613" s="1347">
        <v>0</v>
      </c>
      <c r="J613" s="1347">
        <f t="shared" si="259"/>
        <v>0</v>
      </c>
      <c r="K613" s="1348">
        <f t="shared" si="258"/>
        <v>0</v>
      </c>
      <c r="L613" s="1349"/>
      <c r="M613" s="1349"/>
      <c r="N613" s="1349"/>
      <c r="O613" s="1349"/>
      <c r="P613" s="1349"/>
      <c r="Q613" s="1264"/>
      <c r="R613" s="1264"/>
      <c r="S613" s="1264"/>
      <c r="T613" s="1264"/>
      <c r="U613" s="1264"/>
      <c r="V613" s="1264"/>
      <c r="W613" s="1264"/>
      <c r="X613" s="1264"/>
      <c r="Y613" s="1264"/>
      <c r="Z613" s="1264"/>
    </row>
    <row r="614" spans="1:26" ht="18.75" hidden="1">
      <c r="A614" s="1273"/>
      <c r="B614" s="1274"/>
      <c r="C614" s="1274"/>
      <c r="D614" s="1262" t="s">
        <v>264</v>
      </c>
      <c r="E614" s="1274"/>
      <c r="F614" s="1262"/>
      <c r="G614" s="1060"/>
      <c r="H614" s="583" t="s">
        <v>46</v>
      </c>
      <c r="I614" s="836"/>
      <c r="J614" s="836">
        <v>0</v>
      </c>
      <c r="K614" s="948"/>
      <c r="L614" s="948"/>
      <c r="M614" s="948"/>
      <c r="N614" s="948"/>
      <c r="O614" s="948"/>
      <c r="P614" s="948"/>
      <c r="Q614" s="1264"/>
      <c r="R614" s="1264"/>
      <c r="S614" s="1264"/>
      <c r="T614" s="1264"/>
      <c r="U614" s="1264"/>
      <c r="V614" s="1264"/>
      <c r="W614" s="1264"/>
      <c r="X614" s="1264"/>
      <c r="Y614" s="1264"/>
      <c r="Z614" s="1264"/>
    </row>
    <row r="615" spans="1:26" ht="18.75" hidden="1">
      <c r="A615" s="1273"/>
      <c r="B615" s="1274"/>
      <c r="C615" s="1274"/>
      <c r="D615" s="1274"/>
      <c r="E615" s="1274"/>
      <c r="F615" s="1262"/>
      <c r="G615" s="1060"/>
      <c r="H615" s="583" t="s">
        <v>34</v>
      </c>
      <c r="I615" s="836"/>
      <c r="J615" s="836">
        <v>0</v>
      </c>
      <c r="K615" s="948"/>
      <c r="L615" s="948"/>
      <c r="M615" s="948"/>
      <c r="N615" s="948"/>
      <c r="O615" s="948"/>
      <c r="P615" s="948"/>
      <c r="Q615" s="1264"/>
      <c r="R615" s="1264"/>
      <c r="S615" s="1264"/>
      <c r="T615" s="1264"/>
      <c r="U615" s="1264"/>
      <c r="V615" s="1264"/>
      <c r="W615" s="1264"/>
      <c r="X615" s="1264"/>
      <c r="Y615" s="1264"/>
      <c r="Z615" s="1264"/>
    </row>
    <row r="616" spans="1:26" ht="18.75" hidden="1">
      <c r="A616" s="1273"/>
      <c r="B616" s="1274"/>
      <c r="C616" s="1274"/>
      <c r="D616" s="1350" t="s">
        <v>264</v>
      </c>
      <c r="E616" s="1262"/>
      <c r="F616" s="1262"/>
      <c r="G616" s="1060"/>
      <c r="H616" s="583" t="s">
        <v>46</v>
      </c>
      <c r="I616" s="836"/>
      <c r="J616" s="836">
        <v>0</v>
      </c>
      <c r="K616" s="948"/>
      <c r="L616" s="948"/>
      <c r="M616" s="948"/>
      <c r="N616" s="948"/>
      <c r="O616" s="948"/>
      <c r="P616" s="948"/>
      <c r="Q616" s="1264"/>
      <c r="R616" s="1264"/>
      <c r="S616" s="1264"/>
      <c r="T616" s="1264"/>
      <c r="U616" s="1264"/>
      <c r="V616" s="1264"/>
      <c r="W616" s="1264"/>
      <c r="X616" s="1264"/>
      <c r="Y616" s="1264"/>
      <c r="Z616" s="1264"/>
    </row>
    <row r="617" spans="1:26" ht="18.75" hidden="1">
      <c r="A617" s="1273"/>
      <c r="B617" s="1274"/>
      <c r="C617" s="1274"/>
      <c r="D617" s="1274"/>
      <c r="E617" s="1262"/>
      <c r="F617" s="1262"/>
      <c r="G617" s="1060"/>
      <c r="H617" s="583" t="s">
        <v>34</v>
      </c>
      <c r="I617" s="836"/>
      <c r="J617" s="836">
        <v>0</v>
      </c>
      <c r="K617" s="948"/>
      <c r="L617" s="948"/>
      <c r="M617" s="948"/>
      <c r="N617" s="948"/>
      <c r="O617" s="948"/>
      <c r="P617" s="948"/>
      <c r="Q617" s="1264"/>
      <c r="R617" s="1264"/>
      <c r="S617" s="1264"/>
      <c r="T617" s="1264"/>
      <c r="U617" s="1264"/>
      <c r="V617" s="1264"/>
      <c r="W617" s="1264"/>
      <c r="X617" s="1264"/>
      <c r="Y617" s="1264"/>
      <c r="Z617" s="1264"/>
    </row>
    <row r="618" spans="1:26" ht="18.75" hidden="1">
      <c r="A618" s="1273"/>
      <c r="B618" s="1274"/>
      <c r="C618" s="1274"/>
      <c r="D618" s="1350" t="s">
        <v>265</v>
      </c>
      <c r="E618" s="1262"/>
      <c r="F618" s="1262"/>
      <c r="G618" s="1060"/>
      <c r="H618" s="583" t="s">
        <v>46</v>
      </c>
      <c r="I618" s="836"/>
      <c r="J618" s="836">
        <v>0</v>
      </c>
      <c r="K618" s="948"/>
      <c r="L618" s="948"/>
      <c r="M618" s="948"/>
      <c r="N618" s="948"/>
      <c r="O618" s="948"/>
      <c r="P618" s="948"/>
      <c r="Q618" s="1264"/>
      <c r="R618" s="1264"/>
      <c r="S618" s="1264"/>
      <c r="T618" s="1264"/>
      <c r="U618" s="1264"/>
      <c r="V618" s="1264"/>
      <c r="W618" s="1264"/>
      <c r="X618" s="1264"/>
      <c r="Y618" s="1264"/>
      <c r="Z618" s="1264"/>
    </row>
    <row r="619" spans="1:26" ht="18.75" hidden="1">
      <c r="A619" s="1273"/>
      <c r="B619" s="1274"/>
      <c r="C619" s="1274"/>
      <c r="D619" s="1274"/>
      <c r="E619" s="1262"/>
      <c r="F619" s="1262"/>
      <c r="G619" s="1060"/>
      <c r="H619" s="583" t="s">
        <v>34</v>
      </c>
      <c r="I619" s="836"/>
      <c r="J619" s="836">
        <v>0</v>
      </c>
      <c r="K619" s="948"/>
      <c r="L619" s="948"/>
      <c r="M619" s="948"/>
      <c r="N619" s="948"/>
      <c r="O619" s="948"/>
      <c r="P619" s="948"/>
      <c r="Q619" s="1264"/>
      <c r="R619" s="1264"/>
      <c r="S619" s="1264"/>
      <c r="T619" s="1264"/>
      <c r="U619" s="1264"/>
      <c r="V619" s="1264"/>
      <c r="W619" s="1264"/>
      <c r="X619" s="1264"/>
      <c r="Y619" s="1264"/>
      <c r="Z619" s="1264"/>
    </row>
    <row r="620" spans="1:26" ht="19.5" hidden="1">
      <c r="A620" s="1351"/>
      <c r="B620" s="1352"/>
      <c r="C620" s="1353" t="s">
        <v>266</v>
      </c>
      <c r="D620" s="1352"/>
      <c r="E620" s="1352"/>
      <c r="F620" s="1354"/>
      <c r="G620" s="1355"/>
      <c r="H620" s="693" t="s">
        <v>46</v>
      </c>
      <c r="I620" s="1356">
        <f ca="1">IFERROR(__xludf.DUMMYFUNCTION("IMPORTRANGE(""https://docs.google.com/spreadsheets/d/1QqKyyYR6Q21VydFLVH3TRQUabQu_ym0Zz7PgGX0-kHA/edit?usp=sharing"",""แผน!HL14"")"),194)</f>
        <v>194</v>
      </c>
      <c r="J620" s="1356">
        <f t="shared" ref="J620:J621" si="260">J622+J624+J626</f>
        <v>0</v>
      </c>
      <c r="K620" s="1357">
        <f t="shared" ref="K620:K621" ca="1" si="261">IF(I620&gt;0,J620*100/I620,0)</f>
        <v>0</v>
      </c>
      <c r="L620" s="1358"/>
      <c r="M620" s="1358"/>
      <c r="N620" s="1358"/>
      <c r="O620" s="1358"/>
      <c r="P620" s="1358"/>
      <c r="Q620" s="1244"/>
      <c r="R620" s="1244"/>
      <c r="S620" s="1244"/>
      <c r="T620" s="1244"/>
      <c r="U620" s="1244"/>
      <c r="V620" s="1244"/>
      <c r="W620" s="1244"/>
      <c r="X620" s="1244"/>
      <c r="Y620" s="1244"/>
      <c r="Z620" s="1244"/>
    </row>
    <row r="621" spans="1:26" ht="19.5" hidden="1">
      <c r="A621" s="1351"/>
      <c r="B621" s="1352"/>
      <c r="C621" s="1352" t="s">
        <v>267</v>
      </c>
      <c r="D621" s="1352"/>
      <c r="E621" s="1352"/>
      <c r="F621" s="1354"/>
      <c r="G621" s="1355"/>
      <c r="H621" s="693" t="s">
        <v>34</v>
      </c>
      <c r="I621" s="1356">
        <f ca="1">IFERROR(__xludf.DUMMYFUNCTION("IMPORTRANGE(""https://docs.google.com/spreadsheets/d/1QqKyyYR6Q21VydFLVH3TRQUabQu_ym0Zz7PgGX0-kHA/edit?usp=sharing"",""แผน!HK14"")"),7)</f>
        <v>7</v>
      </c>
      <c r="J621" s="1356">
        <f t="shared" si="260"/>
        <v>0</v>
      </c>
      <c r="K621" s="1357">
        <f t="shared" ca="1" si="261"/>
        <v>0</v>
      </c>
      <c r="L621" s="1358"/>
      <c r="M621" s="1358"/>
      <c r="N621" s="1358"/>
      <c r="O621" s="1358"/>
      <c r="P621" s="1358"/>
      <c r="Q621" s="1244"/>
      <c r="R621" s="1244"/>
      <c r="S621" s="1244"/>
      <c r="T621" s="1244"/>
      <c r="U621" s="1244"/>
      <c r="V621" s="1244"/>
      <c r="W621" s="1244"/>
      <c r="X621" s="1244"/>
      <c r="Y621" s="1244"/>
      <c r="Z621" s="1244"/>
    </row>
    <row r="622" spans="1:26" ht="18.75" hidden="1">
      <c r="A622" s="1267"/>
      <c r="B622" s="1268"/>
      <c r="C622" s="1268"/>
      <c r="D622" s="1017" t="s">
        <v>268</v>
      </c>
      <c r="E622" s="961"/>
      <c r="F622" s="961"/>
      <c r="G622" s="954"/>
      <c r="H622" s="730" t="s">
        <v>46</v>
      </c>
      <c r="I622" s="830"/>
      <c r="J622" s="959">
        <v>0</v>
      </c>
      <c r="K622" s="945"/>
      <c r="L622" s="945"/>
      <c r="M622" s="945"/>
      <c r="N622" s="945"/>
      <c r="O622" s="945"/>
      <c r="P622" s="945"/>
      <c r="Q622" s="1244"/>
      <c r="R622" s="1244"/>
      <c r="S622" s="1244"/>
      <c r="T622" s="1244"/>
      <c r="U622" s="1244"/>
      <c r="V622" s="1244"/>
      <c r="W622" s="1244"/>
      <c r="X622" s="1244"/>
      <c r="Y622" s="1244"/>
      <c r="Z622" s="1244"/>
    </row>
    <row r="623" spans="1:26" ht="18.75" hidden="1">
      <c r="A623" s="1267"/>
      <c r="B623" s="1268"/>
      <c r="C623" s="1268"/>
      <c r="D623" s="1268"/>
      <c r="E623" s="961"/>
      <c r="F623" s="961"/>
      <c r="G623" s="954"/>
      <c r="H623" s="730" t="s">
        <v>34</v>
      </c>
      <c r="I623" s="830"/>
      <c r="J623" s="959">
        <v>0</v>
      </c>
      <c r="K623" s="945"/>
      <c r="L623" s="945"/>
      <c r="M623" s="945"/>
      <c r="N623" s="945"/>
      <c r="O623" s="945"/>
      <c r="P623" s="945"/>
      <c r="Q623" s="1244"/>
      <c r="R623" s="1244"/>
      <c r="S623" s="1244"/>
      <c r="T623" s="1244"/>
      <c r="U623" s="1244"/>
      <c r="V623" s="1244"/>
      <c r="W623" s="1244"/>
      <c r="X623" s="1244"/>
      <c r="Y623" s="1244"/>
      <c r="Z623" s="1244"/>
    </row>
    <row r="624" spans="1:26" ht="18.75" hidden="1">
      <c r="A624" s="1267"/>
      <c r="B624" s="1268"/>
      <c r="C624" s="1268"/>
      <c r="D624" s="1017" t="s">
        <v>264</v>
      </c>
      <c r="E624" s="961"/>
      <c r="F624" s="961"/>
      <c r="G624" s="954"/>
      <c r="H624" s="730" t="s">
        <v>46</v>
      </c>
      <c r="I624" s="830"/>
      <c r="J624" s="959">
        <v>0</v>
      </c>
      <c r="K624" s="945"/>
      <c r="L624" s="945"/>
      <c r="M624" s="945"/>
      <c r="N624" s="945"/>
      <c r="O624" s="945"/>
      <c r="P624" s="945"/>
      <c r="Q624" s="1244"/>
      <c r="R624" s="1244"/>
      <c r="S624" s="1244"/>
      <c r="T624" s="1244"/>
      <c r="U624" s="1244"/>
      <c r="V624" s="1244"/>
      <c r="W624" s="1244"/>
      <c r="X624" s="1244"/>
      <c r="Y624" s="1244"/>
      <c r="Z624" s="1244"/>
    </row>
    <row r="625" spans="1:26" ht="18.75" hidden="1">
      <c r="A625" s="1267"/>
      <c r="B625" s="1268"/>
      <c r="C625" s="1268"/>
      <c r="D625" s="1268"/>
      <c r="E625" s="961"/>
      <c r="F625" s="961"/>
      <c r="G625" s="954"/>
      <c r="H625" s="730" t="s">
        <v>34</v>
      </c>
      <c r="I625" s="830"/>
      <c r="J625" s="959">
        <v>0</v>
      </c>
      <c r="K625" s="945"/>
      <c r="L625" s="945"/>
      <c r="M625" s="945"/>
      <c r="N625" s="945"/>
      <c r="O625" s="945"/>
      <c r="P625" s="945"/>
      <c r="Q625" s="1244"/>
      <c r="R625" s="1244"/>
      <c r="S625" s="1244"/>
      <c r="T625" s="1244"/>
      <c r="U625" s="1244"/>
      <c r="V625" s="1244"/>
      <c r="W625" s="1244"/>
      <c r="X625" s="1244"/>
      <c r="Y625" s="1244"/>
      <c r="Z625" s="1244"/>
    </row>
    <row r="626" spans="1:26" ht="18.75" hidden="1">
      <c r="A626" s="1267"/>
      <c r="B626" s="1268"/>
      <c r="C626" s="1268"/>
      <c r="D626" s="1017" t="s">
        <v>269</v>
      </c>
      <c r="E626" s="961"/>
      <c r="F626" s="961"/>
      <c r="G626" s="954"/>
      <c r="H626" s="730" t="s">
        <v>46</v>
      </c>
      <c r="I626" s="830"/>
      <c r="J626" s="959">
        <v>0</v>
      </c>
      <c r="K626" s="945"/>
      <c r="L626" s="945"/>
      <c r="M626" s="945"/>
      <c r="N626" s="945"/>
      <c r="O626" s="945"/>
      <c r="P626" s="945"/>
      <c r="Q626" s="1244"/>
      <c r="R626" s="1244"/>
      <c r="S626" s="1244"/>
      <c r="T626" s="1244"/>
      <c r="U626" s="1244"/>
      <c r="V626" s="1244"/>
      <c r="W626" s="1244"/>
      <c r="X626" s="1244"/>
      <c r="Y626" s="1244"/>
      <c r="Z626" s="1244"/>
    </row>
    <row r="627" spans="1:26" ht="18.75" hidden="1">
      <c r="A627" s="1359"/>
      <c r="B627" s="1360"/>
      <c r="C627" s="1360"/>
      <c r="D627" s="1360"/>
      <c r="E627" s="1116"/>
      <c r="F627" s="1116"/>
      <c r="G627" s="1361"/>
      <c r="H627" s="391" t="s">
        <v>34</v>
      </c>
      <c r="I627" s="1085"/>
      <c r="J627" s="1118">
        <v>0</v>
      </c>
      <c r="K627" s="1086"/>
      <c r="L627" s="1086"/>
      <c r="M627" s="1086"/>
      <c r="N627" s="1086"/>
      <c r="O627" s="1086"/>
      <c r="P627" s="1086"/>
      <c r="Q627" s="1244"/>
      <c r="R627" s="1244"/>
      <c r="S627" s="1244"/>
      <c r="T627" s="1244"/>
      <c r="U627" s="1244"/>
      <c r="V627" s="1244"/>
      <c r="W627" s="1244"/>
      <c r="X627" s="1244"/>
      <c r="Y627" s="1244"/>
      <c r="Z627" s="1244"/>
    </row>
    <row r="628" spans="1:26" ht="19.5">
      <c r="A628" s="702">
        <v>7</v>
      </c>
      <c r="B628" s="1362" t="s">
        <v>270</v>
      </c>
      <c r="C628" s="1363"/>
      <c r="D628" s="1363"/>
      <c r="E628" s="1363"/>
      <c r="F628" s="1363"/>
      <c r="G628" s="1364"/>
      <c r="H628" s="706" t="s">
        <v>35</v>
      </c>
      <c r="I628" s="1365">
        <f t="shared" ref="I628:J628" ca="1" si="262">I651</f>
        <v>350</v>
      </c>
      <c r="J628" s="1365">
        <f t="shared" ca="1" si="262"/>
        <v>0</v>
      </c>
      <c r="K628" s="1366">
        <f ca="1">IF(I628&gt;0,J628*100/I628,0)</f>
        <v>0</v>
      </c>
      <c r="L628" s="1367"/>
      <c r="M628" s="1367"/>
      <c r="N628" s="1367"/>
      <c r="O628" s="1367"/>
      <c r="P628" s="1367"/>
      <c r="Q628" s="1244"/>
      <c r="R628" s="1244"/>
      <c r="S628" s="1244"/>
      <c r="T628" s="1244"/>
      <c r="U628" s="1244"/>
      <c r="V628" s="1244"/>
      <c r="W628" s="1244"/>
      <c r="X628" s="1244"/>
      <c r="Y628" s="1244"/>
      <c r="Z628" s="1244"/>
    </row>
    <row r="629" spans="1:26" ht="19.5">
      <c r="A629" s="1259"/>
      <c r="B629" s="1243"/>
      <c r="C629" s="1243" t="s">
        <v>16</v>
      </c>
      <c r="D629" s="1507" t="s">
        <v>17</v>
      </c>
      <c r="E629" s="1485"/>
      <c r="F629" s="1485"/>
      <c r="G629" s="963"/>
      <c r="H629" s="563" t="s">
        <v>12</v>
      </c>
      <c r="I629" s="830"/>
      <c r="J629" s="830"/>
      <c r="K629" s="831"/>
      <c r="L629" s="967">
        <f t="shared" ref="L629:N629" ca="1" si="263">L630+L631</f>
        <v>509340</v>
      </c>
      <c r="M629" s="967">
        <f t="shared" si="263"/>
        <v>0</v>
      </c>
      <c r="N629" s="967">
        <f t="shared" si="263"/>
        <v>270070</v>
      </c>
      <c r="O629" s="967">
        <f t="shared" ref="O629:O634" ca="1" si="264">IF(L629&gt;0,N629*100/L629,0)</f>
        <v>53.023520634546671</v>
      </c>
      <c r="P629" s="967">
        <f t="shared" ref="P629:P634" si="265">IF(M629&gt;0,N629*100/M629,0)</f>
        <v>0</v>
      </c>
      <c r="Q629" s="1244"/>
      <c r="R629" s="1244"/>
      <c r="S629" s="1244"/>
      <c r="T629" s="1244"/>
      <c r="U629" s="1244"/>
      <c r="V629" s="1244"/>
      <c r="W629" s="1244"/>
      <c r="X629" s="1244"/>
      <c r="Y629" s="1244"/>
      <c r="Z629" s="1244"/>
    </row>
    <row r="630" spans="1:26" ht="18.75" hidden="1">
      <c r="A630" s="1260"/>
      <c r="B630" s="1261"/>
      <c r="C630" s="1261"/>
      <c r="D630" s="1262"/>
      <c r="E630" s="1261" t="s">
        <v>184</v>
      </c>
      <c r="F630" s="1261"/>
      <c r="G630" s="1263"/>
      <c r="H630" s="165" t="s">
        <v>12</v>
      </c>
      <c r="I630" s="836"/>
      <c r="J630" s="836"/>
      <c r="K630" s="837"/>
      <c r="L630" s="837">
        <f t="shared" ref="L630:N631" si="266">L633+L640</f>
        <v>0</v>
      </c>
      <c r="M630" s="837">
        <f t="shared" si="266"/>
        <v>0</v>
      </c>
      <c r="N630" s="837">
        <f t="shared" si="266"/>
        <v>0</v>
      </c>
      <c r="O630" s="837">
        <f t="shared" si="264"/>
        <v>0</v>
      </c>
      <c r="P630" s="837">
        <f t="shared" si="265"/>
        <v>0</v>
      </c>
      <c r="Q630" s="1264"/>
      <c r="R630" s="1264"/>
      <c r="S630" s="1264"/>
      <c r="T630" s="1264"/>
      <c r="U630" s="1264"/>
      <c r="V630" s="1264"/>
      <c r="W630" s="1264"/>
      <c r="X630" s="1264"/>
      <c r="Y630" s="1264"/>
      <c r="Z630" s="1264"/>
    </row>
    <row r="631" spans="1:26" ht="18.75" hidden="1">
      <c r="A631" s="1260"/>
      <c r="B631" s="1265"/>
      <c r="C631" s="1261"/>
      <c r="D631" s="1262"/>
      <c r="E631" s="1261" t="s">
        <v>185</v>
      </c>
      <c r="F631" s="1261"/>
      <c r="G631" s="1263"/>
      <c r="H631" s="165" t="s">
        <v>12</v>
      </c>
      <c r="I631" s="836"/>
      <c r="J631" s="836"/>
      <c r="K631" s="837"/>
      <c r="L631" s="837">
        <f t="shared" ca="1" si="266"/>
        <v>509340</v>
      </c>
      <c r="M631" s="837">
        <f t="shared" si="266"/>
        <v>0</v>
      </c>
      <c r="N631" s="837">
        <f t="shared" si="266"/>
        <v>270070</v>
      </c>
      <c r="O631" s="837">
        <f t="shared" ca="1" si="264"/>
        <v>53.023520634546671</v>
      </c>
      <c r="P631" s="837">
        <f t="shared" si="265"/>
        <v>0</v>
      </c>
      <c r="Q631" s="1264"/>
      <c r="R631" s="1264"/>
      <c r="S631" s="1264"/>
      <c r="T631" s="1264"/>
      <c r="U631" s="1264"/>
      <c r="V631" s="1264"/>
      <c r="W631" s="1264"/>
      <c r="X631" s="1264"/>
      <c r="Y631" s="1264"/>
      <c r="Z631" s="1264"/>
    </row>
    <row r="632" spans="1:26" ht="18.75">
      <c r="A632" s="1259"/>
      <c r="B632" s="1242"/>
      <c r="C632" s="1243"/>
      <c r="D632" s="1266" t="s">
        <v>20</v>
      </c>
      <c r="E632" s="1243"/>
      <c r="F632" s="1243"/>
      <c r="G632" s="963"/>
      <c r="H632" s="778" t="s">
        <v>12</v>
      </c>
      <c r="I632" s="944"/>
      <c r="J632" s="944"/>
      <c r="K632" s="945"/>
      <c r="L632" s="831">
        <f t="shared" ref="L632:N632" ca="1" si="267">L633+L634</f>
        <v>509340</v>
      </c>
      <c r="M632" s="831">
        <f t="shared" si="267"/>
        <v>0</v>
      </c>
      <c r="N632" s="831">
        <f t="shared" si="267"/>
        <v>270070</v>
      </c>
      <c r="O632" s="831">
        <f t="shared" ca="1" si="264"/>
        <v>53.023520634546671</v>
      </c>
      <c r="P632" s="831">
        <f t="shared" si="265"/>
        <v>0</v>
      </c>
      <c r="Q632" s="1244"/>
      <c r="R632" s="1244"/>
      <c r="S632" s="1244"/>
      <c r="T632" s="1244"/>
      <c r="U632" s="1244"/>
      <c r="V632" s="1244"/>
      <c r="W632" s="1244"/>
      <c r="X632" s="1244"/>
      <c r="Y632" s="1244"/>
      <c r="Z632" s="1244"/>
    </row>
    <row r="633" spans="1:26" ht="18.75" hidden="1">
      <c r="A633" s="1260"/>
      <c r="B633" s="1265"/>
      <c r="C633" s="1261"/>
      <c r="D633" s="1262"/>
      <c r="E633" s="1261" t="s">
        <v>184</v>
      </c>
      <c r="F633" s="1261"/>
      <c r="G633" s="1263"/>
      <c r="H633" s="165" t="s">
        <v>12</v>
      </c>
      <c r="I633" s="836"/>
      <c r="J633" s="836"/>
      <c r="K633" s="837"/>
      <c r="L633" s="837">
        <v>0</v>
      </c>
      <c r="M633" s="837">
        <v>0</v>
      </c>
      <c r="N633" s="837">
        <v>0</v>
      </c>
      <c r="O633" s="837">
        <f t="shared" si="264"/>
        <v>0</v>
      </c>
      <c r="P633" s="837">
        <f t="shared" si="265"/>
        <v>0</v>
      </c>
      <c r="Q633" s="1264"/>
      <c r="R633" s="1264"/>
      <c r="S633" s="1264"/>
      <c r="T633" s="1264"/>
      <c r="U633" s="1264"/>
      <c r="V633" s="1264"/>
      <c r="W633" s="1264"/>
      <c r="X633" s="1264"/>
      <c r="Y633" s="1264"/>
      <c r="Z633" s="1264"/>
    </row>
    <row r="634" spans="1:26" ht="18.75" hidden="1">
      <c r="A634" s="1260"/>
      <c r="B634" s="1265"/>
      <c r="C634" s="1261"/>
      <c r="D634" s="1262"/>
      <c r="E634" s="1261" t="s">
        <v>185</v>
      </c>
      <c r="F634" s="1261"/>
      <c r="G634" s="1263"/>
      <c r="H634" s="165" t="s">
        <v>12</v>
      </c>
      <c r="I634" s="836"/>
      <c r="J634" s="836"/>
      <c r="K634" s="837"/>
      <c r="L634" s="837">
        <f ca="1">IFERROR(__xludf.DUMMYFUNCTION("IMPORTRANGE(""https://docs.google.com/spreadsheets/d/1QqKyyYR6Q21VydFLVH3TRQUabQu_ym0Zz7PgGX0-kHA/edit?usp=sharing"",""แผน!HN14"")"),509340)</f>
        <v>509340</v>
      </c>
      <c r="M634" s="837">
        <v>0</v>
      </c>
      <c r="N634" s="837">
        <f>N635+N636+N637+N638</f>
        <v>270070</v>
      </c>
      <c r="O634" s="837">
        <f t="shared" ca="1" si="264"/>
        <v>53.023520634546671</v>
      </c>
      <c r="P634" s="837">
        <f t="shared" si="265"/>
        <v>0</v>
      </c>
      <c r="Q634" s="1264"/>
      <c r="R634" s="1264"/>
      <c r="S634" s="1264"/>
      <c r="T634" s="1264"/>
      <c r="U634" s="1264"/>
      <c r="V634" s="1264"/>
      <c r="W634" s="1264"/>
      <c r="X634" s="1264"/>
      <c r="Y634" s="1264"/>
      <c r="Z634" s="1264"/>
    </row>
    <row r="635" spans="1:26" ht="18.75">
      <c r="A635" s="1241"/>
      <c r="B635" s="1242"/>
      <c r="C635" s="1243"/>
      <c r="D635" s="1243"/>
      <c r="E635" s="1243"/>
      <c r="F635" s="1243" t="s">
        <v>186</v>
      </c>
      <c r="G635" s="963"/>
      <c r="H635" s="778" t="s">
        <v>12</v>
      </c>
      <c r="I635" s="830"/>
      <c r="J635" s="830"/>
      <c r="K635" s="831"/>
      <c r="L635" s="831"/>
      <c r="M635" s="831"/>
      <c r="N635" s="1031">
        <v>0</v>
      </c>
      <c r="O635" s="831"/>
      <c r="P635" s="831"/>
      <c r="Q635" s="1244"/>
      <c r="R635" s="1244"/>
      <c r="S635" s="1244"/>
      <c r="T635" s="1244"/>
      <c r="U635" s="1244"/>
      <c r="V635" s="1244"/>
      <c r="W635" s="1244"/>
      <c r="X635" s="1244"/>
      <c r="Y635" s="1244"/>
      <c r="Z635" s="1244"/>
    </row>
    <row r="636" spans="1:26" ht="18.75">
      <c r="A636" s="1241"/>
      <c r="B636" s="1242"/>
      <c r="C636" s="1243"/>
      <c r="D636" s="1243"/>
      <c r="E636" s="1243"/>
      <c r="F636" s="1243" t="s">
        <v>187</v>
      </c>
      <c r="G636" s="963"/>
      <c r="H636" s="778" t="s">
        <v>12</v>
      </c>
      <c r="I636" s="830"/>
      <c r="J636" s="830"/>
      <c r="K636" s="831"/>
      <c r="L636" s="831"/>
      <c r="M636" s="831"/>
      <c r="N636" s="1031">
        <v>0</v>
      </c>
      <c r="O636" s="831"/>
      <c r="P636" s="831"/>
      <c r="Q636" s="1244"/>
      <c r="R636" s="1244"/>
      <c r="S636" s="1244"/>
      <c r="T636" s="1244"/>
      <c r="U636" s="1244"/>
      <c r="V636" s="1244"/>
      <c r="W636" s="1244"/>
      <c r="X636" s="1244"/>
      <c r="Y636" s="1244"/>
      <c r="Z636" s="1244"/>
    </row>
    <row r="637" spans="1:26" ht="18.75">
      <c r="A637" s="1241"/>
      <c r="B637" s="1242"/>
      <c r="C637" s="1243"/>
      <c r="D637" s="1243"/>
      <c r="E637" s="1243"/>
      <c r="F637" s="1243" t="s">
        <v>188</v>
      </c>
      <c r="G637" s="963"/>
      <c r="H637" s="778" t="s">
        <v>12</v>
      </c>
      <c r="I637" s="830"/>
      <c r="J637" s="830"/>
      <c r="K637" s="831"/>
      <c r="L637" s="831"/>
      <c r="M637" s="831"/>
      <c r="N637" s="1031">
        <v>52000</v>
      </c>
      <c r="O637" s="831"/>
      <c r="P637" s="831"/>
      <c r="Q637" s="1244"/>
      <c r="R637" s="1244"/>
      <c r="S637" s="1244"/>
      <c r="T637" s="1244"/>
      <c r="U637" s="1244"/>
      <c r="V637" s="1244"/>
      <c r="W637" s="1244"/>
      <c r="X637" s="1244"/>
      <c r="Y637" s="1244"/>
      <c r="Z637" s="1244"/>
    </row>
    <row r="638" spans="1:26" ht="18.75">
      <c r="A638" s="1241"/>
      <c r="B638" s="1242"/>
      <c r="C638" s="1243"/>
      <c r="D638" s="1243"/>
      <c r="E638" s="1243"/>
      <c r="F638" s="1243" t="s">
        <v>189</v>
      </c>
      <c r="G638" s="963"/>
      <c r="H638" s="778" t="s">
        <v>12</v>
      </c>
      <c r="I638" s="830"/>
      <c r="J638" s="830"/>
      <c r="K638" s="831"/>
      <c r="L638" s="831"/>
      <c r="M638" s="831"/>
      <c r="N638" s="1031">
        <f>138520+27200+52350</f>
        <v>218070</v>
      </c>
      <c r="O638" s="831"/>
      <c r="P638" s="831"/>
      <c r="Q638" s="1244"/>
      <c r="R638" s="1244"/>
      <c r="S638" s="1244"/>
      <c r="T638" s="1244"/>
      <c r="U638" s="1244"/>
      <c r="V638" s="1244"/>
      <c r="W638" s="1244"/>
      <c r="X638" s="1244"/>
      <c r="Y638" s="1244"/>
      <c r="Z638" s="1244"/>
    </row>
    <row r="639" spans="1:26" ht="18.75">
      <c r="A639" s="1259"/>
      <c r="B639" s="1242"/>
      <c r="C639" s="1243"/>
      <c r="D639" s="1266" t="s">
        <v>21</v>
      </c>
      <c r="E639" s="1243"/>
      <c r="F639" s="1243"/>
      <c r="G639" s="963"/>
      <c r="H639" s="168" t="s">
        <v>12</v>
      </c>
      <c r="I639" s="944"/>
      <c r="J639" s="944"/>
      <c r="K639" s="945"/>
      <c r="L639" s="831">
        <f t="shared" ref="L639:N639" ca="1" si="268">L640+L641</f>
        <v>0</v>
      </c>
      <c r="M639" s="831">
        <f t="shared" si="268"/>
        <v>0</v>
      </c>
      <c r="N639" s="831">
        <f t="shared" si="268"/>
        <v>0</v>
      </c>
      <c r="O639" s="831">
        <f t="shared" ref="O639:O641" ca="1" si="269">IF(L639&gt;0,N639*100/L639,0)</f>
        <v>0</v>
      </c>
      <c r="P639" s="831">
        <f t="shared" ref="P639:P641" si="270">IF(M639&gt;0,N639*100/M639,0)</f>
        <v>0</v>
      </c>
      <c r="Q639" s="1244"/>
      <c r="R639" s="1244"/>
      <c r="S639" s="1244"/>
      <c r="T639" s="1244"/>
      <c r="U639" s="1244"/>
      <c r="V639" s="1244"/>
      <c r="W639" s="1244"/>
      <c r="X639" s="1244"/>
      <c r="Y639" s="1244"/>
      <c r="Z639" s="1244"/>
    </row>
    <row r="640" spans="1:26" ht="18.75" hidden="1">
      <c r="A640" s="1260"/>
      <c r="B640" s="1265"/>
      <c r="C640" s="1261"/>
      <c r="D640" s="1261"/>
      <c r="E640" s="1261" t="s">
        <v>18</v>
      </c>
      <c r="F640" s="1261"/>
      <c r="G640" s="1263"/>
      <c r="H640" s="165" t="s">
        <v>12</v>
      </c>
      <c r="I640" s="947"/>
      <c r="J640" s="947"/>
      <c r="K640" s="948"/>
      <c r="L640" s="837">
        <v>0</v>
      </c>
      <c r="M640" s="837">
        <v>0</v>
      </c>
      <c r="N640" s="837">
        <v>0</v>
      </c>
      <c r="O640" s="837">
        <f t="shared" si="269"/>
        <v>0</v>
      </c>
      <c r="P640" s="837">
        <f t="shared" si="270"/>
        <v>0</v>
      </c>
      <c r="Q640" s="1264"/>
      <c r="R640" s="1264"/>
      <c r="S640" s="1264"/>
      <c r="T640" s="1264"/>
      <c r="U640" s="1264"/>
      <c r="V640" s="1264"/>
      <c r="W640" s="1264"/>
      <c r="X640" s="1264"/>
      <c r="Y640" s="1264"/>
      <c r="Z640" s="1264"/>
    </row>
    <row r="641" spans="1:26" ht="18.75" hidden="1">
      <c r="A641" s="1260"/>
      <c r="B641" s="1265"/>
      <c r="C641" s="1261"/>
      <c r="D641" s="1261"/>
      <c r="E641" s="1261" t="s">
        <v>19</v>
      </c>
      <c r="F641" s="1261"/>
      <c r="G641" s="1263"/>
      <c r="H641" s="169" t="s">
        <v>12</v>
      </c>
      <c r="I641" s="947"/>
      <c r="J641" s="947"/>
      <c r="K641" s="948"/>
      <c r="L641" s="837">
        <f ca="1">IFERROR(__xludf.DUMMYFUNCTION("IMPORTRANGE(""https://docs.google.com/spreadsheets/d/1QqKyyYR6Q21VydFLVH3TRQUabQu_ym0Zz7PgGX0-kHA/edit?usp=sharing"",""แผน!HQ14"")"),0)</f>
        <v>0</v>
      </c>
      <c r="M641" s="837">
        <v>0</v>
      </c>
      <c r="N641" s="837">
        <v>0</v>
      </c>
      <c r="O641" s="837">
        <f t="shared" ca="1" si="269"/>
        <v>0</v>
      </c>
      <c r="P641" s="837">
        <f t="shared" si="270"/>
        <v>0</v>
      </c>
      <c r="Q641" s="1264"/>
      <c r="R641" s="1264"/>
      <c r="S641" s="1264"/>
      <c r="T641" s="1264"/>
      <c r="U641" s="1264"/>
      <c r="V641" s="1264"/>
      <c r="W641" s="1264"/>
      <c r="X641" s="1264"/>
      <c r="Y641" s="1264"/>
      <c r="Z641" s="1264"/>
    </row>
    <row r="642" spans="1:26" ht="19.5">
      <c r="A642" s="1267"/>
      <c r="B642" s="1268"/>
      <c r="C642" s="1243" t="s">
        <v>16</v>
      </c>
      <c r="D642" s="1320" t="s">
        <v>38</v>
      </c>
      <c r="E642" s="1271"/>
      <c r="F642" s="1271"/>
      <c r="G642" s="1272"/>
      <c r="H642" s="954"/>
      <c r="I642" s="944"/>
      <c r="J642" s="944"/>
      <c r="K642" s="945"/>
      <c r="L642" s="945"/>
      <c r="M642" s="945"/>
      <c r="N642" s="945"/>
      <c r="O642" s="945"/>
      <c r="P642" s="945"/>
      <c r="Q642" s="1244"/>
      <c r="R642" s="1244"/>
      <c r="S642" s="1244"/>
      <c r="T642" s="1244"/>
      <c r="U642" s="1244"/>
      <c r="V642" s="1244"/>
      <c r="W642" s="1244"/>
      <c r="X642" s="1244"/>
      <c r="Y642" s="1244"/>
      <c r="Z642" s="1244"/>
    </row>
    <row r="643" spans="1:26" ht="18.75">
      <c r="A643" s="1368"/>
      <c r="B643" s="1242"/>
      <c r="C643" s="1243"/>
      <c r="D643" s="961"/>
      <c r="E643" s="1017" t="s">
        <v>271</v>
      </c>
      <c r="F643" s="961"/>
      <c r="G643" s="954"/>
      <c r="H643" s="730" t="s">
        <v>272</v>
      </c>
      <c r="I643" s="830">
        <f ca="1">IFERROR(__xludf.DUMMYFUNCTION("IMPORTRANGE(""https://docs.google.com/spreadsheets/d/1QqKyyYR6Q21VydFLVH3TRQUabQu_ym0Zz7PgGX0-kHA/edit?usp=sharing"",""แผน!HR14"")"),0)</f>
        <v>0</v>
      </c>
      <c r="J643" s="959">
        <v>0</v>
      </c>
      <c r="K643" s="945">
        <f t="shared" ref="K643:K652" ca="1" si="271">IF(I643&gt;0,J643*100/I643,0)</f>
        <v>0</v>
      </c>
      <c r="L643" s="945"/>
      <c r="M643" s="945"/>
      <c r="N643" s="831"/>
      <c r="O643" s="945"/>
      <c r="P643" s="945"/>
      <c r="Q643" s="1244"/>
      <c r="R643" s="1244"/>
      <c r="S643" s="1244"/>
      <c r="T643" s="1244"/>
      <c r="U643" s="1244"/>
      <c r="V643" s="1244"/>
      <c r="W643" s="1244"/>
      <c r="X643" s="1244"/>
      <c r="Y643" s="1244"/>
      <c r="Z643" s="1244"/>
    </row>
    <row r="644" spans="1:26" ht="18.75">
      <c r="A644" s="1368"/>
      <c r="B644" s="1242"/>
      <c r="C644" s="1243"/>
      <c r="D644" s="961"/>
      <c r="E644" s="1017" t="s">
        <v>273</v>
      </c>
      <c r="F644" s="961"/>
      <c r="G644" s="954"/>
      <c r="H644" s="730" t="s">
        <v>274</v>
      </c>
      <c r="I644" s="830">
        <f ca="1">IFERROR(__xludf.DUMMYFUNCTION("IMPORTRANGE(""https://docs.google.com/spreadsheets/d/1QqKyyYR6Q21VydFLVH3TRQUabQu_ym0Zz7PgGX0-kHA/edit?usp=sharing"",""แผน!HR14"")"),0)</f>
        <v>0</v>
      </c>
      <c r="J644" s="959">
        <v>0</v>
      </c>
      <c r="K644" s="945">
        <f t="shared" ca="1" si="271"/>
        <v>0</v>
      </c>
      <c r="L644" s="945"/>
      <c r="M644" s="945"/>
      <c r="N644" s="831"/>
      <c r="O644" s="945"/>
      <c r="P644" s="945"/>
      <c r="Q644" s="1244"/>
      <c r="R644" s="1244"/>
      <c r="S644" s="1244"/>
      <c r="T644" s="1244"/>
      <c r="U644" s="1244"/>
      <c r="V644" s="1244"/>
      <c r="W644" s="1244"/>
      <c r="X644" s="1244"/>
      <c r="Y644" s="1244"/>
      <c r="Z644" s="1244"/>
    </row>
    <row r="645" spans="1:26" ht="18.75">
      <c r="A645" s="1368"/>
      <c r="B645" s="1242"/>
      <c r="C645" s="1243"/>
      <c r="D645" s="961"/>
      <c r="E645" s="1017" t="s">
        <v>275</v>
      </c>
      <c r="F645" s="961"/>
      <c r="G645" s="954"/>
      <c r="H645" s="730" t="s">
        <v>34</v>
      </c>
      <c r="I645" s="830">
        <v>0</v>
      </c>
      <c r="J645" s="830">
        <f ca="1">IFERROR(__xludf.DUMMYFUNCTION("IMPORTRANGE(""https://docs.google.com/spreadsheets/d/1XWAQStnk-4SwqDmLtmXYiTMKHgktTP8We1SCoS47DrQ/edit?usp=sharing"",""จัดที่ดิน!AS69"")"),54)</f>
        <v>54</v>
      </c>
      <c r="K645" s="945">
        <f t="shared" si="271"/>
        <v>0</v>
      </c>
      <c r="L645" s="945"/>
      <c r="M645" s="945"/>
      <c r="N645" s="831"/>
      <c r="O645" s="945"/>
      <c r="P645" s="945"/>
      <c r="Q645" s="1244"/>
      <c r="R645" s="1244"/>
      <c r="S645" s="1244"/>
      <c r="T645" s="1244"/>
      <c r="U645" s="1244"/>
      <c r="V645" s="1244"/>
      <c r="W645" s="1244"/>
      <c r="X645" s="1244"/>
      <c r="Y645" s="1244"/>
      <c r="Z645" s="1244"/>
    </row>
    <row r="646" spans="1:26" ht="18.75">
      <c r="A646" s="1368"/>
      <c r="B646" s="1242"/>
      <c r="C646" s="1243"/>
      <c r="D646" s="961"/>
      <c r="E646" s="961"/>
      <c r="F646" s="961"/>
      <c r="G646" s="954"/>
      <c r="H646" s="730" t="s">
        <v>46</v>
      </c>
      <c r="I646" s="830">
        <v>0</v>
      </c>
      <c r="J646" s="830">
        <f ca="1">IFERROR(__xludf.DUMMYFUNCTION("IMPORTRANGE(""https://docs.google.com/spreadsheets/d/1XWAQStnk-4SwqDmLtmXYiTMKHgktTP8We1SCoS47DrQ/edit?usp=sharing"",""จัดที่ดิน!AT69"")"),59.97)</f>
        <v>59.97</v>
      </c>
      <c r="K646" s="831">
        <f t="shared" si="271"/>
        <v>0</v>
      </c>
      <c r="L646" s="945"/>
      <c r="M646" s="945"/>
      <c r="N646" s="831"/>
      <c r="O646" s="945"/>
      <c r="P646" s="945"/>
      <c r="Q646" s="1244"/>
      <c r="R646" s="1244"/>
      <c r="S646" s="1244"/>
      <c r="T646" s="1244"/>
      <c r="U646" s="1244"/>
      <c r="V646" s="1244"/>
      <c r="W646" s="1244"/>
      <c r="X646" s="1244"/>
      <c r="Y646" s="1244"/>
      <c r="Z646" s="1244"/>
    </row>
    <row r="647" spans="1:26" ht="18.75">
      <c r="A647" s="1368"/>
      <c r="B647" s="1242"/>
      <c r="C647" s="1243"/>
      <c r="D647" s="961"/>
      <c r="E647" s="1017" t="s">
        <v>162</v>
      </c>
      <c r="F647" s="961"/>
      <c r="G647" s="954"/>
      <c r="H647" s="730" t="s">
        <v>35</v>
      </c>
      <c r="I647" s="830">
        <f ca="1">IFERROR(__xludf.DUMMYFUNCTION("IMPORTRANGE(""https://docs.google.com/spreadsheets/d/1QqKyyYR6Q21VydFLVH3TRQUabQu_ym0Zz7PgGX0-kHA/edit?usp=sharing"",""แผน!HS14"")"),350)</f>
        <v>350</v>
      </c>
      <c r="J647" s="830">
        <f ca="1">IFERROR(__xludf.DUMMYFUNCTION("IMPORTRANGE(""https://docs.google.com/spreadsheets/d/1XWAQStnk-4SwqDmLtmXYiTMKHgktTP8We1SCoS47DrQ/edit?usp=sharing"",""จัดที่ดิน!AU69"")"),53)</f>
        <v>53</v>
      </c>
      <c r="K647" s="945">
        <f t="shared" ca="1" si="271"/>
        <v>15.142857142857142</v>
      </c>
      <c r="L647" s="945"/>
      <c r="M647" s="945"/>
      <c r="N647" s="945"/>
      <c r="O647" s="945"/>
      <c r="P647" s="945"/>
      <c r="Q647" s="1244"/>
      <c r="R647" s="1244"/>
      <c r="S647" s="1244"/>
      <c r="T647" s="1244"/>
      <c r="U647" s="1244"/>
      <c r="V647" s="1244"/>
      <c r="W647" s="1244"/>
      <c r="X647" s="1244"/>
      <c r="Y647" s="1244"/>
      <c r="Z647" s="1244"/>
    </row>
    <row r="648" spans="1:26" ht="18.75">
      <c r="A648" s="1368"/>
      <c r="B648" s="1242"/>
      <c r="C648" s="1243"/>
      <c r="D648" s="961"/>
      <c r="E648" s="961"/>
      <c r="F648" s="961"/>
      <c r="G648" s="954"/>
      <c r="H648" s="730" t="s">
        <v>46</v>
      </c>
      <c r="I648" s="830">
        <v>0</v>
      </c>
      <c r="J648" s="830">
        <f ca="1">IFERROR(__xludf.DUMMYFUNCTION("IMPORTRANGE(""https://docs.google.com/spreadsheets/d/1XWAQStnk-4SwqDmLtmXYiTMKHgktTP8We1SCoS47DrQ/edit?usp=sharing"",""จัดที่ดิน!AV69"")"),60.17)</f>
        <v>60.17</v>
      </c>
      <c r="K648" s="831">
        <f t="shared" si="271"/>
        <v>0</v>
      </c>
      <c r="L648" s="945"/>
      <c r="M648" s="945"/>
      <c r="N648" s="945"/>
      <c r="O648" s="945"/>
      <c r="P648" s="945"/>
      <c r="Q648" s="1244"/>
      <c r="R648" s="1244"/>
      <c r="S648" s="1244"/>
      <c r="T648" s="1244"/>
      <c r="U648" s="1244"/>
      <c r="V648" s="1244"/>
      <c r="W648" s="1244"/>
      <c r="X648" s="1244"/>
      <c r="Y648" s="1244"/>
      <c r="Z648" s="1244"/>
    </row>
    <row r="649" spans="1:26" ht="18.75">
      <c r="A649" s="1368"/>
      <c r="B649" s="1242"/>
      <c r="C649" s="1243"/>
      <c r="D649" s="961"/>
      <c r="E649" s="1017" t="s">
        <v>276</v>
      </c>
      <c r="F649" s="961"/>
      <c r="G649" s="954"/>
      <c r="H649" s="730" t="s">
        <v>35</v>
      </c>
      <c r="I649" s="830">
        <f ca="1">IFERROR(__xludf.DUMMYFUNCTION("IMPORTRANGE(""https://docs.google.com/spreadsheets/d/1QqKyyYR6Q21VydFLVH3TRQUabQu_ym0Zz7PgGX0-kHA/edit?usp=sharing"",""แผน!HS14"")"),350)</f>
        <v>350</v>
      </c>
      <c r="J649" s="830">
        <f ca="1">IFERROR(__xludf.DUMMYFUNCTION("IMPORTRANGE(""https://docs.google.com/spreadsheets/d/1XWAQStnk-4SwqDmLtmXYiTMKHgktTP8We1SCoS47DrQ/edit?usp=sharing"",""จัดที่ดิน!AW69"")"),0)</f>
        <v>0</v>
      </c>
      <c r="K649" s="945">
        <f t="shared" ca="1" si="271"/>
        <v>0</v>
      </c>
      <c r="L649" s="945"/>
      <c r="M649" s="945"/>
      <c r="N649" s="945"/>
      <c r="O649" s="945"/>
      <c r="P649" s="945"/>
      <c r="Q649" s="1244"/>
      <c r="R649" s="1244"/>
      <c r="S649" s="1244"/>
      <c r="T649" s="1244"/>
      <c r="U649" s="1244"/>
      <c r="V649" s="1244"/>
      <c r="W649" s="1244"/>
      <c r="X649" s="1244"/>
      <c r="Y649" s="1244"/>
      <c r="Z649" s="1244"/>
    </row>
    <row r="650" spans="1:26" ht="18.75">
      <c r="A650" s="1368"/>
      <c r="B650" s="1242"/>
      <c r="C650" s="1243"/>
      <c r="D650" s="961"/>
      <c r="E650" s="961"/>
      <c r="F650" s="961"/>
      <c r="G650" s="954"/>
      <c r="H650" s="730" t="s">
        <v>46</v>
      </c>
      <c r="I650" s="830">
        <v>0</v>
      </c>
      <c r="J650" s="830">
        <f ca="1">IFERROR(__xludf.DUMMYFUNCTION("IMPORTRANGE(""https://docs.google.com/spreadsheets/d/1XWAQStnk-4SwqDmLtmXYiTMKHgktTP8We1SCoS47DrQ/edit?usp=sharing"",""จัดที่ดิน!AX69"")"),0)</f>
        <v>0</v>
      </c>
      <c r="K650" s="831">
        <f t="shared" si="271"/>
        <v>0</v>
      </c>
      <c r="L650" s="945"/>
      <c r="M650" s="945"/>
      <c r="N650" s="945"/>
      <c r="O650" s="945"/>
      <c r="P650" s="945"/>
      <c r="Q650" s="1244"/>
      <c r="R650" s="1244"/>
      <c r="S650" s="1244"/>
      <c r="T650" s="1244"/>
      <c r="U650" s="1244"/>
      <c r="V650" s="1244"/>
      <c r="W650" s="1244"/>
      <c r="X650" s="1244"/>
      <c r="Y650" s="1244"/>
      <c r="Z650" s="1244"/>
    </row>
    <row r="651" spans="1:26" ht="18.75">
      <c r="A651" s="1368"/>
      <c r="B651" s="1242"/>
      <c r="C651" s="1243"/>
      <c r="D651" s="961"/>
      <c r="E651" s="1017" t="s">
        <v>277</v>
      </c>
      <c r="F651" s="961"/>
      <c r="G651" s="954"/>
      <c r="H651" s="730" t="s">
        <v>35</v>
      </c>
      <c r="I651" s="830">
        <f ca="1">IFERROR(__xludf.DUMMYFUNCTION("IMPORTRANGE(""https://docs.google.com/spreadsheets/d/1QqKyyYR6Q21VydFLVH3TRQUabQu_ym0Zz7PgGX0-kHA/edit?usp=sharing"",""แผน!HS14"")"),350)</f>
        <v>350</v>
      </c>
      <c r="J651" s="830">
        <f ca="1">IFERROR(__xludf.DUMMYFUNCTION("IMPORTRANGE(""https://docs.google.com/spreadsheets/d/1XWAQStnk-4SwqDmLtmXYiTMKHgktTP8We1SCoS47DrQ/edit?usp=sharing"",""จัดที่ดิน!AY69"")"),0)</f>
        <v>0</v>
      </c>
      <c r="K651" s="945">
        <f t="shared" ca="1" si="271"/>
        <v>0</v>
      </c>
      <c r="L651" s="945"/>
      <c r="M651" s="945"/>
      <c r="N651" s="945"/>
      <c r="O651" s="945"/>
      <c r="P651" s="945"/>
      <c r="Q651" s="1244"/>
      <c r="R651" s="1244"/>
      <c r="S651" s="1244"/>
      <c r="T651" s="1244"/>
      <c r="U651" s="1244"/>
      <c r="V651" s="1244"/>
      <c r="W651" s="1244"/>
      <c r="X651" s="1244"/>
      <c r="Y651" s="1244"/>
      <c r="Z651" s="1244"/>
    </row>
    <row r="652" spans="1:26" ht="18.75">
      <c r="A652" s="1369"/>
      <c r="B652" s="1370"/>
      <c r="C652" s="1371"/>
      <c r="D652" s="1116"/>
      <c r="E652" s="1116"/>
      <c r="F652" s="1116"/>
      <c r="G652" s="1361"/>
      <c r="H652" s="468" t="s">
        <v>46</v>
      </c>
      <c r="I652" s="1085">
        <v>0</v>
      </c>
      <c r="J652" s="1085">
        <f ca="1">IFERROR(__xludf.DUMMYFUNCTION("IMPORTRANGE(""https://docs.google.com/spreadsheets/d/1XWAQStnk-4SwqDmLtmXYiTMKHgktTP8We1SCoS47DrQ/edit?usp=sharing"",""จัดที่ดิน!AZ69"")"),0)</f>
        <v>0</v>
      </c>
      <c r="K652" s="1182">
        <f t="shared" si="271"/>
        <v>0</v>
      </c>
      <c r="L652" s="1086"/>
      <c r="M652" s="1086"/>
      <c r="N652" s="1086"/>
      <c r="O652" s="1086"/>
      <c r="P652" s="1086"/>
      <c r="Q652" s="1244"/>
      <c r="R652" s="1244"/>
      <c r="S652" s="1244"/>
      <c r="T652" s="1244"/>
      <c r="U652" s="1244"/>
      <c r="V652" s="1244"/>
      <c r="W652" s="1244"/>
      <c r="X652" s="1244"/>
      <c r="Y652" s="1244"/>
      <c r="Z652" s="1244"/>
    </row>
    <row r="653" spans="1:26" ht="19.5" hidden="1">
      <c r="A653" s="716">
        <v>8</v>
      </c>
      <c r="B653" s="1362" t="s">
        <v>278</v>
      </c>
      <c r="C653" s="1363"/>
      <c r="D653" s="1363"/>
      <c r="E653" s="1363"/>
      <c r="F653" s="1363"/>
      <c r="G653" s="1364"/>
      <c r="H653" s="1364"/>
      <c r="I653" s="1372"/>
      <c r="J653" s="1372"/>
      <c r="K653" s="1367"/>
      <c r="L653" s="1367"/>
      <c r="M653" s="1367"/>
      <c r="N653" s="1367"/>
      <c r="O653" s="1367"/>
      <c r="P653" s="1367"/>
      <c r="Q653" s="1244"/>
      <c r="R653" s="1244"/>
      <c r="S653" s="1244"/>
      <c r="T653" s="1244"/>
      <c r="U653" s="1244"/>
      <c r="V653" s="1244"/>
      <c r="W653" s="1244"/>
      <c r="X653" s="1244"/>
      <c r="Y653" s="1244"/>
      <c r="Z653" s="1244"/>
    </row>
    <row r="654" spans="1:26" ht="19.5" hidden="1">
      <c r="A654" s="1315"/>
      <c r="B654" s="1314" t="s">
        <v>279</v>
      </c>
      <c r="C654" s="1315"/>
      <c r="D654" s="1315"/>
      <c r="E654" s="1315"/>
      <c r="F654" s="1315"/>
      <c r="G654" s="1316"/>
      <c r="H654" s="673" t="s">
        <v>46</v>
      </c>
      <c r="I654" s="1317">
        <f t="shared" ref="I654:J654" ca="1" si="272">I669</f>
        <v>0</v>
      </c>
      <c r="J654" s="1317">
        <f t="shared" si="272"/>
        <v>0</v>
      </c>
      <c r="K654" s="1318">
        <f ca="1">IF(I654&gt;0,J654*100/I654,0)</f>
        <v>0</v>
      </c>
      <c r="L654" s="1319"/>
      <c r="M654" s="1319"/>
      <c r="N654" s="1319"/>
      <c r="O654" s="1319"/>
      <c r="P654" s="1319"/>
      <c r="Q654" s="1244"/>
      <c r="R654" s="1244"/>
      <c r="S654" s="1244"/>
      <c r="T654" s="1244"/>
      <c r="U654" s="1244"/>
      <c r="V654" s="1244"/>
      <c r="W654" s="1244"/>
      <c r="X654" s="1244"/>
      <c r="Y654" s="1244"/>
      <c r="Z654" s="1244"/>
    </row>
    <row r="655" spans="1:26" ht="19.5" hidden="1">
      <c r="A655" s="1259"/>
      <c r="B655" s="1243"/>
      <c r="C655" s="1243" t="s">
        <v>16</v>
      </c>
      <c r="D655" s="1507" t="s">
        <v>17</v>
      </c>
      <c r="E655" s="1485"/>
      <c r="F655" s="1485"/>
      <c r="G655" s="963"/>
      <c r="H655" s="563" t="s">
        <v>12</v>
      </c>
      <c r="I655" s="830"/>
      <c r="J655" s="830"/>
      <c r="K655" s="831"/>
      <c r="L655" s="967">
        <f t="shared" ref="L655:N655" ca="1" si="273">L656+L657</f>
        <v>0</v>
      </c>
      <c r="M655" s="967">
        <f t="shared" si="273"/>
        <v>0</v>
      </c>
      <c r="N655" s="967">
        <f t="shared" si="273"/>
        <v>0</v>
      </c>
      <c r="O655" s="967">
        <f t="shared" ref="O655:O660" ca="1" si="274">IF(L655&gt;0,N655*100/L655,0)</f>
        <v>0</v>
      </c>
      <c r="P655" s="967">
        <f t="shared" ref="P655:P660" si="275">IF(M655&gt;0,N655*100/M655,0)</f>
        <v>0</v>
      </c>
      <c r="Q655" s="1244"/>
      <c r="R655" s="1244"/>
      <c r="S655" s="1244"/>
      <c r="T655" s="1244"/>
      <c r="U655" s="1244"/>
      <c r="V655" s="1244"/>
      <c r="W655" s="1244"/>
      <c r="X655" s="1244"/>
      <c r="Y655" s="1244"/>
      <c r="Z655" s="1244"/>
    </row>
    <row r="656" spans="1:26" ht="18.75" hidden="1">
      <c r="A656" s="1260"/>
      <c r="B656" s="1261"/>
      <c r="C656" s="1261"/>
      <c r="D656" s="1262"/>
      <c r="E656" s="1261" t="s">
        <v>184</v>
      </c>
      <c r="F656" s="1261"/>
      <c r="G656" s="1263"/>
      <c r="H656" s="165" t="s">
        <v>12</v>
      </c>
      <c r="I656" s="836"/>
      <c r="J656" s="836"/>
      <c r="K656" s="837"/>
      <c r="L656" s="837">
        <f t="shared" ref="L656:N657" si="276">L659+L666</f>
        <v>0</v>
      </c>
      <c r="M656" s="837">
        <f t="shared" si="276"/>
        <v>0</v>
      </c>
      <c r="N656" s="837">
        <f t="shared" si="276"/>
        <v>0</v>
      </c>
      <c r="O656" s="837">
        <f t="shared" si="274"/>
        <v>0</v>
      </c>
      <c r="P656" s="837">
        <f t="shared" si="275"/>
        <v>0</v>
      </c>
      <c r="Q656" s="1264"/>
      <c r="R656" s="1264"/>
      <c r="S656" s="1264"/>
      <c r="T656" s="1264"/>
      <c r="U656" s="1264"/>
      <c r="V656" s="1264"/>
      <c r="W656" s="1264"/>
      <c r="X656" s="1264"/>
      <c r="Y656" s="1264"/>
      <c r="Z656" s="1264"/>
    </row>
    <row r="657" spans="1:26" ht="18.75" hidden="1">
      <c r="A657" s="1260"/>
      <c r="B657" s="1265"/>
      <c r="C657" s="1261"/>
      <c r="D657" s="1262"/>
      <c r="E657" s="1261" t="s">
        <v>185</v>
      </c>
      <c r="F657" s="1261"/>
      <c r="G657" s="1263"/>
      <c r="H657" s="165" t="s">
        <v>12</v>
      </c>
      <c r="I657" s="836"/>
      <c r="J657" s="836"/>
      <c r="K657" s="837"/>
      <c r="L657" s="837">
        <f t="shared" ca="1" si="276"/>
        <v>0</v>
      </c>
      <c r="M657" s="837">
        <f t="shared" si="276"/>
        <v>0</v>
      </c>
      <c r="N657" s="837">
        <f t="shared" si="276"/>
        <v>0</v>
      </c>
      <c r="O657" s="837">
        <f t="shared" ca="1" si="274"/>
        <v>0</v>
      </c>
      <c r="P657" s="837">
        <f t="shared" si="275"/>
        <v>0</v>
      </c>
      <c r="Q657" s="1264"/>
      <c r="R657" s="1264"/>
      <c r="S657" s="1264"/>
      <c r="T657" s="1264"/>
      <c r="U657" s="1264"/>
      <c r="V657" s="1264"/>
      <c r="W657" s="1264"/>
      <c r="X657" s="1264"/>
      <c r="Y657" s="1264"/>
      <c r="Z657" s="1264"/>
    </row>
    <row r="658" spans="1:26" ht="18.75" hidden="1">
      <c r="A658" s="1259"/>
      <c r="B658" s="1242"/>
      <c r="C658" s="1243"/>
      <c r="D658" s="1266" t="s">
        <v>20</v>
      </c>
      <c r="E658" s="1243"/>
      <c r="F658" s="1243"/>
      <c r="G658" s="963"/>
      <c r="H658" s="778" t="s">
        <v>12</v>
      </c>
      <c r="I658" s="944"/>
      <c r="J658" s="944"/>
      <c r="K658" s="945"/>
      <c r="L658" s="831">
        <f t="shared" ref="L658:N658" ca="1" si="277">L659+L660</f>
        <v>0</v>
      </c>
      <c r="M658" s="831">
        <f t="shared" si="277"/>
        <v>0</v>
      </c>
      <c r="N658" s="831">
        <f t="shared" si="277"/>
        <v>0</v>
      </c>
      <c r="O658" s="831">
        <f t="shared" ca="1" si="274"/>
        <v>0</v>
      </c>
      <c r="P658" s="831">
        <f t="shared" si="275"/>
        <v>0</v>
      </c>
      <c r="Q658" s="1244"/>
      <c r="R658" s="1244"/>
      <c r="S658" s="1244"/>
      <c r="T658" s="1244"/>
      <c r="U658" s="1244"/>
      <c r="V658" s="1244"/>
      <c r="W658" s="1244"/>
      <c r="X658" s="1244"/>
      <c r="Y658" s="1244"/>
      <c r="Z658" s="1244"/>
    </row>
    <row r="659" spans="1:26" ht="18.75" hidden="1">
      <c r="A659" s="1260"/>
      <c r="B659" s="1265"/>
      <c r="C659" s="1261"/>
      <c r="D659" s="1262"/>
      <c r="E659" s="1261" t="s">
        <v>184</v>
      </c>
      <c r="F659" s="1261"/>
      <c r="G659" s="1263"/>
      <c r="H659" s="165" t="s">
        <v>12</v>
      </c>
      <c r="I659" s="836"/>
      <c r="J659" s="836"/>
      <c r="K659" s="837"/>
      <c r="L659" s="837">
        <v>0</v>
      </c>
      <c r="M659" s="837">
        <v>0</v>
      </c>
      <c r="N659" s="837">
        <v>0</v>
      </c>
      <c r="O659" s="837">
        <f t="shared" si="274"/>
        <v>0</v>
      </c>
      <c r="P659" s="837">
        <f t="shared" si="275"/>
        <v>0</v>
      </c>
      <c r="Q659" s="1264"/>
      <c r="R659" s="1264"/>
      <c r="S659" s="1264"/>
      <c r="T659" s="1264"/>
      <c r="U659" s="1264"/>
      <c r="V659" s="1264"/>
      <c r="W659" s="1264"/>
      <c r="X659" s="1264"/>
      <c r="Y659" s="1264"/>
      <c r="Z659" s="1264"/>
    </row>
    <row r="660" spans="1:26" ht="18.75" hidden="1">
      <c r="A660" s="1260"/>
      <c r="B660" s="1265"/>
      <c r="C660" s="1261"/>
      <c r="D660" s="1262"/>
      <c r="E660" s="1261" t="s">
        <v>185</v>
      </c>
      <c r="F660" s="1261"/>
      <c r="G660" s="1263"/>
      <c r="H660" s="165" t="s">
        <v>12</v>
      </c>
      <c r="I660" s="836"/>
      <c r="J660" s="836"/>
      <c r="K660" s="837"/>
      <c r="L660" s="837">
        <f ca="1">IFERROR(__xludf.DUMMYFUNCTION("IMPORTRANGE(""https://docs.google.com/spreadsheets/d/1QqKyyYR6Q21VydFLVH3TRQUabQu_ym0Zz7PgGX0-kHA/edit?usp=sharing"",""แผน!HV14"")"),0)</f>
        <v>0</v>
      </c>
      <c r="M660" s="837">
        <v>0</v>
      </c>
      <c r="N660" s="837">
        <f>N661+N662+N663+N664</f>
        <v>0</v>
      </c>
      <c r="O660" s="837">
        <f t="shared" ca="1" si="274"/>
        <v>0</v>
      </c>
      <c r="P660" s="837">
        <f t="shared" si="275"/>
        <v>0</v>
      </c>
      <c r="Q660" s="1264"/>
      <c r="R660" s="1264"/>
      <c r="S660" s="1264"/>
      <c r="T660" s="1264"/>
      <c r="U660" s="1264"/>
      <c r="V660" s="1264"/>
      <c r="W660" s="1264"/>
      <c r="X660" s="1264"/>
      <c r="Y660" s="1264"/>
      <c r="Z660" s="1264"/>
    </row>
    <row r="661" spans="1:26" ht="18.75" hidden="1">
      <c r="A661" s="1241"/>
      <c r="B661" s="1242"/>
      <c r="C661" s="1243"/>
      <c r="D661" s="1243"/>
      <c r="E661" s="1243"/>
      <c r="F661" s="1243" t="s">
        <v>186</v>
      </c>
      <c r="G661" s="963"/>
      <c r="H661" s="778" t="s">
        <v>12</v>
      </c>
      <c r="I661" s="830"/>
      <c r="J661" s="830"/>
      <c r="K661" s="831"/>
      <c r="L661" s="831"/>
      <c r="M661" s="831"/>
      <c r="N661" s="1031">
        <v>0</v>
      </c>
      <c r="O661" s="831"/>
      <c r="P661" s="831"/>
      <c r="Q661" s="1244"/>
      <c r="R661" s="1244"/>
      <c r="S661" s="1244"/>
      <c r="T661" s="1244"/>
      <c r="U661" s="1244"/>
      <c r="V661" s="1244"/>
      <c r="W661" s="1244"/>
      <c r="X661" s="1244"/>
      <c r="Y661" s="1244"/>
      <c r="Z661" s="1244"/>
    </row>
    <row r="662" spans="1:26" ht="18.75" hidden="1">
      <c r="A662" s="1241"/>
      <c r="B662" s="1242"/>
      <c r="C662" s="1243"/>
      <c r="D662" s="1243"/>
      <c r="E662" s="1243"/>
      <c r="F662" s="1243" t="s">
        <v>187</v>
      </c>
      <c r="G662" s="963"/>
      <c r="H662" s="778" t="s">
        <v>12</v>
      </c>
      <c r="I662" s="830"/>
      <c r="J662" s="830"/>
      <c r="K662" s="831"/>
      <c r="L662" s="831"/>
      <c r="M662" s="831"/>
      <c r="N662" s="1031">
        <v>0</v>
      </c>
      <c r="O662" s="831"/>
      <c r="P662" s="831"/>
      <c r="Q662" s="1244"/>
      <c r="R662" s="1244"/>
      <c r="S662" s="1244"/>
      <c r="T662" s="1244"/>
      <c r="U662" s="1244"/>
      <c r="V662" s="1244"/>
      <c r="W662" s="1244"/>
      <c r="X662" s="1244"/>
      <c r="Y662" s="1244"/>
      <c r="Z662" s="1244"/>
    </row>
    <row r="663" spans="1:26" ht="18.75" hidden="1">
      <c r="A663" s="1241"/>
      <c r="B663" s="1242"/>
      <c r="C663" s="1242"/>
      <c r="D663" s="1243"/>
      <c r="E663" s="1243"/>
      <c r="F663" s="1243" t="s">
        <v>188</v>
      </c>
      <c r="G663" s="963"/>
      <c r="H663" s="778" t="s">
        <v>12</v>
      </c>
      <c r="I663" s="830"/>
      <c r="J663" s="830"/>
      <c r="K663" s="831"/>
      <c r="L663" s="831"/>
      <c r="M663" s="831"/>
      <c r="N663" s="1031">
        <v>0</v>
      </c>
      <c r="O663" s="831"/>
      <c r="P663" s="831"/>
      <c r="Q663" s="1244"/>
      <c r="R663" s="1244"/>
      <c r="S663" s="1244"/>
      <c r="T663" s="1244"/>
      <c r="U663" s="1244"/>
      <c r="V663" s="1244"/>
      <c r="W663" s="1244"/>
      <c r="X663" s="1244"/>
      <c r="Y663" s="1244"/>
      <c r="Z663" s="1244"/>
    </row>
    <row r="664" spans="1:26" ht="18.75" hidden="1">
      <c r="A664" s="1241"/>
      <c r="B664" s="1242"/>
      <c r="C664" s="1242"/>
      <c r="D664" s="1242"/>
      <c r="E664" s="1243"/>
      <c r="F664" s="1243" t="s">
        <v>189</v>
      </c>
      <c r="G664" s="963"/>
      <c r="H664" s="778" t="s">
        <v>12</v>
      </c>
      <c r="I664" s="830"/>
      <c r="J664" s="830"/>
      <c r="K664" s="831"/>
      <c r="L664" s="831"/>
      <c r="M664" s="831"/>
      <c r="N664" s="1031">
        <v>0</v>
      </c>
      <c r="O664" s="831"/>
      <c r="P664" s="831"/>
      <c r="Q664" s="1244"/>
      <c r="R664" s="1244"/>
      <c r="S664" s="1244"/>
      <c r="T664" s="1244"/>
      <c r="U664" s="1244"/>
      <c r="V664" s="1244"/>
      <c r="W664" s="1244"/>
      <c r="X664" s="1244"/>
      <c r="Y664" s="1244"/>
      <c r="Z664" s="1244"/>
    </row>
    <row r="665" spans="1:26" ht="18.75" hidden="1">
      <c r="A665" s="1259"/>
      <c r="B665" s="1242"/>
      <c r="C665" s="1242"/>
      <c r="D665" s="1266" t="s">
        <v>21</v>
      </c>
      <c r="E665" s="1243"/>
      <c r="F665" s="1243"/>
      <c r="G665" s="963"/>
      <c r="H665" s="168" t="s">
        <v>12</v>
      </c>
      <c r="I665" s="944"/>
      <c r="J665" s="944"/>
      <c r="K665" s="945"/>
      <c r="L665" s="831">
        <f t="shared" ref="L665:N665" si="278">L666+L667</f>
        <v>0</v>
      </c>
      <c r="M665" s="831">
        <f t="shared" si="278"/>
        <v>0</v>
      </c>
      <c r="N665" s="831">
        <f t="shared" si="278"/>
        <v>0</v>
      </c>
      <c r="O665" s="831">
        <f t="shared" ref="O665:O667" si="279">IF(L665&gt;0,N665*100/L665,0)</f>
        <v>0</v>
      </c>
      <c r="P665" s="831">
        <f t="shared" ref="P665:P667" si="280">IF(M665&gt;0,N665*100/M665,0)</f>
        <v>0</v>
      </c>
      <c r="Q665" s="1244"/>
      <c r="R665" s="1244"/>
      <c r="S665" s="1244"/>
      <c r="T665" s="1244"/>
      <c r="U665" s="1244"/>
      <c r="V665" s="1244"/>
      <c r="W665" s="1244"/>
      <c r="X665" s="1244"/>
      <c r="Y665" s="1244"/>
      <c r="Z665" s="1244"/>
    </row>
    <row r="666" spans="1:26" ht="18.75" hidden="1">
      <c r="A666" s="1260"/>
      <c r="B666" s="1265"/>
      <c r="C666" s="1265"/>
      <c r="D666" s="1265"/>
      <c r="E666" s="1261" t="s">
        <v>18</v>
      </c>
      <c r="F666" s="1261"/>
      <c r="G666" s="1263"/>
      <c r="H666" s="165" t="s">
        <v>12</v>
      </c>
      <c r="I666" s="947"/>
      <c r="J666" s="947"/>
      <c r="K666" s="948"/>
      <c r="L666" s="837">
        <v>0</v>
      </c>
      <c r="M666" s="837">
        <v>0</v>
      </c>
      <c r="N666" s="837">
        <v>0</v>
      </c>
      <c r="O666" s="837">
        <f t="shared" si="279"/>
        <v>0</v>
      </c>
      <c r="P666" s="837">
        <f t="shared" si="280"/>
        <v>0</v>
      </c>
      <c r="Q666" s="1264"/>
      <c r="R666" s="1264"/>
      <c r="S666" s="1264"/>
      <c r="T666" s="1264"/>
      <c r="U666" s="1264"/>
      <c r="V666" s="1264"/>
      <c r="W666" s="1264"/>
      <c r="X666" s="1264"/>
      <c r="Y666" s="1264"/>
      <c r="Z666" s="1264"/>
    </row>
    <row r="667" spans="1:26" ht="18.75" hidden="1">
      <c r="A667" s="1260"/>
      <c r="B667" s="1265"/>
      <c r="C667" s="1265"/>
      <c r="D667" s="1265"/>
      <c r="E667" s="1261" t="s">
        <v>19</v>
      </c>
      <c r="F667" s="1261"/>
      <c r="G667" s="1263"/>
      <c r="H667" s="169" t="s">
        <v>12</v>
      </c>
      <c r="I667" s="947"/>
      <c r="J667" s="947"/>
      <c r="K667" s="948"/>
      <c r="L667" s="837">
        <v>0</v>
      </c>
      <c r="M667" s="837">
        <v>0</v>
      </c>
      <c r="N667" s="837">
        <v>0</v>
      </c>
      <c r="O667" s="837">
        <f t="shared" si="279"/>
        <v>0</v>
      </c>
      <c r="P667" s="837">
        <f t="shared" si="280"/>
        <v>0</v>
      </c>
      <c r="Q667" s="1264"/>
      <c r="R667" s="1264"/>
      <c r="S667" s="1264"/>
      <c r="T667" s="1264"/>
      <c r="U667" s="1264"/>
      <c r="V667" s="1264"/>
      <c r="W667" s="1264"/>
      <c r="X667" s="1264"/>
      <c r="Y667" s="1264"/>
      <c r="Z667" s="1264"/>
    </row>
    <row r="668" spans="1:26" ht="19.5" hidden="1">
      <c r="A668" s="1267"/>
      <c r="B668" s="1268"/>
      <c r="C668" s="1242" t="s">
        <v>16</v>
      </c>
      <c r="D668" s="1269" t="s">
        <v>38</v>
      </c>
      <c r="E668" s="1271"/>
      <c r="F668" s="1271"/>
      <c r="G668" s="1272"/>
      <c r="H668" s="954"/>
      <c r="I668" s="944"/>
      <c r="J668" s="944"/>
      <c r="K668" s="945"/>
      <c r="L668" s="945"/>
      <c r="M668" s="945"/>
      <c r="N668" s="945"/>
      <c r="O668" s="945"/>
      <c r="P668" s="945"/>
      <c r="Q668" s="1244"/>
      <c r="R668" s="1244"/>
      <c r="S668" s="1244"/>
      <c r="T668" s="1244"/>
      <c r="U668" s="1244"/>
      <c r="V668" s="1244"/>
      <c r="W668" s="1244"/>
      <c r="X668" s="1244"/>
      <c r="Y668" s="1244"/>
      <c r="Z668" s="1244"/>
    </row>
    <row r="669" spans="1:26" ht="19.5" hidden="1">
      <c r="A669" s="1267"/>
      <c r="B669" s="1268"/>
      <c r="C669" s="1268"/>
      <c r="D669" s="1268" t="s">
        <v>280</v>
      </c>
      <c r="E669" s="961"/>
      <c r="F669" s="961"/>
      <c r="G669" s="954"/>
      <c r="H669" s="733" t="s">
        <v>46</v>
      </c>
      <c r="I669" s="966">
        <f ca="1">IFERROR(__xludf.DUMMYFUNCTION("IMPORTRANGE(""https://docs.google.com/spreadsheets/d/1QqKyyYR6Q21VydFLVH3TRQUabQu_ym0Zz7PgGX0-kHA/edit?usp=sharing"",""แผน!IA14"")"),0)</f>
        <v>0</v>
      </c>
      <c r="J669" s="966">
        <f>J675</f>
        <v>0</v>
      </c>
      <c r="K669" s="967">
        <f ca="1">IF(I669&gt;0,J669*100/I669,0)</f>
        <v>0</v>
      </c>
      <c r="L669" s="945"/>
      <c r="M669" s="945"/>
      <c r="N669" s="945"/>
      <c r="O669" s="945"/>
      <c r="P669" s="945"/>
      <c r="Q669" s="1244"/>
      <c r="R669" s="1244"/>
      <c r="S669" s="1244"/>
      <c r="T669" s="1244"/>
      <c r="U669" s="1244"/>
      <c r="V669" s="1244"/>
      <c r="W669" s="1244"/>
      <c r="X669" s="1244"/>
      <c r="Y669" s="1244"/>
      <c r="Z669" s="1244"/>
    </row>
    <row r="670" spans="1:26" ht="18.75" hidden="1">
      <c r="A670" s="1267"/>
      <c r="B670" s="1268"/>
      <c r="C670" s="1268"/>
      <c r="D670" s="1268"/>
      <c r="E670" s="961" t="s">
        <v>281</v>
      </c>
      <c r="F670" s="961"/>
      <c r="G670" s="954"/>
      <c r="H670" s="730" t="s">
        <v>66</v>
      </c>
      <c r="I670" s="830">
        <f ca="1">IFERROR(__xludf.DUMMYFUNCTION("IMPORTRANGE(""https://docs.google.com/spreadsheets/d/1QqKyyYR6Q21VydFLVH3TRQUabQu_ym0Zz7PgGX0-kHA/edit?usp=sharing"",""แผน!HZ14"")"),0)</f>
        <v>0</v>
      </c>
      <c r="J670" s="959">
        <v>0</v>
      </c>
      <c r="K670" s="831">
        <f ca="1">IF(I670&gt;0,(J670*100)/I670,0)</f>
        <v>0</v>
      </c>
      <c r="L670" s="945"/>
      <c r="M670" s="945"/>
      <c r="N670" s="945"/>
      <c r="O670" s="945"/>
      <c r="P670" s="945"/>
      <c r="Q670" s="1244"/>
      <c r="R670" s="1244"/>
      <c r="S670" s="1244"/>
      <c r="T670" s="1244"/>
      <c r="U670" s="1244"/>
      <c r="V670" s="1244"/>
      <c r="W670" s="1244"/>
      <c r="X670" s="1244"/>
      <c r="Y670" s="1244"/>
      <c r="Z670" s="1244"/>
    </row>
    <row r="671" spans="1:26" ht="18.75" hidden="1">
      <c r="A671" s="1267"/>
      <c r="B671" s="1268"/>
      <c r="C671" s="1268"/>
      <c r="D671" s="1268"/>
      <c r="E671" s="961" t="s">
        <v>282</v>
      </c>
      <c r="F671" s="961"/>
      <c r="G671" s="954"/>
      <c r="H671" s="730" t="s">
        <v>66</v>
      </c>
      <c r="I671" s="830">
        <f ca="1">IFERROR(__xludf.DUMMYFUNCTION("IMPORTRANGE(""https://docs.google.com/spreadsheets/d/1QqKyyYR6Q21VydFLVH3TRQUabQu_ym0Zz7PgGX0-kHA/edit?usp=sharing"",""แผน!HZ14"")"),0)</f>
        <v>0</v>
      </c>
      <c r="J671" s="959">
        <v>0</v>
      </c>
      <c r="K671" s="831">
        <f ca="1">IF(I$671&gt;0,J671*100/I$671,0)</f>
        <v>0</v>
      </c>
      <c r="L671" s="945"/>
      <c r="M671" s="945"/>
      <c r="N671" s="945"/>
      <c r="O671" s="945"/>
      <c r="P671" s="945"/>
      <c r="Q671" s="1244"/>
      <c r="R671" s="1244"/>
      <c r="S671" s="1244"/>
      <c r="T671" s="1244"/>
      <c r="U671" s="1244"/>
      <c r="V671" s="1244"/>
      <c r="W671" s="1244"/>
      <c r="X671" s="1244"/>
      <c r="Y671" s="1244"/>
      <c r="Z671" s="1244"/>
    </row>
    <row r="672" spans="1:26" ht="18.75" hidden="1">
      <c r="A672" s="1267"/>
      <c r="B672" s="1268"/>
      <c r="C672" s="1268"/>
      <c r="D672" s="1268"/>
      <c r="E672" s="961" t="s">
        <v>283</v>
      </c>
      <c r="F672" s="961"/>
      <c r="G672" s="954"/>
      <c r="H672" s="730" t="s">
        <v>46</v>
      </c>
      <c r="I672" s="830"/>
      <c r="J672" s="959">
        <v>0</v>
      </c>
      <c r="K672" s="831">
        <f t="shared" ref="K672:K675" ca="1" si="281">IF(I$669&gt;0,J672*100/I$669,0)</f>
        <v>0</v>
      </c>
      <c r="L672" s="945"/>
      <c r="M672" s="945"/>
      <c r="N672" s="945"/>
      <c r="O672" s="945"/>
      <c r="P672" s="945"/>
      <c r="Q672" s="1244"/>
      <c r="R672" s="1244"/>
      <c r="S672" s="1244"/>
      <c r="T672" s="1244"/>
      <c r="U672" s="1244"/>
      <c r="V672" s="1244"/>
      <c r="W672" s="1244"/>
      <c r="X672" s="1244"/>
      <c r="Y672" s="1244"/>
      <c r="Z672" s="1244"/>
    </row>
    <row r="673" spans="1:26" ht="18.75" hidden="1">
      <c r="A673" s="1267"/>
      <c r="B673" s="1268"/>
      <c r="C673" s="1268"/>
      <c r="D673" s="1268"/>
      <c r="E673" s="961" t="s">
        <v>284</v>
      </c>
      <c r="F673" s="961"/>
      <c r="G673" s="954"/>
      <c r="H673" s="730" t="s">
        <v>46</v>
      </c>
      <c r="I673" s="830"/>
      <c r="J673" s="959">
        <v>0</v>
      </c>
      <c r="K673" s="831">
        <f t="shared" ca="1" si="281"/>
        <v>0</v>
      </c>
      <c r="L673" s="945"/>
      <c r="M673" s="945"/>
      <c r="N673" s="945"/>
      <c r="O673" s="945"/>
      <c r="P673" s="945"/>
      <c r="Q673" s="1244"/>
      <c r="R673" s="1244"/>
      <c r="S673" s="1244"/>
      <c r="T673" s="1244"/>
      <c r="U673" s="1244"/>
      <c r="V673" s="1244"/>
      <c r="W673" s="1244"/>
      <c r="X673" s="1244"/>
      <c r="Y673" s="1244"/>
      <c r="Z673" s="1244"/>
    </row>
    <row r="674" spans="1:26" ht="18.75" hidden="1">
      <c r="A674" s="1267"/>
      <c r="B674" s="1268"/>
      <c r="C674" s="1268"/>
      <c r="D674" s="1268"/>
      <c r="E674" s="961" t="s">
        <v>285</v>
      </c>
      <c r="F674" s="961"/>
      <c r="G674" s="954"/>
      <c r="H674" s="730" t="s">
        <v>46</v>
      </c>
      <c r="I674" s="830"/>
      <c r="J674" s="959">
        <v>0</v>
      </c>
      <c r="K674" s="831">
        <f t="shared" ca="1" si="281"/>
        <v>0</v>
      </c>
      <c r="L674" s="945"/>
      <c r="M674" s="945"/>
      <c r="N674" s="945"/>
      <c r="O674" s="945"/>
      <c r="P674" s="945"/>
      <c r="Q674" s="1244"/>
      <c r="R674" s="1244"/>
      <c r="S674" s="1244"/>
      <c r="T674" s="1244"/>
      <c r="U674" s="1244"/>
      <c r="V674" s="1244"/>
      <c r="W674" s="1244"/>
      <c r="X674" s="1244"/>
      <c r="Y674" s="1244"/>
      <c r="Z674" s="1244"/>
    </row>
    <row r="675" spans="1:26" ht="19.5" hidden="1">
      <c r="A675" s="1267"/>
      <c r="B675" s="1268"/>
      <c r="C675" s="1268"/>
      <c r="D675" s="1268"/>
      <c r="E675" s="961" t="s">
        <v>286</v>
      </c>
      <c r="F675" s="961"/>
      <c r="G675" s="954"/>
      <c r="H675" s="730" t="s">
        <v>46</v>
      </c>
      <c r="I675" s="830"/>
      <c r="J675" s="966">
        <f>J676+J677</f>
        <v>0</v>
      </c>
      <c r="K675" s="967">
        <f t="shared" ca="1" si="281"/>
        <v>0</v>
      </c>
      <c r="L675" s="945"/>
      <c r="M675" s="945"/>
      <c r="N675" s="945"/>
      <c r="O675" s="945"/>
      <c r="P675" s="945"/>
      <c r="Q675" s="1244"/>
      <c r="R675" s="1244"/>
      <c r="S675" s="1244"/>
      <c r="T675" s="1244"/>
      <c r="U675" s="1244"/>
      <c r="V675" s="1244"/>
      <c r="W675" s="1244"/>
      <c r="X675" s="1244"/>
      <c r="Y675" s="1244"/>
      <c r="Z675" s="1244"/>
    </row>
    <row r="676" spans="1:26" ht="18.75" hidden="1">
      <c r="A676" s="1267"/>
      <c r="B676" s="1268"/>
      <c r="C676" s="1268"/>
      <c r="D676" s="1268"/>
      <c r="E676" s="961"/>
      <c r="F676" s="961" t="s">
        <v>287</v>
      </c>
      <c r="G676" s="954"/>
      <c r="H676" s="730" t="s">
        <v>46</v>
      </c>
      <c r="I676" s="830"/>
      <c r="J676" s="959">
        <v>0</v>
      </c>
      <c r="K676" s="831"/>
      <c r="L676" s="945"/>
      <c r="M676" s="945"/>
      <c r="N676" s="945"/>
      <c r="O676" s="945"/>
      <c r="P676" s="945"/>
      <c r="Q676" s="1244"/>
      <c r="R676" s="1244"/>
      <c r="S676" s="1244"/>
      <c r="T676" s="1244"/>
      <c r="U676" s="1244"/>
      <c r="V676" s="1244"/>
      <c r="W676" s="1244"/>
      <c r="X676" s="1244"/>
      <c r="Y676" s="1244"/>
      <c r="Z676" s="1244"/>
    </row>
    <row r="677" spans="1:26" ht="18.75" hidden="1">
      <c r="A677" s="1267"/>
      <c r="B677" s="1268"/>
      <c r="C677" s="1268"/>
      <c r="D677" s="1268"/>
      <c r="E677" s="961"/>
      <c r="F677" s="961" t="s">
        <v>288</v>
      </c>
      <c r="G677" s="954"/>
      <c r="H677" s="730" t="s">
        <v>46</v>
      </c>
      <c r="I677" s="830"/>
      <c r="J677" s="959">
        <v>0</v>
      </c>
      <c r="K677" s="831"/>
      <c r="L677" s="945"/>
      <c r="M677" s="945"/>
      <c r="N677" s="945"/>
      <c r="O677" s="945"/>
      <c r="P677" s="945"/>
      <c r="Q677" s="1244"/>
      <c r="R677" s="1244"/>
      <c r="S677" s="1244"/>
      <c r="T677" s="1244"/>
      <c r="U677" s="1244"/>
      <c r="V677" s="1244"/>
      <c r="W677" s="1244"/>
      <c r="X677" s="1244"/>
      <c r="Y677" s="1244"/>
      <c r="Z677" s="1244"/>
    </row>
    <row r="678" spans="1:26" ht="19.5" hidden="1">
      <c r="A678" s="1267"/>
      <c r="B678" s="1268"/>
      <c r="C678" s="1268"/>
      <c r="D678" s="1268" t="s">
        <v>289</v>
      </c>
      <c r="E678" s="961"/>
      <c r="F678" s="961"/>
      <c r="G678" s="954"/>
      <c r="H678" s="730" t="s">
        <v>46</v>
      </c>
      <c r="I678" s="966">
        <f ca="1">IFERROR(__xludf.DUMMYFUNCTION("IMPORTRANGE(""https://docs.google.com/spreadsheets/d/1QqKyyYR6Q21VydFLVH3TRQUabQu_ym0Zz7PgGX0-kHA/edit?usp=sharing"",""แผน!IB14"")"),0)</f>
        <v>0</v>
      </c>
      <c r="J678" s="966">
        <f>J679</f>
        <v>0</v>
      </c>
      <c r="K678" s="967">
        <f ca="1">IF(I678&gt;0,J678*100/I678,0)</f>
        <v>0</v>
      </c>
      <c r="L678" s="945"/>
      <c r="M678" s="945"/>
      <c r="N678" s="945"/>
      <c r="O678" s="945"/>
      <c r="P678" s="945"/>
      <c r="Q678" s="1244"/>
      <c r="R678" s="1244"/>
      <c r="S678" s="1244"/>
      <c r="T678" s="1244"/>
      <c r="U678" s="1244"/>
      <c r="V678" s="1244"/>
      <c r="W678" s="1244"/>
      <c r="X678" s="1244"/>
      <c r="Y678" s="1244"/>
      <c r="Z678" s="1244"/>
    </row>
    <row r="679" spans="1:26" ht="18.75" hidden="1">
      <c r="A679" s="1267"/>
      <c r="B679" s="1268"/>
      <c r="C679" s="1268"/>
      <c r="D679" s="1268"/>
      <c r="E679" s="961" t="s">
        <v>290</v>
      </c>
      <c r="F679" s="961"/>
      <c r="G679" s="954"/>
      <c r="H679" s="730" t="s">
        <v>46</v>
      </c>
      <c r="I679" s="830"/>
      <c r="J679" s="830">
        <f>J680+J681</f>
        <v>0</v>
      </c>
      <c r="K679" s="831"/>
      <c r="L679" s="945"/>
      <c r="M679" s="945"/>
      <c r="N679" s="945"/>
      <c r="O679" s="945"/>
      <c r="P679" s="945"/>
      <c r="Q679" s="1244"/>
      <c r="R679" s="1244"/>
      <c r="S679" s="1244"/>
      <c r="T679" s="1244"/>
      <c r="U679" s="1244"/>
      <c r="V679" s="1244"/>
      <c r="W679" s="1244"/>
      <c r="X679" s="1244"/>
      <c r="Y679" s="1244"/>
      <c r="Z679" s="1244"/>
    </row>
    <row r="680" spans="1:26" ht="18.75" hidden="1">
      <c r="A680" s="1267"/>
      <c r="B680" s="1268"/>
      <c r="C680" s="1268"/>
      <c r="D680" s="1268"/>
      <c r="E680" s="961"/>
      <c r="F680" s="961" t="s">
        <v>287</v>
      </c>
      <c r="G680" s="954"/>
      <c r="H680" s="730" t="s">
        <v>46</v>
      </c>
      <c r="I680" s="830"/>
      <c r="J680" s="959">
        <v>0</v>
      </c>
      <c r="K680" s="831"/>
      <c r="L680" s="945"/>
      <c r="M680" s="945"/>
      <c r="N680" s="945"/>
      <c r="O680" s="945"/>
      <c r="P680" s="945"/>
      <c r="Q680" s="1244"/>
      <c r="R680" s="1244"/>
      <c r="S680" s="1244"/>
      <c r="T680" s="1244"/>
      <c r="U680" s="1244"/>
      <c r="V680" s="1244"/>
      <c r="W680" s="1244"/>
      <c r="X680" s="1244"/>
      <c r="Y680" s="1244"/>
      <c r="Z680" s="1244"/>
    </row>
    <row r="681" spans="1:26" ht="18.75" hidden="1">
      <c r="A681" s="1267"/>
      <c r="B681" s="1268"/>
      <c r="C681" s="1268"/>
      <c r="D681" s="1268"/>
      <c r="E681" s="961"/>
      <c r="F681" s="961" t="s">
        <v>288</v>
      </c>
      <c r="G681" s="954"/>
      <c r="H681" s="730" t="s">
        <v>46</v>
      </c>
      <c r="I681" s="830"/>
      <c r="J681" s="959">
        <v>0</v>
      </c>
      <c r="K681" s="831"/>
      <c r="L681" s="945"/>
      <c r="M681" s="945"/>
      <c r="N681" s="945"/>
      <c r="O681" s="945"/>
      <c r="P681" s="945"/>
      <c r="Q681" s="1244"/>
      <c r="R681" s="1244"/>
      <c r="S681" s="1244"/>
      <c r="T681" s="1244"/>
      <c r="U681" s="1244"/>
      <c r="V681" s="1244"/>
      <c r="W681" s="1244"/>
      <c r="X681" s="1244"/>
      <c r="Y681" s="1244"/>
      <c r="Z681" s="1244"/>
    </row>
    <row r="682" spans="1:26" ht="18.75" hidden="1">
      <c r="A682" s="1267"/>
      <c r="B682" s="1268"/>
      <c r="C682" s="1268"/>
      <c r="D682" s="1268"/>
      <c r="E682" s="961" t="s">
        <v>291</v>
      </c>
      <c r="F682" s="961"/>
      <c r="G682" s="954"/>
      <c r="H682" s="730" t="s">
        <v>46</v>
      </c>
      <c r="I682" s="830"/>
      <c r="J682" s="959">
        <v>0</v>
      </c>
      <c r="K682" s="831"/>
      <c r="L682" s="945"/>
      <c r="M682" s="945"/>
      <c r="N682" s="945"/>
      <c r="O682" s="945"/>
      <c r="P682" s="945"/>
      <c r="Q682" s="1244"/>
      <c r="R682" s="1244"/>
      <c r="S682" s="1244"/>
      <c r="T682" s="1244"/>
      <c r="U682" s="1244"/>
      <c r="V682" s="1244"/>
      <c r="W682" s="1244"/>
      <c r="X682" s="1244"/>
      <c r="Y682" s="1244"/>
      <c r="Z682" s="1244"/>
    </row>
    <row r="683" spans="1:26" ht="18.75" hidden="1">
      <c r="A683" s="1267"/>
      <c r="B683" s="1268"/>
      <c r="C683" s="1268"/>
      <c r="D683" s="1268"/>
      <c r="E683" s="961"/>
      <c r="F683" s="961" t="s">
        <v>292</v>
      </c>
      <c r="G683" s="954"/>
      <c r="H683" s="730" t="s">
        <v>46</v>
      </c>
      <c r="I683" s="830"/>
      <c r="J683" s="959">
        <v>0</v>
      </c>
      <c r="K683" s="831"/>
      <c r="L683" s="945"/>
      <c r="M683" s="945"/>
      <c r="N683" s="945"/>
      <c r="O683" s="945"/>
      <c r="P683" s="945"/>
      <c r="Q683" s="1244"/>
      <c r="R683" s="1244"/>
      <c r="S683" s="1244"/>
      <c r="T683" s="1244"/>
      <c r="U683" s="1244"/>
      <c r="V683" s="1244"/>
      <c r="W683" s="1244"/>
      <c r="X683" s="1244"/>
      <c r="Y683" s="1244"/>
      <c r="Z683" s="1244"/>
    </row>
    <row r="684" spans="1:26" ht="19.5">
      <c r="A684" s="1373"/>
      <c r="B684" s="1374" t="s">
        <v>293</v>
      </c>
      <c r="C684" s="1373"/>
      <c r="D684" s="1373"/>
      <c r="E684" s="1373"/>
      <c r="F684" s="1373"/>
      <c r="G684" s="1375"/>
      <c r="H684" s="1375"/>
      <c r="I684" s="1376"/>
      <c r="J684" s="1376"/>
      <c r="K684" s="1377"/>
      <c r="L684" s="1377"/>
      <c r="M684" s="1377"/>
      <c r="N684" s="1377"/>
      <c r="O684" s="1377"/>
      <c r="P684" s="1377"/>
      <c r="Q684" s="1244"/>
      <c r="R684" s="1244"/>
      <c r="S684" s="1244"/>
      <c r="T684" s="1244"/>
      <c r="U684" s="1244"/>
      <c r="V684" s="1244"/>
      <c r="W684" s="1244"/>
      <c r="X684" s="1244"/>
      <c r="Y684" s="1244"/>
      <c r="Z684" s="1244"/>
    </row>
    <row r="685" spans="1:26" ht="19.5">
      <c r="A685" s="1259"/>
      <c r="B685" s="1243"/>
      <c r="C685" s="1243" t="s">
        <v>16</v>
      </c>
      <c r="D685" s="1507" t="s">
        <v>17</v>
      </c>
      <c r="E685" s="1485"/>
      <c r="F685" s="1485"/>
      <c r="G685" s="963"/>
      <c r="H685" s="563" t="s">
        <v>12</v>
      </c>
      <c r="I685" s="830"/>
      <c r="J685" s="830"/>
      <c r="K685" s="831"/>
      <c r="L685" s="967">
        <f t="shared" ref="L685:N685" ca="1" si="282">L686+L687</f>
        <v>4580</v>
      </c>
      <c r="M685" s="967">
        <f t="shared" si="282"/>
        <v>0</v>
      </c>
      <c r="N685" s="967">
        <f t="shared" si="282"/>
        <v>0</v>
      </c>
      <c r="O685" s="967">
        <f t="shared" ref="O685:O688" ca="1" si="283">IF(L685&gt;0,N685*100/L685,0)</f>
        <v>0</v>
      </c>
      <c r="P685" s="967">
        <f t="shared" ref="P685:P688" si="284">IF(M685&gt;0,N685*100/M685,0)</f>
        <v>0</v>
      </c>
      <c r="Q685" s="1244"/>
      <c r="R685" s="1244"/>
      <c r="S685" s="1244"/>
      <c r="T685" s="1244"/>
      <c r="U685" s="1244"/>
      <c r="V685" s="1244"/>
      <c r="W685" s="1244"/>
      <c r="X685" s="1244"/>
      <c r="Y685" s="1244"/>
      <c r="Z685" s="1244"/>
    </row>
    <row r="686" spans="1:26" ht="18.75" hidden="1">
      <c r="A686" s="1260"/>
      <c r="B686" s="1261"/>
      <c r="C686" s="1261"/>
      <c r="D686" s="1262"/>
      <c r="E686" s="1261" t="s">
        <v>184</v>
      </c>
      <c r="F686" s="1261"/>
      <c r="G686" s="1263"/>
      <c r="H686" s="165" t="s">
        <v>12</v>
      </c>
      <c r="I686" s="836"/>
      <c r="J686" s="836"/>
      <c r="K686" s="837"/>
      <c r="L686" s="837">
        <f t="shared" ref="L686:N687" si="285">L689+L696</f>
        <v>0</v>
      </c>
      <c r="M686" s="837">
        <f t="shared" si="285"/>
        <v>0</v>
      </c>
      <c r="N686" s="837">
        <f t="shared" si="285"/>
        <v>0</v>
      </c>
      <c r="O686" s="837">
        <f t="shared" si="283"/>
        <v>0</v>
      </c>
      <c r="P686" s="837">
        <f t="shared" si="284"/>
        <v>0</v>
      </c>
      <c r="Q686" s="1264"/>
      <c r="R686" s="1264"/>
      <c r="S686" s="1264"/>
      <c r="T686" s="1264"/>
      <c r="U686" s="1264"/>
      <c r="V686" s="1264"/>
      <c r="W686" s="1264"/>
      <c r="X686" s="1264"/>
      <c r="Y686" s="1264"/>
      <c r="Z686" s="1264"/>
    </row>
    <row r="687" spans="1:26" ht="18.75" hidden="1">
      <c r="A687" s="1260"/>
      <c r="B687" s="1265"/>
      <c r="C687" s="1261"/>
      <c r="D687" s="1262"/>
      <c r="E687" s="1261" t="s">
        <v>185</v>
      </c>
      <c r="F687" s="1261"/>
      <c r="G687" s="1263"/>
      <c r="H687" s="165" t="s">
        <v>12</v>
      </c>
      <c r="I687" s="836"/>
      <c r="J687" s="836"/>
      <c r="K687" s="837"/>
      <c r="L687" s="837">
        <f t="shared" ca="1" si="285"/>
        <v>4580</v>
      </c>
      <c r="M687" s="837">
        <f t="shared" si="285"/>
        <v>0</v>
      </c>
      <c r="N687" s="837">
        <f t="shared" si="285"/>
        <v>0</v>
      </c>
      <c r="O687" s="837">
        <f t="shared" ca="1" si="283"/>
        <v>0</v>
      </c>
      <c r="P687" s="837">
        <f t="shared" si="284"/>
        <v>0</v>
      </c>
      <c r="Q687" s="1264"/>
      <c r="R687" s="1264"/>
      <c r="S687" s="1264"/>
      <c r="T687" s="1264"/>
      <c r="U687" s="1264"/>
      <c r="V687" s="1264"/>
      <c r="W687" s="1264"/>
      <c r="X687" s="1264"/>
      <c r="Y687" s="1264"/>
      <c r="Z687" s="1264"/>
    </row>
    <row r="688" spans="1:26" ht="18.75">
      <c r="A688" s="1259"/>
      <c r="B688" s="1242"/>
      <c r="C688" s="1243"/>
      <c r="D688" s="1266" t="s">
        <v>20</v>
      </c>
      <c r="E688" s="1243"/>
      <c r="F688" s="1243"/>
      <c r="G688" s="963"/>
      <c r="H688" s="778" t="s">
        <v>12</v>
      </c>
      <c r="I688" s="944"/>
      <c r="J688" s="944"/>
      <c r="K688" s="945"/>
      <c r="L688" s="831">
        <f t="shared" ref="L688:N688" ca="1" si="286">L689+L690</f>
        <v>4580</v>
      </c>
      <c r="M688" s="831">
        <f t="shared" si="286"/>
        <v>0</v>
      </c>
      <c r="N688" s="831">
        <f t="shared" si="286"/>
        <v>0</v>
      </c>
      <c r="O688" s="831">
        <f t="shared" ca="1" si="283"/>
        <v>0</v>
      </c>
      <c r="P688" s="831">
        <f t="shared" si="284"/>
        <v>0</v>
      </c>
      <c r="Q688" s="1244"/>
      <c r="R688" s="1244"/>
      <c r="S688" s="1244"/>
      <c r="T688" s="1244"/>
      <c r="U688" s="1244"/>
      <c r="V688" s="1244"/>
      <c r="W688" s="1244"/>
      <c r="X688" s="1244"/>
      <c r="Y688" s="1244"/>
      <c r="Z688" s="1244"/>
    </row>
    <row r="689" spans="1:26" ht="18.75" hidden="1">
      <c r="A689" s="1260"/>
      <c r="B689" s="1265"/>
      <c r="C689" s="1261"/>
      <c r="D689" s="1262"/>
      <c r="E689" s="1261" t="s">
        <v>184</v>
      </c>
      <c r="F689" s="1261"/>
      <c r="G689" s="1263"/>
      <c r="H689" s="165" t="s">
        <v>12</v>
      </c>
      <c r="I689" s="836"/>
      <c r="J689" s="836"/>
      <c r="K689" s="837"/>
      <c r="L689" s="837">
        <v>0</v>
      </c>
      <c r="M689" s="837">
        <v>0</v>
      </c>
      <c r="N689" s="837">
        <v>0</v>
      </c>
      <c r="O689" s="837"/>
      <c r="P689" s="837"/>
      <c r="Q689" s="1264"/>
      <c r="R689" s="1264"/>
      <c r="S689" s="1264"/>
      <c r="T689" s="1264"/>
      <c r="U689" s="1264"/>
      <c r="V689" s="1264"/>
      <c r="W689" s="1264"/>
      <c r="X689" s="1264"/>
      <c r="Y689" s="1264"/>
      <c r="Z689" s="1264"/>
    </row>
    <row r="690" spans="1:26" ht="18.75" hidden="1">
      <c r="A690" s="1260"/>
      <c r="B690" s="1265"/>
      <c r="C690" s="1261"/>
      <c r="D690" s="1262"/>
      <c r="E690" s="1261" t="s">
        <v>185</v>
      </c>
      <c r="F690" s="1261"/>
      <c r="G690" s="1263"/>
      <c r="H690" s="165" t="s">
        <v>12</v>
      </c>
      <c r="I690" s="836"/>
      <c r="J690" s="836"/>
      <c r="K690" s="837"/>
      <c r="L690" s="837">
        <f ca="1">IFERROR(__xludf.DUMMYFUNCTION("IMPORTRANGE(""https://docs.google.com/spreadsheets/d/1QqKyyYR6Q21VydFLVH3TRQUabQu_ym0Zz7PgGX0-kHA/edit?usp=sharing"",""แผน!HW14"")"),4580)</f>
        <v>4580</v>
      </c>
      <c r="M690" s="837">
        <v>0</v>
      </c>
      <c r="N690" s="837">
        <f>N691+N692+N693+N694</f>
        <v>0</v>
      </c>
      <c r="O690" s="837">
        <f ca="1">IF(L690&gt;0,N690*100/L690,0)</f>
        <v>0</v>
      </c>
      <c r="P690" s="837">
        <f>IF(M690&gt;0,N690*100/M690,0)</f>
        <v>0</v>
      </c>
      <c r="Q690" s="1264"/>
      <c r="R690" s="1264"/>
      <c r="S690" s="1264"/>
      <c r="T690" s="1264"/>
      <c r="U690" s="1264"/>
      <c r="V690" s="1264"/>
      <c r="W690" s="1264"/>
      <c r="X690" s="1264"/>
      <c r="Y690" s="1264"/>
      <c r="Z690" s="1264"/>
    </row>
    <row r="691" spans="1:26" ht="18.75">
      <c r="A691" s="1241"/>
      <c r="B691" s="1242"/>
      <c r="C691" s="1243"/>
      <c r="D691" s="1243"/>
      <c r="E691" s="1243"/>
      <c r="F691" s="1243" t="s">
        <v>186</v>
      </c>
      <c r="G691" s="963"/>
      <c r="H691" s="778" t="s">
        <v>12</v>
      </c>
      <c r="I691" s="830"/>
      <c r="J691" s="830"/>
      <c r="K691" s="831"/>
      <c r="L691" s="831"/>
      <c r="M691" s="831"/>
      <c r="N691" s="1031">
        <v>0</v>
      </c>
      <c r="O691" s="831"/>
      <c r="P691" s="831"/>
      <c r="Q691" s="1244"/>
      <c r="R691" s="1244"/>
      <c r="S691" s="1244"/>
      <c r="T691" s="1244"/>
      <c r="U691" s="1244"/>
      <c r="V691" s="1244"/>
      <c r="W691" s="1244"/>
      <c r="X691" s="1244"/>
      <c r="Y691" s="1244"/>
      <c r="Z691" s="1244"/>
    </row>
    <row r="692" spans="1:26" ht="18.75">
      <c r="A692" s="1241"/>
      <c r="B692" s="1242"/>
      <c r="C692" s="1243"/>
      <c r="D692" s="1243"/>
      <c r="E692" s="1243"/>
      <c r="F692" s="1243" t="s">
        <v>187</v>
      </c>
      <c r="G692" s="963"/>
      <c r="H692" s="778" t="s">
        <v>12</v>
      </c>
      <c r="I692" s="830"/>
      <c r="J692" s="830"/>
      <c r="K692" s="831"/>
      <c r="L692" s="831"/>
      <c r="M692" s="831"/>
      <c r="N692" s="1031">
        <v>0</v>
      </c>
      <c r="O692" s="831"/>
      <c r="P692" s="831"/>
      <c r="Q692" s="1244"/>
      <c r="R692" s="1244"/>
      <c r="S692" s="1244"/>
      <c r="T692" s="1244"/>
      <c r="U692" s="1244"/>
      <c r="V692" s="1244"/>
      <c r="W692" s="1244"/>
      <c r="X692" s="1244"/>
      <c r="Y692" s="1244"/>
      <c r="Z692" s="1244"/>
    </row>
    <row r="693" spans="1:26" ht="18.75">
      <c r="A693" s="1241"/>
      <c r="B693" s="1242"/>
      <c r="C693" s="1243"/>
      <c r="D693" s="1243"/>
      <c r="E693" s="1243"/>
      <c r="F693" s="1243" t="s">
        <v>188</v>
      </c>
      <c r="G693" s="963"/>
      <c r="H693" s="778" t="s">
        <v>12</v>
      </c>
      <c r="I693" s="830"/>
      <c r="J693" s="830"/>
      <c r="K693" s="831"/>
      <c r="L693" s="831"/>
      <c r="M693" s="831"/>
      <c r="N693" s="1031">
        <v>0</v>
      </c>
      <c r="O693" s="831"/>
      <c r="P693" s="831"/>
      <c r="Q693" s="1244"/>
      <c r="R693" s="1244"/>
      <c r="S693" s="1244"/>
      <c r="T693" s="1244"/>
      <c r="U693" s="1244"/>
      <c r="V693" s="1244"/>
      <c r="W693" s="1244"/>
      <c r="X693" s="1244"/>
      <c r="Y693" s="1244"/>
      <c r="Z693" s="1244"/>
    </row>
    <row r="694" spans="1:26" ht="18.75">
      <c r="A694" s="1241"/>
      <c r="B694" s="1242"/>
      <c r="C694" s="1243"/>
      <c r="D694" s="1243"/>
      <c r="E694" s="1243"/>
      <c r="F694" s="1243" t="s">
        <v>189</v>
      </c>
      <c r="G694" s="963"/>
      <c r="H694" s="778" t="s">
        <v>12</v>
      </c>
      <c r="I694" s="830"/>
      <c r="J694" s="830"/>
      <c r="K694" s="831"/>
      <c r="L694" s="831"/>
      <c r="M694" s="831"/>
      <c r="N694" s="1031">
        <v>0</v>
      </c>
      <c r="O694" s="831"/>
      <c r="P694" s="831"/>
      <c r="Q694" s="1244"/>
      <c r="R694" s="1244"/>
      <c r="S694" s="1244"/>
      <c r="T694" s="1244"/>
      <c r="U694" s="1244"/>
      <c r="V694" s="1244"/>
      <c r="W694" s="1244"/>
      <c r="X694" s="1244"/>
      <c r="Y694" s="1244"/>
      <c r="Z694" s="1244"/>
    </row>
    <row r="695" spans="1:26" ht="18.75">
      <c r="A695" s="1259"/>
      <c r="B695" s="1242"/>
      <c r="C695" s="1243"/>
      <c r="D695" s="1266" t="s">
        <v>21</v>
      </c>
      <c r="E695" s="1243"/>
      <c r="F695" s="1243"/>
      <c r="G695" s="963"/>
      <c r="H695" s="168" t="s">
        <v>12</v>
      </c>
      <c r="I695" s="944"/>
      <c r="J695" s="944"/>
      <c r="K695" s="945"/>
      <c r="L695" s="831">
        <f t="shared" ref="L695:N695" si="287">L696+L697</f>
        <v>0</v>
      </c>
      <c r="M695" s="831">
        <f t="shared" si="287"/>
        <v>0</v>
      </c>
      <c r="N695" s="831">
        <f t="shared" si="287"/>
        <v>0</v>
      </c>
      <c r="O695" s="831">
        <f t="shared" ref="O695:O697" si="288">IF(L695&gt;0,N695*100/L695,0)</f>
        <v>0</v>
      </c>
      <c r="P695" s="831">
        <f t="shared" ref="P695:P697" si="289">IF(M695&gt;0,N695*100/M695,0)</f>
        <v>0</v>
      </c>
      <c r="Q695" s="1244"/>
      <c r="R695" s="1244"/>
      <c r="S695" s="1244"/>
      <c r="T695" s="1244"/>
      <c r="U695" s="1244"/>
      <c r="V695" s="1244"/>
      <c r="W695" s="1244"/>
      <c r="X695" s="1244"/>
      <c r="Y695" s="1244"/>
      <c r="Z695" s="1244"/>
    </row>
    <row r="696" spans="1:26" ht="18.75" hidden="1">
      <c r="A696" s="1260"/>
      <c r="B696" s="1265"/>
      <c r="C696" s="1261"/>
      <c r="D696" s="1261"/>
      <c r="E696" s="1261" t="s">
        <v>18</v>
      </c>
      <c r="F696" s="1261"/>
      <c r="G696" s="1263"/>
      <c r="H696" s="165" t="s">
        <v>12</v>
      </c>
      <c r="I696" s="947"/>
      <c r="J696" s="947"/>
      <c r="K696" s="948"/>
      <c r="L696" s="837">
        <v>0</v>
      </c>
      <c r="M696" s="837">
        <v>0</v>
      </c>
      <c r="N696" s="837">
        <v>0</v>
      </c>
      <c r="O696" s="837">
        <f t="shared" si="288"/>
        <v>0</v>
      </c>
      <c r="P696" s="837">
        <f t="shared" si="289"/>
        <v>0</v>
      </c>
      <c r="Q696" s="1264"/>
      <c r="R696" s="1264"/>
      <c r="S696" s="1264"/>
      <c r="T696" s="1264"/>
      <c r="U696" s="1264"/>
      <c r="V696" s="1264"/>
      <c r="W696" s="1264"/>
      <c r="X696" s="1264"/>
      <c r="Y696" s="1264"/>
      <c r="Z696" s="1264"/>
    </row>
    <row r="697" spans="1:26" ht="18.75" hidden="1">
      <c r="A697" s="1260"/>
      <c r="B697" s="1265"/>
      <c r="C697" s="1261"/>
      <c r="D697" s="1261"/>
      <c r="E697" s="1261" t="s">
        <v>19</v>
      </c>
      <c r="F697" s="1261"/>
      <c r="G697" s="1263"/>
      <c r="H697" s="169" t="s">
        <v>12</v>
      </c>
      <c r="I697" s="947"/>
      <c r="J697" s="947"/>
      <c r="K697" s="948"/>
      <c r="L697" s="837">
        <v>0</v>
      </c>
      <c r="M697" s="837">
        <v>0</v>
      </c>
      <c r="N697" s="837">
        <v>0</v>
      </c>
      <c r="O697" s="837">
        <f t="shared" si="288"/>
        <v>0</v>
      </c>
      <c r="P697" s="837">
        <f t="shared" si="289"/>
        <v>0</v>
      </c>
      <c r="Q697" s="1264"/>
      <c r="R697" s="1264"/>
      <c r="S697" s="1264"/>
      <c r="T697" s="1264"/>
      <c r="U697" s="1264"/>
      <c r="V697" s="1264"/>
      <c r="W697" s="1264"/>
      <c r="X697" s="1264"/>
      <c r="Y697" s="1264"/>
      <c r="Z697" s="1264"/>
    </row>
    <row r="698" spans="1:26" ht="19.5">
      <c r="A698" s="1267"/>
      <c r="B698" s="1268"/>
      <c r="C698" s="1243" t="s">
        <v>16</v>
      </c>
      <c r="D698" s="1378" t="s">
        <v>38</v>
      </c>
      <c r="E698" s="1271"/>
      <c r="F698" s="1271"/>
      <c r="G698" s="1272"/>
      <c r="H698" s="954"/>
      <c r="I698" s="944"/>
      <c r="J698" s="944"/>
      <c r="K698" s="945"/>
      <c r="L698" s="945"/>
      <c r="M698" s="945"/>
      <c r="N698" s="945"/>
      <c r="O698" s="945"/>
      <c r="P698" s="945"/>
      <c r="Q698" s="1244"/>
      <c r="R698" s="1244"/>
      <c r="S698" s="1244"/>
      <c r="T698" s="1244"/>
      <c r="U698" s="1244"/>
      <c r="V698" s="1244"/>
      <c r="W698" s="1244"/>
      <c r="X698" s="1244"/>
      <c r="Y698" s="1244"/>
      <c r="Z698" s="1244"/>
    </row>
    <row r="699" spans="1:26" ht="18.75">
      <c r="A699" s="1368"/>
      <c r="B699" s="1243"/>
      <c r="C699" s="1243"/>
      <c r="D699" s="1243" t="s">
        <v>294</v>
      </c>
      <c r="E699" s="1243"/>
      <c r="F699" s="1243"/>
      <c r="G699" s="963"/>
      <c r="H699" s="730" t="s">
        <v>46</v>
      </c>
      <c r="I699" s="1379">
        <f ca="1">IFERROR(__xludf.DUMMYFUNCTION("IMPORTRANGE(""https://docs.google.com/spreadsheets/d/1QqKyyYR6Q21VydFLVH3TRQUabQu_ym0Zz7PgGX0-kHA/edit?usp=sharing"",""แผน!IC14"")"),0)</f>
        <v>0</v>
      </c>
      <c r="J699" s="830">
        <f ca="1">IFERROR(__xludf.DUMMYFUNCTION("IMPORTRANGE(""https://docs.google.com/spreadsheets/d/1XWAQStnk-4SwqDmLtmXYiTMKHgktTP8We1SCoS47DrQ/edit?usp=sharing"",""จัดที่ดิน!BB69"")"),0)</f>
        <v>0</v>
      </c>
      <c r="K699" s="831">
        <f t="shared" ref="K699:K701" ca="1" si="290">IF(I699&gt;0,J699*100/I699,0)</f>
        <v>0</v>
      </c>
      <c r="L699" s="831"/>
      <c r="M699" s="963"/>
      <c r="N699" s="1380"/>
      <c r="O699" s="831"/>
      <c r="P699" s="831"/>
      <c r="Q699" s="1244"/>
      <c r="R699" s="1244"/>
      <c r="S699" s="1244"/>
      <c r="T699" s="1244"/>
      <c r="U699" s="1244"/>
      <c r="V699" s="1244"/>
      <c r="W699" s="1244"/>
      <c r="X699" s="1244"/>
      <c r="Y699" s="1244"/>
      <c r="Z699" s="1244"/>
    </row>
    <row r="700" spans="1:26" ht="18.75">
      <c r="A700" s="1368"/>
      <c r="B700" s="1243"/>
      <c r="C700" s="1243"/>
      <c r="D700" s="1243" t="s">
        <v>295</v>
      </c>
      <c r="E700" s="1243"/>
      <c r="F700" s="1243"/>
      <c r="G700" s="963"/>
      <c r="H700" s="730" t="s">
        <v>35</v>
      </c>
      <c r="I700" s="1379">
        <f ca="1">IFERROR(__xludf.DUMMYFUNCTION("IMPORTRANGE(""https://docs.google.com/spreadsheets/d/1QqKyyYR6Q21VydFLVH3TRQUabQu_ym0Zz7PgGX0-kHA/edit?usp=sharing"",""แผน!ID14"")"),0)</f>
        <v>0</v>
      </c>
      <c r="J700" s="830">
        <f ca="1">IFERROR(__xludf.DUMMYFUNCTION("IMPORTRANGE(""https://docs.google.com/spreadsheets/d/1XWAQStnk-4SwqDmLtmXYiTMKHgktTP8We1SCoS47DrQ/edit?usp=sharing"",""จัดที่ดิน!BD69"")"),0)</f>
        <v>0</v>
      </c>
      <c r="K700" s="831">
        <f t="shared" ca="1" si="290"/>
        <v>0</v>
      </c>
      <c r="L700" s="831"/>
      <c r="M700" s="963"/>
      <c r="N700" s="1380"/>
      <c r="O700" s="831"/>
      <c r="P700" s="831"/>
      <c r="Q700" s="1244"/>
      <c r="R700" s="1244"/>
      <c r="S700" s="1244"/>
      <c r="T700" s="1244"/>
      <c r="U700" s="1244"/>
      <c r="V700" s="1244"/>
      <c r="W700" s="1244"/>
      <c r="X700" s="1244"/>
      <c r="Y700" s="1244"/>
      <c r="Z700" s="1244"/>
    </row>
    <row r="701" spans="1:26" ht="19.5">
      <c r="A701" s="1368"/>
      <c r="B701" s="1243"/>
      <c r="C701" s="1243"/>
      <c r="D701" s="1243" t="s">
        <v>296</v>
      </c>
      <c r="E701" s="1243"/>
      <c r="F701" s="1243"/>
      <c r="G701" s="963"/>
      <c r="H701" s="733" t="s">
        <v>46</v>
      </c>
      <c r="I701" s="1381">
        <f ca="1">IFERROR(__xludf.DUMMYFUNCTION("IMPORTRANGE(""https://docs.google.com/spreadsheets/d/1QqKyyYR6Q21VydFLVH3TRQUabQu_ym0Zz7PgGX0-kHA/edit?usp=sharing"",""แผน!IE14"")"),40)</f>
        <v>40</v>
      </c>
      <c r="J701" s="966">
        <f>J704+J707</f>
        <v>56.215000000000003</v>
      </c>
      <c r="K701" s="967">
        <f t="shared" ca="1" si="290"/>
        <v>140.53749999999999</v>
      </c>
      <c r="L701" s="831"/>
      <c r="M701" s="963"/>
      <c r="N701" s="1380"/>
      <c r="O701" s="831"/>
      <c r="P701" s="831"/>
      <c r="Q701" s="1244"/>
      <c r="R701" s="1244"/>
      <c r="S701" s="1244"/>
      <c r="T701" s="1244"/>
      <c r="U701" s="1244"/>
      <c r="V701" s="1244"/>
      <c r="W701" s="1244"/>
      <c r="X701" s="1244"/>
      <c r="Y701" s="1244"/>
      <c r="Z701" s="1244"/>
    </row>
    <row r="702" spans="1:26" ht="18.75">
      <c r="A702" s="1368"/>
      <c r="B702" s="1243"/>
      <c r="C702" s="1243"/>
      <c r="D702" s="1243"/>
      <c r="E702" s="1243" t="s">
        <v>297</v>
      </c>
      <c r="F702" s="1243"/>
      <c r="G702" s="963"/>
      <c r="H702" s="730" t="s">
        <v>35</v>
      </c>
      <c r="I702" s="1379"/>
      <c r="J702" s="959">
        <v>2</v>
      </c>
      <c r="K702" s="831"/>
      <c r="L702" s="831"/>
      <c r="M702" s="963"/>
      <c r="N702" s="1380"/>
      <c r="O702" s="831"/>
      <c r="P702" s="831"/>
      <c r="Q702" s="1244"/>
      <c r="R702" s="1244"/>
      <c r="S702" s="1244"/>
      <c r="T702" s="1244"/>
      <c r="U702" s="1244"/>
      <c r="V702" s="1244"/>
      <c r="W702" s="1244"/>
      <c r="X702" s="1244"/>
      <c r="Y702" s="1244"/>
      <c r="Z702" s="1244"/>
    </row>
    <row r="703" spans="1:26" ht="18.75">
      <c r="A703" s="1368"/>
      <c r="B703" s="1243"/>
      <c r="C703" s="1243"/>
      <c r="D703" s="1243"/>
      <c r="E703" s="1243"/>
      <c r="F703" s="1243"/>
      <c r="G703" s="963"/>
      <c r="H703" s="730" t="s">
        <v>34</v>
      </c>
      <c r="I703" s="1379"/>
      <c r="J703" s="959">
        <v>2</v>
      </c>
      <c r="K703" s="831"/>
      <c r="L703" s="831"/>
      <c r="M703" s="963"/>
      <c r="N703" s="1380"/>
      <c r="O703" s="831"/>
      <c r="P703" s="831"/>
      <c r="Q703" s="1244"/>
      <c r="R703" s="1244"/>
      <c r="S703" s="1244"/>
      <c r="T703" s="1244"/>
      <c r="U703" s="1244"/>
      <c r="V703" s="1244"/>
      <c r="W703" s="1244"/>
      <c r="X703" s="1244"/>
      <c r="Y703" s="1244"/>
      <c r="Z703" s="1244"/>
    </row>
    <row r="704" spans="1:26" ht="18.75">
      <c r="A704" s="1368"/>
      <c r="B704" s="1243"/>
      <c r="C704" s="1243"/>
      <c r="D704" s="1243"/>
      <c r="E704" s="1243"/>
      <c r="F704" s="1243"/>
      <c r="G704" s="963"/>
      <c r="H704" s="730" t="s">
        <v>46</v>
      </c>
      <c r="I704" s="1379">
        <f ca="1">IFERROR(__xludf.DUMMYFUNCTION("IMPORTRANGE(""https://docs.google.com/spreadsheets/d/1QqKyyYR6Q21VydFLVH3TRQUabQu_ym0Zz7PgGX0-kHA/edit?usp=sharing"",""แผน!IF14"")"),40)</f>
        <v>40</v>
      </c>
      <c r="J704" s="959">
        <v>56.215000000000003</v>
      </c>
      <c r="K704" s="831"/>
      <c r="L704" s="831"/>
      <c r="M704" s="963"/>
      <c r="N704" s="1380"/>
      <c r="O704" s="831"/>
      <c r="P704" s="831"/>
      <c r="Q704" s="1244"/>
      <c r="R704" s="1244"/>
      <c r="S704" s="1244"/>
      <c r="T704" s="1244"/>
      <c r="U704" s="1244"/>
      <c r="V704" s="1244"/>
      <c r="W704" s="1244"/>
      <c r="X704" s="1244"/>
      <c r="Y704" s="1244"/>
      <c r="Z704" s="1244"/>
    </row>
    <row r="705" spans="1:26" ht="18.75">
      <c r="A705" s="1368"/>
      <c r="B705" s="1243"/>
      <c r="C705" s="1243"/>
      <c r="D705" s="1243"/>
      <c r="E705" s="1243" t="s">
        <v>298</v>
      </c>
      <c r="F705" s="1243"/>
      <c r="G705" s="963"/>
      <c r="H705" s="730" t="s">
        <v>35</v>
      </c>
      <c r="I705" s="1379"/>
      <c r="J705" s="959">
        <v>0</v>
      </c>
      <c r="K705" s="831"/>
      <c r="L705" s="831"/>
      <c r="M705" s="963"/>
      <c r="N705" s="1380"/>
      <c r="O705" s="831"/>
      <c r="P705" s="831"/>
      <c r="Q705" s="1244"/>
      <c r="R705" s="1244"/>
      <c r="S705" s="1244"/>
      <c r="T705" s="1244"/>
      <c r="U705" s="1244"/>
      <c r="V705" s="1244"/>
      <c r="W705" s="1244"/>
      <c r="X705" s="1244"/>
      <c r="Y705" s="1244"/>
      <c r="Z705" s="1244"/>
    </row>
    <row r="706" spans="1:26" ht="18.75">
      <c r="A706" s="1368"/>
      <c r="B706" s="1243"/>
      <c r="C706" s="1243"/>
      <c r="D706" s="1243"/>
      <c r="E706" s="1243"/>
      <c r="F706" s="1243"/>
      <c r="G706" s="963"/>
      <c r="H706" s="730" t="s">
        <v>34</v>
      </c>
      <c r="I706" s="1379"/>
      <c r="J706" s="959">
        <v>0</v>
      </c>
      <c r="K706" s="831"/>
      <c r="L706" s="831"/>
      <c r="M706" s="963"/>
      <c r="N706" s="1380"/>
      <c r="O706" s="831"/>
      <c r="P706" s="831"/>
      <c r="Q706" s="1244"/>
      <c r="R706" s="1244"/>
      <c r="S706" s="1244"/>
      <c r="T706" s="1244"/>
      <c r="U706" s="1244"/>
      <c r="V706" s="1244"/>
      <c r="W706" s="1244"/>
      <c r="X706" s="1244"/>
      <c r="Y706" s="1244"/>
      <c r="Z706" s="1244"/>
    </row>
    <row r="707" spans="1:26" ht="18.75">
      <c r="A707" s="1368"/>
      <c r="B707" s="1243"/>
      <c r="C707" s="1243"/>
      <c r="D707" s="1243"/>
      <c r="E707" s="1243"/>
      <c r="F707" s="1243"/>
      <c r="G707" s="963"/>
      <c r="H707" s="730" t="s">
        <v>46</v>
      </c>
      <c r="I707" s="1379">
        <f ca="1">IFERROR(__xludf.DUMMYFUNCTION("IMPORTRANGE(""https://docs.google.com/spreadsheets/d/1QqKyyYR6Q21VydFLVH3TRQUabQu_ym0Zz7PgGX0-kHA/edit?usp=sharing"",""แผน!IG14"")"),0)</f>
        <v>0</v>
      </c>
      <c r="J707" s="959">
        <v>0</v>
      </c>
      <c r="K707" s="831"/>
      <c r="L707" s="831"/>
      <c r="M707" s="963"/>
      <c r="N707" s="1380"/>
      <c r="O707" s="831"/>
      <c r="P707" s="831"/>
      <c r="Q707" s="1244"/>
      <c r="R707" s="1244"/>
      <c r="S707" s="1244"/>
      <c r="T707" s="1244"/>
      <c r="U707" s="1244"/>
      <c r="V707" s="1244"/>
      <c r="W707" s="1244"/>
      <c r="X707" s="1244"/>
      <c r="Y707" s="1244"/>
      <c r="Z707" s="1244"/>
    </row>
    <row r="708" spans="1:26" ht="19.5">
      <c r="A708" s="1368"/>
      <c r="B708" s="1243"/>
      <c r="C708" s="1243"/>
      <c r="D708" s="1322" t="s">
        <v>299</v>
      </c>
      <c r="E708" s="1243"/>
      <c r="F708" s="1243"/>
      <c r="G708" s="963"/>
      <c r="H708" s="733" t="s">
        <v>46</v>
      </c>
      <c r="I708" s="1381">
        <f ca="1">IFERROR(__xludf.DUMMYFUNCTION("IMPORTRANGE(""https://docs.google.com/spreadsheets/d/1QqKyyYR6Q21VydFLVH3TRQUabQu_ym0Zz7PgGX0-kHA/edit?usp=sharing"",""แผน!IH14"")"),40)</f>
        <v>40</v>
      </c>
      <c r="J708" s="966">
        <f>J714+J717</f>
        <v>0</v>
      </c>
      <c r="K708" s="967">
        <f ca="1">IF(I708&gt;0,J708*100/I708,0)</f>
        <v>0</v>
      </c>
      <c r="L708" s="831"/>
      <c r="M708" s="963"/>
      <c r="N708" s="1380"/>
      <c r="O708" s="831"/>
      <c r="P708" s="831"/>
      <c r="Q708" s="1244"/>
      <c r="R708" s="1244"/>
      <c r="S708" s="1244"/>
      <c r="T708" s="1244"/>
      <c r="U708" s="1244"/>
      <c r="V708" s="1244"/>
      <c r="W708" s="1244"/>
      <c r="X708" s="1244"/>
      <c r="Y708" s="1244"/>
      <c r="Z708" s="1244"/>
    </row>
    <row r="709" spans="1:26" ht="18.75">
      <c r="A709" s="1368"/>
      <c r="B709" s="1243"/>
      <c r="C709" s="1243"/>
      <c r="D709" s="1243"/>
      <c r="E709" s="1243" t="s">
        <v>300</v>
      </c>
      <c r="F709" s="1243"/>
      <c r="G709" s="963"/>
      <c r="H709" s="730" t="s">
        <v>34</v>
      </c>
      <c r="I709" s="1379"/>
      <c r="J709" s="959">
        <v>0</v>
      </c>
      <c r="K709" s="831"/>
      <c r="L709" s="1380"/>
      <c r="M709" s="963"/>
      <c r="N709" s="1380"/>
      <c r="O709" s="831"/>
      <c r="P709" s="831"/>
      <c r="Q709" s="1244"/>
      <c r="R709" s="1244"/>
      <c r="S709" s="1244"/>
      <c r="T709" s="1244"/>
      <c r="U709" s="1244"/>
      <c r="V709" s="1244"/>
      <c r="W709" s="1244"/>
      <c r="X709" s="1244"/>
      <c r="Y709" s="1244"/>
      <c r="Z709" s="1244"/>
    </row>
    <row r="710" spans="1:26" ht="18.75">
      <c r="A710" s="1368"/>
      <c r="B710" s="1243"/>
      <c r="C710" s="1243"/>
      <c r="D710" s="1243"/>
      <c r="E710" s="1243"/>
      <c r="F710" s="1243"/>
      <c r="G710" s="963"/>
      <c r="H710" s="730" t="s">
        <v>46</v>
      </c>
      <c r="I710" s="1379"/>
      <c r="J710" s="959">
        <v>0</v>
      </c>
      <c r="K710" s="831"/>
      <c r="L710" s="1380"/>
      <c r="M710" s="963"/>
      <c r="N710" s="1380"/>
      <c r="O710" s="831"/>
      <c r="P710" s="831"/>
      <c r="Q710" s="1244"/>
      <c r="R710" s="1244"/>
      <c r="S710" s="1244"/>
      <c r="T710" s="1244"/>
      <c r="U710" s="1244"/>
      <c r="V710" s="1244"/>
      <c r="W710" s="1244"/>
      <c r="X710" s="1244"/>
      <c r="Y710" s="1244"/>
      <c r="Z710" s="1244"/>
    </row>
    <row r="711" spans="1:26" ht="18.75">
      <c r="A711" s="1368"/>
      <c r="B711" s="1243"/>
      <c r="C711" s="1243"/>
      <c r="D711" s="1243"/>
      <c r="E711" s="1243" t="s">
        <v>301</v>
      </c>
      <c r="F711" s="1243"/>
      <c r="G711" s="963"/>
      <c r="H711" s="954"/>
      <c r="I711" s="1379"/>
      <c r="J711" s="830"/>
      <c r="K711" s="831"/>
      <c r="L711" s="1380"/>
      <c r="M711" s="963"/>
      <c r="N711" s="1380"/>
      <c r="O711" s="831"/>
      <c r="P711" s="831"/>
      <c r="Q711" s="1244"/>
      <c r="R711" s="1244"/>
      <c r="S711" s="1244"/>
      <c r="T711" s="1244"/>
      <c r="U711" s="1244"/>
      <c r="V711" s="1244"/>
      <c r="W711" s="1244"/>
      <c r="X711" s="1244"/>
      <c r="Y711" s="1244"/>
      <c r="Z711" s="1244"/>
    </row>
    <row r="712" spans="1:26" ht="18.75">
      <c r="A712" s="1368"/>
      <c r="B712" s="1243"/>
      <c r="C712" s="1243"/>
      <c r="D712" s="1243"/>
      <c r="E712" s="1243"/>
      <c r="F712" s="1243" t="s">
        <v>302</v>
      </c>
      <c r="G712" s="963"/>
      <c r="H712" s="730" t="s">
        <v>35</v>
      </c>
      <c r="I712" s="1379"/>
      <c r="J712" s="959">
        <v>0</v>
      </c>
      <c r="K712" s="831"/>
      <c r="L712" s="1380"/>
      <c r="M712" s="963"/>
      <c r="N712" s="1380"/>
      <c r="O712" s="831"/>
      <c r="P712" s="831"/>
      <c r="Q712" s="1244"/>
      <c r="R712" s="1244"/>
      <c r="S712" s="1244"/>
      <c r="T712" s="1244"/>
      <c r="U712" s="1244"/>
      <c r="V712" s="1244"/>
      <c r="W712" s="1244"/>
      <c r="X712" s="1244"/>
      <c r="Y712" s="1244"/>
      <c r="Z712" s="1244"/>
    </row>
    <row r="713" spans="1:26" ht="18.75">
      <c r="A713" s="1368"/>
      <c r="B713" s="1243"/>
      <c r="C713" s="1243"/>
      <c r="D713" s="1243"/>
      <c r="E713" s="1243"/>
      <c r="F713" s="1243"/>
      <c r="G713" s="963"/>
      <c r="H713" s="730" t="s">
        <v>34</v>
      </c>
      <c r="I713" s="1379"/>
      <c r="J713" s="959">
        <v>0</v>
      </c>
      <c r="K713" s="831"/>
      <c r="L713" s="1380"/>
      <c r="M713" s="963"/>
      <c r="N713" s="1380"/>
      <c r="O713" s="831"/>
      <c r="P713" s="831"/>
      <c r="Q713" s="1244"/>
      <c r="R713" s="1244"/>
      <c r="S713" s="1244"/>
      <c r="T713" s="1244"/>
      <c r="U713" s="1244"/>
      <c r="V713" s="1244"/>
      <c r="W713" s="1244"/>
      <c r="X713" s="1244"/>
      <c r="Y713" s="1244"/>
      <c r="Z713" s="1244"/>
    </row>
    <row r="714" spans="1:26" ht="18.75">
      <c r="A714" s="1368"/>
      <c r="B714" s="1243"/>
      <c r="C714" s="1243"/>
      <c r="D714" s="1243"/>
      <c r="E714" s="1243"/>
      <c r="F714" s="1243"/>
      <c r="G714" s="963"/>
      <c r="H714" s="730" t="s">
        <v>46</v>
      </c>
      <c r="I714" s="1379"/>
      <c r="J714" s="959">
        <v>0</v>
      </c>
      <c r="K714" s="831"/>
      <c r="L714" s="1380"/>
      <c r="M714" s="963"/>
      <c r="N714" s="1380"/>
      <c r="O714" s="831"/>
      <c r="P714" s="831"/>
      <c r="Q714" s="1244"/>
      <c r="R714" s="1244"/>
      <c r="S714" s="1244"/>
      <c r="T714" s="1244"/>
      <c r="U714" s="1244"/>
      <c r="V714" s="1244"/>
      <c r="W714" s="1244"/>
      <c r="X714" s="1244"/>
      <c r="Y714" s="1244"/>
      <c r="Z714" s="1244"/>
    </row>
    <row r="715" spans="1:26" ht="18.75">
      <c r="A715" s="1368"/>
      <c r="B715" s="1243"/>
      <c r="C715" s="1243"/>
      <c r="D715" s="1243"/>
      <c r="E715" s="1243"/>
      <c r="F715" s="1243" t="s">
        <v>303</v>
      </c>
      <c r="G715" s="963"/>
      <c r="H715" s="730" t="s">
        <v>35</v>
      </c>
      <c r="I715" s="1379"/>
      <c r="J715" s="959">
        <v>0</v>
      </c>
      <c r="K715" s="831"/>
      <c r="L715" s="1380"/>
      <c r="M715" s="963"/>
      <c r="N715" s="1380"/>
      <c r="O715" s="831"/>
      <c r="P715" s="831"/>
      <c r="Q715" s="1244"/>
      <c r="R715" s="1244"/>
      <c r="S715" s="1244"/>
      <c r="T715" s="1244"/>
      <c r="U715" s="1244"/>
      <c r="V715" s="1244"/>
      <c r="W715" s="1244"/>
      <c r="X715" s="1244"/>
      <c r="Y715" s="1244"/>
      <c r="Z715" s="1244"/>
    </row>
    <row r="716" spans="1:26" ht="18.75">
      <c r="A716" s="1368"/>
      <c r="B716" s="1243"/>
      <c r="C716" s="1243"/>
      <c r="D716" s="1243"/>
      <c r="E716" s="1243"/>
      <c r="F716" s="1243"/>
      <c r="G716" s="963"/>
      <c r="H716" s="730" t="s">
        <v>34</v>
      </c>
      <c r="I716" s="1379"/>
      <c r="J716" s="959">
        <v>0</v>
      </c>
      <c r="K716" s="831"/>
      <c r="L716" s="1380"/>
      <c r="M716" s="963"/>
      <c r="N716" s="1380"/>
      <c r="O716" s="831"/>
      <c r="P716" s="831"/>
      <c r="Q716" s="1244"/>
      <c r="R716" s="1244"/>
      <c r="S716" s="1244"/>
      <c r="T716" s="1244"/>
      <c r="U716" s="1244"/>
      <c r="V716" s="1244"/>
      <c r="W716" s="1244"/>
      <c r="X716" s="1244"/>
      <c r="Y716" s="1244"/>
      <c r="Z716" s="1244"/>
    </row>
    <row r="717" spans="1:26" ht="18.75">
      <c r="A717" s="1368"/>
      <c r="B717" s="1243"/>
      <c r="C717" s="1243"/>
      <c r="D717" s="1243"/>
      <c r="E717" s="1243"/>
      <c r="F717" s="1243"/>
      <c r="G717" s="963"/>
      <c r="H717" s="730" t="s">
        <v>46</v>
      </c>
      <c r="I717" s="1379"/>
      <c r="J717" s="959">
        <v>0</v>
      </c>
      <c r="K717" s="831"/>
      <c r="L717" s="1380"/>
      <c r="M717" s="963"/>
      <c r="N717" s="1380"/>
      <c r="O717" s="831"/>
      <c r="P717" s="831"/>
      <c r="Q717" s="1244"/>
      <c r="R717" s="1244"/>
      <c r="S717" s="1244"/>
      <c r="T717" s="1244"/>
      <c r="U717" s="1244"/>
      <c r="V717" s="1244"/>
      <c r="W717" s="1244"/>
      <c r="X717" s="1244"/>
      <c r="Y717" s="1244"/>
      <c r="Z717" s="1244"/>
    </row>
    <row r="718" spans="1:26" ht="18.75">
      <c r="A718" s="1368"/>
      <c r="B718" s="1243"/>
      <c r="C718" s="1243"/>
      <c r="D718" s="1243" t="s">
        <v>304</v>
      </c>
      <c r="E718" s="1243"/>
      <c r="F718" s="1243"/>
      <c r="G718" s="963"/>
      <c r="H718" s="730" t="s">
        <v>35</v>
      </c>
      <c r="I718" s="1379"/>
      <c r="J718" s="830">
        <f ca="1">IFERROR(__xludf.DUMMYFUNCTION("IMPORTRANGE(""https://docs.google.com/spreadsheets/d/1XWAQStnk-4SwqDmLtmXYiTMKHgktTP8We1SCoS47DrQ/edit?usp=sharing"",""จัดที่ดิน!BF69"")"),0)</f>
        <v>0</v>
      </c>
      <c r="K718" s="831"/>
      <c r="L718" s="831"/>
      <c r="M718" s="963"/>
      <c r="N718" s="1380"/>
      <c r="O718" s="831"/>
      <c r="P718" s="831"/>
      <c r="Q718" s="1244"/>
      <c r="R718" s="1244"/>
      <c r="S718" s="1244"/>
      <c r="T718" s="1244"/>
      <c r="U718" s="1244"/>
      <c r="V718" s="1244"/>
      <c r="W718" s="1244"/>
      <c r="X718" s="1244"/>
      <c r="Y718" s="1244"/>
      <c r="Z718" s="1244"/>
    </row>
    <row r="719" spans="1:26" ht="18.75">
      <c r="A719" s="1368"/>
      <c r="B719" s="1243"/>
      <c r="C719" s="1243"/>
      <c r="D719" s="1243"/>
      <c r="E719" s="1243"/>
      <c r="F719" s="1243"/>
      <c r="G719" s="963"/>
      <c r="H719" s="730" t="s">
        <v>34</v>
      </c>
      <c r="I719" s="1379"/>
      <c r="J719" s="830">
        <f ca="1">IFERROR(__xludf.DUMMYFUNCTION("IMPORTRANGE(""https://docs.google.com/spreadsheets/d/1XWAQStnk-4SwqDmLtmXYiTMKHgktTP8We1SCoS47DrQ/edit?usp=sharing"",""จัดที่ดิน!BG69"")"),0)</f>
        <v>0</v>
      </c>
      <c r="K719" s="831"/>
      <c r="L719" s="1380"/>
      <c r="M719" s="963"/>
      <c r="N719" s="1380"/>
      <c r="O719" s="831"/>
      <c r="P719" s="831"/>
      <c r="Q719" s="1244"/>
      <c r="R719" s="1244"/>
      <c r="S719" s="1244"/>
      <c r="T719" s="1244"/>
      <c r="U719" s="1244"/>
      <c r="V719" s="1244"/>
      <c r="W719" s="1244"/>
      <c r="X719" s="1244"/>
      <c r="Y719" s="1244"/>
      <c r="Z719" s="1244"/>
    </row>
    <row r="720" spans="1:26" ht="18.75">
      <c r="A720" s="1368"/>
      <c r="B720" s="1243"/>
      <c r="C720" s="1243"/>
      <c r="D720" s="1243"/>
      <c r="E720" s="1243"/>
      <c r="F720" s="1243"/>
      <c r="G720" s="963"/>
      <c r="H720" s="730" t="s">
        <v>46</v>
      </c>
      <c r="I720" s="1379">
        <f ca="1">IFERROR(__xludf.DUMMYFUNCTION("IMPORTRANGE(""https://docs.google.com/spreadsheets/d/1QqKyyYR6Q21VydFLVH3TRQUabQu_ym0Zz7PgGX0-kHA/edit?usp=sharing"",""แผน!II14"")"),50)</f>
        <v>50</v>
      </c>
      <c r="J720" s="830">
        <f ca="1">IFERROR(__xludf.DUMMYFUNCTION("IMPORTRANGE(""https://docs.google.com/spreadsheets/d/1XWAQStnk-4SwqDmLtmXYiTMKHgktTP8We1SCoS47DrQ/edit?usp=sharing"",""จัดที่ดิน!BH69"")"),0)</f>
        <v>0</v>
      </c>
      <c r="K720" s="831">
        <f t="shared" ref="K720:K723" ca="1" si="291">IF(I720&gt;0,J720*100/I720,0)</f>
        <v>0</v>
      </c>
      <c r="L720" s="1380"/>
      <c r="M720" s="963"/>
      <c r="N720" s="1380"/>
      <c r="O720" s="831"/>
      <c r="P720" s="831"/>
      <c r="Q720" s="1244"/>
      <c r="R720" s="1244"/>
      <c r="S720" s="1244"/>
      <c r="T720" s="1244"/>
      <c r="U720" s="1244"/>
      <c r="V720" s="1244"/>
      <c r="W720" s="1244"/>
      <c r="X720" s="1244"/>
      <c r="Y720" s="1244"/>
      <c r="Z720" s="1244"/>
    </row>
    <row r="721" spans="1:26" ht="19.5">
      <c r="A721" s="1368"/>
      <c r="B721" s="1243"/>
      <c r="C721" s="1243"/>
      <c r="D721" s="1243" t="s">
        <v>305</v>
      </c>
      <c r="E721" s="1243"/>
      <c r="F721" s="1243"/>
      <c r="G721" s="963"/>
      <c r="H721" s="733" t="s">
        <v>35</v>
      </c>
      <c r="I721" s="1381">
        <f ca="1">IFERROR(__xludf.DUMMYFUNCTION("IMPORTRANGE(""https://docs.google.com/spreadsheets/d/1QqKyyYR6Q21VydFLVH3TRQUabQu_ym0Zz7PgGX0-kHA/edit?usp=sharing"",""แผน!IJ14"")"),4)</f>
        <v>4</v>
      </c>
      <c r="J721" s="966">
        <f ca="1">J723+J726</f>
        <v>0</v>
      </c>
      <c r="K721" s="967">
        <f t="shared" ca="1" si="291"/>
        <v>0</v>
      </c>
      <c r="L721" s="1380"/>
      <c r="M721" s="963"/>
      <c r="N721" s="1380"/>
      <c r="O721" s="831"/>
      <c r="P721" s="831"/>
      <c r="Q721" s="1244"/>
      <c r="R721" s="1244"/>
      <c r="S721" s="1244"/>
      <c r="T721" s="1244"/>
      <c r="U721" s="1244"/>
      <c r="V721" s="1244"/>
      <c r="W721" s="1244"/>
      <c r="X721" s="1244"/>
      <c r="Y721" s="1244"/>
      <c r="Z721" s="1244"/>
    </row>
    <row r="722" spans="1:26" ht="19.5">
      <c r="A722" s="1368"/>
      <c r="B722" s="1243"/>
      <c r="C722" s="1243"/>
      <c r="D722" s="1243"/>
      <c r="E722" s="1243"/>
      <c r="F722" s="1243"/>
      <c r="G722" s="963"/>
      <c r="H722" s="733" t="s">
        <v>46</v>
      </c>
      <c r="I722" s="1381">
        <f ca="1">IFERROR(__xludf.DUMMYFUNCTION("IMPORTRANGE(""https://docs.google.com/spreadsheets/d/1QqKyyYR6Q21VydFLVH3TRQUabQu_ym0Zz7PgGX0-kHA/edit?usp=sharing"",""แผน!IK14"")"),50)</f>
        <v>50</v>
      </c>
      <c r="J722" s="966">
        <f ca="1">J725+J728</f>
        <v>0</v>
      </c>
      <c r="K722" s="967">
        <f t="shared" ca="1" si="291"/>
        <v>0</v>
      </c>
      <c r="L722" s="831"/>
      <c r="M722" s="963"/>
      <c r="N722" s="1380"/>
      <c r="O722" s="831"/>
      <c r="P722" s="831"/>
      <c r="Q722" s="1244"/>
      <c r="R722" s="1244"/>
      <c r="S722" s="1244"/>
      <c r="T722" s="1244"/>
      <c r="U722" s="1244"/>
      <c r="V722" s="1244"/>
      <c r="W722" s="1244"/>
      <c r="X722" s="1244"/>
      <c r="Y722" s="1244"/>
      <c r="Z722" s="1244"/>
    </row>
    <row r="723" spans="1:26" ht="18.75">
      <c r="A723" s="1368"/>
      <c r="B723" s="1243"/>
      <c r="C723" s="1243"/>
      <c r="D723" s="1243"/>
      <c r="E723" s="1243" t="s">
        <v>306</v>
      </c>
      <c r="F723" s="1243"/>
      <c r="G723" s="963"/>
      <c r="H723" s="730" t="s">
        <v>35</v>
      </c>
      <c r="I723" s="1379">
        <f ca="1">IFERROR(__xludf.DUMMYFUNCTION("IMPORTRANGE(""https://docs.google.com/spreadsheets/d/1QqKyyYR6Q21VydFLVH3TRQUabQu_ym0Zz7PgGX0-kHA/edit?usp=sharing"",""แผน!IL14"")"),4)</f>
        <v>4</v>
      </c>
      <c r="J723" s="830">
        <f ca="1">IFERROR(__xludf.DUMMYFUNCTION("IMPORTRANGE(""https://docs.google.com/spreadsheets/d/1XWAQStnk-4SwqDmLtmXYiTMKHgktTP8We1SCoS47DrQ/edit?usp=sharing"",""จัดที่ดิน!BM69"")"),0)</f>
        <v>0</v>
      </c>
      <c r="K723" s="831">
        <f t="shared" ca="1" si="291"/>
        <v>0</v>
      </c>
      <c r="L723" s="831"/>
      <c r="M723" s="963"/>
      <c r="N723" s="1380"/>
      <c r="O723" s="831"/>
      <c r="P723" s="831"/>
      <c r="Q723" s="1244"/>
      <c r="R723" s="1244"/>
      <c r="S723" s="1244"/>
      <c r="T723" s="1244"/>
      <c r="U723" s="1244"/>
      <c r="V723" s="1244"/>
      <c r="W723" s="1244"/>
      <c r="X723" s="1244"/>
      <c r="Y723" s="1244"/>
      <c r="Z723" s="1244"/>
    </row>
    <row r="724" spans="1:26" ht="18.75">
      <c r="A724" s="1368"/>
      <c r="B724" s="1243"/>
      <c r="C724" s="1243"/>
      <c r="D724" s="1243"/>
      <c r="E724" s="1243"/>
      <c r="F724" s="1243"/>
      <c r="G724" s="963"/>
      <c r="H724" s="730" t="s">
        <v>34</v>
      </c>
      <c r="I724" s="1379"/>
      <c r="J724" s="830">
        <f ca="1">IFERROR(__xludf.DUMMYFUNCTION("IMPORTRANGE(""https://docs.google.com/spreadsheets/d/1XWAQStnk-4SwqDmLtmXYiTMKHgktTP8We1SCoS47DrQ/edit?usp=sharing"",""จัดที่ดิน!BN69"")"),0)</f>
        <v>0</v>
      </c>
      <c r="K724" s="831"/>
      <c r="L724" s="1380"/>
      <c r="M724" s="963"/>
      <c r="N724" s="1380"/>
      <c r="O724" s="831"/>
      <c r="P724" s="831"/>
      <c r="Q724" s="1244"/>
      <c r="R724" s="1244"/>
      <c r="S724" s="1244"/>
      <c r="T724" s="1244"/>
      <c r="U724" s="1244"/>
      <c r="V724" s="1244"/>
      <c r="W724" s="1244"/>
      <c r="X724" s="1244"/>
      <c r="Y724" s="1244"/>
      <c r="Z724" s="1244"/>
    </row>
    <row r="725" spans="1:26" ht="18.75">
      <c r="A725" s="1368"/>
      <c r="B725" s="1243"/>
      <c r="C725" s="1243"/>
      <c r="D725" s="1243"/>
      <c r="E725" s="1243"/>
      <c r="F725" s="1243"/>
      <c r="G725" s="963"/>
      <c r="H725" s="730" t="s">
        <v>46</v>
      </c>
      <c r="I725" s="1379">
        <f ca="1">IFERROR(__xludf.DUMMYFUNCTION("IMPORTRANGE(""https://docs.google.com/spreadsheets/d/1QqKyyYR6Q21VydFLVH3TRQUabQu_ym0Zz7PgGX0-kHA/edit?usp=sharing"",""แผน!IM14"")"),50)</f>
        <v>50</v>
      </c>
      <c r="J725" s="830">
        <f ca="1">IFERROR(__xludf.DUMMYFUNCTION("IMPORTRANGE(""https://docs.google.com/spreadsheets/d/1XWAQStnk-4SwqDmLtmXYiTMKHgktTP8We1SCoS47DrQ/edit?usp=sharing"",""จัดที่ดิน!BO69"")"),0)</f>
        <v>0</v>
      </c>
      <c r="K725" s="831">
        <f t="shared" ref="K725:K726" ca="1" si="292">IF(I725&gt;0,J725*100/I725,0)</f>
        <v>0</v>
      </c>
      <c r="L725" s="1380"/>
      <c r="M725" s="963"/>
      <c r="N725" s="1380"/>
      <c r="O725" s="831"/>
      <c r="P725" s="831"/>
      <c r="Q725" s="1244"/>
      <c r="R725" s="1244"/>
      <c r="S725" s="1244"/>
      <c r="T725" s="1244"/>
      <c r="U725" s="1244"/>
      <c r="V725" s="1244"/>
      <c r="W725" s="1244"/>
      <c r="X725" s="1244"/>
      <c r="Y725" s="1244"/>
      <c r="Z725" s="1244"/>
    </row>
    <row r="726" spans="1:26" ht="18.75">
      <c r="A726" s="1368"/>
      <c r="B726" s="1243"/>
      <c r="C726" s="1243"/>
      <c r="D726" s="1243"/>
      <c r="E726" s="1243" t="s">
        <v>307</v>
      </c>
      <c r="F726" s="1243"/>
      <c r="G726" s="963"/>
      <c r="H726" s="730" t="s">
        <v>35</v>
      </c>
      <c r="I726" s="1379">
        <f ca="1">IFERROR(__xludf.DUMMYFUNCTION("IMPORTRANGE(""https://docs.google.com/spreadsheets/d/1QqKyyYR6Q21VydFLVH3TRQUabQu_ym0Zz7PgGX0-kHA/edit?usp=sharing"",""แผน!IN14"")"),0)</f>
        <v>0</v>
      </c>
      <c r="J726" s="830">
        <f ca="1">IFERROR(__xludf.DUMMYFUNCTION("IMPORTRANGE(""https://docs.google.com/spreadsheets/d/1XWAQStnk-4SwqDmLtmXYiTMKHgktTP8We1SCoS47DrQ/edit?usp=sharing"",""จัดที่ดิน!BR69"")"),0)</f>
        <v>0</v>
      </c>
      <c r="K726" s="831">
        <f t="shared" ca="1" si="292"/>
        <v>0</v>
      </c>
      <c r="L726" s="831"/>
      <c r="M726" s="963"/>
      <c r="N726" s="1380"/>
      <c r="O726" s="831"/>
      <c r="P726" s="831"/>
      <c r="Q726" s="1244"/>
      <c r="R726" s="1244"/>
      <c r="S726" s="1244"/>
      <c r="T726" s="1244"/>
      <c r="U726" s="1244"/>
      <c r="V726" s="1244"/>
      <c r="W726" s="1244"/>
      <c r="X726" s="1244"/>
      <c r="Y726" s="1244"/>
      <c r="Z726" s="1244"/>
    </row>
    <row r="727" spans="1:26" ht="18.75">
      <c r="A727" s="1368"/>
      <c r="B727" s="1243"/>
      <c r="C727" s="1243"/>
      <c r="D727" s="1243"/>
      <c r="E727" s="1243"/>
      <c r="F727" s="1243"/>
      <c r="G727" s="963"/>
      <c r="H727" s="730" t="s">
        <v>34</v>
      </c>
      <c r="I727" s="1379"/>
      <c r="J727" s="830">
        <f ca="1">IFERROR(__xludf.DUMMYFUNCTION("IMPORTRANGE(""https://docs.google.com/spreadsheets/d/1XWAQStnk-4SwqDmLtmXYiTMKHgktTP8We1SCoS47DrQ/edit?usp=sharing"",""จัดที่ดิน!BS69"")"),0)</f>
        <v>0</v>
      </c>
      <c r="K727" s="831"/>
      <c r="L727" s="1380"/>
      <c r="M727" s="963"/>
      <c r="N727" s="1380"/>
      <c r="O727" s="831"/>
      <c r="P727" s="831"/>
      <c r="Q727" s="1244"/>
      <c r="R727" s="1244"/>
      <c r="S727" s="1244"/>
      <c r="T727" s="1244"/>
      <c r="U727" s="1244"/>
      <c r="V727" s="1244"/>
      <c r="W727" s="1244"/>
      <c r="X727" s="1244"/>
      <c r="Y727" s="1244"/>
      <c r="Z727" s="1244"/>
    </row>
    <row r="728" spans="1:26" ht="18.75">
      <c r="A728" s="1368"/>
      <c r="B728" s="1243"/>
      <c r="C728" s="1243"/>
      <c r="D728" s="1243"/>
      <c r="E728" s="1243"/>
      <c r="F728" s="1243"/>
      <c r="G728" s="963"/>
      <c r="H728" s="730" t="s">
        <v>46</v>
      </c>
      <c r="I728" s="1379">
        <f ca="1">IFERROR(__xludf.DUMMYFUNCTION("IMPORTRANGE(""https://docs.google.com/spreadsheets/d/1QqKyyYR6Q21VydFLVH3TRQUabQu_ym0Zz7PgGX0-kHA/edit?usp=sharing"",""แผน!IO14"")"),0)</f>
        <v>0</v>
      </c>
      <c r="J728" s="830">
        <f ca="1">IFERROR(__xludf.DUMMYFUNCTION("IMPORTRANGE(""https://docs.google.com/spreadsheets/d/1XWAQStnk-4SwqDmLtmXYiTMKHgktTP8We1SCoS47DrQ/edit?usp=sharing"",""จัดที่ดิน!BT69"")"),0)</f>
        <v>0</v>
      </c>
      <c r="K728" s="831">
        <f t="shared" ref="K728:K729" ca="1" si="293">IF(I728&gt;0,J728*100/I728,0)</f>
        <v>0</v>
      </c>
      <c r="L728" s="1380"/>
      <c r="M728" s="963"/>
      <c r="N728" s="1380"/>
      <c r="O728" s="831"/>
      <c r="P728" s="831"/>
      <c r="Q728" s="1244"/>
      <c r="R728" s="1244"/>
      <c r="S728" s="1244"/>
      <c r="T728" s="1244"/>
      <c r="U728" s="1244"/>
      <c r="V728" s="1244"/>
      <c r="W728" s="1244"/>
      <c r="X728" s="1244"/>
      <c r="Y728" s="1244"/>
      <c r="Z728" s="1244"/>
    </row>
    <row r="729" spans="1:26" ht="19.5">
      <c r="A729" s="1368"/>
      <c r="B729" s="1243"/>
      <c r="C729" s="1243"/>
      <c r="D729" s="1243" t="s">
        <v>308</v>
      </c>
      <c r="E729" s="1243"/>
      <c r="F729" s="1243"/>
      <c r="G729" s="963"/>
      <c r="H729" s="733" t="s">
        <v>46</v>
      </c>
      <c r="I729" s="1381">
        <f ca="1">IFERROR(__xludf.DUMMYFUNCTION("IMPORTRANGE(""https://docs.google.com/spreadsheets/d/1QqKyyYR6Q21VydFLVH3TRQUabQu_ym0Zz7PgGX0-kHA/edit?usp=sharing"",""แผน!IP14"")"),0)</f>
        <v>0</v>
      </c>
      <c r="J729" s="966">
        <f>J732+J735</f>
        <v>0</v>
      </c>
      <c r="K729" s="967">
        <f t="shared" ca="1" si="293"/>
        <v>0</v>
      </c>
      <c r="L729" s="831"/>
      <c r="M729" s="963"/>
      <c r="N729" s="1380"/>
      <c r="O729" s="831"/>
      <c r="P729" s="831"/>
      <c r="Q729" s="1244"/>
      <c r="R729" s="1244"/>
      <c r="S729" s="1244"/>
      <c r="T729" s="1244"/>
      <c r="U729" s="1244"/>
      <c r="V729" s="1244"/>
      <c r="W729" s="1244"/>
      <c r="X729" s="1244"/>
      <c r="Y729" s="1244"/>
      <c r="Z729" s="1244"/>
    </row>
    <row r="730" spans="1:26" ht="18.75">
      <c r="A730" s="1368"/>
      <c r="B730" s="1243"/>
      <c r="C730" s="1243"/>
      <c r="D730" s="1243"/>
      <c r="E730" s="1243" t="s">
        <v>309</v>
      </c>
      <c r="F730" s="1243"/>
      <c r="G730" s="963"/>
      <c r="H730" s="730" t="s">
        <v>35</v>
      </c>
      <c r="I730" s="1379"/>
      <c r="J730" s="959">
        <v>0</v>
      </c>
      <c r="K730" s="831"/>
      <c r="L730" s="1380"/>
      <c r="M730" s="831"/>
      <c r="N730" s="1380"/>
      <c r="O730" s="831"/>
      <c r="P730" s="831"/>
      <c r="Q730" s="1244"/>
      <c r="R730" s="1244"/>
      <c r="S730" s="1244"/>
      <c r="T730" s="1244"/>
      <c r="U730" s="1244"/>
      <c r="V730" s="1244"/>
      <c r="W730" s="1244"/>
      <c r="X730" s="1244"/>
      <c r="Y730" s="1244"/>
      <c r="Z730" s="1244"/>
    </row>
    <row r="731" spans="1:26" ht="18.75">
      <c r="A731" s="1368"/>
      <c r="B731" s="1243"/>
      <c r="C731" s="1243"/>
      <c r="D731" s="1243"/>
      <c r="E731" s="1243"/>
      <c r="F731" s="1243"/>
      <c r="G731" s="963"/>
      <c r="H731" s="730" t="s">
        <v>34</v>
      </c>
      <c r="I731" s="1379"/>
      <c r="J731" s="959">
        <v>0</v>
      </c>
      <c r="K731" s="831"/>
      <c r="L731" s="1380"/>
      <c r="M731" s="831"/>
      <c r="N731" s="1380"/>
      <c r="O731" s="831"/>
      <c r="P731" s="831"/>
      <c r="Q731" s="1244"/>
      <c r="R731" s="1244"/>
      <c r="S731" s="1244"/>
      <c r="T731" s="1244"/>
      <c r="U731" s="1244"/>
      <c r="V731" s="1244"/>
      <c r="W731" s="1244"/>
      <c r="X731" s="1244"/>
      <c r="Y731" s="1244"/>
      <c r="Z731" s="1244"/>
    </row>
    <row r="732" spans="1:26" ht="18.75">
      <c r="A732" s="1368"/>
      <c r="B732" s="1243"/>
      <c r="C732" s="1243"/>
      <c r="D732" s="1243"/>
      <c r="E732" s="1243"/>
      <c r="F732" s="1243"/>
      <c r="G732" s="963"/>
      <c r="H732" s="730" t="s">
        <v>46</v>
      </c>
      <c r="I732" s="1379"/>
      <c r="J732" s="959">
        <v>0</v>
      </c>
      <c r="K732" s="831"/>
      <c r="L732" s="1380"/>
      <c r="M732" s="831"/>
      <c r="N732" s="1380"/>
      <c r="O732" s="831"/>
      <c r="P732" s="831"/>
      <c r="Q732" s="1244"/>
      <c r="R732" s="1244"/>
      <c r="S732" s="1244"/>
      <c r="T732" s="1244"/>
      <c r="U732" s="1244"/>
      <c r="V732" s="1244"/>
      <c r="W732" s="1244"/>
      <c r="X732" s="1244"/>
      <c r="Y732" s="1244"/>
      <c r="Z732" s="1244"/>
    </row>
    <row r="733" spans="1:26" ht="18.75">
      <c r="A733" s="1368"/>
      <c r="B733" s="1243"/>
      <c r="C733" s="1243"/>
      <c r="D733" s="1243"/>
      <c r="E733" s="1243" t="s">
        <v>310</v>
      </c>
      <c r="F733" s="1243"/>
      <c r="G733" s="963"/>
      <c r="H733" s="730" t="s">
        <v>35</v>
      </c>
      <c r="I733" s="1379"/>
      <c r="J733" s="959">
        <v>0</v>
      </c>
      <c r="K733" s="831"/>
      <c r="L733" s="1380"/>
      <c r="M733" s="831"/>
      <c r="N733" s="1380"/>
      <c r="O733" s="831"/>
      <c r="P733" s="831"/>
      <c r="Q733" s="1244"/>
      <c r="R733" s="1244"/>
      <c r="S733" s="1244"/>
      <c r="T733" s="1244"/>
      <c r="U733" s="1244"/>
      <c r="V733" s="1244"/>
      <c r="W733" s="1244"/>
      <c r="X733" s="1244"/>
      <c r="Y733" s="1244"/>
      <c r="Z733" s="1244"/>
    </row>
    <row r="734" spans="1:26" ht="18.75">
      <c r="A734" s="1368"/>
      <c r="B734" s="1243"/>
      <c r="C734" s="1243"/>
      <c r="D734" s="1243"/>
      <c r="E734" s="1243"/>
      <c r="F734" s="1243"/>
      <c r="G734" s="963"/>
      <c r="H734" s="730" t="s">
        <v>34</v>
      </c>
      <c r="I734" s="1379"/>
      <c r="J734" s="959">
        <v>0</v>
      </c>
      <c r="K734" s="831"/>
      <c r="L734" s="1380"/>
      <c r="M734" s="831"/>
      <c r="N734" s="1380"/>
      <c r="O734" s="831"/>
      <c r="P734" s="831"/>
      <c r="Q734" s="1244"/>
      <c r="R734" s="1244"/>
      <c r="S734" s="1244"/>
      <c r="T734" s="1244"/>
      <c r="U734" s="1244"/>
      <c r="V734" s="1244"/>
      <c r="W734" s="1244"/>
      <c r="X734" s="1244"/>
      <c r="Y734" s="1244"/>
      <c r="Z734" s="1244"/>
    </row>
    <row r="735" spans="1:26" ht="19.5">
      <c r="A735" s="1382"/>
      <c r="B735" s="1383" t="s">
        <v>311</v>
      </c>
      <c r="C735" s="1116"/>
      <c r="D735" s="1116"/>
      <c r="E735" s="1116"/>
      <c r="F735" s="1116"/>
      <c r="G735" s="1361"/>
      <c r="H735" s="391" t="s">
        <v>46</v>
      </c>
      <c r="I735" s="1384"/>
      <c r="J735" s="1118">
        <v>0</v>
      </c>
      <c r="K735" s="1182"/>
      <c r="L735" s="1385"/>
      <c r="M735" s="1182"/>
      <c r="N735" s="1385"/>
      <c r="O735" s="1182"/>
      <c r="P735" s="1182"/>
      <c r="Q735" s="1244"/>
      <c r="R735" s="1244"/>
      <c r="S735" s="1244"/>
      <c r="T735" s="1244"/>
      <c r="U735" s="1244"/>
      <c r="V735" s="1244"/>
      <c r="W735" s="1244"/>
      <c r="X735" s="1244"/>
      <c r="Y735" s="1244"/>
      <c r="Z735" s="1244"/>
    </row>
    <row r="736" spans="1:26" ht="19.5" hidden="1">
      <c r="A736" s="740">
        <v>9</v>
      </c>
      <c r="B736" s="1386" t="s">
        <v>312</v>
      </c>
      <c r="C736" s="1387"/>
      <c r="D736" s="1387"/>
      <c r="E736" s="1387"/>
      <c r="F736" s="1387"/>
      <c r="G736" s="1388"/>
      <c r="H736" s="744" t="s">
        <v>46</v>
      </c>
      <c r="I736" s="1389"/>
      <c r="J736" s="1389">
        <f>J751</f>
        <v>0</v>
      </c>
      <c r="K736" s="1390">
        <f>IF(I736&gt;0,J736*100/I736,0)</f>
        <v>0</v>
      </c>
      <c r="L736" s="1391"/>
      <c r="M736" s="1391"/>
      <c r="N736" s="1391"/>
      <c r="O736" s="1391"/>
      <c r="P736" s="1391"/>
      <c r="Q736" s="1264"/>
      <c r="R736" s="1264"/>
      <c r="S736" s="1264"/>
      <c r="T736" s="1264"/>
      <c r="U736" s="1264"/>
      <c r="V736" s="1264"/>
      <c r="W736" s="1264"/>
      <c r="X736" s="1264"/>
      <c r="Y736" s="1264"/>
      <c r="Z736" s="1264"/>
    </row>
    <row r="737" spans="1:26" ht="19.5" hidden="1">
      <c r="A737" s="1260"/>
      <c r="B737" s="1261"/>
      <c r="C737" s="1261" t="s">
        <v>16</v>
      </c>
      <c r="D737" s="1508" t="s">
        <v>17</v>
      </c>
      <c r="E737" s="1485"/>
      <c r="F737" s="1485"/>
      <c r="G737" s="1263"/>
      <c r="H737" s="612" t="s">
        <v>12</v>
      </c>
      <c r="I737" s="836"/>
      <c r="J737" s="836"/>
      <c r="K737" s="837"/>
      <c r="L737" s="1292">
        <f t="shared" ref="L737:N737" si="294">L738+L739</f>
        <v>0</v>
      </c>
      <c r="M737" s="1292">
        <f t="shared" si="294"/>
        <v>0</v>
      </c>
      <c r="N737" s="1292">
        <f t="shared" si="294"/>
        <v>0</v>
      </c>
      <c r="O737" s="1292">
        <f t="shared" ref="O737:O742" si="295">IF(L737&gt;0,N737*100/L737,0)</f>
        <v>0</v>
      </c>
      <c r="P737" s="1292">
        <f t="shared" ref="P737:P742" si="296">IF(M737&gt;0,N737*100/M737,0)</f>
        <v>0</v>
      </c>
      <c r="Q737" s="1264"/>
      <c r="R737" s="1264"/>
      <c r="S737" s="1264"/>
      <c r="T737" s="1264"/>
      <c r="U737" s="1264"/>
      <c r="V737" s="1264"/>
      <c r="W737" s="1264"/>
      <c r="X737" s="1264"/>
      <c r="Y737" s="1264"/>
      <c r="Z737" s="1264"/>
    </row>
    <row r="738" spans="1:26" ht="18.75" hidden="1">
      <c r="A738" s="1260"/>
      <c r="B738" s="1261"/>
      <c r="C738" s="1261"/>
      <c r="D738" s="1262"/>
      <c r="E738" s="1261" t="s">
        <v>184</v>
      </c>
      <c r="F738" s="1261"/>
      <c r="G738" s="1263"/>
      <c r="H738" s="165" t="s">
        <v>12</v>
      </c>
      <c r="I738" s="836"/>
      <c r="J738" s="836"/>
      <c r="K738" s="837"/>
      <c r="L738" s="837">
        <f t="shared" ref="L738:N739" si="297">L741+L748</f>
        <v>0</v>
      </c>
      <c r="M738" s="837">
        <f t="shared" si="297"/>
        <v>0</v>
      </c>
      <c r="N738" s="837">
        <f t="shared" si="297"/>
        <v>0</v>
      </c>
      <c r="O738" s="837">
        <f t="shared" si="295"/>
        <v>0</v>
      </c>
      <c r="P738" s="837">
        <f t="shared" si="296"/>
        <v>0</v>
      </c>
      <c r="Q738" s="1264"/>
      <c r="R738" s="1264"/>
      <c r="S738" s="1264"/>
      <c r="T738" s="1264"/>
      <c r="U738" s="1264"/>
      <c r="V738" s="1264"/>
      <c r="W738" s="1264"/>
      <c r="X738" s="1264"/>
      <c r="Y738" s="1264"/>
      <c r="Z738" s="1264"/>
    </row>
    <row r="739" spans="1:26" ht="18.75" hidden="1">
      <c r="A739" s="1260"/>
      <c r="B739" s="1265"/>
      <c r="C739" s="1261"/>
      <c r="D739" s="1262"/>
      <c r="E739" s="1261" t="s">
        <v>185</v>
      </c>
      <c r="F739" s="1261"/>
      <c r="G739" s="1263"/>
      <c r="H739" s="165" t="s">
        <v>12</v>
      </c>
      <c r="I739" s="836"/>
      <c r="J739" s="836"/>
      <c r="K739" s="837"/>
      <c r="L739" s="837">
        <f t="shared" si="297"/>
        <v>0</v>
      </c>
      <c r="M739" s="837">
        <f t="shared" si="297"/>
        <v>0</v>
      </c>
      <c r="N739" s="837">
        <f t="shared" si="297"/>
        <v>0</v>
      </c>
      <c r="O739" s="837">
        <f t="shared" si="295"/>
        <v>0</v>
      </c>
      <c r="P739" s="837">
        <f t="shared" si="296"/>
        <v>0</v>
      </c>
      <c r="Q739" s="1264"/>
      <c r="R739" s="1264"/>
      <c r="S739" s="1264"/>
      <c r="T739" s="1264"/>
      <c r="U739" s="1264"/>
      <c r="V739" s="1264"/>
      <c r="W739" s="1264"/>
      <c r="X739" s="1264"/>
      <c r="Y739" s="1264"/>
      <c r="Z739" s="1264"/>
    </row>
    <row r="740" spans="1:26" ht="19.5" hidden="1">
      <c r="A740" s="1260"/>
      <c r="B740" s="1265"/>
      <c r="C740" s="1261"/>
      <c r="D740" s="1392" t="s">
        <v>20</v>
      </c>
      <c r="E740" s="1261"/>
      <c r="F740" s="1261"/>
      <c r="G740" s="1263"/>
      <c r="H740" s="612" t="s">
        <v>12</v>
      </c>
      <c r="I740" s="947"/>
      <c r="J740" s="947"/>
      <c r="K740" s="948"/>
      <c r="L740" s="1292">
        <f t="shared" ref="L740:N740" si="298">L741+L742</f>
        <v>0</v>
      </c>
      <c r="M740" s="1292">
        <f t="shared" si="298"/>
        <v>0</v>
      </c>
      <c r="N740" s="1292">
        <f t="shared" si="298"/>
        <v>0</v>
      </c>
      <c r="O740" s="1292">
        <f t="shared" si="295"/>
        <v>0</v>
      </c>
      <c r="P740" s="1292">
        <f t="shared" si="296"/>
        <v>0</v>
      </c>
      <c r="Q740" s="1264"/>
      <c r="R740" s="1264"/>
      <c r="S740" s="1264"/>
      <c r="T740" s="1264"/>
      <c r="U740" s="1264"/>
      <c r="V740" s="1264"/>
      <c r="W740" s="1264"/>
      <c r="X740" s="1264"/>
      <c r="Y740" s="1264"/>
      <c r="Z740" s="1264"/>
    </row>
    <row r="741" spans="1:26" ht="18.75" hidden="1">
      <c r="A741" s="1260"/>
      <c r="B741" s="1265"/>
      <c r="C741" s="1261"/>
      <c r="D741" s="1262"/>
      <c r="E741" s="1261" t="s">
        <v>184</v>
      </c>
      <c r="F741" s="1261"/>
      <c r="G741" s="1263"/>
      <c r="H741" s="165" t="s">
        <v>12</v>
      </c>
      <c r="I741" s="836"/>
      <c r="J741" s="836"/>
      <c r="K741" s="837"/>
      <c r="L741" s="837">
        <v>0</v>
      </c>
      <c r="M741" s="837">
        <v>0</v>
      </c>
      <c r="N741" s="837">
        <v>0</v>
      </c>
      <c r="O741" s="837">
        <f t="shared" si="295"/>
        <v>0</v>
      </c>
      <c r="P741" s="837">
        <f t="shared" si="296"/>
        <v>0</v>
      </c>
      <c r="Q741" s="1264"/>
      <c r="R741" s="1264"/>
      <c r="S741" s="1264"/>
      <c r="T741" s="1264"/>
      <c r="U741" s="1264"/>
      <c r="V741" s="1264"/>
      <c r="W741" s="1264"/>
      <c r="X741" s="1264"/>
      <c r="Y741" s="1264"/>
      <c r="Z741" s="1264"/>
    </row>
    <row r="742" spans="1:26" ht="18.75" hidden="1">
      <c r="A742" s="1260"/>
      <c r="B742" s="1265"/>
      <c r="C742" s="1261"/>
      <c r="D742" s="1262"/>
      <c r="E742" s="1261" t="s">
        <v>185</v>
      </c>
      <c r="F742" s="1261"/>
      <c r="G742" s="1263"/>
      <c r="H742" s="165" t="s">
        <v>12</v>
      </c>
      <c r="I742" s="836"/>
      <c r="J742" s="836"/>
      <c r="K742" s="837"/>
      <c r="L742" s="837">
        <v>0</v>
      </c>
      <c r="M742" s="837">
        <v>0</v>
      </c>
      <c r="N742" s="837">
        <f>N743+N744+N745+N746</f>
        <v>0</v>
      </c>
      <c r="O742" s="837">
        <f t="shared" si="295"/>
        <v>0</v>
      </c>
      <c r="P742" s="837">
        <f t="shared" si="296"/>
        <v>0</v>
      </c>
      <c r="Q742" s="1264"/>
      <c r="R742" s="1264"/>
      <c r="S742" s="1264"/>
      <c r="T742" s="1264"/>
      <c r="U742" s="1264"/>
      <c r="V742" s="1264"/>
      <c r="W742" s="1264"/>
      <c r="X742" s="1264"/>
      <c r="Y742" s="1264"/>
      <c r="Z742" s="1264"/>
    </row>
    <row r="743" spans="1:26" ht="18.75" hidden="1">
      <c r="A743" s="1294"/>
      <c r="B743" s="1265"/>
      <c r="C743" s="1261"/>
      <c r="D743" s="1261"/>
      <c r="E743" s="1261"/>
      <c r="F743" s="1261" t="s">
        <v>186</v>
      </c>
      <c r="G743" s="1263"/>
      <c r="H743" s="165" t="s">
        <v>12</v>
      </c>
      <c r="I743" s="836"/>
      <c r="J743" s="836"/>
      <c r="K743" s="837"/>
      <c r="L743" s="837"/>
      <c r="M743" s="837"/>
      <c r="N743" s="837"/>
      <c r="O743" s="837"/>
      <c r="P743" s="837"/>
      <c r="Q743" s="1264"/>
      <c r="R743" s="1264"/>
      <c r="S743" s="1264"/>
      <c r="T743" s="1264"/>
      <c r="U743" s="1264"/>
      <c r="V743" s="1264"/>
      <c r="W743" s="1264"/>
      <c r="X743" s="1264"/>
      <c r="Y743" s="1264"/>
      <c r="Z743" s="1264"/>
    </row>
    <row r="744" spans="1:26" ht="18.75" hidden="1">
      <c r="A744" s="1294"/>
      <c r="B744" s="1265"/>
      <c r="C744" s="1261"/>
      <c r="D744" s="1261"/>
      <c r="E744" s="1261"/>
      <c r="F744" s="1261" t="s">
        <v>187</v>
      </c>
      <c r="G744" s="1263"/>
      <c r="H744" s="165" t="s">
        <v>12</v>
      </c>
      <c r="I744" s="836"/>
      <c r="J744" s="836"/>
      <c r="K744" s="837"/>
      <c r="L744" s="837"/>
      <c r="M744" s="837"/>
      <c r="N744" s="837"/>
      <c r="O744" s="837"/>
      <c r="P744" s="837"/>
      <c r="Q744" s="1264"/>
      <c r="R744" s="1264"/>
      <c r="S744" s="1264"/>
      <c r="T744" s="1264"/>
      <c r="U744" s="1264"/>
      <c r="V744" s="1264"/>
      <c r="W744" s="1264"/>
      <c r="X744" s="1264"/>
      <c r="Y744" s="1264"/>
      <c r="Z744" s="1264"/>
    </row>
    <row r="745" spans="1:26" ht="18.75" hidden="1">
      <c r="A745" s="1294"/>
      <c r="B745" s="1265"/>
      <c r="C745" s="1261"/>
      <c r="D745" s="1261"/>
      <c r="E745" s="1261"/>
      <c r="F745" s="1261" t="s">
        <v>188</v>
      </c>
      <c r="G745" s="1263"/>
      <c r="H745" s="165" t="s">
        <v>12</v>
      </c>
      <c r="I745" s="836"/>
      <c r="J745" s="836"/>
      <c r="K745" s="837"/>
      <c r="L745" s="837"/>
      <c r="M745" s="837"/>
      <c r="N745" s="837"/>
      <c r="O745" s="837"/>
      <c r="P745" s="837"/>
      <c r="Q745" s="1264"/>
      <c r="R745" s="1264"/>
      <c r="S745" s="1264"/>
      <c r="T745" s="1264"/>
      <c r="U745" s="1264"/>
      <c r="V745" s="1264"/>
      <c r="W745" s="1264"/>
      <c r="X745" s="1264"/>
      <c r="Y745" s="1264"/>
      <c r="Z745" s="1264"/>
    </row>
    <row r="746" spans="1:26" ht="18.75" hidden="1">
      <c r="A746" s="1294"/>
      <c r="B746" s="1265"/>
      <c r="C746" s="1261"/>
      <c r="D746" s="1261"/>
      <c r="E746" s="1261"/>
      <c r="F746" s="1261" t="s">
        <v>189</v>
      </c>
      <c r="G746" s="1263"/>
      <c r="H746" s="165" t="s">
        <v>12</v>
      </c>
      <c r="I746" s="836"/>
      <c r="J746" s="836"/>
      <c r="K746" s="837"/>
      <c r="L746" s="837"/>
      <c r="M746" s="837"/>
      <c r="N746" s="837"/>
      <c r="O746" s="837"/>
      <c r="P746" s="837"/>
      <c r="Q746" s="1264"/>
      <c r="R746" s="1264"/>
      <c r="S746" s="1264"/>
      <c r="T746" s="1264"/>
      <c r="U746" s="1264"/>
      <c r="V746" s="1264"/>
      <c r="W746" s="1264"/>
      <c r="X746" s="1264"/>
      <c r="Y746" s="1264"/>
      <c r="Z746" s="1264"/>
    </row>
    <row r="747" spans="1:26" ht="19.5" hidden="1">
      <c r="A747" s="1260"/>
      <c r="B747" s="1265"/>
      <c r="C747" s="1261"/>
      <c r="D747" s="1392" t="s">
        <v>21</v>
      </c>
      <c r="E747" s="1261"/>
      <c r="F747" s="1261"/>
      <c r="G747" s="1263"/>
      <c r="H747" s="749" t="s">
        <v>12</v>
      </c>
      <c r="I747" s="947"/>
      <c r="J747" s="947"/>
      <c r="K747" s="948"/>
      <c r="L747" s="1292">
        <f t="shared" ref="L747:N747" si="299">L748+L749</f>
        <v>0</v>
      </c>
      <c r="M747" s="1292">
        <f t="shared" si="299"/>
        <v>0</v>
      </c>
      <c r="N747" s="1292">
        <f t="shared" si="299"/>
        <v>0</v>
      </c>
      <c r="O747" s="1292">
        <f t="shared" ref="O747:O749" si="300">IF(L747&gt;0,N747*100/L747,0)</f>
        <v>0</v>
      </c>
      <c r="P747" s="1292">
        <f t="shared" ref="P747:P749" si="301">IF(M747&gt;0,N747*100/M747,0)</f>
        <v>0</v>
      </c>
      <c r="Q747" s="1264"/>
      <c r="R747" s="1264"/>
      <c r="S747" s="1264"/>
      <c r="T747" s="1264"/>
      <c r="U747" s="1264"/>
      <c r="V747" s="1264"/>
      <c r="W747" s="1264"/>
      <c r="X747" s="1264"/>
      <c r="Y747" s="1264"/>
      <c r="Z747" s="1264"/>
    </row>
    <row r="748" spans="1:26" ht="18.75" hidden="1">
      <c r="A748" s="1260"/>
      <c r="B748" s="1265"/>
      <c r="C748" s="1261"/>
      <c r="D748" s="1261"/>
      <c r="E748" s="1261" t="s">
        <v>18</v>
      </c>
      <c r="F748" s="1261"/>
      <c r="G748" s="1263"/>
      <c r="H748" s="165" t="s">
        <v>12</v>
      </c>
      <c r="I748" s="947"/>
      <c r="J748" s="947"/>
      <c r="K748" s="948"/>
      <c r="L748" s="837">
        <v>0</v>
      </c>
      <c r="M748" s="837">
        <v>0</v>
      </c>
      <c r="N748" s="837">
        <v>0</v>
      </c>
      <c r="O748" s="837">
        <f t="shared" si="300"/>
        <v>0</v>
      </c>
      <c r="P748" s="837">
        <f t="shared" si="301"/>
        <v>0</v>
      </c>
      <c r="Q748" s="1264"/>
      <c r="R748" s="1264"/>
      <c r="S748" s="1264"/>
      <c r="T748" s="1264"/>
      <c r="U748" s="1264"/>
      <c r="V748" s="1264"/>
      <c r="W748" s="1264"/>
      <c r="X748" s="1264"/>
      <c r="Y748" s="1264"/>
      <c r="Z748" s="1264"/>
    </row>
    <row r="749" spans="1:26" ht="18.75" hidden="1">
      <c r="A749" s="1260"/>
      <c r="B749" s="1265"/>
      <c r="C749" s="1261"/>
      <c r="D749" s="1261"/>
      <c r="E749" s="1261" t="s">
        <v>19</v>
      </c>
      <c r="F749" s="1261"/>
      <c r="G749" s="1263"/>
      <c r="H749" s="169" t="s">
        <v>12</v>
      </c>
      <c r="I749" s="947"/>
      <c r="J749" s="947"/>
      <c r="K749" s="948"/>
      <c r="L749" s="837">
        <v>0</v>
      </c>
      <c r="M749" s="837">
        <v>0</v>
      </c>
      <c r="N749" s="837">
        <v>0</v>
      </c>
      <c r="O749" s="837">
        <f t="shared" si="300"/>
        <v>0</v>
      </c>
      <c r="P749" s="837">
        <f t="shared" si="301"/>
        <v>0</v>
      </c>
      <c r="Q749" s="1264"/>
      <c r="R749" s="1264"/>
      <c r="S749" s="1264"/>
      <c r="T749" s="1264"/>
      <c r="U749" s="1264"/>
      <c r="V749" s="1264"/>
      <c r="W749" s="1264"/>
      <c r="X749" s="1264"/>
      <c r="Y749" s="1264"/>
      <c r="Z749" s="1264"/>
    </row>
    <row r="750" spans="1:26" ht="19.5" hidden="1">
      <c r="A750" s="1273"/>
      <c r="B750" s="1274"/>
      <c r="C750" s="1261" t="s">
        <v>16</v>
      </c>
      <c r="D750" s="1393" t="s">
        <v>38</v>
      </c>
      <c r="E750" s="1296"/>
      <c r="F750" s="1296"/>
      <c r="G750" s="1297"/>
      <c r="H750" s="1060"/>
      <c r="I750" s="947"/>
      <c r="J750" s="947"/>
      <c r="K750" s="948"/>
      <c r="L750" s="948"/>
      <c r="M750" s="948"/>
      <c r="N750" s="948"/>
      <c r="O750" s="948"/>
      <c r="P750" s="948"/>
      <c r="Q750" s="1264"/>
      <c r="R750" s="1264"/>
      <c r="S750" s="1264"/>
      <c r="T750" s="1264"/>
      <c r="U750" s="1264"/>
      <c r="V750" s="1264"/>
      <c r="W750" s="1264"/>
      <c r="X750" s="1264"/>
      <c r="Y750" s="1264"/>
      <c r="Z750" s="1264"/>
    </row>
    <row r="751" spans="1:26" ht="18.75" hidden="1">
      <c r="A751" s="1294"/>
      <c r="B751" s="1265"/>
      <c r="C751" s="1261"/>
      <c r="D751" s="1261"/>
      <c r="E751" s="1261" t="s">
        <v>313</v>
      </c>
      <c r="F751" s="1261"/>
      <c r="G751" s="1263"/>
      <c r="H751" s="165" t="s">
        <v>46</v>
      </c>
      <c r="I751" s="836"/>
      <c r="J751" s="836"/>
      <c r="K751" s="837"/>
      <c r="L751" s="837"/>
      <c r="M751" s="837"/>
      <c r="N751" s="837"/>
      <c r="O751" s="837"/>
      <c r="P751" s="837"/>
      <c r="Q751" s="1264"/>
      <c r="R751" s="1264"/>
      <c r="S751" s="1264"/>
      <c r="T751" s="1264"/>
      <c r="U751" s="1264"/>
      <c r="V751" s="1264"/>
      <c r="W751" s="1264"/>
      <c r="X751" s="1264"/>
      <c r="Y751" s="1264"/>
      <c r="Z751" s="1264"/>
    </row>
    <row r="752" spans="1:26" ht="18.75" hidden="1">
      <c r="A752" s="1294"/>
      <c r="B752" s="1265"/>
      <c r="C752" s="1261"/>
      <c r="D752" s="1261"/>
      <c r="E752" s="1261"/>
      <c r="F752" s="1261"/>
      <c r="G752" s="1263"/>
      <c r="H752" s="165" t="s">
        <v>314</v>
      </c>
      <c r="I752" s="836"/>
      <c r="J752" s="836"/>
      <c r="K752" s="837"/>
      <c r="L752" s="837"/>
      <c r="M752" s="837"/>
      <c r="N752" s="837"/>
      <c r="O752" s="837"/>
      <c r="P752" s="837"/>
      <c r="Q752" s="1264"/>
      <c r="R752" s="1264"/>
      <c r="S752" s="1264"/>
      <c r="T752" s="1264"/>
      <c r="U752" s="1264"/>
      <c r="V752" s="1264"/>
      <c r="W752" s="1264"/>
      <c r="X752" s="1264"/>
      <c r="Y752" s="1264"/>
      <c r="Z752" s="1264"/>
    </row>
    <row r="753" spans="1:26" ht="19.5" hidden="1">
      <c r="A753" s="751">
        <v>10</v>
      </c>
      <c r="B753" s="1394" t="s">
        <v>315</v>
      </c>
      <c r="C753" s="1395"/>
      <c r="D753" s="1395"/>
      <c r="E753" s="1395"/>
      <c r="F753" s="1395"/>
      <c r="G753" s="1396"/>
      <c r="H753" s="755" t="s">
        <v>46</v>
      </c>
      <c r="I753" s="1397"/>
      <c r="J753" s="1397">
        <f>J768</f>
        <v>0</v>
      </c>
      <c r="K753" s="1398">
        <f>IF(I753&gt;0,J753*100/I753,0)</f>
        <v>0</v>
      </c>
      <c r="L753" s="1399"/>
      <c r="M753" s="1399"/>
      <c r="N753" s="1399"/>
      <c r="O753" s="1399"/>
      <c r="P753" s="1399"/>
      <c r="Q753" s="1264"/>
      <c r="R753" s="1264"/>
      <c r="S753" s="1264"/>
      <c r="T753" s="1264"/>
      <c r="U753" s="1264"/>
      <c r="V753" s="1264"/>
      <c r="W753" s="1264"/>
      <c r="X753" s="1264"/>
      <c r="Y753" s="1264"/>
      <c r="Z753" s="1264"/>
    </row>
    <row r="754" spans="1:26" ht="19.5" hidden="1">
      <c r="A754" s="1260"/>
      <c r="B754" s="1261"/>
      <c r="C754" s="1261" t="s">
        <v>16</v>
      </c>
      <c r="D754" s="1508" t="s">
        <v>17</v>
      </c>
      <c r="E754" s="1485"/>
      <c r="F754" s="1485"/>
      <c r="G754" s="1263"/>
      <c r="H754" s="612" t="s">
        <v>12</v>
      </c>
      <c r="I754" s="836"/>
      <c r="J754" s="836"/>
      <c r="K754" s="837"/>
      <c r="L754" s="1292">
        <f t="shared" ref="L754:N754" si="302">L755+L756</f>
        <v>0</v>
      </c>
      <c r="M754" s="1292">
        <f t="shared" si="302"/>
        <v>0</v>
      </c>
      <c r="N754" s="1292">
        <f t="shared" si="302"/>
        <v>0</v>
      </c>
      <c r="O754" s="1292">
        <f t="shared" ref="O754:O759" si="303">IF(L754&gt;0,N754*100/L754,0)</f>
        <v>0</v>
      </c>
      <c r="P754" s="1292">
        <f t="shared" ref="P754:P759" si="304">IF(M754&gt;0,N754*100/M754,0)</f>
        <v>0</v>
      </c>
      <c r="Q754" s="1264"/>
      <c r="R754" s="1264"/>
      <c r="S754" s="1264"/>
      <c r="T754" s="1264"/>
      <c r="U754" s="1264"/>
      <c r="V754" s="1264"/>
      <c r="W754" s="1264"/>
      <c r="X754" s="1264"/>
      <c r="Y754" s="1264"/>
      <c r="Z754" s="1264"/>
    </row>
    <row r="755" spans="1:26" ht="18.75" hidden="1">
      <c r="A755" s="1260"/>
      <c r="B755" s="1261"/>
      <c r="C755" s="1261"/>
      <c r="D755" s="1262"/>
      <c r="E755" s="1261" t="s">
        <v>184</v>
      </c>
      <c r="F755" s="1261"/>
      <c r="G755" s="1263"/>
      <c r="H755" s="165" t="s">
        <v>12</v>
      </c>
      <c r="I755" s="836"/>
      <c r="J755" s="836"/>
      <c r="K755" s="837"/>
      <c r="L755" s="837">
        <f t="shared" ref="L755:N756" si="305">L758+L765</f>
        <v>0</v>
      </c>
      <c r="M755" s="837">
        <f t="shared" si="305"/>
        <v>0</v>
      </c>
      <c r="N755" s="837">
        <f t="shared" si="305"/>
        <v>0</v>
      </c>
      <c r="O755" s="837">
        <f t="shared" si="303"/>
        <v>0</v>
      </c>
      <c r="P755" s="837">
        <f t="shared" si="304"/>
        <v>0</v>
      </c>
      <c r="Q755" s="1264"/>
      <c r="R755" s="1264"/>
      <c r="S755" s="1264"/>
      <c r="T755" s="1264"/>
      <c r="U755" s="1264"/>
      <c r="V755" s="1264"/>
      <c r="W755" s="1264"/>
      <c r="X755" s="1264"/>
      <c r="Y755" s="1264"/>
      <c r="Z755" s="1264"/>
    </row>
    <row r="756" spans="1:26" ht="18.75" hidden="1">
      <c r="A756" s="1260"/>
      <c r="B756" s="1265"/>
      <c r="C756" s="1261"/>
      <c r="D756" s="1262"/>
      <c r="E756" s="1261" t="s">
        <v>185</v>
      </c>
      <c r="F756" s="1261"/>
      <c r="G756" s="1263"/>
      <c r="H756" s="165" t="s">
        <v>12</v>
      </c>
      <c r="I756" s="836"/>
      <c r="J756" s="836"/>
      <c r="K756" s="837"/>
      <c r="L756" s="837">
        <f t="shared" si="305"/>
        <v>0</v>
      </c>
      <c r="M756" s="837">
        <f t="shared" si="305"/>
        <v>0</v>
      </c>
      <c r="N756" s="837">
        <f t="shared" si="305"/>
        <v>0</v>
      </c>
      <c r="O756" s="837">
        <f t="shared" si="303"/>
        <v>0</v>
      </c>
      <c r="P756" s="837">
        <f t="shared" si="304"/>
        <v>0</v>
      </c>
      <c r="Q756" s="1264"/>
      <c r="R756" s="1264"/>
      <c r="S756" s="1264"/>
      <c r="T756" s="1264"/>
      <c r="U756" s="1264"/>
      <c r="V756" s="1264"/>
      <c r="W756" s="1264"/>
      <c r="X756" s="1264"/>
      <c r="Y756" s="1264"/>
      <c r="Z756" s="1264"/>
    </row>
    <row r="757" spans="1:26" ht="19.5" hidden="1">
      <c r="A757" s="1260"/>
      <c r="B757" s="1265"/>
      <c r="C757" s="1261"/>
      <c r="D757" s="1392" t="s">
        <v>20</v>
      </c>
      <c r="E757" s="1261"/>
      <c r="F757" s="1261"/>
      <c r="G757" s="1263"/>
      <c r="H757" s="612" t="s">
        <v>12</v>
      </c>
      <c r="I757" s="947"/>
      <c r="J757" s="947"/>
      <c r="K757" s="948"/>
      <c r="L757" s="1292">
        <f t="shared" ref="L757:N757" si="306">L758+L759</f>
        <v>0</v>
      </c>
      <c r="M757" s="1292">
        <f t="shared" si="306"/>
        <v>0</v>
      </c>
      <c r="N757" s="1292">
        <f t="shared" si="306"/>
        <v>0</v>
      </c>
      <c r="O757" s="1292">
        <f t="shared" si="303"/>
        <v>0</v>
      </c>
      <c r="P757" s="1292">
        <f t="shared" si="304"/>
        <v>0</v>
      </c>
      <c r="Q757" s="1264"/>
      <c r="R757" s="1264"/>
      <c r="S757" s="1264"/>
      <c r="T757" s="1264"/>
      <c r="U757" s="1264"/>
      <c r="V757" s="1264"/>
      <c r="W757" s="1264"/>
      <c r="X757" s="1264"/>
      <c r="Y757" s="1264"/>
      <c r="Z757" s="1264"/>
    </row>
    <row r="758" spans="1:26" ht="18.75" hidden="1">
      <c r="A758" s="1260"/>
      <c r="B758" s="1265"/>
      <c r="C758" s="1261"/>
      <c r="D758" s="1262"/>
      <c r="E758" s="1261" t="s">
        <v>184</v>
      </c>
      <c r="F758" s="1261"/>
      <c r="G758" s="1263"/>
      <c r="H758" s="165" t="s">
        <v>12</v>
      </c>
      <c r="I758" s="836"/>
      <c r="J758" s="836"/>
      <c r="K758" s="837"/>
      <c r="L758" s="837">
        <v>0</v>
      </c>
      <c r="M758" s="837">
        <v>0</v>
      </c>
      <c r="N758" s="837">
        <v>0</v>
      </c>
      <c r="O758" s="837">
        <f t="shared" si="303"/>
        <v>0</v>
      </c>
      <c r="P758" s="837">
        <f t="shared" si="304"/>
        <v>0</v>
      </c>
      <c r="Q758" s="1264"/>
      <c r="R758" s="1264"/>
      <c r="S758" s="1264"/>
      <c r="T758" s="1264"/>
      <c r="U758" s="1264"/>
      <c r="V758" s="1264"/>
      <c r="W758" s="1264"/>
      <c r="X758" s="1264"/>
      <c r="Y758" s="1264"/>
      <c r="Z758" s="1264"/>
    </row>
    <row r="759" spans="1:26" ht="18.75" hidden="1">
      <c r="A759" s="1260"/>
      <c r="B759" s="1265"/>
      <c r="C759" s="1261"/>
      <c r="D759" s="1262"/>
      <c r="E759" s="1261" t="s">
        <v>185</v>
      </c>
      <c r="F759" s="1261"/>
      <c r="G759" s="1263"/>
      <c r="H759" s="165" t="s">
        <v>12</v>
      </c>
      <c r="I759" s="836"/>
      <c r="J759" s="836"/>
      <c r="K759" s="837"/>
      <c r="L759" s="837">
        <v>0</v>
      </c>
      <c r="M759" s="837">
        <v>0</v>
      </c>
      <c r="N759" s="837">
        <f>N760+N761+N762+N763</f>
        <v>0</v>
      </c>
      <c r="O759" s="837">
        <f t="shared" si="303"/>
        <v>0</v>
      </c>
      <c r="P759" s="837">
        <f t="shared" si="304"/>
        <v>0</v>
      </c>
      <c r="Q759" s="1264"/>
      <c r="R759" s="1264"/>
      <c r="S759" s="1264"/>
      <c r="T759" s="1264"/>
      <c r="U759" s="1264"/>
      <c r="V759" s="1264"/>
      <c r="W759" s="1264"/>
      <c r="X759" s="1264"/>
      <c r="Y759" s="1264"/>
      <c r="Z759" s="1264"/>
    </row>
    <row r="760" spans="1:26" ht="18.75" hidden="1">
      <c r="A760" s="1294"/>
      <c r="B760" s="1265"/>
      <c r="C760" s="1261"/>
      <c r="D760" s="1261"/>
      <c r="E760" s="1261"/>
      <c r="F760" s="1261" t="s">
        <v>186</v>
      </c>
      <c r="G760" s="1263"/>
      <c r="H760" s="165" t="s">
        <v>12</v>
      </c>
      <c r="I760" s="836"/>
      <c r="J760" s="836"/>
      <c r="K760" s="837"/>
      <c r="L760" s="837"/>
      <c r="M760" s="837"/>
      <c r="N760" s="837"/>
      <c r="O760" s="837"/>
      <c r="P760" s="837"/>
      <c r="Q760" s="1264"/>
      <c r="R760" s="1264"/>
      <c r="S760" s="1264"/>
      <c r="T760" s="1264"/>
      <c r="U760" s="1264"/>
      <c r="V760" s="1264"/>
      <c r="W760" s="1264"/>
      <c r="X760" s="1264"/>
      <c r="Y760" s="1264"/>
      <c r="Z760" s="1264"/>
    </row>
    <row r="761" spans="1:26" ht="18.75" hidden="1">
      <c r="A761" s="1294"/>
      <c r="B761" s="1265"/>
      <c r="C761" s="1261"/>
      <c r="D761" s="1261"/>
      <c r="E761" s="1261"/>
      <c r="F761" s="1261" t="s">
        <v>187</v>
      </c>
      <c r="G761" s="1263"/>
      <c r="H761" s="165" t="s">
        <v>12</v>
      </c>
      <c r="I761" s="836"/>
      <c r="J761" s="836"/>
      <c r="K761" s="837"/>
      <c r="L761" s="837"/>
      <c r="M761" s="837"/>
      <c r="N761" s="837"/>
      <c r="O761" s="837"/>
      <c r="P761" s="837"/>
      <c r="Q761" s="1264"/>
      <c r="R761" s="1264"/>
      <c r="S761" s="1264"/>
      <c r="T761" s="1264"/>
      <c r="U761" s="1264"/>
      <c r="V761" s="1264"/>
      <c r="W761" s="1264"/>
      <c r="X761" s="1264"/>
      <c r="Y761" s="1264"/>
      <c r="Z761" s="1264"/>
    </row>
    <row r="762" spans="1:26" ht="18.75" hidden="1">
      <c r="A762" s="1294"/>
      <c r="B762" s="1265"/>
      <c r="C762" s="1261"/>
      <c r="D762" s="1261"/>
      <c r="E762" s="1261"/>
      <c r="F762" s="1261" t="s">
        <v>188</v>
      </c>
      <c r="G762" s="1263"/>
      <c r="H762" s="165" t="s">
        <v>12</v>
      </c>
      <c r="I762" s="836"/>
      <c r="J762" s="836"/>
      <c r="K762" s="837"/>
      <c r="L762" s="837"/>
      <c r="M762" s="837"/>
      <c r="N762" s="837"/>
      <c r="O762" s="837"/>
      <c r="P762" s="837"/>
      <c r="Q762" s="1264"/>
      <c r="R762" s="1264"/>
      <c r="S762" s="1264"/>
      <c r="T762" s="1264"/>
      <c r="U762" s="1264"/>
      <c r="V762" s="1264"/>
      <c r="W762" s="1264"/>
      <c r="X762" s="1264"/>
      <c r="Y762" s="1264"/>
      <c r="Z762" s="1264"/>
    </row>
    <row r="763" spans="1:26" ht="18.75" hidden="1">
      <c r="A763" s="1294"/>
      <c r="B763" s="1265"/>
      <c r="C763" s="1261"/>
      <c r="D763" s="1261"/>
      <c r="E763" s="1261"/>
      <c r="F763" s="1261" t="s">
        <v>189</v>
      </c>
      <c r="G763" s="1263"/>
      <c r="H763" s="165" t="s">
        <v>12</v>
      </c>
      <c r="I763" s="836"/>
      <c r="J763" s="836"/>
      <c r="K763" s="837"/>
      <c r="L763" s="837"/>
      <c r="M763" s="837"/>
      <c r="N763" s="837"/>
      <c r="O763" s="837"/>
      <c r="P763" s="837"/>
      <c r="Q763" s="1264"/>
      <c r="R763" s="1264"/>
      <c r="S763" s="1264"/>
      <c r="T763" s="1264"/>
      <c r="U763" s="1264"/>
      <c r="V763" s="1264"/>
      <c r="W763" s="1264"/>
      <c r="X763" s="1264"/>
      <c r="Y763" s="1264"/>
      <c r="Z763" s="1264"/>
    </row>
    <row r="764" spans="1:26" ht="19.5" hidden="1">
      <c r="A764" s="1260"/>
      <c r="B764" s="1265"/>
      <c r="C764" s="1261"/>
      <c r="D764" s="1392" t="s">
        <v>21</v>
      </c>
      <c r="E764" s="1261"/>
      <c r="F764" s="1261"/>
      <c r="G764" s="1263"/>
      <c r="H764" s="749" t="s">
        <v>12</v>
      </c>
      <c r="I764" s="947"/>
      <c r="J764" s="947"/>
      <c r="K764" s="948"/>
      <c r="L764" s="1292">
        <f t="shared" ref="L764:N764" si="307">L765+L766</f>
        <v>0</v>
      </c>
      <c r="M764" s="1292">
        <f t="shared" si="307"/>
        <v>0</v>
      </c>
      <c r="N764" s="1292">
        <f t="shared" si="307"/>
        <v>0</v>
      </c>
      <c r="O764" s="1292">
        <f t="shared" ref="O764:O766" si="308">IF(L764&gt;0,N764*100/L764,0)</f>
        <v>0</v>
      </c>
      <c r="P764" s="1292">
        <f t="shared" ref="P764:P766" si="309">IF(M764&gt;0,N764*100/M764,0)</f>
        <v>0</v>
      </c>
      <c r="Q764" s="1264"/>
      <c r="R764" s="1264"/>
      <c r="S764" s="1264"/>
      <c r="T764" s="1264"/>
      <c r="U764" s="1264"/>
      <c r="V764" s="1264"/>
      <c r="W764" s="1264"/>
      <c r="X764" s="1264"/>
      <c r="Y764" s="1264"/>
      <c r="Z764" s="1264"/>
    </row>
    <row r="765" spans="1:26" ht="18.75" hidden="1">
      <c r="A765" s="1260"/>
      <c r="B765" s="1265"/>
      <c r="C765" s="1261"/>
      <c r="D765" s="1261"/>
      <c r="E765" s="1261" t="s">
        <v>18</v>
      </c>
      <c r="F765" s="1261"/>
      <c r="G765" s="1263"/>
      <c r="H765" s="165" t="s">
        <v>12</v>
      </c>
      <c r="I765" s="947"/>
      <c r="J765" s="947"/>
      <c r="K765" s="948"/>
      <c r="L765" s="837">
        <v>0</v>
      </c>
      <c r="M765" s="837">
        <v>0</v>
      </c>
      <c r="N765" s="837">
        <v>0</v>
      </c>
      <c r="O765" s="837">
        <f t="shared" si="308"/>
        <v>0</v>
      </c>
      <c r="P765" s="837">
        <f t="shared" si="309"/>
        <v>0</v>
      </c>
      <c r="Q765" s="1264"/>
      <c r="R765" s="1264"/>
      <c r="S765" s="1264"/>
      <c r="T765" s="1264"/>
      <c r="U765" s="1264"/>
      <c r="V765" s="1264"/>
      <c r="W765" s="1264"/>
      <c r="X765" s="1264"/>
      <c r="Y765" s="1264"/>
      <c r="Z765" s="1264"/>
    </row>
    <row r="766" spans="1:26" ht="18.75" hidden="1">
      <c r="A766" s="1260"/>
      <c r="B766" s="1265"/>
      <c r="C766" s="1261"/>
      <c r="D766" s="1261"/>
      <c r="E766" s="1261" t="s">
        <v>19</v>
      </c>
      <c r="F766" s="1261"/>
      <c r="G766" s="1263"/>
      <c r="H766" s="169" t="s">
        <v>12</v>
      </c>
      <c r="I766" s="947"/>
      <c r="J766" s="947"/>
      <c r="K766" s="948"/>
      <c r="L766" s="837">
        <v>0</v>
      </c>
      <c r="M766" s="837">
        <v>0</v>
      </c>
      <c r="N766" s="837">
        <v>0</v>
      </c>
      <c r="O766" s="837">
        <f t="shared" si="308"/>
        <v>0</v>
      </c>
      <c r="P766" s="837">
        <f t="shared" si="309"/>
        <v>0</v>
      </c>
      <c r="Q766" s="1264"/>
      <c r="R766" s="1264"/>
      <c r="S766" s="1264"/>
      <c r="T766" s="1264"/>
      <c r="U766" s="1264"/>
      <c r="V766" s="1264"/>
      <c r="W766" s="1264"/>
      <c r="X766" s="1264"/>
      <c r="Y766" s="1264"/>
      <c r="Z766" s="1264"/>
    </row>
    <row r="767" spans="1:26" ht="19.5" hidden="1">
      <c r="A767" s="1273"/>
      <c r="B767" s="1274"/>
      <c r="C767" s="1261" t="s">
        <v>16</v>
      </c>
      <c r="D767" s="1393" t="s">
        <v>38</v>
      </c>
      <c r="E767" s="1296"/>
      <c r="F767" s="1296"/>
      <c r="G767" s="1297"/>
      <c r="H767" s="1060"/>
      <c r="I767" s="947"/>
      <c r="J767" s="947"/>
      <c r="K767" s="948"/>
      <c r="L767" s="948"/>
      <c r="M767" s="948"/>
      <c r="N767" s="948"/>
      <c r="O767" s="948"/>
      <c r="P767" s="948"/>
      <c r="Q767" s="1264"/>
      <c r="R767" s="1264"/>
      <c r="S767" s="1264"/>
      <c r="T767" s="1264"/>
      <c r="U767" s="1264"/>
      <c r="V767" s="1264"/>
      <c r="W767" s="1264"/>
      <c r="X767" s="1264"/>
      <c r="Y767" s="1264"/>
      <c r="Z767" s="1264"/>
    </row>
    <row r="768" spans="1:26" ht="18.75" hidden="1">
      <c r="A768" s="1294"/>
      <c r="B768" s="1265"/>
      <c r="C768" s="1261"/>
      <c r="D768" s="1261"/>
      <c r="E768" s="1261" t="s">
        <v>316</v>
      </c>
      <c r="F768" s="1261"/>
      <c r="G768" s="1263"/>
      <c r="H768" s="165" t="s">
        <v>46</v>
      </c>
      <c r="I768" s="836"/>
      <c r="J768" s="836"/>
      <c r="K768" s="837"/>
      <c r="L768" s="837"/>
      <c r="M768" s="837"/>
      <c r="N768" s="837"/>
      <c r="O768" s="837"/>
      <c r="P768" s="837"/>
      <c r="Q768" s="1264"/>
      <c r="R768" s="1264"/>
      <c r="S768" s="1264"/>
      <c r="T768" s="1264"/>
      <c r="U768" s="1264"/>
      <c r="V768" s="1264"/>
      <c r="W768" s="1264"/>
      <c r="X768" s="1264"/>
      <c r="Y768" s="1264"/>
      <c r="Z768" s="1264"/>
    </row>
    <row r="769" spans="1:26" ht="19.5" hidden="1">
      <c r="A769" s="759">
        <v>11</v>
      </c>
      <c r="B769" s="1400" t="s">
        <v>317</v>
      </c>
      <c r="C769" s="1401"/>
      <c r="D769" s="1401"/>
      <c r="E769" s="1401"/>
      <c r="F769" s="1401"/>
      <c r="G769" s="1402"/>
      <c r="H769" s="763" t="s">
        <v>46</v>
      </c>
      <c r="I769" s="1403"/>
      <c r="J769" s="1403">
        <f>J784</f>
        <v>0</v>
      </c>
      <c r="K769" s="1404">
        <f>IF(I769&gt;0,J769*100/I769,0)</f>
        <v>0</v>
      </c>
      <c r="L769" s="1405"/>
      <c r="M769" s="1405"/>
      <c r="N769" s="1405"/>
      <c r="O769" s="1405"/>
      <c r="P769" s="1405"/>
      <c r="Q769" s="1264"/>
      <c r="R769" s="1264"/>
      <c r="S769" s="1264"/>
      <c r="T769" s="1264"/>
      <c r="U769" s="1264"/>
      <c r="V769" s="1264"/>
      <c r="W769" s="1264"/>
      <c r="X769" s="1264"/>
      <c r="Y769" s="1264"/>
      <c r="Z769" s="1264"/>
    </row>
    <row r="770" spans="1:26" ht="19.5" hidden="1">
      <c r="A770" s="1260"/>
      <c r="B770" s="1261"/>
      <c r="C770" s="1261" t="s">
        <v>16</v>
      </c>
      <c r="D770" s="1508" t="s">
        <v>17</v>
      </c>
      <c r="E770" s="1485"/>
      <c r="F770" s="1485"/>
      <c r="G770" s="1263"/>
      <c r="H770" s="612" t="s">
        <v>12</v>
      </c>
      <c r="I770" s="836"/>
      <c r="J770" s="836"/>
      <c r="K770" s="837"/>
      <c r="L770" s="1292">
        <f t="shared" ref="L770:N770" si="310">L771+L772</f>
        <v>0</v>
      </c>
      <c r="M770" s="1292">
        <f t="shared" si="310"/>
        <v>0</v>
      </c>
      <c r="N770" s="1292">
        <f t="shared" si="310"/>
        <v>0</v>
      </c>
      <c r="O770" s="1292">
        <f t="shared" ref="O770:O775" si="311">IF(L770&gt;0,N770*100/L770,0)</f>
        <v>0</v>
      </c>
      <c r="P770" s="1292">
        <f t="shared" ref="P770:P775" si="312">IF(M770&gt;0,N770*100/M770,0)</f>
        <v>0</v>
      </c>
      <c r="Q770" s="1264"/>
      <c r="R770" s="1264"/>
      <c r="S770" s="1264"/>
      <c r="T770" s="1264"/>
      <c r="U770" s="1264"/>
      <c r="V770" s="1264"/>
      <c r="W770" s="1264"/>
      <c r="X770" s="1264"/>
      <c r="Y770" s="1264"/>
      <c r="Z770" s="1264"/>
    </row>
    <row r="771" spans="1:26" ht="18.75" hidden="1">
      <c r="A771" s="1260"/>
      <c r="B771" s="1261"/>
      <c r="C771" s="1261"/>
      <c r="D771" s="1262"/>
      <c r="E771" s="1261" t="s">
        <v>184</v>
      </c>
      <c r="F771" s="1261"/>
      <c r="G771" s="1263"/>
      <c r="H771" s="165" t="s">
        <v>12</v>
      </c>
      <c r="I771" s="836"/>
      <c r="J771" s="836"/>
      <c r="K771" s="837"/>
      <c r="L771" s="837">
        <f t="shared" ref="L771:N772" si="313">L774+L781</f>
        <v>0</v>
      </c>
      <c r="M771" s="837">
        <f t="shared" si="313"/>
        <v>0</v>
      </c>
      <c r="N771" s="837">
        <f t="shared" si="313"/>
        <v>0</v>
      </c>
      <c r="O771" s="837">
        <f t="shared" si="311"/>
        <v>0</v>
      </c>
      <c r="P771" s="837">
        <f t="shared" si="312"/>
        <v>0</v>
      </c>
      <c r="Q771" s="1264"/>
      <c r="R771" s="1264"/>
      <c r="S771" s="1264"/>
      <c r="T771" s="1264"/>
      <c r="U771" s="1264"/>
      <c r="V771" s="1264"/>
      <c r="W771" s="1264"/>
      <c r="X771" s="1264"/>
      <c r="Y771" s="1264"/>
      <c r="Z771" s="1264"/>
    </row>
    <row r="772" spans="1:26" ht="18.75" hidden="1">
      <c r="A772" s="1260"/>
      <c r="B772" s="1265"/>
      <c r="C772" s="1261"/>
      <c r="D772" s="1262"/>
      <c r="E772" s="1261" t="s">
        <v>185</v>
      </c>
      <c r="F772" s="1261"/>
      <c r="G772" s="1263"/>
      <c r="H772" s="165" t="s">
        <v>12</v>
      </c>
      <c r="I772" s="836"/>
      <c r="J772" s="836"/>
      <c r="K772" s="837"/>
      <c r="L772" s="837">
        <f t="shared" si="313"/>
        <v>0</v>
      </c>
      <c r="M772" s="837">
        <f t="shared" si="313"/>
        <v>0</v>
      </c>
      <c r="N772" s="837">
        <f t="shared" si="313"/>
        <v>0</v>
      </c>
      <c r="O772" s="837">
        <f t="shared" si="311"/>
        <v>0</v>
      </c>
      <c r="P772" s="837">
        <f t="shared" si="312"/>
        <v>0</v>
      </c>
      <c r="Q772" s="1264"/>
      <c r="R772" s="1264"/>
      <c r="S772" s="1264"/>
      <c r="T772" s="1264"/>
      <c r="U772" s="1264"/>
      <c r="V772" s="1264"/>
      <c r="W772" s="1264"/>
      <c r="X772" s="1264"/>
      <c r="Y772" s="1264"/>
      <c r="Z772" s="1264"/>
    </row>
    <row r="773" spans="1:26" ht="19.5" hidden="1">
      <c r="A773" s="1260"/>
      <c r="B773" s="1265"/>
      <c r="C773" s="1261"/>
      <c r="D773" s="1392" t="s">
        <v>20</v>
      </c>
      <c r="E773" s="1261"/>
      <c r="F773" s="1261"/>
      <c r="G773" s="1263"/>
      <c r="H773" s="612" t="s">
        <v>12</v>
      </c>
      <c r="I773" s="947"/>
      <c r="J773" s="947"/>
      <c r="K773" s="948"/>
      <c r="L773" s="1292">
        <f t="shared" ref="L773:N773" si="314">L774+L775</f>
        <v>0</v>
      </c>
      <c r="M773" s="1292">
        <f t="shared" si="314"/>
        <v>0</v>
      </c>
      <c r="N773" s="1292">
        <f t="shared" si="314"/>
        <v>0</v>
      </c>
      <c r="O773" s="1292">
        <f t="shared" si="311"/>
        <v>0</v>
      </c>
      <c r="P773" s="1292">
        <f t="shared" si="312"/>
        <v>0</v>
      </c>
      <c r="Q773" s="1264"/>
      <c r="R773" s="1264"/>
      <c r="S773" s="1264"/>
      <c r="T773" s="1264"/>
      <c r="U773" s="1264"/>
      <c r="V773" s="1264"/>
      <c r="W773" s="1264"/>
      <c r="X773" s="1264"/>
      <c r="Y773" s="1264"/>
      <c r="Z773" s="1264"/>
    </row>
    <row r="774" spans="1:26" ht="18.75" hidden="1">
      <c r="A774" s="1260"/>
      <c r="B774" s="1265"/>
      <c r="C774" s="1261"/>
      <c r="D774" s="1262"/>
      <c r="E774" s="1261" t="s">
        <v>184</v>
      </c>
      <c r="F774" s="1261"/>
      <c r="G774" s="1263"/>
      <c r="H774" s="165" t="s">
        <v>12</v>
      </c>
      <c r="I774" s="836"/>
      <c r="J774" s="836"/>
      <c r="K774" s="837"/>
      <c r="L774" s="837">
        <v>0</v>
      </c>
      <c r="M774" s="837">
        <v>0</v>
      </c>
      <c r="N774" s="837">
        <v>0</v>
      </c>
      <c r="O774" s="837">
        <f t="shared" si="311"/>
        <v>0</v>
      </c>
      <c r="P774" s="837">
        <f t="shared" si="312"/>
        <v>0</v>
      </c>
      <c r="Q774" s="1264"/>
      <c r="R774" s="1264"/>
      <c r="S774" s="1264"/>
      <c r="T774" s="1264"/>
      <c r="U774" s="1264"/>
      <c r="V774" s="1264"/>
      <c r="W774" s="1264"/>
      <c r="X774" s="1264"/>
      <c r="Y774" s="1264"/>
      <c r="Z774" s="1264"/>
    </row>
    <row r="775" spans="1:26" ht="18.75" hidden="1">
      <c r="A775" s="1260"/>
      <c r="B775" s="1265"/>
      <c r="C775" s="1261"/>
      <c r="D775" s="1262"/>
      <c r="E775" s="1261" t="s">
        <v>185</v>
      </c>
      <c r="F775" s="1261"/>
      <c r="G775" s="1263"/>
      <c r="H775" s="165" t="s">
        <v>12</v>
      </c>
      <c r="I775" s="836"/>
      <c r="J775" s="836"/>
      <c r="K775" s="837"/>
      <c r="L775" s="837">
        <v>0</v>
      </c>
      <c r="M775" s="837">
        <v>0</v>
      </c>
      <c r="N775" s="837">
        <f>N776+N777+N778+N779</f>
        <v>0</v>
      </c>
      <c r="O775" s="837">
        <f t="shared" si="311"/>
        <v>0</v>
      </c>
      <c r="P775" s="837">
        <f t="shared" si="312"/>
        <v>0</v>
      </c>
      <c r="Q775" s="1264"/>
      <c r="R775" s="1264"/>
      <c r="S775" s="1264"/>
      <c r="T775" s="1264"/>
      <c r="U775" s="1264"/>
      <c r="V775" s="1264"/>
      <c r="W775" s="1264"/>
      <c r="X775" s="1264"/>
      <c r="Y775" s="1264"/>
      <c r="Z775" s="1264"/>
    </row>
    <row r="776" spans="1:26" ht="18.75" hidden="1">
      <c r="A776" s="1294"/>
      <c r="B776" s="1265"/>
      <c r="C776" s="1261"/>
      <c r="D776" s="1261"/>
      <c r="E776" s="1261"/>
      <c r="F776" s="1261" t="s">
        <v>186</v>
      </c>
      <c r="G776" s="1263"/>
      <c r="H776" s="165" t="s">
        <v>12</v>
      </c>
      <c r="I776" s="836"/>
      <c r="J776" s="836"/>
      <c r="K776" s="837"/>
      <c r="L776" s="837"/>
      <c r="M776" s="837"/>
      <c r="N776" s="837"/>
      <c r="O776" s="837"/>
      <c r="P776" s="837"/>
      <c r="Q776" s="1264"/>
      <c r="R776" s="1264"/>
      <c r="S776" s="1264"/>
      <c r="T776" s="1264"/>
      <c r="U776" s="1264"/>
      <c r="V776" s="1264"/>
      <c r="W776" s="1264"/>
      <c r="X776" s="1264"/>
      <c r="Y776" s="1264"/>
      <c r="Z776" s="1264"/>
    </row>
    <row r="777" spans="1:26" ht="18.75" hidden="1">
      <c r="A777" s="1294"/>
      <c r="B777" s="1265"/>
      <c r="C777" s="1261"/>
      <c r="D777" s="1261"/>
      <c r="E777" s="1261"/>
      <c r="F777" s="1261" t="s">
        <v>187</v>
      </c>
      <c r="G777" s="1263"/>
      <c r="H777" s="165" t="s">
        <v>12</v>
      </c>
      <c r="I777" s="836"/>
      <c r="J777" s="836"/>
      <c r="K777" s="837"/>
      <c r="L777" s="837"/>
      <c r="M777" s="837"/>
      <c r="N777" s="837"/>
      <c r="O777" s="837"/>
      <c r="P777" s="837"/>
      <c r="Q777" s="1264"/>
      <c r="R777" s="1264"/>
      <c r="S777" s="1264"/>
      <c r="T777" s="1264"/>
      <c r="U777" s="1264"/>
      <c r="V777" s="1264"/>
      <c r="W777" s="1264"/>
      <c r="X777" s="1264"/>
      <c r="Y777" s="1264"/>
      <c r="Z777" s="1264"/>
    </row>
    <row r="778" spans="1:26" ht="18.75" hidden="1">
      <c r="A778" s="1294"/>
      <c r="B778" s="1265"/>
      <c r="C778" s="1261"/>
      <c r="D778" s="1261"/>
      <c r="E778" s="1261"/>
      <c r="F778" s="1261" t="s">
        <v>188</v>
      </c>
      <c r="G778" s="1263"/>
      <c r="H778" s="165" t="s">
        <v>12</v>
      </c>
      <c r="I778" s="836"/>
      <c r="J778" s="836"/>
      <c r="K778" s="837"/>
      <c r="L778" s="837"/>
      <c r="M778" s="837"/>
      <c r="N778" s="837"/>
      <c r="O778" s="837"/>
      <c r="P778" s="837"/>
      <c r="Q778" s="1264"/>
      <c r="R778" s="1264"/>
      <c r="S778" s="1264"/>
      <c r="T778" s="1264"/>
      <c r="U778" s="1264"/>
      <c r="V778" s="1264"/>
      <c r="W778" s="1264"/>
      <c r="X778" s="1264"/>
      <c r="Y778" s="1264"/>
      <c r="Z778" s="1264"/>
    </row>
    <row r="779" spans="1:26" ht="18.75" hidden="1">
      <c r="A779" s="1294"/>
      <c r="B779" s="1265"/>
      <c r="C779" s="1261"/>
      <c r="D779" s="1261"/>
      <c r="E779" s="1261"/>
      <c r="F779" s="1261" t="s">
        <v>189</v>
      </c>
      <c r="G779" s="1263"/>
      <c r="H779" s="165" t="s">
        <v>12</v>
      </c>
      <c r="I779" s="836"/>
      <c r="J779" s="836"/>
      <c r="K779" s="837"/>
      <c r="L779" s="837"/>
      <c r="M779" s="837"/>
      <c r="N779" s="837"/>
      <c r="O779" s="837"/>
      <c r="P779" s="837"/>
      <c r="Q779" s="1264"/>
      <c r="R779" s="1264"/>
      <c r="S779" s="1264"/>
      <c r="T779" s="1264"/>
      <c r="U779" s="1264"/>
      <c r="V779" s="1264"/>
      <c r="W779" s="1264"/>
      <c r="X779" s="1264"/>
      <c r="Y779" s="1264"/>
      <c r="Z779" s="1264"/>
    </row>
    <row r="780" spans="1:26" ht="19.5" hidden="1">
      <c r="A780" s="1260"/>
      <c r="B780" s="1265"/>
      <c r="C780" s="1261"/>
      <c r="D780" s="1392" t="s">
        <v>21</v>
      </c>
      <c r="E780" s="1261"/>
      <c r="F780" s="1261"/>
      <c r="G780" s="1263"/>
      <c r="H780" s="749" t="s">
        <v>12</v>
      </c>
      <c r="I780" s="947"/>
      <c r="J780" s="947"/>
      <c r="K780" s="948"/>
      <c r="L780" s="1292">
        <f t="shared" ref="L780:N780" si="315">L781+L782</f>
        <v>0</v>
      </c>
      <c r="M780" s="1292">
        <f t="shared" si="315"/>
        <v>0</v>
      </c>
      <c r="N780" s="1292">
        <f t="shared" si="315"/>
        <v>0</v>
      </c>
      <c r="O780" s="1292">
        <f t="shared" ref="O780:O782" si="316">IF(L780&gt;0,N780*100/L780,0)</f>
        <v>0</v>
      </c>
      <c r="P780" s="1292">
        <f t="shared" ref="P780:P782" si="317">IF(M780&gt;0,N780*100/M780,0)</f>
        <v>0</v>
      </c>
      <c r="Q780" s="1264"/>
      <c r="R780" s="1264"/>
      <c r="S780" s="1264"/>
      <c r="T780" s="1264"/>
      <c r="U780" s="1264"/>
      <c r="V780" s="1264"/>
      <c r="W780" s="1264"/>
      <c r="X780" s="1264"/>
      <c r="Y780" s="1264"/>
      <c r="Z780" s="1264"/>
    </row>
    <row r="781" spans="1:26" ht="18.75" hidden="1">
      <c r="A781" s="1260"/>
      <c r="B781" s="1265"/>
      <c r="C781" s="1261"/>
      <c r="D781" s="1261"/>
      <c r="E781" s="1261" t="s">
        <v>18</v>
      </c>
      <c r="F781" s="1261"/>
      <c r="G781" s="1263"/>
      <c r="H781" s="165" t="s">
        <v>12</v>
      </c>
      <c r="I781" s="947"/>
      <c r="J781" s="947"/>
      <c r="K781" s="948"/>
      <c r="L781" s="837">
        <v>0</v>
      </c>
      <c r="M781" s="837">
        <v>0</v>
      </c>
      <c r="N781" s="837">
        <v>0</v>
      </c>
      <c r="O781" s="837">
        <f t="shared" si="316"/>
        <v>0</v>
      </c>
      <c r="P781" s="837">
        <f t="shared" si="317"/>
        <v>0</v>
      </c>
      <c r="Q781" s="1264"/>
      <c r="R781" s="1264"/>
      <c r="S781" s="1264"/>
      <c r="T781" s="1264"/>
      <c r="U781" s="1264"/>
      <c r="V781" s="1264"/>
      <c r="W781" s="1264"/>
      <c r="X781" s="1264"/>
      <c r="Y781" s="1264"/>
      <c r="Z781" s="1264"/>
    </row>
    <row r="782" spans="1:26" ht="18.75" hidden="1">
      <c r="A782" s="1260"/>
      <c r="B782" s="1265"/>
      <c r="C782" s="1261"/>
      <c r="D782" s="1261"/>
      <c r="E782" s="1261" t="s">
        <v>19</v>
      </c>
      <c r="F782" s="1261"/>
      <c r="G782" s="1263"/>
      <c r="H782" s="169" t="s">
        <v>12</v>
      </c>
      <c r="I782" s="947"/>
      <c r="J782" s="947"/>
      <c r="K782" s="948"/>
      <c r="L782" s="837">
        <v>0</v>
      </c>
      <c r="M782" s="837">
        <v>0</v>
      </c>
      <c r="N782" s="837">
        <v>0</v>
      </c>
      <c r="O782" s="837">
        <f t="shared" si="316"/>
        <v>0</v>
      </c>
      <c r="P782" s="837">
        <f t="shared" si="317"/>
        <v>0</v>
      </c>
      <c r="Q782" s="1264"/>
      <c r="R782" s="1264"/>
      <c r="S782" s="1264"/>
      <c r="T782" s="1264"/>
      <c r="U782" s="1264"/>
      <c r="V782" s="1264"/>
      <c r="W782" s="1264"/>
      <c r="X782" s="1264"/>
      <c r="Y782" s="1264"/>
      <c r="Z782" s="1264"/>
    </row>
    <row r="783" spans="1:26" ht="19.5" hidden="1">
      <c r="A783" s="1273"/>
      <c r="B783" s="1274"/>
      <c r="C783" s="1261" t="s">
        <v>16</v>
      </c>
      <c r="D783" s="1393" t="s">
        <v>38</v>
      </c>
      <c r="E783" s="1296"/>
      <c r="F783" s="1296"/>
      <c r="G783" s="1297"/>
      <c r="H783" s="1406"/>
      <c r="I783" s="947"/>
      <c r="J783" s="947"/>
      <c r="K783" s="948"/>
      <c r="L783" s="948"/>
      <c r="M783" s="948"/>
      <c r="N783" s="948"/>
      <c r="O783" s="948"/>
      <c r="P783" s="948"/>
      <c r="Q783" s="1264"/>
      <c r="R783" s="1264"/>
      <c r="S783" s="1264"/>
      <c r="T783" s="1264"/>
      <c r="U783" s="1264"/>
      <c r="V783" s="1264"/>
      <c r="W783" s="1264"/>
      <c r="X783" s="1264"/>
      <c r="Y783" s="1264"/>
      <c r="Z783" s="1264"/>
    </row>
    <row r="784" spans="1:26" ht="18.75" hidden="1">
      <c r="A784" s="1294"/>
      <c r="B784" s="1265"/>
      <c r="C784" s="1261"/>
      <c r="D784" s="1261"/>
      <c r="E784" s="1261" t="s">
        <v>318</v>
      </c>
      <c r="F784" s="1261"/>
      <c r="G784" s="1263"/>
      <c r="H784" s="165" t="s">
        <v>46</v>
      </c>
      <c r="I784" s="836"/>
      <c r="J784" s="836"/>
      <c r="K784" s="837"/>
      <c r="L784" s="837"/>
      <c r="M784" s="837"/>
      <c r="N784" s="837"/>
      <c r="O784" s="837"/>
      <c r="P784" s="837"/>
      <c r="Q784" s="1264"/>
      <c r="R784" s="1264"/>
      <c r="S784" s="1264"/>
      <c r="T784" s="1264"/>
      <c r="U784" s="1264"/>
      <c r="V784" s="1264"/>
      <c r="W784" s="1264"/>
      <c r="X784" s="1264"/>
      <c r="Y784" s="1264"/>
      <c r="Z784" s="1264"/>
    </row>
    <row r="785" spans="1:26" ht="19.5">
      <c r="A785" s="768">
        <v>12</v>
      </c>
      <c r="B785" s="1407" t="s">
        <v>319</v>
      </c>
      <c r="C785" s="1408"/>
      <c r="D785" s="1408"/>
      <c r="E785" s="1408"/>
      <c r="F785" s="1408"/>
      <c r="G785" s="1409"/>
      <c r="H785" s="772" t="s">
        <v>46</v>
      </c>
      <c r="I785" s="1410">
        <f t="shared" ref="I785:J785" ca="1" si="318">I801+I803</f>
        <v>79000</v>
      </c>
      <c r="J785" s="1410">
        <f t="shared" ca="1" si="318"/>
        <v>11288</v>
      </c>
      <c r="K785" s="1411">
        <f ca="1">IF(I785&gt;0,J785*100/I785,0)</f>
        <v>14.288607594936709</v>
      </c>
      <c r="L785" s="1412"/>
      <c r="M785" s="1412"/>
      <c r="N785" s="1412"/>
      <c r="O785" s="1412"/>
      <c r="P785" s="1412"/>
      <c r="Q785" s="1244"/>
      <c r="R785" s="1244"/>
      <c r="S785" s="1244"/>
      <c r="T785" s="1244"/>
      <c r="U785" s="1244"/>
      <c r="V785" s="1244"/>
      <c r="W785" s="1244"/>
      <c r="X785" s="1244"/>
      <c r="Y785" s="1244"/>
      <c r="Z785" s="1244"/>
    </row>
    <row r="786" spans="1:26" ht="19.5">
      <c r="A786" s="1259"/>
      <c r="B786" s="1242"/>
      <c r="C786" s="1243" t="s">
        <v>16</v>
      </c>
      <c r="D786" s="1507" t="s">
        <v>17</v>
      </c>
      <c r="E786" s="1485"/>
      <c r="F786" s="1485"/>
      <c r="G786" s="963"/>
      <c r="H786" s="563" t="s">
        <v>12</v>
      </c>
      <c r="I786" s="830"/>
      <c r="J786" s="830"/>
      <c r="K786" s="831"/>
      <c r="L786" s="967">
        <f t="shared" ref="L786:N786" ca="1" si="319">L787+L788</f>
        <v>335200</v>
      </c>
      <c r="M786" s="967">
        <f t="shared" si="319"/>
        <v>0</v>
      </c>
      <c r="N786" s="967">
        <f t="shared" si="319"/>
        <v>165676.88</v>
      </c>
      <c r="O786" s="967">
        <f t="shared" ref="O786:O791" ca="1" si="320">IF(L786&gt;0,N786*100/L786,0)</f>
        <v>49.426276849642008</v>
      </c>
      <c r="P786" s="967">
        <f t="shared" ref="P786:P791" si="321">IF(M786&gt;0,N786*100/M786,0)</f>
        <v>0</v>
      </c>
      <c r="Q786" s="1244"/>
      <c r="R786" s="1244"/>
      <c r="S786" s="1244"/>
      <c r="T786" s="1244"/>
      <c r="U786" s="1244"/>
      <c r="V786" s="1244"/>
      <c r="W786" s="1244"/>
      <c r="X786" s="1244"/>
      <c r="Y786" s="1244"/>
      <c r="Z786" s="1244"/>
    </row>
    <row r="787" spans="1:26" ht="18.75" hidden="1">
      <c r="A787" s="1260"/>
      <c r="B787" s="1265"/>
      <c r="C787" s="1261"/>
      <c r="D787" s="1262"/>
      <c r="E787" s="1261" t="s">
        <v>184</v>
      </c>
      <c r="F787" s="1261"/>
      <c r="G787" s="1263"/>
      <c r="H787" s="165" t="s">
        <v>12</v>
      </c>
      <c r="I787" s="836"/>
      <c r="J787" s="836"/>
      <c r="K787" s="837"/>
      <c r="L787" s="837">
        <f t="shared" ref="L787:N788" si="322">L790+L797</f>
        <v>0</v>
      </c>
      <c r="M787" s="837">
        <f t="shared" si="322"/>
        <v>0</v>
      </c>
      <c r="N787" s="837">
        <f t="shared" si="322"/>
        <v>0</v>
      </c>
      <c r="O787" s="837">
        <f t="shared" si="320"/>
        <v>0</v>
      </c>
      <c r="P787" s="837">
        <f t="shared" si="321"/>
        <v>0</v>
      </c>
      <c r="Q787" s="1264"/>
      <c r="R787" s="1264"/>
      <c r="S787" s="1264"/>
      <c r="T787" s="1264"/>
      <c r="U787" s="1264"/>
      <c r="V787" s="1264"/>
      <c r="W787" s="1264"/>
      <c r="X787" s="1264"/>
      <c r="Y787" s="1264"/>
      <c r="Z787" s="1264"/>
    </row>
    <row r="788" spans="1:26" ht="18.75" hidden="1">
      <c r="A788" s="1260"/>
      <c r="B788" s="1265"/>
      <c r="C788" s="1265"/>
      <c r="D788" s="1274"/>
      <c r="E788" s="1261" t="s">
        <v>185</v>
      </c>
      <c r="F788" s="1261"/>
      <c r="G788" s="1263"/>
      <c r="H788" s="165" t="s">
        <v>12</v>
      </c>
      <c r="I788" s="836"/>
      <c r="J788" s="836"/>
      <c r="K788" s="837"/>
      <c r="L788" s="837">
        <f t="shared" ca="1" si="322"/>
        <v>335200</v>
      </c>
      <c r="M788" s="837">
        <f t="shared" si="322"/>
        <v>0</v>
      </c>
      <c r="N788" s="837">
        <f t="shared" si="322"/>
        <v>165676.88</v>
      </c>
      <c r="O788" s="837">
        <f t="shared" ca="1" si="320"/>
        <v>49.426276849642008</v>
      </c>
      <c r="P788" s="837">
        <f t="shared" si="321"/>
        <v>0</v>
      </c>
      <c r="Q788" s="1264"/>
      <c r="R788" s="1264"/>
      <c r="S788" s="1264"/>
      <c r="T788" s="1264"/>
      <c r="U788" s="1264"/>
      <c r="V788" s="1264"/>
      <c r="W788" s="1264"/>
      <c r="X788" s="1264"/>
      <c r="Y788" s="1264"/>
      <c r="Z788" s="1264"/>
    </row>
    <row r="789" spans="1:26" ht="18.75">
      <c r="A789" s="1259"/>
      <c r="B789" s="1242"/>
      <c r="C789" s="1242"/>
      <c r="D789" s="1266" t="s">
        <v>20</v>
      </c>
      <c r="E789" s="1243"/>
      <c r="F789" s="1243"/>
      <c r="G789" s="963"/>
      <c r="H789" s="778" t="s">
        <v>12</v>
      </c>
      <c r="I789" s="944"/>
      <c r="J789" s="944"/>
      <c r="K789" s="945"/>
      <c r="L789" s="831">
        <f t="shared" ref="L789:N789" ca="1" si="323">L790+L791</f>
        <v>335200</v>
      </c>
      <c r="M789" s="831">
        <f t="shared" si="323"/>
        <v>0</v>
      </c>
      <c r="N789" s="831">
        <f t="shared" si="323"/>
        <v>165676.88</v>
      </c>
      <c r="O789" s="831">
        <f t="shared" ca="1" si="320"/>
        <v>49.426276849642008</v>
      </c>
      <c r="P789" s="831">
        <f t="shared" si="321"/>
        <v>0</v>
      </c>
      <c r="Q789" s="1244"/>
      <c r="R789" s="1244"/>
      <c r="S789" s="1244"/>
      <c r="T789" s="1244"/>
      <c r="U789" s="1244"/>
      <c r="V789" s="1244"/>
      <c r="W789" s="1244"/>
      <c r="X789" s="1244"/>
      <c r="Y789" s="1244"/>
      <c r="Z789" s="1244"/>
    </row>
    <row r="790" spans="1:26" ht="18.75" hidden="1">
      <c r="A790" s="1260"/>
      <c r="B790" s="1265"/>
      <c r="C790" s="1265"/>
      <c r="D790" s="1274"/>
      <c r="E790" s="1261" t="s">
        <v>184</v>
      </c>
      <c r="F790" s="1261"/>
      <c r="G790" s="1263"/>
      <c r="H790" s="165" t="s">
        <v>12</v>
      </c>
      <c r="I790" s="836"/>
      <c r="J790" s="836"/>
      <c r="K790" s="837"/>
      <c r="L790" s="837">
        <v>0</v>
      </c>
      <c r="M790" s="837">
        <v>0</v>
      </c>
      <c r="N790" s="837">
        <v>0</v>
      </c>
      <c r="O790" s="837">
        <f t="shared" si="320"/>
        <v>0</v>
      </c>
      <c r="P790" s="837">
        <f t="shared" si="321"/>
        <v>0</v>
      </c>
      <c r="Q790" s="1264"/>
      <c r="R790" s="1264"/>
      <c r="S790" s="1264"/>
      <c r="T790" s="1264"/>
      <c r="U790" s="1264"/>
      <c r="V790" s="1264"/>
      <c r="W790" s="1264"/>
      <c r="X790" s="1264"/>
      <c r="Y790" s="1264"/>
      <c r="Z790" s="1264"/>
    </row>
    <row r="791" spans="1:26" ht="18.75" hidden="1">
      <c r="A791" s="1260"/>
      <c r="B791" s="1265"/>
      <c r="C791" s="1265"/>
      <c r="D791" s="1274"/>
      <c r="E791" s="1261" t="s">
        <v>185</v>
      </c>
      <c r="F791" s="1261"/>
      <c r="G791" s="1263"/>
      <c r="H791" s="165" t="s">
        <v>12</v>
      </c>
      <c r="I791" s="836"/>
      <c r="J791" s="836"/>
      <c r="K791" s="837"/>
      <c r="L791" s="837">
        <f ca="1">IFERROR(__xludf.DUMMYFUNCTION("IMPORTRANGE(""https://docs.google.com/spreadsheets/d/1QqKyyYR6Q21VydFLVH3TRQUabQu_ym0Zz7PgGX0-kHA/edit?usp=sharing"",""แผน!JJ14"")"),335200)</f>
        <v>335200</v>
      </c>
      <c r="M791" s="837">
        <v>0</v>
      </c>
      <c r="N791" s="837">
        <f>N792+N793+N794+N795</f>
        <v>165676.88</v>
      </c>
      <c r="O791" s="837">
        <f t="shared" ca="1" si="320"/>
        <v>49.426276849642008</v>
      </c>
      <c r="P791" s="837">
        <f t="shared" si="321"/>
        <v>0</v>
      </c>
      <c r="Q791" s="1264"/>
      <c r="R791" s="1264"/>
      <c r="S791" s="1264"/>
      <c r="T791" s="1264"/>
      <c r="U791" s="1264"/>
      <c r="V791" s="1264"/>
      <c r="W791" s="1264"/>
      <c r="X791" s="1264"/>
      <c r="Y791" s="1264"/>
      <c r="Z791" s="1264"/>
    </row>
    <row r="792" spans="1:26" ht="18.75">
      <c r="A792" s="1241"/>
      <c r="B792" s="1242"/>
      <c r="C792" s="1243"/>
      <c r="D792" s="1243"/>
      <c r="E792" s="1243"/>
      <c r="F792" s="1243" t="s">
        <v>186</v>
      </c>
      <c r="G792" s="963"/>
      <c r="H792" s="778" t="s">
        <v>12</v>
      </c>
      <c r="I792" s="830"/>
      <c r="J792" s="830"/>
      <c r="K792" s="831"/>
      <c r="L792" s="831"/>
      <c r="M792" s="831"/>
      <c r="N792" s="1031">
        <v>0</v>
      </c>
      <c r="O792" s="831"/>
      <c r="P792" s="831"/>
      <c r="Q792" s="1244"/>
      <c r="R792" s="1244"/>
      <c r="S792" s="1244"/>
      <c r="T792" s="1244"/>
      <c r="U792" s="1244"/>
      <c r="V792" s="1244"/>
      <c r="W792" s="1244"/>
      <c r="X792" s="1244"/>
      <c r="Y792" s="1244"/>
      <c r="Z792" s="1244"/>
    </row>
    <row r="793" spans="1:26" ht="18.75">
      <c r="A793" s="1241"/>
      <c r="B793" s="1242"/>
      <c r="C793" s="1243"/>
      <c r="D793" s="1243"/>
      <c r="E793" s="1243"/>
      <c r="F793" s="1243" t="s">
        <v>187</v>
      </c>
      <c r="G793" s="963"/>
      <c r="H793" s="778" t="s">
        <v>12</v>
      </c>
      <c r="I793" s="830"/>
      <c r="J793" s="830"/>
      <c r="K793" s="831"/>
      <c r="L793" s="831"/>
      <c r="M793" s="831"/>
      <c r="N793" s="1031">
        <v>0</v>
      </c>
      <c r="O793" s="831"/>
      <c r="P793" s="831"/>
      <c r="Q793" s="1244"/>
      <c r="R793" s="1244"/>
      <c r="S793" s="1244"/>
      <c r="T793" s="1244"/>
      <c r="U793" s="1244"/>
      <c r="V793" s="1244"/>
      <c r="W793" s="1244"/>
      <c r="X793" s="1244"/>
      <c r="Y793" s="1244"/>
      <c r="Z793" s="1244"/>
    </row>
    <row r="794" spans="1:26" ht="18.75">
      <c r="A794" s="1241"/>
      <c r="B794" s="1242"/>
      <c r="C794" s="1243"/>
      <c r="D794" s="1243"/>
      <c r="E794" s="1243"/>
      <c r="F794" s="1243" t="s">
        <v>188</v>
      </c>
      <c r="G794" s="963"/>
      <c r="H794" s="778" t="s">
        <v>12</v>
      </c>
      <c r="I794" s="830"/>
      <c r="J794" s="830"/>
      <c r="K794" s="831"/>
      <c r="L794" s="831"/>
      <c r="M794" s="831"/>
      <c r="N794" s="1031">
        <v>81300</v>
      </c>
      <c r="O794" s="831"/>
      <c r="P794" s="831"/>
      <c r="Q794" s="1244"/>
      <c r="R794" s="1244"/>
      <c r="S794" s="1244"/>
      <c r="T794" s="1244"/>
      <c r="U794" s="1244"/>
      <c r="V794" s="1244"/>
      <c r="W794" s="1244"/>
      <c r="X794" s="1244"/>
      <c r="Y794" s="1244"/>
      <c r="Z794" s="1244"/>
    </row>
    <row r="795" spans="1:26" ht="18.75">
      <c r="A795" s="1241"/>
      <c r="B795" s="1242"/>
      <c r="C795" s="1243"/>
      <c r="D795" s="1243"/>
      <c r="E795" s="1243"/>
      <c r="F795" s="1243" t="s">
        <v>189</v>
      </c>
      <c r="G795" s="963"/>
      <c r="H795" s="778" t="s">
        <v>12</v>
      </c>
      <c r="I795" s="830"/>
      <c r="J795" s="830"/>
      <c r="K795" s="831"/>
      <c r="L795" s="831"/>
      <c r="M795" s="831"/>
      <c r="N795" s="1031">
        <f>63850+20526.88</f>
        <v>84376.88</v>
      </c>
      <c r="O795" s="831"/>
      <c r="P795" s="831"/>
      <c r="Q795" s="1244"/>
      <c r="R795" s="1244"/>
      <c r="S795" s="1244"/>
      <c r="T795" s="1244"/>
      <c r="U795" s="1244"/>
      <c r="V795" s="1244"/>
      <c r="W795" s="1244"/>
      <c r="X795" s="1244"/>
      <c r="Y795" s="1244"/>
      <c r="Z795" s="1244"/>
    </row>
    <row r="796" spans="1:26" ht="18.75">
      <c r="A796" s="1259"/>
      <c r="B796" s="1242"/>
      <c r="C796" s="1243"/>
      <c r="D796" s="1266" t="s">
        <v>21</v>
      </c>
      <c r="E796" s="1243"/>
      <c r="F796" s="1243"/>
      <c r="G796" s="963"/>
      <c r="H796" s="168" t="s">
        <v>12</v>
      </c>
      <c r="I796" s="944"/>
      <c r="J796" s="944"/>
      <c r="K796" s="945"/>
      <c r="L796" s="831">
        <f t="shared" ref="L796:N796" si="324">L797+L798</f>
        <v>0</v>
      </c>
      <c r="M796" s="831">
        <f t="shared" si="324"/>
        <v>0</v>
      </c>
      <c r="N796" s="831">
        <f t="shared" si="324"/>
        <v>0</v>
      </c>
      <c r="O796" s="831">
        <f t="shared" ref="O796:O798" si="325">IF(L796&gt;0,N796*100/L796,0)</f>
        <v>0</v>
      </c>
      <c r="P796" s="831">
        <f t="shared" ref="P796:P798" si="326">IF(M796&gt;0,N796*100/M796,0)</f>
        <v>0</v>
      </c>
      <c r="Q796" s="1244"/>
      <c r="R796" s="1244"/>
      <c r="S796" s="1244"/>
      <c r="T796" s="1244"/>
      <c r="U796" s="1244"/>
      <c r="V796" s="1244"/>
      <c r="W796" s="1244"/>
      <c r="X796" s="1244"/>
      <c r="Y796" s="1244"/>
      <c r="Z796" s="1244"/>
    </row>
    <row r="797" spans="1:26" ht="18.75" hidden="1">
      <c r="A797" s="1260"/>
      <c r="B797" s="1265"/>
      <c r="C797" s="1261"/>
      <c r="D797" s="1261"/>
      <c r="E797" s="1261" t="s">
        <v>18</v>
      </c>
      <c r="F797" s="1261"/>
      <c r="G797" s="1263"/>
      <c r="H797" s="165" t="s">
        <v>12</v>
      </c>
      <c r="I797" s="947"/>
      <c r="J797" s="947"/>
      <c r="K797" s="948"/>
      <c r="L797" s="837">
        <v>0</v>
      </c>
      <c r="M797" s="837">
        <v>0</v>
      </c>
      <c r="N797" s="837">
        <v>0</v>
      </c>
      <c r="O797" s="837">
        <f t="shared" si="325"/>
        <v>0</v>
      </c>
      <c r="P797" s="837">
        <f t="shared" si="326"/>
        <v>0</v>
      </c>
      <c r="Q797" s="1264"/>
      <c r="R797" s="1264"/>
      <c r="S797" s="1264"/>
      <c r="T797" s="1264"/>
      <c r="U797" s="1264"/>
      <c r="V797" s="1264"/>
      <c r="W797" s="1264"/>
      <c r="X797" s="1264"/>
      <c r="Y797" s="1264"/>
      <c r="Z797" s="1264"/>
    </row>
    <row r="798" spans="1:26" ht="18.75" hidden="1">
      <c r="A798" s="1260"/>
      <c r="B798" s="1265"/>
      <c r="C798" s="1261"/>
      <c r="D798" s="1261"/>
      <c r="E798" s="1261" t="s">
        <v>19</v>
      </c>
      <c r="F798" s="1261"/>
      <c r="G798" s="1263"/>
      <c r="H798" s="169" t="s">
        <v>12</v>
      </c>
      <c r="I798" s="947"/>
      <c r="J798" s="947"/>
      <c r="K798" s="948"/>
      <c r="L798" s="837">
        <v>0</v>
      </c>
      <c r="M798" s="837">
        <v>0</v>
      </c>
      <c r="N798" s="837">
        <v>0</v>
      </c>
      <c r="O798" s="837">
        <f t="shared" si="325"/>
        <v>0</v>
      </c>
      <c r="P798" s="837">
        <f t="shared" si="326"/>
        <v>0</v>
      </c>
      <c r="Q798" s="1264"/>
      <c r="R798" s="1264"/>
      <c r="S798" s="1264"/>
      <c r="T798" s="1264"/>
      <c r="U798" s="1264"/>
      <c r="V798" s="1264"/>
      <c r="W798" s="1264"/>
      <c r="X798" s="1264"/>
      <c r="Y798" s="1264"/>
      <c r="Z798" s="1264"/>
    </row>
    <row r="799" spans="1:26" ht="19.5">
      <c r="A799" s="1267"/>
      <c r="B799" s="1268"/>
      <c r="C799" s="1243" t="s">
        <v>16</v>
      </c>
      <c r="D799" s="1378" t="s">
        <v>38</v>
      </c>
      <c r="E799" s="1271"/>
      <c r="F799" s="1271"/>
      <c r="G799" s="1272"/>
      <c r="H799" s="1413"/>
      <c r="I799" s="944"/>
      <c r="J799" s="944"/>
      <c r="K799" s="945"/>
      <c r="L799" s="945"/>
      <c r="M799" s="945"/>
      <c r="N799" s="945"/>
      <c r="O799" s="945"/>
      <c r="P799" s="945"/>
      <c r="Q799" s="1244"/>
      <c r="R799" s="1244"/>
      <c r="S799" s="1244"/>
      <c r="T799" s="1244"/>
      <c r="U799" s="1244"/>
      <c r="V799" s="1244"/>
      <c r="W799" s="1244"/>
      <c r="X799" s="1244"/>
      <c r="Y799" s="1244"/>
      <c r="Z799" s="1244"/>
    </row>
    <row r="800" spans="1:26" ht="18.75">
      <c r="A800" s="1267"/>
      <c r="B800" s="1268"/>
      <c r="C800" s="1268"/>
      <c r="D800" s="1268"/>
      <c r="E800" s="961"/>
      <c r="F800" s="961" t="s">
        <v>320</v>
      </c>
      <c r="G800" s="954"/>
      <c r="H800" s="777" t="s">
        <v>34</v>
      </c>
      <c r="I800" s="944"/>
      <c r="J800" s="944">
        <f ca="1">IFERROR(__xludf.DUMMYFUNCTION("IMPORTRANGE(""https://docs.google.com/spreadsheets/d/1MaWodYyGHDf7siQLGxnXhG4mBNTNIuy296niS2xXulU/edit?usp=sharing"",""RTK!H14"")"),0)</f>
        <v>0</v>
      </c>
      <c r="K800" s="831"/>
      <c r="L800" s="831"/>
      <c r="M800" s="831"/>
      <c r="N800" s="831"/>
      <c r="O800" s="945"/>
      <c r="P800" s="945"/>
      <c r="Q800" s="1244"/>
      <c r="R800" s="1244"/>
      <c r="S800" s="1244"/>
      <c r="T800" s="1244"/>
      <c r="U800" s="1244"/>
      <c r="V800" s="1244"/>
      <c r="W800" s="1244"/>
      <c r="X800" s="1244"/>
      <c r="Y800" s="1244"/>
      <c r="Z800" s="1244"/>
    </row>
    <row r="801" spans="1:26" ht="18.75">
      <c r="A801" s="1267"/>
      <c r="B801" s="1268"/>
      <c r="C801" s="1268"/>
      <c r="D801" s="1268"/>
      <c r="E801" s="961"/>
      <c r="F801" s="961"/>
      <c r="G801" s="954"/>
      <c r="H801" s="778" t="s">
        <v>46</v>
      </c>
      <c r="I801" s="944">
        <f ca="1">IFERROR(__xludf.DUMMYFUNCTION("IMPORTRANGE(""https://docs.google.com/spreadsheets/d/1MaWodYyGHDf7siQLGxnXhG4mBNTNIuy296niS2xXulU/edit?usp=sharing"",""RTK!G14"")"),5000)</f>
        <v>5000</v>
      </c>
      <c r="J801" s="830">
        <f ca="1">IFERROR(__xludf.DUMMYFUNCTION("IMPORTRANGE(""https://docs.google.com/spreadsheets/d/1MaWodYyGHDf7siQLGxnXhG4mBNTNIuy296niS2xXulU/edit?usp=sharing"",""RTK!I14"")"),0)</f>
        <v>0</v>
      </c>
      <c r="K801" s="831">
        <f ca="1">IF(I801&gt;0,J801*100/I801,0)</f>
        <v>0</v>
      </c>
      <c r="L801" s="831"/>
      <c r="M801" s="831"/>
      <c r="N801" s="831"/>
      <c r="O801" s="945"/>
      <c r="P801" s="945"/>
      <c r="Q801" s="1244"/>
      <c r="R801" s="1244"/>
      <c r="S801" s="1244"/>
      <c r="T801" s="1244"/>
      <c r="U801" s="1244"/>
      <c r="V801" s="1244"/>
      <c r="W801" s="1244"/>
      <c r="X801" s="1244"/>
      <c r="Y801" s="1244"/>
      <c r="Z801" s="1244"/>
    </row>
    <row r="802" spans="1:26" ht="18.75">
      <c r="A802" s="1414"/>
      <c r="B802" s="1415"/>
      <c r="C802" s="1415"/>
      <c r="D802" s="1415"/>
      <c r="E802" s="1416"/>
      <c r="F802" s="1416" t="s">
        <v>321</v>
      </c>
      <c r="G802" s="1417"/>
      <c r="H802" s="783" t="s">
        <v>34</v>
      </c>
      <c r="I802" s="1069"/>
      <c r="J802" s="1069">
        <f ca="1">IFERROR(__xludf.DUMMYFUNCTION("IMPORTRANGE(""https://docs.google.com/spreadsheets/d/1MaWodYyGHDf7siQLGxnXhG4mBNTNIuy296niS2xXulU/edit?usp=sharing"",""RTK!L14"")"),878)</f>
        <v>878</v>
      </c>
      <c r="K802" s="1071"/>
      <c r="L802" s="1070"/>
      <c r="M802" s="1070"/>
      <c r="N802" s="1070"/>
      <c r="O802" s="1070"/>
      <c r="P802" s="1070"/>
      <c r="Q802" s="1418"/>
      <c r="R802" s="1418"/>
      <c r="S802" s="1418"/>
      <c r="T802" s="1418"/>
      <c r="U802" s="1418"/>
      <c r="V802" s="1418"/>
      <c r="W802" s="1418"/>
      <c r="X802" s="1418"/>
      <c r="Y802" s="1418"/>
      <c r="Z802" s="1418"/>
    </row>
    <row r="803" spans="1:26" ht="18.75">
      <c r="A803" s="1414"/>
      <c r="B803" s="1415"/>
      <c r="C803" s="1415"/>
      <c r="D803" s="1415"/>
      <c r="E803" s="1416"/>
      <c r="F803" s="1416"/>
      <c r="G803" s="1417"/>
      <c r="H803" s="783" t="s">
        <v>46</v>
      </c>
      <c r="I803" s="1069">
        <f ca="1">IFERROR(__xludf.DUMMYFUNCTION("IMPORTRANGE(""https://docs.google.com/spreadsheets/d/1MaWodYyGHDf7siQLGxnXhG4mBNTNIuy296niS2xXulU/edit?usp=sharing"",""RTK!K14"")"),74000)</f>
        <v>74000</v>
      </c>
      <c r="J803" s="1076">
        <f ca="1">IFERROR(__xludf.DUMMYFUNCTION("IMPORTRANGE(""https://docs.google.com/spreadsheets/d/1MaWodYyGHDf7siQLGxnXhG4mBNTNIuy296niS2xXulU/edit?usp=sharing"",""RTK!M14"")"),11288)</f>
        <v>11288</v>
      </c>
      <c r="K803" s="1071">
        <f t="shared" ref="K803:K804" ca="1" si="327">IF(I803&gt;0,J803*100/I803,0)</f>
        <v>15.254054054054054</v>
      </c>
      <c r="L803" s="1070"/>
      <c r="M803" s="1070"/>
      <c r="N803" s="1070"/>
      <c r="O803" s="1070"/>
      <c r="P803" s="1070"/>
      <c r="Q803" s="1418"/>
      <c r="R803" s="1418"/>
      <c r="S803" s="1418"/>
      <c r="T803" s="1418"/>
      <c r="U803" s="1418"/>
      <c r="V803" s="1418"/>
      <c r="W803" s="1418"/>
      <c r="X803" s="1418"/>
      <c r="Y803" s="1418"/>
      <c r="Z803" s="1418"/>
    </row>
    <row r="804" spans="1:26" ht="19.5" hidden="1">
      <c r="A804" s="759">
        <v>13</v>
      </c>
      <c r="B804" s="1400" t="s">
        <v>322</v>
      </c>
      <c r="C804" s="1401"/>
      <c r="D804" s="1419"/>
      <c r="E804" s="1401"/>
      <c r="F804" s="1401"/>
      <c r="G804" s="1402"/>
      <c r="H804" s="763" t="s">
        <v>46</v>
      </c>
      <c r="I804" s="1403"/>
      <c r="J804" s="1403">
        <f>J819</f>
        <v>0</v>
      </c>
      <c r="K804" s="1404">
        <f t="shared" si="327"/>
        <v>0</v>
      </c>
      <c r="L804" s="1405"/>
      <c r="M804" s="1405"/>
      <c r="N804" s="1405"/>
      <c r="O804" s="1405"/>
      <c r="P804" s="1405"/>
      <c r="Q804" s="1264"/>
      <c r="R804" s="1264"/>
      <c r="S804" s="1264"/>
      <c r="T804" s="1264"/>
      <c r="U804" s="1264"/>
      <c r="V804" s="1264"/>
      <c r="W804" s="1264"/>
      <c r="X804" s="1264"/>
      <c r="Y804" s="1264"/>
      <c r="Z804" s="1264"/>
    </row>
    <row r="805" spans="1:26" ht="19.5" hidden="1">
      <c r="A805" s="1260"/>
      <c r="B805" s="1261"/>
      <c r="C805" s="1261" t="s">
        <v>16</v>
      </c>
      <c r="D805" s="1508" t="s">
        <v>17</v>
      </c>
      <c r="E805" s="1485"/>
      <c r="F805" s="1485"/>
      <c r="G805" s="1263"/>
      <c r="H805" s="612" t="s">
        <v>12</v>
      </c>
      <c r="I805" s="836"/>
      <c r="J805" s="836"/>
      <c r="K805" s="837"/>
      <c r="L805" s="1292">
        <f t="shared" ref="L805:N805" si="328">L806+L807</f>
        <v>0</v>
      </c>
      <c r="M805" s="1292">
        <f t="shared" si="328"/>
        <v>0</v>
      </c>
      <c r="N805" s="1292">
        <f t="shared" si="328"/>
        <v>0</v>
      </c>
      <c r="O805" s="1292">
        <f t="shared" ref="O805:O810" si="329">IF(L805&gt;0,N805*100/L805,0)</f>
        <v>0</v>
      </c>
      <c r="P805" s="1292">
        <f t="shared" ref="P805:P810" si="330">IF(M805&gt;0,N805*100/M805,0)</f>
        <v>0</v>
      </c>
      <c r="Q805" s="1264"/>
      <c r="R805" s="1264"/>
      <c r="S805" s="1264"/>
      <c r="T805" s="1264"/>
      <c r="U805" s="1264"/>
      <c r="V805" s="1264"/>
      <c r="W805" s="1264"/>
      <c r="X805" s="1264"/>
      <c r="Y805" s="1264"/>
      <c r="Z805" s="1264"/>
    </row>
    <row r="806" spans="1:26" ht="18.75" hidden="1">
      <c r="A806" s="1260"/>
      <c r="B806" s="1261"/>
      <c r="C806" s="1261"/>
      <c r="D806" s="1274"/>
      <c r="E806" s="1261" t="s">
        <v>184</v>
      </c>
      <c r="F806" s="1261"/>
      <c r="G806" s="1263"/>
      <c r="H806" s="165" t="s">
        <v>12</v>
      </c>
      <c r="I806" s="836"/>
      <c r="J806" s="836"/>
      <c r="K806" s="837"/>
      <c r="L806" s="837">
        <f t="shared" ref="L806:N807" si="331">L809+L816</f>
        <v>0</v>
      </c>
      <c r="M806" s="837">
        <f t="shared" si="331"/>
        <v>0</v>
      </c>
      <c r="N806" s="837">
        <f t="shared" si="331"/>
        <v>0</v>
      </c>
      <c r="O806" s="837">
        <f t="shared" si="329"/>
        <v>0</v>
      </c>
      <c r="P806" s="837">
        <f t="shared" si="330"/>
        <v>0</v>
      </c>
      <c r="Q806" s="1264"/>
      <c r="R806" s="1264"/>
      <c r="S806" s="1264"/>
      <c r="T806" s="1264"/>
      <c r="U806" s="1264"/>
      <c r="V806" s="1264"/>
      <c r="W806" s="1264"/>
      <c r="X806" s="1264"/>
      <c r="Y806" s="1264"/>
      <c r="Z806" s="1264"/>
    </row>
    <row r="807" spans="1:26" ht="18.75" hidden="1">
      <c r="A807" s="1260"/>
      <c r="B807" s="1261"/>
      <c r="C807" s="1261"/>
      <c r="D807" s="1274"/>
      <c r="E807" s="1261" t="s">
        <v>185</v>
      </c>
      <c r="F807" s="1261"/>
      <c r="G807" s="1263"/>
      <c r="H807" s="165" t="s">
        <v>12</v>
      </c>
      <c r="I807" s="836"/>
      <c r="J807" s="836"/>
      <c r="K807" s="837"/>
      <c r="L807" s="837">
        <f t="shared" si="331"/>
        <v>0</v>
      </c>
      <c r="M807" s="837">
        <f t="shared" si="331"/>
        <v>0</v>
      </c>
      <c r="N807" s="837">
        <f t="shared" si="331"/>
        <v>0</v>
      </c>
      <c r="O807" s="837">
        <f t="shared" si="329"/>
        <v>0</v>
      </c>
      <c r="P807" s="837">
        <f t="shared" si="330"/>
        <v>0</v>
      </c>
      <c r="Q807" s="1264"/>
      <c r="R807" s="1264"/>
      <c r="S807" s="1264"/>
      <c r="T807" s="1264"/>
      <c r="U807" s="1264"/>
      <c r="V807" s="1264"/>
      <c r="W807" s="1264"/>
      <c r="X807" s="1264"/>
      <c r="Y807" s="1264"/>
      <c r="Z807" s="1264"/>
    </row>
    <row r="808" spans="1:26" ht="19.5" hidden="1">
      <c r="A808" s="1260"/>
      <c r="B808" s="1265"/>
      <c r="C808" s="1261"/>
      <c r="D808" s="1509" t="s">
        <v>20</v>
      </c>
      <c r="E808" s="1485"/>
      <c r="F808" s="1485"/>
      <c r="G808" s="1263"/>
      <c r="H808" s="612" t="s">
        <v>12</v>
      </c>
      <c r="I808" s="947"/>
      <c r="J808" s="947"/>
      <c r="K808" s="948"/>
      <c r="L808" s="1292">
        <f t="shared" ref="L808:N808" si="332">L809+L810</f>
        <v>0</v>
      </c>
      <c r="M808" s="1292">
        <f t="shared" si="332"/>
        <v>0</v>
      </c>
      <c r="N808" s="1292">
        <f t="shared" si="332"/>
        <v>0</v>
      </c>
      <c r="O808" s="1292">
        <f t="shared" si="329"/>
        <v>0</v>
      </c>
      <c r="P808" s="1292">
        <f t="shared" si="330"/>
        <v>0</v>
      </c>
      <c r="Q808" s="1264"/>
      <c r="R808" s="1264"/>
      <c r="S808" s="1264"/>
      <c r="T808" s="1264"/>
      <c r="U808" s="1264"/>
      <c r="V808" s="1264"/>
      <c r="W808" s="1264"/>
      <c r="X808" s="1264"/>
      <c r="Y808" s="1264"/>
      <c r="Z808" s="1264"/>
    </row>
    <row r="809" spans="1:26" ht="18.75" hidden="1">
      <c r="A809" s="1260"/>
      <c r="B809" s="1261"/>
      <c r="C809" s="1261"/>
      <c r="D809" s="1274"/>
      <c r="E809" s="1261" t="s">
        <v>184</v>
      </c>
      <c r="F809" s="1261"/>
      <c r="G809" s="1263"/>
      <c r="H809" s="165" t="s">
        <v>12</v>
      </c>
      <c r="I809" s="836"/>
      <c r="J809" s="836"/>
      <c r="K809" s="837"/>
      <c r="L809" s="837">
        <v>0</v>
      </c>
      <c r="M809" s="837">
        <v>0</v>
      </c>
      <c r="N809" s="837">
        <v>0</v>
      </c>
      <c r="O809" s="837">
        <f t="shared" si="329"/>
        <v>0</v>
      </c>
      <c r="P809" s="837">
        <f t="shared" si="330"/>
        <v>0</v>
      </c>
      <c r="Q809" s="1264"/>
      <c r="R809" s="1264"/>
      <c r="S809" s="1264"/>
      <c r="T809" s="1264"/>
      <c r="U809" s="1264"/>
      <c r="V809" s="1264"/>
      <c r="W809" s="1264"/>
      <c r="X809" s="1264"/>
      <c r="Y809" s="1264"/>
      <c r="Z809" s="1264"/>
    </row>
    <row r="810" spans="1:26" ht="18.75" hidden="1">
      <c r="A810" s="1260"/>
      <c r="B810" s="1261"/>
      <c r="C810" s="1261"/>
      <c r="D810" s="1274"/>
      <c r="E810" s="1261" t="s">
        <v>185</v>
      </c>
      <c r="F810" s="1261"/>
      <c r="G810" s="1263"/>
      <c r="H810" s="165" t="s">
        <v>12</v>
      </c>
      <c r="I810" s="836"/>
      <c r="J810" s="836"/>
      <c r="K810" s="837"/>
      <c r="L810" s="837">
        <v>0</v>
      </c>
      <c r="M810" s="837">
        <v>0</v>
      </c>
      <c r="N810" s="837">
        <f>N811+N812+N813+N814</f>
        <v>0</v>
      </c>
      <c r="O810" s="837">
        <f t="shared" si="329"/>
        <v>0</v>
      </c>
      <c r="P810" s="837">
        <f t="shared" si="330"/>
        <v>0</v>
      </c>
      <c r="Q810" s="1264"/>
      <c r="R810" s="1264"/>
      <c r="S810" s="1264"/>
      <c r="T810" s="1264"/>
      <c r="U810" s="1264"/>
      <c r="V810" s="1264"/>
      <c r="W810" s="1264"/>
      <c r="X810" s="1264"/>
      <c r="Y810" s="1264"/>
      <c r="Z810" s="1264"/>
    </row>
    <row r="811" spans="1:26" ht="18.75" hidden="1">
      <c r="A811" s="1294"/>
      <c r="B811" s="1265"/>
      <c r="C811" s="1261"/>
      <c r="D811" s="1265"/>
      <c r="E811" s="1261"/>
      <c r="F811" s="1261" t="s">
        <v>186</v>
      </c>
      <c r="G811" s="1263"/>
      <c r="H811" s="165" t="s">
        <v>12</v>
      </c>
      <c r="I811" s="836"/>
      <c r="J811" s="836"/>
      <c r="K811" s="837"/>
      <c r="L811" s="837"/>
      <c r="M811" s="837"/>
      <c r="N811" s="837"/>
      <c r="O811" s="837"/>
      <c r="P811" s="837"/>
      <c r="Q811" s="1264"/>
      <c r="R811" s="1264"/>
      <c r="S811" s="1264"/>
      <c r="T811" s="1264"/>
      <c r="U811" s="1264"/>
      <c r="V811" s="1264"/>
      <c r="W811" s="1264"/>
      <c r="X811" s="1264"/>
      <c r="Y811" s="1264"/>
      <c r="Z811" s="1264"/>
    </row>
    <row r="812" spans="1:26" ht="18.75" hidden="1">
      <c r="A812" s="1294"/>
      <c r="B812" s="1265"/>
      <c r="C812" s="1261"/>
      <c r="D812" s="1265"/>
      <c r="E812" s="1261"/>
      <c r="F812" s="1261" t="s">
        <v>187</v>
      </c>
      <c r="G812" s="1263"/>
      <c r="H812" s="165" t="s">
        <v>12</v>
      </c>
      <c r="I812" s="836"/>
      <c r="J812" s="836"/>
      <c r="K812" s="837"/>
      <c r="L812" s="837"/>
      <c r="M812" s="837"/>
      <c r="N812" s="837"/>
      <c r="O812" s="837"/>
      <c r="P812" s="837"/>
      <c r="Q812" s="1264"/>
      <c r="R812" s="1264"/>
      <c r="S812" s="1264"/>
      <c r="T812" s="1264"/>
      <c r="U812" s="1264"/>
      <c r="V812" s="1264"/>
      <c r="W812" s="1264"/>
      <c r="X812" s="1264"/>
      <c r="Y812" s="1264"/>
      <c r="Z812" s="1264"/>
    </row>
    <row r="813" spans="1:26" ht="18.75" hidden="1">
      <c r="A813" s="1294"/>
      <c r="B813" s="1265"/>
      <c r="C813" s="1261"/>
      <c r="D813" s="1265"/>
      <c r="E813" s="1261"/>
      <c r="F813" s="1261" t="s">
        <v>188</v>
      </c>
      <c r="G813" s="1263"/>
      <c r="H813" s="165" t="s">
        <v>12</v>
      </c>
      <c r="I813" s="836"/>
      <c r="J813" s="836"/>
      <c r="K813" s="837"/>
      <c r="L813" s="837"/>
      <c r="M813" s="837"/>
      <c r="N813" s="837"/>
      <c r="O813" s="837"/>
      <c r="P813" s="837"/>
      <c r="Q813" s="1264"/>
      <c r="R813" s="1264"/>
      <c r="S813" s="1264"/>
      <c r="T813" s="1264"/>
      <c r="U813" s="1264"/>
      <c r="V813" s="1264"/>
      <c r="W813" s="1264"/>
      <c r="X813" s="1264"/>
      <c r="Y813" s="1264"/>
      <c r="Z813" s="1264"/>
    </row>
    <row r="814" spans="1:26" ht="18.75" hidden="1">
      <c r="A814" s="1294"/>
      <c r="B814" s="1265"/>
      <c r="C814" s="1261"/>
      <c r="D814" s="1265"/>
      <c r="E814" s="1261"/>
      <c r="F814" s="1261" t="s">
        <v>189</v>
      </c>
      <c r="G814" s="1263"/>
      <c r="H814" s="165" t="s">
        <v>12</v>
      </c>
      <c r="I814" s="836"/>
      <c r="J814" s="836"/>
      <c r="K814" s="837"/>
      <c r="L814" s="837"/>
      <c r="M814" s="837"/>
      <c r="N814" s="837"/>
      <c r="O814" s="837"/>
      <c r="P814" s="837"/>
      <c r="Q814" s="1264"/>
      <c r="R814" s="1264"/>
      <c r="S814" s="1264"/>
      <c r="T814" s="1264"/>
      <c r="U814" s="1264"/>
      <c r="V814" s="1264"/>
      <c r="W814" s="1264"/>
      <c r="X814" s="1264"/>
      <c r="Y814" s="1264"/>
      <c r="Z814" s="1264"/>
    </row>
    <row r="815" spans="1:26" ht="19.5" hidden="1">
      <c r="A815" s="1260"/>
      <c r="B815" s="1265"/>
      <c r="C815" s="1261"/>
      <c r="D815" s="1509" t="s">
        <v>21</v>
      </c>
      <c r="E815" s="1485"/>
      <c r="F815" s="1485"/>
      <c r="G815" s="1263"/>
      <c r="H815" s="749" t="s">
        <v>12</v>
      </c>
      <c r="I815" s="947"/>
      <c r="J815" s="947"/>
      <c r="K815" s="948"/>
      <c r="L815" s="1292">
        <f t="shared" ref="L815:N815" si="333">L816+L817</f>
        <v>0</v>
      </c>
      <c r="M815" s="1292">
        <f t="shared" si="333"/>
        <v>0</v>
      </c>
      <c r="N815" s="1292">
        <f t="shared" si="333"/>
        <v>0</v>
      </c>
      <c r="O815" s="1292">
        <f t="shared" ref="O815:O817" si="334">IF(L815&gt;0,N815*100/L815,0)</f>
        <v>0</v>
      </c>
      <c r="P815" s="1292">
        <f t="shared" ref="P815:P817" si="335">IF(M815&gt;0,N815*100/M815,0)</f>
        <v>0</v>
      </c>
      <c r="Q815" s="1264"/>
      <c r="R815" s="1264"/>
      <c r="S815" s="1264"/>
      <c r="T815" s="1264"/>
      <c r="U815" s="1264"/>
      <c r="V815" s="1264"/>
      <c r="W815" s="1264"/>
      <c r="X815" s="1264"/>
      <c r="Y815" s="1264"/>
      <c r="Z815" s="1264"/>
    </row>
    <row r="816" spans="1:26" ht="18.75" hidden="1">
      <c r="A816" s="1260"/>
      <c r="B816" s="1265"/>
      <c r="C816" s="1261"/>
      <c r="D816" s="1265"/>
      <c r="E816" s="1261" t="s">
        <v>18</v>
      </c>
      <c r="F816" s="1261"/>
      <c r="G816" s="1263"/>
      <c r="H816" s="165" t="s">
        <v>12</v>
      </c>
      <c r="I816" s="947"/>
      <c r="J816" s="947"/>
      <c r="K816" s="948"/>
      <c r="L816" s="837">
        <v>0</v>
      </c>
      <c r="M816" s="837">
        <v>0</v>
      </c>
      <c r="N816" s="837">
        <v>0</v>
      </c>
      <c r="O816" s="837">
        <f t="shared" si="334"/>
        <v>0</v>
      </c>
      <c r="P816" s="837">
        <f t="shared" si="335"/>
        <v>0</v>
      </c>
      <c r="Q816" s="1264"/>
      <c r="R816" s="1264"/>
      <c r="S816" s="1264"/>
      <c r="T816" s="1264"/>
      <c r="U816" s="1264"/>
      <c r="V816" s="1264"/>
      <c r="W816" s="1264"/>
      <c r="X816" s="1264"/>
      <c r="Y816" s="1264"/>
      <c r="Z816" s="1264"/>
    </row>
    <row r="817" spans="1:26" ht="18.75" hidden="1">
      <c r="A817" s="1260"/>
      <c r="B817" s="1265"/>
      <c r="C817" s="1261"/>
      <c r="D817" s="1265"/>
      <c r="E817" s="1261" t="s">
        <v>19</v>
      </c>
      <c r="F817" s="1261"/>
      <c r="G817" s="1263"/>
      <c r="H817" s="169" t="s">
        <v>12</v>
      </c>
      <c r="I817" s="947"/>
      <c r="J817" s="947"/>
      <c r="K817" s="948"/>
      <c r="L817" s="837">
        <v>0</v>
      </c>
      <c r="M817" s="837">
        <v>0</v>
      </c>
      <c r="N817" s="837">
        <v>0</v>
      </c>
      <c r="O817" s="837">
        <f t="shared" si="334"/>
        <v>0</v>
      </c>
      <c r="P817" s="837">
        <f t="shared" si="335"/>
        <v>0</v>
      </c>
      <c r="Q817" s="1264"/>
      <c r="R817" s="1264"/>
      <c r="S817" s="1264"/>
      <c r="T817" s="1264"/>
      <c r="U817" s="1264"/>
      <c r="V817" s="1264"/>
      <c r="W817" s="1264"/>
      <c r="X817" s="1264"/>
      <c r="Y817" s="1264"/>
      <c r="Z817" s="1264"/>
    </row>
    <row r="818" spans="1:26" ht="19.5" hidden="1">
      <c r="A818" s="1273"/>
      <c r="B818" s="1274"/>
      <c r="C818" s="1261" t="s">
        <v>16</v>
      </c>
      <c r="D818" s="1420" t="s">
        <v>38</v>
      </c>
      <c r="E818" s="1296"/>
      <c r="F818" s="1296"/>
      <c r="G818" s="1297"/>
      <c r="H818" s="1060"/>
      <c r="I818" s="947"/>
      <c r="J818" s="947"/>
      <c r="K818" s="948"/>
      <c r="L818" s="948"/>
      <c r="M818" s="948"/>
      <c r="N818" s="948"/>
      <c r="O818" s="948"/>
      <c r="P818" s="948"/>
      <c r="Q818" s="1264"/>
      <c r="R818" s="1264"/>
      <c r="S818" s="1264"/>
      <c r="T818" s="1264"/>
      <c r="U818" s="1264"/>
      <c r="V818" s="1264"/>
      <c r="W818" s="1264"/>
      <c r="X818" s="1264"/>
      <c r="Y818" s="1264"/>
      <c r="Z818" s="1264"/>
    </row>
    <row r="819" spans="1:26" ht="19.5" hidden="1" thickBot="1">
      <c r="A819" s="1421"/>
      <c r="B819" s="1422"/>
      <c r="C819" s="1423"/>
      <c r="D819" s="1422"/>
      <c r="E819" s="1423" t="s">
        <v>323</v>
      </c>
      <c r="F819" s="1423"/>
      <c r="G819" s="1424"/>
      <c r="H819" s="792" t="s">
        <v>46</v>
      </c>
      <c r="I819" s="1425"/>
      <c r="J819" s="1425"/>
      <c r="K819" s="1426"/>
      <c r="L819" s="1426"/>
      <c r="M819" s="1426"/>
      <c r="N819" s="1426"/>
      <c r="O819" s="1426"/>
      <c r="P819" s="1426"/>
      <c r="Q819" s="1264"/>
      <c r="R819" s="1264"/>
      <c r="S819" s="1264"/>
      <c r="T819" s="1264"/>
      <c r="U819" s="1264"/>
      <c r="V819" s="1264"/>
      <c r="W819" s="1264"/>
      <c r="X819" s="1264"/>
      <c r="Y819" s="1264"/>
      <c r="Z819" s="1264"/>
    </row>
    <row r="820" spans="1:26" ht="19.5">
      <c r="A820" s="1427" t="s">
        <v>333</v>
      </c>
      <c r="B820" s="1428"/>
      <c r="C820" s="1428"/>
      <c r="D820" s="1429"/>
      <c r="E820" s="1428"/>
      <c r="F820" s="1428"/>
      <c r="G820" s="1430"/>
      <c r="H820" s="143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32"/>
      <c r="J820" s="1432"/>
      <c r="K820" s="1433"/>
      <c r="L820" s="1433"/>
      <c r="M820" s="1433"/>
      <c r="N820" s="1433"/>
      <c r="O820" s="1433"/>
      <c r="P820" s="1433"/>
      <c r="Q820" s="1244"/>
      <c r="R820" s="1244"/>
      <c r="S820" s="1244"/>
      <c r="T820" s="1244"/>
      <c r="U820" s="1244"/>
      <c r="V820" s="1244"/>
      <c r="W820" s="1244"/>
      <c r="X820" s="1244"/>
      <c r="Y820" s="1244"/>
      <c r="Z820" s="1244"/>
    </row>
    <row r="821" spans="1:26" ht="18.75">
      <c r="A821" s="1368"/>
      <c r="B821" s="1243" t="s">
        <v>325</v>
      </c>
      <c r="C821" s="1243"/>
      <c r="D821" s="1242"/>
      <c r="E821" s="1243"/>
      <c r="F821" s="1243"/>
      <c r="G821" s="963"/>
      <c r="H821" s="590" t="s">
        <v>12</v>
      </c>
      <c r="I821" s="830">
        <f ca="1">IFERROR(__xludf.DUMMYFUNCTION("IMPORTRANGE(""https://docs.google.com/spreadsheets/d/19vJNZY_5yjcGF2XGBMNZRCAIB0Kwfpjp8YEOfu-bneM/edit?usp=sharing"",""งานกองทุน!D14"")"),4991000)</f>
        <v>4991000</v>
      </c>
      <c r="J821" s="830">
        <f ca="1">IFERROR(__xludf.DUMMYFUNCTION("IMPORTRANGE(""https://docs.google.com/spreadsheets/d/19vJNZY_5yjcGF2XGBMNZRCAIB0Kwfpjp8YEOfu-bneM/edit?usp=sharing"",""งานกองทุน!F14"")"),1083000)</f>
        <v>1083000</v>
      </c>
      <c r="K821" s="831">
        <f t="shared" ref="K821:K828" ca="1" si="336">IF(I821&gt;0,J821*100/I821,0)</f>
        <v>21.69905830494891</v>
      </c>
      <c r="L821" s="831"/>
      <c r="M821" s="831"/>
      <c r="N821" s="831"/>
      <c r="O821" s="831"/>
      <c r="P821" s="831"/>
      <c r="Q821" s="1244"/>
      <c r="R821" s="1244"/>
      <c r="S821" s="1244"/>
      <c r="T821" s="1244"/>
      <c r="U821" s="1244"/>
      <c r="V821" s="1244"/>
      <c r="W821" s="1244"/>
      <c r="X821" s="1244"/>
      <c r="Y821" s="1244"/>
      <c r="Z821" s="1244"/>
    </row>
    <row r="822" spans="1:26" ht="18.75">
      <c r="A822" s="1368"/>
      <c r="B822" s="1243"/>
      <c r="C822" s="1243"/>
      <c r="D822" s="1242"/>
      <c r="E822" s="1243"/>
      <c r="F822" s="1243"/>
      <c r="G822" s="963"/>
      <c r="H822" s="590" t="s">
        <v>35</v>
      </c>
      <c r="I822" s="830">
        <f ca="1">IFERROR(__xludf.DUMMYFUNCTION("IMPORTRANGE(""https://docs.google.com/spreadsheets/d/19vJNZY_5yjcGF2XGBMNZRCAIB0Kwfpjp8YEOfu-bneM/edit?usp=sharing"",""งานกองทุน!C14"")"),166)</f>
        <v>166</v>
      </c>
      <c r="J822" s="830">
        <f ca="1">IFERROR(__xludf.DUMMYFUNCTION("IMPORTRANGE(""https://docs.google.com/spreadsheets/d/19vJNZY_5yjcGF2XGBMNZRCAIB0Kwfpjp8YEOfu-bneM/edit?usp=sharing"",""งานกองทุน!E14"")"),37)</f>
        <v>37</v>
      </c>
      <c r="K822" s="831">
        <f t="shared" ca="1" si="336"/>
        <v>22.289156626506024</v>
      </c>
      <c r="L822" s="831"/>
      <c r="M822" s="831"/>
      <c r="N822" s="831"/>
      <c r="O822" s="831"/>
      <c r="P822" s="831"/>
      <c r="Q822" s="1244"/>
      <c r="R822" s="1244"/>
      <c r="S822" s="1244"/>
      <c r="T822" s="1244"/>
      <c r="U822" s="1244"/>
      <c r="V822" s="1244"/>
      <c r="W822" s="1244"/>
      <c r="X822" s="1244"/>
      <c r="Y822" s="1244"/>
      <c r="Z822" s="1244"/>
    </row>
    <row r="823" spans="1:26" ht="18.75">
      <c r="A823" s="1368"/>
      <c r="B823" s="1243" t="s">
        <v>326</v>
      </c>
      <c r="C823" s="1243"/>
      <c r="D823" s="1242"/>
      <c r="E823" s="1243"/>
      <c r="F823" s="1243"/>
      <c r="G823" s="963"/>
      <c r="H823" s="590" t="s">
        <v>12</v>
      </c>
      <c r="I823" s="830">
        <f ca="1">IFERROR(__xludf.DUMMYFUNCTION("IMPORTRANGE(""https://docs.google.com/spreadsheets/d/19vJNZY_5yjcGF2XGBMNZRCAIB0Kwfpjp8YEOfu-bneM/edit?usp=sharing"",""งานกองทุน!I14"")"),4731042.35)</f>
        <v>4731042.3499999996</v>
      </c>
      <c r="J823" s="830">
        <f ca="1">IFERROR(__xludf.DUMMYFUNCTION("IMPORTRANGE(""https://docs.google.com/spreadsheets/d/19vJNZY_5yjcGF2XGBMNZRCAIB0Kwfpjp8YEOfu-bneM/edit?usp=sharing"",""งานกองทุน!K14"")"),258665.04)</f>
        <v>258665.04</v>
      </c>
      <c r="K823" s="831">
        <f t="shared" ca="1" si="336"/>
        <v>5.4674006458640143</v>
      </c>
      <c r="L823" s="831"/>
      <c r="M823" s="831"/>
      <c r="N823" s="831"/>
      <c r="O823" s="831"/>
      <c r="P823" s="831"/>
      <c r="Q823" s="1244"/>
      <c r="R823" s="1244"/>
      <c r="S823" s="1244"/>
      <c r="T823" s="1244"/>
      <c r="U823" s="1244"/>
      <c r="V823" s="1244"/>
      <c r="W823" s="1244"/>
      <c r="X823" s="1244"/>
      <c r="Y823" s="1244"/>
      <c r="Z823" s="1244"/>
    </row>
    <row r="824" spans="1:26" ht="18.75">
      <c r="A824" s="1368"/>
      <c r="B824" s="1243"/>
      <c r="C824" s="1243"/>
      <c r="D824" s="1242"/>
      <c r="E824" s="1243"/>
      <c r="F824" s="1243"/>
      <c r="G824" s="963"/>
      <c r="H824" s="590" t="s">
        <v>35</v>
      </c>
      <c r="I824" s="830">
        <f ca="1">IFERROR(__xludf.DUMMYFUNCTION("IMPORTRANGE(""https://docs.google.com/spreadsheets/d/19vJNZY_5yjcGF2XGBMNZRCAIB0Kwfpjp8YEOfu-bneM/edit?usp=sharing"",""งานกองทุน!H14"")"),130)</f>
        <v>130</v>
      </c>
      <c r="J824" s="830">
        <f ca="1">IFERROR(__xludf.DUMMYFUNCTION("IMPORTRANGE(""https://docs.google.com/spreadsheets/d/19vJNZY_5yjcGF2XGBMNZRCAIB0Kwfpjp8YEOfu-bneM/edit?usp=sharing"",""งานกองทุน!J14"")"),27)</f>
        <v>27</v>
      </c>
      <c r="K824" s="831">
        <f t="shared" ca="1" si="336"/>
        <v>20.76923076923077</v>
      </c>
      <c r="L824" s="831"/>
      <c r="M824" s="831"/>
      <c r="N824" s="831"/>
      <c r="O824" s="831"/>
      <c r="P824" s="831"/>
      <c r="Q824" s="1244"/>
      <c r="R824" s="1244"/>
      <c r="S824" s="1244"/>
      <c r="T824" s="1244"/>
      <c r="U824" s="1244"/>
      <c r="V824" s="1244"/>
      <c r="W824" s="1244"/>
      <c r="X824" s="1244"/>
      <c r="Y824" s="1244"/>
      <c r="Z824" s="1244"/>
    </row>
    <row r="825" spans="1:26" ht="18.75">
      <c r="A825" s="1368"/>
      <c r="B825" s="1243" t="s">
        <v>327</v>
      </c>
      <c r="C825" s="1243"/>
      <c r="D825" s="1242"/>
      <c r="E825" s="1243"/>
      <c r="F825" s="1243"/>
      <c r="G825" s="963"/>
      <c r="H825" s="590" t="s">
        <v>12</v>
      </c>
      <c r="I825" s="830">
        <f ca="1">IFERROR(__xludf.DUMMYFUNCTION("IMPORTRANGE(""https://docs.google.com/spreadsheets/d/19vJNZY_5yjcGF2XGBMNZRCAIB0Kwfpjp8YEOfu-bneM/edit?usp=sharing"",""งานกองทุน!N14"")"),2427178.3)</f>
        <v>2427178.2999999998</v>
      </c>
      <c r="J825" s="830">
        <f ca="1">IFERROR(__xludf.DUMMYFUNCTION("IMPORTRANGE(""https://docs.google.com/spreadsheets/d/19vJNZY_5yjcGF2XGBMNZRCAIB0Kwfpjp8YEOfu-bneM/edit?usp=sharing"",""งานกองทุน!P14"")"),620771.12)</f>
        <v>620771.12</v>
      </c>
      <c r="K825" s="831">
        <f t="shared" ca="1" si="336"/>
        <v>25.575835116851533</v>
      </c>
      <c r="L825" s="831"/>
      <c r="M825" s="831"/>
      <c r="N825" s="831"/>
      <c r="O825" s="831"/>
      <c r="P825" s="831"/>
      <c r="Q825" s="1244"/>
      <c r="R825" s="1244"/>
      <c r="S825" s="1244"/>
      <c r="T825" s="1244"/>
      <c r="U825" s="1244"/>
      <c r="V825" s="1244"/>
      <c r="W825" s="1244"/>
      <c r="X825" s="1244"/>
      <c r="Y825" s="1244"/>
      <c r="Z825" s="1244"/>
    </row>
    <row r="826" spans="1:26" ht="18.75">
      <c r="A826" s="1368"/>
      <c r="B826" s="1243"/>
      <c r="C826" s="1243"/>
      <c r="D826" s="1242"/>
      <c r="E826" s="1243"/>
      <c r="F826" s="1243"/>
      <c r="G826" s="963"/>
      <c r="H826" s="590" t="s">
        <v>35</v>
      </c>
      <c r="I826" s="830">
        <f ca="1">IFERROR(__xludf.DUMMYFUNCTION("IMPORTRANGE(""https://docs.google.com/spreadsheets/d/19vJNZY_5yjcGF2XGBMNZRCAIB0Kwfpjp8YEOfu-bneM/edit?usp=sharing"",""งานกองทุน!M14"")"),277)</f>
        <v>277</v>
      </c>
      <c r="J826" s="830">
        <f ca="1">IFERROR(__xludf.DUMMYFUNCTION("IMPORTRANGE(""https://docs.google.com/spreadsheets/d/19vJNZY_5yjcGF2XGBMNZRCAIB0Kwfpjp8YEOfu-bneM/edit?usp=sharing"",""งานกองทุน!O14"")"),143)</f>
        <v>143</v>
      </c>
      <c r="K826" s="831">
        <f t="shared" ca="1" si="336"/>
        <v>51.624548736462096</v>
      </c>
      <c r="L826" s="831"/>
      <c r="M826" s="831"/>
      <c r="N826" s="831"/>
      <c r="O826" s="831"/>
      <c r="P826" s="831"/>
      <c r="Q826" s="1244"/>
      <c r="R826" s="1244"/>
      <c r="S826" s="1244"/>
      <c r="T826" s="1244"/>
      <c r="U826" s="1244"/>
      <c r="V826" s="1244"/>
      <c r="W826" s="1244"/>
      <c r="X826" s="1244"/>
      <c r="Y826" s="1244"/>
      <c r="Z826" s="1244"/>
    </row>
    <row r="827" spans="1:26" ht="18.75">
      <c r="A827" s="1368"/>
      <c r="B827" s="1243" t="s">
        <v>328</v>
      </c>
      <c r="C827" s="1243"/>
      <c r="D827" s="1242"/>
      <c r="E827" s="1243"/>
      <c r="F827" s="1243"/>
      <c r="G827" s="963"/>
      <c r="H827" s="590" t="s">
        <v>12</v>
      </c>
      <c r="I827" s="830">
        <f ca="1">IFERROR(__xludf.DUMMYFUNCTION("IMPORTRANGE(""https://docs.google.com/spreadsheets/d/19vJNZY_5yjcGF2XGBMNZRCAIB0Kwfpjp8YEOfu-bneM/edit?usp=sharing"",""งานกองทุน!S14"")"),5000000)</f>
        <v>5000000</v>
      </c>
      <c r="J827" s="830">
        <f ca="1">IFERROR(__xludf.DUMMYFUNCTION("IMPORTRANGE(""https://docs.google.com/spreadsheets/d/19vJNZY_5yjcGF2XGBMNZRCAIB0Kwfpjp8YEOfu-bneM/edit?usp=sharing"",""งานกองทุน!U14"")"),1080000)</f>
        <v>1080000</v>
      </c>
      <c r="K827" s="831">
        <f t="shared" ca="1" si="336"/>
        <v>21.6</v>
      </c>
      <c r="L827" s="831"/>
      <c r="M827" s="831"/>
      <c r="N827" s="831"/>
      <c r="O827" s="831"/>
      <c r="P827" s="831"/>
      <c r="Q827" s="1244"/>
      <c r="R827" s="1244"/>
      <c r="S827" s="1244"/>
      <c r="T827" s="1244"/>
      <c r="U827" s="1244"/>
      <c r="V827" s="1244"/>
      <c r="W827" s="1244"/>
      <c r="X827" s="1244"/>
      <c r="Y827" s="1244"/>
      <c r="Z827" s="1244"/>
    </row>
    <row r="828" spans="1:26" ht="18.75">
      <c r="A828" s="1369"/>
      <c r="B828" s="1371"/>
      <c r="C828" s="1371"/>
      <c r="D828" s="1370"/>
      <c r="E828" s="1371"/>
      <c r="F828" s="1371"/>
      <c r="G828" s="1434"/>
      <c r="H828" s="802" t="s">
        <v>35</v>
      </c>
      <c r="I828" s="1085">
        <f ca="1">IFERROR(__xludf.DUMMYFUNCTION("IMPORTRANGE(""https://docs.google.com/spreadsheets/d/19vJNZY_5yjcGF2XGBMNZRCAIB0Kwfpjp8YEOfu-bneM/edit?usp=sharing"",""งานกองทุน!R14"")"),188)</f>
        <v>188</v>
      </c>
      <c r="J828" s="1085">
        <f ca="1">IFERROR(__xludf.DUMMYFUNCTION("IMPORTRANGE(""https://docs.google.com/spreadsheets/d/19vJNZY_5yjcGF2XGBMNZRCAIB0Kwfpjp8YEOfu-bneM/edit?usp=sharing"",""งานกองทุน!T14"")"),36)</f>
        <v>36</v>
      </c>
      <c r="K828" s="1182">
        <f t="shared" ca="1" si="336"/>
        <v>19.148936170212767</v>
      </c>
      <c r="L828" s="1182"/>
      <c r="M828" s="1182"/>
      <c r="N828" s="1182"/>
      <c r="O828" s="1182"/>
      <c r="P828" s="1182"/>
      <c r="Q828" s="1244"/>
      <c r="R828" s="1244"/>
      <c r="S828" s="1244"/>
      <c r="T828" s="1244"/>
      <c r="U828" s="1244"/>
      <c r="V828" s="1244"/>
      <c r="W828" s="1244"/>
      <c r="X828" s="1244"/>
      <c r="Y828" s="1244"/>
      <c r="Z828" s="124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B219D-FB24-4A78-88EB-0D61E49747BF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Q24" sqref="Q24"/>
      <selection pane="bottomLeft" activeCell="Q24" sqref="Q24"/>
    </sheetView>
  </sheetViews>
  <sheetFormatPr defaultColWidth="12.5703125" defaultRowHeight="15.75" customHeight="1"/>
  <cols>
    <col min="1" max="3" width="3.28515625" style="803" customWidth="1"/>
    <col min="4" max="6" width="5.85546875" style="803" customWidth="1"/>
    <col min="7" max="7" width="56.42578125" style="803" customWidth="1"/>
    <col min="8" max="8" width="9.42578125" style="803" customWidth="1"/>
    <col min="9" max="9" width="16.85546875" style="803" bestFit="1" customWidth="1"/>
    <col min="10" max="10" width="14.42578125" style="803" bestFit="1" customWidth="1"/>
    <col min="11" max="11" width="12.5703125" style="803" bestFit="1" customWidth="1"/>
    <col min="12" max="14" width="21.28515625" style="803" bestFit="1" customWidth="1"/>
    <col min="15" max="15" width="20.140625" style="803" bestFit="1" customWidth="1"/>
    <col min="16" max="16" width="22" style="803" bestFit="1" customWidth="1"/>
    <col min="17" max="16384" width="12.5703125" style="803"/>
  </cols>
  <sheetData>
    <row r="1" spans="1:26" ht="19.5">
      <c r="A1" s="1498" t="s">
        <v>0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</row>
    <row r="2" spans="1:26" ht="19.5">
      <c r="A2" s="1498" t="s">
        <v>334</v>
      </c>
      <c r="B2" s="1516"/>
      <c r="C2" s="1516"/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  <c r="O2" s="1516"/>
      <c r="P2" s="1516"/>
    </row>
    <row r="3" spans="1:26" ht="19.5">
      <c r="A3" s="1498" t="s">
        <v>329</v>
      </c>
      <c r="B3" s="1516"/>
      <c r="C3" s="1516"/>
      <c r="D3" s="1516"/>
      <c r="E3" s="1516"/>
      <c r="F3" s="1516"/>
      <c r="G3" s="1516"/>
      <c r="H3" s="1516"/>
      <c r="I3" s="1516"/>
      <c r="J3" s="1516"/>
      <c r="K3" s="1516"/>
      <c r="L3" s="1516"/>
      <c r="M3" s="1516"/>
      <c r="N3" s="1516"/>
      <c r="O3" s="1516"/>
      <c r="P3" s="1516"/>
    </row>
    <row r="4" spans="1:26" ht="12.75">
      <c r="A4" s="804"/>
      <c r="B4" s="804"/>
      <c r="C4" s="804"/>
      <c r="D4" s="804"/>
      <c r="E4" s="804"/>
      <c r="F4" s="804"/>
      <c r="G4" s="804"/>
      <c r="H4" s="804"/>
      <c r="I4" s="804"/>
      <c r="J4" s="805"/>
      <c r="K4" s="806"/>
      <c r="L4" s="805"/>
      <c r="M4" s="805"/>
      <c r="N4" s="805"/>
      <c r="O4" s="804"/>
      <c r="P4" s="804"/>
    </row>
    <row r="5" spans="1:26" ht="19.5">
      <c r="A5" s="1504" t="s">
        <v>2</v>
      </c>
      <c r="B5" s="1516"/>
      <c r="C5" s="1516"/>
      <c r="D5" s="1516"/>
      <c r="E5" s="1516"/>
      <c r="F5" s="1516"/>
      <c r="G5" s="1505"/>
      <c r="H5" s="1500" t="s">
        <v>3</v>
      </c>
      <c r="I5" s="1501" t="s">
        <v>4</v>
      </c>
      <c r="J5" s="1494"/>
      <c r="K5" s="1495"/>
      <c r="L5" s="1502" t="s">
        <v>5</v>
      </c>
      <c r="M5" s="1495"/>
      <c r="N5" s="1503" t="s">
        <v>6</v>
      </c>
      <c r="O5" s="1494"/>
      <c r="P5" s="1495"/>
    </row>
    <row r="6" spans="1:26" ht="19.5">
      <c r="A6" s="1506"/>
      <c r="B6" s="1494"/>
      <c r="C6" s="1494"/>
      <c r="D6" s="1494"/>
      <c r="E6" s="1494"/>
      <c r="F6" s="1494"/>
      <c r="G6" s="1495"/>
      <c r="H6" s="14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12" t="s">
        <v>15</v>
      </c>
      <c r="B7" s="1494"/>
      <c r="C7" s="1494"/>
      <c r="D7" s="1494"/>
      <c r="E7" s="1494"/>
      <c r="F7" s="1494"/>
      <c r="G7" s="1495"/>
      <c r="H7" s="807"/>
      <c r="I7" s="808"/>
      <c r="J7" s="808"/>
      <c r="K7" s="809"/>
      <c r="L7" s="809"/>
      <c r="M7" s="809"/>
      <c r="N7" s="809"/>
      <c r="O7" s="809"/>
      <c r="P7" s="809"/>
    </row>
    <row r="8" spans="1:26" ht="19.5">
      <c r="A8" s="810"/>
      <c r="B8" s="811"/>
      <c r="C8" s="812" t="s">
        <v>16</v>
      </c>
      <c r="D8" s="813" t="s">
        <v>17</v>
      </c>
      <c r="E8" s="811"/>
      <c r="F8" s="811"/>
      <c r="G8" s="814"/>
      <c r="H8" s="19" t="s">
        <v>12</v>
      </c>
      <c r="I8" s="815"/>
      <c r="J8" s="815"/>
      <c r="K8" s="816"/>
      <c r="L8" s="817">
        <f t="shared" ref="L8:N8" ca="1" si="0">L9+L10</f>
        <v>7689912</v>
      </c>
      <c r="M8" s="817">
        <f t="shared" ca="1" si="0"/>
        <v>4369181</v>
      </c>
      <c r="N8" s="817">
        <f t="shared" ca="1" si="0"/>
        <v>3111664.41</v>
      </c>
      <c r="O8" s="817">
        <f t="shared" ref="O8:O16" ca="1" si="1">IF(L8&gt;0,N8*100/L8,0)</f>
        <v>40.464239512753849</v>
      </c>
      <c r="P8" s="817">
        <f t="shared" ref="P8:P16" ca="1" si="2">IF(M8&gt;0,N8*100/M8,0)</f>
        <v>71.218482594335185</v>
      </c>
      <c r="Q8" s="818"/>
      <c r="R8" s="818"/>
      <c r="S8" s="818"/>
      <c r="T8" s="818"/>
      <c r="U8" s="818"/>
      <c r="V8" s="818"/>
      <c r="W8" s="818"/>
      <c r="X8" s="818"/>
      <c r="Y8" s="818"/>
      <c r="Z8" s="818"/>
    </row>
    <row r="9" spans="1:26" ht="18.75" hidden="1">
      <c r="A9" s="819"/>
      <c r="B9" s="820"/>
      <c r="C9" s="820"/>
      <c r="D9" s="820"/>
      <c r="E9" s="821" t="s">
        <v>18</v>
      </c>
      <c r="F9" s="820"/>
      <c r="G9" s="822"/>
      <c r="H9" s="28" t="s">
        <v>12</v>
      </c>
      <c r="I9" s="823"/>
      <c r="J9" s="823"/>
      <c r="K9" s="824"/>
      <c r="L9" s="824">
        <f t="shared" ref="L9:N10" si="3">L12+L15</f>
        <v>0</v>
      </c>
      <c r="M9" s="824">
        <f t="shared" si="3"/>
        <v>0</v>
      </c>
      <c r="N9" s="824">
        <f t="shared" si="3"/>
        <v>0</v>
      </c>
      <c r="O9" s="824">
        <f t="shared" si="1"/>
        <v>0</v>
      </c>
      <c r="P9" s="824">
        <f t="shared" si="2"/>
        <v>0</v>
      </c>
      <c r="Q9" s="825"/>
      <c r="R9" s="825"/>
      <c r="S9" s="825"/>
      <c r="T9" s="825"/>
      <c r="U9" s="825"/>
      <c r="V9" s="825"/>
      <c r="W9" s="825"/>
      <c r="X9" s="825"/>
      <c r="Y9" s="825"/>
      <c r="Z9" s="825"/>
    </row>
    <row r="10" spans="1:26" ht="18.75" hidden="1">
      <c r="A10" s="819"/>
      <c r="B10" s="820"/>
      <c r="C10" s="820"/>
      <c r="D10" s="820"/>
      <c r="E10" s="821" t="s">
        <v>19</v>
      </c>
      <c r="F10" s="820"/>
      <c r="G10" s="822"/>
      <c r="H10" s="28" t="s">
        <v>12</v>
      </c>
      <c r="I10" s="823"/>
      <c r="J10" s="823"/>
      <c r="K10" s="824"/>
      <c r="L10" s="824">
        <f t="shared" ca="1" si="3"/>
        <v>7689912</v>
      </c>
      <c r="M10" s="824">
        <f t="shared" ca="1" si="3"/>
        <v>4369181</v>
      </c>
      <c r="N10" s="824">
        <f t="shared" ca="1" si="3"/>
        <v>3111664.41</v>
      </c>
      <c r="O10" s="824">
        <f t="shared" ca="1" si="1"/>
        <v>40.464239512753849</v>
      </c>
      <c r="P10" s="824">
        <f t="shared" ca="1" si="2"/>
        <v>71.218482594335185</v>
      </c>
      <c r="Q10" s="825"/>
      <c r="R10" s="825"/>
      <c r="S10" s="825"/>
      <c r="T10" s="825"/>
      <c r="U10" s="825"/>
      <c r="V10" s="825"/>
      <c r="W10" s="825"/>
      <c r="X10" s="825"/>
      <c r="Y10" s="825"/>
      <c r="Z10" s="825"/>
    </row>
    <row r="11" spans="1:26" ht="18.75">
      <c r="A11" s="826"/>
      <c r="B11" s="827"/>
      <c r="C11" s="827"/>
      <c r="D11" s="828" t="s">
        <v>20</v>
      </c>
      <c r="E11" s="827"/>
      <c r="F11" s="827"/>
      <c r="G11" s="829"/>
      <c r="H11" s="590" t="s">
        <v>12</v>
      </c>
      <c r="I11" s="830"/>
      <c r="J11" s="830"/>
      <c r="K11" s="831"/>
      <c r="L11" s="831">
        <f t="shared" ref="L11:N11" ca="1" si="4">L12+L13</f>
        <v>7262412</v>
      </c>
      <c r="M11" s="831">
        <f t="shared" ca="1" si="4"/>
        <v>3941681</v>
      </c>
      <c r="N11" s="831">
        <f t="shared" ca="1" si="4"/>
        <v>2684164.41</v>
      </c>
      <c r="O11" s="831">
        <f t="shared" ca="1" si="1"/>
        <v>36.959682403036346</v>
      </c>
      <c r="P11" s="831">
        <f t="shared" ca="1" si="2"/>
        <v>68.096946708777295</v>
      </c>
      <c r="Q11" s="818"/>
      <c r="R11" s="818"/>
      <c r="S11" s="818"/>
      <c r="T11" s="818"/>
      <c r="U11" s="818"/>
      <c r="V11" s="818"/>
      <c r="W11" s="818"/>
      <c r="X11" s="818"/>
      <c r="Y11" s="818"/>
      <c r="Z11" s="818"/>
    </row>
    <row r="12" spans="1:26" ht="18.75" hidden="1">
      <c r="A12" s="832"/>
      <c r="B12" s="833"/>
      <c r="C12" s="833"/>
      <c r="D12" s="833"/>
      <c r="E12" s="834" t="s">
        <v>18</v>
      </c>
      <c r="F12" s="833"/>
      <c r="G12" s="835"/>
      <c r="H12" s="43" t="s">
        <v>12</v>
      </c>
      <c r="I12" s="836"/>
      <c r="J12" s="836"/>
      <c r="K12" s="837"/>
      <c r="L12" s="837">
        <f t="shared" ref="L12:N13" si="5">L22+L32</f>
        <v>0</v>
      </c>
      <c r="M12" s="837">
        <f t="shared" si="5"/>
        <v>0</v>
      </c>
      <c r="N12" s="837">
        <f t="shared" si="5"/>
        <v>0</v>
      </c>
      <c r="O12" s="837">
        <f t="shared" si="1"/>
        <v>0</v>
      </c>
      <c r="P12" s="837">
        <f t="shared" si="2"/>
        <v>0</v>
      </c>
      <c r="Q12" s="825"/>
      <c r="R12" s="825"/>
      <c r="S12" s="825"/>
      <c r="T12" s="825"/>
      <c r="U12" s="825"/>
      <c r="V12" s="825"/>
      <c r="W12" s="825"/>
      <c r="X12" s="825"/>
      <c r="Y12" s="825"/>
      <c r="Z12" s="825"/>
    </row>
    <row r="13" spans="1:26" ht="18.75" hidden="1">
      <c r="A13" s="832"/>
      <c r="B13" s="833"/>
      <c r="C13" s="833"/>
      <c r="D13" s="833"/>
      <c r="E13" s="834" t="s">
        <v>19</v>
      </c>
      <c r="F13" s="833"/>
      <c r="G13" s="835"/>
      <c r="H13" s="43" t="s">
        <v>12</v>
      </c>
      <c r="I13" s="836"/>
      <c r="J13" s="836"/>
      <c r="K13" s="837"/>
      <c r="L13" s="837">
        <f t="shared" ca="1" si="5"/>
        <v>7262412</v>
      </c>
      <c r="M13" s="837">
        <f t="shared" ca="1" si="5"/>
        <v>3941681</v>
      </c>
      <c r="N13" s="837">
        <f t="shared" ca="1" si="5"/>
        <v>2684164.41</v>
      </c>
      <c r="O13" s="837">
        <f t="shared" ca="1" si="1"/>
        <v>36.959682403036346</v>
      </c>
      <c r="P13" s="837">
        <f t="shared" ca="1" si="2"/>
        <v>68.096946708777295</v>
      </c>
      <c r="Q13" s="825"/>
      <c r="R13" s="825"/>
      <c r="S13" s="825"/>
      <c r="T13" s="825"/>
      <c r="U13" s="825"/>
      <c r="V13" s="825"/>
      <c r="W13" s="825"/>
      <c r="X13" s="825"/>
      <c r="Y13" s="825"/>
      <c r="Z13" s="825"/>
    </row>
    <row r="14" spans="1:26" ht="18.75">
      <c r="A14" s="826"/>
      <c r="B14" s="827"/>
      <c r="C14" s="827"/>
      <c r="D14" s="828" t="s">
        <v>21</v>
      </c>
      <c r="E14" s="827"/>
      <c r="F14" s="827"/>
      <c r="G14" s="829"/>
      <c r="H14" s="590" t="s">
        <v>12</v>
      </c>
      <c r="I14" s="830"/>
      <c r="J14" s="830"/>
      <c r="K14" s="831"/>
      <c r="L14" s="831">
        <f t="shared" ref="L14:N14" ca="1" si="6">L15+L16</f>
        <v>427500</v>
      </c>
      <c r="M14" s="831">
        <f t="shared" ca="1" si="6"/>
        <v>427500</v>
      </c>
      <c r="N14" s="831">
        <f t="shared" ca="1" si="6"/>
        <v>427500</v>
      </c>
      <c r="O14" s="831">
        <f t="shared" ca="1" si="1"/>
        <v>100</v>
      </c>
      <c r="P14" s="831">
        <f t="shared" ca="1" si="2"/>
        <v>100</v>
      </c>
      <c r="Q14" s="818"/>
      <c r="R14" s="818"/>
      <c r="S14" s="818"/>
      <c r="T14" s="818"/>
      <c r="U14" s="818"/>
      <c r="V14" s="818"/>
      <c r="W14" s="818"/>
      <c r="X14" s="818"/>
      <c r="Y14" s="818"/>
      <c r="Z14" s="818"/>
    </row>
    <row r="15" spans="1:26" ht="18.75" hidden="1">
      <c r="A15" s="832"/>
      <c r="B15" s="833"/>
      <c r="C15" s="833"/>
      <c r="D15" s="833"/>
      <c r="E15" s="834" t="s">
        <v>18</v>
      </c>
      <c r="F15" s="833"/>
      <c r="G15" s="835"/>
      <c r="H15" s="43" t="s">
        <v>12</v>
      </c>
      <c r="I15" s="836"/>
      <c r="J15" s="836"/>
      <c r="K15" s="837"/>
      <c r="L15" s="837">
        <f t="shared" ref="L15:N16" si="7">L25+L35</f>
        <v>0</v>
      </c>
      <c r="M15" s="837">
        <f t="shared" si="7"/>
        <v>0</v>
      </c>
      <c r="N15" s="837">
        <f t="shared" si="7"/>
        <v>0</v>
      </c>
      <c r="O15" s="837">
        <f t="shared" si="1"/>
        <v>0</v>
      </c>
      <c r="P15" s="837">
        <f t="shared" si="2"/>
        <v>0</v>
      </c>
      <c r="Q15" s="825"/>
      <c r="R15" s="825"/>
      <c r="S15" s="825"/>
      <c r="T15" s="825"/>
      <c r="U15" s="825"/>
      <c r="V15" s="825"/>
      <c r="W15" s="825"/>
      <c r="X15" s="825"/>
      <c r="Y15" s="825"/>
      <c r="Z15" s="825"/>
    </row>
    <row r="16" spans="1:26" ht="18.75" hidden="1">
      <c r="A16" s="838"/>
      <c r="B16" s="839"/>
      <c r="C16" s="839"/>
      <c r="D16" s="839"/>
      <c r="E16" s="840" t="s">
        <v>19</v>
      </c>
      <c r="F16" s="839"/>
      <c r="G16" s="841"/>
      <c r="H16" s="50" t="s">
        <v>12</v>
      </c>
      <c r="I16" s="842"/>
      <c r="J16" s="842"/>
      <c r="K16" s="843"/>
      <c r="L16" s="843">
        <f t="shared" ca="1" si="7"/>
        <v>427500</v>
      </c>
      <c r="M16" s="843">
        <f t="shared" ca="1" si="7"/>
        <v>427500</v>
      </c>
      <c r="N16" s="843">
        <f t="shared" ca="1" si="7"/>
        <v>427500</v>
      </c>
      <c r="O16" s="843">
        <f t="shared" ca="1" si="1"/>
        <v>100</v>
      </c>
      <c r="P16" s="843">
        <f t="shared" ca="1" si="2"/>
        <v>100</v>
      </c>
      <c r="Q16" s="825"/>
      <c r="R16" s="825"/>
      <c r="S16" s="825"/>
      <c r="T16" s="825"/>
      <c r="U16" s="825"/>
      <c r="V16" s="825"/>
      <c r="W16" s="825"/>
      <c r="X16" s="825"/>
      <c r="Y16" s="825"/>
      <c r="Z16" s="825"/>
    </row>
    <row r="17" spans="1:26" ht="19.5">
      <c r="A17" s="1512" t="s">
        <v>22</v>
      </c>
      <c r="B17" s="1494"/>
      <c r="C17" s="1494"/>
      <c r="D17" s="1494"/>
      <c r="E17" s="1494"/>
      <c r="F17" s="1494"/>
      <c r="G17" s="1495"/>
      <c r="H17" s="807"/>
      <c r="I17" s="808"/>
      <c r="J17" s="808"/>
      <c r="K17" s="809"/>
      <c r="L17" s="809"/>
      <c r="M17" s="809"/>
      <c r="N17" s="809"/>
      <c r="O17" s="809"/>
      <c r="P17" s="809"/>
    </row>
    <row r="18" spans="1:26" ht="19.5">
      <c r="A18" s="810"/>
      <c r="B18" s="811"/>
      <c r="C18" s="812" t="s">
        <v>16</v>
      </c>
      <c r="D18" s="813" t="s">
        <v>17</v>
      </c>
      <c r="E18" s="811"/>
      <c r="F18" s="811"/>
      <c r="G18" s="814"/>
      <c r="H18" s="19" t="s">
        <v>12</v>
      </c>
      <c r="I18" s="815"/>
      <c r="J18" s="815"/>
      <c r="K18" s="816"/>
      <c r="L18" s="817">
        <f t="shared" ref="L18:N18" ca="1" si="8">L19+L20</f>
        <v>5405027</v>
      </c>
      <c r="M18" s="817">
        <f t="shared" ca="1" si="8"/>
        <v>4369181</v>
      </c>
      <c r="N18" s="817">
        <f t="shared" ca="1" si="8"/>
        <v>2754233.41</v>
      </c>
      <c r="O18" s="817">
        <f t="shared" ref="O18:O26" ca="1" si="9">IF(L18&gt;0,N18*100/L18,0)</f>
        <v>50.95688532175695</v>
      </c>
      <c r="P18" s="817">
        <f t="shared" ref="P18:P26" ca="1" si="10">IF(M18&gt;0,N18*100/M18,0)</f>
        <v>63.037750324374294</v>
      </c>
      <c r="Q18" s="818"/>
      <c r="R18" s="818"/>
      <c r="S18" s="818"/>
      <c r="T18" s="818"/>
      <c r="U18" s="818"/>
      <c r="V18" s="818"/>
      <c r="W18" s="818"/>
      <c r="X18" s="818"/>
      <c r="Y18" s="818"/>
      <c r="Z18" s="818"/>
    </row>
    <row r="19" spans="1:26" ht="18.75" hidden="1">
      <c r="A19" s="819"/>
      <c r="B19" s="820"/>
      <c r="C19" s="820"/>
      <c r="D19" s="820"/>
      <c r="E19" s="821" t="s">
        <v>18</v>
      </c>
      <c r="F19" s="820"/>
      <c r="G19" s="822"/>
      <c r="H19" s="28" t="s">
        <v>12</v>
      </c>
      <c r="I19" s="823"/>
      <c r="J19" s="823"/>
      <c r="K19" s="824"/>
      <c r="L19" s="824">
        <f t="shared" ref="L19:N20" si="11">L22+L25</f>
        <v>0</v>
      </c>
      <c r="M19" s="824">
        <f t="shared" si="11"/>
        <v>0</v>
      </c>
      <c r="N19" s="824">
        <f t="shared" si="11"/>
        <v>0</v>
      </c>
      <c r="O19" s="824">
        <f t="shared" si="9"/>
        <v>0</v>
      </c>
      <c r="P19" s="824">
        <f t="shared" si="10"/>
        <v>0</v>
      </c>
      <c r="Q19" s="825"/>
      <c r="R19" s="825"/>
      <c r="S19" s="825"/>
      <c r="T19" s="825"/>
      <c r="U19" s="825"/>
      <c r="V19" s="825"/>
      <c r="W19" s="825"/>
      <c r="X19" s="825"/>
      <c r="Y19" s="825"/>
      <c r="Z19" s="825"/>
    </row>
    <row r="20" spans="1:26" ht="18.75" hidden="1">
      <c r="A20" s="819"/>
      <c r="B20" s="820"/>
      <c r="C20" s="820"/>
      <c r="D20" s="820"/>
      <c r="E20" s="821" t="s">
        <v>19</v>
      </c>
      <c r="F20" s="820"/>
      <c r="G20" s="822"/>
      <c r="H20" s="28" t="s">
        <v>12</v>
      </c>
      <c r="I20" s="823"/>
      <c r="J20" s="823"/>
      <c r="K20" s="824"/>
      <c r="L20" s="824">
        <f t="shared" ca="1" si="11"/>
        <v>5405027</v>
      </c>
      <c r="M20" s="824">
        <f t="shared" ca="1" si="11"/>
        <v>4369181</v>
      </c>
      <c r="N20" s="824">
        <f t="shared" ca="1" si="11"/>
        <v>2754233.41</v>
      </c>
      <c r="O20" s="824">
        <f t="shared" ca="1" si="9"/>
        <v>50.95688532175695</v>
      </c>
      <c r="P20" s="824">
        <f t="shared" ca="1" si="10"/>
        <v>63.037750324374294</v>
      </c>
      <c r="Q20" s="825"/>
      <c r="R20" s="825"/>
      <c r="S20" s="825"/>
      <c r="T20" s="825"/>
      <c r="U20" s="825"/>
      <c r="V20" s="825"/>
      <c r="W20" s="825"/>
      <c r="X20" s="825"/>
      <c r="Y20" s="825"/>
      <c r="Z20" s="825"/>
    </row>
    <row r="21" spans="1:26" ht="18.75">
      <c r="A21" s="826"/>
      <c r="B21" s="827"/>
      <c r="C21" s="827"/>
      <c r="D21" s="828" t="s">
        <v>20</v>
      </c>
      <c r="E21" s="827"/>
      <c r="F21" s="827"/>
      <c r="G21" s="829"/>
      <c r="H21" s="590" t="s">
        <v>12</v>
      </c>
      <c r="I21" s="830"/>
      <c r="J21" s="830"/>
      <c r="K21" s="831"/>
      <c r="L21" s="831">
        <f t="shared" ref="L21:N21" ca="1" si="12">L22+L23</f>
        <v>4977527</v>
      </c>
      <c r="M21" s="831">
        <f t="shared" ca="1" si="12"/>
        <v>3941681</v>
      </c>
      <c r="N21" s="831">
        <f t="shared" ca="1" si="12"/>
        <v>2326733.41</v>
      </c>
      <c r="O21" s="831">
        <f t="shared" ca="1" si="9"/>
        <v>46.744767230795532</v>
      </c>
      <c r="P21" s="831">
        <f t="shared" ca="1" si="10"/>
        <v>59.02896276994511</v>
      </c>
      <c r="Q21" s="818"/>
      <c r="R21" s="818"/>
      <c r="S21" s="818"/>
      <c r="T21" s="818"/>
      <c r="U21" s="818"/>
      <c r="V21" s="818"/>
      <c r="W21" s="818"/>
      <c r="X21" s="818"/>
      <c r="Y21" s="818"/>
      <c r="Z21" s="818"/>
    </row>
    <row r="22" spans="1:26" ht="18.75" hidden="1">
      <c r="A22" s="832"/>
      <c r="B22" s="833"/>
      <c r="C22" s="833"/>
      <c r="D22" s="833"/>
      <c r="E22" s="834" t="s">
        <v>18</v>
      </c>
      <c r="F22" s="833"/>
      <c r="G22" s="835"/>
      <c r="H22" s="43" t="s">
        <v>12</v>
      </c>
      <c r="I22" s="836"/>
      <c r="J22" s="836"/>
      <c r="K22" s="837"/>
      <c r="L22" s="837">
        <f t="shared" ref="L22:N23" si="13">L45+L57+L70+L92+L123+L136+L153+L185+L169+L265+L281+L302+L319+L332+L349+L393+L406</f>
        <v>0</v>
      </c>
      <c r="M22" s="837">
        <f t="shared" si="13"/>
        <v>0</v>
      </c>
      <c r="N22" s="837">
        <f t="shared" si="13"/>
        <v>0</v>
      </c>
      <c r="O22" s="837">
        <f t="shared" si="9"/>
        <v>0</v>
      </c>
      <c r="P22" s="837">
        <f t="shared" si="10"/>
        <v>0</v>
      </c>
      <c r="Q22" s="825"/>
      <c r="R22" s="825"/>
      <c r="S22" s="825"/>
      <c r="T22" s="825"/>
      <c r="U22" s="825"/>
      <c r="V22" s="825"/>
      <c r="W22" s="825"/>
      <c r="X22" s="825"/>
      <c r="Y22" s="825"/>
      <c r="Z22" s="825"/>
    </row>
    <row r="23" spans="1:26" ht="18.75" hidden="1">
      <c r="A23" s="832"/>
      <c r="B23" s="833"/>
      <c r="C23" s="833"/>
      <c r="D23" s="833"/>
      <c r="E23" s="834" t="s">
        <v>19</v>
      </c>
      <c r="F23" s="833"/>
      <c r="G23" s="835"/>
      <c r="H23" s="43" t="s">
        <v>12</v>
      </c>
      <c r="I23" s="836"/>
      <c r="J23" s="836"/>
      <c r="K23" s="837"/>
      <c r="L23" s="837">
        <f t="shared" ca="1" si="13"/>
        <v>4977527</v>
      </c>
      <c r="M23" s="837">
        <f t="shared" ca="1" si="13"/>
        <v>3941681</v>
      </c>
      <c r="N23" s="837">
        <f t="shared" ca="1" si="13"/>
        <v>2326733.41</v>
      </c>
      <c r="O23" s="837">
        <f t="shared" ca="1" si="9"/>
        <v>46.744767230795532</v>
      </c>
      <c r="P23" s="837">
        <f t="shared" ca="1" si="10"/>
        <v>59.02896276994511</v>
      </c>
      <c r="Q23" s="825"/>
      <c r="R23" s="825"/>
      <c r="S23" s="825"/>
      <c r="T23" s="825"/>
      <c r="U23" s="825"/>
      <c r="V23" s="825"/>
      <c r="W23" s="825"/>
      <c r="X23" s="825"/>
      <c r="Y23" s="825"/>
      <c r="Z23" s="825"/>
    </row>
    <row r="24" spans="1:26" ht="18.75">
      <c r="A24" s="826"/>
      <c r="B24" s="827"/>
      <c r="C24" s="827"/>
      <c r="D24" s="828" t="s">
        <v>21</v>
      </c>
      <c r="E24" s="827"/>
      <c r="F24" s="827"/>
      <c r="G24" s="829"/>
      <c r="H24" s="590" t="s">
        <v>12</v>
      </c>
      <c r="I24" s="830"/>
      <c r="J24" s="830"/>
      <c r="K24" s="831"/>
      <c r="L24" s="831">
        <f t="shared" ref="L24:N24" ca="1" si="14">L25+L26</f>
        <v>427500</v>
      </c>
      <c r="M24" s="831">
        <f t="shared" ca="1" si="14"/>
        <v>427500</v>
      </c>
      <c r="N24" s="831">
        <f t="shared" ca="1" si="14"/>
        <v>427500</v>
      </c>
      <c r="O24" s="831">
        <f t="shared" ca="1" si="9"/>
        <v>100</v>
      </c>
      <c r="P24" s="831">
        <f t="shared" ca="1" si="10"/>
        <v>100</v>
      </c>
      <c r="Q24" s="818"/>
      <c r="R24" s="818"/>
      <c r="S24" s="818"/>
      <c r="T24" s="818"/>
      <c r="U24" s="818"/>
      <c r="V24" s="818"/>
      <c r="W24" s="818"/>
      <c r="X24" s="818"/>
      <c r="Y24" s="818"/>
      <c r="Z24" s="818"/>
    </row>
    <row r="25" spans="1:26" ht="18.75" hidden="1">
      <c r="A25" s="832"/>
      <c r="B25" s="833"/>
      <c r="C25" s="833"/>
      <c r="D25" s="833"/>
      <c r="E25" s="834" t="s">
        <v>18</v>
      </c>
      <c r="F25" s="833"/>
      <c r="G25" s="835"/>
      <c r="H25" s="43" t="s">
        <v>12</v>
      </c>
      <c r="I25" s="836"/>
      <c r="J25" s="836"/>
      <c r="K25" s="837"/>
      <c r="L25" s="837">
        <f t="shared" ref="L25:N26" si="15">L48+L60+L73+L95+L126+L139+L156+L188+L172+L268+L284+L305+L322+L335+L352+L396+L409</f>
        <v>0</v>
      </c>
      <c r="M25" s="837">
        <f t="shared" si="15"/>
        <v>0</v>
      </c>
      <c r="N25" s="837">
        <f t="shared" si="15"/>
        <v>0</v>
      </c>
      <c r="O25" s="837">
        <f t="shared" si="9"/>
        <v>0</v>
      </c>
      <c r="P25" s="837">
        <f t="shared" si="10"/>
        <v>0</v>
      </c>
      <c r="Q25" s="825"/>
      <c r="R25" s="825"/>
      <c r="S25" s="825"/>
      <c r="T25" s="825"/>
      <c r="U25" s="825"/>
      <c r="V25" s="825"/>
      <c r="W25" s="825"/>
      <c r="X25" s="825"/>
      <c r="Y25" s="825"/>
      <c r="Z25" s="825"/>
    </row>
    <row r="26" spans="1:26" ht="18.75" hidden="1">
      <c r="A26" s="838"/>
      <c r="B26" s="839"/>
      <c r="C26" s="839"/>
      <c r="D26" s="839"/>
      <c r="E26" s="840" t="s">
        <v>19</v>
      </c>
      <c r="F26" s="839"/>
      <c r="G26" s="841"/>
      <c r="H26" s="50" t="s">
        <v>12</v>
      </c>
      <c r="I26" s="842"/>
      <c r="J26" s="842"/>
      <c r="K26" s="843"/>
      <c r="L26" s="843">
        <f t="shared" ca="1" si="15"/>
        <v>427500</v>
      </c>
      <c r="M26" s="843">
        <f t="shared" ca="1" si="15"/>
        <v>427500</v>
      </c>
      <c r="N26" s="843">
        <f t="shared" ca="1" si="15"/>
        <v>427500</v>
      </c>
      <c r="O26" s="843">
        <f t="shared" ca="1" si="9"/>
        <v>100</v>
      </c>
      <c r="P26" s="843">
        <f t="shared" ca="1" si="10"/>
        <v>100</v>
      </c>
      <c r="Q26" s="825"/>
      <c r="R26" s="825"/>
      <c r="S26" s="825"/>
      <c r="T26" s="825"/>
      <c r="U26" s="825"/>
      <c r="V26" s="825"/>
      <c r="W26" s="825"/>
      <c r="X26" s="825"/>
      <c r="Y26" s="825"/>
      <c r="Z26" s="825"/>
    </row>
    <row r="27" spans="1:26" ht="19.5">
      <c r="A27" s="1512" t="s">
        <v>23</v>
      </c>
      <c r="B27" s="1494"/>
      <c r="C27" s="1494"/>
      <c r="D27" s="1494"/>
      <c r="E27" s="1494"/>
      <c r="F27" s="1494"/>
      <c r="G27" s="1495"/>
      <c r="H27" s="807"/>
      <c r="I27" s="808"/>
      <c r="J27" s="808"/>
      <c r="K27" s="809"/>
      <c r="L27" s="809"/>
      <c r="M27" s="809"/>
      <c r="N27" s="809"/>
      <c r="O27" s="809"/>
      <c r="P27" s="809"/>
    </row>
    <row r="28" spans="1:26" ht="19.5">
      <c r="A28" s="810"/>
      <c r="B28" s="811"/>
      <c r="C28" s="812" t="s">
        <v>16</v>
      </c>
      <c r="D28" s="813" t="s">
        <v>17</v>
      </c>
      <c r="E28" s="811"/>
      <c r="F28" s="811"/>
      <c r="G28" s="814"/>
      <c r="H28" s="19" t="s">
        <v>12</v>
      </c>
      <c r="I28" s="815"/>
      <c r="J28" s="815"/>
      <c r="K28" s="816"/>
      <c r="L28" s="817">
        <f t="shared" ref="L28:N28" ca="1" si="16">L29+L30</f>
        <v>2284885</v>
      </c>
      <c r="M28" s="817">
        <f t="shared" si="16"/>
        <v>0</v>
      </c>
      <c r="N28" s="817">
        <f t="shared" si="16"/>
        <v>357431</v>
      </c>
      <c r="O28" s="817">
        <f t="shared" ref="O28:O37" ca="1" si="17">IF(L28&gt;0,N28*100/L28,0)</f>
        <v>15.643281828188289</v>
      </c>
      <c r="P28" s="817">
        <f t="shared" ref="P28:P37" si="18">IF(M28&gt;0,N28*100/M28,0)</f>
        <v>0</v>
      </c>
      <c r="Q28" s="818"/>
      <c r="R28" s="818"/>
      <c r="S28" s="818"/>
      <c r="T28" s="818"/>
      <c r="U28" s="818"/>
      <c r="V28" s="818"/>
      <c r="W28" s="818"/>
      <c r="X28" s="818"/>
      <c r="Y28" s="818"/>
      <c r="Z28" s="818"/>
    </row>
    <row r="29" spans="1:26" ht="18.75" hidden="1">
      <c r="A29" s="819"/>
      <c r="B29" s="820"/>
      <c r="C29" s="820"/>
      <c r="D29" s="820"/>
      <c r="E29" s="821" t="s">
        <v>18</v>
      </c>
      <c r="F29" s="820"/>
      <c r="G29" s="822"/>
      <c r="H29" s="28" t="s">
        <v>12</v>
      </c>
      <c r="I29" s="823"/>
      <c r="J29" s="823"/>
      <c r="K29" s="824"/>
      <c r="L29" s="824">
        <f t="shared" ref="L29:N30" si="19">L32+L35</f>
        <v>0</v>
      </c>
      <c r="M29" s="824">
        <f t="shared" si="19"/>
        <v>0</v>
      </c>
      <c r="N29" s="824">
        <f t="shared" si="19"/>
        <v>0</v>
      </c>
      <c r="O29" s="824">
        <f t="shared" si="17"/>
        <v>0</v>
      </c>
      <c r="P29" s="824">
        <f t="shared" si="18"/>
        <v>0</v>
      </c>
      <c r="Q29" s="825"/>
      <c r="R29" s="825"/>
      <c r="S29" s="825"/>
      <c r="T29" s="825"/>
      <c r="U29" s="825"/>
      <c r="V29" s="825"/>
      <c r="W29" s="825"/>
      <c r="X29" s="825"/>
      <c r="Y29" s="825"/>
      <c r="Z29" s="825"/>
    </row>
    <row r="30" spans="1:26" ht="18.75" hidden="1">
      <c r="A30" s="819"/>
      <c r="B30" s="820"/>
      <c r="C30" s="820"/>
      <c r="D30" s="820"/>
      <c r="E30" s="821" t="s">
        <v>19</v>
      </c>
      <c r="F30" s="820"/>
      <c r="G30" s="822"/>
      <c r="H30" s="28" t="s">
        <v>12</v>
      </c>
      <c r="I30" s="823"/>
      <c r="J30" s="823"/>
      <c r="K30" s="824"/>
      <c r="L30" s="824">
        <f t="shared" ca="1" si="19"/>
        <v>2284885</v>
      </c>
      <c r="M30" s="824">
        <f t="shared" si="19"/>
        <v>0</v>
      </c>
      <c r="N30" s="824">
        <f t="shared" si="19"/>
        <v>357431</v>
      </c>
      <c r="O30" s="824">
        <f t="shared" ca="1" si="17"/>
        <v>15.643281828188289</v>
      </c>
      <c r="P30" s="824">
        <f t="shared" si="18"/>
        <v>0</v>
      </c>
      <c r="Q30" s="825"/>
      <c r="R30" s="825"/>
      <c r="S30" s="825"/>
      <c r="T30" s="825"/>
      <c r="U30" s="825"/>
      <c r="V30" s="825"/>
      <c r="W30" s="825"/>
      <c r="X30" s="825"/>
      <c r="Y30" s="825"/>
      <c r="Z30" s="825"/>
    </row>
    <row r="31" spans="1:26" ht="18.75">
      <c r="A31" s="826"/>
      <c r="B31" s="827"/>
      <c r="C31" s="827"/>
      <c r="D31" s="828" t="s">
        <v>20</v>
      </c>
      <c r="E31" s="827"/>
      <c r="F31" s="827"/>
      <c r="G31" s="829"/>
      <c r="H31" s="590" t="s">
        <v>12</v>
      </c>
      <c r="I31" s="830"/>
      <c r="J31" s="830"/>
      <c r="K31" s="831"/>
      <c r="L31" s="831">
        <f t="shared" ref="L31:N31" ca="1" si="20">L32+L33</f>
        <v>2284885</v>
      </c>
      <c r="M31" s="831">
        <f t="shared" si="20"/>
        <v>0</v>
      </c>
      <c r="N31" s="831">
        <f t="shared" si="20"/>
        <v>357431</v>
      </c>
      <c r="O31" s="831">
        <f t="shared" ca="1" si="17"/>
        <v>15.643281828188289</v>
      </c>
      <c r="P31" s="831">
        <f t="shared" si="18"/>
        <v>0</v>
      </c>
      <c r="Q31" s="818"/>
      <c r="R31" s="818"/>
      <c r="S31" s="818"/>
      <c r="T31" s="818"/>
      <c r="U31" s="818"/>
      <c r="V31" s="818"/>
      <c r="W31" s="818"/>
      <c r="X31" s="818"/>
      <c r="Y31" s="818"/>
      <c r="Z31" s="818"/>
    </row>
    <row r="32" spans="1:26" ht="18.75" hidden="1">
      <c r="A32" s="832"/>
      <c r="B32" s="833"/>
      <c r="C32" s="833"/>
      <c r="D32" s="833"/>
      <c r="E32" s="834" t="s">
        <v>18</v>
      </c>
      <c r="F32" s="833"/>
      <c r="G32" s="835"/>
      <c r="H32" s="43" t="s">
        <v>12</v>
      </c>
      <c r="I32" s="836"/>
      <c r="J32" s="836"/>
      <c r="K32" s="837"/>
      <c r="L32" s="837">
        <f t="shared" ref="L32:N33" si="21">L423+L448+L471+L506+L527+L548+L633+L659+L689+L741+L758+L774+L790+L809</f>
        <v>0</v>
      </c>
      <c r="M32" s="837">
        <f t="shared" si="21"/>
        <v>0</v>
      </c>
      <c r="N32" s="837">
        <f t="shared" si="21"/>
        <v>0</v>
      </c>
      <c r="O32" s="837">
        <f t="shared" si="17"/>
        <v>0</v>
      </c>
      <c r="P32" s="837">
        <f t="shared" si="18"/>
        <v>0</v>
      </c>
      <c r="Q32" s="825"/>
      <c r="R32" s="825"/>
      <c r="S32" s="825"/>
      <c r="T32" s="825"/>
      <c r="U32" s="825"/>
      <c r="V32" s="825"/>
      <c r="W32" s="825"/>
      <c r="X32" s="825"/>
      <c r="Y32" s="825"/>
      <c r="Z32" s="825"/>
    </row>
    <row r="33" spans="1:26" ht="18.75" hidden="1">
      <c r="A33" s="832"/>
      <c r="B33" s="833"/>
      <c r="C33" s="833"/>
      <c r="D33" s="833"/>
      <c r="E33" s="834" t="s">
        <v>19</v>
      </c>
      <c r="F33" s="833"/>
      <c r="G33" s="835"/>
      <c r="H33" s="43" t="s">
        <v>12</v>
      </c>
      <c r="I33" s="836"/>
      <c r="J33" s="836"/>
      <c r="K33" s="837"/>
      <c r="L33" s="837">
        <f t="shared" ca="1" si="21"/>
        <v>2284885</v>
      </c>
      <c r="M33" s="837">
        <f t="shared" si="21"/>
        <v>0</v>
      </c>
      <c r="N33" s="837">
        <f t="shared" si="21"/>
        <v>357431</v>
      </c>
      <c r="O33" s="837">
        <f t="shared" ca="1" si="17"/>
        <v>15.643281828188289</v>
      </c>
      <c r="P33" s="837">
        <f t="shared" si="18"/>
        <v>0</v>
      </c>
      <c r="Q33" s="825"/>
      <c r="R33" s="825"/>
      <c r="S33" s="825"/>
      <c r="T33" s="825"/>
      <c r="U33" s="825"/>
      <c r="V33" s="825"/>
      <c r="W33" s="825"/>
      <c r="X33" s="825"/>
      <c r="Y33" s="825"/>
      <c r="Z33" s="825"/>
    </row>
    <row r="34" spans="1:26" ht="18.75">
      <c r="A34" s="826"/>
      <c r="B34" s="827"/>
      <c r="C34" s="827"/>
      <c r="D34" s="828" t="s">
        <v>21</v>
      </c>
      <c r="E34" s="827"/>
      <c r="F34" s="827"/>
      <c r="G34" s="829"/>
      <c r="H34" s="590" t="s">
        <v>12</v>
      </c>
      <c r="I34" s="830"/>
      <c r="J34" s="830"/>
      <c r="K34" s="831"/>
      <c r="L34" s="831">
        <f t="shared" ref="L34:N34" ca="1" si="22">L35+L36</f>
        <v>0</v>
      </c>
      <c r="M34" s="831">
        <f t="shared" si="22"/>
        <v>0</v>
      </c>
      <c r="N34" s="831">
        <f t="shared" si="22"/>
        <v>0</v>
      </c>
      <c r="O34" s="831">
        <f t="shared" ca="1" si="17"/>
        <v>0</v>
      </c>
      <c r="P34" s="831">
        <f t="shared" si="18"/>
        <v>0</v>
      </c>
      <c r="Q34" s="818"/>
      <c r="R34" s="818"/>
      <c r="S34" s="818"/>
      <c r="T34" s="818"/>
      <c r="U34" s="818"/>
      <c r="V34" s="818"/>
      <c r="W34" s="818"/>
      <c r="X34" s="818"/>
      <c r="Y34" s="818"/>
      <c r="Z34" s="818"/>
    </row>
    <row r="35" spans="1:26" ht="18.75" hidden="1">
      <c r="A35" s="832"/>
      <c r="B35" s="833"/>
      <c r="C35" s="833"/>
      <c r="D35" s="833"/>
      <c r="E35" s="834" t="s">
        <v>18</v>
      </c>
      <c r="F35" s="833"/>
      <c r="G35" s="835"/>
      <c r="H35" s="43" t="s">
        <v>12</v>
      </c>
      <c r="I35" s="836"/>
      <c r="J35" s="836"/>
      <c r="K35" s="837"/>
      <c r="L35" s="837">
        <f t="shared" ref="L35:N36" si="23">L430+L455+L478+L513+L534+L556+L640+L666+L696+L748+L765+L781+L797+L816</f>
        <v>0</v>
      </c>
      <c r="M35" s="837">
        <f t="shared" si="23"/>
        <v>0</v>
      </c>
      <c r="N35" s="837">
        <f t="shared" si="23"/>
        <v>0</v>
      </c>
      <c r="O35" s="837">
        <f t="shared" si="17"/>
        <v>0</v>
      </c>
      <c r="P35" s="837">
        <f t="shared" si="18"/>
        <v>0</v>
      </c>
      <c r="Q35" s="825"/>
      <c r="R35" s="825"/>
      <c r="S35" s="825"/>
      <c r="T35" s="825"/>
      <c r="U35" s="825"/>
      <c r="V35" s="825"/>
      <c r="W35" s="825"/>
      <c r="X35" s="825"/>
      <c r="Y35" s="825"/>
      <c r="Z35" s="825"/>
    </row>
    <row r="36" spans="1:26" ht="18.75" hidden="1">
      <c r="A36" s="838"/>
      <c r="B36" s="839"/>
      <c r="C36" s="839"/>
      <c r="D36" s="839"/>
      <c r="E36" s="840" t="s">
        <v>19</v>
      </c>
      <c r="F36" s="839"/>
      <c r="G36" s="841"/>
      <c r="H36" s="50" t="s">
        <v>12</v>
      </c>
      <c r="I36" s="842"/>
      <c r="J36" s="842"/>
      <c r="K36" s="843"/>
      <c r="L36" s="843">
        <f t="shared" ca="1" si="23"/>
        <v>0</v>
      </c>
      <c r="M36" s="843">
        <f t="shared" si="23"/>
        <v>0</v>
      </c>
      <c r="N36" s="843">
        <f t="shared" si="23"/>
        <v>0</v>
      </c>
      <c r="O36" s="843">
        <f t="shared" ca="1" si="17"/>
        <v>0</v>
      </c>
      <c r="P36" s="843">
        <f t="shared" si="18"/>
        <v>0</v>
      </c>
      <c r="Q36" s="825"/>
      <c r="R36" s="825"/>
      <c r="S36" s="825"/>
      <c r="T36" s="825"/>
      <c r="U36" s="825"/>
      <c r="V36" s="825"/>
      <c r="W36" s="825"/>
      <c r="X36" s="825"/>
      <c r="Y36" s="825"/>
      <c r="Z36" s="825"/>
    </row>
    <row r="37" spans="1:26" ht="19.5">
      <c r="A37" s="844" t="s">
        <v>24</v>
      </c>
      <c r="B37" s="845"/>
      <c r="C37" s="845"/>
      <c r="D37" s="845"/>
      <c r="E37" s="845"/>
      <c r="F37" s="845"/>
      <c r="G37" s="846"/>
      <c r="H37" s="847"/>
      <c r="I37" s="848"/>
      <c r="J37" s="848"/>
      <c r="K37" s="849"/>
      <c r="L37" s="850">
        <f t="shared" ref="L37:N37" ca="1" si="24">L41+L53+L66+L88+L119+L132+L149+L165+L181+L261+L277+L298+L315+L328+L345+L389+L402</f>
        <v>5405027</v>
      </c>
      <c r="M37" s="850">
        <f t="shared" ca="1" si="24"/>
        <v>4369181</v>
      </c>
      <c r="N37" s="850">
        <f t="shared" ca="1" si="24"/>
        <v>2754233.41</v>
      </c>
      <c r="O37" s="850">
        <f t="shared" ca="1" si="17"/>
        <v>50.95688532175695</v>
      </c>
      <c r="P37" s="850">
        <f t="shared" ca="1" si="18"/>
        <v>63.037750324374294</v>
      </c>
    </row>
    <row r="38" spans="1:26" ht="19.5">
      <c r="A38" s="851" t="s">
        <v>25</v>
      </c>
      <c r="B38" s="852"/>
      <c r="C38" s="852"/>
      <c r="D38" s="852"/>
      <c r="E38" s="852"/>
      <c r="F38" s="852"/>
      <c r="G38" s="853"/>
      <c r="H38" s="854"/>
      <c r="I38" s="855"/>
      <c r="J38" s="855"/>
      <c r="K38" s="856"/>
      <c r="L38" s="856"/>
      <c r="M38" s="856"/>
      <c r="N38" s="856"/>
      <c r="O38" s="856"/>
      <c r="P38" s="856"/>
    </row>
    <row r="39" spans="1:26" ht="19.5">
      <c r="A39" s="857"/>
      <c r="B39" s="858" t="s">
        <v>26</v>
      </c>
      <c r="C39" s="859"/>
      <c r="D39" s="859"/>
      <c r="E39" s="859"/>
      <c r="F39" s="859"/>
      <c r="G39" s="860"/>
      <c r="H39" s="861"/>
      <c r="I39" s="862"/>
      <c r="J39" s="862"/>
      <c r="K39" s="863"/>
      <c r="L39" s="863"/>
      <c r="M39" s="863"/>
      <c r="N39" s="863"/>
      <c r="O39" s="863"/>
      <c r="P39" s="863"/>
    </row>
    <row r="40" spans="1:26" ht="19.5">
      <c r="A40" s="864"/>
      <c r="B40" s="1513" t="s">
        <v>27</v>
      </c>
      <c r="C40" s="1485"/>
      <c r="D40" s="1485"/>
      <c r="E40" s="1485"/>
      <c r="F40" s="1485"/>
      <c r="G40" s="1491"/>
      <c r="H40" s="865"/>
      <c r="I40" s="866"/>
      <c r="J40" s="866"/>
      <c r="K40" s="867"/>
      <c r="L40" s="867"/>
      <c r="M40" s="867"/>
      <c r="N40" s="867"/>
      <c r="O40" s="867"/>
      <c r="P40" s="867"/>
    </row>
    <row r="41" spans="1:26" ht="19.5">
      <c r="A41" s="868"/>
      <c r="B41" s="869"/>
      <c r="C41" s="870" t="s">
        <v>16</v>
      </c>
      <c r="D41" s="871" t="s">
        <v>17</v>
      </c>
      <c r="E41" s="869"/>
      <c r="F41" s="869"/>
      <c r="G41" s="872"/>
      <c r="H41" s="82" t="s">
        <v>12</v>
      </c>
      <c r="I41" s="873"/>
      <c r="J41" s="873"/>
      <c r="K41" s="874"/>
      <c r="L41" s="875">
        <f t="shared" ref="L41:N41" ca="1" si="25">L42+L43</f>
        <v>705292</v>
      </c>
      <c r="M41" s="875">
        <f t="shared" ca="1" si="25"/>
        <v>715836</v>
      </c>
      <c r="N41" s="875">
        <f t="shared" ca="1" si="25"/>
        <v>400706.96</v>
      </c>
      <c r="O41" s="875">
        <f t="shared" ref="O41:O49" ca="1" si="26">IF(L41&gt;0,N41*100/L41,0)</f>
        <v>56.81433505555146</v>
      </c>
      <c r="P41" s="875">
        <f t="shared" ref="P41:P49" ca="1" si="27">IF(M41&gt;0,N41*100/M41,0)</f>
        <v>55.977480875507801</v>
      </c>
      <c r="Q41" s="818"/>
      <c r="R41" s="818"/>
      <c r="S41" s="818"/>
      <c r="T41" s="818"/>
      <c r="U41" s="818"/>
      <c r="V41" s="818"/>
      <c r="W41" s="818"/>
      <c r="X41" s="818"/>
      <c r="Y41" s="818"/>
      <c r="Z41" s="818"/>
    </row>
    <row r="42" spans="1:26" ht="18.75" hidden="1">
      <c r="A42" s="876"/>
      <c r="B42" s="877"/>
      <c r="C42" s="877"/>
      <c r="D42" s="877"/>
      <c r="E42" s="878" t="s">
        <v>18</v>
      </c>
      <c r="F42" s="877"/>
      <c r="G42" s="879"/>
      <c r="H42" s="90" t="s">
        <v>12</v>
      </c>
      <c r="I42" s="880"/>
      <c r="J42" s="880"/>
      <c r="K42" s="881"/>
      <c r="L42" s="881">
        <f t="shared" ref="L42:N43" si="28">L45+L48</f>
        <v>0</v>
      </c>
      <c r="M42" s="881">
        <f t="shared" si="28"/>
        <v>0</v>
      </c>
      <c r="N42" s="881">
        <f t="shared" si="28"/>
        <v>0</v>
      </c>
      <c r="O42" s="881">
        <f t="shared" si="26"/>
        <v>0</v>
      </c>
      <c r="P42" s="881">
        <f t="shared" si="27"/>
        <v>0</v>
      </c>
      <c r="Q42" s="825"/>
      <c r="R42" s="825"/>
      <c r="S42" s="825"/>
      <c r="T42" s="825"/>
      <c r="U42" s="825"/>
      <c r="V42" s="825"/>
      <c r="W42" s="825"/>
      <c r="X42" s="825"/>
      <c r="Y42" s="825"/>
      <c r="Z42" s="825"/>
    </row>
    <row r="43" spans="1:26" ht="18.75" hidden="1">
      <c r="A43" s="876"/>
      <c r="B43" s="877"/>
      <c r="C43" s="877"/>
      <c r="D43" s="877"/>
      <c r="E43" s="878" t="s">
        <v>19</v>
      </c>
      <c r="F43" s="877"/>
      <c r="G43" s="879"/>
      <c r="H43" s="90" t="s">
        <v>12</v>
      </c>
      <c r="I43" s="880"/>
      <c r="J43" s="880"/>
      <c r="K43" s="881"/>
      <c r="L43" s="881">
        <f t="shared" ca="1" si="28"/>
        <v>705292</v>
      </c>
      <c r="M43" s="881">
        <f t="shared" ca="1" si="28"/>
        <v>715836</v>
      </c>
      <c r="N43" s="881">
        <f t="shared" ca="1" si="28"/>
        <v>400706.96</v>
      </c>
      <c r="O43" s="881">
        <f t="shared" ca="1" si="26"/>
        <v>56.81433505555146</v>
      </c>
      <c r="P43" s="881">
        <f t="shared" ca="1" si="27"/>
        <v>55.977480875507801</v>
      </c>
      <c r="Q43" s="825"/>
      <c r="R43" s="825"/>
      <c r="S43" s="825"/>
      <c r="T43" s="825"/>
      <c r="U43" s="825"/>
      <c r="V43" s="825"/>
      <c r="W43" s="825"/>
      <c r="X43" s="825"/>
      <c r="Y43" s="825"/>
      <c r="Z43" s="825"/>
    </row>
    <row r="44" spans="1:26" ht="18.75">
      <c r="A44" s="826"/>
      <c r="B44" s="827"/>
      <c r="C44" s="827"/>
      <c r="D44" s="828" t="s">
        <v>20</v>
      </c>
      <c r="E44" s="827"/>
      <c r="F44" s="827"/>
      <c r="G44" s="829"/>
      <c r="H44" s="590" t="s">
        <v>12</v>
      </c>
      <c r="I44" s="830"/>
      <c r="J44" s="830"/>
      <c r="K44" s="831"/>
      <c r="L44" s="831">
        <f t="shared" ref="L44:N44" ca="1" si="29">L45+L46</f>
        <v>705292</v>
      </c>
      <c r="M44" s="831">
        <f t="shared" ca="1" si="29"/>
        <v>715836</v>
      </c>
      <c r="N44" s="831">
        <f t="shared" ca="1" si="29"/>
        <v>400706.96</v>
      </c>
      <c r="O44" s="831">
        <f t="shared" ca="1" si="26"/>
        <v>56.81433505555146</v>
      </c>
      <c r="P44" s="831">
        <f t="shared" ca="1" si="27"/>
        <v>55.977480875507801</v>
      </c>
      <c r="Q44" s="818"/>
      <c r="R44" s="818"/>
      <c r="S44" s="818"/>
      <c r="T44" s="818"/>
      <c r="U44" s="818"/>
      <c r="V44" s="818"/>
      <c r="W44" s="818"/>
      <c r="X44" s="818"/>
      <c r="Y44" s="818"/>
      <c r="Z44" s="818"/>
    </row>
    <row r="45" spans="1:26" ht="18.75" hidden="1">
      <c r="A45" s="832"/>
      <c r="B45" s="833"/>
      <c r="C45" s="833"/>
      <c r="D45" s="833"/>
      <c r="E45" s="834" t="s">
        <v>18</v>
      </c>
      <c r="F45" s="833"/>
      <c r="G45" s="835"/>
      <c r="H45" s="43" t="s">
        <v>12</v>
      </c>
      <c r="I45" s="836"/>
      <c r="J45" s="836"/>
      <c r="K45" s="837"/>
      <c r="L45" s="837">
        <v>0</v>
      </c>
      <c r="M45" s="837">
        <v>0</v>
      </c>
      <c r="N45" s="837">
        <v>0</v>
      </c>
      <c r="O45" s="837">
        <f t="shared" si="26"/>
        <v>0</v>
      </c>
      <c r="P45" s="837">
        <f t="shared" si="27"/>
        <v>0</v>
      </c>
      <c r="Q45" s="825"/>
      <c r="R45" s="825"/>
      <c r="S45" s="825"/>
      <c r="T45" s="825"/>
      <c r="U45" s="825"/>
      <c r="V45" s="825"/>
      <c r="W45" s="825"/>
      <c r="X45" s="825"/>
      <c r="Y45" s="825"/>
      <c r="Z45" s="825"/>
    </row>
    <row r="46" spans="1:26" ht="18.75" hidden="1">
      <c r="A46" s="832"/>
      <c r="B46" s="833"/>
      <c r="C46" s="833"/>
      <c r="D46" s="833"/>
      <c r="E46" s="834" t="s">
        <v>19</v>
      </c>
      <c r="F46" s="833"/>
      <c r="G46" s="835"/>
      <c r="H46" s="43" t="s">
        <v>12</v>
      </c>
      <c r="I46" s="836"/>
      <c r="J46" s="836"/>
      <c r="K46" s="837"/>
      <c r="L46" s="837">
        <f ca="1">IFERROR(__xludf.DUMMYFUNCTION("IMPORTRANGE(""https://docs.google.com/spreadsheets/d/1MeEWN-I1oV_STSDYn1IFDPWt_1FKiwhDph83XaGc0o0/edit?usp=sharing"",""งบพรบ!M15"")"),705292)</f>
        <v>705292</v>
      </c>
      <c r="M46" s="837">
        <f ca="1">IFERROR(__xludf.DUMMYFUNCTION("IMPORTRANGE(""https://docs.google.com/spreadsheets/d/1MeEWN-I1oV_STSDYn1IFDPWt_1FKiwhDph83XaGc0o0/edit?usp=sharing"",""งบพรบ!R15"")"),715836)</f>
        <v>715836</v>
      </c>
      <c r="N46" s="837">
        <f ca="1">IFERROR(__xludf.DUMMYFUNCTION("IMPORTRANGE(""https://docs.google.com/spreadsheets/d/1MeEWN-I1oV_STSDYn1IFDPWt_1FKiwhDph83XaGc0o0/edit?usp=sharing"",""งบพรบ!T15"")"),400706.96)</f>
        <v>400706.96</v>
      </c>
      <c r="O46" s="837">
        <f t="shared" ca="1" si="26"/>
        <v>56.81433505555146</v>
      </c>
      <c r="P46" s="837">
        <f t="shared" ca="1" si="27"/>
        <v>55.977480875507801</v>
      </c>
      <c r="Q46" s="825"/>
      <c r="R46" s="825"/>
      <c r="S46" s="825"/>
      <c r="T46" s="825"/>
      <c r="U46" s="825"/>
      <c r="V46" s="825"/>
      <c r="W46" s="825"/>
      <c r="X46" s="825"/>
      <c r="Y46" s="825"/>
      <c r="Z46" s="825"/>
    </row>
    <row r="47" spans="1:26" ht="18.75">
      <c r="A47" s="826"/>
      <c r="B47" s="827"/>
      <c r="C47" s="827"/>
      <c r="D47" s="828" t="s">
        <v>21</v>
      </c>
      <c r="E47" s="827"/>
      <c r="F47" s="827"/>
      <c r="G47" s="829"/>
      <c r="H47" s="590" t="s">
        <v>12</v>
      </c>
      <c r="I47" s="830"/>
      <c r="J47" s="830"/>
      <c r="K47" s="831"/>
      <c r="L47" s="831">
        <f t="shared" ref="L47:N47" ca="1" si="30">L48+L49</f>
        <v>0</v>
      </c>
      <c r="M47" s="831">
        <f t="shared" ca="1" si="30"/>
        <v>0</v>
      </c>
      <c r="N47" s="831">
        <f t="shared" ca="1" si="30"/>
        <v>0</v>
      </c>
      <c r="O47" s="831">
        <f t="shared" ca="1" si="26"/>
        <v>0</v>
      </c>
      <c r="P47" s="831">
        <f t="shared" ca="1" si="27"/>
        <v>0</v>
      </c>
      <c r="Q47" s="818"/>
      <c r="R47" s="818"/>
      <c r="S47" s="818"/>
      <c r="T47" s="818"/>
      <c r="U47" s="818"/>
      <c r="V47" s="818"/>
      <c r="W47" s="818"/>
      <c r="X47" s="818"/>
      <c r="Y47" s="818"/>
      <c r="Z47" s="818"/>
    </row>
    <row r="48" spans="1:26" ht="18.75" hidden="1">
      <c r="A48" s="832"/>
      <c r="B48" s="833"/>
      <c r="C48" s="833"/>
      <c r="D48" s="833"/>
      <c r="E48" s="834" t="s">
        <v>18</v>
      </c>
      <c r="F48" s="833"/>
      <c r="G48" s="835"/>
      <c r="H48" s="43" t="s">
        <v>12</v>
      </c>
      <c r="I48" s="836"/>
      <c r="J48" s="836"/>
      <c r="K48" s="837"/>
      <c r="L48" s="837">
        <v>0</v>
      </c>
      <c r="M48" s="837">
        <v>0</v>
      </c>
      <c r="N48" s="837">
        <v>0</v>
      </c>
      <c r="O48" s="837">
        <f t="shared" si="26"/>
        <v>0</v>
      </c>
      <c r="P48" s="837">
        <f t="shared" si="27"/>
        <v>0</v>
      </c>
      <c r="Q48" s="825"/>
      <c r="R48" s="825"/>
      <c r="S48" s="825"/>
      <c r="T48" s="825"/>
      <c r="U48" s="825"/>
      <c r="V48" s="825"/>
      <c r="W48" s="825"/>
      <c r="X48" s="825"/>
      <c r="Y48" s="825"/>
      <c r="Z48" s="825"/>
    </row>
    <row r="49" spans="1:26" ht="18.75" hidden="1">
      <c r="A49" s="838"/>
      <c r="B49" s="839"/>
      <c r="C49" s="839"/>
      <c r="D49" s="839"/>
      <c r="E49" s="840" t="s">
        <v>19</v>
      </c>
      <c r="F49" s="839"/>
      <c r="G49" s="841"/>
      <c r="H49" s="50" t="s">
        <v>12</v>
      </c>
      <c r="I49" s="842"/>
      <c r="J49" s="842"/>
      <c r="K49" s="843"/>
      <c r="L49" s="843">
        <f ca="1">IFERROR(__xludf.DUMMYFUNCTION("IMPORTRANGE(""https://docs.google.com/spreadsheets/d/1MeEWN-I1oV_STSDYn1IFDPWt_1FKiwhDph83XaGc0o0/edit?usp=sharing"",""งบพรบ!P15"")"),0)</f>
        <v>0</v>
      </c>
      <c r="M49" s="843">
        <f ca="1">IFERROR(__xludf.DUMMYFUNCTION("IMPORTRANGE(""https://docs.google.com/spreadsheets/d/1MeEWN-I1oV_STSDYn1IFDPWt_1FKiwhDph83XaGc0o0/edit?usp=sharing"",""งบพรบ!S15"")"),0)</f>
        <v>0</v>
      </c>
      <c r="N49" s="843">
        <f ca="1">IFERROR(__xludf.DUMMYFUNCTION("IMPORTRANGE(""https://docs.google.com/spreadsheets/d/1MeEWN-I1oV_STSDYn1IFDPWt_1FKiwhDph83XaGc0o0/edit?usp=sharing"",""งบพรบ!U15"")"),0)</f>
        <v>0</v>
      </c>
      <c r="O49" s="843">
        <f t="shared" ca="1" si="26"/>
        <v>0</v>
      </c>
      <c r="P49" s="843">
        <f t="shared" ca="1" si="27"/>
        <v>0</v>
      </c>
      <c r="Q49" s="825"/>
      <c r="R49" s="825"/>
      <c r="S49" s="825"/>
      <c r="T49" s="825"/>
      <c r="U49" s="825"/>
      <c r="V49" s="825"/>
      <c r="W49" s="825"/>
      <c r="X49" s="825"/>
      <c r="Y49" s="825"/>
      <c r="Z49" s="825"/>
    </row>
    <row r="50" spans="1:26" ht="19.5">
      <c r="A50" s="1514" t="s">
        <v>28</v>
      </c>
      <c r="B50" s="1494"/>
      <c r="C50" s="1494"/>
      <c r="D50" s="1494"/>
      <c r="E50" s="1494"/>
      <c r="F50" s="1494"/>
      <c r="G50" s="1495"/>
      <c r="H50" s="882"/>
      <c r="I50" s="883"/>
      <c r="J50" s="883"/>
      <c r="K50" s="884"/>
      <c r="L50" s="884"/>
      <c r="M50" s="884"/>
      <c r="N50" s="884"/>
      <c r="O50" s="884"/>
      <c r="P50" s="884"/>
    </row>
    <row r="51" spans="1:26" ht="19.5">
      <c r="A51" s="885"/>
      <c r="B51" s="1515" t="s">
        <v>29</v>
      </c>
      <c r="C51" s="1485"/>
      <c r="D51" s="1485"/>
      <c r="E51" s="1485"/>
      <c r="F51" s="1485"/>
      <c r="G51" s="1491"/>
      <c r="H51" s="886"/>
      <c r="I51" s="887"/>
      <c r="J51" s="887"/>
      <c r="K51" s="888"/>
      <c r="L51" s="888"/>
      <c r="M51" s="888"/>
      <c r="N51" s="888"/>
      <c r="O51" s="888"/>
      <c r="P51" s="888"/>
    </row>
    <row r="52" spans="1:26" ht="19.5">
      <c r="A52" s="889"/>
      <c r="B52" s="890" t="s">
        <v>30</v>
      </c>
      <c r="C52" s="891"/>
      <c r="D52" s="891"/>
      <c r="E52" s="891"/>
      <c r="F52" s="891"/>
      <c r="G52" s="892"/>
      <c r="H52" s="893"/>
      <c r="I52" s="894"/>
      <c r="J52" s="894"/>
      <c r="K52" s="895"/>
      <c r="L52" s="895"/>
      <c r="M52" s="895"/>
      <c r="N52" s="895"/>
      <c r="O52" s="895"/>
      <c r="P52" s="895"/>
    </row>
    <row r="53" spans="1:26" ht="19.5">
      <c r="A53" s="896"/>
      <c r="B53" s="897"/>
      <c r="C53" s="898" t="s">
        <v>16</v>
      </c>
      <c r="D53" s="899" t="s">
        <v>17</v>
      </c>
      <c r="E53" s="897"/>
      <c r="F53" s="897"/>
      <c r="G53" s="900"/>
      <c r="H53" s="113" t="s">
        <v>12</v>
      </c>
      <c r="I53" s="901"/>
      <c r="J53" s="901"/>
      <c r="K53" s="902"/>
      <c r="L53" s="903">
        <f t="shared" ref="L53:N53" ca="1" si="31">L54+L55</f>
        <v>779100</v>
      </c>
      <c r="M53" s="903">
        <f t="shared" ca="1" si="31"/>
        <v>592700</v>
      </c>
      <c r="N53" s="903">
        <f t="shared" ca="1" si="31"/>
        <v>461707.88</v>
      </c>
      <c r="O53" s="903">
        <f t="shared" ref="O53:O61" ca="1" si="32">IF(L53&gt;0,N53*100/L53,0)</f>
        <v>59.261696829675266</v>
      </c>
      <c r="P53" s="903">
        <f t="shared" ref="P53:P61" ca="1" si="33">IF(M53&gt;0,N53*100/M53,0)</f>
        <v>77.899085540745745</v>
      </c>
      <c r="Q53" s="818"/>
      <c r="R53" s="818"/>
      <c r="S53" s="818"/>
      <c r="T53" s="818"/>
      <c r="U53" s="818"/>
      <c r="V53" s="818"/>
      <c r="W53" s="818"/>
      <c r="X53" s="818"/>
      <c r="Y53" s="818"/>
      <c r="Z53" s="818"/>
    </row>
    <row r="54" spans="1:26" ht="18.75" hidden="1">
      <c r="A54" s="904"/>
      <c r="B54" s="905"/>
      <c r="C54" s="905"/>
      <c r="D54" s="905"/>
      <c r="E54" s="906" t="s">
        <v>18</v>
      </c>
      <c r="F54" s="905"/>
      <c r="G54" s="907"/>
      <c r="H54" s="121" t="s">
        <v>12</v>
      </c>
      <c r="I54" s="908"/>
      <c r="J54" s="908"/>
      <c r="K54" s="909"/>
      <c r="L54" s="909">
        <f t="shared" ref="L54:N55" si="34">L57+L60</f>
        <v>0</v>
      </c>
      <c r="M54" s="909">
        <f t="shared" si="34"/>
        <v>0</v>
      </c>
      <c r="N54" s="909">
        <f t="shared" si="34"/>
        <v>0</v>
      </c>
      <c r="O54" s="909">
        <f t="shared" si="32"/>
        <v>0</v>
      </c>
      <c r="P54" s="909">
        <f t="shared" si="33"/>
        <v>0</v>
      </c>
      <c r="Q54" s="825"/>
      <c r="R54" s="825"/>
      <c r="S54" s="825"/>
      <c r="T54" s="825"/>
      <c r="U54" s="825"/>
      <c r="V54" s="825"/>
      <c r="W54" s="825"/>
      <c r="X54" s="825"/>
      <c r="Y54" s="825"/>
      <c r="Z54" s="825"/>
    </row>
    <row r="55" spans="1:26" ht="18.75" hidden="1">
      <c r="A55" s="904"/>
      <c r="B55" s="905"/>
      <c r="C55" s="905"/>
      <c r="D55" s="905"/>
      <c r="E55" s="906" t="s">
        <v>19</v>
      </c>
      <c r="F55" s="905"/>
      <c r="G55" s="907"/>
      <c r="H55" s="121" t="s">
        <v>12</v>
      </c>
      <c r="I55" s="908"/>
      <c r="J55" s="908"/>
      <c r="K55" s="909"/>
      <c r="L55" s="909">
        <f t="shared" ca="1" si="34"/>
        <v>779100</v>
      </c>
      <c r="M55" s="909">
        <f t="shared" ca="1" si="34"/>
        <v>592700</v>
      </c>
      <c r="N55" s="909">
        <f t="shared" ca="1" si="34"/>
        <v>461707.88</v>
      </c>
      <c r="O55" s="909">
        <f t="shared" ca="1" si="32"/>
        <v>59.261696829675266</v>
      </c>
      <c r="P55" s="909">
        <f t="shared" ca="1" si="33"/>
        <v>77.899085540745745</v>
      </c>
      <c r="Q55" s="825"/>
      <c r="R55" s="825"/>
      <c r="S55" s="825"/>
      <c r="T55" s="825"/>
      <c r="U55" s="825"/>
      <c r="V55" s="825"/>
      <c r="W55" s="825"/>
      <c r="X55" s="825"/>
      <c r="Y55" s="825"/>
      <c r="Z55" s="825"/>
    </row>
    <row r="56" spans="1:26" ht="18.75">
      <c r="A56" s="826"/>
      <c r="B56" s="827"/>
      <c r="C56" s="827"/>
      <c r="D56" s="828" t="s">
        <v>20</v>
      </c>
      <c r="E56" s="827"/>
      <c r="F56" s="827"/>
      <c r="G56" s="829"/>
      <c r="H56" s="590" t="s">
        <v>12</v>
      </c>
      <c r="I56" s="830"/>
      <c r="J56" s="830"/>
      <c r="K56" s="831"/>
      <c r="L56" s="831">
        <f t="shared" ref="L56:N56" ca="1" si="35">L57+L58</f>
        <v>749200</v>
      </c>
      <c r="M56" s="831">
        <f t="shared" ca="1" si="35"/>
        <v>562800</v>
      </c>
      <c r="N56" s="831">
        <f t="shared" ca="1" si="35"/>
        <v>431807.88</v>
      </c>
      <c r="O56" s="831">
        <f t="shared" ca="1" si="32"/>
        <v>57.635862253069938</v>
      </c>
      <c r="P56" s="831">
        <f t="shared" ca="1" si="33"/>
        <v>76.724925373134326</v>
      </c>
      <c r="Q56" s="818"/>
      <c r="R56" s="818"/>
      <c r="S56" s="818"/>
      <c r="T56" s="818"/>
      <c r="U56" s="818"/>
      <c r="V56" s="818"/>
      <c r="W56" s="818"/>
      <c r="X56" s="818"/>
      <c r="Y56" s="818"/>
      <c r="Z56" s="818"/>
    </row>
    <row r="57" spans="1:26" ht="18.75" hidden="1">
      <c r="A57" s="832"/>
      <c r="B57" s="833"/>
      <c r="C57" s="833"/>
      <c r="D57" s="833"/>
      <c r="E57" s="834" t="s">
        <v>18</v>
      </c>
      <c r="F57" s="833"/>
      <c r="G57" s="835"/>
      <c r="H57" s="43" t="s">
        <v>12</v>
      </c>
      <c r="I57" s="836"/>
      <c r="J57" s="836"/>
      <c r="K57" s="837"/>
      <c r="L57" s="837">
        <v>0</v>
      </c>
      <c r="M57" s="837">
        <v>0</v>
      </c>
      <c r="N57" s="837">
        <v>0</v>
      </c>
      <c r="O57" s="837">
        <f t="shared" si="32"/>
        <v>0</v>
      </c>
      <c r="P57" s="837">
        <f t="shared" si="33"/>
        <v>0</v>
      </c>
      <c r="Q57" s="825"/>
      <c r="R57" s="825"/>
      <c r="S57" s="825"/>
      <c r="T57" s="825"/>
      <c r="U57" s="825"/>
      <c r="V57" s="825"/>
      <c r="W57" s="825"/>
      <c r="X57" s="825"/>
      <c r="Y57" s="825"/>
      <c r="Z57" s="825"/>
    </row>
    <row r="58" spans="1:26" ht="18.75" hidden="1">
      <c r="A58" s="832"/>
      <c r="B58" s="833"/>
      <c r="C58" s="833"/>
      <c r="D58" s="833"/>
      <c r="E58" s="834" t="s">
        <v>19</v>
      </c>
      <c r="F58" s="833"/>
      <c r="G58" s="835"/>
      <c r="H58" s="43" t="s">
        <v>12</v>
      </c>
      <c r="I58" s="836"/>
      <c r="J58" s="836"/>
      <c r="K58" s="837"/>
      <c r="L58" s="837">
        <f ca="1">IFERROR(__xludf.DUMMYFUNCTION("IMPORTRANGE(""https://docs.google.com/spreadsheets/d/1MeEWN-I1oV_STSDYn1IFDPWt_1FKiwhDph83XaGc0o0/edit?usp=sharing"",""งบพรบ!W15"")"),749200)</f>
        <v>749200</v>
      </c>
      <c r="M58" s="837">
        <f ca="1">IFERROR(__xludf.DUMMYFUNCTION("IMPORTRANGE(""https://docs.google.com/spreadsheets/d/1MeEWN-I1oV_STSDYn1IFDPWt_1FKiwhDph83XaGc0o0/edit?usp=sharing"",""งบพรบ!AB15"")"),562800)</f>
        <v>562800</v>
      </c>
      <c r="N58" s="837">
        <f ca="1">IFERROR(__xludf.DUMMYFUNCTION("IMPORTRANGE(""https://docs.google.com/spreadsheets/d/1MeEWN-I1oV_STSDYn1IFDPWt_1FKiwhDph83XaGc0o0/edit?usp=sharing"",""งบพรบ!AD15"")"),431807.88)</f>
        <v>431807.88</v>
      </c>
      <c r="O58" s="837">
        <f t="shared" ca="1" si="32"/>
        <v>57.635862253069938</v>
      </c>
      <c r="P58" s="837">
        <f t="shared" ca="1" si="33"/>
        <v>76.724925373134326</v>
      </c>
      <c r="Q58" s="825"/>
      <c r="R58" s="825"/>
      <c r="S58" s="825"/>
      <c r="T58" s="825"/>
      <c r="U58" s="825"/>
      <c r="V58" s="825"/>
      <c r="W58" s="825"/>
      <c r="X58" s="825"/>
      <c r="Y58" s="825"/>
      <c r="Z58" s="825"/>
    </row>
    <row r="59" spans="1:26" ht="18.75">
      <c r="A59" s="826"/>
      <c r="B59" s="827"/>
      <c r="C59" s="827"/>
      <c r="D59" s="828" t="s">
        <v>21</v>
      </c>
      <c r="E59" s="827"/>
      <c r="F59" s="827"/>
      <c r="G59" s="829"/>
      <c r="H59" s="590" t="s">
        <v>12</v>
      </c>
      <c r="I59" s="830"/>
      <c r="J59" s="830"/>
      <c r="K59" s="831"/>
      <c r="L59" s="831">
        <f t="shared" ref="L59:N59" ca="1" si="36">L60+L61</f>
        <v>29900</v>
      </c>
      <c r="M59" s="831">
        <f t="shared" ca="1" si="36"/>
        <v>29900</v>
      </c>
      <c r="N59" s="831">
        <f t="shared" ca="1" si="36"/>
        <v>29900</v>
      </c>
      <c r="O59" s="831">
        <f t="shared" ca="1" si="32"/>
        <v>100</v>
      </c>
      <c r="P59" s="831">
        <f t="shared" ca="1" si="33"/>
        <v>100</v>
      </c>
      <c r="Q59" s="818"/>
      <c r="R59" s="818"/>
      <c r="S59" s="818"/>
      <c r="T59" s="818"/>
      <c r="U59" s="818"/>
      <c r="V59" s="818"/>
      <c r="W59" s="818"/>
      <c r="X59" s="818"/>
      <c r="Y59" s="818"/>
      <c r="Z59" s="818"/>
    </row>
    <row r="60" spans="1:26" ht="18.75" hidden="1">
      <c r="A60" s="832"/>
      <c r="B60" s="833"/>
      <c r="C60" s="833"/>
      <c r="D60" s="833"/>
      <c r="E60" s="834" t="s">
        <v>18</v>
      </c>
      <c r="F60" s="833"/>
      <c r="G60" s="835"/>
      <c r="H60" s="43" t="s">
        <v>12</v>
      </c>
      <c r="I60" s="836"/>
      <c r="J60" s="836"/>
      <c r="K60" s="837"/>
      <c r="L60" s="837">
        <v>0</v>
      </c>
      <c r="M60" s="837">
        <v>0</v>
      </c>
      <c r="N60" s="837">
        <v>0</v>
      </c>
      <c r="O60" s="837">
        <f t="shared" si="32"/>
        <v>0</v>
      </c>
      <c r="P60" s="837">
        <f t="shared" si="33"/>
        <v>0</v>
      </c>
      <c r="Q60" s="825"/>
      <c r="R60" s="825"/>
      <c r="S60" s="825"/>
      <c r="T60" s="825"/>
      <c r="U60" s="825"/>
      <c r="V60" s="825"/>
      <c r="W60" s="825"/>
      <c r="X60" s="825"/>
      <c r="Y60" s="825"/>
      <c r="Z60" s="825"/>
    </row>
    <row r="61" spans="1:26" ht="18.75" hidden="1">
      <c r="A61" s="838"/>
      <c r="B61" s="839"/>
      <c r="C61" s="839"/>
      <c r="D61" s="839"/>
      <c r="E61" s="840" t="s">
        <v>19</v>
      </c>
      <c r="F61" s="839"/>
      <c r="G61" s="841"/>
      <c r="H61" s="50" t="s">
        <v>12</v>
      </c>
      <c r="I61" s="842"/>
      <c r="J61" s="842"/>
      <c r="K61" s="843"/>
      <c r="L61" s="843">
        <f ca="1">IFERROR(__xludf.DUMMYFUNCTION("IMPORTRANGE(""https://docs.google.com/spreadsheets/d/1MeEWN-I1oV_STSDYn1IFDPWt_1FKiwhDph83XaGc0o0/edit?usp=sharing"",""งบพรบ!Z15"")"),29900)</f>
        <v>29900</v>
      </c>
      <c r="M61" s="843">
        <f ca="1">IFERROR(__xludf.DUMMYFUNCTION("IMPORTRANGE(""https://docs.google.com/spreadsheets/d/1MeEWN-I1oV_STSDYn1IFDPWt_1FKiwhDph83XaGc0o0/edit?usp=sharing"",""งบพรบ!AC15"")"),29900)</f>
        <v>29900</v>
      </c>
      <c r="N61" s="843">
        <f ca="1">IFERROR(__xludf.DUMMYFUNCTION("IMPORTRANGE(""https://docs.google.com/spreadsheets/d/1MeEWN-I1oV_STSDYn1IFDPWt_1FKiwhDph83XaGc0o0/edit?usp=sharing"",""งบพรบ!AE15"")"),29900)</f>
        <v>29900</v>
      </c>
      <c r="O61" s="843">
        <f t="shared" ca="1" si="32"/>
        <v>100</v>
      </c>
      <c r="P61" s="843">
        <f t="shared" ca="1" si="33"/>
        <v>100</v>
      </c>
      <c r="Q61" s="825"/>
      <c r="R61" s="825"/>
      <c r="S61" s="825"/>
      <c r="T61" s="825"/>
      <c r="U61" s="825"/>
      <c r="V61" s="825"/>
      <c r="W61" s="825"/>
      <c r="X61" s="825"/>
      <c r="Y61" s="825"/>
      <c r="Z61" s="825"/>
    </row>
    <row r="62" spans="1:26" ht="19.5">
      <c r="A62" s="910" t="s">
        <v>31</v>
      </c>
      <c r="B62" s="911"/>
      <c r="C62" s="911"/>
      <c r="D62" s="911"/>
      <c r="E62" s="912"/>
      <c r="F62" s="912"/>
      <c r="G62" s="913"/>
      <c r="H62" s="914"/>
      <c r="I62" s="915"/>
      <c r="J62" s="915"/>
      <c r="K62" s="916"/>
      <c r="L62" s="916"/>
      <c r="M62" s="916"/>
      <c r="N62" s="916"/>
      <c r="O62" s="916"/>
      <c r="P62" s="916"/>
    </row>
    <row r="63" spans="1:26" ht="19.5">
      <c r="A63" s="917" t="s">
        <v>32</v>
      </c>
      <c r="B63" s="918"/>
      <c r="C63" s="919"/>
      <c r="D63" s="918"/>
      <c r="E63" s="918"/>
      <c r="F63" s="918"/>
      <c r="G63" s="920"/>
      <c r="H63" s="921"/>
      <c r="I63" s="922"/>
      <c r="J63" s="922"/>
      <c r="K63" s="923"/>
      <c r="L63" s="923"/>
      <c r="M63" s="923"/>
      <c r="N63" s="923"/>
      <c r="O63" s="923"/>
      <c r="P63" s="923"/>
    </row>
    <row r="64" spans="1:26" ht="19.5">
      <c r="A64" s="924"/>
      <c r="B64" s="925" t="s">
        <v>33</v>
      </c>
      <c r="C64" s="926"/>
      <c r="D64" s="927"/>
      <c r="E64" s="926"/>
      <c r="F64" s="926"/>
      <c r="G64" s="928"/>
      <c r="H64" s="205" t="s">
        <v>34</v>
      </c>
      <c r="I64" s="929">
        <f t="shared" ref="I64:J65" ca="1" si="37">I76</f>
        <v>1</v>
      </c>
      <c r="J64" s="929">
        <f t="shared" si="37"/>
        <v>1</v>
      </c>
      <c r="K64" s="930">
        <f t="shared" ref="K64:K65" ca="1" si="38">IF(I64&gt;0,J64*100/I64,0)</f>
        <v>100</v>
      </c>
      <c r="L64" s="931"/>
      <c r="M64" s="931"/>
      <c r="N64" s="931"/>
      <c r="O64" s="931"/>
      <c r="P64" s="931"/>
    </row>
    <row r="65" spans="1:26" ht="19.5">
      <c r="A65" s="924"/>
      <c r="B65" s="926"/>
      <c r="C65" s="926"/>
      <c r="D65" s="927"/>
      <c r="E65" s="926"/>
      <c r="F65" s="926"/>
      <c r="G65" s="928"/>
      <c r="H65" s="205" t="s">
        <v>35</v>
      </c>
      <c r="I65" s="929">
        <f t="shared" ca="1" si="37"/>
        <v>60</v>
      </c>
      <c r="J65" s="929">
        <f t="shared" si="37"/>
        <v>60</v>
      </c>
      <c r="K65" s="930">
        <f t="shared" ca="1" si="38"/>
        <v>100</v>
      </c>
      <c r="L65" s="931"/>
      <c r="M65" s="931"/>
      <c r="N65" s="931"/>
      <c r="O65" s="931"/>
      <c r="P65" s="931"/>
    </row>
    <row r="66" spans="1:26" ht="19.5">
      <c r="A66" s="932"/>
      <c r="B66" s="933"/>
      <c r="C66" s="934" t="s">
        <v>16</v>
      </c>
      <c r="D66" s="935" t="s">
        <v>17</v>
      </c>
      <c r="E66" s="933"/>
      <c r="F66" s="933"/>
      <c r="G66" s="936"/>
      <c r="H66" s="152" t="s">
        <v>12</v>
      </c>
      <c r="I66" s="937"/>
      <c r="J66" s="937"/>
      <c r="K66" s="938"/>
      <c r="L66" s="939">
        <f t="shared" ref="L66:N66" ca="1" si="39">L67+L68</f>
        <v>552000</v>
      </c>
      <c r="M66" s="939">
        <f t="shared" ca="1" si="39"/>
        <v>430000</v>
      </c>
      <c r="N66" s="939">
        <f t="shared" ca="1" si="39"/>
        <v>217996.66</v>
      </c>
      <c r="O66" s="939">
        <f t="shared" ref="O66:O74" ca="1" si="40">IF(L66&gt;0,N66*100/L66,0)</f>
        <v>39.492148550724636</v>
      </c>
      <c r="P66" s="939">
        <f t="shared" ref="P66:P74" ca="1" si="41">IF(M66&gt;0,N66*100/M66,0)</f>
        <v>50.696897674418608</v>
      </c>
      <c r="Q66" s="818"/>
      <c r="R66" s="818"/>
      <c r="S66" s="818"/>
      <c r="T66" s="818"/>
      <c r="U66" s="818"/>
      <c r="V66" s="818"/>
      <c r="W66" s="818"/>
      <c r="X66" s="818"/>
      <c r="Y66" s="818"/>
      <c r="Z66" s="818"/>
    </row>
    <row r="67" spans="1:26" ht="18.75" hidden="1">
      <c r="A67" s="940"/>
      <c r="B67" s="833"/>
      <c r="C67" s="833"/>
      <c r="D67" s="833"/>
      <c r="E67" s="834" t="s">
        <v>18</v>
      </c>
      <c r="F67" s="833"/>
      <c r="G67" s="941"/>
      <c r="H67" s="158" t="s">
        <v>12</v>
      </c>
      <c r="I67" s="836"/>
      <c r="J67" s="836"/>
      <c r="K67" s="837"/>
      <c r="L67" s="837">
        <f t="shared" ref="L67:N68" si="42">L70+L73</f>
        <v>0</v>
      </c>
      <c r="M67" s="837">
        <f t="shared" si="42"/>
        <v>0</v>
      </c>
      <c r="N67" s="837">
        <f t="shared" si="42"/>
        <v>0</v>
      </c>
      <c r="O67" s="837">
        <f t="shared" si="40"/>
        <v>0</v>
      </c>
      <c r="P67" s="837">
        <f t="shared" si="41"/>
        <v>0</v>
      </c>
      <c r="Q67" s="825"/>
      <c r="R67" s="825"/>
      <c r="S67" s="825"/>
      <c r="T67" s="825"/>
      <c r="U67" s="825"/>
      <c r="V67" s="825"/>
      <c r="W67" s="825"/>
      <c r="X67" s="825"/>
      <c r="Y67" s="825"/>
      <c r="Z67" s="825"/>
    </row>
    <row r="68" spans="1:26" ht="18.75" hidden="1">
      <c r="A68" s="940"/>
      <c r="B68" s="833"/>
      <c r="C68" s="833"/>
      <c r="D68" s="833"/>
      <c r="E68" s="834" t="s">
        <v>19</v>
      </c>
      <c r="F68" s="833"/>
      <c r="G68" s="941"/>
      <c r="H68" s="158" t="s">
        <v>12</v>
      </c>
      <c r="I68" s="836"/>
      <c r="J68" s="836"/>
      <c r="K68" s="837"/>
      <c r="L68" s="837">
        <f t="shared" ca="1" si="42"/>
        <v>552000</v>
      </c>
      <c r="M68" s="837">
        <f t="shared" ca="1" si="42"/>
        <v>430000</v>
      </c>
      <c r="N68" s="837">
        <f t="shared" ca="1" si="42"/>
        <v>217996.66</v>
      </c>
      <c r="O68" s="837">
        <f t="shared" ca="1" si="40"/>
        <v>39.492148550724636</v>
      </c>
      <c r="P68" s="837">
        <f t="shared" ca="1" si="41"/>
        <v>50.696897674418608</v>
      </c>
      <c r="Q68" s="825"/>
      <c r="R68" s="825"/>
      <c r="S68" s="825"/>
      <c r="T68" s="825"/>
      <c r="U68" s="825"/>
      <c r="V68" s="825"/>
      <c r="W68" s="825"/>
      <c r="X68" s="825"/>
      <c r="Y68" s="825"/>
      <c r="Z68" s="825"/>
    </row>
    <row r="69" spans="1:26" ht="18.75">
      <c r="A69" s="942"/>
      <c r="B69" s="827"/>
      <c r="C69" s="943"/>
      <c r="D69" s="828" t="s">
        <v>20</v>
      </c>
      <c r="E69" s="827"/>
      <c r="F69" s="827"/>
      <c r="G69" s="829"/>
      <c r="H69" s="778" t="s">
        <v>12</v>
      </c>
      <c r="I69" s="944"/>
      <c r="J69" s="944"/>
      <c r="K69" s="945"/>
      <c r="L69" s="831">
        <f t="shared" ref="L69:N69" ca="1" si="43">L70+L71</f>
        <v>552000</v>
      </c>
      <c r="M69" s="831">
        <f t="shared" ca="1" si="43"/>
        <v>430000</v>
      </c>
      <c r="N69" s="831">
        <f t="shared" ca="1" si="43"/>
        <v>217996.66</v>
      </c>
      <c r="O69" s="831">
        <f t="shared" ca="1" si="40"/>
        <v>39.492148550724636</v>
      </c>
      <c r="P69" s="831">
        <f t="shared" ca="1" si="41"/>
        <v>50.696897674418608</v>
      </c>
      <c r="Q69" s="818"/>
      <c r="R69" s="818"/>
      <c r="S69" s="818"/>
      <c r="T69" s="818"/>
      <c r="U69" s="818"/>
      <c r="V69" s="818"/>
      <c r="W69" s="818"/>
      <c r="X69" s="818"/>
      <c r="Y69" s="818"/>
      <c r="Z69" s="818"/>
    </row>
    <row r="70" spans="1:26" ht="19.5" hidden="1">
      <c r="A70" s="940"/>
      <c r="B70" s="833"/>
      <c r="C70" s="946"/>
      <c r="D70" s="833"/>
      <c r="E70" s="834" t="s">
        <v>36</v>
      </c>
      <c r="F70" s="833"/>
      <c r="G70" s="941"/>
      <c r="H70" s="165" t="s">
        <v>12</v>
      </c>
      <c r="I70" s="947"/>
      <c r="J70" s="947"/>
      <c r="K70" s="948"/>
      <c r="L70" s="837">
        <v>0</v>
      </c>
      <c r="M70" s="837">
        <v>0</v>
      </c>
      <c r="N70" s="837">
        <v>0</v>
      </c>
      <c r="O70" s="837">
        <f t="shared" si="40"/>
        <v>0</v>
      </c>
      <c r="P70" s="837">
        <f t="shared" si="41"/>
        <v>0</v>
      </c>
      <c r="Q70" s="825"/>
      <c r="R70" s="825"/>
      <c r="S70" s="825"/>
      <c r="T70" s="825"/>
      <c r="U70" s="825"/>
      <c r="V70" s="825"/>
      <c r="W70" s="825"/>
      <c r="X70" s="825"/>
      <c r="Y70" s="825"/>
      <c r="Z70" s="825"/>
    </row>
    <row r="71" spans="1:26" ht="19.5" hidden="1">
      <c r="A71" s="940"/>
      <c r="B71" s="833"/>
      <c r="C71" s="946"/>
      <c r="D71" s="833"/>
      <c r="E71" s="834" t="s">
        <v>37</v>
      </c>
      <c r="F71" s="833"/>
      <c r="G71" s="941"/>
      <c r="H71" s="165" t="s">
        <v>12</v>
      </c>
      <c r="I71" s="947"/>
      <c r="J71" s="947"/>
      <c r="K71" s="948"/>
      <c r="L71" s="837">
        <f ca="1">IFERROR(__xludf.DUMMYFUNCTION("IMPORTRANGE(""https://docs.google.com/spreadsheets/d/1MeEWN-I1oV_STSDYn1IFDPWt_1FKiwhDph83XaGc0o0/edit?usp=sharing"",""งบพรบ!AG15"")"),552000)</f>
        <v>552000</v>
      </c>
      <c r="M71" s="837">
        <f ca="1">IFERROR(__xludf.DUMMYFUNCTION("IMPORTRANGE(""https://docs.google.com/spreadsheets/d/1MeEWN-I1oV_STSDYn1IFDPWt_1FKiwhDph83XaGc0o0/edit?usp=sharing"",""งบพรบ!AL15"")"),430000)</f>
        <v>430000</v>
      </c>
      <c r="N71" s="837">
        <f ca="1">IFERROR(__xludf.DUMMYFUNCTION("IMPORTRANGE(""https://docs.google.com/spreadsheets/d/1MeEWN-I1oV_STSDYn1IFDPWt_1FKiwhDph83XaGc0o0/edit?usp=sharing"",""งบพรบ!AN15"")"),217996.66)</f>
        <v>217996.66</v>
      </c>
      <c r="O71" s="837">
        <f t="shared" ca="1" si="40"/>
        <v>39.492148550724636</v>
      </c>
      <c r="P71" s="837">
        <f t="shared" ca="1" si="41"/>
        <v>50.696897674418608</v>
      </c>
      <c r="Q71" s="825"/>
      <c r="R71" s="825"/>
      <c r="S71" s="825"/>
      <c r="T71" s="825"/>
      <c r="U71" s="825"/>
      <c r="V71" s="825"/>
      <c r="W71" s="825"/>
      <c r="X71" s="825"/>
      <c r="Y71" s="825"/>
      <c r="Z71" s="825"/>
    </row>
    <row r="72" spans="1:26" ht="18.75">
      <c r="A72" s="942"/>
      <c r="B72" s="827"/>
      <c r="C72" s="943"/>
      <c r="D72" s="828" t="s">
        <v>21</v>
      </c>
      <c r="E72" s="827"/>
      <c r="F72" s="827"/>
      <c r="G72" s="829"/>
      <c r="H72" s="168" t="s">
        <v>12</v>
      </c>
      <c r="I72" s="944"/>
      <c r="J72" s="944"/>
      <c r="K72" s="945"/>
      <c r="L72" s="831">
        <f t="shared" ref="L72:N72" ca="1" si="44">L73+L74</f>
        <v>0</v>
      </c>
      <c r="M72" s="831">
        <f t="shared" ca="1" si="44"/>
        <v>0</v>
      </c>
      <c r="N72" s="831">
        <f t="shared" ca="1" si="44"/>
        <v>0</v>
      </c>
      <c r="O72" s="831">
        <f t="shared" ca="1" si="40"/>
        <v>0</v>
      </c>
      <c r="P72" s="831">
        <f t="shared" ca="1" si="41"/>
        <v>0</v>
      </c>
      <c r="Q72" s="818"/>
      <c r="R72" s="818"/>
      <c r="S72" s="818"/>
      <c r="T72" s="818"/>
      <c r="U72" s="818"/>
      <c r="V72" s="818"/>
      <c r="W72" s="818"/>
      <c r="X72" s="818"/>
      <c r="Y72" s="818"/>
      <c r="Z72" s="818"/>
    </row>
    <row r="73" spans="1:26" ht="19.5" hidden="1">
      <c r="A73" s="940"/>
      <c r="B73" s="833"/>
      <c r="C73" s="946"/>
      <c r="D73" s="833"/>
      <c r="E73" s="834" t="s">
        <v>18</v>
      </c>
      <c r="F73" s="833"/>
      <c r="G73" s="941"/>
      <c r="H73" s="165" t="s">
        <v>12</v>
      </c>
      <c r="I73" s="947"/>
      <c r="J73" s="947"/>
      <c r="K73" s="948"/>
      <c r="L73" s="837">
        <v>0</v>
      </c>
      <c r="M73" s="837"/>
      <c r="N73" s="837"/>
      <c r="O73" s="837">
        <f t="shared" si="40"/>
        <v>0</v>
      </c>
      <c r="P73" s="837">
        <f t="shared" si="41"/>
        <v>0</v>
      </c>
      <c r="Q73" s="825"/>
      <c r="R73" s="825"/>
      <c r="S73" s="825"/>
      <c r="T73" s="825"/>
      <c r="U73" s="825"/>
      <c r="V73" s="825"/>
      <c r="W73" s="825"/>
      <c r="X73" s="825"/>
      <c r="Y73" s="825"/>
      <c r="Z73" s="825"/>
    </row>
    <row r="74" spans="1:26" ht="19.5" hidden="1">
      <c r="A74" s="940"/>
      <c r="B74" s="833"/>
      <c r="C74" s="946"/>
      <c r="D74" s="833"/>
      <c r="E74" s="834" t="s">
        <v>19</v>
      </c>
      <c r="F74" s="833"/>
      <c r="G74" s="941"/>
      <c r="H74" s="169" t="s">
        <v>12</v>
      </c>
      <c r="I74" s="947"/>
      <c r="J74" s="947"/>
      <c r="K74" s="948"/>
      <c r="L74" s="837">
        <f ca="1">IFERROR(__xludf.DUMMYFUNCTION("IMPORTRANGE(""https://docs.google.com/spreadsheets/d/1MeEWN-I1oV_STSDYn1IFDPWt_1FKiwhDph83XaGc0o0/edit?usp=sharing"",""งบพรบ!AJ15"")"),0)</f>
        <v>0</v>
      </c>
      <c r="M74" s="837">
        <f ca="1">IFERROR(__xludf.DUMMYFUNCTION("IMPORTRANGE(""https://docs.google.com/spreadsheets/d/1MeEWN-I1oV_STSDYn1IFDPWt_1FKiwhDph83XaGc0o0/edit?usp=sharing"",""งบพรบ!AM15"")"),0)</f>
        <v>0</v>
      </c>
      <c r="N74" s="837">
        <f ca="1">IFERROR(__xludf.DUMMYFUNCTION("IMPORTRANGE(""https://docs.google.com/spreadsheets/d/1MeEWN-I1oV_STSDYn1IFDPWt_1FKiwhDph83XaGc0o0/edit?usp=sharing"",""งบพรบ!AO15"")"),0)</f>
        <v>0</v>
      </c>
      <c r="O74" s="837">
        <f t="shared" ca="1" si="40"/>
        <v>0</v>
      </c>
      <c r="P74" s="837">
        <f t="shared" ca="1" si="41"/>
        <v>0</v>
      </c>
      <c r="Q74" s="825"/>
      <c r="R74" s="825"/>
      <c r="S74" s="825"/>
      <c r="T74" s="825"/>
      <c r="U74" s="825"/>
      <c r="V74" s="825"/>
      <c r="W74" s="825"/>
      <c r="X74" s="825"/>
      <c r="Y74" s="825"/>
      <c r="Z74" s="825"/>
    </row>
    <row r="75" spans="1:26" ht="19.5">
      <c r="A75" s="949"/>
      <c r="B75" s="950"/>
      <c r="C75" s="946" t="s">
        <v>16</v>
      </c>
      <c r="D75" s="951" t="s">
        <v>38</v>
      </c>
      <c r="E75" s="952"/>
      <c r="F75" s="952"/>
      <c r="G75" s="953"/>
      <c r="H75" s="954"/>
      <c r="I75" s="944"/>
      <c r="J75" s="944"/>
      <c r="K75" s="945"/>
      <c r="L75" s="945"/>
      <c r="M75" s="945"/>
      <c r="N75" s="945"/>
      <c r="O75" s="945"/>
      <c r="P75" s="945"/>
    </row>
    <row r="76" spans="1:26" ht="19.5">
      <c r="A76" s="949"/>
      <c r="B76" s="950"/>
      <c r="C76" s="950"/>
      <c r="D76" s="955" t="s">
        <v>39</v>
      </c>
      <c r="E76" s="956"/>
      <c r="F76" s="957"/>
      <c r="G76" s="958"/>
      <c r="H76" s="180" t="s">
        <v>34</v>
      </c>
      <c r="I76" s="830">
        <f t="shared" ref="I76:J77" ca="1" si="45">I78+I80+I82</f>
        <v>1</v>
      </c>
      <c r="J76" s="830">
        <f t="shared" si="45"/>
        <v>1</v>
      </c>
      <c r="K76" s="945">
        <f t="shared" ref="K76:K84" ca="1" si="46">IF(I76&gt;0,J76*100/I76,0)</f>
        <v>100</v>
      </c>
      <c r="L76" s="945"/>
      <c r="M76" s="945"/>
      <c r="N76" s="945"/>
      <c r="O76" s="945"/>
      <c r="P76" s="945"/>
    </row>
    <row r="77" spans="1:26" ht="19.5">
      <c r="A77" s="949"/>
      <c r="B77" s="950"/>
      <c r="C77" s="950"/>
      <c r="D77" s="950"/>
      <c r="E77" s="957"/>
      <c r="F77" s="957"/>
      <c r="G77" s="958"/>
      <c r="H77" s="180" t="s">
        <v>35</v>
      </c>
      <c r="I77" s="830">
        <f t="shared" ca="1" si="45"/>
        <v>60</v>
      </c>
      <c r="J77" s="830">
        <f t="shared" si="45"/>
        <v>60</v>
      </c>
      <c r="K77" s="945">
        <f t="shared" ca="1" si="46"/>
        <v>100</v>
      </c>
      <c r="L77" s="945"/>
      <c r="M77" s="945"/>
      <c r="N77" s="945"/>
      <c r="O77" s="945"/>
      <c r="P77" s="945"/>
    </row>
    <row r="78" spans="1:26" ht="18.75">
      <c r="A78" s="949"/>
      <c r="B78" s="950"/>
      <c r="C78" s="950"/>
      <c r="D78" s="950"/>
      <c r="E78" s="956" t="s">
        <v>40</v>
      </c>
      <c r="F78" s="956"/>
      <c r="G78" s="958"/>
      <c r="H78" s="730" t="s">
        <v>34</v>
      </c>
      <c r="I78" s="944">
        <f ca="1">IFERROR(__xludf.DUMMYFUNCTION("IMPORTRANGE(""https://docs.google.com/spreadsheets/d/1QqKyyYR6Q21VydFLVH3TRQUabQu_ym0Zz7PgGX0-kHA/edit?usp=sharing"",""แผน!H15"")"),0)</f>
        <v>0</v>
      </c>
      <c r="J78" s="959">
        <v>0</v>
      </c>
      <c r="K78" s="945">
        <f t="shared" ca="1" si="46"/>
        <v>0</v>
      </c>
      <c r="L78" s="945"/>
      <c r="M78" s="945"/>
      <c r="N78" s="945"/>
      <c r="O78" s="945"/>
      <c r="P78" s="945"/>
    </row>
    <row r="79" spans="1:26" ht="18.75">
      <c r="A79" s="949"/>
      <c r="B79" s="950"/>
      <c r="C79" s="950"/>
      <c r="D79" s="950"/>
      <c r="E79" s="957"/>
      <c r="F79" s="957"/>
      <c r="G79" s="958"/>
      <c r="H79" s="730" t="s">
        <v>35</v>
      </c>
      <c r="I79" s="944">
        <f ca="1">IFERROR(__xludf.DUMMYFUNCTION("IMPORTRANGE(""https://docs.google.com/spreadsheets/d/1QqKyyYR6Q21VydFLVH3TRQUabQu_ym0Zz7PgGX0-kHA/edit?usp=sharing"",""แผน!I15"")"),0)</f>
        <v>0</v>
      </c>
      <c r="J79" s="959">
        <v>0</v>
      </c>
      <c r="K79" s="945">
        <f t="shared" ca="1" si="46"/>
        <v>0</v>
      </c>
      <c r="L79" s="945"/>
      <c r="M79" s="945"/>
      <c r="N79" s="945"/>
      <c r="O79" s="945"/>
      <c r="P79" s="945"/>
    </row>
    <row r="80" spans="1:26" ht="18.75">
      <c r="A80" s="949"/>
      <c r="B80" s="950"/>
      <c r="C80" s="950"/>
      <c r="D80" s="950"/>
      <c r="E80" s="956" t="s">
        <v>41</v>
      </c>
      <c r="F80" s="956"/>
      <c r="G80" s="958"/>
      <c r="H80" s="730" t="s">
        <v>34</v>
      </c>
      <c r="I80" s="944">
        <f ca="1">IFERROR(__xludf.DUMMYFUNCTION("IMPORTRANGE(""https://docs.google.com/spreadsheets/d/1QqKyyYR6Q21VydFLVH3TRQUabQu_ym0Zz7PgGX0-kHA/edit?usp=sharing"",""แผน!F15"")"),1)</f>
        <v>1</v>
      </c>
      <c r="J80" s="959">
        <v>1</v>
      </c>
      <c r="K80" s="945">
        <f t="shared" ca="1" si="46"/>
        <v>100</v>
      </c>
      <c r="L80" s="945"/>
      <c r="M80" s="945"/>
      <c r="N80" s="945"/>
      <c r="O80" s="945"/>
      <c r="P80" s="945"/>
    </row>
    <row r="81" spans="1:26" ht="18.75">
      <c r="A81" s="949"/>
      <c r="B81" s="950"/>
      <c r="C81" s="950"/>
      <c r="D81" s="950"/>
      <c r="E81" s="957"/>
      <c r="F81" s="957"/>
      <c r="G81" s="958"/>
      <c r="H81" s="730" t="s">
        <v>35</v>
      </c>
      <c r="I81" s="944">
        <f ca="1">IFERROR(__xludf.DUMMYFUNCTION("IMPORTRANGE(""https://docs.google.com/spreadsheets/d/1QqKyyYR6Q21VydFLVH3TRQUabQu_ym0Zz7PgGX0-kHA/edit?usp=sharing"",""แผน!G15"")"),60)</f>
        <v>60</v>
      </c>
      <c r="J81" s="959">
        <v>60</v>
      </c>
      <c r="K81" s="945">
        <f t="shared" ca="1" si="46"/>
        <v>100</v>
      </c>
      <c r="L81" s="945"/>
      <c r="M81" s="945"/>
      <c r="N81" s="945"/>
      <c r="O81" s="945"/>
      <c r="P81" s="945"/>
    </row>
    <row r="82" spans="1:26" ht="18.75">
      <c r="A82" s="949"/>
      <c r="B82" s="950"/>
      <c r="C82" s="950"/>
      <c r="D82" s="950"/>
      <c r="E82" s="956" t="s">
        <v>42</v>
      </c>
      <c r="F82" s="956"/>
      <c r="G82" s="958"/>
      <c r="H82" s="730" t="s">
        <v>34</v>
      </c>
      <c r="I82" s="944">
        <f ca="1">IFERROR(__xludf.DUMMYFUNCTION("IMPORTRANGE(""https://docs.google.com/spreadsheets/d/1QqKyyYR6Q21VydFLVH3TRQUabQu_ym0Zz7PgGX0-kHA/edit?usp=sharing"",""แผน!D15"")"),0)</f>
        <v>0</v>
      </c>
      <c r="J82" s="959">
        <v>0</v>
      </c>
      <c r="K82" s="945">
        <f t="shared" ca="1" si="46"/>
        <v>0</v>
      </c>
      <c r="L82" s="945"/>
      <c r="M82" s="945"/>
      <c r="N82" s="945"/>
      <c r="O82" s="945"/>
      <c r="P82" s="945"/>
    </row>
    <row r="83" spans="1:26" ht="18.75">
      <c r="A83" s="949"/>
      <c r="B83" s="950"/>
      <c r="C83" s="950"/>
      <c r="D83" s="950"/>
      <c r="E83" s="957"/>
      <c r="F83" s="957"/>
      <c r="G83" s="958"/>
      <c r="H83" s="730" t="s">
        <v>35</v>
      </c>
      <c r="I83" s="944">
        <f ca="1">IFERROR(__xludf.DUMMYFUNCTION("IMPORTRANGE(""https://docs.google.com/spreadsheets/d/1QqKyyYR6Q21VydFLVH3TRQUabQu_ym0Zz7PgGX0-kHA/edit?usp=sharing"",""แผน!E15"")"),0)</f>
        <v>0</v>
      </c>
      <c r="J83" s="959">
        <v>0</v>
      </c>
      <c r="K83" s="945">
        <f t="shared" ca="1" si="46"/>
        <v>0</v>
      </c>
      <c r="L83" s="945"/>
      <c r="M83" s="945"/>
      <c r="N83" s="945"/>
      <c r="O83" s="945"/>
      <c r="P83" s="945"/>
    </row>
    <row r="84" spans="1:26" ht="18.75">
      <c r="A84" s="949"/>
      <c r="B84" s="950"/>
      <c r="C84" s="950"/>
      <c r="D84" s="955" t="s">
        <v>43</v>
      </c>
      <c r="E84" s="956"/>
      <c r="F84" s="957"/>
      <c r="G84" s="958"/>
      <c r="H84" s="777" t="s">
        <v>34</v>
      </c>
      <c r="I84" s="944">
        <f ca="1">IFERROR(__xludf.DUMMYFUNCTION("IMPORTRANGE(""https://docs.google.com/spreadsheets/d/1QqKyyYR6Q21VydFLVH3TRQUabQu_ym0Zz7PgGX0-kHA/edit?usp=sharing"",""แผน!J15"")"),1)</f>
        <v>1</v>
      </c>
      <c r="J84" s="959">
        <v>0</v>
      </c>
      <c r="K84" s="945">
        <f t="shared" ca="1" si="46"/>
        <v>0</v>
      </c>
      <c r="L84" s="945"/>
      <c r="M84" s="945"/>
      <c r="N84" s="945"/>
      <c r="O84" s="945"/>
      <c r="P84" s="945"/>
    </row>
    <row r="85" spans="1:26" ht="19.5">
      <c r="A85" s="917" t="s">
        <v>44</v>
      </c>
      <c r="B85" s="918"/>
      <c r="C85" s="919"/>
      <c r="D85" s="918"/>
      <c r="E85" s="918"/>
      <c r="F85" s="918"/>
      <c r="G85" s="920"/>
      <c r="H85" s="921"/>
      <c r="I85" s="922"/>
      <c r="J85" s="922"/>
      <c r="K85" s="923"/>
      <c r="L85" s="923"/>
      <c r="M85" s="923"/>
      <c r="N85" s="923"/>
      <c r="O85" s="923"/>
      <c r="P85" s="923"/>
    </row>
    <row r="86" spans="1:26" ht="19.5">
      <c r="A86" s="924"/>
      <c r="B86" s="925" t="s">
        <v>45</v>
      </c>
      <c r="C86" s="926"/>
      <c r="D86" s="927"/>
      <c r="E86" s="926"/>
      <c r="F86" s="926"/>
      <c r="G86" s="928"/>
      <c r="H86" s="205" t="s">
        <v>46</v>
      </c>
      <c r="I86" s="929">
        <f t="shared" ref="I86:J87" ca="1" si="47">I98</f>
        <v>45</v>
      </c>
      <c r="J86" s="929">
        <f t="shared" si="47"/>
        <v>0</v>
      </c>
      <c r="K86" s="930">
        <f t="shared" ref="K86:K87" ca="1" si="48">IF(I86&gt;0,J86*100/I86,0)</f>
        <v>0</v>
      </c>
      <c r="L86" s="931"/>
      <c r="M86" s="931"/>
      <c r="N86" s="931"/>
      <c r="O86" s="931"/>
      <c r="P86" s="931"/>
    </row>
    <row r="87" spans="1:26" ht="19.5">
      <c r="A87" s="924"/>
      <c r="B87" s="926"/>
      <c r="C87" s="926"/>
      <c r="D87" s="927"/>
      <c r="E87" s="926"/>
      <c r="F87" s="926"/>
      <c r="G87" s="928"/>
      <c r="H87" s="205" t="s">
        <v>35</v>
      </c>
      <c r="I87" s="929">
        <f t="shared" ca="1" si="47"/>
        <v>15</v>
      </c>
      <c r="J87" s="929">
        <f t="shared" si="47"/>
        <v>15</v>
      </c>
      <c r="K87" s="930">
        <f t="shared" ca="1" si="48"/>
        <v>100</v>
      </c>
      <c r="L87" s="931"/>
      <c r="M87" s="931"/>
      <c r="N87" s="931"/>
      <c r="O87" s="931"/>
      <c r="P87" s="931"/>
    </row>
    <row r="88" spans="1:26" ht="19.5">
      <c r="A88" s="932"/>
      <c r="B88" s="933"/>
      <c r="C88" s="934" t="s">
        <v>16</v>
      </c>
      <c r="D88" s="935" t="s">
        <v>17</v>
      </c>
      <c r="E88" s="933"/>
      <c r="F88" s="933"/>
      <c r="G88" s="936"/>
      <c r="H88" s="152" t="s">
        <v>12</v>
      </c>
      <c r="I88" s="937"/>
      <c r="J88" s="937"/>
      <c r="K88" s="938"/>
      <c r="L88" s="939">
        <f t="shared" ref="L88:N88" ca="1" si="49">L89+L90</f>
        <v>98460</v>
      </c>
      <c r="M88" s="939">
        <f t="shared" ca="1" si="49"/>
        <v>62510</v>
      </c>
      <c r="N88" s="939">
        <f t="shared" ca="1" si="49"/>
        <v>56760</v>
      </c>
      <c r="O88" s="939">
        <f t="shared" ref="O88:O96" ca="1" si="50">IF(L88&gt;0,N88*100/L88,0)</f>
        <v>57.647775746496038</v>
      </c>
      <c r="P88" s="939">
        <f t="shared" ref="P88:P96" ca="1" si="51">IF(M88&gt;0,N88*100/M88,0)</f>
        <v>90.801471764517672</v>
      </c>
      <c r="Q88" s="818"/>
      <c r="R88" s="818"/>
      <c r="S88" s="818"/>
      <c r="T88" s="818"/>
      <c r="U88" s="818"/>
      <c r="V88" s="818"/>
      <c r="W88" s="818"/>
      <c r="X88" s="818"/>
      <c r="Y88" s="818"/>
      <c r="Z88" s="818"/>
    </row>
    <row r="89" spans="1:26" ht="18.75" hidden="1">
      <c r="A89" s="940"/>
      <c r="B89" s="833"/>
      <c r="C89" s="833"/>
      <c r="D89" s="833"/>
      <c r="E89" s="834" t="s">
        <v>18</v>
      </c>
      <c r="F89" s="833"/>
      <c r="G89" s="941"/>
      <c r="H89" s="158" t="s">
        <v>12</v>
      </c>
      <c r="I89" s="836"/>
      <c r="J89" s="836"/>
      <c r="K89" s="837"/>
      <c r="L89" s="837">
        <f t="shared" ref="L89:N90" si="52">L92+L95</f>
        <v>0</v>
      </c>
      <c r="M89" s="837">
        <f t="shared" si="52"/>
        <v>0</v>
      </c>
      <c r="N89" s="837">
        <f t="shared" si="52"/>
        <v>0</v>
      </c>
      <c r="O89" s="837">
        <f t="shared" si="50"/>
        <v>0</v>
      </c>
      <c r="P89" s="837">
        <f t="shared" si="51"/>
        <v>0</v>
      </c>
      <c r="Q89" s="825"/>
      <c r="R89" s="825"/>
      <c r="S89" s="825"/>
      <c r="T89" s="825"/>
      <c r="U89" s="825"/>
      <c r="V89" s="825"/>
      <c r="W89" s="825"/>
      <c r="X89" s="825"/>
      <c r="Y89" s="825"/>
      <c r="Z89" s="825"/>
    </row>
    <row r="90" spans="1:26" ht="18.75" hidden="1">
      <c r="A90" s="940"/>
      <c r="B90" s="833"/>
      <c r="C90" s="833"/>
      <c r="D90" s="833"/>
      <c r="E90" s="834" t="s">
        <v>19</v>
      </c>
      <c r="F90" s="833"/>
      <c r="G90" s="941"/>
      <c r="H90" s="158" t="s">
        <v>12</v>
      </c>
      <c r="I90" s="836"/>
      <c r="J90" s="836"/>
      <c r="K90" s="837"/>
      <c r="L90" s="837">
        <f t="shared" ca="1" si="52"/>
        <v>98460</v>
      </c>
      <c r="M90" s="837">
        <f t="shared" ca="1" si="52"/>
        <v>62510</v>
      </c>
      <c r="N90" s="837">
        <f t="shared" ca="1" si="52"/>
        <v>56760</v>
      </c>
      <c r="O90" s="837">
        <f t="shared" ca="1" si="50"/>
        <v>57.647775746496038</v>
      </c>
      <c r="P90" s="837">
        <f t="shared" ca="1" si="51"/>
        <v>90.801471764517672</v>
      </c>
      <c r="Q90" s="825"/>
      <c r="R90" s="825"/>
      <c r="S90" s="825"/>
      <c r="T90" s="825"/>
      <c r="U90" s="825"/>
      <c r="V90" s="825"/>
      <c r="W90" s="825"/>
      <c r="X90" s="825"/>
      <c r="Y90" s="825"/>
      <c r="Z90" s="825"/>
    </row>
    <row r="91" spans="1:26" ht="18.75">
      <c r="A91" s="942"/>
      <c r="B91" s="827"/>
      <c r="C91" s="943"/>
      <c r="D91" s="828" t="s">
        <v>20</v>
      </c>
      <c r="E91" s="827"/>
      <c r="F91" s="827"/>
      <c r="G91" s="829"/>
      <c r="H91" s="778" t="s">
        <v>12</v>
      </c>
      <c r="I91" s="944"/>
      <c r="J91" s="944"/>
      <c r="K91" s="945"/>
      <c r="L91" s="831">
        <f t="shared" ref="L91:N91" ca="1" si="53">L92+L93</f>
        <v>98460</v>
      </c>
      <c r="M91" s="831">
        <f t="shared" ca="1" si="53"/>
        <v>62510</v>
      </c>
      <c r="N91" s="831">
        <f t="shared" ca="1" si="53"/>
        <v>56760</v>
      </c>
      <c r="O91" s="831">
        <f t="shared" ca="1" si="50"/>
        <v>57.647775746496038</v>
      </c>
      <c r="P91" s="831">
        <f t="shared" ca="1" si="51"/>
        <v>90.801471764517672</v>
      </c>
      <c r="Q91" s="818"/>
      <c r="R91" s="818"/>
      <c r="S91" s="818"/>
      <c r="T91" s="818"/>
      <c r="U91" s="818"/>
      <c r="V91" s="818"/>
      <c r="W91" s="818"/>
      <c r="X91" s="818"/>
      <c r="Y91" s="818"/>
      <c r="Z91" s="818"/>
    </row>
    <row r="92" spans="1:26" ht="19.5" hidden="1">
      <c r="A92" s="940"/>
      <c r="B92" s="833"/>
      <c r="C92" s="946"/>
      <c r="D92" s="833"/>
      <c r="E92" s="834" t="s">
        <v>36</v>
      </c>
      <c r="F92" s="833"/>
      <c r="G92" s="941"/>
      <c r="H92" s="165" t="s">
        <v>12</v>
      </c>
      <c r="I92" s="947"/>
      <c r="J92" s="947"/>
      <c r="K92" s="948"/>
      <c r="L92" s="837">
        <v>0</v>
      </c>
      <c r="M92" s="837">
        <v>0</v>
      </c>
      <c r="N92" s="837">
        <v>0</v>
      </c>
      <c r="O92" s="837">
        <f t="shared" si="50"/>
        <v>0</v>
      </c>
      <c r="P92" s="837">
        <f t="shared" si="51"/>
        <v>0</v>
      </c>
      <c r="Q92" s="825"/>
      <c r="R92" s="825"/>
      <c r="S92" s="825"/>
      <c r="T92" s="825"/>
      <c r="U92" s="825"/>
      <c r="V92" s="825"/>
      <c r="W92" s="825"/>
      <c r="X92" s="825"/>
      <c r="Y92" s="825"/>
      <c r="Z92" s="825"/>
    </row>
    <row r="93" spans="1:26" ht="19.5" hidden="1">
      <c r="A93" s="940"/>
      <c r="B93" s="833"/>
      <c r="C93" s="946"/>
      <c r="D93" s="833"/>
      <c r="E93" s="834" t="s">
        <v>37</v>
      </c>
      <c r="F93" s="833"/>
      <c r="G93" s="941"/>
      <c r="H93" s="165" t="s">
        <v>12</v>
      </c>
      <c r="I93" s="947"/>
      <c r="J93" s="947"/>
      <c r="K93" s="948"/>
      <c r="L93" s="837">
        <f ca="1">IFERROR(__xludf.DUMMYFUNCTION("IMPORTRANGE(""https://docs.google.com/spreadsheets/d/1MeEWN-I1oV_STSDYn1IFDPWt_1FKiwhDph83XaGc0o0/edit?usp=sharing"",""งบพรบ!AQ15"")"),98460)</f>
        <v>98460</v>
      </c>
      <c r="M93" s="837">
        <f ca="1">IFERROR(__xludf.DUMMYFUNCTION("IMPORTRANGE(""https://docs.google.com/spreadsheets/d/1MeEWN-I1oV_STSDYn1IFDPWt_1FKiwhDph83XaGc0o0/edit?usp=sharing"",""งบพรบ!AV15"")"),62510)</f>
        <v>62510</v>
      </c>
      <c r="N93" s="837">
        <f ca="1">IFERROR(__xludf.DUMMYFUNCTION("IMPORTRANGE(""https://docs.google.com/spreadsheets/d/1MeEWN-I1oV_STSDYn1IFDPWt_1FKiwhDph83XaGc0o0/edit?usp=sharing"",""งบพรบ!AX15"")"),56760)</f>
        <v>56760</v>
      </c>
      <c r="O93" s="837">
        <f t="shared" ca="1" si="50"/>
        <v>57.647775746496038</v>
      </c>
      <c r="P93" s="837">
        <f t="shared" ca="1" si="51"/>
        <v>90.801471764517672</v>
      </c>
      <c r="Q93" s="825"/>
      <c r="R93" s="825"/>
      <c r="S93" s="825"/>
      <c r="T93" s="825"/>
      <c r="U93" s="825"/>
      <c r="V93" s="825"/>
      <c r="W93" s="825"/>
      <c r="X93" s="825"/>
      <c r="Y93" s="825"/>
      <c r="Z93" s="825"/>
    </row>
    <row r="94" spans="1:26" ht="18.75">
      <c r="A94" s="942"/>
      <c r="B94" s="827"/>
      <c r="C94" s="943"/>
      <c r="D94" s="828" t="s">
        <v>21</v>
      </c>
      <c r="E94" s="827"/>
      <c r="F94" s="827"/>
      <c r="G94" s="829"/>
      <c r="H94" s="168" t="s">
        <v>12</v>
      </c>
      <c r="I94" s="944"/>
      <c r="J94" s="944"/>
      <c r="K94" s="945"/>
      <c r="L94" s="831">
        <f t="shared" ref="L94:N94" ca="1" si="54">L95+L96</f>
        <v>0</v>
      </c>
      <c r="M94" s="831">
        <f t="shared" ca="1" si="54"/>
        <v>0</v>
      </c>
      <c r="N94" s="831">
        <f t="shared" ca="1" si="54"/>
        <v>0</v>
      </c>
      <c r="O94" s="831">
        <f t="shared" ca="1" si="50"/>
        <v>0</v>
      </c>
      <c r="P94" s="831">
        <f t="shared" ca="1" si="51"/>
        <v>0</v>
      </c>
      <c r="Q94" s="818"/>
      <c r="R94" s="818"/>
      <c r="S94" s="818"/>
      <c r="T94" s="818"/>
      <c r="U94" s="818"/>
      <c r="V94" s="818"/>
      <c r="W94" s="818"/>
      <c r="X94" s="818"/>
      <c r="Y94" s="818"/>
      <c r="Z94" s="818"/>
    </row>
    <row r="95" spans="1:26" ht="19.5" hidden="1">
      <c r="A95" s="940"/>
      <c r="B95" s="833"/>
      <c r="C95" s="946"/>
      <c r="D95" s="833"/>
      <c r="E95" s="834" t="s">
        <v>18</v>
      </c>
      <c r="F95" s="833"/>
      <c r="G95" s="941"/>
      <c r="H95" s="165" t="s">
        <v>12</v>
      </c>
      <c r="I95" s="947"/>
      <c r="J95" s="947"/>
      <c r="K95" s="948"/>
      <c r="L95" s="837">
        <v>0</v>
      </c>
      <c r="M95" s="837">
        <v>0</v>
      </c>
      <c r="N95" s="837">
        <v>0</v>
      </c>
      <c r="O95" s="837">
        <f t="shared" si="50"/>
        <v>0</v>
      </c>
      <c r="P95" s="837">
        <f t="shared" si="51"/>
        <v>0</v>
      </c>
      <c r="Q95" s="825"/>
      <c r="R95" s="825"/>
      <c r="S95" s="825"/>
      <c r="T95" s="825"/>
      <c r="U95" s="825"/>
      <c r="V95" s="825"/>
      <c r="W95" s="825"/>
      <c r="X95" s="825"/>
      <c r="Y95" s="825"/>
      <c r="Z95" s="825"/>
    </row>
    <row r="96" spans="1:26" ht="19.5" hidden="1">
      <c r="A96" s="940"/>
      <c r="B96" s="833"/>
      <c r="C96" s="946"/>
      <c r="D96" s="833"/>
      <c r="E96" s="834" t="s">
        <v>19</v>
      </c>
      <c r="F96" s="833"/>
      <c r="G96" s="941"/>
      <c r="H96" s="169" t="s">
        <v>12</v>
      </c>
      <c r="I96" s="947"/>
      <c r="J96" s="947"/>
      <c r="K96" s="948"/>
      <c r="L96" s="837">
        <f ca="1">IFERROR(__xludf.DUMMYFUNCTION("IMPORTRANGE(""https://docs.google.com/spreadsheets/d/1MeEWN-I1oV_STSDYn1IFDPWt_1FKiwhDph83XaGc0o0/edit?usp=sharing"",""งบพรบ!AT15"")"),0)</f>
        <v>0</v>
      </c>
      <c r="M96" s="837">
        <f ca="1">IFERROR(__xludf.DUMMYFUNCTION("IMPORTRANGE(""https://docs.google.com/spreadsheets/d/1MeEWN-I1oV_STSDYn1IFDPWt_1FKiwhDph83XaGc0o0/edit?usp=sharing"",""งบพรบ!AW15"")"),0)</f>
        <v>0</v>
      </c>
      <c r="N96" s="837">
        <f ca="1">IFERROR(__xludf.DUMMYFUNCTION("IMPORTRANGE(""https://docs.google.com/spreadsheets/d/1MeEWN-I1oV_STSDYn1IFDPWt_1FKiwhDph83XaGc0o0/edit?usp=sharing"",""งบพรบ!AY15"")"),0)</f>
        <v>0</v>
      </c>
      <c r="O96" s="837">
        <f t="shared" ca="1" si="50"/>
        <v>0</v>
      </c>
      <c r="P96" s="837">
        <f t="shared" ca="1" si="51"/>
        <v>0</v>
      </c>
      <c r="Q96" s="825"/>
      <c r="R96" s="825"/>
      <c r="S96" s="825"/>
      <c r="T96" s="825"/>
      <c r="U96" s="825"/>
      <c r="V96" s="825"/>
      <c r="W96" s="825"/>
      <c r="X96" s="825"/>
      <c r="Y96" s="825"/>
      <c r="Z96" s="825"/>
    </row>
    <row r="97" spans="1:16" ht="19.5">
      <c r="A97" s="949"/>
      <c r="B97" s="950"/>
      <c r="C97" s="946" t="s">
        <v>16</v>
      </c>
      <c r="D97" s="951" t="s">
        <v>38</v>
      </c>
      <c r="E97" s="952"/>
      <c r="F97" s="952"/>
      <c r="G97" s="953"/>
      <c r="H97" s="954"/>
      <c r="I97" s="944"/>
      <c r="J97" s="830"/>
      <c r="K97" s="831"/>
      <c r="L97" s="831"/>
      <c r="M97" s="831"/>
      <c r="N97" s="831"/>
      <c r="O97" s="945"/>
      <c r="P97" s="945"/>
    </row>
    <row r="98" spans="1:16" ht="18.75">
      <c r="A98" s="949"/>
      <c r="B98" s="950"/>
      <c r="C98" s="950"/>
      <c r="D98" s="956" t="s">
        <v>47</v>
      </c>
      <c r="E98" s="956"/>
      <c r="F98" s="957"/>
      <c r="G98" s="958"/>
      <c r="H98" s="590" t="s">
        <v>46</v>
      </c>
      <c r="I98" s="830">
        <f ca="1">IFERROR(__xludf.DUMMYFUNCTION("IMPORTRANGE(""https://docs.google.com/spreadsheets/d/1QqKyyYR6Q21VydFLVH3TRQUabQu_ym0Zz7PgGX0-kHA/edit?usp=sharing"",""แผน!K15"")"),45)</f>
        <v>45</v>
      </c>
      <c r="J98" s="830">
        <f>J102</f>
        <v>0</v>
      </c>
      <c r="K98" s="831">
        <f t="shared" ref="K98:K100" ca="1" si="55">IF(I98&gt;0,J98*100/I98,0)</f>
        <v>0</v>
      </c>
      <c r="L98" s="831"/>
      <c r="M98" s="831"/>
      <c r="N98" s="831"/>
      <c r="O98" s="945"/>
      <c r="P98" s="945"/>
    </row>
    <row r="99" spans="1:16" ht="18.75">
      <c r="A99" s="949"/>
      <c r="B99" s="950"/>
      <c r="C99" s="950"/>
      <c r="D99" s="956" t="s">
        <v>48</v>
      </c>
      <c r="E99" s="956"/>
      <c r="F99" s="957"/>
      <c r="G99" s="958"/>
      <c r="H99" s="590" t="s">
        <v>35</v>
      </c>
      <c r="I99" s="830">
        <f ca="1">IFERROR(__xludf.DUMMYFUNCTION("IMPORTRANGE(""https://docs.google.com/spreadsheets/d/1QqKyyYR6Q21VydFLVH3TRQUabQu_ym0Zz7PgGX0-kHA/edit?usp=sharing"",""แผน!L15"")"),15)</f>
        <v>15</v>
      </c>
      <c r="J99" s="830">
        <f>J104</f>
        <v>15</v>
      </c>
      <c r="K99" s="831">
        <f t="shared" ca="1" si="55"/>
        <v>100</v>
      </c>
      <c r="L99" s="831"/>
      <c r="M99" s="831"/>
      <c r="N99" s="831"/>
      <c r="O99" s="945"/>
      <c r="P99" s="945"/>
    </row>
    <row r="100" spans="1:16" ht="18.75">
      <c r="A100" s="949"/>
      <c r="B100" s="950"/>
      <c r="C100" s="950"/>
      <c r="D100" s="950"/>
      <c r="E100" s="957"/>
      <c r="F100" s="957"/>
      <c r="G100" s="958"/>
      <c r="H100" s="590" t="s">
        <v>49</v>
      </c>
      <c r="I100" s="830">
        <f ca="1">IFERROR(__xludf.DUMMYFUNCTION("IMPORTRANGE(""https://docs.google.com/spreadsheets/d/1QqKyyYR6Q21VydFLVH3TRQUabQu_ym0Zz7PgGX0-kHA/edit?usp=sharing"",""แผน!M15"")"),2)</f>
        <v>2</v>
      </c>
      <c r="J100" s="830">
        <f>J107+J110</f>
        <v>0</v>
      </c>
      <c r="K100" s="831">
        <f t="shared" ca="1" si="55"/>
        <v>0</v>
      </c>
      <c r="L100" s="831"/>
      <c r="M100" s="831"/>
      <c r="N100" s="831"/>
      <c r="O100" s="945"/>
      <c r="P100" s="945"/>
    </row>
    <row r="101" spans="1:16" ht="19.5">
      <c r="A101" s="949"/>
      <c r="B101" s="950"/>
      <c r="C101" s="950"/>
      <c r="D101" s="957"/>
      <c r="E101" s="960" t="s">
        <v>50</v>
      </c>
      <c r="F101" s="957"/>
      <c r="G101" s="958"/>
      <c r="H101" s="590"/>
      <c r="I101" s="830"/>
      <c r="J101" s="830"/>
      <c r="K101" s="831"/>
      <c r="L101" s="831"/>
      <c r="M101" s="831"/>
      <c r="N101" s="831"/>
      <c r="O101" s="945"/>
      <c r="P101" s="945"/>
    </row>
    <row r="102" spans="1:16" ht="18.75">
      <c r="A102" s="949"/>
      <c r="B102" s="950"/>
      <c r="C102" s="950"/>
      <c r="D102" s="957"/>
      <c r="E102" s="961" t="s">
        <v>47</v>
      </c>
      <c r="F102" s="957"/>
      <c r="G102" s="958"/>
      <c r="H102" s="590" t="s">
        <v>46</v>
      </c>
      <c r="I102" s="830">
        <f ca="1">IFERROR(__xludf.DUMMYFUNCTION("IMPORTRANGE(""https://docs.google.com/spreadsheets/d/1QqKyyYR6Q21VydFLVH3TRQUabQu_ym0Zz7PgGX0-kHA/edit?usp=sharing"",""แผน!N15"")"),45)</f>
        <v>45</v>
      </c>
      <c r="J102" s="959">
        <v>0</v>
      </c>
      <c r="K102" s="831">
        <f t="shared" ref="K102:K104" ca="1" si="56">IF(I102&gt;0,J102*100/I102,0)</f>
        <v>0</v>
      </c>
      <c r="L102" s="831"/>
      <c r="M102" s="831"/>
      <c r="N102" s="831"/>
      <c r="O102" s="945"/>
      <c r="P102" s="945"/>
    </row>
    <row r="103" spans="1:16" ht="19.5">
      <c r="A103" s="949"/>
      <c r="B103" s="950"/>
      <c r="C103" s="950"/>
      <c r="D103" s="957"/>
      <c r="E103" s="956" t="s">
        <v>51</v>
      </c>
      <c r="F103" s="957"/>
      <c r="G103" s="958"/>
      <c r="H103" s="590" t="s">
        <v>35</v>
      </c>
      <c r="I103" s="830">
        <f ca="1">IFERROR(__xludf.DUMMYFUNCTION("IMPORTRANGE(""https://docs.google.com/spreadsheets/d/1QqKyyYR6Q21VydFLVH3TRQUabQu_ym0Zz7PgGX0-kHA/edit?usp=sharing"",""แผน!O15"")"),15)</f>
        <v>15</v>
      </c>
      <c r="J103" s="959">
        <v>15</v>
      </c>
      <c r="K103" s="831">
        <f t="shared" ca="1" si="56"/>
        <v>100</v>
      </c>
      <c r="L103" s="831"/>
      <c r="M103" s="831"/>
      <c r="N103" s="831"/>
      <c r="O103" s="945"/>
      <c r="P103" s="945"/>
    </row>
    <row r="104" spans="1:16" ht="18.75">
      <c r="A104" s="949"/>
      <c r="B104" s="950"/>
      <c r="C104" s="950"/>
      <c r="D104" s="957"/>
      <c r="E104" s="962" t="s">
        <v>52</v>
      </c>
      <c r="F104" s="957"/>
      <c r="G104" s="958"/>
      <c r="H104" s="590" t="s">
        <v>35</v>
      </c>
      <c r="I104" s="830">
        <f ca="1">IFERROR(__xludf.DUMMYFUNCTION("IMPORTRANGE(""https://docs.google.com/spreadsheets/d/1QqKyyYR6Q21VydFLVH3TRQUabQu_ym0Zz7PgGX0-kHA/edit?usp=sharing"",""แผน!O15"")"),15)</f>
        <v>15</v>
      </c>
      <c r="J104" s="959">
        <v>15</v>
      </c>
      <c r="K104" s="831">
        <f t="shared" ca="1" si="56"/>
        <v>100</v>
      </c>
      <c r="L104" s="831"/>
      <c r="M104" s="831"/>
      <c r="N104" s="831"/>
      <c r="O104" s="945"/>
      <c r="P104" s="945"/>
    </row>
    <row r="105" spans="1:16" ht="19.5">
      <c r="A105" s="949"/>
      <c r="B105" s="950"/>
      <c r="C105" s="950"/>
      <c r="D105" s="957"/>
      <c r="E105" s="960" t="s">
        <v>53</v>
      </c>
      <c r="F105" s="957"/>
      <c r="G105" s="958"/>
      <c r="H105" s="963"/>
      <c r="I105" s="830"/>
      <c r="J105" s="830"/>
      <c r="K105" s="831"/>
      <c r="L105" s="831"/>
      <c r="M105" s="831"/>
      <c r="N105" s="831"/>
      <c r="O105" s="945"/>
      <c r="P105" s="945"/>
    </row>
    <row r="106" spans="1:16" ht="19.5">
      <c r="A106" s="949"/>
      <c r="B106" s="950"/>
      <c r="C106" s="950"/>
      <c r="D106" s="957"/>
      <c r="E106" s="956" t="s">
        <v>54</v>
      </c>
      <c r="F106" s="957"/>
      <c r="G106" s="958"/>
      <c r="H106" s="590" t="s">
        <v>49</v>
      </c>
      <c r="I106" s="830">
        <f ca="1">IFERROR(__xludf.DUMMYFUNCTION("IMPORTRANGE(""https://docs.google.com/spreadsheets/d/1QqKyyYR6Q21VydFLVH3TRQUabQu_ym0Zz7PgGX0-kHA/edit?usp=sharing"",""แผน!P15"")"),1)</f>
        <v>1</v>
      </c>
      <c r="J106" s="959">
        <v>0</v>
      </c>
      <c r="K106" s="831">
        <f t="shared" ref="K106:K107" ca="1" si="57">IF(I106&gt;0,J106*100/I106,0)</f>
        <v>0</v>
      </c>
      <c r="L106" s="831"/>
      <c r="M106" s="831"/>
      <c r="N106" s="831"/>
      <c r="O106" s="945"/>
      <c r="P106" s="945"/>
    </row>
    <row r="107" spans="1:16" ht="18.75">
      <c r="A107" s="949"/>
      <c r="B107" s="950"/>
      <c r="C107" s="950"/>
      <c r="D107" s="957"/>
      <c r="E107" s="962" t="s">
        <v>55</v>
      </c>
      <c r="F107" s="957"/>
      <c r="G107" s="958"/>
      <c r="H107" s="590" t="s">
        <v>49</v>
      </c>
      <c r="I107" s="830">
        <f ca="1">IFERROR(__xludf.DUMMYFUNCTION("IMPORTRANGE(""https://docs.google.com/spreadsheets/d/1QqKyyYR6Q21VydFLVH3TRQUabQu_ym0Zz7PgGX0-kHA/edit?usp=sharing"",""แผน!P15"")"),1)</f>
        <v>1</v>
      </c>
      <c r="J107" s="959">
        <v>0</v>
      </c>
      <c r="K107" s="831">
        <f t="shared" ca="1" si="57"/>
        <v>0</v>
      </c>
      <c r="L107" s="831"/>
      <c r="M107" s="831"/>
      <c r="N107" s="831"/>
      <c r="O107" s="945"/>
      <c r="P107" s="945"/>
    </row>
    <row r="108" spans="1:16" ht="19.5">
      <c r="A108" s="949"/>
      <c r="B108" s="950"/>
      <c r="C108" s="950"/>
      <c r="D108" s="957"/>
      <c r="E108" s="960" t="s">
        <v>56</v>
      </c>
      <c r="F108" s="957"/>
      <c r="G108" s="958"/>
      <c r="H108" s="963"/>
      <c r="I108" s="830"/>
      <c r="J108" s="830"/>
      <c r="K108" s="831"/>
      <c r="L108" s="831"/>
      <c r="M108" s="831"/>
      <c r="N108" s="831"/>
      <c r="O108" s="945"/>
      <c r="P108" s="945"/>
    </row>
    <row r="109" spans="1:16" ht="19.5">
      <c r="A109" s="949"/>
      <c r="B109" s="950"/>
      <c r="C109" s="950"/>
      <c r="D109" s="957"/>
      <c r="E109" s="956" t="s">
        <v>57</v>
      </c>
      <c r="F109" s="957"/>
      <c r="G109" s="958"/>
      <c r="H109" s="590" t="s">
        <v>49</v>
      </c>
      <c r="I109" s="830">
        <f ca="1">IFERROR(__xludf.DUMMYFUNCTION("IMPORTRANGE(""https://docs.google.com/spreadsheets/d/1QqKyyYR6Q21VydFLVH3TRQUabQu_ym0Zz7PgGX0-kHA/edit?usp=sharing"",""แผน!Q15"")"),1)</f>
        <v>1</v>
      </c>
      <c r="J109" s="959">
        <v>0</v>
      </c>
      <c r="K109" s="831">
        <f t="shared" ref="K109:K116" ca="1" si="58">IF(I109&gt;0,J109*100/I109,0)</f>
        <v>0</v>
      </c>
      <c r="L109" s="831"/>
      <c r="M109" s="831"/>
      <c r="N109" s="831"/>
      <c r="O109" s="945"/>
      <c r="P109" s="945"/>
    </row>
    <row r="110" spans="1:16" ht="18.75">
      <c r="A110" s="949"/>
      <c r="B110" s="950"/>
      <c r="C110" s="950"/>
      <c r="D110" s="957"/>
      <c r="E110" s="964" t="s">
        <v>58</v>
      </c>
      <c r="F110" s="957"/>
      <c r="G110" s="958"/>
      <c r="H110" s="590" t="s">
        <v>49</v>
      </c>
      <c r="I110" s="830">
        <f ca="1">IFERROR(__xludf.DUMMYFUNCTION("IMPORTRANGE(""https://docs.google.com/spreadsheets/d/1QqKyyYR6Q21VydFLVH3TRQUabQu_ym0Zz7PgGX0-kHA/edit?usp=sharing"",""แผน!Q15"")"),1)</f>
        <v>1</v>
      </c>
      <c r="J110" s="959">
        <v>0</v>
      </c>
      <c r="K110" s="831">
        <f t="shared" ca="1" si="58"/>
        <v>0</v>
      </c>
      <c r="L110" s="831"/>
      <c r="M110" s="831"/>
      <c r="N110" s="831"/>
      <c r="O110" s="945"/>
      <c r="P110" s="945"/>
    </row>
    <row r="111" spans="1:16" ht="19.5">
      <c r="A111" s="949"/>
      <c r="B111" s="950"/>
      <c r="C111" s="950"/>
      <c r="D111" s="960" t="s">
        <v>59</v>
      </c>
      <c r="E111" s="960"/>
      <c r="F111" s="957"/>
      <c r="G111" s="958"/>
      <c r="H111" s="733" t="s">
        <v>35</v>
      </c>
      <c r="I111" s="965">
        <f ca="1">IFERROR(__xludf.DUMMYFUNCTION("IMPORTRANGE(""https://docs.google.com/spreadsheets/d/1QqKyyYR6Q21VydFLVH3TRQUabQu_ym0Zz7PgGX0-kHA/edit?usp=sharing"",""แผน!R15"")"),15)</f>
        <v>15</v>
      </c>
      <c r="J111" s="966">
        <f>J114</f>
        <v>0</v>
      </c>
      <c r="K111" s="967">
        <f t="shared" ca="1" si="58"/>
        <v>0</v>
      </c>
      <c r="L111" s="831"/>
      <c r="M111" s="831"/>
      <c r="N111" s="831"/>
      <c r="O111" s="945"/>
      <c r="P111" s="945"/>
    </row>
    <row r="112" spans="1:16" ht="19.5">
      <c r="A112" s="949"/>
      <c r="B112" s="950"/>
      <c r="C112" s="950"/>
      <c r="D112" s="950"/>
      <c r="E112" s="957"/>
      <c r="F112" s="957"/>
      <c r="G112" s="958"/>
      <c r="H112" s="196" t="s">
        <v>49</v>
      </c>
      <c r="I112" s="965">
        <f t="shared" ref="I112:J112" ca="1" si="59">I115+I116</f>
        <v>2</v>
      </c>
      <c r="J112" s="966">
        <f t="shared" si="59"/>
        <v>0</v>
      </c>
      <c r="K112" s="967">
        <f t="shared" ca="1" si="58"/>
        <v>0</v>
      </c>
      <c r="L112" s="831"/>
      <c r="M112" s="831"/>
      <c r="N112" s="831"/>
      <c r="O112" s="945"/>
      <c r="P112" s="945"/>
    </row>
    <row r="113" spans="1:26" ht="19.5">
      <c r="A113" s="949"/>
      <c r="B113" s="950"/>
      <c r="C113" s="950"/>
      <c r="D113" s="950"/>
      <c r="E113" s="968" t="s">
        <v>60</v>
      </c>
      <c r="F113" s="957"/>
      <c r="G113" s="958"/>
      <c r="H113" s="198" t="s">
        <v>35</v>
      </c>
      <c r="I113" s="944">
        <f ca="1">IFERROR(__xludf.DUMMYFUNCTION("IMPORTRANGE(""https://docs.google.com/spreadsheets/d/1QqKyyYR6Q21VydFLVH3TRQUabQu_ym0Zz7PgGX0-kHA/edit?usp=sharing"",""แผน!R15"")"),15)</f>
        <v>15</v>
      </c>
      <c r="J113" s="959">
        <v>0</v>
      </c>
      <c r="K113" s="831">
        <f t="shared" ca="1" si="58"/>
        <v>0</v>
      </c>
      <c r="L113" s="831"/>
      <c r="M113" s="831"/>
      <c r="N113" s="831"/>
      <c r="O113" s="945"/>
      <c r="P113" s="945"/>
    </row>
    <row r="114" spans="1:26" ht="19.5">
      <c r="A114" s="949"/>
      <c r="B114" s="950"/>
      <c r="C114" s="950"/>
      <c r="D114" s="950"/>
      <c r="E114" s="956" t="s">
        <v>61</v>
      </c>
      <c r="F114" s="957"/>
      <c r="G114" s="958"/>
      <c r="H114" s="199" t="s">
        <v>35</v>
      </c>
      <c r="I114" s="944">
        <f ca="1">IFERROR(__xludf.DUMMYFUNCTION("IMPORTRANGE(""https://docs.google.com/spreadsheets/d/1QqKyyYR6Q21VydFLVH3TRQUabQu_ym0Zz7PgGX0-kHA/edit?usp=sharing"",""แผน!R15"")"),15)</f>
        <v>15</v>
      </c>
      <c r="J114" s="959">
        <v>0</v>
      </c>
      <c r="K114" s="831">
        <f t="shared" ca="1" si="58"/>
        <v>0</v>
      </c>
      <c r="L114" s="831"/>
      <c r="M114" s="831"/>
      <c r="N114" s="831"/>
      <c r="O114" s="945"/>
      <c r="P114" s="945"/>
    </row>
    <row r="115" spans="1:26" ht="18.75">
      <c r="A115" s="949"/>
      <c r="B115" s="950"/>
      <c r="C115" s="950"/>
      <c r="D115" s="950"/>
      <c r="E115" s="956" t="s">
        <v>62</v>
      </c>
      <c r="F115" s="957"/>
      <c r="G115" s="958"/>
      <c r="H115" s="199" t="s">
        <v>49</v>
      </c>
      <c r="I115" s="944">
        <f ca="1">IFERROR(__xludf.DUMMYFUNCTION("IMPORTRANGE(""https://docs.google.com/spreadsheets/d/1QqKyyYR6Q21VydFLVH3TRQUabQu_ym0Zz7PgGX0-kHA/edit?usp=sharing"",""แผน!S15"")"),1)</f>
        <v>1</v>
      </c>
      <c r="J115" s="959">
        <v>0</v>
      </c>
      <c r="K115" s="831">
        <f t="shared" ca="1" si="58"/>
        <v>0</v>
      </c>
      <c r="L115" s="831"/>
      <c r="M115" s="831"/>
      <c r="N115" s="831"/>
      <c r="O115" s="945"/>
      <c r="P115" s="945"/>
    </row>
    <row r="116" spans="1:26" ht="18.75">
      <c r="A116" s="949"/>
      <c r="B116" s="950"/>
      <c r="C116" s="950"/>
      <c r="D116" s="950"/>
      <c r="E116" s="956" t="s">
        <v>63</v>
      </c>
      <c r="F116" s="957"/>
      <c r="G116" s="958"/>
      <c r="H116" s="199" t="s">
        <v>49</v>
      </c>
      <c r="I116" s="944">
        <f ca="1">IFERROR(__xludf.DUMMYFUNCTION("IMPORTRANGE(""https://docs.google.com/spreadsheets/d/1QqKyyYR6Q21VydFLVH3TRQUabQu_ym0Zz7PgGX0-kHA/edit?usp=sharing"",""แผน!T15"")"),1)</f>
        <v>1</v>
      </c>
      <c r="J116" s="959">
        <v>0</v>
      </c>
      <c r="K116" s="831">
        <f t="shared" ca="1" si="58"/>
        <v>0</v>
      </c>
      <c r="L116" s="831"/>
      <c r="M116" s="831"/>
      <c r="N116" s="831"/>
      <c r="O116" s="945"/>
      <c r="P116" s="945"/>
    </row>
    <row r="117" spans="1:26" ht="19.5">
      <c r="A117" s="917" t="s">
        <v>64</v>
      </c>
      <c r="B117" s="918"/>
      <c r="C117" s="969"/>
      <c r="D117" s="918"/>
      <c r="E117" s="918"/>
      <c r="F117" s="918"/>
      <c r="G117" s="918"/>
      <c r="H117" s="970"/>
      <c r="I117" s="971"/>
      <c r="J117" s="971"/>
      <c r="K117" s="972"/>
      <c r="L117" s="923"/>
      <c r="M117" s="923"/>
      <c r="N117" s="923"/>
      <c r="O117" s="923"/>
      <c r="P117" s="923"/>
    </row>
    <row r="118" spans="1:26" ht="19.5">
      <c r="A118" s="924"/>
      <c r="B118" s="925" t="s">
        <v>65</v>
      </c>
      <c r="C118" s="973"/>
      <c r="D118" s="927"/>
      <c r="E118" s="926"/>
      <c r="F118" s="926"/>
      <c r="G118" s="928"/>
      <c r="H118" s="205" t="s">
        <v>66</v>
      </c>
      <c r="I118" s="974">
        <v>1</v>
      </c>
      <c r="J118" s="974">
        <f>J438</f>
        <v>1</v>
      </c>
      <c r="K118" s="931">
        <f>IF(I118&gt;0,J118*100/I118,0)</f>
        <v>100</v>
      </c>
      <c r="L118" s="931"/>
      <c r="M118" s="931"/>
      <c r="N118" s="931"/>
      <c r="O118" s="931"/>
      <c r="P118" s="931"/>
    </row>
    <row r="119" spans="1:26" ht="19.5">
      <c r="A119" s="932"/>
      <c r="B119" s="933"/>
      <c r="C119" s="934" t="s">
        <v>16</v>
      </c>
      <c r="D119" s="935" t="s">
        <v>17</v>
      </c>
      <c r="E119" s="933"/>
      <c r="F119" s="933"/>
      <c r="G119" s="936"/>
      <c r="H119" s="152" t="s">
        <v>12</v>
      </c>
      <c r="I119" s="937"/>
      <c r="J119" s="937"/>
      <c r="K119" s="938"/>
      <c r="L119" s="939">
        <f t="shared" ref="L119:N119" ca="1" si="60">L120+L121</f>
        <v>0</v>
      </c>
      <c r="M119" s="939">
        <f t="shared" ca="1" si="60"/>
        <v>0</v>
      </c>
      <c r="N119" s="939">
        <f t="shared" ca="1" si="60"/>
        <v>0</v>
      </c>
      <c r="O119" s="939">
        <f t="shared" ref="O119:O127" ca="1" si="61">IF(L119&gt;0,N119*100/L119,0)</f>
        <v>0</v>
      </c>
      <c r="P119" s="939">
        <f t="shared" ref="P119:P127" ca="1" si="62">IF(M119&gt;0,N119*100/M119,0)</f>
        <v>0</v>
      </c>
      <c r="Q119" s="818"/>
      <c r="R119" s="818"/>
      <c r="S119" s="818"/>
      <c r="T119" s="818"/>
      <c r="U119" s="818"/>
      <c r="V119" s="818"/>
      <c r="W119" s="818"/>
      <c r="X119" s="818"/>
      <c r="Y119" s="818"/>
      <c r="Z119" s="818"/>
    </row>
    <row r="120" spans="1:26" ht="18.75" hidden="1">
      <c r="A120" s="940"/>
      <c r="B120" s="833"/>
      <c r="C120" s="833"/>
      <c r="D120" s="833"/>
      <c r="E120" s="834" t="s">
        <v>18</v>
      </c>
      <c r="F120" s="833"/>
      <c r="G120" s="941"/>
      <c r="H120" s="158" t="s">
        <v>12</v>
      </c>
      <c r="I120" s="836"/>
      <c r="J120" s="836"/>
      <c r="K120" s="837"/>
      <c r="L120" s="837">
        <f t="shared" ref="L120:N121" si="63">L123+L126</f>
        <v>0</v>
      </c>
      <c r="M120" s="837">
        <f t="shared" si="63"/>
        <v>0</v>
      </c>
      <c r="N120" s="837">
        <f t="shared" si="63"/>
        <v>0</v>
      </c>
      <c r="O120" s="837">
        <f t="shared" si="61"/>
        <v>0</v>
      </c>
      <c r="P120" s="837">
        <f t="shared" si="62"/>
        <v>0</v>
      </c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</row>
    <row r="121" spans="1:26" ht="18.75" hidden="1">
      <c r="A121" s="940"/>
      <c r="B121" s="833"/>
      <c r="C121" s="833"/>
      <c r="D121" s="833"/>
      <c r="E121" s="834" t="s">
        <v>19</v>
      </c>
      <c r="F121" s="833"/>
      <c r="G121" s="941"/>
      <c r="H121" s="158" t="s">
        <v>12</v>
      </c>
      <c r="I121" s="836"/>
      <c r="J121" s="836"/>
      <c r="K121" s="837"/>
      <c r="L121" s="837">
        <f t="shared" ca="1" si="63"/>
        <v>0</v>
      </c>
      <c r="M121" s="837">
        <f t="shared" ca="1" si="63"/>
        <v>0</v>
      </c>
      <c r="N121" s="837">
        <f t="shared" ca="1" si="63"/>
        <v>0</v>
      </c>
      <c r="O121" s="837">
        <f t="shared" ca="1" si="61"/>
        <v>0</v>
      </c>
      <c r="P121" s="837">
        <f t="shared" ca="1" si="62"/>
        <v>0</v>
      </c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</row>
    <row r="122" spans="1:26" ht="18.75" hidden="1">
      <c r="A122" s="942"/>
      <c r="B122" s="827"/>
      <c r="C122" s="943"/>
      <c r="D122" s="828" t="s">
        <v>20</v>
      </c>
      <c r="E122" s="827"/>
      <c r="F122" s="827"/>
      <c r="G122" s="829"/>
      <c r="H122" s="778" t="s">
        <v>12</v>
      </c>
      <c r="I122" s="944"/>
      <c r="J122" s="944"/>
      <c r="K122" s="945"/>
      <c r="L122" s="831">
        <f t="shared" ref="L122:N122" ca="1" si="64">L123+L124</f>
        <v>0</v>
      </c>
      <c r="M122" s="831">
        <f t="shared" ca="1" si="64"/>
        <v>0</v>
      </c>
      <c r="N122" s="831">
        <f t="shared" ca="1" si="64"/>
        <v>0</v>
      </c>
      <c r="O122" s="831">
        <f t="shared" ca="1" si="61"/>
        <v>0</v>
      </c>
      <c r="P122" s="831">
        <f t="shared" ca="1" si="62"/>
        <v>0</v>
      </c>
      <c r="Q122" s="818"/>
      <c r="R122" s="818"/>
      <c r="S122" s="818"/>
      <c r="T122" s="818"/>
      <c r="U122" s="818"/>
      <c r="V122" s="818"/>
      <c r="W122" s="818"/>
      <c r="X122" s="818"/>
      <c r="Y122" s="818"/>
      <c r="Z122" s="818"/>
    </row>
    <row r="123" spans="1:26" ht="18.75" hidden="1">
      <c r="A123" s="940"/>
      <c r="B123" s="833"/>
      <c r="C123" s="834"/>
      <c r="D123" s="833"/>
      <c r="E123" s="834" t="s">
        <v>36</v>
      </c>
      <c r="F123" s="833"/>
      <c r="G123" s="941"/>
      <c r="H123" s="165" t="s">
        <v>12</v>
      </c>
      <c r="I123" s="947"/>
      <c r="J123" s="947"/>
      <c r="K123" s="948"/>
      <c r="L123" s="837">
        <v>0</v>
      </c>
      <c r="M123" s="837">
        <v>0</v>
      </c>
      <c r="N123" s="837">
        <v>0</v>
      </c>
      <c r="O123" s="837">
        <f t="shared" si="61"/>
        <v>0</v>
      </c>
      <c r="P123" s="837">
        <f t="shared" si="62"/>
        <v>0</v>
      </c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</row>
    <row r="124" spans="1:26" ht="18.75" hidden="1">
      <c r="A124" s="940"/>
      <c r="B124" s="833"/>
      <c r="C124" s="834"/>
      <c r="D124" s="833"/>
      <c r="E124" s="834" t="s">
        <v>37</v>
      </c>
      <c r="F124" s="833"/>
      <c r="G124" s="941"/>
      <c r="H124" s="165" t="s">
        <v>12</v>
      </c>
      <c r="I124" s="947"/>
      <c r="J124" s="947"/>
      <c r="K124" s="948"/>
      <c r="L124" s="837">
        <f ca="1">IFERROR(__xludf.DUMMYFUNCTION("IMPORTRANGE(""https://docs.google.com/spreadsheets/d/1MeEWN-I1oV_STSDYn1IFDPWt_1FKiwhDph83XaGc0o0/edit?usp=sharing"",""งบพรบ!BA15"")"),0)</f>
        <v>0</v>
      </c>
      <c r="M124" s="837">
        <f ca="1">IFERROR(__xludf.DUMMYFUNCTION("IMPORTRANGE(""https://docs.google.com/spreadsheets/d/1MeEWN-I1oV_STSDYn1IFDPWt_1FKiwhDph83XaGc0o0/edit?usp=sharing"",""งบพรบ!BF15"")"),0)</f>
        <v>0</v>
      </c>
      <c r="N124" s="837">
        <f ca="1">IFERROR(__xludf.DUMMYFUNCTION("IMPORTRANGE(""https://docs.google.com/spreadsheets/d/1MeEWN-I1oV_STSDYn1IFDPWt_1FKiwhDph83XaGc0o0/edit?usp=sharing"",""งบพรบ!BH15"")"),0)</f>
        <v>0</v>
      </c>
      <c r="O124" s="837">
        <f t="shared" ca="1" si="61"/>
        <v>0</v>
      </c>
      <c r="P124" s="837">
        <f t="shared" ca="1" si="62"/>
        <v>0</v>
      </c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</row>
    <row r="125" spans="1:26" ht="18.75" hidden="1">
      <c r="A125" s="942"/>
      <c r="B125" s="827"/>
      <c r="C125" s="943"/>
      <c r="D125" s="828" t="s">
        <v>21</v>
      </c>
      <c r="E125" s="827"/>
      <c r="F125" s="827"/>
      <c r="G125" s="829"/>
      <c r="H125" s="168" t="s">
        <v>12</v>
      </c>
      <c r="I125" s="944"/>
      <c r="J125" s="944"/>
      <c r="K125" s="945"/>
      <c r="L125" s="831">
        <f t="shared" ref="L125:N125" ca="1" si="65">L126+L127</f>
        <v>0</v>
      </c>
      <c r="M125" s="831">
        <f t="shared" ca="1" si="65"/>
        <v>0</v>
      </c>
      <c r="N125" s="831">
        <f t="shared" ca="1" si="65"/>
        <v>0</v>
      </c>
      <c r="O125" s="831">
        <f t="shared" ca="1" si="61"/>
        <v>0</v>
      </c>
      <c r="P125" s="831">
        <f t="shared" ca="1" si="62"/>
        <v>0</v>
      </c>
      <c r="Q125" s="818"/>
      <c r="R125" s="818"/>
      <c r="S125" s="818"/>
      <c r="T125" s="818"/>
      <c r="U125" s="818"/>
      <c r="V125" s="818"/>
      <c r="W125" s="818"/>
      <c r="X125" s="818"/>
      <c r="Y125" s="818"/>
      <c r="Z125" s="818"/>
    </row>
    <row r="126" spans="1:26" ht="19.5" hidden="1">
      <c r="A126" s="940"/>
      <c r="B126" s="833"/>
      <c r="C126" s="946"/>
      <c r="D126" s="833"/>
      <c r="E126" s="834" t="s">
        <v>18</v>
      </c>
      <c r="F126" s="833"/>
      <c r="G126" s="941"/>
      <c r="H126" s="165" t="s">
        <v>12</v>
      </c>
      <c r="I126" s="947"/>
      <c r="J126" s="947"/>
      <c r="K126" s="948"/>
      <c r="L126" s="837">
        <v>0</v>
      </c>
      <c r="M126" s="837">
        <v>0</v>
      </c>
      <c r="N126" s="837">
        <v>0</v>
      </c>
      <c r="O126" s="837">
        <f t="shared" si="61"/>
        <v>0</v>
      </c>
      <c r="P126" s="837">
        <f t="shared" si="62"/>
        <v>0</v>
      </c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</row>
    <row r="127" spans="1:26" ht="19.5" hidden="1">
      <c r="A127" s="940"/>
      <c r="B127" s="833"/>
      <c r="C127" s="946"/>
      <c r="D127" s="833"/>
      <c r="E127" s="834" t="s">
        <v>19</v>
      </c>
      <c r="F127" s="833"/>
      <c r="G127" s="941"/>
      <c r="H127" s="169" t="s">
        <v>12</v>
      </c>
      <c r="I127" s="947"/>
      <c r="J127" s="947"/>
      <c r="K127" s="948"/>
      <c r="L127" s="837">
        <f ca="1">IFERROR(__xludf.DUMMYFUNCTION("IMPORTRANGE(""https://docs.google.com/spreadsheets/d/1MeEWN-I1oV_STSDYn1IFDPWt_1FKiwhDph83XaGc0o0/edit?usp=sharing"",""งบพรบ!BD15"")"),0)</f>
        <v>0</v>
      </c>
      <c r="M127" s="837">
        <f ca="1">IFERROR(__xludf.DUMMYFUNCTION("IMPORTRANGE(""https://docs.google.com/spreadsheets/d/1MeEWN-I1oV_STSDYn1IFDPWt_1FKiwhDph83XaGc0o0/edit?usp=sharing"",""งบพรบ!BG15"")"),0)</f>
        <v>0</v>
      </c>
      <c r="N127" s="837">
        <f ca="1">IFERROR(__xludf.DUMMYFUNCTION("IMPORTRANGE(""https://docs.google.com/spreadsheets/d/1MeEWN-I1oV_STSDYn1IFDPWt_1FKiwhDph83XaGc0o0/edit?usp=sharing"",""งบพรบ!BI15"")"),0)</f>
        <v>0</v>
      </c>
      <c r="O127" s="837">
        <f t="shared" ca="1" si="61"/>
        <v>0</v>
      </c>
      <c r="P127" s="837">
        <f t="shared" ca="1" si="62"/>
        <v>0</v>
      </c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</row>
    <row r="128" spans="1:26" ht="19.5">
      <c r="A128" s="917" t="s">
        <v>67</v>
      </c>
      <c r="B128" s="918"/>
      <c r="C128" s="969"/>
      <c r="D128" s="918"/>
      <c r="E128" s="918"/>
      <c r="F128" s="918"/>
      <c r="G128" s="918"/>
      <c r="H128" s="970"/>
      <c r="I128" s="971"/>
      <c r="J128" s="971"/>
      <c r="K128" s="972"/>
      <c r="L128" s="923"/>
      <c r="M128" s="923"/>
      <c r="N128" s="923"/>
      <c r="O128" s="923"/>
      <c r="P128" s="923"/>
    </row>
    <row r="129" spans="1:26" ht="19.5">
      <c r="A129" s="924"/>
      <c r="B129" s="925" t="s">
        <v>68</v>
      </c>
      <c r="C129" s="973"/>
      <c r="D129" s="927"/>
      <c r="E129" s="926"/>
      <c r="F129" s="926"/>
      <c r="G129" s="926"/>
      <c r="H129" s="207"/>
      <c r="I129" s="974"/>
      <c r="J129" s="974"/>
      <c r="K129" s="931"/>
      <c r="L129" s="931"/>
      <c r="M129" s="931"/>
      <c r="N129" s="931"/>
      <c r="O129" s="931"/>
      <c r="P129" s="931"/>
    </row>
    <row r="130" spans="1:26" ht="19.5">
      <c r="A130" s="924"/>
      <c r="B130" s="925"/>
      <c r="C130" s="975" t="s">
        <v>69</v>
      </c>
      <c r="D130" s="927"/>
      <c r="E130" s="926"/>
      <c r="F130" s="926"/>
      <c r="G130" s="928"/>
      <c r="H130" s="205" t="s">
        <v>66</v>
      </c>
      <c r="I130" s="929">
        <f t="shared" ref="I130:J130" ca="1" si="66">I146</f>
        <v>3</v>
      </c>
      <c r="J130" s="929">
        <f t="shared" si="66"/>
        <v>3</v>
      </c>
      <c r="K130" s="930">
        <f t="shared" ref="K130:K131" ca="1" si="67">IF(I130&gt;0,J130*100/I130,0)</f>
        <v>100</v>
      </c>
      <c r="L130" s="931"/>
      <c r="M130" s="931"/>
      <c r="N130" s="931"/>
      <c r="O130" s="931"/>
      <c r="P130" s="931"/>
    </row>
    <row r="131" spans="1:26" ht="19.5">
      <c r="A131" s="924"/>
      <c r="B131" s="925"/>
      <c r="C131" s="975" t="s">
        <v>70</v>
      </c>
      <c r="D131" s="927"/>
      <c r="E131" s="926"/>
      <c r="F131" s="926"/>
      <c r="G131" s="928"/>
      <c r="H131" s="205" t="s">
        <v>35</v>
      </c>
      <c r="I131" s="929">
        <f t="shared" ref="I131:J131" ca="1" si="68">I143</f>
        <v>30</v>
      </c>
      <c r="J131" s="929">
        <f t="shared" ca="1" si="68"/>
        <v>0</v>
      </c>
      <c r="K131" s="930">
        <f t="shared" ca="1" si="67"/>
        <v>0</v>
      </c>
      <c r="L131" s="931"/>
      <c r="M131" s="931"/>
      <c r="N131" s="931"/>
      <c r="O131" s="931"/>
      <c r="P131" s="931"/>
    </row>
    <row r="132" spans="1:26" ht="19.5">
      <c r="A132" s="932"/>
      <c r="B132" s="933"/>
      <c r="C132" s="934" t="s">
        <v>16</v>
      </c>
      <c r="D132" s="935" t="s">
        <v>17</v>
      </c>
      <c r="E132" s="933"/>
      <c r="F132" s="933"/>
      <c r="G132" s="936"/>
      <c r="H132" s="152" t="s">
        <v>12</v>
      </c>
      <c r="I132" s="937"/>
      <c r="J132" s="937"/>
      <c r="K132" s="938"/>
      <c r="L132" s="939">
        <f t="shared" ref="L132:N132" ca="1" si="69">L133+L134</f>
        <v>454965</v>
      </c>
      <c r="M132" s="939">
        <f t="shared" ca="1" si="69"/>
        <v>440600</v>
      </c>
      <c r="N132" s="939">
        <f t="shared" ca="1" si="69"/>
        <v>337220</v>
      </c>
      <c r="O132" s="939">
        <f t="shared" ref="O132:O140" ca="1" si="70">IF(L132&gt;0,N132*100/L132,0)</f>
        <v>74.119987251766617</v>
      </c>
      <c r="P132" s="939">
        <f t="shared" ref="P132:P140" ca="1" si="71">IF(M132&gt;0,N132*100/M132,0)</f>
        <v>76.536541080344989</v>
      </c>
      <c r="Q132" s="818"/>
      <c r="R132" s="818"/>
      <c r="S132" s="818"/>
      <c r="T132" s="818"/>
      <c r="U132" s="818"/>
      <c r="V132" s="818"/>
      <c r="W132" s="818"/>
      <c r="X132" s="818"/>
      <c r="Y132" s="818"/>
      <c r="Z132" s="818"/>
    </row>
    <row r="133" spans="1:26" ht="18.75" hidden="1">
      <c r="A133" s="940"/>
      <c r="B133" s="833"/>
      <c r="C133" s="833"/>
      <c r="D133" s="833"/>
      <c r="E133" s="834" t="s">
        <v>18</v>
      </c>
      <c r="F133" s="833"/>
      <c r="G133" s="941"/>
      <c r="H133" s="158" t="s">
        <v>12</v>
      </c>
      <c r="I133" s="836"/>
      <c r="J133" s="836"/>
      <c r="K133" s="837"/>
      <c r="L133" s="837">
        <f t="shared" ref="L133:N134" si="72">L136+L139</f>
        <v>0</v>
      </c>
      <c r="M133" s="837">
        <f t="shared" si="72"/>
        <v>0</v>
      </c>
      <c r="N133" s="837">
        <f t="shared" si="72"/>
        <v>0</v>
      </c>
      <c r="O133" s="837">
        <f t="shared" si="70"/>
        <v>0</v>
      </c>
      <c r="P133" s="837">
        <f t="shared" si="71"/>
        <v>0</v>
      </c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</row>
    <row r="134" spans="1:26" ht="18.75" hidden="1">
      <c r="A134" s="940"/>
      <c r="B134" s="833"/>
      <c r="C134" s="833"/>
      <c r="D134" s="833"/>
      <c r="E134" s="834" t="s">
        <v>19</v>
      </c>
      <c r="F134" s="833"/>
      <c r="G134" s="941"/>
      <c r="H134" s="158" t="s">
        <v>12</v>
      </c>
      <c r="I134" s="836"/>
      <c r="J134" s="836"/>
      <c r="K134" s="837"/>
      <c r="L134" s="837">
        <f t="shared" ca="1" si="72"/>
        <v>454965</v>
      </c>
      <c r="M134" s="837">
        <f t="shared" ca="1" si="72"/>
        <v>440600</v>
      </c>
      <c r="N134" s="837">
        <f t="shared" ca="1" si="72"/>
        <v>337220</v>
      </c>
      <c r="O134" s="837">
        <f t="shared" ca="1" si="70"/>
        <v>74.119987251766617</v>
      </c>
      <c r="P134" s="837">
        <f t="shared" ca="1" si="71"/>
        <v>76.536541080344989</v>
      </c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</row>
    <row r="135" spans="1:26" ht="18.75">
      <c r="A135" s="942"/>
      <c r="B135" s="827"/>
      <c r="C135" s="943"/>
      <c r="D135" s="828" t="s">
        <v>20</v>
      </c>
      <c r="E135" s="827"/>
      <c r="F135" s="827"/>
      <c r="G135" s="829"/>
      <c r="H135" s="778" t="s">
        <v>12</v>
      </c>
      <c r="I135" s="944"/>
      <c r="J135" s="944"/>
      <c r="K135" s="945"/>
      <c r="L135" s="831">
        <f t="shared" ref="L135:N135" ca="1" si="73">L136+L137</f>
        <v>145965</v>
      </c>
      <c r="M135" s="831">
        <f t="shared" ca="1" si="73"/>
        <v>131600</v>
      </c>
      <c r="N135" s="831">
        <f t="shared" ca="1" si="73"/>
        <v>28220</v>
      </c>
      <c r="O135" s="831">
        <f t="shared" ca="1" si="70"/>
        <v>19.333401842907545</v>
      </c>
      <c r="P135" s="831">
        <f t="shared" ca="1" si="71"/>
        <v>21.443768996960486</v>
      </c>
      <c r="Q135" s="818"/>
      <c r="R135" s="818"/>
      <c r="S135" s="818"/>
      <c r="T135" s="818"/>
      <c r="U135" s="818"/>
      <c r="V135" s="818"/>
      <c r="W135" s="818"/>
      <c r="X135" s="818"/>
      <c r="Y135" s="818"/>
      <c r="Z135" s="818"/>
    </row>
    <row r="136" spans="1:26" ht="19.5" hidden="1">
      <c r="A136" s="940"/>
      <c r="B136" s="833"/>
      <c r="C136" s="946"/>
      <c r="D136" s="833"/>
      <c r="E136" s="834" t="s">
        <v>36</v>
      </c>
      <c r="F136" s="833"/>
      <c r="G136" s="941"/>
      <c r="H136" s="165" t="s">
        <v>12</v>
      </c>
      <c r="I136" s="947"/>
      <c r="J136" s="947"/>
      <c r="K136" s="948"/>
      <c r="L136" s="837">
        <v>0</v>
      </c>
      <c r="M136" s="837">
        <v>0</v>
      </c>
      <c r="N136" s="837">
        <v>0</v>
      </c>
      <c r="O136" s="837">
        <f t="shared" si="70"/>
        <v>0</v>
      </c>
      <c r="P136" s="837">
        <f t="shared" si="71"/>
        <v>0</v>
      </c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</row>
    <row r="137" spans="1:26" ht="19.5" hidden="1">
      <c r="A137" s="940"/>
      <c r="B137" s="833"/>
      <c r="C137" s="946"/>
      <c r="D137" s="833"/>
      <c r="E137" s="834" t="s">
        <v>37</v>
      </c>
      <c r="F137" s="833"/>
      <c r="G137" s="941"/>
      <c r="H137" s="165" t="s">
        <v>12</v>
      </c>
      <c r="I137" s="947"/>
      <c r="J137" s="947"/>
      <c r="K137" s="948"/>
      <c r="L137" s="837">
        <f ca="1">IFERROR(__xludf.DUMMYFUNCTION("IMPORTRANGE(""https://docs.google.com/spreadsheets/d/1MeEWN-I1oV_STSDYn1IFDPWt_1FKiwhDph83XaGc0o0/edit?usp=sharing"",""งบพรบ!BK15"")"),145965)</f>
        <v>145965</v>
      </c>
      <c r="M137" s="837">
        <f ca="1">IFERROR(__xludf.DUMMYFUNCTION("IMPORTRANGE(""https://docs.google.com/spreadsheets/d/1MeEWN-I1oV_STSDYn1IFDPWt_1FKiwhDph83XaGc0o0/edit?usp=sharing"",""งบพรบ!BP15"")"),131600)</f>
        <v>131600</v>
      </c>
      <c r="N137" s="837">
        <f ca="1">IFERROR(__xludf.DUMMYFUNCTION("IMPORTRANGE(""https://docs.google.com/spreadsheets/d/1MeEWN-I1oV_STSDYn1IFDPWt_1FKiwhDph83XaGc0o0/edit?usp=sharing"",""งบพรบ!BR15"")"),28220)</f>
        <v>28220</v>
      </c>
      <c r="O137" s="837">
        <f t="shared" ca="1" si="70"/>
        <v>19.333401842907545</v>
      </c>
      <c r="P137" s="837">
        <f t="shared" ca="1" si="71"/>
        <v>21.443768996960486</v>
      </c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</row>
    <row r="138" spans="1:26" ht="18.75">
      <c r="A138" s="942"/>
      <c r="B138" s="827"/>
      <c r="C138" s="943"/>
      <c r="D138" s="828" t="s">
        <v>21</v>
      </c>
      <c r="E138" s="827"/>
      <c r="F138" s="827"/>
      <c r="G138" s="829"/>
      <c r="H138" s="168" t="s">
        <v>12</v>
      </c>
      <c r="I138" s="944"/>
      <c r="J138" s="944"/>
      <c r="K138" s="945"/>
      <c r="L138" s="831">
        <f t="shared" ref="L138:N138" ca="1" si="74">L139+L140</f>
        <v>309000</v>
      </c>
      <c r="M138" s="831">
        <f t="shared" ca="1" si="74"/>
        <v>309000</v>
      </c>
      <c r="N138" s="831">
        <f t="shared" ca="1" si="74"/>
        <v>309000</v>
      </c>
      <c r="O138" s="831">
        <f t="shared" ca="1" si="70"/>
        <v>100</v>
      </c>
      <c r="P138" s="831">
        <f t="shared" ca="1" si="71"/>
        <v>100</v>
      </c>
      <c r="Q138" s="818"/>
      <c r="R138" s="818"/>
      <c r="S138" s="818"/>
      <c r="T138" s="818"/>
      <c r="U138" s="818"/>
      <c r="V138" s="818"/>
      <c r="W138" s="818"/>
      <c r="X138" s="818"/>
      <c r="Y138" s="818"/>
      <c r="Z138" s="818"/>
    </row>
    <row r="139" spans="1:26" ht="19.5" hidden="1">
      <c r="A139" s="940"/>
      <c r="B139" s="833"/>
      <c r="C139" s="946"/>
      <c r="D139" s="833"/>
      <c r="E139" s="834" t="s">
        <v>18</v>
      </c>
      <c r="F139" s="833"/>
      <c r="G139" s="941"/>
      <c r="H139" s="165" t="s">
        <v>12</v>
      </c>
      <c r="I139" s="947"/>
      <c r="J139" s="947"/>
      <c r="K139" s="948"/>
      <c r="L139" s="837">
        <v>0</v>
      </c>
      <c r="M139" s="837">
        <v>0</v>
      </c>
      <c r="N139" s="837">
        <v>0</v>
      </c>
      <c r="O139" s="837">
        <f t="shared" si="70"/>
        <v>0</v>
      </c>
      <c r="P139" s="837">
        <f t="shared" si="71"/>
        <v>0</v>
      </c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</row>
    <row r="140" spans="1:26" ht="19.5" hidden="1">
      <c r="A140" s="940"/>
      <c r="B140" s="833"/>
      <c r="C140" s="946"/>
      <c r="D140" s="833"/>
      <c r="E140" s="834" t="s">
        <v>19</v>
      </c>
      <c r="F140" s="833"/>
      <c r="G140" s="941"/>
      <c r="H140" s="169" t="s">
        <v>12</v>
      </c>
      <c r="I140" s="947"/>
      <c r="J140" s="947"/>
      <c r="K140" s="948"/>
      <c r="L140" s="837">
        <f ca="1">IFERROR(__xludf.DUMMYFUNCTION("IMPORTRANGE(""https://docs.google.com/spreadsheets/d/1MeEWN-I1oV_STSDYn1IFDPWt_1FKiwhDph83XaGc0o0/edit?usp=sharing"",""งบพรบ!BN15"")"),309000)</f>
        <v>309000</v>
      </c>
      <c r="M140" s="837">
        <f ca="1">IFERROR(__xludf.DUMMYFUNCTION("IMPORTRANGE(""https://docs.google.com/spreadsheets/d/1MeEWN-I1oV_STSDYn1IFDPWt_1FKiwhDph83XaGc0o0/edit?usp=sharing"",""งบพรบ!BQ15"")"),309000)</f>
        <v>309000</v>
      </c>
      <c r="N140" s="837">
        <f ca="1">IFERROR(__xludf.DUMMYFUNCTION("IMPORTRANGE(""https://docs.google.com/spreadsheets/d/1MeEWN-I1oV_STSDYn1IFDPWt_1FKiwhDph83XaGc0o0/edit?usp=sharing"",""งบพรบ!BS15"")"),309000)</f>
        <v>309000</v>
      </c>
      <c r="O140" s="837">
        <f t="shared" ca="1" si="70"/>
        <v>100</v>
      </c>
      <c r="P140" s="837">
        <f t="shared" ca="1" si="71"/>
        <v>100</v>
      </c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</row>
    <row r="141" spans="1:26" ht="19.5">
      <c r="A141" s="949"/>
      <c r="B141" s="950"/>
      <c r="C141" s="934" t="s">
        <v>16</v>
      </c>
      <c r="D141" s="951" t="s">
        <v>38</v>
      </c>
      <c r="E141" s="952"/>
      <c r="F141" s="952"/>
      <c r="G141" s="953"/>
      <c r="H141" s="168"/>
      <c r="I141" s="830"/>
      <c r="J141" s="830"/>
      <c r="K141" s="831"/>
      <c r="L141" s="831"/>
      <c r="M141" s="831"/>
      <c r="N141" s="831"/>
      <c r="O141" s="831"/>
      <c r="P141" s="831"/>
    </row>
    <row r="142" spans="1:26" ht="19.5">
      <c r="A142" s="942"/>
      <c r="B142" s="827"/>
      <c r="C142" s="976"/>
      <c r="D142" s="943" t="s">
        <v>71</v>
      </c>
      <c r="E142" s="828"/>
      <c r="F142" s="827"/>
      <c r="G142" s="977"/>
      <c r="H142" s="168"/>
      <c r="I142" s="830"/>
      <c r="J142" s="959">
        <v>0</v>
      </c>
      <c r="K142" s="831"/>
      <c r="L142" s="831"/>
      <c r="M142" s="831"/>
      <c r="N142" s="831"/>
      <c r="O142" s="831"/>
      <c r="P142" s="831"/>
    </row>
    <row r="143" spans="1:26" ht="19.5">
      <c r="A143" s="942"/>
      <c r="B143" s="827"/>
      <c r="C143" s="976"/>
      <c r="D143" s="943" t="s">
        <v>72</v>
      </c>
      <c r="E143" s="828"/>
      <c r="F143" s="827"/>
      <c r="G143" s="977"/>
      <c r="H143" s="168" t="s">
        <v>35</v>
      </c>
      <c r="I143" s="830">
        <f ca="1">I145</f>
        <v>30</v>
      </c>
      <c r="J143" s="830">
        <f ca="1">IF(AND(J144&gt;=I144,J145&gt;=I145),J145,0)</f>
        <v>0</v>
      </c>
      <c r="K143" s="831">
        <f t="shared" ref="K143:K146" ca="1" si="75">IF(I143&gt;0,J143*100/I143,0)</f>
        <v>0</v>
      </c>
      <c r="L143" s="831"/>
      <c r="M143" s="831"/>
      <c r="N143" s="831"/>
      <c r="O143" s="831"/>
      <c r="P143" s="831"/>
    </row>
    <row r="144" spans="1:26" ht="19.5">
      <c r="A144" s="942"/>
      <c r="B144" s="827"/>
      <c r="C144" s="976"/>
      <c r="D144" s="957"/>
      <c r="E144" s="943" t="s">
        <v>73</v>
      </c>
      <c r="F144" s="827"/>
      <c r="G144" s="977"/>
      <c r="H144" s="168" t="s">
        <v>35</v>
      </c>
      <c r="I144" s="830">
        <f ca="1">IFERROR(__xludf.DUMMYFUNCTION("IMPORTRANGE(""https://docs.google.com/spreadsheets/d/1QqKyyYR6Q21VydFLVH3TRQUabQu_ym0Zz7PgGX0-kHA/edit?usp=sharing"",""แผน!U15"")"),15)</f>
        <v>15</v>
      </c>
      <c r="J144" s="959">
        <v>15</v>
      </c>
      <c r="K144" s="831">
        <f t="shared" ca="1" si="75"/>
        <v>100</v>
      </c>
      <c r="L144" s="831"/>
      <c r="M144" s="831"/>
      <c r="N144" s="831"/>
      <c r="O144" s="831"/>
      <c r="P144" s="831"/>
    </row>
    <row r="145" spans="1:26" ht="19.5">
      <c r="A145" s="942"/>
      <c r="B145" s="827"/>
      <c r="C145" s="976"/>
      <c r="D145" s="957"/>
      <c r="E145" s="943" t="s">
        <v>74</v>
      </c>
      <c r="F145" s="827"/>
      <c r="G145" s="977"/>
      <c r="H145" s="168" t="s">
        <v>35</v>
      </c>
      <c r="I145" s="830">
        <f ca="1">IFERROR(__xludf.DUMMYFUNCTION("IMPORTRANGE(""https://docs.google.com/spreadsheets/d/1QqKyyYR6Q21VydFLVH3TRQUabQu_ym0Zz7PgGX0-kHA/edit?usp=sharing"",""แผน!V15"")"),30)</f>
        <v>30</v>
      </c>
      <c r="J145" s="959">
        <v>0</v>
      </c>
      <c r="K145" s="831">
        <f t="shared" ca="1" si="75"/>
        <v>0</v>
      </c>
      <c r="L145" s="831"/>
      <c r="M145" s="831"/>
      <c r="N145" s="831"/>
      <c r="O145" s="831"/>
      <c r="P145" s="831"/>
    </row>
    <row r="146" spans="1:26" ht="19.5">
      <c r="A146" s="942"/>
      <c r="B146" s="827"/>
      <c r="C146" s="976"/>
      <c r="D146" s="943" t="s">
        <v>75</v>
      </c>
      <c r="E146" s="828"/>
      <c r="F146" s="827"/>
      <c r="G146" s="977"/>
      <c r="H146" s="168" t="s">
        <v>66</v>
      </c>
      <c r="I146" s="830">
        <f ca="1">IFERROR(__xludf.DUMMYFUNCTION("IMPORTRANGE(""https://docs.google.com/spreadsheets/d/1QqKyyYR6Q21VydFLVH3TRQUabQu_ym0Zz7PgGX0-kHA/edit?usp=sharing"",""แผน!W15"")"),3)</f>
        <v>3</v>
      </c>
      <c r="J146" s="959">
        <v>3</v>
      </c>
      <c r="K146" s="831">
        <f t="shared" ca="1" si="75"/>
        <v>100</v>
      </c>
      <c r="L146" s="831"/>
      <c r="M146" s="831"/>
      <c r="N146" s="831"/>
      <c r="O146" s="831"/>
      <c r="P146" s="831"/>
    </row>
    <row r="147" spans="1:26" ht="19.5">
      <c r="A147" s="917" t="s">
        <v>76</v>
      </c>
      <c r="B147" s="918"/>
      <c r="C147" s="969"/>
      <c r="D147" s="918"/>
      <c r="E147" s="918"/>
      <c r="F147" s="918"/>
      <c r="G147" s="918"/>
      <c r="H147" s="970"/>
      <c r="I147" s="971"/>
      <c r="J147" s="971"/>
      <c r="K147" s="972"/>
      <c r="L147" s="923"/>
      <c r="M147" s="923"/>
      <c r="N147" s="923"/>
      <c r="O147" s="923"/>
      <c r="P147" s="923"/>
    </row>
    <row r="148" spans="1:26" ht="19.5">
      <c r="A148" s="978"/>
      <c r="B148" s="925" t="s">
        <v>77</v>
      </c>
      <c r="C148" s="925"/>
      <c r="D148" s="925"/>
      <c r="E148" s="979"/>
      <c r="F148" s="980"/>
      <c r="G148" s="981"/>
      <c r="H148" s="221" t="s">
        <v>35</v>
      </c>
      <c r="I148" s="929">
        <f t="shared" ref="I148:J148" ca="1" si="76">I159</f>
        <v>20</v>
      </c>
      <c r="J148" s="929">
        <f t="shared" si="76"/>
        <v>20</v>
      </c>
      <c r="K148" s="930">
        <f ca="1">IF(I148&gt;0,J148*100/I148,0)</f>
        <v>100</v>
      </c>
      <c r="L148" s="930"/>
      <c r="M148" s="930"/>
      <c r="N148" s="930"/>
      <c r="O148" s="930"/>
      <c r="P148" s="930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32"/>
      <c r="B149" s="933"/>
      <c r="C149" s="934" t="s">
        <v>16</v>
      </c>
      <c r="D149" s="935" t="s">
        <v>17</v>
      </c>
      <c r="E149" s="933"/>
      <c r="F149" s="933"/>
      <c r="G149" s="936"/>
      <c r="H149" s="152" t="s">
        <v>12</v>
      </c>
      <c r="I149" s="937"/>
      <c r="J149" s="937"/>
      <c r="K149" s="938"/>
      <c r="L149" s="939">
        <f t="shared" ref="L149:N149" ca="1" si="77">L150+L151</f>
        <v>10000</v>
      </c>
      <c r="M149" s="939">
        <f t="shared" ca="1" si="77"/>
        <v>10000</v>
      </c>
      <c r="N149" s="939">
        <f t="shared" ca="1" si="77"/>
        <v>2740</v>
      </c>
      <c r="O149" s="939">
        <f t="shared" ref="O149:O157" ca="1" si="78">IF(L149&gt;0,N149*100/L149,0)</f>
        <v>27.4</v>
      </c>
      <c r="P149" s="939">
        <f t="shared" ref="P149:P157" ca="1" si="79">IF(M149&gt;0,N149*100/M149,0)</f>
        <v>27.4</v>
      </c>
      <c r="Q149" s="818"/>
      <c r="R149" s="818"/>
      <c r="S149" s="818"/>
      <c r="T149" s="818"/>
      <c r="U149" s="818"/>
      <c r="V149" s="818"/>
      <c r="W149" s="818"/>
      <c r="X149" s="818"/>
      <c r="Y149" s="818"/>
      <c r="Z149" s="818"/>
    </row>
    <row r="150" spans="1:26" ht="18.75" hidden="1">
      <c r="A150" s="940"/>
      <c r="B150" s="833"/>
      <c r="C150" s="833"/>
      <c r="D150" s="833"/>
      <c r="E150" s="834" t="s">
        <v>18</v>
      </c>
      <c r="F150" s="833"/>
      <c r="G150" s="941"/>
      <c r="H150" s="158" t="s">
        <v>12</v>
      </c>
      <c r="I150" s="836"/>
      <c r="J150" s="836"/>
      <c r="K150" s="837"/>
      <c r="L150" s="837">
        <f t="shared" ref="L150:N151" si="80">L153+L156</f>
        <v>0</v>
      </c>
      <c r="M150" s="837">
        <f t="shared" si="80"/>
        <v>0</v>
      </c>
      <c r="N150" s="837">
        <f t="shared" si="80"/>
        <v>0</v>
      </c>
      <c r="O150" s="837">
        <f t="shared" si="78"/>
        <v>0</v>
      </c>
      <c r="P150" s="837">
        <f t="shared" si="79"/>
        <v>0</v>
      </c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</row>
    <row r="151" spans="1:26" ht="18.75" hidden="1">
      <c r="A151" s="940"/>
      <c r="B151" s="833"/>
      <c r="C151" s="833"/>
      <c r="D151" s="833"/>
      <c r="E151" s="834" t="s">
        <v>19</v>
      </c>
      <c r="F151" s="833"/>
      <c r="G151" s="941"/>
      <c r="H151" s="158" t="s">
        <v>12</v>
      </c>
      <c r="I151" s="836"/>
      <c r="J151" s="836"/>
      <c r="K151" s="837"/>
      <c r="L151" s="837">
        <f t="shared" ca="1" si="80"/>
        <v>10000</v>
      </c>
      <c r="M151" s="837">
        <f t="shared" ca="1" si="80"/>
        <v>10000</v>
      </c>
      <c r="N151" s="837">
        <f t="shared" ca="1" si="80"/>
        <v>2740</v>
      </c>
      <c r="O151" s="837">
        <f t="shared" ca="1" si="78"/>
        <v>27.4</v>
      </c>
      <c r="P151" s="837">
        <f t="shared" ca="1" si="79"/>
        <v>27.4</v>
      </c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</row>
    <row r="152" spans="1:26" ht="18.75">
      <c r="A152" s="942"/>
      <c r="B152" s="827"/>
      <c r="C152" s="943"/>
      <c r="D152" s="828" t="s">
        <v>20</v>
      </c>
      <c r="E152" s="827"/>
      <c r="F152" s="827"/>
      <c r="G152" s="829"/>
      <c r="H152" s="778" t="s">
        <v>12</v>
      </c>
      <c r="I152" s="944"/>
      <c r="J152" s="944"/>
      <c r="K152" s="945"/>
      <c r="L152" s="831">
        <f t="shared" ref="L152:N152" ca="1" si="81">L153+L154</f>
        <v>10000</v>
      </c>
      <c r="M152" s="831">
        <f t="shared" ca="1" si="81"/>
        <v>10000</v>
      </c>
      <c r="N152" s="831">
        <f t="shared" ca="1" si="81"/>
        <v>2740</v>
      </c>
      <c r="O152" s="831">
        <f t="shared" ca="1" si="78"/>
        <v>27.4</v>
      </c>
      <c r="P152" s="831">
        <f t="shared" ca="1" si="79"/>
        <v>27.4</v>
      </c>
      <c r="Q152" s="818"/>
      <c r="R152" s="818"/>
      <c r="S152" s="818"/>
      <c r="T152" s="818"/>
      <c r="U152" s="818"/>
      <c r="V152" s="818"/>
      <c r="W152" s="818"/>
      <c r="X152" s="818"/>
      <c r="Y152" s="818"/>
      <c r="Z152" s="818"/>
    </row>
    <row r="153" spans="1:26" ht="19.5" hidden="1">
      <c r="A153" s="940"/>
      <c r="B153" s="833"/>
      <c r="C153" s="946"/>
      <c r="D153" s="833"/>
      <c r="E153" s="834" t="s">
        <v>36</v>
      </c>
      <c r="F153" s="833"/>
      <c r="G153" s="941"/>
      <c r="H153" s="165" t="s">
        <v>12</v>
      </c>
      <c r="I153" s="947"/>
      <c r="J153" s="947"/>
      <c r="K153" s="948"/>
      <c r="L153" s="837">
        <v>0</v>
      </c>
      <c r="M153" s="837">
        <v>0</v>
      </c>
      <c r="N153" s="837">
        <v>0</v>
      </c>
      <c r="O153" s="837">
        <f t="shared" si="78"/>
        <v>0</v>
      </c>
      <c r="P153" s="837">
        <f t="shared" si="79"/>
        <v>0</v>
      </c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</row>
    <row r="154" spans="1:26" ht="19.5" hidden="1">
      <c r="A154" s="940"/>
      <c r="B154" s="833"/>
      <c r="C154" s="946"/>
      <c r="D154" s="833"/>
      <c r="E154" s="834" t="s">
        <v>37</v>
      </c>
      <c r="F154" s="833"/>
      <c r="G154" s="941"/>
      <c r="H154" s="165" t="s">
        <v>12</v>
      </c>
      <c r="I154" s="947"/>
      <c r="J154" s="947"/>
      <c r="K154" s="948"/>
      <c r="L154" s="837">
        <f ca="1">IFERROR(__xludf.DUMMYFUNCTION("IMPORTRANGE(""https://docs.google.com/spreadsheets/d/1MeEWN-I1oV_STSDYn1IFDPWt_1FKiwhDph83XaGc0o0/edit?usp=sharing"",""งบพรบ!BU15"")"),10000)</f>
        <v>10000</v>
      </c>
      <c r="M154" s="837">
        <f ca="1">IFERROR(__xludf.DUMMYFUNCTION("IMPORTRANGE(""https://docs.google.com/spreadsheets/d/1MeEWN-I1oV_STSDYn1IFDPWt_1FKiwhDph83XaGc0o0/edit?usp=sharing"",""งบพรบ!BZ15"")"),10000)</f>
        <v>10000</v>
      </c>
      <c r="N154" s="837">
        <f ca="1">IFERROR(__xludf.DUMMYFUNCTION("IMPORTRANGE(""https://docs.google.com/spreadsheets/d/1MeEWN-I1oV_STSDYn1IFDPWt_1FKiwhDph83XaGc0o0/edit?usp=sharing"",""งบพรบ!CB15"")"),2740)</f>
        <v>2740</v>
      </c>
      <c r="O154" s="837">
        <f t="shared" ca="1" si="78"/>
        <v>27.4</v>
      </c>
      <c r="P154" s="837">
        <f t="shared" ca="1" si="79"/>
        <v>27.4</v>
      </c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</row>
    <row r="155" spans="1:26" ht="18.75">
      <c r="A155" s="942"/>
      <c r="B155" s="827"/>
      <c r="C155" s="943"/>
      <c r="D155" s="828" t="s">
        <v>21</v>
      </c>
      <c r="E155" s="827"/>
      <c r="F155" s="827"/>
      <c r="G155" s="829"/>
      <c r="H155" s="168" t="s">
        <v>12</v>
      </c>
      <c r="I155" s="944"/>
      <c r="J155" s="944"/>
      <c r="K155" s="945"/>
      <c r="L155" s="831">
        <f t="shared" ref="L155:N155" ca="1" si="82">L156+L157</f>
        <v>0</v>
      </c>
      <c r="M155" s="831">
        <f t="shared" ca="1" si="82"/>
        <v>0</v>
      </c>
      <c r="N155" s="831">
        <f t="shared" ca="1" si="82"/>
        <v>0</v>
      </c>
      <c r="O155" s="831">
        <f t="shared" ca="1" si="78"/>
        <v>0</v>
      </c>
      <c r="P155" s="831">
        <f t="shared" ca="1" si="79"/>
        <v>0</v>
      </c>
      <c r="Q155" s="818"/>
      <c r="R155" s="818"/>
      <c r="S155" s="818"/>
      <c r="T155" s="818"/>
      <c r="U155" s="818"/>
      <c r="V155" s="818"/>
      <c r="W155" s="818"/>
      <c r="X155" s="818"/>
      <c r="Y155" s="818"/>
      <c r="Z155" s="818"/>
    </row>
    <row r="156" spans="1:26" ht="19.5" hidden="1">
      <c r="A156" s="940"/>
      <c r="B156" s="833"/>
      <c r="C156" s="946"/>
      <c r="D156" s="833"/>
      <c r="E156" s="834" t="s">
        <v>18</v>
      </c>
      <c r="F156" s="833"/>
      <c r="G156" s="941"/>
      <c r="H156" s="165" t="s">
        <v>12</v>
      </c>
      <c r="I156" s="947"/>
      <c r="J156" s="947"/>
      <c r="K156" s="948"/>
      <c r="L156" s="837">
        <v>0</v>
      </c>
      <c r="M156" s="837">
        <v>0</v>
      </c>
      <c r="N156" s="837">
        <v>0</v>
      </c>
      <c r="O156" s="837">
        <f t="shared" si="78"/>
        <v>0</v>
      </c>
      <c r="P156" s="837">
        <f t="shared" si="79"/>
        <v>0</v>
      </c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</row>
    <row r="157" spans="1:26" ht="19.5" hidden="1">
      <c r="A157" s="940"/>
      <c r="B157" s="833"/>
      <c r="C157" s="946"/>
      <c r="D157" s="833"/>
      <c r="E157" s="834" t="s">
        <v>19</v>
      </c>
      <c r="F157" s="833"/>
      <c r="G157" s="941"/>
      <c r="H157" s="169" t="s">
        <v>12</v>
      </c>
      <c r="I157" s="947"/>
      <c r="J157" s="947"/>
      <c r="K157" s="948"/>
      <c r="L157" s="837">
        <f ca="1">IFERROR(__xludf.DUMMYFUNCTION("IMPORTRANGE(""https://docs.google.com/spreadsheets/d/1MeEWN-I1oV_STSDYn1IFDPWt_1FKiwhDph83XaGc0o0/edit?usp=sharing"",""งบพรบ!BX15"")"),0)</f>
        <v>0</v>
      </c>
      <c r="M157" s="837">
        <f ca="1">IFERROR(__xludf.DUMMYFUNCTION("IMPORTRANGE(""https://docs.google.com/spreadsheets/d/1MeEWN-I1oV_STSDYn1IFDPWt_1FKiwhDph83XaGc0o0/edit?usp=sharing"",""งบพรบ!CA15"")"),0)</f>
        <v>0</v>
      </c>
      <c r="N157" s="837">
        <f ca="1">IFERROR(__xludf.DUMMYFUNCTION("IMPORTRANGE(""https://docs.google.com/spreadsheets/d/1MeEWN-I1oV_STSDYn1IFDPWt_1FKiwhDph83XaGc0o0/edit?usp=sharing"",""งบพรบ!CC15"")"),0)</f>
        <v>0</v>
      </c>
      <c r="O157" s="837">
        <f t="shared" ca="1" si="78"/>
        <v>0</v>
      </c>
      <c r="P157" s="837">
        <f t="shared" ca="1" si="79"/>
        <v>0</v>
      </c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</row>
    <row r="158" spans="1:26" ht="19.5">
      <c r="A158" s="949"/>
      <c r="B158" s="950"/>
      <c r="C158" s="946" t="s">
        <v>16</v>
      </c>
      <c r="D158" s="951" t="s">
        <v>38</v>
      </c>
      <c r="E158" s="952"/>
      <c r="F158" s="952"/>
      <c r="G158" s="953"/>
      <c r="H158" s="168"/>
      <c r="I158" s="830"/>
      <c r="J158" s="830"/>
      <c r="K158" s="831"/>
      <c r="L158" s="831"/>
      <c r="M158" s="831"/>
      <c r="N158" s="831"/>
      <c r="O158" s="831"/>
      <c r="P158" s="831"/>
    </row>
    <row r="159" spans="1:26" ht="19.5">
      <c r="A159" s="942"/>
      <c r="B159" s="827"/>
      <c r="C159" s="976"/>
      <c r="D159" s="943" t="s">
        <v>78</v>
      </c>
      <c r="E159" s="828"/>
      <c r="F159" s="827"/>
      <c r="G159" s="977"/>
      <c r="H159" s="168" t="s">
        <v>35</v>
      </c>
      <c r="I159" s="830">
        <f ca="1">IFERROR(__xludf.DUMMYFUNCTION("IMPORTRANGE(""https://docs.google.com/spreadsheets/d/1QqKyyYR6Q21VydFLVH3TRQUabQu_ym0Zz7PgGX0-kHA/edit?usp=sharing"",""แผน!X15"")"),20)</f>
        <v>20</v>
      </c>
      <c r="J159" s="959">
        <v>20</v>
      </c>
      <c r="K159" s="831">
        <f ca="1">IF(I159&gt;0,J159*100/I159,0)</f>
        <v>100</v>
      </c>
      <c r="L159" s="831"/>
      <c r="M159" s="831"/>
      <c r="N159" s="831"/>
      <c r="O159" s="831"/>
      <c r="P159" s="831"/>
    </row>
    <row r="160" spans="1:26" ht="19.5" hidden="1">
      <c r="A160" s="940"/>
      <c r="B160" s="833"/>
      <c r="C160" s="946"/>
      <c r="D160" s="834" t="s">
        <v>79</v>
      </c>
      <c r="E160" s="982"/>
      <c r="F160" s="833"/>
      <c r="G160" s="941"/>
      <c r="H160" s="169" t="s">
        <v>35</v>
      </c>
      <c r="I160" s="836"/>
      <c r="J160" s="836"/>
      <c r="K160" s="837"/>
      <c r="L160" s="837"/>
      <c r="M160" s="837"/>
      <c r="N160" s="837"/>
      <c r="O160" s="837"/>
      <c r="P160" s="83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983"/>
      <c r="B161" s="984"/>
      <c r="C161" s="985"/>
      <c r="D161" s="986" t="s">
        <v>80</v>
      </c>
      <c r="E161" s="987"/>
      <c r="F161" s="984"/>
      <c r="G161" s="988"/>
      <c r="H161" s="232" t="s">
        <v>35</v>
      </c>
      <c r="I161" s="989"/>
      <c r="J161" s="989"/>
      <c r="K161" s="990"/>
      <c r="L161" s="990"/>
      <c r="M161" s="990"/>
      <c r="N161" s="990"/>
      <c r="O161" s="990"/>
      <c r="P161" s="990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991" t="s">
        <v>81</v>
      </c>
      <c r="B162" s="992"/>
      <c r="C162" s="992"/>
      <c r="D162" s="992"/>
      <c r="E162" s="993"/>
      <c r="F162" s="993"/>
      <c r="G162" s="994"/>
      <c r="H162" s="995"/>
      <c r="I162" s="996"/>
      <c r="J162" s="996"/>
      <c r="K162" s="997"/>
      <c r="L162" s="997"/>
      <c r="M162" s="997"/>
      <c r="N162" s="997"/>
      <c r="O162" s="997"/>
      <c r="P162" s="997"/>
    </row>
    <row r="163" spans="1:26" ht="19.5">
      <c r="A163" s="998" t="s">
        <v>82</v>
      </c>
      <c r="B163" s="999"/>
      <c r="C163" s="999"/>
      <c r="D163" s="1000"/>
      <c r="E163" s="1000"/>
      <c r="F163" s="1000"/>
      <c r="G163" s="1001"/>
      <c r="H163" s="1002"/>
      <c r="I163" s="1003"/>
      <c r="J163" s="1003"/>
      <c r="K163" s="1004"/>
      <c r="L163" s="1004"/>
      <c r="M163" s="1004"/>
      <c r="N163" s="1004"/>
      <c r="O163" s="1004"/>
      <c r="P163" s="1004"/>
    </row>
    <row r="164" spans="1:26" ht="19.5">
      <c r="A164" s="1005"/>
      <c r="B164" s="1006" t="s">
        <v>83</v>
      </c>
      <c r="C164" s="1007"/>
      <c r="D164" s="952"/>
      <c r="E164" s="952"/>
      <c r="F164" s="952"/>
      <c r="G164" s="953"/>
      <c r="H164" s="252" t="s">
        <v>35</v>
      </c>
      <c r="I164" s="1008">
        <f t="shared" ref="I164:J164" ca="1" si="83">I174+I177</f>
        <v>10</v>
      </c>
      <c r="J164" s="1008">
        <f t="shared" si="83"/>
        <v>10</v>
      </c>
      <c r="K164" s="1009">
        <f ca="1">IF(I164&gt;0,J164*100/I164,0)</f>
        <v>100</v>
      </c>
      <c r="L164" s="1010"/>
      <c r="M164" s="1010"/>
      <c r="N164" s="1010"/>
      <c r="O164" s="1010"/>
      <c r="P164" s="1010"/>
    </row>
    <row r="165" spans="1:26" ht="19.5">
      <c r="A165" s="932"/>
      <c r="B165" s="933"/>
      <c r="C165" s="934" t="s">
        <v>16</v>
      </c>
      <c r="D165" s="935" t="s">
        <v>17</v>
      </c>
      <c r="E165" s="933"/>
      <c r="F165" s="933"/>
      <c r="G165" s="936"/>
      <c r="H165" s="152" t="s">
        <v>12</v>
      </c>
      <c r="I165" s="937"/>
      <c r="J165" s="937"/>
      <c r="K165" s="938"/>
      <c r="L165" s="939">
        <f t="shared" ref="L165:N165" ca="1" si="84">L166+L167</f>
        <v>21050</v>
      </c>
      <c r="M165" s="939">
        <f t="shared" ca="1" si="84"/>
        <v>42020</v>
      </c>
      <c r="N165" s="939">
        <f t="shared" ca="1" si="84"/>
        <v>20560</v>
      </c>
      <c r="O165" s="939">
        <f t="shared" ref="O165:O173" ca="1" si="85">IF(L165&gt;0,N165*100/L165,0)</f>
        <v>97.672209026128272</v>
      </c>
      <c r="P165" s="939">
        <f t="shared" ref="P165:P173" ca="1" si="86">IF(M165&gt;0,N165*100/M165,0)</f>
        <v>48.929081389814371</v>
      </c>
      <c r="Q165" s="818"/>
      <c r="R165" s="818"/>
      <c r="S165" s="818"/>
      <c r="T165" s="818"/>
      <c r="U165" s="818"/>
      <c r="V165" s="818"/>
      <c r="W165" s="818"/>
      <c r="X165" s="818"/>
      <c r="Y165" s="818"/>
      <c r="Z165" s="818"/>
    </row>
    <row r="166" spans="1:26" ht="18.75" hidden="1">
      <c r="A166" s="940"/>
      <c r="B166" s="833"/>
      <c r="C166" s="833"/>
      <c r="D166" s="833"/>
      <c r="E166" s="834" t="s">
        <v>18</v>
      </c>
      <c r="F166" s="833"/>
      <c r="G166" s="941"/>
      <c r="H166" s="158" t="s">
        <v>12</v>
      </c>
      <c r="I166" s="836"/>
      <c r="J166" s="836"/>
      <c r="K166" s="837"/>
      <c r="L166" s="837">
        <f t="shared" ref="L166:N167" si="87">L169+L172</f>
        <v>0</v>
      </c>
      <c r="M166" s="837">
        <f t="shared" si="87"/>
        <v>0</v>
      </c>
      <c r="N166" s="837">
        <f t="shared" si="87"/>
        <v>0</v>
      </c>
      <c r="O166" s="837">
        <f t="shared" si="85"/>
        <v>0</v>
      </c>
      <c r="P166" s="837">
        <f t="shared" si="86"/>
        <v>0</v>
      </c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</row>
    <row r="167" spans="1:26" ht="18.75" hidden="1">
      <c r="A167" s="940"/>
      <c r="B167" s="833"/>
      <c r="C167" s="833"/>
      <c r="D167" s="833"/>
      <c r="E167" s="834" t="s">
        <v>19</v>
      </c>
      <c r="F167" s="833"/>
      <c r="G167" s="941"/>
      <c r="H167" s="158" t="s">
        <v>12</v>
      </c>
      <c r="I167" s="836"/>
      <c r="J167" s="836"/>
      <c r="K167" s="837"/>
      <c r="L167" s="837">
        <f t="shared" ca="1" si="87"/>
        <v>21050</v>
      </c>
      <c r="M167" s="837">
        <f t="shared" ca="1" si="87"/>
        <v>42020</v>
      </c>
      <c r="N167" s="837">
        <f t="shared" ca="1" si="87"/>
        <v>20560</v>
      </c>
      <c r="O167" s="837">
        <f t="shared" ca="1" si="85"/>
        <v>97.672209026128272</v>
      </c>
      <c r="P167" s="837">
        <f t="shared" ca="1" si="86"/>
        <v>48.929081389814371</v>
      </c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</row>
    <row r="168" spans="1:26" ht="18.75">
      <c r="A168" s="942"/>
      <c r="B168" s="827"/>
      <c r="C168" s="943"/>
      <c r="D168" s="828" t="s">
        <v>20</v>
      </c>
      <c r="E168" s="827"/>
      <c r="F168" s="827"/>
      <c r="G168" s="829"/>
      <c r="H168" s="778" t="s">
        <v>12</v>
      </c>
      <c r="I168" s="944"/>
      <c r="J168" s="944"/>
      <c r="K168" s="945"/>
      <c r="L168" s="831">
        <f t="shared" ref="L168:N168" ca="1" si="88">L169+L170</f>
        <v>21050</v>
      </c>
      <c r="M168" s="831">
        <f t="shared" ca="1" si="88"/>
        <v>42020</v>
      </c>
      <c r="N168" s="831">
        <f t="shared" ca="1" si="88"/>
        <v>20560</v>
      </c>
      <c r="O168" s="831">
        <f t="shared" ca="1" si="85"/>
        <v>97.672209026128272</v>
      </c>
      <c r="P168" s="831">
        <f t="shared" ca="1" si="86"/>
        <v>48.929081389814371</v>
      </c>
      <c r="Q168" s="818"/>
      <c r="R168" s="818"/>
      <c r="S168" s="818"/>
      <c r="T168" s="818"/>
      <c r="U168" s="818"/>
      <c r="V168" s="818"/>
      <c r="W168" s="818"/>
      <c r="X168" s="818"/>
      <c r="Y168" s="818"/>
      <c r="Z168" s="818"/>
    </row>
    <row r="169" spans="1:26" ht="19.5" hidden="1">
      <c r="A169" s="940"/>
      <c r="B169" s="833"/>
      <c r="C169" s="946"/>
      <c r="D169" s="833"/>
      <c r="E169" s="834" t="s">
        <v>36</v>
      </c>
      <c r="F169" s="833"/>
      <c r="G169" s="941"/>
      <c r="H169" s="165" t="s">
        <v>12</v>
      </c>
      <c r="I169" s="947"/>
      <c r="J169" s="947"/>
      <c r="K169" s="948"/>
      <c r="L169" s="837">
        <v>0</v>
      </c>
      <c r="M169" s="837">
        <v>0</v>
      </c>
      <c r="N169" s="837">
        <v>0</v>
      </c>
      <c r="O169" s="837">
        <f t="shared" si="85"/>
        <v>0</v>
      </c>
      <c r="P169" s="837">
        <f t="shared" si="86"/>
        <v>0</v>
      </c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</row>
    <row r="170" spans="1:26" ht="19.5" hidden="1">
      <c r="A170" s="940"/>
      <c r="B170" s="833"/>
      <c r="C170" s="946"/>
      <c r="D170" s="833"/>
      <c r="E170" s="834" t="s">
        <v>37</v>
      </c>
      <c r="F170" s="833"/>
      <c r="G170" s="941"/>
      <c r="H170" s="165" t="s">
        <v>12</v>
      </c>
      <c r="I170" s="947"/>
      <c r="J170" s="947"/>
      <c r="K170" s="948"/>
      <c r="L170" s="837">
        <f ca="1">IFERROR(__xludf.DUMMYFUNCTION("IMPORTRANGE(""https://docs.google.com/spreadsheets/d/1MeEWN-I1oV_STSDYn1IFDPWt_1FKiwhDph83XaGc0o0/edit?usp=sharing"",""งบพรบ!CE15"")"),21050)</f>
        <v>21050</v>
      </c>
      <c r="M170" s="837">
        <f ca="1">IFERROR(__xludf.DUMMYFUNCTION("IMPORTRANGE(""https://docs.google.com/spreadsheets/d/1MeEWN-I1oV_STSDYn1IFDPWt_1FKiwhDph83XaGc0o0/edit?usp=sharing"",""งบพรบ!CJ15"")"),42020)</f>
        <v>42020</v>
      </c>
      <c r="N170" s="837">
        <f ca="1">IFERROR(__xludf.DUMMYFUNCTION("IMPORTRANGE(""https://docs.google.com/spreadsheets/d/1MeEWN-I1oV_STSDYn1IFDPWt_1FKiwhDph83XaGc0o0/edit?usp=sharing"",""งบพรบ!CL15"")"),20560)</f>
        <v>20560</v>
      </c>
      <c r="O170" s="837">
        <f t="shared" ca="1" si="85"/>
        <v>97.672209026128272</v>
      </c>
      <c r="P170" s="837">
        <f t="shared" ca="1" si="86"/>
        <v>48.929081389814371</v>
      </c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</row>
    <row r="171" spans="1:26" ht="18.75">
      <c r="A171" s="942"/>
      <c r="B171" s="827"/>
      <c r="C171" s="943"/>
      <c r="D171" s="828" t="s">
        <v>21</v>
      </c>
      <c r="E171" s="827"/>
      <c r="F171" s="827"/>
      <c r="G171" s="829"/>
      <c r="H171" s="168" t="s">
        <v>12</v>
      </c>
      <c r="I171" s="944"/>
      <c r="J171" s="944"/>
      <c r="K171" s="945"/>
      <c r="L171" s="831">
        <f t="shared" ref="L171:N171" ca="1" si="89">L172+L173</f>
        <v>0</v>
      </c>
      <c r="M171" s="831">
        <f t="shared" ca="1" si="89"/>
        <v>0</v>
      </c>
      <c r="N171" s="831">
        <f t="shared" ca="1" si="89"/>
        <v>0</v>
      </c>
      <c r="O171" s="831">
        <f t="shared" ca="1" si="85"/>
        <v>0</v>
      </c>
      <c r="P171" s="831">
        <f t="shared" ca="1" si="86"/>
        <v>0</v>
      </c>
      <c r="Q171" s="818"/>
      <c r="R171" s="818"/>
      <c r="S171" s="818"/>
      <c r="T171" s="818"/>
      <c r="U171" s="818"/>
      <c r="V171" s="818"/>
      <c r="W171" s="818"/>
      <c r="X171" s="818"/>
      <c r="Y171" s="818"/>
      <c r="Z171" s="818"/>
    </row>
    <row r="172" spans="1:26" ht="19.5" hidden="1">
      <c r="A172" s="940"/>
      <c r="B172" s="833"/>
      <c r="C172" s="946"/>
      <c r="D172" s="833"/>
      <c r="E172" s="834" t="s">
        <v>18</v>
      </c>
      <c r="F172" s="833"/>
      <c r="G172" s="941"/>
      <c r="H172" s="165" t="s">
        <v>12</v>
      </c>
      <c r="I172" s="947"/>
      <c r="J172" s="947"/>
      <c r="K172" s="948"/>
      <c r="L172" s="837">
        <v>0</v>
      </c>
      <c r="M172" s="837">
        <v>0</v>
      </c>
      <c r="N172" s="837">
        <v>0</v>
      </c>
      <c r="O172" s="837">
        <f t="shared" si="85"/>
        <v>0</v>
      </c>
      <c r="P172" s="837">
        <f t="shared" si="86"/>
        <v>0</v>
      </c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</row>
    <row r="173" spans="1:26" ht="19.5" hidden="1">
      <c r="A173" s="940"/>
      <c r="B173" s="833"/>
      <c r="C173" s="946"/>
      <c r="D173" s="833"/>
      <c r="E173" s="834" t="s">
        <v>19</v>
      </c>
      <c r="F173" s="833"/>
      <c r="G173" s="941"/>
      <c r="H173" s="169" t="s">
        <v>12</v>
      </c>
      <c r="I173" s="947"/>
      <c r="J173" s="947"/>
      <c r="K173" s="948"/>
      <c r="L173" s="837">
        <f ca="1">IFERROR(__xludf.DUMMYFUNCTION("IMPORTRANGE(""https://docs.google.com/spreadsheets/d/1MeEWN-I1oV_STSDYn1IFDPWt_1FKiwhDph83XaGc0o0/edit?usp=sharing"",""งบพรบ!CH15"")"),0)</f>
        <v>0</v>
      </c>
      <c r="M173" s="837">
        <f ca="1">IFERROR(__xludf.DUMMYFUNCTION("IMPORTRANGE(""https://docs.google.com/spreadsheets/d/1MeEWN-I1oV_STSDYn1IFDPWt_1FKiwhDph83XaGc0o0/edit?usp=sharing"",""งบพรบ!CK15"")"),0)</f>
        <v>0</v>
      </c>
      <c r="N173" s="837">
        <f ca="1">IFERROR(__xludf.DUMMYFUNCTION("IMPORTRANGE(""https://docs.google.com/spreadsheets/d/1MeEWN-I1oV_STSDYn1IFDPWt_1FKiwhDph83XaGc0o0/edit?usp=sharing"",""งบพรบ!CM15"")"),0)</f>
        <v>0</v>
      </c>
      <c r="O173" s="837">
        <f t="shared" ca="1" si="85"/>
        <v>0</v>
      </c>
      <c r="P173" s="837">
        <f t="shared" ca="1" si="86"/>
        <v>0</v>
      </c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</row>
    <row r="174" spans="1:26" ht="19.5">
      <c r="A174" s="1011"/>
      <c r="B174" s="1012"/>
      <c r="C174" s="1013" t="s">
        <v>84</v>
      </c>
      <c r="D174" s="1012"/>
      <c r="E174" s="1012"/>
      <c r="F174" s="1012"/>
      <c r="G174" s="1014"/>
      <c r="H174" s="260" t="s">
        <v>35</v>
      </c>
      <c r="I174" s="1015">
        <f t="shared" ref="I174:J174" ca="1" si="90">I176</f>
        <v>10</v>
      </c>
      <c r="J174" s="1015">
        <f t="shared" si="90"/>
        <v>10</v>
      </c>
      <c r="K174" s="1016">
        <f ca="1">IF(I174&gt;0,J174*100/I174,0)</f>
        <v>100</v>
      </c>
      <c r="L174" s="1016"/>
      <c r="M174" s="1016"/>
      <c r="N174" s="1016"/>
      <c r="O174" s="1016"/>
      <c r="P174" s="1016"/>
    </row>
    <row r="175" spans="1:26" ht="19.5">
      <c r="A175" s="949"/>
      <c r="B175" s="950"/>
      <c r="C175" s="946" t="s">
        <v>16</v>
      </c>
      <c r="D175" s="951" t="s">
        <v>38</v>
      </c>
      <c r="E175" s="952"/>
      <c r="F175" s="952"/>
      <c r="G175" s="953"/>
      <c r="H175" s="954"/>
      <c r="I175" s="944"/>
      <c r="J175" s="944"/>
      <c r="K175" s="945"/>
      <c r="L175" s="945"/>
      <c r="M175" s="945"/>
      <c r="N175" s="945"/>
      <c r="O175" s="945"/>
      <c r="P175" s="945"/>
    </row>
    <row r="176" spans="1:26" ht="18.75">
      <c r="A176" s="949"/>
      <c r="B176" s="950"/>
      <c r="C176" s="950"/>
      <c r="D176" s="1017" t="s">
        <v>85</v>
      </c>
      <c r="E176" s="957"/>
      <c r="F176" s="957"/>
      <c r="G176" s="958"/>
      <c r="H176" s="590" t="s">
        <v>35</v>
      </c>
      <c r="I176" s="830">
        <f ca="1">IFERROR(__xludf.DUMMYFUNCTION("IMPORTRANGE(""https://docs.google.com/spreadsheets/d/1QqKyyYR6Q21VydFLVH3TRQUabQu_ym0Zz7PgGX0-kHA/edit?usp=sharing"",""แผน!Y15"")"),10)</f>
        <v>10</v>
      </c>
      <c r="J176" s="959">
        <v>10</v>
      </c>
      <c r="K176" s="945">
        <f ca="1">IF(I176&gt;0,J176*100/I176,0)</f>
        <v>100</v>
      </c>
      <c r="L176" s="945"/>
      <c r="M176" s="945"/>
      <c r="N176" s="945"/>
      <c r="O176" s="945"/>
      <c r="P176" s="945"/>
    </row>
    <row r="177" spans="1:26" ht="19.5" hidden="1">
      <c r="A177" s="1011"/>
      <c r="B177" s="1018"/>
      <c r="C177" s="1019" t="s">
        <v>86</v>
      </c>
      <c r="D177" s="1018"/>
      <c r="E177" s="1012"/>
      <c r="F177" s="1012"/>
      <c r="G177" s="1014"/>
      <c r="H177" s="266" t="s">
        <v>35</v>
      </c>
      <c r="I177" s="1015"/>
      <c r="J177" s="1015">
        <f>J179</f>
        <v>0</v>
      </c>
      <c r="K177" s="1016"/>
      <c r="L177" s="1016"/>
      <c r="M177" s="1016"/>
      <c r="N177" s="1016"/>
      <c r="O177" s="1016"/>
      <c r="P177" s="1016"/>
    </row>
    <row r="178" spans="1:26" ht="19.5" hidden="1">
      <c r="A178" s="949"/>
      <c r="B178" s="950"/>
      <c r="C178" s="946" t="s">
        <v>16</v>
      </c>
      <c r="D178" s="1020" t="s">
        <v>38</v>
      </c>
      <c r="E178" s="952"/>
      <c r="F178" s="952"/>
      <c r="G178" s="953"/>
      <c r="H178" s="954"/>
      <c r="I178" s="944"/>
      <c r="J178" s="944"/>
      <c r="K178" s="945"/>
      <c r="L178" s="945"/>
      <c r="M178" s="945"/>
      <c r="N178" s="945"/>
      <c r="O178" s="945"/>
      <c r="P178" s="945"/>
    </row>
    <row r="179" spans="1:26" ht="18.75" hidden="1">
      <c r="A179" s="949"/>
      <c r="B179" s="950"/>
      <c r="C179" s="950"/>
      <c r="D179" s="1021" t="s">
        <v>87</v>
      </c>
      <c r="E179" s="957"/>
      <c r="F179" s="1022"/>
      <c r="G179" s="958"/>
      <c r="H179" s="43" t="s">
        <v>35</v>
      </c>
      <c r="I179" s="830"/>
      <c r="J179" s="830"/>
      <c r="K179" s="945"/>
      <c r="L179" s="945"/>
      <c r="M179" s="945"/>
      <c r="N179" s="945"/>
      <c r="O179" s="945"/>
      <c r="P179" s="945"/>
    </row>
    <row r="180" spans="1:26" ht="19.5">
      <c r="A180" s="1005"/>
      <c r="B180" s="1006" t="s">
        <v>88</v>
      </c>
      <c r="C180" s="1007"/>
      <c r="D180" s="952"/>
      <c r="E180" s="952"/>
      <c r="F180" s="952"/>
      <c r="G180" s="953"/>
      <c r="H180" s="252" t="s">
        <v>35</v>
      </c>
      <c r="I180" s="1008">
        <f t="shared" ref="I180:J180" ca="1" si="91">I225+I226</f>
        <v>10</v>
      </c>
      <c r="J180" s="1008">
        <f t="shared" si="91"/>
        <v>10</v>
      </c>
      <c r="K180" s="1009">
        <f ca="1">IF(I180&gt;0,J180*100/I180,0)</f>
        <v>100</v>
      </c>
      <c r="L180" s="1010"/>
      <c r="M180" s="1010"/>
      <c r="N180" s="1010"/>
      <c r="O180" s="1010"/>
      <c r="P180" s="1010"/>
    </row>
    <row r="181" spans="1:26" ht="19.5">
      <c r="A181" s="932"/>
      <c r="B181" s="933"/>
      <c r="C181" s="934" t="s">
        <v>16</v>
      </c>
      <c r="D181" s="935" t="s">
        <v>17</v>
      </c>
      <c r="E181" s="933"/>
      <c r="F181" s="933"/>
      <c r="G181" s="936"/>
      <c r="H181" s="152" t="s">
        <v>12</v>
      </c>
      <c r="I181" s="937"/>
      <c r="J181" s="937"/>
      <c r="K181" s="938"/>
      <c r="L181" s="939">
        <f t="shared" ref="L181:N181" ca="1" si="92">L182+L183</f>
        <v>612200</v>
      </c>
      <c r="M181" s="939">
        <f t="shared" ca="1" si="92"/>
        <v>469025</v>
      </c>
      <c r="N181" s="939">
        <f t="shared" ca="1" si="92"/>
        <v>319359.59999999998</v>
      </c>
      <c r="O181" s="939">
        <f t="shared" ref="O181:O189" ca="1" si="93">IF(L181&gt;0,N181*100/L181,0)</f>
        <v>52.165893498856576</v>
      </c>
      <c r="P181" s="939">
        <f t="shared" ref="P181:P189" ca="1" si="94">IF(M181&gt;0,N181*100/M181,0)</f>
        <v>68.090101806939927</v>
      </c>
      <c r="Q181" s="818"/>
      <c r="R181" s="818"/>
      <c r="S181" s="818"/>
      <c r="T181" s="818"/>
      <c r="U181" s="818"/>
      <c r="V181" s="818"/>
      <c r="W181" s="818"/>
      <c r="X181" s="818"/>
      <c r="Y181" s="818"/>
      <c r="Z181" s="818"/>
    </row>
    <row r="182" spans="1:26" ht="18.75" hidden="1">
      <c r="A182" s="940"/>
      <c r="B182" s="833"/>
      <c r="C182" s="833"/>
      <c r="D182" s="833"/>
      <c r="E182" s="834" t="s">
        <v>18</v>
      </c>
      <c r="F182" s="833"/>
      <c r="G182" s="941"/>
      <c r="H182" s="158" t="s">
        <v>12</v>
      </c>
      <c r="I182" s="836"/>
      <c r="J182" s="836"/>
      <c r="K182" s="837"/>
      <c r="L182" s="837">
        <f t="shared" ref="L182:N183" si="95">L185+L188</f>
        <v>0</v>
      </c>
      <c r="M182" s="837">
        <f t="shared" si="95"/>
        <v>0</v>
      </c>
      <c r="N182" s="837">
        <f t="shared" si="95"/>
        <v>0</v>
      </c>
      <c r="O182" s="837">
        <f t="shared" si="93"/>
        <v>0</v>
      </c>
      <c r="P182" s="837">
        <f t="shared" si="94"/>
        <v>0</v>
      </c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</row>
    <row r="183" spans="1:26" ht="18.75" hidden="1">
      <c r="A183" s="940"/>
      <c r="B183" s="833"/>
      <c r="C183" s="833"/>
      <c r="D183" s="833"/>
      <c r="E183" s="834" t="s">
        <v>19</v>
      </c>
      <c r="F183" s="833"/>
      <c r="G183" s="941"/>
      <c r="H183" s="158" t="s">
        <v>12</v>
      </c>
      <c r="I183" s="836"/>
      <c r="J183" s="836"/>
      <c r="K183" s="837"/>
      <c r="L183" s="837">
        <f t="shared" ca="1" si="95"/>
        <v>612200</v>
      </c>
      <c r="M183" s="837">
        <f t="shared" ca="1" si="95"/>
        <v>469025</v>
      </c>
      <c r="N183" s="837">
        <f t="shared" ca="1" si="95"/>
        <v>319359.59999999998</v>
      </c>
      <c r="O183" s="837">
        <f t="shared" ca="1" si="93"/>
        <v>52.165893498856576</v>
      </c>
      <c r="P183" s="837">
        <f t="shared" ca="1" si="94"/>
        <v>68.090101806939927</v>
      </c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</row>
    <row r="184" spans="1:26" ht="18.75">
      <c r="A184" s="942"/>
      <c r="B184" s="827"/>
      <c r="C184" s="943"/>
      <c r="D184" s="828" t="s">
        <v>20</v>
      </c>
      <c r="E184" s="827"/>
      <c r="F184" s="827"/>
      <c r="G184" s="829"/>
      <c r="H184" s="778" t="s">
        <v>12</v>
      </c>
      <c r="I184" s="944"/>
      <c r="J184" s="944"/>
      <c r="K184" s="945"/>
      <c r="L184" s="831">
        <f t="shared" ref="L184:N184" ca="1" si="96">L185+L186</f>
        <v>612200</v>
      </c>
      <c r="M184" s="831">
        <f t="shared" ca="1" si="96"/>
        <v>469025</v>
      </c>
      <c r="N184" s="831">
        <f t="shared" ca="1" si="96"/>
        <v>319359.59999999998</v>
      </c>
      <c r="O184" s="831">
        <f t="shared" ca="1" si="93"/>
        <v>52.165893498856576</v>
      </c>
      <c r="P184" s="831">
        <f t="shared" ca="1" si="94"/>
        <v>68.090101806939927</v>
      </c>
      <c r="Q184" s="818"/>
      <c r="R184" s="818"/>
      <c r="S184" s="818"/>
      <c r="T184" s="818"/>
      <c r="U184" s="818"/>
      <c r="V184" s="818"/>
      <c r="W184" s="818"/>
      <c r="X184" s="818"/>
      <c r="Y184" s="818"/>
      <c r="Z184" s="818"/>
    </row>
    <row r="185" spans="1:26" ht="19.5" hidden="1">
      <c r="A185" s="940"/>
      <c r="B185" s="833"/>
      <c r="C185" s="946"/>
      <c r="D185" s="833"/>
      <c r="E185" s="834" t="s">
        <v>36</v>
      </c>
      <c r="F185" s="833"/>
      <c r="G185" s="941"/>
      <c r="H185" s="165" t="s">
        <v>12</v>
      </c>
      <c r="I185" s="947"/>
      <c r="J185" s="947"/>
      <c r="K185" s="948"/>
      <c r="L185" s="837">
        <v>0</v>
      </c>
      <c r="M185" s="837">
        <v>0</v>
      </c>
      <c r="N185" s="837">
        <v>0</v>
      </c>
      <c r="O185" s="837">
        <f t="shared" si="93"/>
        <v>0</v>
      </c>
      <c r="P185" s="837">
        <f t="shared" si="94"/>
        <v>0</v>
      </c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</row>
    <row r="186" spans="1:26" ht="19.5" hidden="1">
      <c r="A186" s="940"/>
      <c r="B186" s="833"/>
      <c r="C186" s="946"/>
      <c r="D186" s="833"/>
      <c r="E186" s="834" t="s">
        <v>37</v>
      </c>
      <c r="F186" s="833"/>
      <c r="G186" s="941"/>
      <c r="H186" s="165" t="s">
        <v>12</v>
      </c>
      <c r="I186" s="947"/>
      <c r="J186" s="947"/>
      <c r="K186" s="948"/>
      <c r="L186" s="837">
        <f ca="1">IFERROR(__xludf.DUMMYFUNCTION("IMPORTRANGE(""https://docs.google.com/spreadsheets/d/1MeEWN-I1oV_STSDYn1IFDPWt_1FKiwhDph83XaGc0o0/edit?usp=sharing"",""งบพรบ!CO15"")"),612200)</f>
        <v>612200</v>
      </c>
      <c r="M186" s="837">
        <f ca="1">IFERROR(__xludf.DUMMYFUNCTION("IMPORTRANGE(""https://docs.google.com/spreadsheets/d/1MeEWN-I1oV_STSDYn1IFDPWt_1FKiwhDph83XaGc0o0/edit?usp=sharing"",""งบพรบ!CT15"")"),469025)</f>
        <v>469025</v>
      </c>
      <c r="N186" s="837">
        <f ca="1">IFERROR(__xludf.DUMMYFUNCTION("IMPORTRANGE(""https://docs.google.com/spreadsheets/d/1MeEWN-I1oV_STSDYn1IFDPWt_1FKiwhDph83XaGc0o0/edit?usp=sharing"",""งบพรบ!CV15"")"),319359.6)</f>
        <v>319359.59999999998</v>
      </c>
      <c r="O186" s="837">
        <f t="shared" ca="1" si="93"/>
        <v>52.165893498856576</v>
      </c>
      <c r="P186" s="837">
        <f t="shared" ca="1" si="94"/>
        <v>68.090101806939927</v>
      </c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</row>
    <row r="187" spans="1:26" ht="18.75">
      <c r="A187" s="942"/>
      <c r="B187" s="827"/>
      <c r="C187" s="943"/>
      <c r="D187" s="828" t="s">
        <v>21</v>
      </c>
      <c r="E187" s="827"/>
      <c r="F187" s="827"/>
      <c r="G187" s="829"/>
      <c r="H187" s="168" t="s">
        <v>12</v>
      </c>
      <c r="I187" s="944"/>
      <c r="J187" s="944"/>
      <c r="K187" s="945"/>
      <c r="L187" s="831">
        <f t="shared" ref="L187:N187" ca="1" si="97">L188+L189</f>
        <v>0</v>
      </c>
      <c r="M187" s="831">
        <f t="shared" ca="1" si="97"/>
        <v>0</v>
      </c>
      <c r="N187" s="831">
        <f t="shared" ca="1" si="97"/>
        <v>0</v>
      </c>
      <c r="O187" s="831">
        <f t="shared" ca="1" si="93"/>
        <v>0</v>
      </c>
      <c r="P187" s="831">
        <f t="shared" ca="1" si="94"/>
        <v>0</v>
      </c>
      <c r="Q187" s="818"/>
      <c r="R187" s="818"/>
      <c r="S187" s="818"/>
      <c r="T187" s="818"/>
      <c r="U187" s="818"/>
      <c r="V187" s="818"/>
      <c r="W187" s="818"/>
      <c r="X187" s="818"/>
      <c r="Y187" s="818"/>
      <c r="Z187" s="818"/>
    </row>
    <row r="188" spans="1:26" ht="19.5" hidden="1">
      <c r="A188" s="940"/>
      <c r="B188" s="833"/>
      <c r="C188" s="946"/>
      <c r="D188" s="833"/>
      <c r="E188" s="834" t="s">
        <v>18</v>
      </c>
      <c r="F188" s="833"/>
      <c r="G188" s="941"/>
      <c r="H188" s="165" t="s">
        <v>12</v>
      </c>
      <c r="I188" s="947"/>
      <c r="J188" s="947"/>
      <c r="K188" s="948"/>
      <c r="L188" s="837">
        <v>0</v>
      </c>
      <c r="M188" s="837">
        <v>0</v>
      </c>
      <c r="N188" s="837">
        <v>0</v>
      </c>
      <c r="O188" s="837">
        <f t="shared" si="93"/>
        <v>0</v>
      </c>
      <c r="P188" s="837">
        <f t="shared" si="94"/>
        <v>0</v>
      </c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</row>
    <row r="189" spans="1:26" ht="19.5" hidden="1">
      <c r="A189" s="940"/>
      <c r="B189" s="833"/>
      <c r="C189" s="946"/>
      <c r="D189" s="833"/>
      <c r="E189" s="834" t="s">
        <v>19</v>
      </c>
      <c r="F189" s="833"/>
      <c r="G189" s="941"/>
      <c r="H189" s="169" t="s">
        <v>12</v>
      </c>
      <c r="I189" s="947"/>
      <c r="J189" s="947"/>
      <c r="K189" s="948"/>
      <c r="L189" s="837">
        <f ca="1">IFERROR(__xludf.DUMMYFUNCTION("IMPORTRANGE(""https://docs.google.com/spreadsheets/d/1MeEWN-I1oV_STSDYn1IFDPWt_1FKiwhDph83XaGc0o0/edit?usp=sharing"",""งบพรบ!CR15"")"),0)</f>
        <v>0</v>
      </c>
      <c r="M189" s="837">
        <f ca="1">IFERROR(__xludf.DUMMYFUNCTION("IMPORTRANGE(""https://docs.google.com/spreadsheets/d/1MeEWN-I1oV_STSDYn1IFDPWt_1FKiwhDph83XaGc0o0/edit?usp=sharing"",""งบพรบ!CU15"")"),0)</f>
        <v>0</v>
      </c>
      <c r="N189" s="837">
        <f ca="1">IFERROR(__xludf.DUMMYFUNCTION("IMPORTRANGE(""https://docs.google.com/spreadsheets/d/1MeEWN-I1oV_STSDYn1IFDPWt_1FKiwhDph83XaGc0o0/edit?usp=sharing"",""งบพรบ!CW15"")"),0)</f>
        <v>0</v>
      </c>
      <c r="O189" s="837">
        <f t="shared" ca="1" si="93"/>
        <v>0</v>
      </c>
      <c r="P189" s="837">
        <f t="shared" ca="1" si="94"/>
        <v>0</v>
      </c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</row>
    <row r="190" spans="1:26" ht="19.5">
      <c r="A190" s="1011"/>
      <c r="B190" s="1018"/>
      <c r="C190" s="1023" t="s">
        <v>89</v>
      </c>
      <c r="D190" s="1012"/>
      <c r="E190" s="1012"/>
      <c r="F190" s="1012"/>
      <c r="G190" s="1014"/>
      <c r="H190" s="260" t="s">
        <v>90</v>
      </c>
      <c r="I190" s="1024">
        <f t="shared" ref="I190:J190" ca="1" si="98">I193</f>
        <v>4</v>
      </c>
      <c r="J190" s="1024">
        <f t="shared" si="98"/>
        <v>2</v>
      </c>
      <c r="K190" s="1025">
        <f ca="1">IF(I190&gt;0,J190*100/I190,0)</f>
        <v>50</v>
      </c>
      <c r="L190" s="1016"/>
      <c r="M190" s="1016"/>
      <c r="N190" s="1016"/>
      <c r="O190" s="1016"/>
      <c r="P190" s="1016"/>
    </row>
    <row r="191" spans="1:26" ht="19.5">
      <c r="A191" s="932"/>
      <c r="B191" s="933"/>
      <c r="C191" s="934" t="s">
        <v>16</v>
      </c>
      <c r="D191" s="1026" t="s">
        <v>17</v>
      </c>
      <c r="E191" s="933"/>
      <c r="F191" s="933"/>
      <c r="G191" s="936"/>
      <c r="H191" s="275" t="s">
        <v>12</v>
      </c>
      <c r="I191" s="937"/>
      <c r="J191" s="937"/>
      <c r="K191" s="938"/>
      <c r="L191" s="939">
        <f ca="1">IFERROR(__xludf.DUMMYFUNCTION("IMPORTRANGE(""https://docs.google.com/spreadsheets/d/1QqKyyYR6Q21VydFLVH3TRQUabQu_ym0Zz7PgGX0-kHA/edit?usp=sharing"",""แผน!Z15"")"),6000)</f>
        <v>6000</v>
      </c>
      <c r="M191" s="939"/>
      <c r="N191" s="1027">
        <v>120</v>
      </c>
      <c r="O191" s="939">
        <f ca="1">IF(L191&gt;0,N191*100/L191,0)</f>
        <v>2</v>
      </c>
      <c r="P191" s="939">
        <f>IF(M191&gt;0,N191*100/M191,0)</f>
        <v>0</v>
      </c>
      <c r="Q191" s="818"/>
      <c r="R191" s="818"/>
      <c r="S191" s="818"/>
      <c r="T191" s="818"/>
      <c r="U191" s="818"/>
      <c r="V191" s="818"/>
      <c r="W191" s="818"/>
      <c r="X191" s="818"/>
      <c r="Y191" s="818"/>
      <c r="Z191" s="818"/>
    </row>
    <row r="192" spans="1:26" ht="19.5">
      <c r="A192" s="949"/>
      <c r="B192" s="950"/>
      <c r="C192" s="976" t="s">
        <v>16</v>
      </c>
      <c r="D192" s="951" t="s">
        <v>38</v>
      </c>
      <c r="E192" s="952"/>
      <c r="F192" s="952"/>
      <c r="G192" s="953"/>
      <c r="H192" s="954"/>
      <c r="I192" s="830"/>
      <c r="J192" s="830"/>
      <c r="K192" s="831"/>
      <c r="L192" s="831"/>
      <c r="M192" s="831"/>
      <c r="N192" s="831"/>
      <c r="O192" s="831"/>
      <c r="P192" s="831"/>
      <c r="Q192" s="818"/>
      <c r="R192" s="818"/>
      <c r="S192" s="818"/>
      <c r="T192" s="818"/>
      <c r="U192" s="818"/>
      <c r="V192" s="818"/>
      <c r="W192" s="818"/>
      <c r="X192" s="818"/>
      <c r="Y192" s="818"/>
      <c r="Z192" s="818"/>
    </row>
    <row r="193" spans="1:26" ht="18.75">
      <c r="A193" s="949"/>
      <c r="B193" s="950"/>
      <c r="C193" s="950"/>
      <c r="D193" s="956" t="s">
        <v>91</v>
      </c>
      <c r="E193" s="957"/>
      <c r="F193" s="957"/>
      <c r="G193" s="958"/>
      <c r="H193" s="730" t="s">
        <v>90</v>
      </c>
      <c r="I193" s="830">
        <f ca="1">IFERROR(__xludf.DUMMYFUNCTION("IMPORTRANGE(""https://docs.google.com/spreadsheets/d/1QqKyyYR6Q21VydFLVH3TRQUabQu_ym0Zz7PgGX0-kHA/edit?usp=sharing"",""แผน!AC15"")"),4)</f>
        <v>4</v>
      </c>
      <c r="J193" s="959">
        <v>2</v>
      </c>
      <c r="K193" s="831">
        <f ca="1">IF(I193&gt;0,J193*100/I193,0)</f>
        <v>50</v>
      </c>
      <c r="L193" s="831"/>
      <c r="M193" s="831"/>
      <c r="N193" s="831"/>
      <c r="O193" s="831"/>
      <c r="P193" s="831"/>
      <c r="Q193" s="818"/>
      <c r="R193" s="818"/>
      <c r="S193" s="818"/>
      <c r="T193" s="818"/>
      <c r="U193" s="818"/>
      <c r="V193" s="818"/>
      <c r="W193" s="818"/>
      <c r="X193" s="818"/>
      <c r="Y193" s="818"/>
      <c r="Z193" s="818"/>
    </row>
    <row r="194" spans="1:26" ht="18.75">
      <c r="A194" s="949"/>
      <c r="B194" s="950"/>
      <c r="C194" s="950"/>
      <c r="D194" s="956" t="s">
        <v>92</v>
      </c>
      <c r="E194" s="957"/>
      <c r="F194" s="957"/>
      <c r="G194" s="958"/>
      <c r="H194" s="277" t="s">
        <v>35</v>
      </c>
      <c r="I194" s="830"/>
      <c r="J194" s="830">
        <f>J195+J196</f>
        <v>37</v>
      </c>
      <c r="K194" s="831"/>
      <c r="L194" s="831"/>
      <c r="M194" s="831"/>
      <c r="N194" s="831"/>
      <c r="O194" s="831"/>
      <c r="P194" s="831"/>
      <c r="Q194" s="818"/>
      <c r="R194" s="818"/>
      <c r="S194" s="818"/>
      <c r="T194" s="818"/>
      <c r="U194" s="818"/>
      <c r="V194" s="818"/>
      <c r="W194" s="818"/>
      <c r="X194" s="818"/>
      <c r="Y194" s="818"/>
      <c r="Z194" s="818"/>
    </row>
    <row r="195" spans="1:26" ht="18.75">
      <c r="A195" s="949"/>
      <c r="B195" s="950"/>
      <c r="C195" s="950"/>
      <c r="D195" s="950"/>
      <c r="E195" s="956" t="s">
        <v>93</v>
      </c>
      <c r="F195" s="957"/>
      <c r="G195" s="958"/>
      <c r="H195" s="277" t="s">
        <v>35</v>
      </c>
      <c r="I195" s="830"/>
      <c r="J195" s="959">
        <v>37</v>
      </c>
      <c r="K195" s="831"/>
      <c r="L195" s="831"/>
      <c r="M195" s="831"/>
      <c r="N195" s="831"/>
      <c r="O195" s="831"/>
      <c r="P195" s="831"/>
      <c r="Q195" s="818"/>
      <c r="R195" s="818"/>
      <c r="S195" s="818"/>
      <c r="T195" s="818"/>
      <c r="U195" s="818"/>
      <c r="V195" s="818"/>
      <c r="W195" s="818"/>
      <c r="X195" s="818"/>
      <c r="Y195" s="818"/>
      <c r="Z195" s="818"/>
    </row>
    <row r="196" spans="1:26" ht="18.75">
      <c r="A196" s="949"/>
      <c r="B196" s="950"/>
      <c r="C196" s="950"/>
      <c r="D196" s="950"/>
      <c r="E196" s="956" t="s">
        <v>94</v>
      </c>
      <c r="F196" s="957"/>
      <c r="G196" s="958"/>
      <c r="H196" s="277" t="s">
        <v>35</v>
      </c>
      <c r="I196" s="830"/>
      <c r="J196" s="959">
        <v>0</v>
      </c>
      <c r="K196" s="831"/>
      <c r="L196" s="831"/>
      <c r="M196" s="831"/>
      <c r="N196" s="831"/>
      <c r="O196" s="831"/>
      <c r="P196" s="831"/>
      <c r="Q196" s="818"/>
      <c r="R196" s="818"/>
      <c r="S196" s="818"/>
      <c r="T196" s="818"/>
      <c r="U196" s="818"/>
      <c r="V196" s="818"/>
      <c r="W196" s="818"/>
      <c r="X196" s="818"/>
      <c r="Y196" s="818"/>
      <c r="Z196" s="818"/>
    </row>
    <row r="197" spans="1:26" ht="19.5">
      <c r="A197" s="1011"/>
      <c r="B197" s="1018"/>
      <c r="C197" s="1023" t="s">
        <v>95</v>
      </c>
      <c r="D197" s="1012"/>
      <c r="E197" s="1012"/>
      <c r="F197" s="1012"/>
      <c r="G197" s="1014"/>
      <c r="H197" s="278" t="s">
        <v>96</v>
      </c>
      <c r="I197" s="1024">
        <f t="shared" ref="I197:J197" ca="1" si="99">I204</f>
        <v>5</v>
      </c>
      <c r="J197" s="1024">
        <f t="shared" si="99"/>
        <v>5</v>
      </c>
      <c r="K197" s="1025">
        <f ca="1">IF(I197&gt;0,J197*100/I197,0)</f>
        <v>100</v>
      </c>
      <c r="L197" s="1016"/>
      <c r="M197" s="1016"/>
      <c r="N197" s="1016"/>
      <c r="O197" s="1016"/>
      <c r="P197" s="1016"/>
    </row>
    <row r="198" spans="1:26" ht="19.5">
      <c r="A198" s="932"/>
      <c r="B198" s="933"/>
      <c r="C198" s="934" t="s">
        <v>16</v>
      </c>
      <c r="D198" s="1026" t="s">
        <v>17</v>
      </c>
      <c r="E198" s="933"/>
      <c r="F198" s="933"/>
      <c r="G198" s="936"/>
      <c r="H198" s="275" t="s">
        <v>12</v>
      </c>
      <c r="I198" s="1028"/>
      <c r="J198" s="1028"/>
      <c r="K198" s="1029"/>
      <c r="L198" s="939">
        <f ca="1">L199+L200+L201+L202</f>
        <v>65000</v>
      </c>
      <c r="M198" s="939"/>
      <c r="N198" s="939">
        <f>N199+N200+N201+N202</f>
        <v>41300</v>
      </c>
      <c r="O198" s="939">
        <f ca="1">IF(L198&gt;0,N198*100/L198,0)</f>
        <v>63.53846153846154</v>
      </c>
      <c r="P198" s="939">
        <f>IF(M198&gt;0,N198*100/M198,0)</f>
        <v>0</v>
      </c>
      <c r="Q198" s="818"/>
      <c r="R198" s="818"/>
      <c r="S198" s="818"/>
      <c r="T198" s="818"/>
      <c r="U198" s="818"/>
      <c r="V198" s="818"/>
      <c r="W198" s="818"/>
      <c r="X198" s="818"/>
      <c r="Y198" s="818"/>
      <c r="Z198" s="818"/>
    </row>
    <row r="199" spans="1:26" ht="18.75">
      <c r="A199" s="942"/>
      <c r="B199" s="1030"/>
      <c r="C199" s="827"/>
      <c r="D199" s="943" t="s">
        <v>97</v>
      </c>
      <c r="E199" s="827"/>
      <c r="F199" s="827"/>
      <c r="G199" s="829"/>
      <c r="H199" s="778" t="s">
        <v>12</v>
      </c>
      <c r="I199" s="944"/>
      <c r="J199" s="944"/>
      <c r="K199" s="945"/>
      <c r="L199" s="831">
        <f ca="1">IFERROR(__xludf.DUMMYFUNCTION("IMPORTRANGE(""https://docs.google.com/spreadsheets/d/1QqKyyYR6Q21VydFLVH3TRQUabQu_ym0Zz7PgGX0-kHA/edit?usp=sharing"",""แผน!AE15"")"),5000)</f>
        <v>5000</v>
      </c>
      <c r="M199" s="831"/>
      <c r="N199" s="1031">
        <v>1300</v>
      </c>
      <c r="O199" s="831"/>
      <c r="P199" s="831"/>
      <c r="Q199" s="818"/>
      <c r="R199" s="818"/>
      <c r="S199" s="818"/>
      <c r="T199" s="818"/>
      <c r="U199" s="818"/>
      <c r="V199" s="818"/>
      <c r="W199" s="818"/>
      <c r="X199" s="818"/>
      <c r="Y199" s="818"/>
      <c r="Z199" s="818"/>
    </row>
    <row r="200" spans="1:26" ht="19.5">
      <c r="A200" s="1032"/>
      <c r="B200" s="1030"/>
      <c r="C200" s="976"/>
      <c r="D200" s="943" t="s">
        <v>98</v>
      </c>
      <c r="E200" s="827"/>
      <c r="F200" s="827"/>
      <c r="G200" s="829"/>
      <c r="H200" s="590" t="s">
        <v>12</v>
      </c>
      <c r="I200" s="830"/>
      <c r="J200" s="830"/>
      <c r="K200" s="831"/>
      <c r="L200" s="831">
        <f ca="1">IFERROR(__xludf.DUMMYFUNCTION("IMPORTRANGE(""https://docs.google.com/spreadsheets/d/1QqKyyYR6Q21VydFLVH3TRQUabQu_ym0Zz7PgGX0-kHA/edit?usp=sharing"",""แผน!AF15"")"),40000)</f>
        <v>40000</v>
      </c>
      <c r="M200" s="831"/>
      <c r="N200" s="1031">
        <v>40000</v>
      </c>
      <c r="O200" s="831"/>
      <c r="P200" s="831"/>
      <c r="Q200" s="1033"/>
      <c r="R200" s="1033"/>
      <c r="S200" s="1033"/>
      <c r="T200" s="1033"/>
      <c r="U200" s="1033"/>
      <c r="V200" s="1033"/>
      <c r="W200" s="1033"/>
      <c r="X200" s="1033"/>
      <c r="Y200" s="1033"/>
      <c r="Z200" s="1033"/>
    </row>
    <row r="201" spans="1:26" ht="19.5">
      <c r="A201" s="1032"/>
      <c r="B201" s="1030"/>
      <c r="C201" s="976"/>
      <c r="D201" s="943" t="s">
        <v>99</v>
      </c>
      <c r="E201" s="827"/>
      <c r="F201" s="827"/>
      <c r="G201" s="829"/>
      <c r="H201" s="590" t="s">
        <v>12</v>
      </c>
      <c r="I201" s="830"/>
      <c r="J201" s="830"/>
      <c r="K201" s="831"/>
      <c r="L201" s="831">
        <f ca="1">IFERROR(__xludf.DUMMYFUNCTION("IMPORTRANGE(""https://docs.google.com/spreadsheets/d/1QqKyyYR6Q21VydFLVH3TRQUabQu_ym0Zz7PgGX0-kHA/edit?usp=sharing"",""แผน!AG15"")"),20000)</f>
        <v>20000</v>
      </c>
      <c r="M201" s="831"/>
      <c r="N201" s="1031">
        <v>0</v>
      </c>
      <c r="O201" s="831"/>
      <c r="P201" s="831"/>
      <c r="Q201" s="1033"/>
      <c r="R201" s="1033"/>
      <c r="S201" s="1033"/>
      <c r="T201" s="1033"/>
      <c r="U201" s="1033"/>
      <c r="V201" s="1033"/>
      <c r="W201" s="1033"/>
      <c r="X201" s="1033"/>
      <c r="Y201" s="1033"/>
      <c r="Z201" s="1033"/>
    </row>
    <row r="202" spans="1:26" ht="19.5">
      <c r="A202" s="1032"/>
      <c r="B202" s="1030"/>
      <c r="C202" s="976"/>
      <c r="D202" s="943" t="s">
        <v>100</v>
      </c>
      <c r="E202" s="827"/>
      <c r="F202" s="827"/>
      <c r="G202" s="829"/>
      <c r="H202" s="590" t="s">
        <v>12</v>
      </c>
      <c r="I202" s="830"/>
      <c r="J202" s="830"/>
      <c r="K202" s="831"/>
      <c r="L202" s="831">
        <f ca="1">IFERROR(__xludf.DUMMYFUNCTION("IMPORTRANGE(""https://docs.google.com/spreadsheets/d/1QqKyyYR6Q21VydFLVH3TRQUabQu_ym0Zz7PgGX0-kHA/edit?usp=sharing"",""แผน!AH15"")"),0)</f>
        <v>0</v>
      </c>
      <c r="M202" s="831"/>
      <c r="N202" s="1031">
        <v>0</v>
      </c>
      <c r="O202" s="831"/>
      <c r="P202" s="831"/>
      <c r="Q202" s="1033"/>
      <c r="R202" s="1033"/>
      <c r="S202" s="1033"/>
      <c r="T202" s="1033"/>
      <c r="U202" s="1033"/>
      <c r="V202" s="1033"/>
      <c r="W202" s="1033"/>
      <c r="X202" s="1033"/>
      <c r="Y202" s="1033"/>
      <c r="Z202" s="1033"/>
    </row>
    <row r="203" spans="1:26" ht="19.5">
      <c r="A203" s="949"/>
      <c r="B203" s="950"/>
      <c r="C203" s="976" t="s">
        <v>16</v>
      </c>
      <c r="D203" s="951" t="s">
        <v>38</v>
      </c>
      <c r="E203" s="952"/>
      <c r="F203" s="952"/>
      <c r="G203" s="953"/>
      <c r="H203" s="954"/>
      <c r="I203" s="944"/>
      <c r="J203" s="944"/>
      <c r="K203" s="945"/>
      <c r="L203" s="945"/>
      <c r="M203" s="945"/>
      <c r="N203" s="945"/>
      <c r="O203" s="945"/>
      <c r="P203" s="945"/>
      <c r="Q203" s="818"/>
      <c r="R203" s="818"/>
      <c r="S203" s="818"/>
      <c r="T203" s="818"/>
      <c r="U203" s="818"/>
      <c r="V203" s="818"/>
      <c r="W203" s="818"/>
      <c r="X203" s="818"/>
      <c r="Y203" s="818"/>
      <c r="Z203" s="818"/>
    </row>
    <row r="204" spans="1:26" ht="18.75">
      <c r="A204" s="949"/>
      <c r="B204" s="950"/>
      <c r="C204" s="950"/>
      <c r="D204" s="955" t="s">
        <v>101</v>
      </c>
      <c r="E204" s="957"/>
      <c r="F204" s="957"/>
      <c r="G204" s="958"/>
      <c r="H204" s="954" t="s">
        <v>96</v>
      </c>
      <c r="I204" s="830">
        <f ca="1">IFERROR(__xludf.DUMMYFUNCTION("IMPORTRANGE(""https://docs.google.com/spreadsheets/d/1QqKyyYR6Q21VydFLVH3TRQUabQu_ym0Zz7PgGX0-kHA/edit?usp=sharing"",""แผน!AI15"")"),5)</f>
        <v>5</v>
      </c>
      <c r="J204" s="959">
        <v>5</v>
      </c>
      <c r="K204" s="945">
        <f ca="1">IF(I204&gt;0,J204*100/I204,0)</f>
        <v>100</v>
      </c>
      <c r="L204" s="831"/>
      <c r="M204" s="831"/>
      <c r="N204" s="831"/>
      <c r="O204" s="831"/>
      <c r="P204" s="831"/>
      <c r="Q204" s="818"/>
      <c r="R204" s="818"/>
      <c r="S204" s="818"/>
      <c r="T204" s="818"/>
      <c r="U204" s="818"/>
      <c r="V204" s="818"/>
      <c r="W204" s="818"/>
      <c r="X204" s="818"/>
      <c r="Y204" s="818"/>
      <c r="Z204" s="818"/>
    </row>
    <row r="205" spans="1:26" ht="18.75">
      <c r="A205" s="949"/>
      <c r="B205" s="950"/>
      <c r="C205" s="950"/>
      <c r="D205" s="956" t="s">
        <v>59</v>
      </c>
      <c r="E205" s="957"/>
      <c r="F205" s="957"/>
      <c r="G205" s="958"/>
      <c r="H205" s="954"/>
      <c r="I205" s="830"/>
      <c r="J205" s="830"/>
      <c r="K205" s="945"/>
      <c r="L205" s="831"/>
      <c r="M205" s="831"/>
      <c r="N205" s="831"/>
      <c r="O205" s="831"/>
      <c r="P205" s="831"/>
      <c r="Q205" s="818"/>
      <c r="R205" s="818"/>
      <c r="S205" s="818"/>
      <c r="T205" s="818"/>
      <c r="U205" s="818"/>
      <c r="V205" s="818"/>
      <c r="W205" s="818"/>
      <c r="X205" s="818"/>
      <c r="Y205" s="818"/>
      <c r="Z205" s="818"/>
    </row>
    <row r="206" spans="1:26" ht="18.75">
      <c r="A206" s="949"/>
      <c r="B206" s="950"/>
      <c r="C206" s="950"/>
      <c r="D206" s="957"/>
      <c r="E206" s="968" t="s">
        <v>102</v>
      </c>
      <c r="F206" s="1034"/>
      <c r="G206" s="1035"/>
      <c r="H206" s="1036" t="s">
        <v>96</v>
      </c>
      <c r="I206" s="830">
        <v>5</v>
      </c>
      <c r="J206" s="959">
        <v>5</v>
      </c>
      <c r="K206" s="945">
        <f t="shared" ref="K206:K208" si="100">IF(I206&gt;0,J206*100/I206,0)</f>
        <v>100</v>
      </c>
      <c r="L206" s="831"/>
      <c r="M206" s="831"/>
      <c r="N206" s="831"/>
      <c r="O206" s="831"/>
      <c r="P206" s="831"/>
      <c r="Q206" s="818"/>
      <c r="R206" s="818"/>
      <c r="S206" s="818"/>
      <c r="T206" s="818"/>
      <c r="U206" s="818"/>
      <c r="V206" s="818"/>
      <c r="W206" s="818"/>
      <c r="X206" s="818"/>
      <c r="Y206" s="818"/>
      <c r="Z206" s="818"/>
    </row>
    <row r="207" spans="1:26" ht="18.75">
      <c r="A207" s="949"/>
      <c r="B207" s="950"/>
      <c r="C207" s="950"/>
      <c r="D207" s="956"/>
      <c r="E207" s="956" t="s">
        <v>103</v>
      </c>
      <c r="F207" s="957"/>
      <c r="G207" s="957"/>
      <c r="H207" s="290" t="s">
        <v>104</v>
      </c>
      <c r="I207" s="830">
        <v>0</v>
      </c>
      <c r="J207" s="959">
        <v>0</v>
      </c>
      <c r="K207" s="945">
        <f t="shared" si="100"/>
        <v>0</v>
      </c>
      <c r="L207" s="831"/>
      <c r="M207" s="831"/>
      <c r="N207" s="831"/>
      <c r="O207" s="831"/>
      <c r="P207" s="831"/>
      <c r="Q207" s="818"/>
      <c r="R207" s="818"/>
      <c r="S207" s="818"/>
      <c r="T207" s="818"/>
      <c r="U207" s="818"/>
      <c r="V207" s="818"/>
      <c r="W207" s="818"/>
      <c r="X207" s="818"/>
      <c r="Y207" s="818"/>
      <c r="Z207" s="818"/>
    </row>
    <row r="208" spans="1:26" ht="19.5" hidden="1">
      <c r="A208" s="1011"/>
      <c r="B208" s="1018"/>
      <c r="C208" s="1023" t="s">
        <v>105</v>
      </c>
      <c r="D208" s="1012"/>
      <c r="E208" s="1012"/>
      <c r="F208" s="1037"/>
      <c r="G208" s="1014"/>
      <c r="H208" s="278" t="s">
        <v>96</v>
      </c>
      <c r="I208" s="1024">
        <f t="shared" ref="I208:J208" ca="1" si="101">I215</f>
        <v>0</v>
      </c>
      <c r="J208" s="1024">
        <f t="shared" si="101"/>
        <v>0</v>
      </c>
      <c r="K208" s="1025">
        <f t="shared" ca="1" si="100"/>
        <v>0</v>
      </c>
      <c r="L208" s="1016"/>
      <c r="M208" s="1016"/>
      <c r="N208" s="1016"/>
      <c r="O208" s="1016"/>
      <c r="P208" s="1016"/>
    </row>
    <row r="209" spans="1:26" ht="19.5" hidden="1">
      <c r="A209" s="932"/>
      <c r="B209" s="933"/>
      <c r="C209" s="934" t="s">
        <v>16</v>
      </c>
      <c r="D209" s="1026" t="s">
        <v>17</v>
      </c>
      <c r="E209" s="933"/>
      <c r="F209" s="933"/>
      <c r="G209" s="936"/>
      <c r="H209" s="275" t="s">
        <v>12</v>
      </c>
      <c r="I209" s="1028"/>
      <c r="J209" s="1028"/>
      <c r="K209" s="1029"/>
      <c r="L209" s="939">
        <f ca="1">L210+L211+L212</f>
        <v>0</v>
      </c>
      <c r="M209" s="939"/>
      <c r="N209" s="939">
        <f>N210+N211+N212</f>
        <v>0</v>
      </c>
      <c r="O209" s="939">
        <f ca="1">IF(L209&gt;0,N209*100/L209,0)</f>
        <v>0</v>
      </c>
      <c r="P209" s="939">
        <f>IF(M209&gt;0,N209*100/M209,0)</f>
        <v>0</v>
      </c>
      <c r="Q209" s="818"/>
      <c r="R209" s="818"/>
      <c r="S209" s="818"/>
      <c r="T209" s="818"/>
      <c r="U209" s="818"/>
      <c r="V209" s="818"/>
      <c r="W209" s="818"/>
      <c r="X209" s="818"/>
      <c r="Y209" s="818"/>
      <c r="Z209" s="818"/>
    </row>
    <row r="210" spans="1:26" ht="18.75" hidden="1">
      <c r="A210" s="942"/>
      <c r="B210" s="1030"/>
      <c r="C210" s="827"/>
      <c r="D210" s="943" t="s">
        <v>97</v>
      </c>
      <c r="E210" s="827"/>
      <c r="F210" s="827"/>
      <c r="G210" s="829"/>
      <c r="H210" s="778" t="s">
        <v>12</v>
      </c>
      <c r="I210" s="944"/>
      <c r="J210" s="944"/>
      <c r="K210" s="945"/>
      <c r="L210" s="831">
        <f ca="1">IFERROR(__xludf.DUMMYFUNCTION("IMPORTRANGE(""https://docs.google.com/spreadsheets/d/1QqKyyYR6Q21VydFLVH3TRQUabQu_ym0Zz7PgGX0-kHA/edit?usp=sharing"",""แผน!AK15"")"),0)</f>
        <v>0</v>
      </c>
      <c r="M210" s="831"/>
      <c r="N210" s="1031">
        <v>0</v>
      </c>
      <c r="O210" s="831"/>
      <c r="P210" s="831"/>
      <c r="Q210" s="818"/>
      <c r="R210" s="818"/>
      <c r="S210" s="818"/>
      <c r="T210" s="818"/>
      <c r="U210" s="818"/>
      <c r="V210" s="818"/>
      <c r="W210" s="818"/>
      <c r="X210" s="818"/>
      <c r="Y210" s="818"/>
      <c r="Z210" s="818"/>
    </row>
    <row r="211" spans="1:26" ht="19.5" hidden="1">
      <c r="A211" s="1032"/>
      <c r="B211" s="1030"/>
      <c r="C211" s="1038"/>
      <c r="D211" s="943" t="s">
        <v>99</v>
      </c>
      <c r="E211" s="827"/>
      <c r="F211" s="827"/>
      <c r="G211" s="829"/>
      <c r="H211" s="778" t="s">
        <v>12</v>
      </c>
      <c r="I211" s="830"/>
      <c r="J211" s="830"/>
      <c r="K211" s="831"/>
      <c r="L211" s="831">
        <f ca="1">IFERROR(__xludf.DUMMYFUNCTION("IMPORTRANGE(""https://docs.google.com/spreadsheets/d/1QqKyyYR6Q21VydFLVH3TRQUabQu_ym0Zz7PgGX0-kHA/edit?usp=sharing"",""แผน!AL15"")"),0)</f>
        <v>0</v>
      </c>
      <c r="M211" s="831"/>
      <c r="N211" s="1031">
        <v>0</v>
      </c>
      <c r="O211" s="831"/>
      <c r="P211" s="831"/>
      <c r="Q211" s="1033"/>
      <c r="R211" s="1033"/>
      <c r="S211" s="1033"/>
      <c r="T211" s="1033"/>
      <c r="U211" s="1033"/>
      <c r="V211" s="1033"/>
      <c r="W211" s="1033"/>
      <c r="X211" s="1033"/>
      <c r="Y211" s="1033"/>
      <c r="Z211" s="1033"/>
    </row>
    <row r="212" spans="1:26" ht="19.5" hidden="1">
      <c r="A212" s="1032"/>
      <c r="B212" s="1030"/>
      <c r="C212" s="1038"/>
      <c r="D212" s="943" t="s">
        <v>98</v>
      </c>
      <c r="E212" s="827"/>
      <c r="F212" s="827"/>
      <c r="G212" s="829"/>
      <c r="H212" s="778" t="s">
        <v>12</v>
      </c>
      <c r="I212" s="830"/>
      <c r="J212" s="830"/>
      <c r="K212" s="831"/>
      <c r="L212" s="831">
        <f ca="1">IFERROR(__xludf.DUMMYFUNCTION("IMPORTRANGE(""https://docs.google.com/spreadsheets/d/1QqKyyYR6Q21VydFLVH3TRQUabQu_ym0Zz7PgGX0-kHA/edit?usp=sharing"",""แผน!AM15"")"),0)</f>
        <v>0</v>
      </c>
      <c r="M212" s="831"/>
      <c r="N212" s="1031">
        <v>0</v>
      </c>
      <c r="O212" s="831"/>
      <c r="P212" s="831"/>
      <c r="Q212" s="1033"/>
      <c r="R212" s="1033"/>
      <c r="S212" s="1033"/>
      <c r="T212" s="1033"/>
      <c r="U212" s="1033"/>
      <c r="V212" s="1033"/>
      <c r="W212" s="1033"/>
      <c r="X212" s="1033"/>
      <c r="Y212" s="1033"/>
      <c r="Z212" s="1033"/>
    </row>
    <row r="213" spans="1:26" ht="19.5" hidden="1">
      <c r="A213" s="949"/>
      <c r="B213" s="950"/>
      <c r="C213" s="1038" t="s">
        <v>16</v>
      </c>
      <c r="D213" s="951" t="s">
        <v>38</v>
      </c>
      <c r="E213" s="952"/>
      <c r="F213" s="952"/>
      <c r="G213" s="953"/>
      <c r="H213" s="954"/>
      <c r="I213" s="944"/>
      <c r="J213" s="830"/>
      <c r="K213" s="831"/>
      <c r="L213" s="831"/>
      <c r="M213" s="831"/>
      <c r="N213" s="831"/>
      <c r="O213" s="945"/>
      <c r="P213" s="945"/>
      <c r="Q213" s="818"/>
      <c r="R213" s="818"/>
      <c r="S213" s="818"/>
      <c r="T213" s="818"/>
      <c r="U213" s="818"/>
      <c r="V213" s="818"/>
      <c r="W213" s="818"/>
      <c r="X213" s="818"/>
      <c r="Y213" s="818"/>
      <c r="Z213" s="818"/>
    </row>
    <row r="214" spans="1:26" ht="18.75" hidden="1">
      <c r="A214" s="949"/>
      <c r="B214" s="950"/>
      <c r="C214" s="950"/>
      <c r="D214" s="955" t="s">
        <v>106</v>
      </c>
      <c r="E214" s="957"/>
      <c r="F214" s="957"/>
      <c r="G214" s="958"/>
      <c r="H214" s="954" t="s">
        <v>96</v>
      </c>
      <c r="I214" s="830">
        <f ca="1">IFERROR(__xludf.DUMMYFUNCTION("IMPORTRANGE(""https://docs.google.com/spreadsheets/d/1QqKyyYR6Q21VydFLVH3TRQUabQu_ym0Zz7PgGX0-kHA/edit?usp=sharing"",""แผน!AN15"")"),0)</f>
        <v>0</v>
      </c>
      <c r="J214" s="959">
        <v>0</v>
      </c>
      <c r="K214" s="831">
        <f t="shared" ref="K214:K216" ca="1" si="102">IF(I214&gt;0,J214*100/I214,0)</f>
        <v>0</v>
      </c>
      <c r="L214" s="831"/>
      <c r="M214" s="831"/>
      <c r="N214" s="831"/>
      <c r="O214" s="831"/>
      <c r="P214" s="831"/>
      <c r="Q214" s="818"/>
      <c r="R214" s="818"/>
      <c r="S214" s="818"/>
      <c r="T214" s="818"/>
      <c r="U214" s="818"/>
      <c r="V214" s="818"/>
      <c r="W214" s="818"/>
      <c r="X214" s="818"/>
      <c r="Y214" s="818"/>
      <c r="Z214" s="818"/>
    </row>
    <row r="215" spans="1:26" ht="18.75" hidden="1">
      <c r="A215" s="949"/>
      <c r="B215" s="950"/>
      <c r="C215" s="950"/>
      <c r="D215" s="955" t="s">
        <v>107</v>
      </c>
      <c r="E215" s="957"/>
      <c r="F215" s="957"/>
      <c r="G215" s="958"/>
      <c r="H215" s="954" t="s">
        <v>96</v>
      </c>
      <c r="I215" s="830">
        <f ca="1">IFERROR(__xludf.DUMMYFUNCTION("IMPORTRANGE(""https://docs.google.com/spreadsheets/d/1QqKyyYR6Q21VydFLVH3TRQUabQu_ym0Zz7PgGX0-kHA/edit?usp=sharing"",""แผน!AN15"")"),0)</f>
        <v>0</v>
      </c>
      <c r="J215" s="959">
        <v>0</v>
      </c>
      <c r="K215" s="831">
        <f t="shared" ca="1" si="102"/>
        <v>0</v>
      </c>
      <c r="L215" s="831"/>
      <c r="M215" s="831"/>
      <c r="N215" s="831"/>
      <c r="O215" s="831"/>
      <c r="P215" s="831"/>
      <c r="Q215" s="818"/>
      <c r="R215" s="818"/>
      <c r="S215" s="818"/>
      <c r="T215" s="818"/>
      <c r="U215" s="818"/>
      <c r="V215" s="818"/>
      <c r="W215" s="818"/>
      <c r="X215" s="818"/>
      <c r="Y215" s="818"/>
      <c r="Z215" s="818"/>
    </row>
    <row r="216" spans="1:26" ht="19.5">
      <c r="A216" s="1011"/>
      <c r="B216" s="1018"/>
      <c r="C216" s="1023" t="s">
        <v>108</v>
      </c>
      <c r="D216" s="1012"/>
      <c r="E216" s="1012"/>
      <c r="F216" s="1037"/>
      <c r="G216" s="1014"/>
      <c r="H216" s="260" t="s">
        <v>109</v>
      </c>
      <c r="I216" s="1024">
        <f t="shared" ref="I216:J216" ca="1" si="103">I224</f>
        <v>50000</v>
      </c>
      <c r="J216" s="1024">
        <f t="shared" si="103"/>
        <v>0</v>
      </c>
      <c r="K216" s="1025">
        <f t="shared" ca="1" si="102"/>
        <v>0</v>
      </c>
      <c r="L216" s="1016"/>
      <c r="M216" s="1016"/>
      <c r="N216" s="1016"/>
      <c r="O216" s="1016"/>
      <c r="P216" s="1016"/>
    </row>
    <row r="217" spans="1:26" ht="19.5">
      <c r="A217" s="932"/>
      <c r="B217" s="933"/>
      <c r="C217" s="934" t="s">
        <v>16</v>
      </c>
      <c r="D217" s="1026" t="s">
        <v>17</v>
      </c>
      <c r="E217" s="933"/>
      <c r="F217" s="933"/>
      <c r="G217" s="936"/>
      <c r="H217" s="275" t="s">
        <v>12</v>
      </c>
      <c r="I217" s="1028"/>
      <c r="J217" s="1028"/>
      <c r="K217" s="1029"/>
      <c r="L217" s="939">
        <f ca="1">L218+L219+L220</f>
        <v>28500</v>
      </c>
      <c r="M217" s="939"/>
      <c r="N217" s="939">
        <f>N218+N219+N220</f>
        <v>9995</v>
      </c>
      <c r="O217" s="939">
        <f ca="1">IF(L217&gt;0,N217*100/L217,0)</f>
        <v>35.070175438596493</v>
      </c>
      <c r="P217" s="939">
        <f>IF(M217&gt;0,N217*100/M217,0)</f>
        <v>0</v>
      </c>
      <c r="Q217" s="818"/>
      <c r="R217" s="818"/>
      <c r="S217" s="818"/>
      <c r="T217" s="818"/>
      <c r="U217" s="818"/>
      <c r="V217" s="818"/>
      <c r="W217" s="818"/>
      <c r="X217" s="818"/>
      <c r="Y217" s="818"/>
      <c r="Z217" s="818"/>
    </row>
    <row r="218" spans="1:26" ht="18.75">
      <c r="A218" s="942"/>
      <c r="B218" s="1030"/>
      <c r="C218" s="827"/>
      <c r="D218" s="943" t="s">
        <v>97</v>
      </c>
      <c r="E218" s="827"/>
      <c r="F218" s="827"/>
      <c r="G218" s="829"/>
      <c r="H218" s="778" t="s">
        <v>12</v>
      </c>
      <c r="I218" s="944"/>
      <c r="J218" s="944"/>
      <c r="K218" s="945"/>
      <c r="L218" s="831">
        <f ca="1">IFERROR(__xludf.DUMMYFUNCTION("IMPORTRANGE(""https://docs.google.com/spreadsheets/d/1QqKyyYR6Q21VydFLVH3TRQUabQu_ym0Zz7PgGX0-kHA/edit?usp=sharing"",""แผน!AP15"")"),5000)</f>
        <v>5000</v>
      </c>
      <c r="M218" s="831"/>
      <c r="N218" s="1031">
        <v>0</v>
      </c>
      <c r="O218" s="831"/>
      <c r="P218" s="831"/>
      <c r="Q218" s="818"/>
      <c r="R218" s="818"/>
      <c r="S218" s="818"/>
      <c r="T218" s="818"/>
      <c r="U218" s="818"/>
      <c r="V218" s="818"/>
      <c r="W218" s="818"/>
      <c r="X218" s="818"/>
      <c r="Y218" s="818"/>
      <c r="Z218" s="818"/>
    </row>
    <row r="219" spans="1:26" ht="19.5">
      <c r="A219" s="1032"/>
      <c r="B219" s="1030"/>
      <c r="C219" s="1038"/>
      <c r="D219" s="943" t="s">
        <v>110</v>
      </c>
      <c r="E219" s="827"/>
      <c r="F219" s="827"/>
      <c r="G219" s="829"/>
      <c r="H219" s="778" t="s">
        <v>12</v>
      </c>
      <c r="I219" s="830"/>
      <c r="J219" s="830"/>
      <c r="K219" s="831"/>
      <c r="L219" s="831">
        <f ca="1">IFERROR(__xludf.DUMMYFUNCTION("IMPORTRANGE(""https://docs.google.com/spreadsheets/d/1QqKyyYR6Q21VydFLVH3TRQUabQu_ym0Zz7PgGX0-kHA/edit?usp=sharing"",""แผน!AQ15"")"),13500)</f>
        <v>13500</v>
      </c>
      <c r="M219" s="831"/>
      <c r="N219" s="1031"/>
      <c r="O219" s="831"/>
      <c r="P219" s="831"/>
      <c r="Q219" s="1033"/>
      <c r="R219" s="1033"/>
      <c r="S219" s="1033"/>
      <c r="T219" s="1033"/>
      <c r="U219" s="1033"/>
      <c r="V219" s="1033"/>
      <c r="W219" s="1033"/>
      <c r="X219" s="1033"/>
      <c r="Y219" s="1033"/>
      <c r="Z219" s="1033"/>
    </row>
    <row r="220" spans="1:26" ht="19.5">
      <c r="A220" s="1032"/>
      <c r="B220" s="1030"/>
      <c r="C220" s="1038"/>
      <c r="D220" s="943" t="s">
        <v>98</v>
      </c>
      <c r="E220" s="827"/>
      <c r="F220" s="827"/>
      <c r="G220" s="829"/>
      <c r="H220" s="778" t="s">
        <v>12</v>
      </c>
      <c r="I220" s="830"/>
      <c r="J220" s="830"/>
      <c r="K220" s="831"/>
      <c r="L220" s="831">
        <f ca="1">IFERROR(__xludf.DUMMYFUNCTION("IMPORTRANGE(""https://docs.google.com/spreadsheets/d/1QqKyyYR6Q21VydFLVH3TRQUabQu_ym0Zz7PgGX0-kHA/edit?usp=sharing"",""แผน!AR15"")"),10000)</f>
        <v>10000</v>
      </c>
      <c r="M220" s="831"/>
      <c r="N220" s="1031">
        <v>9995</v>
      </c>
      <c r="O220" s="831"/>
      <c r="P220" s="831"/>
      <c r="Q220" s="1033"/>
      <c r="R220" s="1033"/>
      <c r="S220" s="1033"/>
      <c r="T220" s="1033"/>
      <c r="U220" s="1033"/>
      <c r="V220" s="1033"/>
      <c r="W220" s="1033"/>
      <c r="X220" s="1033"/>
      <c r="Y220" s="1033"/>
      <c r="Z220" s="1033"/>
    </row>
    <row r="221" spans="1:26" ht="19.5">
      <c r="A221" s="949"/>
      <c r="B221" s="950"/>
      <c r="C221" s="1038" t="s">
        <v>16</v>
      </c>
      <c r="D221" s="951" t="s">
        <v>38</v>
      </c>
      <c r="E221" s="952"/>
      <c r="F221" s="952"/>
      <c r="G221" s="953"/>
      <c r="H221" s="954"/>
      <c r="I221" s="944"/>
      <c r="J221" s="944"/>
      <c r="K221" s="945"/>
      <c r="L221" s="945"/>
      <c r="M221" s="945"/>
      <c r="N221" s="945"/>
      <c r="O221" s="945"/>
      <c r="P221" s="945"/>
      <c r="Q221" s="818"/>
      <c r="R221" s="818"/>
      <c r="S221" s="818"/>
      <c r="T221" s="818"/>
      <c r="U221" s="818"/>
      <c r="V221" s="818"/>
      <c r="W221" s="818"/>
      <c r="X221" s="818"/>
      <c r="Y221" s="818"/>
      <c r="Z221" s="818"/>
    </row>
    <row r="222" spans="1:26" ht="18.75">
      <c r="A222" s="949"/>
      <c r="B222" s="950"/>
      <c r="C222" s="950"/>
      <c r="D222" s="943" t="s">
        <v>111</v>
      </c>
      <c r="E222" s="957"/>
      <c r="F222" s="957"/>
      <c r="G222" s="958"/>
      <c r="H222" s="954"/>
      <c r="I222" s="830"/>
      <c r="J222" s="830"/>
      <c r="K222" s="945"/>
      <c r="L222" s="945"/>
      <c r="M222" s="945"/>
      <c r="N222" s="945"/>
      <c r="O222" s="945"/>
      <c r="P222" s="945"/>
      <c r="Q222" s="818"/>
      <c r="R222" s="818"/>
      <c r="S222" s="818"/>
      <c r="T222" s="818"/>
      <c r="U222" s="818"/>
      <c r="V222" s="818"/>
      <c r="W222" s="818"/>
      <c r="X222" s="818"/>
      <c r="Y222" s="818"/>
      <c r="Z222" s="818"/>
    </row>
    <row r="223" spans="1:26" ht="18.75">
      <c r="A223" s="949"/>
      <c r="B223" s="950"/>
      <c r="C223" s="950"/>
      <c r="D223" s="950"/>
      <c r="E223" s="955" t="s">
        <v>112</v>
      </c>
      <c r="F223" s="957"/>
      <c r="G223" s="958"/>
      <c r="H223" s="730" t="s">
        <v>109</v>
      </c>
      <c r="I223" s="830">
        <f ca="1">IFERROR(__xludf.DUMMYFUNCTION("IMPORTRANGE(""https://docs.google.com/spreadsheets/d/1QqKyyYR6Q21VydFLVH3TRQUabQu_ym0Zz7PgGX0-kHA/edit?usp=sharing"",""แผน!AT15"")"),50000)</f>
        <v>50000</v>
      </c>
      <c r="J223" s="959">
        <v>0</v>
      </c>
      <c r="K223" s="945">
        <f t="shared" ref="K223:K226" ca="1" si="104">IF(I223&gt;0,J223*100/I223,0)</f>
        <v>0</v>
      </c>
      <c r="L223" s="945"/>
      <c r="M223" s="945"/>
      <c r="N223" s="945"/>
      <c r="O223" s="945"/>
      <c r="P223" s="945"/>
      <c r="Q223" s="818"/>
      <c r="R223" s="818"/>
      <c r="S223" s="818"/>
      <c r="T223" s="818"/>
      <c r="U223" s="818"/>
      <c r="V223" s="818"/>
      <c r="W223" s="818"/>
      <c r="X223" s="818"/>
      <c r="Y223" s="818"/>
      <c r="Z223" s="818"/>
    </row>
    <row r="224" spans="1:26" ht="18.75">
      <c r="A224" s="949"/>
      <c r="B224" s="950"/>
      <c r="C224" s="950"/>
      <c r="D224" s="950"/>
      <c r="E224" s="955" t="s">
        <v>113</v>
      </c>
      <c r="F224" s="957"/>
      <c r="G224" s="958"/>
      <c r="H224" s="730" t="s">
        <v>109</v>
      </c>
      <c r="I224" s="830">
        <f ca="1">IFERROR(__xludf.DUMMYFUNCTION("IMPORTRANGE(""https://docs.google.com/spreadsheets/d/1QqKyyYR6Q21VydFLVH3TRQUabQu_ym0Zz7PgGX0-kHA/edit?usp=sharing"",""แผน!AT15"")"),50000)</f>
        <v>50000</v>
      </c>
      <c r="J224" s="959">
        <v>0</v>
      </c>
      <c r="K224" s="945">
        <f t="shared" ca="1" si="104"/>
        <v>0</v>
      </c>
      <c r="L224" s="831"/>
      <c r="M224" s="831"/>
      <c r="N224" s="831"/>
      <c r="O224" s="831"/>
      <c r="P224" s="831"/>
      <c r="Q224" s="818"/>
      <c r="R224" s="818"/>
      <c r="S224" s="818"/>
      <c r="T224" s="818"/>
      <c r="U224" s="818"/>
      <c r="V224" s="818"/>
      <c r="W224" s="818"/>
      <c r="X224" s="818"/>
      <c r="Y224" s="818"/>
      <c r="Z224" s="818"/>
    </row>
    <row r="225" spans="1:26" ht="18.75">
      <c r="A225" s="949"/>
      <c r="B225" s="950"/>
      <c r="C225" s="950"/>
      <c r="D225" s="943" t="s">
        <v>114</v>
      </c>
      <c r="E225" s="957"/>
      <c r="F225" s="957"/>
      <c r="G225" s="958"/>
      <c r="H225" s="730" t="s">
        <v>35</v>
      </c>
      <c r="I225" s="830">
        <f ca="1">IFERROR(__xludf.DUMMYFUNCTION("IMPORTRANGE(""https://docs.google.com/spreadsheets/d/1QqKyyYR6Q21VydFLVH3TRQUabQu_ym0Zz7PgGX0-kHA/edit?usp=sharing"",""แผน!AS15"")"),10)</f>
        <v>10</v>
      </c>
      <c r="J225" s="959">
        <v>10</v>
      </c>
      <c r="K225" s="945">
        <f t="shared" ca="1" si="104"/>
        <v>100</v>
      </c>
      <c r="L225" s="831"/>
      <c r="M225" s="831"/>
      <c r="N225" s="831"/>
      <c r="O225" s="831"/>
      <c r="P225" s="831"/>
      <c r="Q225" s="818"/>
      <c r="R225" s="818"/>
      <c r="S225" s="818"/>
      <c r="T225" s="818"/>
      <c r="U225" s="818"/>
      <c r="V225" s="818"/>
      <c r="W225" s="818"/>
      <c r="X225" s="818"/>
      <c r="Y225" s="818"/>
      <c r="Z225" s="818"/>
    </row>
    <row r="226" spans="1:26" ht="19.5" hidden="1">
      <c r="A226" s="1011"/>
      <c r="B226" s="1018"/>
      <c r="C226" s="1039" t="s">
        <v>115</v>
      </c>
      <c r="D226" s="1012"/>
      <c r="E226" s="1012"/>
      <c r="F226" s="1012"/>
      <c r="G226" s="1014"/>
      <c r="H226" s="266" t="s">
        <v>35</v>
      </c>
      <c r="I226" s="1040">
        <f t="shared" ref="I226:J226" ca="1" si="105">I237+I248</f>
        <v>0</v>
      </c>
      <c r="J226" s="1040">
        <f t="shared" si="105"/>
        <v>0</v>
      </c>
      <c r="K226" s="1041">
        <f t="shared" ca="1" si="104"/>
        <v>0</v>
      </c>
      <c r="L226" s="1016"/>
      <c r="M226" s="1016"/>
      <c r="N226" s="1016"/>
      <c r="O226" s="1016"/>
      <c r="P226" s="1016"/>
    </row>
    <row r="227" spans="1:26" ht="19.5" hidden="1">
      <c r="A227" s="1042"/>
      <c r="B227" s="1043"/>
      <c r="C227" s="1044" t="s">
        <v>16</v>
      </c>
      <c r="D227" s="1045" t="s">
        <v>17</v>
      </c>
      <c r="E227" s="1043"/>
      <c r="F227" s="1043"/>
      <c r="G227" s="1046"/>
      <c r="H227" s="1047" t="s">
        <v>12</v>
      </c>
      <c r="I227" s="1048"/>
      <c r="J227" s="1048"/>
      <c r="K227" s="1049"/>
      <c r="L227" s="1050">
        <f t="shared" ref="L227:L231" ca="1" si="106">L238+L249</f>
        <v>0</v>
      </c>
      <c r="M227" s="1050"/>
      <c r="N227" s="1050">
        <f t="shared" ref="N227:N231" si="107">N238+N249</f>
        <v>0</v>
      </c>
      <c r="O227" s="1051"/>
      <c r="P227" s="1051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</row>
    <row r="228" spans="1:26" ht="18.75" hidden="1">
      <c r="A228" s="940"/>
      <c r="B228" s="1052"/>
      <c r="C228" s="833"/>
      <c r="D228" s="834" t="s">
        <v>97</v>
      </c>
      <c r="E228" s="833"/>
      <c r="F228" s="833"/>
      <c r="G228" s="835"/>
      <c r="H228" s="165" t="s">
        <v>12</v>
      </c>
      <c r="I228" s="947"/>
      <c r="J228" s="947"/>
      <c r="K228" s="948"/>
      <c r="L228" s="837">
        <f t="shared" ca="1" si="106"/>
        <v>0</v>
      </c>
      <c r="M228" s="837"/>
      <c r="N228" s="837">
        <f t="shared" si="107"/>
        <v>0</v>
      </c>
      <c r="O228" s="837"/>
      <c r="P228" s="837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</row>
    <row r="229" spans="1:26" ht="19.5" hidden="1">
      <c r="A229" s="1053"/>
      <c r="B229" s="1052"/>
      <c r="C229" s="1054"/>
      <c r="D229" s="834" t="s">
        <v>98</v>
      </c>
      <c r="E229" s="833"/>
      <c r="F229" s="833"/>
      <c r="G229" s="835"/>
      <c r="H229" s="165" t="s">
        <v>12</v>
      </c>
      <c r="I229" s="836"/>
      <c r="J229" s="836"/>
      <c r="K229" s="837"/>
      <c r="L229" s="837">
        <f t="shared" ca="1" si="106"/>
        <v>0</v>
      </c>
      <c r="M229" s="837"/>
      <c r="N229" s="837">
        <f t="shared" si="107"/>
        <v>0</v>
      </c>
      <c r="O229" s="837"/>
      <c r="P229" s="837"/>
      <c r="Q229" s="1055"/>
      <c r="R229" s="1055"/>
      <c r="S229" s="1055"/>
      <c r="T229" s="1055"/>
      <c r="U229" s="1055"/>
      <c r="V229" s="1055"/>
      <c r="W229" s="1055"/>
      <c r="X229" s="1055"/>
      <c r="Y229" s="1055"/>
      <c r="Z229" s="1055"/>
    </row>
    <row r="230" spans="1:26" ht="19.5" hidden="1">
      <c r="A230" s="1053"/>
      <c r="B230" s="1052"/>
      <c r="C230" s="1054"/>
      <c r="D230" s="834" t="s">
        <v>116</v>
      </c>
      <c r="E230" s="833"/>
      <c r="F230" s="833"/>
      <c r="G230" s="835"/>
      <c r="H230" s="165" t="s">
        <v>12</v>
      </c>
      <c r="I230" s="836"/>
      <c r="J230" s="836"/>
      <c r="K230" s="837"/>
      <c r="L230" s="837">
        <f t="shared" ca="1" si="106"/>
        <v>0</v>
      </c>
      <c r="M230" s="837"/>
      <c r="N230" s="837">
        <f t="shared" si="107"/>
        <v>0</v>
      </c>
      <c r="O230" s="837"/>
      <c r="P230" s="837"/>
      <c r="Q230" s="1055"/>
      <c r="R230" s="1055"/>
      <c r="S230" s="1055"/>
      <c r="T230" s="1055"/>
      <c r="U230" s="1055"/>
      <c r="V230" s="1055"/>
      <c r="W230" s="1055"/>
      <c r="X230" s="1055"/>
      <c r="Y230" s="1055"/>
      <c r="Z230" s="1055"/>
    </row>
    <row r="231" spans="1:26" ht="19.5" hidden="1">
      <c r="A231" s="1053"/>
      <c r="B231" s="1052"/>
      <c r="C231" s="1054"/>
      <c r="D231" s="834" t="s">
        <v>100</v>
      </c>
      <c r="E231" s="833"/>
      <c r="F231" s="833"/>
      <c r="G231" s="835"/>
      <c r="H231" s="165" t="s">
        <v>12</v>
      </c>
      <c r="I231" s="836"/>
      <c r="J231" s="836"/>
      <c r="K231" s="837"/>
      <c r="L231" s="837">
        <f t="shared" ca="1" si="106"/>
        <v>0</v>
      </c>
      <c r="M231" s="837"/>
      <c r="N231" s="837">
        <f t="shared" si="107"/>
        <v>0</v>
      </c>
      <c r="O231" s="837"/>
      <c r="P231" s="837"/>
      <c r="Q231" s="1055"/>
      <c r="R231" s="1055"/>
      <c r="S231" s="1055"/>
      <c r="T231" s="1055"/>
      <c r="U231" s="1055"/>
      <c r="V231" s="1055"/>
      <c r="W231" s="1055"/>
      <c r="X231" s="1055"/>
      <c r="Y231" s="1055"/>
      <c r="Z231" s="1055"/>
    </row>
    <row r="232" spans="1:26" ht="19.5" hidden="1">
      <c r="A232" s="1056"/>
      <c r="B232" s="1057"/>
      <c r="C232" s="1054" t="s">
        <v>16</v>
      </c>
      <c r="D232" s="1020" t="s">
        <v>38</v>
      </c>
      <c r="E232" s="1058"/>
      <c r="F232" s="1058"/>
      <c r="G232" s="1059"/>
      <c r="H232" s="1060"/>
      <c r="I232" s="947"/>
      <c r="J232" s="836"/>
      <c r="K232" s="837"/>
      <c r="L232" s="837"/>
      <c r="M232" s="837"/>
      <c r="N232" s="837"/>
      <c r="O232" s="948"/>
      <c r="P232" s="948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</row>
    <row r="233" spans="1:26" ht="18.75" hidden="1">
      <c r="A233" s="1056"/>
      <c r="B233" s="1057"/>
      <c r="C233" s="1057"/>
      <c r="D233" s="1022" t="s">
        <v>117</v>
      </c>
      <c r="E233" s="1061"/>
      <c r="F233" s="1061"/>
      <c r="G233" s="1062"/>
      <c r="H233" s="583" t="s">
        <v>35</v>
      </c>
      <c r="I233" s="836">
        <f t="shared" ref="I233:J233" ca="1" si="108">I244+I255</f>
        <v>0</v>
      </c>
      <c r="J233" s="836">
        <f t="shared" si="108"/>
        <v>0</v>
      </c>
      <c r="K233" s="837">
        <f ca="1">IF(I233&gt;0,J233*100/I233,0)</f>
        <v>0</v>
      </c>
      <c r="L233" s="837"/>
      <c r="M233" s="837"/>
      <c r="N233" s="837"/>
      <c r="O233" s="837"/>
      <c r="P233" s="837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</row>
    <row r="234" spans="1:26" ht="18.75" hidden="1">
      <c r="A234" s="1056"/>
      <c r="B234" s="1057"/>
      <c r="C234" s="1057"/>
      <c r="D234" s="1063" t="s">
        <v>43</v>
      </c>
      <c r="E234" s="1061"/>
      <c r="F234" s="1061"/>
      <c r="G234" s="1062"/>
      <c r="H234" s="583"/>
      <c r="I234" s="836"/>
      <c r="J234" s="836"/>
      <c r="K234" s="837"/>
      <c r="L234" s="837"/>
      <c r="M234" s="837"/>
      <c r="N234" s="837"/>
      <c r="O234" s="948"/>
      <c r="P234" s="948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</row>
    <row r="235" spans="1:26" ht="18.75" hidden="1">
      <c r="A235" s="1056"/>
      <c r="B235" s="1057"/>
      <c r="C235" s="1057"/>
      <c r="D235" s="1057"/>
      <c r="E235" s="1021" t="s">
        <v>118</v>
      </c>
      <c r="F235" s="1061"/>
      <c r="G235" s="1062"/>
      <c r="H235" s="583" t="s">
        <v>35</v>
      </c>
      <c r="I235" s="836">
        <f t="shared" ref="I235:J236" si="109">I246+I257</f>
        <v>0</v>
      </c>
      <c r="J235" s="836">
        <f t="shared" si="109"/>
        <v>0</v>
      </c>
      <c r="K235" s="837">
        <f t="shared" ref="K235:K237" si="110">IF(I235&gt;0,J235*100/I235,0)</f>
        <v>0</v>
      </c>
      <c r="L235" s="837"/>
      <c r="M235" s="837"/>
      <c r="N235" s="837"/>
      <c r="O235" s="837"/>
      <c r="P235" s="837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</row>
    <row r="236" spans="1:26" ht="18.75" hidden="1">
      <c r="A236" s="1056"/>
      <c r="B236" s="1057"/>
      <c r="C236" s="1057"/>
      <c r="D236" s="1057"/>
      <c r="E236" s="1021" t="s">
        <v>119</v>
      </c>
      <c r="F236" s="1061"/>
      <c r="G236" s="1062"/>
      <c r="H236" s="583" t="s">
        <v>66</v>
      </c>
      <c r="I236" s="836">
        <f t="shared" si="109"/>
        <v>0</v>
      </c>
      <c r="J236" s="836">
        <f t="shared" si="109"/>
        <v>0</v>
      </c>
      <c r="K236" s="837">
        <f t="shared" si="110"/>
        <v>0</v>
      </c>
      <c r="L236" s="837"/>
      <c r="M236" s="837"/>
      <c r="N236" s="837"/>
      <c r="O236" s="837"/>
      <c r="P236" s="837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</row>
    <row r="237" spans="1:26" ht="19.5" hidden="1">
      <c r="A237" s="1011"/>
      <c r="B237" s="1018"/>
      <c r="C237" s="1023" t="s">
        <v>331</v>
      </c>
      <c r="D237" s="1012"/>
      <c r="E237" s="1012"/>
      <c r="F237" s="1012"/>
      <c r="G237" s="1014"/>
      <c r="H237" s="260" t="s">
        <v>35</v>
      </c>
      <c r="I237" s="1024">
        <f t="shared" ref="I237:J237" ca="1" si="111">I244</f>
        <v>0</v>
      </c>
      <c r="J237" s="1024">
        <f t="shared" si="111"/>
        <v>0</v>
      </c>
      <c r="K237" s="1025">
        <f t="shared" ca="1" si="110"/>
        <v>0</v>
      </c>
      <c r="L237" s="1016"/>
      <c r="M237" s="1016"/>
      <c r="N237" s="1016"/>
      <c r="O237" s="1016"/>
      <c r="P237" s="1016"/>
    </row>
    <row r="238" spans="1:26" ht="19.5" hidden="1">
      <c r="A238" s="932"/>
      <c r="B238" s="933"/>
      <c r="C238" s="934" t="s">
        <v>16</v>
      </c>
      <c r="D238" s="935" t="s">
        <v>17</v>
      </c>
      <c r="E238" s="933"/>
      <c r="F238" s="933"/>
      <c r="G238" s="936"/>
      <c r="H238" s="275" t="s">
        <v>12</v>
      </c>
      <c r="I238" s="1028"/>
      <c r="J238" s="1028"/>
      <c r="K238" s="1029"/>
      <c r="L238" s="939">
        <f ca="1">L239+L240+L241+L242</f>
        <v>0</v>
      </c>
      <c r="M238" s="939"/>
      <c r="N238" s="939">
        <f>N239+N240+N241+N242</f>
        <v>0</v>
      </c>
      <c r="O238" s="939">
        <f ca="1">IF(L238&gt;0,N238*100/L238,0)</f>
        <v>0</v>
      </c>
      <c r="P238" s="939">
        <f>IF(M238&gt;0,N238*100/M238,0)</f>
        <v>0</v>
      </c>
      <c r="Q238" s="818"/>
      <c r="R238" s="818"/>
      <c r="S238" s="818"/>
      <c r="T238" s="818"/>
      <c r="U238" s="818"/>
      <c r="V238" s="818"/>
      <c r="W238" s="818"/>
      <c r="X238" s="818"/>
      <c r="Y238" s="818"/>
      <c r="Z238" s="818"/>
    </row>
    <row r="239" spans="1:26" ht="18.75" hidden="1">
      <c r="A239" s="1064"/>
      <c r="B239" s="1065"/>
      <c r="C239" s="1066"/>
      <c r="D239" s="1067" t="s">
        <v>97</v>
      </c>
      <c r="E239" s="1066"/>
      <c r="F239" s="1066"/>
      <c r="G239" s="1068"/>
      <c r="H239" s="319" t="s">
        <v>12</v>
      </c>
      <c r="I239" s="1069"/>
      <c r="J239" s="1069"/>
      <c r="K239" s="1070"/>
      <c r="L239" s="1071">
        <f ca="1">IFERROR(__xludf.DUMMYFUNCTION("IMPORTRANGE(""https://docs.google.com/spreadsheets/d/1QqKyyYR6Q21VydFLVH3TRQUabQu_ym0Zz7PgGX0-kHA/edit?usp=sharing"",""แผน!AV15"")"),0)</f>
        <v>0</v>
      </c>
      <c r="M239" s="1071"/>
      <c r="N239" s="1072">
        <v>0</v>
      </c>
      <c r="O239" s="1071"/>
      <c r="P239" s="1071"/>
      <c r="Q239" s="1073"/>
      <c r="R239" s="1073"/>
      <c r="S239" s="1073"/>
      <c r="T239" s="1073"/>
      <c r="U239" s="1073"/>
      <c r="V239" s="1073"/>
      <c r="W239" s="1073"/>
      <c r="X239" s="1073"/>
      <c r="Y239" s="1073"/>
      <c r="Z239" s="1073"/>
    </row>
    <row r="240" spans="1:26" ht="19.5" hidden="1">
      <c r="A240" s="1074"/>
      <c r="B240" s="1065"/>
      <c r="C240" s="1075"/>
      <c r="D240" s="1067" t="s">
        <v>98</v>
      </c>
      <c r="E240" s="1066"/>
      <c r="F240" s="1066"/>
      <c r="G240" s="1068"/>
      <c r="H240" s="319" t="s">
        <v>12</v>
      </c>
      <c r="I240" s="1076"/>
      <c r="J240" s="1076"/>
      <c r="K240" s="1071"/>
      <c r="L240" s="1071">
        <f ca="1">IFERROR(__xludf.DUMMYFUNCTION("IMPORTRANGE(""https://docs.google.com/spreadsheets/d/1QqKyyYR6Q21VydFLVH3TRQUabQu_ym0Zz7PgGX0-kHA/edit?usp=sharing"",""แผน!AW15"")"),0)</f>
        <v>0</v>
      </c>
      <c r="M240" s="1071"/>
      <c r="N240" s="1072">
        <v>0</v>
      </c>
      <c r="O240" s="1071"/>
      <c r="P240" s="1071"/>
      <c r="Q240" s="1077"/>
      <c r="R240" s="1077"/>
      <c r="S240" s="1077"/>
      <c r="T240" s="1077"/>
      <c r="U240" s="1077"/>
      <c r="V240" s="1077"/>
      <c r="W240" s="1077"/>
      <c r="X240" s="1077"/>
      <c r="Y240" s="1077"/>
      <c r="Z240" s="1077"/>
    </row>
    <row r="241" spans="1:26" ht="19.5" hidden="1">
      <c r="A241" s="1074"/>
      <c r="B241" s="1065"/>
      <c r="C241" s="1075"/>
      <c r="D241" s="1067" t="s">
        <v>116</v>
      </c>
      <c r="E241" s="1066"/>
      <c r="F241" s="1066"/>
      <c r="G241" s="1068"/>
      <c r="H241" s="319" t="s">
        <v>12</v>
      </c>
      <c r="I241" s="1076"/>
      <c r="J241" s="1076"/>
      <c r="K241" s="1071"/>
      <c r="L241" s="1071">
        <f ca="1">IFERROR(__xludf.DUMMYFUNCTION("IMPORTRANGE(""https://docs.google.com/spreadsheets/d/1QqKyyYR6Q21VydFLVH3TRQUabQu_ym0Zz7PgGX0-kHA/edit?usp=sharing"",""แผน!AX15"")"),0)</f>
        <v>0</v>
      </c>
      <c r="M241" s="1071"/>
      <c r="N241" s="1072">
        <v>0</v>
      </c>
      <c r="O241" s="1071"/>
      <c r="P241" s="1071"/>
      <c r="Q241" s="1077"/>
      <c r="R241" s="1077"/>
      <c r="S241" s="1077"/>
      <c r="T241" s="1077"/>
      <c r="U241" s="1077"/>
      <c r="V241" s="1077"/>
      <c r="W241" s="1077"/>
      <c r="X241" s="1077"/>
      <c r="Y241" s="1077"/>
      <c r="Z241" s="1077"/>
    </row>
    <row r="242" spans="1:26" ht="19.5" hidden="1">
      <c r="A242" s="1074"/>
      <c r="B242" s="1065"/>
      <c r="C242" s="1075"/>
      <c r="D242" s="1067" t="s">
        <v>100</v>
      </c>
      <c r="E242" s="1066"/>
      <c r="F242" s="1066"/>
      <c r="G242" s="1068"/>
      <c r="H242" s="319" t="s">
        <v>12</v>
      </c>
      <c r="I242" s="1076"/>
      <c r="J242" s="1076"/>
      <c r="K242" s="1071"/>
      <c r="L242" s="1071">
        <f ca="1">IFERROR(__xludf.DUMMYFUNCTION("IMPORTRANGE(""https://docs.google.com/spreadsheets/d/1QqKyyYR6Q21VydFLVH3TRQUabQu_ym0Zz7PgGX0-kHA/edit?usp=sharing"",""แผน!AY15"")"),0)</f>
        <v>0</v>
      </c>
      <c r="M242" s="1071"/>
      <c r="N242" s="1072">
        <v>0</v>
      </c>
      <c r="O242" s="1071"/>
      <c r="P242" s="1071"/>
      <c r="Q242" s="1077"/>
      <c r="R242" s="1077"/>
      <c r="S242" s="1077"/>
      <c r="T242" s="1077"/>
      <c r="U242" s="1077"/>
      <c r="V242" s="1077"/>
      <c r="W242" s="1077"/>
      <c r="X242" s="1077"/>
      <c r="Y242" s="1077"/>
      <c r="Z242" s="1077"/>
    </row>
    <row r="243" spans="1:26" ht="19.5" hidden="1">
      <c r="A243" s="949"/>
      <c r="B243" s="950"/>
      <c r="C243" s="1038" t="s">
        <v>16</v>
      </c>
      <c r="D243" s="951" t="s">
        <v>38</v>
      </c>
      <c r="E243" s="952"/>
      <c r="F243" s="952"/>
      <c r="G243" s="953"/>
      <c r="H243" s="954"/>
      <c r="I243" s="944"/>
      <c r="J243" s="830"/>
      <c r="K243" s="831"/>
      <c r="L243" s="831"/>
      <c r="M243" s="831"/>
      <c r="N243" s="831"/>
      <c r="O243" s="945"/>
      <c r="P243" s="945"/>
      <c r="Q243" s="818"/>
      <c r="R243" s="818"/>
      <c r="S243" s="818"/>
      <c r="T243" s="818"/>
      <c r="U243" s="818"/>
      <c r="V243" s="818"/>
      <c r="W243" s="818"/>
      <c r="X243" s="818"/>
      <c r="Y243" s="818"/>
      <c r="Z243" s="818"/>
    </row>
    <row r="244" spans="1:26" ht="18.75" hidden="1">
      <c r="A244" s="949"/>
      <c r="B244" s="950"/>
      <c r="C244" s="950"/>
      <c r="D244" s="956" t="s">
        <v>117</v>
      </c>
      <c r="E244" s="957"/>
      <c r="F244" s="957"/>
      <c r="G244" s="958"/>
      <c r="H244" s="730" t="s">
        <v>35</v>
      </c>
      <c r="I244" s="830">
        <f ca="1">IFERROR(__xludf.DUMMYFUNCTION("IMPORTRANGE(""https://docs.google.com/spreadsheets/d/1QqKyyYR6Q21VydFLVH3TRQUabQu_ym0Zz7PgGX0-kHA/edit?usp=sharing"",""แผน!BE15"")"),0)</f>
        <v>0</v>
      </c>
      <c r="J244" s="959">
        <v>0</v>
      </c>
      <c r="K244" s="831">
        <f ca="1">IF(I244&gt;0,J244*100/I244,0)</f>
        <v>0</v>
      </c>
      <c r="L244" s="831"/>
      <c r="M244" s="831"/>
      <c r="N244" s="831"/>
      <c r="O244" s="831"/>
      <c r="P244" s="831"/>
      <c r="Q244" s="818"/>
      <c r="R244" s="818"/>
      <c r="S244" s="818"/>
      <c r="T244" s="818"/>
      <c r="U244" s="818"/>
      <c r="V244" s="818"/>
      <c r="W244" s="818"/>
      <c r="X244" s="818"/>
      <c r="Y244" s="818"/>
      <c r="Z244" s="818"/>
    </row>
    <row r="245" spans="1:26" ht="18.75" hidden="1">
      <c r="A245" s="949"/>
      <c r="B245" s="950"/>
      <c r="C245" s="950"/>
      <c r="D245" s="1078" t="s">
        <v>43</v>
      </c>
      <c r="E245" s="957"/>
      <c r="F245" s="957"/>
      <c r="G245" s="958"/>
      <c r="H245" s="730"/>
      <c r="I245" s="830"/>
      <c r="J245" s="830"/>
      <c r="K245" s="831"/>
      <c r="L245" s="831"/>
      <c r="M245" s="831"/>
      <c r="N245" s="831"/>
      <c r="O245" s="945"/>
      <c r="P245" s="945"/>
      <c r="Q245" s="818"/>
      <c r="R245" s="818"/>
      <c r="S245" s="818"/>
      <c r="T245" s="818"/>
      <c r="U245" s="818"/>
      <c r="V245" s="818"/>
      <c r="W245" s="818"/>
      <c r="X245" s="818"/>
      <c r="Y245" s="818"/>
      <c r="Z245" s="818"/>
    </row>
    <row r="246" spans="1:26" ht="18.75" hidden="1">
      <c r="A246" s="949"/>
      <c r="B246" s="950"/>
      <c r="C246" s="950"/>
      <c r="D246" s="950"/>
      <c r="E246" s="955" t="s">
        <v>118</v>
      </c>
      <c r="F246" s="957"/>
      <c r="G246" s="958"/>
      <c r="H246" s="730" t="s">
        <v>35</v>
      </c>
      <c r="I246" s="830"/>
      <c r="J246" s="959">
        <v>0</v>
      </c>
      <c r="K246" s="831">
        <f t="shared" ref="K246:K248" si="112">IF(I246&gt;0,J246*100/I246,0)</f>
        <v>0</v>
      </c>
      <c r="L246" s="831"/>
      <c r="M246" s="831"/>
      <c r="N246" s="831"/>
      <c r="O246" s="831"/>
      <c r="P246" s="831"/>
      <c r="Q246" s="818"/>
      <c r="R246" s="818"/>
      <c r="S246" s="818"/>
      <c r="T246" s="818"/>
      <c r="U246" s="818"/>
      <c r="V246" s="818"/>
      <c r="W246" s="818"/>
      <c r="X246" s="818"/>
      <c r="Y246" s="818"/>
      <c r="Z246" s="818"/>
    </row>
    <row r="247" spans="1:26" ht="18.75" hidden="1">
      <c r="A247" s="949"/>
      <c r="B247" s="950"/>
      <c r="C247" s="950"/>
      <c r="D247" s="950"/>
      <c r="E247" s="955" t="s">
        <v>119</v>
      </c>
      <c r="F247" s="957"/>
      <c r="G247" s="958"/>
      <c r="H247" s="730" t="s">
        <v>66</v>
      </c>
      <c r="I247" s="830"/>
      <c r="J247" s="959">
        <v>0</v>
      </c>
      <c r="K247" s="831">
        <f t="shared" si="112"/>
        <v>0</v>
      </c>
      <c r="L247" s="831"/>
      <c r="M247" s="831"/>
      <c r="N247" s="831"/>
      <c r="O247" s="831"/>
      <c r="P247" s="831"/>
      <c r="Q247" s="818"/>
      <c r="R247" s="818"/>
      <c r="S247" s="818"/>
      <c r="T247" s="818"/>
      <c r="U247" s="818"/>
      <c r="V247" s="818"/>
      <c r="W247" s="818"/>
      <c r="X247" s="818"/>
      <c r="Y247" s="818"/>
      <c r="Z247" s="818"/>
    </row>
    <row r="248" spans="1:26" ht="19.5" hidden="1">
      <c r="A248" s="1011"/>
      <c r="B248" s="1018"/>
      <c r="C248" s="1023" t="s">
        <v>332</v>
      </c>
      <c r="D248" s="1012"/>
      <c r="E248" s="1012"/>
      <c r="F248" s="1012"/>
      <c r="G248" s="1014"/>
      <c r="H248" s="260" t="s">
        <v>35</v>
      </c>
      <c r="I248" s="1024">
        <f t="shared" ref="I248:J248" ca="1" si="113">I255</f>
        <v>0</v>
      </c>
      <c r="J248" s="1024">
        <f t="shared" si="113"/>
        <v>0</v>
      </c>
      <c r="K248" s="1025">
        <f t="shared" ca="1" si="112"/>
        <v>0</v>
      </c>
      <c r="L248" s="1016"/>
      <c r="M248" s="1016"/>
      <c r="N248" s="1016"/>
      <c r="O248" s="1016"/>
      <c r="P248" s="1016"/>
    </row>
    <row r="249" spans="1:26" ht="19.5" hidden="1">
      <c r="A249" s="932"/>
      <c r="B249" s="933"/>
      <c r="C249" s="934" t="s">
        <v>16</v>
      </c>
      <c r="D249" s="1026" t="s">
        <v>17</v>
      </c>
      <c r="E249" s="933"/>
      <c r="F249" s="933"/>
      <c r="G249" s="936"/>
      <c r="H249" s="275" t="s">
        <v>12</v>
      </c>
      <c r="I249" s="1028"/>
      <c r="J249" s="1028"/>
      <c r="K249" s="1029"/>
      <c r="L249" s="939">
        <f ca="1">L250+L251+L252+L253</f>
        <v>0</v>
      </c>
      <c r="M249" s="939"/>
      <c r="N249" s="939">
        <f>N250+N251+N252+N253</f>
        <v>0</v>
      </c>
      <c r="O249" s="939">
        <f ca="1">IF(L249&gt;0,N249*100/L249,0)</f>
        <v>0</v>
      </c>
      <c r="P249" s="939">
        <f>IF(M249&gt;0,N249*100/M249,0)</f>
        <v>0</v>
      </c>
      <c r="Q249" s="818"/>
      <c r="R249" s="818"/>
      <c r="S249" s="818"/>
      <c r="T249" s="818"/>
      <c r="U249" s="818"/>
      <c r="V249" s="818"/>
      <c r="W249" s="818"/>
      <c r="X249" s="818"/>
      <c r="Y249" s="818"/>
      <c r="Z249" s="818"/>
    </row>
    <row r="250" spans="1:26" ht="18.75" hidden="1">
      <c r="A250" s="1064"/>
      <c r="B250" s="1065"/>
      <c r="C250" s="1066"/>
      <c r="D250" s="1067" t="s">
        <v>97</v>
      </c>
      <c r="E250" s="1066"/>
      <c r="F250" s="1066"/>
      <c r="G250" s="1068"/>
      <c r="H250" s="319" t="s">
        <v>12</v>
      </c>
      <c r="I250" s="1069"/>
      <c r="J250" s="1069"/>
      <c r="K250" s="1070"/>
      <c r="L250" s="1071">
        <f ca="1">IFERROR(__xludf.DUMMYFUNCTION("IMPORTRANGE(""https://docs.google.com/spreadsheets/d/1QqKyyYR6Q21VydFLVH3TRQUabQu_ym0Zz7PgGX0-kHA/edit?usp=sharing"",""แผน!AZ15"")"),0)</f>
        <v>0</v>
      </c>
      <c r="M250" s="1071"/>
      <c r="N250" s="1072">
        <v>0</v>
      </c>
      <c r="O250" s="1071"/>
      <c r="P250" s="1071"/>
      <c r="Q250" s="1073"/>
      <c r="R250" s="1073"/>
      <c r="S250" s="1073"/>
      <c r="T250" s="1073"/>
      <c r="U250" s="1073"/>
      <c r="V250" s="1073"/>
      <c r="W250" s="1073"/>
      <c r="X250" s="1073"/>
      <c r="Y250" s="1073"/>
      <c r="Z250" s="1073"/>
    </row>
    <row r="251" spans="1:26" ht="19.5" hidden="1">
      <c r="A251" s="1074"/>
      <c r="B251" s="1065"/>
      <c r="C251" s="1075"/>
      <c r="D251" s="1067" t="s">
        <v>98</v>
      </c>
      <c r="E251" s="1066"/>
      <c r="F251" s="1066"/>
      <c r="G251" s="1068"/>
      <c r="H251" s="319" t="s">
        <v>12</v>
      </c>
      <c r="I251" s="1076"/>
      <c r="J251" s="1076"/>
      <c r="K251" s="1071"/>
      <c r="L251" s="1071">
        <f ca="1">IFERROR(__xludf.DUMMYFUNCTION("IMPORTRANGE(""https://docs.google.com/spreadsheets/d/1QqKyyYR6Q21VydFLVH3TRQUabQu_ym0Zz7PgGX0-kHA/edit?usp=sharing"",""แผน!BA15"")"),0)</f>
        <v>0</v>
      </c>
      <c r="M251" s="1071"/>
      <c r="N251" s="1072">
        <v>0</v>
      </c>
      <c r="O251" s="1071"/>
      <c r="P251" s="1071"/>
      <c r="Q251" s="1077"/>
      <c r="R251" s="1077"/>
      <c r="S251" s="1077"/>
      <c r="T251" s="1077"/>
      <c r="U251" s="1077"/>
      <c r="V251" s="1077"/>
      <c r="W251" s="1077"/>
      <c r="X251" s="1077"/>
      <c r="Y251" s="1077"/>
      <c r="Z251" s="1077"/>
    </row>
    <row r="252" spans="1:26" ht="19.5" hidden="1">
      <c r="A252" s="1074"/>
      <c r="B252" s="1065"/>
      <c r="C252" s="1075"/>
      <c r="D252" s="1067" t="s">
        <v>116</v>
      </c>
      <c r="E252" s="1066"/>
      <c r="F252" s="1066"/>
      <c r="G252" s="1068"/>
      <c r="H252" s="319" t="s">
        <v>12</v>
      </c>
      <c r="I252" s="1076"/>
      <c r="J252" s="1076"/>
      <c r="K252" s="1071"/>
      <c r="L252" s="1071">
        <f ca="1">IFERROR(__xludf.DUMMYFUNCTION("IMPORTRANGE(""https://docs.google.com/spreadsheets/d/1QqKyyYR6Q21VydFLVH3TRQUabQu_ym0Zz7PgGX0-kHA/edit?usp=sharing"",""แผน!BB15"")"),0)</f>
        <v>0</v>
      </c>
      <c r="M252" s="1071"/>
      <c r="N252" s="1072">
        <v>0</v>
      </c>
      <c r="O252" s="1071"/>
      <c r="P252" s="1071"/>
      <c r="Q252" s="1077"/>
      <c r="R252" s="1077"/>
      <c r="S252" s="1077"/>
      <c r="T252" s="1077"/>
      <c r="U252" s="1077"/>
      <c r="V252" s="1077"/>
      <c r="W252" s="1077"/>
      <c r="X252" s="1077"/>
      <c r="Y252" s="1077"/>
      <c r="Z252" s="1077"/>
    </row>
    <row r="253" spans="1:26" ht="19.5" hidden="1">
      <c r="A253" s="1074"/>
      <c r="B253" s="1065"/>
      <c r="C253" s="1075"/>
      <c r="D253" s="1067" t="s">
        <v>100</v>
      </c>
      <c r="E253" s="1066"/>
      <c r="F253" s="1066"/>
      <c r="G253" s="1068"/>
      <c r="H253" s="319" t="s">
        <v>12</v>
      </c>
      <c r="I253" s="1076"/>
      <c r="J253" s="1076"/>
      <c r="K253" s="1071"/>
      <c r="L253" s="1071">
        <f ca="1">IFERROR(__xludf.DUMMYFUNCTION("IMPORTRANGE(""https://docs.google.com/spreadsheets/d/1QqKyyYR6Q21VydFLVH3TRQUabQu_ym0Zz7PgGX0-kHA/edit?usp=sharing"",""แผน!BC15"")"),0)</f>
        <v>0</v>
      </c>
      <c r="M253" s="1071"/>
      <c r="N253" s="1072">
        <v>0</v>
      </c>
      <c r="O253" s="1071"/>
      <c r="P253" s="1071"/>
      <c r="Q253" s="1077"/>
      <c r="R253" s="1077"/>
      <c r="S253" s="1077"/>
      <c r="T253" s="1077"/>
      <c r="U253" s="1077"/>
      <c r="V253" s="1077"/>
      <c r="W253" s="1077"/>
      <c r="X253" s="1077"/>
      <c r="Y253" s="1077"/>
      <c r="Z253" s="1077"/>
    </row>
    <row r="254" spans="1:26" ht="19.5" hidden="1">
      <c r="A254" s="949"/>
      <c r="B254" s="950"/>
      <c r="C254" s="1038" t="s">
        <v>16</v>
      </c>
      <c r="D254" s="951" t="s">
        <v>38</v>
      </c>
      <c r="E254" s="952"/>
      <c r="F254" s="952"/>
      <c r="G254" s="953"/>
      <c r="H254" s="954"/>
      <c r="I254" s="944"/>
      <c r="J254" s="830"/>
      <c r="K254" s="831"/>
      <c r="L254" s="831"/>
      <c r="M254" s="831"/>
      <c r="N254" s="831"/>
      <c r="O254" s="945"/>
      <c r="P254" s="945"/>
      <c r="Q254" s="818"/>
      <c r="R254" s="818"/>
      <c r="S254" s="818"/>
      <c r="T254" s="818"/>
      <c r="U254" s="818"/>
      <c r="V254" s="818"/>
      <c r="W254" s="818"/>
      <c r="X254" s="818"/>
      <c r="Y254" s="818"/>
      <c r="Z254" s="818"/>
    </row>
    <row r="255" spans="1:26" ht="18.75" hidden="1">
      <c r="A255" s="949"/>
      <c r="B255" s="950"/>
      <c r="C255" s="950"/>
      <c r="D255" s="956" t="s">
        <v>117</v>
      </c>
      <c r="E255" s="957"/>
      <c r="F255" s="957"/>
      <c r="G255" s="958"/>
      <c r="H255" s="730" t="s">
        <v>35</v>
      </c>
      <c r="I255" s="830">
        <f ca="1">IFERROR(__xludf.DUMMYFUNCTION("IMPORTRANGE(""https://docs.google.com/spreadsheets/d/1QqKyyYR6Q21VydFLVH3TRQUabQu_ym0Zz7PgGX0-kHA/edit?usp=sharing"",""แผน!BF15"")"),0)</f>
        <v>0</v>
      </c>
      <c r="J255" s="959">
        <v>0</v>
      </c>
      <c r="K255" s="831">
        <f ca="1">IF(I255&gt;0,J255*100/I255,0)</f>
        <v>0</v>
      </c>
      <c r="L255" s="831"/>
      <c r="M255" s="831"/>
      <c r="N255" s="831"/>
      <c r="O255" s="831"/>
      <c r="P255" s="831"/>
      <c r="Q255" s="818"/>
      <c r="R255" s="818"/>
      <c r="S255" s="818"/>
      <c r="T255" s="818"/>
      <c r="U255" s="818"/>
      <c r="V255" s="818"/>
      <c r="W255" s="818"/>
      <c r="X255" s="818"/>
      <c r="Y255" s="818"/>
      <c r="Z255" s="818"/>
    </row>
    <row r="256" spans="1:26" ht="18.75" hidden="1">
      <c r="A256" s="949"/>
      <c r="B256" s="950"/>
      <c r="C256" s="950"/>
      <c r="D256" s="1078" t="s">
        <v>43</v>
      </c>
      <c r="E256" s="957"/>
      <c r="F256" s="957"/>
      <c r="G256" s="958"/>
      <c r="H256" s="730"/>
      <c r="I256" s="830"/>
      <c r="J256" s="830"/>
      <c r="K256" s="831"/>
      <c r="L256" s="831"/>
      <c r="M256" s="831"/>
      <c r="N256" s="831"/>
      <c r="O256" s="945"/>
      <c r="P256" s="945"/>
      <c r="Q256" s="818"/>
      <c r="R256" s="818"/>
      <c r="S256" s="818"/>
      <c r="T256" s="818"/>
      <c r="U256" s="818"/>
      <c r="V256" s="818"/>
      <c r="W256" s="818"/>
      <c r="X256" s="818"/>
      <c r="Y256" s="818"/>
      <c r="Z256" s="818"/>
    </row>
    <row r="257" spans="1:26" ht="18.75" hidden="1">
      <c r="A257" s="949"/>
      <c r="B257" s="950"/>
      <c r="C257" s="950"/>
      <c r="D257" s="950"/>
      <c r="E257" s="955" t="s">
        <v>118</v>
      </c>
      <c r="F257" s="957"/>
      <c r="G257" s="958"/>
      <c r="H257" s="730" t="s">
        <v>35</v>
      </c>
      <c r="I257" s="830"/>
      <c r="J257" s="959">
        <v>0</v>
      </c>
      <c r="K257" s="831">
        <f t="shared" ref="K257:K258" si="114">IF(I257&gt;0,J257*100/I257,0)</f>
        <v>0</v>
      </c>
      <c r="L257" s="831"/>
      <c r="M257" s="831"/>
      <c r="N257" s="831"/>
      <c r="O257" s="831"/>
      <c r="P257" s="831"/>
      <c r="Q257" s="818"/>
      <c r="R257" s="818"/>
      <c r="S257" s="818"/>
      <c r="T257" s="818"/>
      <c r="U257" s="818"/>
      <c r="V257" s="818"/>
      <c r="W257" s="818"/>
      <c r="X257" s="818"/>
      <c r="Y257" s="818"/>
      <c r="Z257" s="818"/>
    </row>
    <row r="258" spans="1:26" ht="18.75" hidden="1">
      <c r="A258" s="949"/>
      <c r="B258" s="950"/>
      <c r="C258" s="950"/>
      <c r="D258" s="950"/>
      <c r="E258" s="955" t="s">
        <v>119</v>
      </c>
      <c r="F258" s="957"/>
      <c r="G258" s="958"/>
      <c r="H258" s="730" t="s">
        <v>66</v>
      </c>
      <c r="I258" s="830"/>
      <c r="J258" s="959">
        <v>0</v>
      </c>
      <c r="K258" s="831">
        <f t="shared" si="114"/>
        <v>0</v>
      </c>
      <c r="L258" s="831"/>
      <c r="M258" s="831"/>
      <c r="N258" s="831"/>
      <c r="O258" s="831"/>
      <c r="P258" s="831"/>
      <c r="Q258" s="818"/>
      <c r="R258" s="818"/>
      <c r="S258" s="818"/>
      <c r="T258" s="818"/>
      <c r="U258" s="818"/>
      <c r="V258" s="818"/>
      <c r="W258" s="818"/>
      <c r="X258" s="818"/>
      <c r="Y258" s="818"/>
      <c r="Z258" s="818"/>
    </row>
    <row r="259" spans="1:26" ht="19.5">
      <c r="A259" s="998" t="s">
        <v>122</v>
      </c>
      <c r="B259" s="999"/>
      <c r="C259" s="999"/>
      <c r="D259" s="1000"/>
      <c r="E259" s="1000"/>
      <c r="F259" s="1000"/>
      <c r="G259" s="1001"/>
      <c r="H259" s="1002"/>
      <c r="I259" s="1003"/>
      <c r="J259" s="1003"/>
      <c r="K259" s="1004"/>
      <c r="L259" s="1004"/>
      <c r="M259" s="1004"/>
      <c r="N259" s="1004"/>
      <c r="O259" s="1004"/>
      <c r="P259" s="1004"/>
    </row>
    <row r="260" spans="1:26" ht="19.5">
      <c r="A260" s="1005"/>
      <c r="B260" s="1006" t="s">
        <v>123</v>
      </c>
      <c r="C260" s="1007"/>
      <c r="D260" s="952"/>
      <c r="E260" s="952"/>
      <c r="F260" s="952"/>
      <c r="G260" s="953"/>
      <c r="H260" s="252" t="s">
        <v>35</v>
      </c>
      <c r="I260" s="1008">
        <f t="shared" ref="I260:J260" ca="1" si="115">I271</f>
        <v>26</v>
      </c>
      <c r="J260" s="1008">
        <f t="shared" si="115"/>
        <v>26</v>
      </c>
      <c r="K260" s="1009">
        <f ca="1">IF(I260&gt;0,J260*100/I260,0)</f>
        <v>100</v>
      </c>
      <c r="L260" s="1010"/>
      <c r="M260" s="1010"/>
      <c r="N260" s="1010"/>
      <c r="O260" s="1010"/>
      <c r="P260" s="1010"/>
    </row>
    <row r="261" spans="1:26" ht="19.5">
      <c r="A261" s="932"/>
      <c r="B261" s="933"/>
      <c r="C261" s="934" t="s">
        <v>16</v>
      </c>
      <c r="D261" s="935" t="s">
        <v>17</v>
      </c>
      <c r="E261" s="933"/>
      <c r="F261" s="933"/>
      <c r="G261" s="936"/>
      <c r="H261" s="152" t="s">
        <v>12</v>
      </c>
      <c r="I261" s="937"/>
      <c r="J261" s="937"/>
      <c r="K261" s="938"/>
      <c r="L261" s="939">
        <f t="shared" ref="L261:N261" ca="1" si="116">L262+L263</f>
        <v>30700</v>
      </c>
      <c r="M261" s="939">
        <f t="shared" ca="1" si="116"/>
        <v>27700</v>
      </c>
      <c r="N261" s="939">
        <f t="shared" ca="1" si="116"/>
        <v>26583.599999999999</v>
      </c>
      <c r="O261" s="939">
        <f t="shared" ref="O261:O269" ca="1" si="117">IF(L261&gt;0,N261*100/L261,0)</f>
        <v>86.591530944625404</v>
      </c>
      <c r="P261" s="939">
        <f t="shared" ref="P261:P269" ca="1" si="118">IF(M261&gt;0,N261*100/M261,0)</f>
        <v>95.969675090252707</v>
      </c>
      <c r="Q261" s="818"/>
      <c r="R261" s="818"/>
      <c r="S261" s="818"/>
      <c r="T261" s="818"/>
      <c r="U261" s="818"/>
      <c r="V261" s="818"/>
      <c r="W261" s="818"/>
      <c r="X261" s="818"/>
      <c r="Y261" s="818"/>
      <c r="Z261" s="818"/>
    </row>
    <row r="262" spans="1:26" ht="18.75" hidden="1">
      <c r="A262" s="940"/>
      <c r="B262" s="833"/>
      <c r="C262" s="833"/>
      <c r="D262" s="833"/>
      <c r="E262" s="834" t="s">
        <v>18</v>
      </c>
      <c r="F262" s="833"/>
      <c r="G262" s="941"/>
      <c r="H262" s="158" t="s">
        <v>12</v>
      </c>
      <c r="I262" s="836"/>
      <c r="J262" s="836"/>
      <c r="K262" s="837"/>
      <c r="L262" s="837">
        <f t="shared" ref="L262:N263" si="119">L265+L268</f>
        <v>0</v>
      </c>
      <c r="M262" s="837">
        <f t="shared" si="119"/>
        <v>0</v>
      </c>
      <c r="N262" s="837">
        <f t="shared" si="119"/>
        <v>0</v>
      </c>
      <c r="O262" s="837">
        <f t="shared" si="117"/>
        <v>0</v>
      </c>
      <c r="P262" s="837">
        <f t="shared" si="118"/>
        <v>0</v>
      </c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</row>
    <row r="263" spans="1:26" ht="18.75" hidden="1">
      <c r="A263" s="940"/>
      <c r="B263" s="833"/>
      <c r="C263" s="833"/>
      <c r="D263" s="833"/>
      <c r="E263" s="834" t="s">
        <v>19</v>
      </c>
      <c r="F263" s="833"/>
      <c r="G263" s="941"/>
      <c r="H263" s="158" t="s">
        <v>12</v>
      </c>
      <c r="I263" s="836"/>
      <c r="J263" s="836"/>
      <c r="K263" s="837"/>
      <c r="L263" s="837">
        <f t="shared" ca="1" si="119"/>
        <v>30700</v>
      </c>
      <c r="M263" s="837">
        <f t="shared" ca="1" si="119"/>
        <v>27700</v>
      </c>
      <c r="N263" s="837">
        <f t="shared" ca="1" si="119"/>
        <v>26583.599999999999</v>
      </c>
      <c r="O263" s="837">
        <f t="shared" ca="1" si="117"/>
        <v>86.591530944625404</v>
      </c>
      <c r="P263" s="837">
        <f t="shared" ca="1" si="118"/>
        <v>95.969675090252707</v>
      </c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</row>
    <row r="264" spans="1:26" ht="18.75">
      <c r="A264" s="942"/>
      <c r="B264" s="827"/>
      <c r="C264" s="943"/>
      <c r="D264" s="828" t="s">
        <v>20</v>
      </c>
      <c r="E264" s="827"/>
      <c r="F264" s="827"/>
      <c r="G264" s="829"/>
      <c r="H264" s="778" t="s">
        <v>12</v>
      </c>
      <c r="I264" s="944"/>
      <c r="J264" s="944"/>
      <c r="K264" s="945"/>
      <c r="L264" s="831">
        <f t="shared" ref="L264:N264" ca="1" si="120">L265+L266</f>
        <v>30700</v>
      </c>
      <c r="M264" s="831">
        <f t="shared" ca="1" si="120"/>
        <v>27700</v>
      </c>
      <c r="N264" s="831">
        <f t="shared" ca="1" si="120"/>
        <v>26583.599999999999</v>
      </c>
      <c r="O264" s="831">
        <f t="shared" ca="1" si="117"/>
        <v>86.591530944625404</v>
      </c>
      <c r="P264" s="831">
        <f t="shared" ca="1" si="118"/>
        <v>95.969675090252707</v>
      </c>
      <c r="Q264" s="818"/>
      <c r="R264" s="818"/>
      <c r="S264" s="818"/>
      <c r="T264" s="818"/>
      <c r="U264" s="818"/>
      <c r="V264" s="818"/>
      <c r="W264" s="818"/>
      <c r="X264" s="818"/>
      <c r="Y264" s="818"/>
      <c r="Z264" s="818"/>
    </row>
    <row r="265" spans="1:26" ht="19.5" hidden="1">
      <c r="A265" s="940"/>
      <c r="B265" s="833"/>
      <c r="C265" s="946"/>
      <c r="D265" s="833"/>
      <c r="E265" s="834" t="s">
        <v>36</v>
      </c>
      <c r="F265" s="833"/>
      <c r="G265" s="941"/>
      <c r="H265" s="165" t="s">
        <v>12</v>
      </c>
      <c r="I265" s="947"/>
      <c r="J265" s="947"/>
      <c r="K265" s="948"/>
      <c r="L265" s="837">
        <v>0</v>
      </c>
      <c r="M265" s="837">
        <v>0</v>
      </c>
      <c r="N265" s="837">
        <v>0</v>
      </c>
      <c r="O265" s="837">
        <f t="shared" si="117"/>
        <v>0</v>
      </c>
      <c r="P265" s="837">
        <f t="shared" si="118"/>
        <v>0</v>
      </c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</row>
    <row r="266" spans="1:26" ht="19.5" hidden="1">
      <c r="A266" s="940"/>
      <c r="B266" s="833"/>
      <c r="C266" s="946"/>
      <c r="D266" s="833"/>
      <c r="E266" s="834" t="s">
        <v>37</v>
      </c>
      <c r="F266" s="833"/>
      <c r="G266" s="941"/>
      <c r="H266" s="165" t="s">
        <v>12</v>
      </c>
      <c r="I266" s="947"/>
      <c r="J266" s="947"/>
      <c r="K266" s="948"/>
      <c r="L266" s="837">
        <f ca="1">IFERROR(__xludf.DUMMYFUNCTION("IMPORTRANGE(""https://docs.google.com/spreadsheets/d/1MeEWN-I1oV_STSDYn1IFDPWt_1FKiwhDph83XaGc0o0/edit?usp=sharing"",""งบพรบ!CY15"")"),30700)</f>
        <v>30700</v>
      </c>
      <c r="M266" s="837">
        <f ca="1">IFERROR(__xludf.DUMMYFUNCTION("IMPORTRANGE(""https://docs.google.com/spreadsheets/d/1MeEWN-I1oV_STSDYn1IFDPWt_1FKiwhDph83XaGc0o0/edit?usp=sharing"",""งบพรบ!DD15"")"),27700)</f>
        <v>27700</v>
      </c>
      <c r="N266" s="837">
        <f ca="1">IFERROR(__xludf.DUMMYFUNCTION("IMPORTRANGE(""https://docs.google.com/spreadsheets/d/1MeEWN-I1oV_STSDYn1IFDPWt_1FKiwhDph83XaGc0o0/edit?usp=sharing"",""งบพรบ!DF15"")"),26583.6)</f>
        <v>26583.599999999999</v>
      </c>
      <c r="O266" s="837">
        <f t="shared" ca="1" si="117"/>
        <v>86.591530944625404</v>
      </c>
      <c r="P266" s="837">
        <f t="shared" ca="1" si="118"/>
        <v>95.969675090252707</v>
      </c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</row>
    <row r="267" spans="1:26" ht="18.75">
      <c r="A267" s="942"/>
      <c r="B267" s="827"/>
      <c r="C267" s="943"/>
      <c r="D267" s="828" t="s">
        <v>21</v>
      </c>
      <c r="E267" s="827"/>
      <c r="F267" s="827"/>
      <c r="G267" s="829"/>
      <c r="H267" s="168" t="s">
        <v>12</v>
      </c>
      <c r="I267" s="944"/>
      <c r="J267" s="944"/>
      <c r="K267" s="945"/>
      <c r="L267" s="831">
        <f t="shared" ref="L267:N267" ca="1" si="121">L268+L269</f>
        <v>0</v>
      </c>
      <c r="M267" s="831">
        <f t="shared" ca="1" si="121"/>
        <v>0</v>
      </c>
      <c r="N267" s="831">
        <f t="shared" ca="1" si="121"/>
        <v>0</v>
      </c>
      <c r="O267" s="831">
        <f t="shared" ca="1" si="117"/>
        <v>0</v>
      </c>
      <c r="P267" s="831">
        <f t="shared" ca="1" si="118"/>
        <v>0</v>
      </c>
      <c r="Q267" s="818"/>
      <c r="R267" s="818"/>
      <c r="S267" s="818"/>
      <c r="T267" s="818"/>
      <c r="U267" s="818"/>
      <c r="V267" s="818"/>
      <c r="W267" s="818"/>
      <c r="X267" s="818"/>
      <c r="Y267" s="818"/>
      <c r="Z267" s="818"/>
    </row>
    <row r="268" spans="1:26" ht="19.5" hidden="1">
      <c r="A268" s="940"/>
      <c r="B268" s="833"/>
      <c r="C268" s="946"/>
      <c r="D268" s="833"/>
      <c r="E268" s="834" t="s">
        <v>18</v>
      </c>
      <c r="F268" s="833"/>
      <c r="G268" s="941"/>
      <c r="H268" s="165" t="s">
        <v>12</v>
      </c>
      <c r="I268" s="947"/>
      <c r="J268" s="947"/>
      <c r="K268" s="948"/>
      <c r="L268" s="837">
        <v>0</v>
      </c>
      <c r="M268" s="837">
        <v>0</v>
      </c>
      <c r="N268" s="837">
        <v>0</v>
      </c>
      <c r="O268" s="837">
        <f t="shared" si="117"/>
        <v>0</v>
      </c>
      <c r="P268" s="837">
        <f t="shared" si="118"/>
        <v>0</v>
      </c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</row>
    <row r="269" spans="1:26" ht="19.5" hidden="1">
      <c r="A269" s="940"/>
      <c r="B269" s="833"/>
      <c r="C269" s="946"/>
      <c r="D269" s="833"/>
      <c r="E269" s="834" t="s">
        <v>19</v>
      </c>
      <c r="F269" s="833"/>
      <c r="G269" s="941"/>
      <c r="H269" s="169" t="s">
        <v>12</v>
      </c>
      <c r="I269" s="947"/>
      <c r="J269" s="947"/>
      <c r="K269" s="948"/>
      <c r="L269" s="837">
        <f ca="1">IFERROR(__xludf.DUMMYFUNCTION("IMPORTRANGE(""https://docs.google.com/spreadsheets/d/1MeEWN-I1oV_STSDYn1IFDPWt_1FKiwhDph83XaGc0o0/edit?usp=sharing"",""งบพรบ!DB15"")"),0)</f>
        <v>0</v>
      </c>
      <c r="M269" s="837">
        <f ca="1">IFERROR(__xludf.DUMMYFUNCTION("IMPORTRANGE(""https://docs.google.com/spreadsheets/d/1MeEWN-I1oV_STSDYn1IFDPWt_1FKiwhDph83XaGc0o0/edit?usp=sharing"",""งบพรบ!DE15"")"),0)</f>
        <v>0</v>
      </c>
      <c r="N269" s="837">
        <f ca="1">IFERROR(__xludf.DUMMYFUNCTION("IMPORTRANGE(""https://docs.google.com/spreadsheets/d/1MeEWN-I1oV_STSDYn1IFDPWt_1FKiwhDph83XaGc0o0/edit?usp=sharing"",""งบพรบ!DG15"")"),0)</f>
        <v>0</v>
      </c>
      <c r="O269" s="837">
        <f t="shared" ca="1" si="117"/>
        <v>0</v>
      </c>
      <c r="P269" s="837">
        <f t="shared" ca="1" si="118"/>
        <v>0</v>
      </c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</row>
    <row r="270" spans="1:26" ht="19.5">
      <c r="A270" s="949"/>
      <c r="B270" s="950"/>
      <c r="C270" s="943" t="s">
        <v>16</v>
      </c>
      <c r="D270" s="951" t="s">
        <v>38</v>
      </c>
      <c r="E270" s="952"/>
      <c r="F270" s="952"/>
      <c r="G270" s="953"/>
      <c r="H270" s="954"/>
      <c r="I270" s="944"/>
      <c r="J270" s="944"/>
      <c r="K270" s="945"/>
      <c r="L270" s="945"/>
      <c r="M270" s="945"/>
      <c r="N270" s="945"/>
      <c r="O270" s="945"/>
      <c r="P270" s="945"/>
    </row>
    <row r="271" spans="1:26" ht="18.75">
      <c r="A271" s="949"/>
      <c r="B271" s="950"/>
      <c r="C271" s="950"/>
      <c r="D271" s="1079" t="s">
        <v>124</v>
      </c>
      <c r="E271" s="957"/>
      <c r="F271" s="1022"/>
      <c r="G271" s="958"/>
      <c r="H271" s="346" t="s">
        <v>35</v>
      </c>
      <c r="I271" s="830">
        <f ca="1">IFERROR(__xludf.DUMMYFUNCTION("IMPORTRANGE(""https://docs.google.com/spreadsheets/d/1QqKyyYR6Q21VydFLVH3TRQUabQu_ym0Zz7PgGX0-kHA/edit?usp=sharing"",""แผน!EA15"")"),26)</f>
        <v>26</v>
      </c>
      <c r="J271" s="959">
        <v>26</v>
      </c>
      <c r="K271" s="945">
        <f ca="1">IF(I271&gt;0,J271*100/I271,0)</f>
        <v>100</v>
      </c>
      <c r="L271" s="945"/>
      <c r="M271" s="945"/>
      <c r="N271" s="945"/>
      <c r="O271" s="945"/>
      <c r="P271" s="945"/>
    </row>
    <row r="272" spans="1:26" ht="18.75" hidden="1">
      <c r="A272" s="1080"/>
      <c r="B272" s="1081"/>
      <c r="C272" s="1081"/>
      <c r="D272" s="1082" t="s">
        <v>125</v>
      </c>
      <c r="E272" s="1083"/>
      <c r="F272" s="1083"/>
      <c r="G272" s="1084"/>
      <c r="H272" s="50" t="s">
        <v>35</v>
      </c>
      <c r="I272" s="1085">
        <v>0</v>
      </c>
      <c r="J272" s="1085">
        <v>0</v>
      </c>
      <c r="K272" s="1086">
        <v>0</v>
      </c>
      <c r="L272" s="1086"/>
      <c r="M272" s="1086"/>
      <c r="N272" s="1086"/>
      <c r="O272" s="1086"/>
      <c r="P272" s="1086"/>
    </row>
    <row r="273" spans="1:26" ht="19.5">
      <c r="A273" s="1087" t="s">
        <v>126</v>
      </c>
      <c r="B273" s="1088"/>
      <c r="C273" s="1088"/>
      <c r="D273" s="1088"/>
      <c r="E273" s="1089"/>
      <c r="F273" s="1089"/>
      <c r="G273" s="1090"/>
      <c r="H273" s="1091"/>
      <c r="I273" s="1092"/>
      <c r="J273" s="1092"/>
      <c r="K273" s="1093"/>
      <c r="L273" s="1093"/>
      <c r="M273" s="1093"/>
      <c r="N273" s="1093"/>
      <c r="O273" s="1093"/>
      <c r="P273" s="1093"/>
    </row>
    <row r="274" spans="1:26" ht="19.5">
      <c r="A274" s="1094" t="s">
        <v>127</v>
      </c>
      <c r="B274" s="1095"/>
      <c r="C274" s="1096"/>
      <c r="D274" s="1095"/>
      <c r="E274" s="1095"/>
      <c r="F274" s="1095"/>
      <c r="G274" s="1095"/>
      <c r="H274" s="1097"/>
      <c r="I274" s="1098"/>
      <c r="J274" s="1099"/>
      <c r="K274" s="1100"/>
      <c r="L274" s="1100"/>
      <c r="M274" s="1100"/>
      <c r="N274" s="1100"/>
      <c r="O274" s="1100"/>
      <c r="P274" s="1100"/>
    </row>
    <row r="275" spans="1:26" ht="19.5">
      <c r="A275" s="1101"/>
      <c r="B275" s="1102" t="s">
        <v>128</v>
      </c>
      <c r="C275" s="1103"/>
      <c r="D275" s="1104"/>
      <c r="E275" s="1103"/>
      <c r="F275" s="1103"/>
      <c r="G275" s="1105"/>
      <c r="H275" s="374" t="s">
        <v>35</v>
      </c>
      <c r="I275" s="1106">
        <f t="shared" ref="I275:J275" ca="1" si="122">I288</f>
        <v>20</v>
      </c>
      <c r="J275" s="1106">
        <f t="shared" ca="1" si="122"/>
        <v>0</v>
      </c>
      <c r="K275" s="1107">
        <f t="shared" ref="K275:K276" ca="1" si="123">IF(I275&gt;0,J275*100/I275,0)</f>
        <v>0</v>
      </c>
      <c r="L275" s="1108"/>
      <c r="M275" s="1108"/>
      <c r="N275" s="1108"/>
      <c r="O275" s="1108"/>
      <c r="P275" s="1108"/>
    </row>
    <row r="276" spans="1:26" ht="19.5">
      <c r="A276" s="1101"/>
      <c r="B276" s="1102"/>
      <c r="C276" s="1103"/>
      <c r="D276" s="1104"/>
      <c r="E276" s="1103"/>
      <c r="F276" s="1103"/>
      <c r="G276" s="1105"/>
      <c r="H276" s="374" t="s">
        <v>46</v>
      </c>
      <c r="I276" s="1435">
        <f t="shared" ref="I276:J276" ca="1" si="124">I287</f>
        <v>200</v>
      </c>
      <c r="J276" s="1435">
        <f t="shared" si="124"/>
        <v>200</v>
      </c>
      <c r="K276" s="1108">
        <f t="shared" ca="1" si="123"/>
        <v>100</v>
      </c>
      <c r="L276" s="1108"/>
      <c r="M276" s="1108"/>
      <c r="N276" s="1108"/>
      <c r="O276" s="1108"/>
      <c r="P276" s="1108"/>
    </row>
    <row r="277" spans="1:26" ht="19.5">
      <c r="A277" s="932"/>
      <c r="B277" s="933"/>
      <c r="C277" s="934" t="s">
        <v>16</v>
      </c>
      <c r="D277" s="935" t="s">
        <v>17</v>
      </c>
      <c r="E277" s="933"/>
      <c r="F277" s="933"/>
      <c r="G277" s="936"/>
      <c r="H277" s="152" t="s">
        <v>12</v>
      </c>
      <c r="I277" s="937"/>
      <c r="J277" s="937"/>
      <c r="K277" s="938"/>
      <c r="L277" s="939">
        <f t="shared" ref="L277:N277" ca="1" si="125">L278+L279</f>
        <v>75640</v>
      </c>
      <c r="M277" s="939">
        <f t="shared" ca="1" si="125"/>
        <v>37520</v>
      </c>
      <c r="N277" s="939">
        <f t="shared" ca="1" si="125"/>
        <v>31877</v>
      </c>
      <c r="O277" s="939">
        <f t="shared" ref="O277:O285" ca="1" si="126">IF(L277&gt;0,N277*100/L277,0)</f>
        <v>42.143046007403491</v>
      </c>
      <c r="P277" s="939">
        <f t="shared" ref="P277:P285" ca="1" si="127">IF(M277&gt;0,N277*100/M277,0)</f>
        <v>84.960021321961619</v>
      </c>
      <c r="Q277" s="818"/>
      <c r="R277" s="818"/>
      <c r="S277" s="818"/>
      <c r="T277" s="818"/>
      <c r="U277" s="818"/>
      <c r="V277" s="818"/>
      <c r="W277" s="818"/>
      <c r="X277" s="818"/>
      <c r="Y277" s="818"/>
      <c r="Z277" s="818"/>
    </row>
    <row r="278" spans="1:26" ht="18.75" hidden="1">
      <c r="A278" s="940"/>
      <c r="B278" s="833"/>
      <c r="C278" s="833"/>
      <c r="D278" s="833"/>
      <c r="E278" s="834" t="s">
        <v>18</v>
      </c>
      <c r="F278" s="833"/>
      <c r="G278" s="941"/>
      <c r="H278" s="158" t="s">
        <v>12</v>
      </c>
      <c r="I278" s="836"/>
      <c r="J278" s="836"/>
      <c r="K278" s="837"/>
      <c r="L278" s="837">
        <f t="shared" ref="L278:N279" si="128">L281+L284</f>
        <v>0</v>
      </c>
      <c r="M278" s="837">
        <f t="shared" si="128"/>
        <v>0</v>
      </c>
      <c r="N278" s="837">
        <f t="shared" si="128"/>
        <v>0</v>
      </c>
      <c r="O278" s="837">
        <f t="shared" si="126"/>
        <v>0</v>
      </c>
      <c r="P278" s="837">
        <f t="shared" si="127"/>
        <v>0</v>
      </c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</row>
    <row r="279" spans="1:26" ht="18.75" hidden="1">
      <c r="A279" s="940"/>
      <c r="B279" s="833"/>
      <c r="C279" s="833"/>
      <c r="D279" s="833"/>
      <c r="E279" s="834" t="s">
        <v>19</v>
      </c>
      <c r="F279" s="833"/>
      <c r="G279" s="941"/>
      <c r="H279" s="158" t="s">
        <v>12</v>
      </c>
      <c r="I279" s="836"/>
      <c r="J279" s="836"/>
      <c r="K279" s="837"/>
      <c r="L279" s="837">
        <f t="shared" ca="1" si="128"/>
        <v>75640</v>
      </c>
      <c r="M279" s="837">
        <f t="shared" ca="1" si="128"/>
        <v>37520</v>
      </c>
      <c r="N279" s="837">
        <f t="shared" ca="1" si="128"/>
        <v>31877</v>
      </c>
      <c r="O279" s="837">
        <f t="shared" ca="1" si="126"/>
        <v>42.143046007403491</v>
      </c>
      <c r="P279" s="837">
        <f t="shared" ca="1" si="127"/>
        <v>84.960021321961619</v>
      </c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</row>
    <row r="280" spans="1:26" ht="18.75">
      <c r="A280" s="942"/>
      <c r="B280" s="827"/>
      <c r="C280" s="943"/>
      <c r="D280" s="828" t="s">
        <v>20</v>
      </c>
      <c r="E280" s="827"/>
      <c r="F280" s="827"/>
      <c r="G280" s="829"/>
      <c r="H280" s="778" t="s">
        <v>12</v>
      </c>
      <c r="I280" s="944"/>
      <c r="J280" s="944"/>
      <c r="K280" s="945"/>
      <c r="L280" s="831">
        <f t="shared" ref="L280:N280" ca="1" si="129">L281+L282</f>
        <v>75640</v>
      </c>
      <c r="M280" s="831">
        <f t="shared" ca="1" si="129"/>
        <v>37520</v>
      </c>
      <c r="N280" s="831">
        <f t="shared" ca="1" si="129"/>
        <v>31877</v>
      </c>
      <c r="O280" s="831">
        <f t="shared" ca="1" si="126"/>
        <v>42.143046007403491</v>
      </c>
      <c r="P280" s="831">
        <f t="shared" ca="1" si="127"/>
        <v>84.960021321961619</v>
      </c>
      <c r="Q280" s="818"/>
      <c r="R280" s="818"/>
      <c r="S280" s="818"/>
      <c r="T280" s="818"/>
      <c r="U280" s="818"/>
      <c r="V280" s="818"/>
      <c r="W280" s="818"/>
      <c r="X280" s="818"/>
      <c r="Y280" s="818"/>
      <c r="Z280" s="818"/>
    </row>
    <row r="281" spans="1:26" ht="19.5" hidden="1">
      <c r="A281" s="940"/>
      <c r="B281" s="833"/>
      <c r="C281" s="946"/>
      <c r="D281" s="833"/>
      <c r="E281" s="834" t="s">
        <v>36</v>
      </c>
      <c r="F281" s="833"/>
      <c r="G281" s="941"/>
      <c r="H281" s="165" t="s">
        <v>12</v>
      </c>
      <c r="I281" s="947"/>
      <c r="J281" s="947"/>
      <c r="K281" s="948"/>
      <c r="L281" s="837">
        <v>0</v>
      </c>
      <c r="M281" s="837">
        <v>0</v>
      </c>
      <c r="N281" s="837">
        <v>0</v>
      </c>
      <c r="O281" s="837">
        <f t="shared" si="126"/>
        <v>0</v>
      </c>
      <c r="P281" s="837">
        <f t="shared" si="127"/>
        <v>0</v>
      </c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</row>
    <row r="282" spans="1:26" ht="19.5" hidden="1">
      <c r="A282" s="940"/>
      <c r="B282" s="833"/>
      <c r="C282" s="946"/>
      <c r="D282" s="833"/>
      <c r="E282" s="834" t="s">
        <v>37</v>
      </c>
      <c r="F282" s="833"/>
      <c r="G282" s="941"/>
      <c r="H282" s="165" t="s">
        <v>12</v>
      </c>
      <c r="I282" s="947"/>
      <c r="J282" s="947"/>
      <c r="K282" s="948"/>
      <c r="L282" s="837">
        <f ca="1">IFERROR(__xludf.DUMMYFUNCTION("IMPORTRANGE(""https://docs.google.com/spreadsheets/d/1MeEWN-I1oV_STSDYn1IFDPWt_1FKiwhDph83XaGc0o0/edit?usp=sharing"",""งบพรบ!DI15"")"),75640)</f>
        <v>75640</v>
      </c>
      <c r="M282" s="837">
        <f ca="1">IFERROR(__xludf.DUMMYFUNCTION("IMPORTRANGE(""https://docs.google.com/spreadsheets/d/1MeEWN-I1oV_STSDYn1IFDPWt_1FKiwhDph83XaGc0o0/edit?usp=sharing"",""งบพรบ!DN15"")"),37520)</f>
        <v>37520</v>
      </c>
      <c r="N282" s="837">
        <f ca="1">IFERROR(__xludf.DUMMYFUNCTION("IMPORTRANGE(""https://docs.google.com/spreadsheets/d/1MeEWN-I1oV_STSDYn1IFDPWt_1FKiwhDph83XaGc0o0/edit?usp=sharing"",""งบพรบ!DP15"")"),31877)</f>
        <v>31877</v>
      </c>
      <c r="O282" s="837">
        <f t="shared" ca="1" si="126"/>
        <v>42.143046007403491</v>
      </c>
      <c r="P282" s="837">
        <f t="shared" ca="1" si="127"/>
        <v>84.960021321961619</v>
      </c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</row>
    <row r="283" spans="1:26" ht="18.75">
      <c r="A283" s="942"/>
      <c r="B283" s="827"/>
      <c r="C283" s="943"/>
      <c r="D283" s="828" t="s">
        <v>21</v>
      </c>
      <c r="E283" s="827"/>
      <c r="F283" s="827"/>
      <c r="G283" s="829"/>
      <c r="H283" s="168" t="s">
        <v>12</v>
      </c>
      <c r="I283" s="944"/>
      <c r="J283" s="944"/>
      <c r="K283" s="945"/>
      <c r="L283" s="831">
        <f t="shared" ref="L283:N283" ca="1" si="130">L284+L285</f>
        <v>0</v>
      </c>
      <c r="M283" s="831">
        <f t="shared" ca="1" si="130"/>
        <v>0</v>
      </c>
      <c r="N283" s="831">
        <f t="shared" ca="1" si="130"/>
        <v>0</v>
      </c>
      <c r="O283" s="831">
        <f t="shared" ca="1" si="126"/>
        <v>0</v>
      </c>
      <c r="P283" s="831">
        <f t="shared" ca="1" si="127"/>
        <v>0</v>
      </c>
      <c r="Q283" s="818"/>
      <c r="R283" s="818"/>
      <c r="S283" s="818"/>
      <c r="T283" s="818"/>
      <c r="U283" s="818"/>
      <c r="V283" s="818"/>
      <c r="W283" s="818"/>
      <c r="X283" s="818"/>
      <c r="Y283" s="818"/>
      <c r="Z283" s="818"/>
    </row>
    <row r="284" spans="1:26" ht="19.5" hidden="1">
      <c r="A284" s="940"/>
      <c r="B284" s="833"/>
      <c r="C284" s="946"/>
      <c r="D284" s="833"/>
      <c r="E284" s="834" t="s">
        <v>18</v>
      </c>
      <c r="F284" s="833"/>
      <c r="G284" s="941"/>
      <c r="H284" s="165" t="s">
        <v>12</v>
      </c>
      <c r="I284" s="947"/>
      <c r="J284" s="947"/>
      <c r="K284" s="948"/>
      <c r="L284" s="837">
        <v>0</v>
      </c>
      <c r="M284" s="837">
        <v>0</v>
      </c>
      <c r="N284" s="837">
        <v>0</v>
      </c>
      <c r="O284" s="837">
        <f t="shared" si="126"/>
        <v>0</v>
      </c>
      <c r="P284" s="837">
        <f t="shared" si="127"/>
        <v>0</v>
      </c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</row>
    <row r="285" spans="1:26" ht="19.5" hidden="1">
      <c r="A285" s="940"/>
      <c r="B285" s="833"/>
      <c r="C285" s="946"/>
      <c r="D285" s="833"/>
      <c r="E285" s="834" t="s">
        <v>19</v>
      </c>
      <c r="F285" s="833"/>
      <c r="G285" s="941"/>
      <c r="H285" s="169" t="s">
        <v>12</v>
      </c>
      <c r="I285" s="947"/>
      <c r="J285" s="947"/>
      <c r="K285" s="948"/>
      <c r="L285" s="837">
        <f ca="1">IFERROR(__xludf.DUMMYFUNCTION("IMPORTRANGE(""https://docs.google.com/spreadsheets/d/1MeEWN-I1oV_STSDYn1IFDPWt_1FKiwhDph83XaGc0o0/edit?usp=sharing"",""งบพรบ!DL15"")"),0)</f>
        <v>0</v>
      </c>
      <c r="M285" s="837">
        <f ca="1">IFERROR(__xludf.DUMMYFUNCTION("IMPORTRANGE(""https://docs.google.com/spreadsheets/d/1MeEWN-I1oV_STSDYn1IFDPWt_1FKiwhDph83XaGc0o0/edit?usp=sharing"",""งบพรบ!DO15"")"),0)</f>
        <v>0</v>
      </c>
      <c r="N285" s="837">
        <f ca="1">IFERROR(__xludf.DUMMYFUNCTION("IMPORTRANGE(""https://docs.google.com/spreadsheets/d/1MeEWN-I1oV_STSDYn1IFDPWt_1FKiwhDph83XaGc0o0/edit?usp=sharing"",""งบพรบ!DQ15"")"),0)</f>
        <v>0</v>
      </c>
      <c r="O285" s="837">
        <f t="shared" ca="1" si="126"/>
        <v>0</v>
      </c>
      <c r="P285" s="837">
        <f t="shared" ca="1" si="127"/>
        <v>0</v>
      </c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</row>
    <row r="286" spans="1:26" ht="19.5">
      <c r="A286" s="949"/>
      <c r="B286" s="950"/>
      <c r="C286" s="946" t="s">
        <v>16</v>
      </c>
      <c r="D286" s="951" t="s">
        <v>38</v>
      </c>
      <c r="E286" s="952"/>
      <c r="F286" s="952"/>
      <c r="G286" s="953"/>
      <c r="H286" s="954"/>
      <c r="I286" s="944"/>
      <c r="J286" s="944"/>
      <c r="K286" s="945"/>
      <c r="L286" s="945"/>
      <c r="M286" s="945"/>
      <c r="N286" s="945"/>
      <c r="O286" s="945"/>
      <c r="P286" s="945"/>
    </row>
    <row r="287" spans="1:26" ht="18.75">
      <c r="A287" s="949"/>
      <c r="B287" s="950"/>
      <c r="C287" s="950"/>
      <c r="D287" s="961" t="s">
        <v>129</v>
      </c>
      <c r="E287" s="950"/>
      <c r="F287" s="957"/>
      <c r="G287" s="958"/>
      <c r="H287" s="777" t="s">
        <v>46</v>
      </c>
      <c r="I287" s="830">
        <f ca="1">IFERROR(__xludf.DUMMYFUNCTION("IMPORTRANGE(""https://docs.google.com/spreadsheets/d/1QqKyyYR6Q21VydFLVH3TRQUabQu_ym0Zz7PgGX0-kHA/edit?usp=sharing"",""แผน!EC15"")"),200)</f>
        <v>200</v>
      </c>
      <c r="J287" s="959">
        <v>200</v>
      </c>
      <c r="K287" s="945">
        <f t="shared" ref="K287:K288" ca="1" si="131">IF(I287&gt;0,J287*100/I287,0)</f>
        <v>100</v>
      </c>
      <c r="L287" s="945"/>
      <c r="M287" s="945"/>
      <c r="N287" s="945"/>
      <c r="O287" s="945"/>
      <c r="P287" s="945"/>
    </row>
    <row r="288" spans="1:26" ht="19.5">
      <c r="A288" s="949"/>
      <c r="B288" s="950"/>
      <c r="C288" s="950"/>
      <c r="D288" s="961" t="s">
        <v>130</v>
      </c>
      <c r="E288" s="950"/>
      <c r="F288" s="957"/>
      <c r="G288" s="958"/>
      <c r="H288" s="180" t="s">
        <v>35</v>
      </c>
      <c r="I288" s="966">
        <f ca="1">IFERROR(__xludf.DUMMYFUNCTION("IMPORTRANGE(""https://docs.google.com/spreadsheets/d/1QqKyyYR6Q21VydFLVH3TRQUabQu_ym0Zz7PgGX0-kHA/edit?usp=sharing"",""แผน!EB15"")"),20)</f>
        <v>20</v>
      </c>
      <c r="J288" s="966">
        <f ca="1">IF(AND(J291&gt;=I288,J294&gt;=I288),J294,0)</f>
        <v>0</v>
      </c>
      <c r="K288" s="1109">
        <f t="shared" ca="1" si="131"/>
        <v>0</v>
      </c>
      <c r="L288" s="945"/>
      <c r="M288" s="945"/>
      <c r="N288" s="945"/>
      <c r="O288" s="945"/>
      <c r="P288" s="945"/>
    </row>
    <row r="289" spans="1:26" ht="19.5">
      <c r="A289" s="949"/>
      <c r="B289" s="950"/>
      <c r="C289" s="950"/>
      <c r="D289" s="1110"/>
      <c r="E289" s="1111" t="s">
        <v>131</v>
      </c>
      <c r="F289" s="957"/>
      <c r="G289" s="958"/>
      <c r="H289" s="730"/>
      <c r="I289" s="944"/>
      <c r="J289" s="830"/>
      <c r="K289" s="945"/>
      <c r="L289" s="945"/>
      <c r="M289" s="945"/>
      <c r="N289" s="945"/>
      <c r="O289" s="945"/>
      <c r="P289" s="945"/>
    </row>
    <row r="290" spans="1:26" ht="19.5">
      <c r="A290" s="949"/>
      <c r="B290" s="950"/>
      <c r="C290" s="950"/>
      <c r="D290" s="1110"/>
      <c r="E290" s="961" t="s">
        <v>132</v>
      </c>
      <c r="F290" s="957"/>
      <c r="G290" s="958"/>
      <c r="H290" s="730" t="s">
        <v>35</v>
      </c>
      <c r="I290" s="944">
        <f ca="1">IFERROR(__xludf.DUMMYFUNCTION("IMPORTRANGE(""https://docs.google.com/spreadsheets/d/1QqKyyYR6Q21VydFLVH3TRQUabQu_ym0Zz7PgGX0-kHA/edit?usp=sharing"",""แผน!EB15"")"),20)</f>
        <v>20</v>
      </c>
      <c r="J290" s="959">
        <v>20</v>
      </c>
      <c r="K290" s="945">
        <f t="shared" ref="K290:K291" ca="1" si="132">IF(I290&gt;0,J290*100/I290,0)</f>
        <v>100</v>
      </c>
      <c r="L290" s="945"/>
      <c r="M290" s="945"/>
      <c r="N290" s="945"/>
      <c r="O290" s="945"/>
      <c r="P290" s="945"/>
    </row>
    <row r="291" spans="1:26" ht="19.5">
      <c r="A291" s="949"/>
      <c r="B291" s="950"/>
      <c r="C291" s="950"/>
      <c r="D291" s="957"/>
      <c r="E291" s="961" t="s">
        <v>133</v>
      </c>
      <c r="F291" s="957"/>
      <c r="G291" s="958"/>
      <c r="H291" s="730" t="s">
        <v>35</v>
      </c>
      <c r="I291" s="944">
        <f ca="1">IFERROR(__xludf.DUMMYFUNCTION("IMPORTRANGE(""https://docs.google.com/spreadsheets/d/1QqKyyYR6Q21VydFLVH3TRQUabQu_ym0Zz7PgGX0-kHA/edit?usp=sharing"",""แผน!EB15"")"),20)</f>
        <v>20</v>
      </c>
      <c r="J291" s="959">
        <v>20</v>
      </c>
      <c r="K291" s="945">
        <f t="shared" ca="1" si="132"/>
        <v>100</v>
      </c>
      <c r="L291" s="945"/>
      <c r="M291" s="945"/>
      <c r="N291" s="945"/>
      <c r="O291" s="945"/>
      <c r="P291" s="945"/>
    </row>
    <row r="292" spans="1:26" ht="19.5">
      <c r="A292" s="1112"/>
      <c r="B292" s="1113"/>
      <c r="C292" s="1113"/>
      <c r="D292" s="1114"/>
      <c r="E292" s="1115" t="s">
        <v>134</v>
      </c>
      <c r="F292" s="1034"/>
      <c r="G292" s="1035"/>
      <c r="H292" s="387"/>
      <c r="I292" s="1028"/>
      <c r="J292" s="937"/>
      <c r="K292" s="1029"/>
      <c r="L292" s="1029"/>
      <c r="M292" s="1029"/>
      <c r="N292" s="1029"/>
      <c r="O292" s="1029"/>
      <c r="P292" s="1029"/>
    </row>
    <row r="293" spans="1:26" ht="19.5">
      <c r="A293" s="949"/>
      <c r="B293" s="950"/>
      <c r="C293" s="950"/>
      <c r="D293" s="1110"/>
      <c r="E293" s="961" t="s">
        <v>132</v>
      </c>
      <c r="F293" s="957"/>
      <c r="G293" s="958"/>
      <c r="H293" s="730" t="s">
        <v>35</v>
      </c>
      <c r="I293" s="944">
        <f ca="1">IFERROR(__xludf.DUMMYFUNCTION("IMPORTRANGE(""https://docs.google.com/spreadsheets/d/1QqKyyYR6Q21VydFLVH3TRQUabQu_ym0Zz7PgGX0-kHA/edit?usp=sharing"",""แผน!EB15"")"),20)</f>
        <v>20</v>
      </c>
      <c r="J293" s="959"/>
      <c r="K293" s="945">
        <f t="shared" ref="K293:K294" ca="1" si="133">IF(I293&gt;0,J293*100/I293,0)</f>
        <v>0</v>
      </c>
      <c r="L293" s="945"/>
      <c r="M293" s="945"/>
      <c r="N293" s="945"/>
      <c r="O293" s="945"/>
      <c r="P293" s="945"/>
    </row>
    <row r="294" spans="1:26" ht="19.5">
      <c r="A294" s="1080"/>
      <c r="B294" s="1081"/>
      <c r="C294" s="1081"/>
      <c r="D294" s="1083"/>
      <c r="E294" s="1116" t="s">
        <v>136</v>
      </c>
      <c r="F294" s="1083"/>
      <c r="G294" s="1084"/>
      <c r="H294" s="391" t="s">
        <v>35</v>
      </c>
      <c r="I294" s="1117">
        <f ca="1">IFERROR(__xludf.DUMMYFUNCTION("IMPORTRANGE(""https://docs.google.com/spreadsheets/d/1QqKyyYR6Q21VydFLVH3TRQUabQu_ym0Zz7PgGX0-kHA/edit?usp=sharing"",""แผน!EB15"")"),20)</f>
        <v>20</v>
      </c>
      <c r="J294" s="1118"/>
      <c r="K294" s="1086">
        <f t="shared" ca="1" si="133"/>
        <v>0</v>
      </c>
      <c r="L294" s="1086"/>
      <c r="M294" s="1086"/>
      <c r="N294" s="1086"/>
      <c r="O294" s="1086"/>
      <c r="P294" s="1086"/>
    </row>
    <row r="295" spans="1:26" ht="19.5">
      <c r="A295" s="1119" t="s">
        <v>137</v>
      </c>
      <c r="B295" s="1120"/>
      <c r="C295" s="1120"/>
      <c r="D295" s="1120"/>
      <c r="E295" s="1121"/>
      <c r="F295" s="1121"/>
      <c r="G295" s="1122"/>
      <c r="H295" s="1123"/>
      <c r="I295" s="1124"/>
      <c r="J295" s="1124"/>
      <c r="K295" s="1125"/>
      <c r="L295" s="1125"/>
      <c r="M295" s="1125"/>
      <c r="N295" s="1125"/>
      <c r="O295" s="1125"/>
      <c r="P295" s="1125"/>
    </row>
    <row r="296" spans="1:26" ht="19.5">
      <c r="A296" s="1126" t="s">
        <v>138</v>
      </c>
      <c r="B296" s="1127"/>
      <c r="C296" s="1127"/>
      <c r="D296" s="1128"/>
      <c r="E296" s="1128"/>
      <c r="F296" s="1128"/>
      <c r="G296" s="1129"/>
      <c r="H296" s="1130"/>
      <c r="I296" s="1131"/>
      <c r="J296" s="1131"/>
      <c r="K296" s="1132"/>
      <c r="L296" s="1132"/>
      <c r="M296" s="1132"/>
      <c r="N296" s="1132"/>
      <c r="O296" s="1132"/>
      <c r="P296" s="1132"/>
    </row>
    <row r="297" spans="1:26" ht="19.5">
      <c r="A297" s="1133"/>
      <c r="B297" s="1134" t="s">
        <v>139</v>
      </c>
      <c r="C297" s="1135"/>
      <c r="D297" s="1135"/>
      <c r="E297" s="1135"/>
      <c r="F297" s="1135"/>
      <c r="G297" s="1136"/>
      <c r="H297" s="412" t="s">
        <v>35</v>
      </c>
      <c r="I297" s="1137">
        <f t="shared" ref="I297:J297" ca="1" si="134">I309</f>
        <v>20</v>
      </c>
      <c r="J297" s="1137">
        <f t="shared" si="134"/>
        <v>20</v>
      </c>
      <c r="K297" s="1138">
        <f ca="1">IF(I297&gt;0,J297*100/I297,0)</f>
        <v>100</v>
      </c>
      <c r="L297" s="1139"/>
      <c r="M297" s="1139"/>
      <c r="N297" s="1139"/>
      <c r="O297" s="1139"/>
      <c r="P297" s="1139"/>
    </row>
    <row r="298" spans="1:26" ht="19.5">
      <c r="A298" s="932"/>
      <c r="B298" s="933"/>
      <c r="C298" s="934" t="s">
        <v>16</v>
      </c>
      <c r="D298" s="935" t="s">
        <v>17</v>
      </c>
      <c r="E298" s="933"/>
      <c r="F298" s="933"/>
      <c r="G298" s="936"/>
      <c r="H298" s="152" t="s">
        <v>12</v>
      </c>
      <c r="I298" s="937"/>
      <c r="J298" s="937"/>
      <c r="K298" s="938"/>
      <c r="L298" s="939">
        <f t="shared" ref="L298:N298" ca="1" si="135">L299+L300</f>
        <v>368400</v>
      </c>
      <c r="M298" s="939">
        <f t="shared" ca="1" si="135"/>
        <v>272400</v>
      </c>
      <c r="N298" s="939">
        <f t="shared" ca="1" si="135"/>
        <v>143623.35</v>
      </c>
      <c r="O298" s="939">
        <f t="shared" ref="O298:O306" ca="1" si="136">IF(L298&gt;0,N298*100/L298,0)</f>
        <v>38.985708469055375</v>
      </c>
      <c r="P298" s="939">
        <f t="shared" ref="P298:P306" ca="1" si="137">IF(M298&gt;0,N298*100/M298,0)</f>
        <v>52.725165198237889</v>
      </c>
      <c r="Q298" s="818"/>
      <c r="R298" s="818"/>
      <c r="S298" s="818"/>
      <c r="T298" s="818"/>
      <c r="U298" s="818"/>
      <c r="V298" s="818"/>
      <c r="W298" s="818"/>
      <c r="X298" s="818"/>
      <c r="Y298" s="818"/>
      <c r="Z298" s="818"/>
    </row>
    <row r="299" spans="1:26" ht="18.75" hidden="1">
      <c r="A299" s="940"/>
      <c r="B299" s="833"/>
      <c r="C299" s="833"/>
      <c r="D299" s="833"/>
      <c r="E299" s="834" t="s">
        <v>18</v>
      </c>
      <c r="F299" s="833"/>
      <c r="G299" s="941"/>
      <c r="H299" s="158" t="s">
        <v>12</v>
      </c>
      <c r="I299" s="836"/>
      <c r="J299" s="836"/>
      <c r="K299" s="837"/>
      <c r="L299" s="837">
        <f t="shared" ref="L299:N300" si="138">L302+L305</f>
        <v>0</v>
      </c>
      <c r="M299" s="837">
        <f t="shared" si="138"/>
        <v>0</v>
      </c>
      <c r="N299" s="837">
        <f t="shared" si="138"/>
        <v>0</v>
      </c>
      <c r="O299" s="837">
        <f t="shared" si="136"/>
        <v>0</v>
      </c>
      <c r="P299" s="837">
        <f t="shared" si="137"/>
        <v>0</v>
      </c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</row>
    <row r="300" spans="1:26" ht="18.75" hidden="1">
      <c r="A300" s="940"/>
      <c r="B300" s="833"/>
      <c r="C300" s="833"/>
      <c r="D300" s="833"/>
      <c r="E300" s="834" t="s">
        <v>19</v>
      </c>
      <c r="F300" s="833"/>
      <c r="G300" s="941"/>
      <c r="H300" s="158" t="s">
        <v>12</v>
      </c>
      <c r="I300" s="836"/>
      <c r="J300" s="836"/>
      <c r="K300" s="837"/>
      <c r="L300" s="837">
        <f t="shared" ca="1" si="138"/>
        <v>368400</v>
      </c>
      <c r="M300" s="837">
        <f t="shared" ca="1" si="138"/>
        <v>272400</v>
      </c>
      <c r="N300" s="837">
        <f t="shared" ca="1" si="138"/>
        <v>143623.35</v>
      </c>
      <c r="O300" s="837">
        <f t="shared" ca="1" si="136"/>
        <v>38.985708469055375</v>
      </c>
      <c r="P300" s="837">
        <f t="shared" ca="1" si="137"/>
        <v>52.725165198237889</v>
      </c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</row>
    <row r="301" spans="1:26" ht="18.75">
      <c r="A301" s="942"/>
      <c r="B301" s="827"/>
      <c r="C301" s="943"/>
      <c r="D301" s="828" t="s">
        <v>20</v>
      </c>
      <c r="E301" s="827"/>
      <c r="F301" s="827"/>
      <c r="G301" s="829"/>
      <c r="H301" s="778" t="s">
        <v>12</v>
      </c>
      <c r="I301" s="944"/>
      <c r="J301" s="944"/>
      <c r="K301" s="945"/>
      <c r="L301" s="831">
        <f t="shared" ref="L301:N301" ca="1" si="139">L302+L303</f>
        <v>368400</v>
      </c>
      <c r="M301" s="831">
        <f t="shared" ca="1" si="139"/>
        <v>272400</v>
      </c>
      <c r="N301" s="831">
        <f t="shared" ca="1" si="139"/>
        <v>143623.35</v>
      </c>
      <c r="O301" s="831">
        <f t="shared" ca="1" si="136"/>
        <v>38.985708469055375</v>
      </c>
      <c r="P301" s="831">
        <f t="shared" ca="1" si="137"/>
        <v>52.725165198237889</v>
      </c>
      <c r="Q301" s="818"/>
      <c r="R301" s="818"/>
      <c r="S301" s="818"/>
      <c r="T301" s="818"/>
      <c r="U301" s="818"/>
      <c r="V301" s="818"/>
      <c r="W301" s="818"/>
      <c r="X301" s="818"/>
      <c r="Y301" s="818"/>
      <c r="Z301" s="818"/>
    </row>
    <row r="302" spans="1:26" ht="19.5" hidden="1">
      <c r="A302" s="940"/>
      <c r="B302" s="833"/>
      <c r="C302" s="946"/>
      <c r="D302" s="833"/>
      <c r="E302" s="834" t="s">
        <v>36</v>
      </c>
      <c r="F302" s="833"/>
      <c r="G302" s="941"/>
      <c r="H302" s="165" t="s">
        <v>12</v>
      </c>
      <c r="I302" s="947"/>
      <c r="J302" s="947"/>
      <c r="K302" s="948"/>
      <c r="L302" s="837">
        <v>0</v>
      </c>
      <c r="M302" s="837">
        <v>0</v>
      </c>
      <c r="N302" s="837">
        <v>0</v>
      </c>
      <c r="O302" s="837">
        <f t="shared" si="136"/>
        <v>0</v>
      </c>
      <c r="P302" s="837">
        <f t="shared" si="137"/>
        <v>0</v>
      </c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</row>
    <row r="303" spans="1:26" ht="19.5" hidden="1">
      <c r="A303" s="940"/>
      <c r="B303" s="833"/>
      <c r="C303" s="946"/>
      <c r="D303" s="833"/>
      <c r="E303" s="834" t="s">
        <v>37</v>
      </c>
      <c r="F303" s="833"/>
      <c r="G303" s="941"/>
      <c r="H303" s="165" t="s">
        <v>12</v>
      </c>
      <c r="I303" s="947"/>
      <c r="J303" s="947"/>
      <c r="K303" s="948"/>
      <c r="L303" s="837">
        <f ca="1">IFERROR(__xludf.DUMMYFUNCTION("IMPORTRANGE(""https://docs.google.com/spreadsheets/d/1MeEWN-I1oV_STSDYn1IFDPWt_1FKiwhDph83XaGc0o0/edit?usp=sharing"",""งบพรบ!DS15"")"),368400)</f>
        <v>368400</v>
      </c>
      <c r="M303" s="837">
        <f ca="1">IFERROR(__xludf.DUMMYFUNCTION("IMPORTRANGE(""https://docs.google.com/spreadsheets/d/1MeEWN-I1oV_STSDYn1IFDPWt_1FKiwhDph83XaGc0o0/edit?usp=sharing"",""งบพรบ!DX15"")"),272400)</f>
        <v>272400</v>
      </c>
      <c r="N303" s="837">
        <f ca="1">IFERROR(__xludf.DUMMYFUNCTION("IMPORTRANGE(""https://docs.google.com/spreadsheets/d/1MeEWN-I1oV_STSDYn1IFDPWt_1FKiwhDph83XaGc0o0/edit?usp=sharing"",""งบพรบ!DZ15"")"),143623.35)</f>
        <v>143623.35</v>
      </c>
      <c r="O303" s="837">
        <f t="shared" ca="1" si="136"/>
        <v>38.985708469055375</v>
      </c>
      <c r="P303" s="837">
        <f t="shared" ca="1" si="137"/>
        <v>52.725165198237889</v>
      </c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</row>
    <row r="304" spans="1:26" ht="18.75">
      <c r="A304" s="942"/>
      <c r="B304" s="827"/>
      <c r="C304" s="943"/>
      <c r="D304" s="828" t="s">
        <v>21</v>
      </c>
      <c r="E304" s="827"/>
      <c r="F304" s="827"/>
      <c r="G304" s="829"/>
      <c r="H304" s="168" t="s">
        <v>12</v>
      </c>
      <c r="I304" s="944"/>
      <c r="J304" s="944"/>
      <c r="K304" s="945"/>
      <c r="L304" s="831">
        <f t="shared" ref="L304:N304" ca="1" si="140">L305+L306</f>
        <v>0</v>
      </c>
      <c r="M304" s="831">
        <f t="shared" ca="1" si="140"/>
        <v>0</v>
      </c>
      <c r="N304" s="831">
        <f t="shared" ca="1" si="140"/>
        <v>0</v>
      </c>
      <c r="O304" s="831">
        <f t="shared" ca="1" si="136"/>
        <v>0</v>
      </c>
      <c r="P304" s="831">
        <f t="shared" ca="1" si="137"/>
        <v>0</v>
      </c>
      <c r="Q304" s="818"/>
      <c r="R304" s="818"/>
      <c r="S304" s="818"/>
      <c r="T304" s="818"/>
      <c r="U304" s="818"/>
      <c r="V304" s="818"/>
      <c r="W304" s="818"/>
      <c r="X304" s="818"/>
      <c r="Y304" s="818"/>
      <c r="Z304" s="818"/>
    </row>
    <row r="305" spans="1:26" ht="19.5" hidden="1">
      <c r="A305" s="940"/>
      <c r="B305" s="833"/>
      <c r="C305" s="946"/>
      <c r="D305" s="833"/>
      <c r="E305" s="834" t="s">
        <v>18</v>
      </c>
      <c r="F305" s="833"/>
      <c r="G305" s="941"/>
      <c r="H305" s="165" t="s">
        <v>12</v>
      </c>
      <c r="I305" s="947"/>
      <c r="J305" s="947"/>
      <c r="K305" s="948"/>
      <c r="L305" s="837">
        <v>0</v>
      </c>
      <c r="M305" s="837">
        <v>0</v>
      </c>
      <c r="N305" s="837">
        <v>0</v>
      </c>
      <c r="O305" s="837">
        <f t="shared" si="136"/>
        <v>0</v>
      </c>
      <c r="P305" s="837">
        <f t="shared" si="137"/>
        <v>0</v>
      </c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</row>
    <row r="306" spans="1:26" ht="19.5" hidden="1">
      <c r="A306" s="940"/>
      <c r="B306" s="833"/>
      <c r="C306" s="946"/>
      <c r="D306" s="833"/>
      <c r="E306" s="834" t="s">
        <v>19</v>
      </c>
      <c r="F306" s="833"/>
      <c r="G306" s="941"/>
      <c r="H306" s="169" t="s">
        <v>12</v>
      </c>
      <c r="I306" s="947"/>
      <c r="J306" s="947"/>
      <c r="K306" s="948"/>
      <c r="L306" s="837">
        <f ca="1">IFERROR(__xludf.DUMMYFUNCTION("IMPORTRANGE(""https://docs.google.com/spreadsheets/d/1MeEWN-I1oV_STSDYn1IFDPWt_1FKiwhDph83XaGc0o0/edit?usp=sharing"",""งบพรบ!DV15"")"),0)</f>
        <v>0</v>
      </c>
      <c r="M306" s="837">
        <f ca="1">IFERROR(__xludf.DUMMYFUNCTION("IMPORTRANGE(""https://docs.google.com/spreadsheets/d/1MeEWN-I1oV_STSDYn1IFDPWt_1FKiwhDph83XaGc0o0/edit?usp=sharing"",""งบพรบ!DY15"")"),0)</f>
        <v>0</v>
      </c>
      <c r="N306" s="837">
        <f ca="1">IFERROR(__xludf.DUMMYFUNCTION("IMPORTRANGE(""https://docs.google.com/spreadsheets/d/1MeEWN-I1oV_STSDYn1IFDPWt_1FKiwhDph83XaGc0o0/edit?usp=sharing"",""งบพรบ!EA15"")"),0)</f>
        <v>0</v>
      </c>
      <c r="O306" s="837">
        <f t="shared" ca="1" si="136"/>
        <v>0</v>
      </c>
      <c r="P306" s="837">
        <f t="shared" ca="1" si="137"/>
        <v>0</v>
      </c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</row>
    <row r="307" spans="1:26" ht="19.5">
      <c r="A307" s="949"/>
      <c r="B307" s="950"/>
      <c r="C307" s="946" t="s">
        <v>16</v>
      </c>
      <c r="D307" s="951" t="s">
        <v>38</v>
      </c>
      <c r="E307" s="952"/>
      <c r="F307" s="952"/>
      <c r="G307" s="953"/>
      <c r="H307" s="954"/>
      <c r="I307" s="830"/>
      <c r="J307" s="830"/>
      <c r="K307" s="831"/>
      <c r="L307" s="831"/>
      <c r="M307" s="831"/>
      <c r="N307" s="831"/>
      <c r="O307" s="831"/>
      <c r="P307" s="831"/>
    </row>
    <row r="308" spans="1:26" ht="18.75">
      <c r="A308" s="949"/>
      <c r="B308" s="950"/>
      <c r="C308" s="950"/>
      <c r="D308" s="956" t="s">
        <v>140</v>
      </c>
      <c r="E308" s="956"/>
      <c r="F308" s="956"/>
      <c r="G308" s="958"/>
      <c r="H308" s="730"/>
      <c r="I308" s="830"/>
      <c r="J308" s="959">
        <v>1</v>
      </c>
      <c r="K308" s="831"/>
      <c r="L308" s="831"/>
      <c r="M308" s="831"/>
      <c r="N308" s="831"/>
      <c r="O308" s="831"/>
      <c r="P308" s="831"/>
    </row>
    <row r="309" spans="1:26" ht="18.75">
      <c r="A309" s="949"/>
      <c r="B309" s="950"/>
      <c r="C309" s="950"/>
      <c r="D309" s="956" t="s">
        <v>141</v>
      </c>
      <c r="E309" s="956"/>
      <c r="F309" s="956"/>
      <c r="G309" s="958"/>
      <c r="H309" s="730" t="s">
        <v>35</v>
      </c>
      <c r="I309" s="830">
        <f ca="1">IFERROR(__xludf.DUMMYFUNCTION("IMPORTRANGE(""https://docs.google.com/spreadsheets/d/1QqKyyYR6Q21VydFLVH3TRQUabQu_ym0Zz7PgGX0-kHA/edit?usp=sharing"",""แผน!ED15"")"),20)</f>
        <v>20</v>
      </c>
      <c r="J309" s="959">
        <v>20</v>
      </c>
      <c r="K309" s="831">
        <f t="shared" ref="K309:K312" ca="1" si="141">IF(I309&gt;0,J309*100/I309,0)</f>
        <v>100</v>
      </c>
      <c r="L309" s="831"/>
      <c r="M309" s="831"/>
      <c r="N309" s="831"/>
      <c r="O309" s="831"/>
      <c r="P309" s="831"/>
    </row>
    <row r="310" spans="1:26" ht="18.75">
      <c r="A310" s="949"/>
      <c r="B310" s="950"/>
      <c r="C310" s="950"/>
      <c r="D310" s="956" t="s">
        <v>142</v>
      </c>
      <c r="E310" s="956"/>
      <c r="F310" s="956"/>
      <c r="G310" s="958"/>
      <c r="H310" s="730" t="s">
        <v>35</v>
      </c>
      <c r="I310" s="830">
        <f ca="1">IFERROR(__xludf.DUMMYFUNCTION("IMPORTRANGE(""https://docs.google.com/spreadsheets/d/1QqKyyYR6Q21VydFLVH3TRQUabQu_ym0Zz7PgGX0-kHA/edit?usp=sharing"",""แผน!ED15"")"),20)</f>
        <v>20</v>
      </c>
      <c r="J310" s="959">
        <v>20</v>
      </c>
      <c r="K310" s="831">
        <f t="shared" ca="1" si="141"/>
        <v>100</v>
      </c>
      <c r="L310" s="831"/>
      <c r="M310" s="831"/>
      <c r="N310" s="831"/>
      <c r="O310" s="831"/>
      <c r="P310" s="831"/>
    </row>
    <row r="311" spans="1:26" ht="18.75">
      <c r="A311" s="949"/>
      <c r="B311" s="950"/>
      <c r="C311" s="950"/>
      <c r="D311" s="956" t="s">
        <v>59</v>
      </c>
      <c r="E311" s="956"/>
      <c r="F311" s="956"/>
      <c r="G311" s="958"/>
      <c r="H311" s="730" t="s">
        <v>35</v>
      </c>
      <c r="I311" s="830">
        <f ca="1">IFERROR(__xludf.DUMMYFUNCTION("IMPORTRANGE(""https://docs.google.com/spreadsheets/d/1QqKyyYR6Q21VydFLVH3TRQUabQu_ym0Zz7PgGX0-kHA/edit?usp=sharing"",""แผน!ED15"")"),20)</f>
        <v>20</v>
      </c>
      <c r="J311" s="959">
        <v>0</v>
      </c>
      <c r="K311" s="831">
        <f t="shared" ca="1" si="141"/>
        <v>0</v>
      </c>
      <c r="L311" s="831"/>
      <c r="M311" s="831"/>
      <c r="N311" s="831"/>
      <c r="O311" s="831"/>
      <c r="P311" s="831"/>
    </row>
    <row r="312" spans="1:26" ht="18.75">
      <c r="A312" s="949"/>
      <c r="B312" s="950"/>
      <c r="C312" s="950"/>
      <c r="D312" s="956" t="s">
        <v>143</v>
      </c>
      <c r="E312" s="956"/>
      <c r="F312" s="956"/>
      <c r="G312" s="958"/>
      <c r="H312" s="730" t="s">
        <v>35</v>
      </c>
      <c r="I312" s="830">
        <f ca="1">IFERROR(__xludf.DUMMYFUNCTION("IMPORTRANGE(""https://docs.google.com/spreadsheets/d/1QqKyyYR6Q21VydFLVH3TRQUabQu_ym0Zz7PgGX0-kHA/edit?usp=sharing"",""แผน!EE15"")"),4)</f>
        <v>4</v>
      </c>
      <c r="J312" s="959">
        <v>0</v>
      </c>
      <c r="K312" s="831">
        <f t="shared" ca="1" si="141"/>
        <v>0</v>
      </c>
      <c r="L312" s="831"/>
      <c r="M312" s="831"/>
      <c r="N312" s="831"/>
      <c r="O312" s="831"/>
      <c r="P312" s="831"/>
    </row>
    <row r="313" spans="1:26" ht="19.5" hidden="1">
      <c r="A313" s="1126" t="s">
        <v>144</v>
      </c>
      <c r="B313" s="1127"/>
      <c r="C313" s="1127"/>
      <c r="D313" s="1128"/>
      <c r="E313" s="1127"/>
      <c r="F313" s="1127"/>
      <c r="G313" s="1127"/>
      <c r="H313" s="1140"/>
      <c r="I313" s="1131"/>
      <c r="J313" s="1131"/>
      <c r="K313" s="1132"/>
      <c r="L313" s="1132"/>
      <c r="M313" s="1132"/>
      <c r="N313" s="1132"/>
      <c r="O313" s="1132"/>
      <c r="P313" s="1132"/>
    </row>
    <row r="314" spans="1:26" ht="19.5" hidden="1">
      <c r="A314" s="1141"/>
      <c r="B314" s="1134" t="s">
        <v>145</v>
      </c>
      <c r="C314" s="1142"/>
      <c r="D314" s="1143"/>
      <c r="E314" s="1135"/>
      <c r="F314" s="1135"/>
      <c r="G314" s="1136"/>
      <c r="H314" s="412" t="s">
        <v>146</v>
      </c>
      <c r="I314" s="1137">
        <f t="shared" ref="I314:J314" ca="1" si="142">I325</f>
        <v>0</v>
      </c>
      <c r="J314" s="1137">
        <f t="shared" si="142"/>
        <v>0</v>
      </c>
      <c r="K314" s="1138">
        <f ca="1">IF(I314&gt;0,J314*100/I314,0)</f>
        <v>0</v>
      </c>
      <c r="L314" s="1139"/>
      <c r="M314" s="1139"/>
      <c r="N314" s="1139"/>
      <c r="O314" s="1139"/>
      <c r="P314" s="1139"/>
    </row>
    <row r="315" spans="1:26" ht="19.5" hidden="1">
      <c r="A315" s="932"/>
      <c r="B315" s="933"/>
      <c r="C315" s="934" t="s">
        <v>16</v>
      </c>
      <c r="D315" s="935" t="s">
        <v>17</v>
      </c>
      <c r="E315" s="933"/>
      <c r="F315" s="933"/>
      <c r="G315" s="936"/>
      <c r="H315" s="152" t="s">
        <v>12</v>
      </c>
      <c r="I315" s="937"/>
      <c r="J315" s="937"/>
      <c r="K315" s="938"/>
      <c r="L315" s="939">
        <f t="shared" ref="L315:N315" ca="1" si="143">L316+L317</f>
        <v>0</v>
      </c>
      <c r="M315" s="939">
        <f t="shared" ca="1" si="143"/>
        <v>0</v>
      </c>
      <c r="N315" s="939">
        <f t="shared" ca="1" si="143"/>
        <v>0</v>
      </c>
      <c r="O315" s="939">
        <f t="shared" ref="O315:O323" ca="1" si="144">IF(L315&gt;0,N315*100/L315,0)</f>
        <v>0</v>
      </c>
      <c r="P315" s="939">
        <f t="shared" ref="P315:P323" ca="1" si="145">IF(M315&gt;0,N315*100/M315,0)</f>
        <v>0</v>
      </c>
      <c r="Q315" s="818"/>
      <c r="R315" s="818"/>
      <c r="S315" s="818"/>
      <c r="T315" s="818"/>
      <c r="U315" s="818"/>
      <c r="V315" s="818"/>
      <c r="W315" s="818"/>
      <c r="X315" s="818"/>
      <c r="Y315" s="818"/>
      <c r="Z315" s="818"/>
    </row>
    <row r="316" spans="1:26" ht="18.75" hidden="1">
      <c r="A316" s="940"/>
      <c r="B316" s="833"/>
      <c r="C316" s="833"/>
      <c r="D316" s="833"/>
      <c r="E316" s="834" t="s">
        <v>18</v>
      </c>
      <c r="F316" s="833"/>
      <c r="G316" s="941"/>
      <c r="H316" s="158" t="s">
        <v>12</v>
      </c>
      <c r="I316" s="836"/>
      <c r="J316" s="836"/>
      <c r="K316" s="837"/>
      <c r="L316" s="837">
        <f t="shared" ref="L316:N317" si="146">L319+L322</f>
        <v>0</v>
      </c>
      <c r="M316" s="837">
        <f t="shared" si="146"/>
        <v>0</v>
      </c>
      <c r="N316" s="837">
        <f t="shared" si="146"/>
        <v>0</v>
      </c>
      <c r="O316" s="837">
        <f t="shared" si="144"/>
        <v>0</v>
      </c>
      <c r="P316" s="837">
        <f t="shared" si="145"/>
        <v>0</v>
      </c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</row>
    <row r="317" spans="1:26" ht="18.75" hidden="1">
      <c r="A317" s="940"/>
      <c r="B317" s="833"/>
      <c r="C317" s="833"/>
      <c r="D317" s="833"/>
      <c r="E317" s="834" t="s">
        <v>19</v>
      </c>
      <c r="F317" s="833"/>
      <c r="G317" s="941"/>
      <c r="H317" s="158" t="s">
        <v>12</v>
      </c>
      <c r="I317" s="836"/>
      <c r="J317" s="836"/>
      <c r="K317" s="837"/>
      <c r="L317" s="837">
        <f t="shared" ca="1" si="146"/>
        <v>0</v>
      </c>
      <c r="M317" s="837">
        <f t="shared" ca="1" si="146"/>
        <v>0</v>
      </c>
      <c r="N317" s="837">
        <f t="shared" ca="1" si="146"/>
        <v>0</v>
      </c>
      <c r="O317" s="837">
        <f t="shared" ca="1" si="144"/>
        <v>0</v>
      </c>
      <c r="P317" s="837">
        <f t="shared" ca="1" si="145"/>
        <v>0</v>
      </c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</row>
    <row r="318" spans="1:26" ht="18.75" hidden="1">
      <c r="A318" s="942"/>
      <c r="B318" s="827"/>
      <c r="C318" s="943"/>
      <c r="D318" s="828" t="s">
        <v>20</v>
      </c>
      <c r="E318" s="827"/>
      <c r="F318" s="827"/>
      <c r="G318" s="829"/>
      <c r="H318" s="778" t="s">
        <v>12</v>
      </c>
      <c r="I318" s="944"/>
      <c r="J318" s="944"/>
      <c r="K318" s="945"/>
      <c r="L318" s="831">
        <f t="shared" ref="L318:N318" ca="1" si="147">L319+L320</f>
        <v>0</v>
      </c>
      <c r="M318" s="831">
        <f t="shared" ca="1" si="147"/>
        <v>0</v>
      </c>
      <c r="N318" s="831">
        <f t="shared" ca="1" si="147"/>
        <v>0</v>
      </c>
      <c r="O318" s="831">
        <f t="shared" ca="1" si="144"/>
        <v>0</v>
      </c>
      <c r="P318" s="831">
        <f t="shared" ca="1" si="145"/>
        <v>0</v>
      </c>
      <c r="Q318" s="818"/>
      <c r="R318" s="818"/>
      <c r="S318" s="818"/>
      <c r="T318" s="818"/>
      <c r="U318" s="818"/>
      <c r="V318" s="818"/>
      <c r="W318" s="818"/>
      <c r="X318" s="818"/>
      <c r="Y318" s="818"/>
      <c r="Z318" s="818"/>
    </row>
    <row r="319" spans="1:26" ht="19.5" hidden="1">
      <c r="A319" s="940"/>
      <c r="B319" s="833"/>
      <c r="C319" s="946"/>
      <c r="D319" s="833"/>
      <c r="E319" s="834" t="s">
        <v>36</v>
      </c>
      <c r="F319" s="833"/>
      <c r="G319" s="941"/>
      <c r="H319" s="165" t="s">
        <v>12</v>
      </c>
      <c r="I319" s="947"/>
      <c r="J319" s="947"/>
      <c r="K319" s="948"/>
      <c r="L319" s="837">
        <v>0</v>
      </c>
      <c r="M319" s="837">
        <v>0</v>
      </c>
      <c r="N319" s="837">
        <v>0</v>
      </c>
      <c r="O319" s="837">
        <f t="shared" si="144"/>
        <v>0</v>
      </c>
      <c r="P319" s="837">
        <f t="shared" si="145"/>
        <v>0</v>
      </c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</row>
    <row r="320" spans="1:26" ht="19.5" hidden="1">
      <c r="A320" s="940"/>
      <c r="B320" s="833"/>
      <c r="C320" s="946"/>
      <c r="D320" s="833"/>
      <c r="E320" s="834" t="s">
        <v>37</v>
      </c>
      <c r="F320" s="833"/>
      <c r="G320" s="941"/>
      <c r="H320" s="165" t="s">
        <v>12</v>
      </c>
      <c r="I320" s="947"/>
      <c r="J320" s="947"/>
      <c r="K320" s="948"/>
      <c r="L320" s="837">
        <f ca="1">IFERROR(__xludf.DUMMYFUNCTION("IMPORTRANGE(""https://docs.google.com/spreadsheets/d/1MeEWN-I1oV_STSDYn1IFDPWt_1FKiwhDph83XaGc0o0/edit?usp=sharing"",""งบพรบ!EC15"")"),0)</f>
        <v>0</v>
      </c>
      <c r="M320" s="837">
        <f ca="1">IFERROR(__xludf.DUMMYFUNCTION("IMPORTRANGE(""https://docs.google.com/spreadsheets/d/1MeEWN-I1oV_STSDYn1IFDPWt_1FKiwhDph83XaGc0o0/edit?usp=sharing"",""งบพรบ!EH15"")"),0)</f>
        <v>0</v>
      </c>
      <c r="N320" s="837">
        <f ca="1">IFERROR(__xludf.DUMMYFUNCTION("IMPORTRANGE(""https://docs.google.com/spreadsheets/d/1MeEWN-I1oV_STSDYn1IFDPWt_1FKiwhDph83XaGc0o0/edit?usp=sharing"",""งบพรบ!EJ15"")"),0)</f>
        <v>0</v>
      </c>
      <c r="O320" s="837">
        <f t="shared" ca="1" si="144"/>
        <v>0</v>
      </c>
      <c r="P320" s="837">
        <f t="shared" ca="1" si="145"/>
        <v>0</v>
      </c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</row>
    <row r="321" spans="1:26" ht="18.75" hidden="1">
      <c r="A321" s="942"/>
      <c r="B321" s="827"/>
      <c r="C321" s="943"/>
      <c r="D321" s="828" t="s">
        <v>21</v>
      </c>
      <c r="E321" s="827"/>
      <c r="F321" s="827"/>
      <c r="G321" s="829"/>
      <c r="H321" s="168" t="s">
        <v>12</v>
      </c>
      <c r="I321" s="944"/>
      <c r="J321" s="944"/>
      <c r="K321" s="945"/>
      <c r="L321" s="831">
        <f t="shared" ref="L321:N321" ca="1" si="148">L322+L323</f>
        <v>0</v>
      </c>
      <c r="M321" s="831">
        <f t="shared" ca="1" si="148"/>
        <v>0</v>
      </c>
      <c r="N321" s="831">
        <f t="shared" ca="1" si="148"/>
        <v>0</v>
      </c>
      <c r="O321" s="831">
        <f t="shared" ca="1" si="144"/>
        <v>0</v>
      </c>
      <c r="P321" s="831">
        <f t="shared" ca="1" si="145"/>
        <v>0</v>
      </c>
      <c r="Q321" s="818"/>
      <c r="R321" s="818"/>
      <c r="S321" s="818"/>
      <c r="T321" s="818"/>
      <c r="U321" s="818"/>
      <c r="V321" s="818"/>
      <c r="W321" s="818"/>
      <c r="X321" s="818"/>
      <c r="Y321" s="818"/>
      <c r="Z321" s="818"/>
    </row>
    <row r="322" spans="1:26" ht="19.5" hidden="1">
      <c r="A322" s="940"/>
      <c r="B322" s="833"/>
      <c r="C322" s="946"/>
      <c r="D322" s="833"/>
      <c r="E322" s="834" t="s">
        <v>18</v>
      </c>
      <c r="F322" s="833"/>
      <c r="G322" s="941"/>
      <c r="H322" s="165" t="s">
        <v>12</v>
      </c>
      <c r="I322" s="947"/>
      <c r="J322" s="947"/>
      <c r="K322" s="948"/>
      <c r="L322" s="837">
        <v>0</v>
      </c>
      <c r="M322" s="837">
        <v>0</v>
      </c>
      <c r="N322" s="837">
        <v>0</v>
      </c>
      <c r="O322" s="837">
        <f t="shared" si="144"/>
        <v>0</v>
      </c>
      <c r="P322" s="837">
        <f t="shared" si="145"/>
        <v>0</v>
      </c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</row>
    <row r="323" spans="1:26" ht="19.5" hidden="1">
      <c r="A323" s="940"/>
      <c r="B323" s="833"/>
      <c r="C323" s="946"/>
      <c r="D323" s="833"/>
      <c r="E323" s="834" t="s">
        <v>19</v>
      </c>
      <c r="F323" s="833"/>
      <c r="G323" s="941"/>
      <c r="H323" s="169" t="s">
        <v>12</v>
      </c>
      <c r="I323" s="947"/>
      <c r="J323" s="947"/>
      <c r="K323" s="948"/>
      <c r="L323" s="837">
        <f ca="1">IFERROR(__xludf.DUMMYFUNCTION("IMPORTRANGE(""https://docs.google.com/spreadsheets/d/1MeEWN-I1oV_STSDYn1IFDPWt_1FKiwhDph83XaGc0o0/edit?usp=sharing"",""งบพรบ!EF15"")"),0)</f>
        <v>0</v>
      </c>
      <c r="M323" s="837">
        <f ca="1">IFERROR(__xludf.DUMMYFUNCTION("IMPORTRANGE(""https://docs.google.com/spreadsheets/d/1MeEWN-I1oV_STSDYn1IFDPWt_1FKiwhDph83XaGc0o0/edit?usp=sharing"",""งบพรบ!EI15"")"),0)</f>
        <v>0</v>
      </c>
      <c r="N323" s="837">
        <f ca="1">IFERROR(__xludf.DUMMYFUNCTION("IMPORTRANGE(""https://docs.google.com/spreadsheets/d/1MeEWN-I1oV_STSDYn1IFDPWt_1FKiwhDph83XaGc0o0/edit?usp=sharing"",""งบพรบ!EK15"")"),0)</f>
        <v>0</v>
      </c>
      <c r="O323" s="837">
        <f t="shared" ca="1" si="144"/>
        <v>0</v>
      </c>
      <c r="P323" s="837">
        <f t="shared" ca="1" si="145"/>
        <v>0</v>
      </c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</row>
    <row r="324" spans="1:26" ht="19.5" hidden="1">
      <c r="A324" s="949"/>
      <c r="B324" s="950"/>
      <c r="C324" s="946" t="s">
        <v>16</v>
      </c>
      <c r="D324" s="951" t="s">
        <v>38</v>
      </c>
      <c r="E324" s="952"/>
      <c r="F324" s="952"/>
      <c r="G324" s="953"/>
      <c r="H324" s="954"/>
      <c r="I324" s="944"/>
      <c r="J324" s="830"/>
      <c r="K324" s="831"/>
      <c r="L324" s="831"/>
      <c r="M324" s="831"/>
      <c r="N324" s="831"/>
      <c r="O324" s="945"/>
      <c r="P324" s="945"/>
    </row>
    <row r="325" spans="1:26" ht="18.75" hidden="1">
      <c r="A325" s="949"/>
      <c r="B325" s="950"/>
      <c r="C325" s="950"/>
      <c r="D325" s="955" t="s">
        <v>147</v>
      </c>
      <c r="E325" s="957"/>
      <c r="F325" s="956"/>
      <c r="G325" s="958"/>
      <c r="H325" s="590" t="s">
        <v>146</v>
      </c>
      <c r="I325" s="830">
        <f ca="1">IFERROR(__xludf.DUMMYFUNCTION("IMPORTRANGE(""https://docs.google.com/spreadsheets/d/1QqKyyYR6Q21VydFLVH3TRQUabQu_ym0Zz7PgGX0-kHA/edit?usp=sharing"",""แผน!EF15"")"),0)</f>
        <v>0</v>
      </c>
      <c r="J325" s="959">
        <v>0</v>
      </c>
      <c r="K325" s="831">
        <f ca="1">IF(I325&gt;0,J325*100/I325,0)</f>
        <v>0</v>
      </c>
      <c r="L325" s="831"/>
      <c r="M325" s="831"/>
      <c r="N325" s="831"/>
      <c r="O325" s="945"/>
      <c r="P325" s="945"/>
    </row>
    <row r="326" spans="1:26" ht="19.5">
      <c r="A326" s="1126" t="s">
        <v>148</v>
      </c>
      <c r="B326" s="1127"/>
      <c r="C326" s="1127"/>
      <c r="D326" s="1128"/>
      <c r="E326" s="1127"/>
      <c r="F326" s="1127"/>
      <c r="G326" s="1127"/>
      <c r="H326" s="1140"/>
      <c r="I326" s="1131"/>
      <c r="J326" s="1131"/>
      <c r="K326" s="1132"/>
      <c r="L326" s="1132"/>
      <c r="M326" s="1132"/>
      <c r="N326" s="1132"/>
      <c r="O326" s="1132"/>
      <c r="P326" s="1132"/>
    </row>
    <row r="327" spans="1:26" ht="19.5">
      <c r="A327" s="1133"/>
      <c r="B327" s="1134" t="s">
        <v>149</v>
      </c>
      <c r="C327" s="1143"/>
      <c r="D327" s="1135"/>
      <c r="E327" s="1135"/>
      <c r="F327" s="1135"/>
      <c r="G327" s="1136"/>
      <c r="H327" s="412" t="s">
        <v>35</v>
      </c>
      <c r="I327" s="1137">
        <f ca="1">IFERROR(__xludf.DUMMYFUNCTION("IMPORTRANGE(""https://docs.google.com/spreadsheets/d/1QqKyyYR6Q21VydFLVH3TRQUabQu_ym0Zz7PgGX0-kHA/edit?usp=sharing"",""แผน!EG15"")"),6000)</f>
        <v>6000</v>
      </c>
      <c r="J327" s="1137">
        <f ca="1">J338+J341+J342+J343</f>
        <v>3926</v>
      </c>
      <c r="K327" s="1138">
        <f ca="1">IF(I327&gt;0,J327*100/I327,0)</f>
        <v>65.433333333333337</v>
      </c>
      <c r="L327" s="1139"/>
      <c r="M327" s="1139"/>
      <c r="N327" s="1139"/>
      <c r="O327" s="1139"/>
      <c r="P327" s="1139"/>
    </row>
    <row r="328" spans="1:26" ht="19.5">
      <c r="A328" s="932"/>
      <c r="B328" s="933"/>
      <c r="C328" s="934" t="s">
        <v>16</v>
      </c>
      <c r="D328" s="935" t="s">
        <v>17</v>
      </c>
      <c r="E328" s="933"/>
      <c r="F328" s="933"/>
      <c r="G328" s="936"/>
      <c r="H328" s="152" t="s">
        <v>12</v>
      </c>
      <c r="I328" s="937"/>
      <c r="J328" s="937"/>
      <c r="K328" s="938"/>
      <c r="L328" s="939">
        <f t="shared" ref="L328:N328" ca="1" si="149">L329+L330</f>
        <v>446800</v>
      </c>
      <c r="M328" s="939">
        <f t="shared" ca="1" si="149"/>
        <v>337600</v>
      </c>
      <c r="N328" s="939">
        <f t="shared" ca="1" si="149"/>
        <v>138999.82</v>
      </c>
      <c r="O328" s="939">
        <f t="shared" ref="O328:O336" ca="1" si="150">IF(L328&gt;0,N328*100/L328,0)</f>
        <v>31.110076096687557</v>
      </c>
      <c r="P328" s="939">
        <f t="shared" ref="P328:P336" ca="1" si="151">IF(M328&gt;0,N328*100/M328,0)</f>
        <v>41.172932464454973</v>
      </c>
      <c r="Q328" s="818"/>
      <c r="R328" s="818"/>
      <c r="S328" s="818"/>
      <c r="T328" s="818"/>
      <c r="U328" s="818"/>
      <c r="V328" s="818"/>
      <c r="W328" s="818"/>
      <c r="X328" s="818"/>
      <c r="Y328" s="818"/>
      <c r="Z328" s="818"/>
    </row>
    <row r="329" spans="1:26" ht="18.75" hidden="1">
      <c r="A329" s="940"/>
      <c r="B329" s="833"/>
      <c r="C329" s="833"/>
      <c r="D329" s="833"/>
      <c r="E329" s="834" t="s">
        <v>18</v>
      </c>
      <c r="F329" s="833"/>
      <c r="G329" s="941"/>
      <c r="H329" s="158" t="s">
        <v>12</v>
      </c>
      <c r="I329" s="836"/>
      <c r="J329" s="836"/>
      <c r="K329" s="837"/>
      <c r="L329" s="837">
        <f t="shared" ref="L329:N330" si="152">L332+L335</f>
        <v>0</v>
      </c>
      <c r="M329" s="837">
        <f t="shared" si="152"/>
        <v>0</v>
      </c>
      <c r="N329" s="837">
        <f t="shared" si="152"/>
        <v>0</v>
      </c>
      <c r="O329" s="837">
        <f t="shared" si="150"/>
        <v>0</v>
      </c>
      <c r="P329" s="837">
        <f t="shared" si="151"/>
        <v>0</v>
      </c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</row>
    <row r="330" spans="1:26" ht="18.75" hidden="1">
      <c r="A330" s="940"/>
      <c r="B330" s="833"/>
      <c r="C330" s="833"/>
      <c r="D330" s="833"/>
      <c r="E330" s="834" t="s">
        <v>19</v>
      </c>
      <c r="F330" s="833"/>
      <c r="G330" s="941"/>
      <c r="H330" s="158" t="s">
        <v>12</v>
      </c>
      <c r="I330" s="836"/>
      <c r="J330" s="836"/>
      <c r="K330" s="837"/>
      <c r="L330" s="837">
        <f t="shared" ca="1" si="152"/>
        <v>446800</v>
      </c>
      <c r="M330" s="837">
        <f t="shared" ca="1" si="152"/>
        <v>337600</v>
      </c>
      <c r="N330" s="837">
        <f t="shared" ca="1" si="152"/>
        <v>138999.82</v>
      </c>
      <c r="O330" s="837">
        <f t="shared" ca="1" si="150"/>
        <v>31.110076096687557</v>
      </c>
      <c r="P330" s="837">
        <f t="shared" ca="1" si="151"/>
        <v>41.172932464454973</v>
      </c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</row>
    <row r="331" spans="1:26" ht="18.75">
      <c r="A331" s="942"/>
      <c r="B331" s="827"/>
      <c r="C331" s="943"/>
      <c r="D331" s="828" t="s">
        <v>20</v>
      </c>
      <c r="E331" s="827"/>
      <c r="F331" s="827"/>
      <c r="G331" s="829"/>
      <c r="H331" s="778" t="s">
        <v>12</v>
      </c>
      <c r="I331" s="944"/>
      <c r="J331" s="944"/>
      <c r="K331" s="945"/>
      <c r="L331" s="831">
        <f t="shared" ref="L331:N331" ca="1" si="153">L332+L333</f>
        <v>446800</v>
      </c>
      <c r="M331" s="831">
        <f t="shared" ca="1" si="153"/>
        <v>337600</v>
      </c>
      <c r="N331" s="831">
        <f t="shared" ca="1" si="153"/>
        <v>138999.82</v>
      </c>
      <c r="O331" s="831">
        <f t="shared" ca="1" si="150"/>
        <v>31.110076096687557</v>
      </c>
      <c r="P331" s="831">
        <f t="shared" ca="1" si="151"/>
        <v>41.172932464454973</v>
      </c>
      <c r="Q331" s="818"/>
      <c r="R331" s="818"/>
      <c r="S331" s="818"/>
      <c r="T331" s="818"/>
      <c r="U331" s="818"/>
      <c r="V331" s="818"/>
      <c r="W331" s="818"/>
      <c r="X331" s="818"/>
      <c r="Y331" s="818"/>
      <c r="Z331" s="818"/>
    </row>
    <row r="332" spans="1:26" ht="19.5" hidden="1">
      <c r="A332" s="940"/>
      <c r="B332" s="833"/>
      <c r="C332" s="946"/>
      <c r="D332" s="833"/>
      <c r="E332" s="834" t="s">
        <v>36</v>
      </c>
      <c r="F332" s="833"/>
      <c r="G332" s="941"/>
      <c r="H332" s="165" t="s">
        <v>12</v>
      </c>
      <c r="I332" s="947"/>
      <c r="J332" s="947"/>
      <c r="K332" s="948"/>
      <c r="L332" s="837">
        <v>0</v>
      </c>
      <c r="M332" s="837">
        <v>0</v>
      </c>
      <c r="N332" s="837">
        <v>0</v>
      </c>
      <c r="O332" s="837">
        <f t="shared" si="150"/>
        <v>0</v>
      </c>
      <c r="P332" s="837">
        <f t="shared" si="151"/>
        <v>0</v>
      </c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</row>
    <row r="333" spans="1:26" ht="19.5" hidden="1">
      <c r="A333" s="940"/>
      <c r="B333" s="833"/>
      <c r="C333" s="946"/>
      <c r="D333" s="833"/>
      <c r="E333" s="834" t="s">
        <v>37</v>
      </c>
      <c r="F333" s="833"/>
      <c r="G333" s="941"/>
      <c r="H333" s="165" t="s">
        <v>12</v>
      </c>
      <c r="I333" s="947"/>
      <c r="J333" s="947"/>
      <c r="K333" s="948"/>
      <c r="L333" s="837">
        <f ca="1">IFERROR(__xludf.DUMMYFUNCTION("IMPORTRANGE(""https://docs.google.com/spreadsheets/d/1MeEWN-I1oV_STSDYn1IFDPWt_1FKiwhDph83XaGc0o0/edit?usp=sharing"",""งบพรบ!EM15"")"),446800)</f>
        <v>446800</v>
      </c>
      <c r="M333" s="837">
        <f ca="1">IFERROR(__xludf.DUMMYFUNCTION("IMPORTRANGE(""https://docs.google.com/spreadsheets/d/1MeEWN-I1oV_STSDYn1IFDPWt_1FKiwhDph83XaGc0o0/edit?usp=sharing"",""งบพรบ!ER15"")"),337600)</f>
        <v>337600</v>
      </c>
      <c r="N333" s="837">
        <f ca="1">IFERROR(__xludf.DUMMYFUNCTION("IMPORTRANGE(""https://docs.google.com/spreadsheets/d/1MeEWN-I1oV_STSDYn1IFDPWt_1FKiwhDph83XaGc0o0/edit?usp=sharing"",""งบพรบ!ET15"")"),138999.82)</f>
        <v>138999.82</v>
      </c>
      <c r="O333" s="837">
        <f t="shared" ca="1" si="150"/>
        <v>31.110076096687557</v>
      </c>
      <c r="P333" s="837">
        <f t="shared" ca="1" si="151"/>
        <v>41.172932464454973</v>
      </c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</row>
    <row r="334" spans="1:26" ht="18.75">
      <c r="A334" s="942"/>
      <c r="B334" s="827"/>
      <c r="C334" s="943"/>
      <c r="D334" s="828" t="s">
        <v>21</v>
      </c>
      <c r="E334" s="827"/>
      <c r="F334" s="827"/>
      <c r="G334" s="829"/>
      <c r="H334" s="168" t="s">
        <v>12</v>
      </c>
      <c r="I334" s="944"/>
      <c r="J334" s="944"/>
      <c r="K334" s="945"/>
      <c r="L334" s="831">
        <f t="shared" ref="L334:N334" ca="1" si="154">L335+L336</f>
        <v>0</v>
      </c>
      <c r="M334" s="831">
        <f t="shared" ca="1" si="154"/>
        <v>0</v>
      </c>
      <c r="N334" s="831">
        <f t="shared" ca="1" si="154"/>
        <v>0</v>
      </c>
      <c r="O334" s="831">
        <f t="shared" ca="1" si="150"/>
        <v>0</v>
      </c>
      <c r="P334" s="831">
        <f t="shared" ca="1" si="151"/>
        <v>0</v>
      </c>
      <c r="Q334" s="818"/>
      <c r="R334" s="818"/>
      <c r="S334" s="818"/>
      <c r="T334" s="818"/>
      <c r="U334" s="818"/>
      <c r="V334" s="818"/>
      <c r="W334" s="818"/>
      <c r="X334" s="818"/>
      <c r="Y334" s="818"/>
      <c r="Z334" s="818"/>
    </row>
    <row r="335" spans="1:26" ht="19.5" hidden="1">
      <c r="A335" s="940"/>
      <c r="B335" s="833"/>
      <c r="C335" s="946"/>
      <c r="D335" s="833"/>
      <c r="E335" s="834" t="s">
        <v>18</v>
      </c>
      <c r="F335" s="833"/>
      <c r="G335" s="941"/>
      <c r="H335" s="165" t="s">
        <v>12</v>
      </c>
      <c r="I335" s="947"/>
      <c r="J335" s="947"/>
      <c r="K335" s="948"/>
      <c r="L335" s="837">
        <v>0</v>
      </c>
      <c r="M335" s="837">
        <v>0</v>
      </c>
      <c r="N335" s="837">
        <v>0</v>
      </c>
      <c r="O335" s="837">
        <f t="shared" si="150"/>
        <v>0</v>
      </c>
      <c r="P335" s="837">
        <f t="shared" si="151"/>
        <v>0</v>
      </c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</row>
    <row r="336" spans="1:26" ht="19.5" hidden="1">
      <c r="A336" s="940"/>
      <c r="B336" s="833"/>
      <c r="C336" s="946"/>
      <c r="D336" s="833"/>
      <c r="E336" s="834" t="s">
        <v>19</v>
      </c>
      <c r="F336" s="833"/>
      <c r="G336" s="941"/>
      <c r="H336" s="169" t="s">
        <v>12</v>
      </c>
      <c r="I336" s="947"/>
      <c r="J336" s="947"/>
      <c r="K336" s="948"/>
      <c r="L336" s="837">
        <f ca="1">IFERROR(__xludf.DUMMYFUNCTION("IMPORTRANGE(""https://docs.google.com/spreadsheets/d/1MeEWN-I1oV_STSDYn1IFDPWt_1FKiwhDph83XaGc0o0/edit?usp=sharing"",""งบพรบ!EP15"")"),0)</f>
        <v>0</v>
      </c>
      <c r="M336" s="837">
        <f ca="1">IFERROR(__xludf.DUMMYFUNCTION("IMPORTRANGE(""https://docs.google.com/spreadsheets/d/1MeEWN-I1oV_STSDYn1IFDPWt_1FKiwhDph83XaGc0o0/edit?usp=sharing"",""งบพรบ!ES15"")"),0)</f>
        <v>0</v>
      </c>
      <c r="N336" s="837">
        <f ca="1">IFERROR(__xludf.DUMMYFUNCTION("IMPORTRANGE(""https://docs.google.com/spreadsheets/d/1MeEWN-I1oV_STSDYn1IFDPWt_1FKiwhDph83XaGc0o0/edit?usp=sharing"",""งบพรบ!EU15"")"),0)</f>
        <v>0</v>
      </c>
      <c r="O336" s="837">
        <f t="shared" ca="1" si="150"/>
        <v>0</v>
      </c>
      <c r="P336" s="837">
        <f t="shared" ca="1" si="151"/>
        <v>0</v>
      </c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</row>
    <row r="337" spans="1:26" ht="19.5">
      <c r="A337" s="949"/>
      <c r="B337" s="950"/>
      <c r="C337" s="946" t="s">
        <v>16</v>
      </c>
      <c r="D337" s="951" t="s">
        <v>38</v>
      </c>
      <c r="E337" s="952"/>
      <c r="F337" s="952"/>
      <c r="G337" s="953"/>
      <c r="H337" s="954"/>
      <c r="I337" s="944"/>
      <c r="J337" s="830"/>
      <c r="K337" s="831"/>
      <c r="L337" s="831"/>
      <c r="M337" s="831"/>
      <c r="N337" s="831"/>
      <c r="O337" s="945"/>
      <c r="P337" s="945"/>
    </row>
    <row r="338" spans="1:26" ht="18.75">
      <c r="A338" s="1032"/>
      <c r="B338" s="827"/>
      <c r="C338" s="1030"/>
      <c r="D338" s="956" t="s">
        <v>150</v>
      </c>
      <c r="E338" s="950"/>
      <c r="F338" s="827"/>
      <c r="G338" s="829"/>
      <c r="H338" s="277" t="s">
        <v>35</v>
      </c>
      <c r="I338" s="830">
        <f ca="1">IFERROR(__xludf.DUMMYFUNCTION("IMPORTRANGE(""https://docs.google.com/spreadsheets/d/1QqKyyYR6Q21VydFLVH3TRQUabQu_ym0Zz7PgGX0-kHA/edit?usp=sharing"",""แผน!EG15"")"),6000)</f>
        <v>6000</v>
      </c>
      <c r="J338" s="830">
        <f ca="1">IFERROR(__xludf.DUMMYFUNCTION("IMPORTRANGE(""https://docs.google.com/spreadsheets/d/1kVcqe37tkHyjCSG3S0O1AXqVkqjo8mSIZil3BcpIysc/edit?usp=sharing"",""ศูนย์!D15"")"),3821)</f>
        <v>3821</v>
      </c>
      <c r="K338" s="831">
        <f ca="1">IF(I338&gt;0,J338*100/I338,0)</f>
        <v>63.68333333333333</v>
      </c>
      <c r="L338" s="831"/>
      <c r="M338" s="831"/>
      <c r="N338" s="831"/>
      <c r="O338" s="831"/>
      <c r="P338" s="831"/>
    </row>
    <row r="339" spans="1:26" ht="18.75">
      <c r="A339" s="1032"/>
      <c r="B339" s="827"/>
      <c r="C339" s="1030"/>
      <c r="D339" s="956" t="s">
        <v>151</v>
      </c>
      <c r="E339" s="950"/>
      <c r="F339" s="827"/>
      <c r="G339" s="829"/>
      <c r="H339" s="277"/>
      <c r="I339" s="830"/>
      <c r="J339" s="830"/>
      <c r="K339" s="831"/>
      <c r="L339" s="831"/>
      <c r="M339" s="831"/>
      <c r="N339" s="831"/>
      <c r="O339" s="831"/>
      <c r="P339" s="831"/>
    </row>
    <row r="340" spans="1:26" ht="18.75">
      <c r="A340" s="1032"/>
      <c r="B340" s="827"/>
      <c r="C340" s="1030"/>
      <c r="D340" s="957"/>
      <c r="E340" s="956" t="s">
        <v>152</v>
      </c>
      <c r="F340" s="827"/>
      <c r="G340" s="829"/>
      <c r="H340" s="277" t="s">
        <v>153</v>
      </c>
      <c r="I340" s="830">
        <f ca="1">IFERROR(__xludf.DUMMYFUNCTION("IMPORTRANGE(""https://docs.google.com/spreadsheets/d/1QqKyyYR6Q21VydFLVH3TRQUabQu_ym0Zz7PgGX0-kHA/edit?usp=sharing"",""แผน!EH15"")"),8)</f>
        <v>8</v>
      </c>
      <c r="J340" s="830">
        <f ca="1">IFERROR(__xludf.DUMMYFUNCTION("IMPORTRANGE(""https://docs.google.com/spreadsheets/d/1kVcqe37tkHyjCSG3S0O1AXqVkqjo8mSIZil3BcpIysc/edit?usp=sharing"",""ศูนย์!E15"")"),2)</f>
        <v>2</v>
      </c>
      <c r="K340" s="831">
        <f ca="1">IF(I340&gt;0,J340*100/I340,0)</f>
        <v>25</v>
      </c>
      <c r="L340" s="831"/>
      <c r="M340" s="831"/>
      <c r="N340" s="831"/>
      <c r="O340" s="831"/>
      <c r="P340" s="831"/>
    </row>
    <row r="341" spans="1:26" ht="18.75">
      <c r="A341" s="1032"/>
      <c r="B341" s="827"/>
      <c r="C341" s="1030"/>
      <c r="D341" s="957"/>
      <c r="E341" s="956" t="s">
        <v>154</v>
      </c>
      <c r="F341" s="827"/>
      <c r="G341" s="829"/>
      <c r="H341" s="277" t="s">
        <v>35</v>
      </c>
      <c r="I341" s="830"/>
      <c r="J341" s="830">
        <f ca="1">IFERROR(__xludf.DUMMYFUNCTION("IMPORTRANGE(""https://docs.google.com/spreadsheets/d/1kVcqe37tkHyjCSG3S0O1AXqVkqjo8mSIZil3BcpIysc/edit?usp=sharing"",""ศูนย์!F15"")"),99)</f>
        <v>99</v>
      </c>
      <c r="K341" s="831"/>
      <c r="L341" s="831"/>
      <c r="M341" s="831"/>
      <c r="N341" s="831"/>
      <c r="O341" s="831"/>
      <c r="P341" s="831"/>
    </row>
    <row r="342" spans="1:26" ht="18.75">
      <c r="A342" s="1032"/>
      <c r="B342" s="827"/>
      <c r="C342" s="1030"/>
      <c r="D342" s="956" t="s">
        <v>155</v>
      </c>
      <c r="E342" s="957"/>
      <c r="F342" s="957"/>
      <c r="G342" s="829"/>
      <c r="H342" s="277" t="s">
        <v>35</v>
      </c>
      <c r="I342" s="830"/>
      <c r="J342" s="830">
        <f ca="1">IFERROR(__xludf.DUMMYFUNCTION("IMPORTRANGE(""https://docs.google.com/spreadsheets/d/1kVcqe37tkHyjCSG3S0O1AXqVkqjo8mSIZil3BcpIysc/edit?usp=sharing"",""ศูนย์!G15"")"),0)</f>
        <v>0</v>
      </c>
      <c r="K342" s="831"/>
      <c r="L342" s="831"/>
      <c r="M342" s="831"/>
      <c r="N342" s="831"/>
      <c r="O342" s="831"/>
      <c r="P342" s="831"/>
    </row>
    <row r="343" spans="1:26" ht="18.75">
      <c r="A343" s="1032"/>
      <c r="B343" s="827"/>
      <c r="C343" s="1030"/>
      <c r="D343" s="956" t="s">
        <v>156</v>
      </c>
      <c r="E343" s="957"/>
      <c r="F343" s="957"/>
      <c r="G343" s="829"/>
      <c r="H343" s="277" t="s">
        <v>35</v>
      </c>
      <c r="I343" s="830"/>
      <c r="J343" s="830">
        <f ca="1">IFERROR(__xludf.DUMMYFUNCTION("IMPORTRANGE(""https://docs.google.com/spreadsheets/d/1kVcqe37tkHyjCSG3S0O1AXqVkqjo8mSIZil3BcpIysc/edit?usp=sharing"",""ศูนย์!H15"")"),6)</f>
        <v>6</v>
      </c>
      <c r="K343" s="831"/>
      <c r="L343" s="831"/>
      <c r="M343" s="831"/>
      <c r="N343" s="831"/>
      <c r="O343" s="831"/>
      <c r="P343" s="831"/>
    </row>
    <row r="344" spans="1:26" ht="19.5">
      <c r="A344" s="1133"/>
      <c r="B344" s="1134" t="s">
        <v>157</v>
      </c>
      <c r="C344" s="1143"/>
      <c r="D344" s="1135"/>
      <c r="E344" s="1135"/>
      <c r="F344" s="1135"/>
      <c r="G344" s="1136"/>
      <c r="H344" s="412"/>
      <c r="I344" s="1144"/>
      <c r="J344" s="1144"/>
      <c r="K344" s="1139"/>
      <c r="L344" s="1139"/>
      <c r="M344" s="1139"/>
      <c r="N344" s="1139"/>
      <c r="O344" s="1139"/>
      <c r="P344" s="1139"/>
    </row>
    <row r="345" spans="1:26" ht="19.5">
      <c r="A345" s="932"/>
      <c r="B345" s="933"/>
      <c r="C345" s="934" t="s">
        <v>16</v>
      </c>
      <c r="D345" s="935" t="s">
        <v>17</v>
      </c>
      <c r="E345" s="933"/>
      <c r="F345" s="933"/>
      <c r="G345" s="936"/>
      <c r="H345" s="152" t="s">
        <v>12</v>
      </c>
      <c r="I345" s="937"/>
      <c r="J345" s="937"/>
      <c r="K345" s="938"/>
      <c r="L345" s="939">
        <f t="shared" ref="L345:N345" ca="1" si="155">L346+L347</f>
        <v>1250420</v>
      </c>
      <c r="M345" s="939">
        <f t="shared" ca="1" si="155"/>
        <v>931270</v>
      </c>
      <c r="N345" s="939">
        <f t="shared" ca="1" si="155"/>
        <v>596098.54</v>
      </c>
      <c r="O345" s="939">
        <f t="shared" ref="O345:O353" ca="1" si="156">IF(L345&gt;0,N345*100/L345,0)</f>
        <v>47.671865453207722</v>
      </c>
      <c r="P345" s="939">
        <f t="shared" ref="P345:P353" ca="1" si="157">IF(M345&gt;0,N345*100/M345,0)</f>
        <v>64.009206782136218</v>
      </c>
      <c r="Q345" s="818"/>
      <c r="R345" s="818"/>
      <c r="S345" s="818"/>
      <c r="T345" s="818"/>
      <c r="U345" s="818"/>
      <c r="V345" s="818"/>
      <c r="W345" s="818"/>
      <c r="X345" s="818"/>
      <c r="Y345" s="818"/>
      <c r="Z345" s="818"/>
    </row>
    <row r="346" spans="1:26" ht="18.75" hidden="1">
      <c r="A346" s="940"/>
      <c r="B346" s="833"/>
      <c r="C346" s="833"/>
      <c r="D346" s="833"/>
      <c r="E346" s="834" t="s">
        <v>18</v>
      </c>
      <c r="F346" s="833"/>
      <c r="G346" s="941"/>
      <c r="H346" s="158" t="s">
        <v>12</v>
      </c>
      <c r="I346" s="836"/>
      <c r="J346" s="836"/>
      <c r="K346" s="837"/>
      <c r="L346" s="837">
        <f t="shared" ref="L346:N347" si="158">L349+L352</f>
        <v>0</v>
      </c>
      <c r="M346" s="837">
        <f t="shared" si="158"/>
        <v>0</v>
      </c>
      <c r="N346" s="837">
        <f t="shared" si="158"/>
        <v>0</v>
      </c>
      <c r="O346" s="837">
        <f t="shared" si="156"/>
        <v>0</v>
      </c>
      <c r="P346" s="837">
        <f t="shared" si="157"/>
        <v>0</v>
      </c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</row>
    <row r="347" spans="1:26" ht="18.75" hidden="1">
      <c r="A347" s="940"/>
      <c r="B347" s="833"/>
      <c r="C347" s="833"/>
      <c r="D347" s="833"/>
      <c r="E347" s="834" t="s">
        <v>19</v>
      </c>
      <c r="F347" s="833"/>
      <c r="G347" s="941"/>
      <c r="H347" s="158" t="s">
        <v>12</v>
      </c>
      <c r="I347" s="836"/>
      <c r="J347" s="836"/>
      <c r="K347" s="837"/>
      <c r="L347" s="837">
        <f t="shared" ca="1" si="158"/>
        <v>1250420</v>
      </c>
      <c r="M347" s="837">
        <f t="shared" ca="1" si="158"/>
        <v>931270</v>
      </c>
      <c r="N347" s="837">
        <f t="shared" ca="1" si="158"/>
        <v>596098.54</v>
      </c>
      <c r="O347" s="837">
        <f t="shared" ca="1" si="156"/>
        <v>47.671865453207722</v>
      </c>
      <c r="P347" s="837">
        <f t="shared" ca="1" si="157"/>
        <v>64.009206782136218</v>
      </c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</row>
    <row r="348" spans="1:26" ht="18.75">
      <c r="A348" s="942"/>
      <c r="B348" s="827"/>
      <c r="C348" s="943"/>
      <c r="D348" s="828" t="s">
        <v>20</v>
      </c>
      <c r="E348" s="827"/>
      <c r="F348" s="827"/>
      <c r="G348" s="829"/>
      <c r="H348" s="778" t="s">
        <v>12</v>
      </c>
      <c r="I348" s="944"/>
      <c r="J348" s="944"/>
      <c r="K348" s="945"/>
      <c r="L348" s="831">
        <f t="shared" ref="L348:N348" ca="1" si="159">L349+L350</f>
        <v>1161820</v>
      </c>
      <c r="M348" s="831">
        <f t="shared" ca="1" si="159"/>
        <v>842670</v>
      </c>
      <c r="N348" s="831">
        <f t="shared" ca="1" si="159"/>
        <v>507498.54</v>
      </c>
      <c r="O348" s="831">
        <f t="shared" ca="1" si="156"/>
        <v>43.681339622316713</v>
      </c>
      <c r="P348" s="831">
        <f t="shared" ca="1" si="157"/>
        <v>60.225063191996867</v>
      </c>
      <c r="Q348" s="818"/>
      <c r="R348" s="818"/>
      <c r="S348" s="818"/>
      <c r="T348" s="818"/>
      <c r="U348" s="818"/>
      <c r="V348" s="818"/>
      <c r="W348" s="818"/>
      <c r="X348" s="818"/>
      <c r="Y348" s="818"/>
      <c r="Z348" s="818"/>
    </row>
    <row r="349" spans="1:26" ht="19.5" hidden="1">
      <c r="A349" s="940"/>
      <c r="B349" s="833"/>
      <c r="C349" s="946"/>
      <c r="D349" s="833"/>
      <c r="E349" s="834" t="s">
        <v>36</v>
      </c>
      <c r="F349" s="833"/>
      <c r="G349" s="941"/>
      <c r="H349" s="165" t="s">
        <v>12</v>
      </c>
      <c r="I349" s="947"/>
      <c r="J349" s="947"/>
      <c r="K349" s="948"/>
      <c r="L349" s="837">
        <v>0</v>
      </c>
      <c r="M349" s="837">
        <v>0</v>
      </c>
      <c r="N349" s="837">
        <v>0</v>
      </c>
      <c r="O349" s="837">
        <f t="shared" si="156"/>
        <v>0</v>
      </c>
      <c r="P349" s="837">
        <f t="shared" si="157"/>
        <v>0</v>
      </c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</row>
    <row r="350" spans="1:26" ht="19.5" hidden="1">
      <c r="A350" s="940"/>
      <c r="B350" s="833"/>
      <c r="C350" s="946"/>
      <c r="D350" s="833"/>
      <c r="E350" s="834" t="s">
        <v>37</v>
      </c>
      <c r="F350" s="833"/>
      <c r="G350" s="941"/>
      <c r="H350" s="165" t="s">
        <v>12</v>
      </c>
      <c r="I350" s="947"/>
      <c r="J350" s="947"/>
      <c r="K350" s="948"/>
      <c r="L350" s="837">
        <f ca="1">IFERROR(__xludf.DUMMYFUNCTION("IMPORTRANGE(""https://docs.google.com/spreadsheets/d/1MeEWN-I1oV_STSDYn1IFDPWt_1FKiwhDph83XaGc0o0/edit?usp=sharing"",""งบพรบ!EW15"")"),1161820)</f>
        <v>1161820</v>
      </c>
      <c r="M350" s="837">
        <f ca="1">IFERROR(__xludf.DUMMYFUNCTION("IMPORTRANGE(""https://docs.google.com/spreadsheets/d/1MeEWN-I1oV_STSDYn1IFDPWt_1FKiwhDph83XaGc0o0/edit?usp=sharing"",""งบพรบ!FB15"")"),842670)</f>
        <v>842670</v>
      </c>
      <c r="N350" s="837">
        <f ca="1">IFERROR(__xludf.DUMMYFUNCTION("IMPORTRANGE(""https://docs.google.com/spreadsheets/d/1MeEWN-I1oV_STSDYn1IFDPWt_1FKiwhDph83XaGc0o0/edit?usp=sharing"",""งบพรบ!FD15"")"),507498.54)</f>
        <v>507498.54</v>
      </c>
      <c r="O350" s="837">
        <f t="shared" ca="1" si="156"/>
        <v>43.681339622316713</v>
      </c>
      <c r="P350" s="837">
        <f t="shared" ca="1" si="157"/>
        <v>60.225063191996867</v>
      </c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</row>
    <row r="351" spans="1:26" ht="18.75">
      <c r="A351" s="942"/>
      <c r="B351" s="827"/>
      <c r="C351" s="943"/>
      <c r="D351" s="828" t="s">
        <v>21</v>
      </c>
      <c r="E351" s="827"/>
      <c r="F351" s="827"/>
      <c r="G351" s="829"/>
      <c r="H351" s="168" t="s">
        <v>12</v>
      </c>
      <c r="I351" s="944"/>
      <c r="J351" s="944"/>
      <c r="K351" s="945"/>
      <c r="L351" s="831">
        <f t="shared" ref="L351:N351" ca="1" si="160">L352+L353</f>
        <v>88600</v>
      </c>
      <c r="M351" s="831">
        <f t="shared" ca="1" si="160"/>
        <v>88600</v>
      </c>
      <c r="N351" s="831">
        <f t="shared" ca="1" si="160"/>
        <v>88600</v>
      </c>
      <c r="O351" s="831">
        <f t="shared" ca="1" si="156"/>
        <v>100</v>
      </c>
      <c r="P351" s="831">
        <f t="shared" ca="1" si="157"/>
        <v>100</v>
      </c>
      <c r="Q351" s="818"/>
      <c r="R351" s="818"/>
      <c r="S351" s="818"/>
      <c r="T351" s="818"/>
      <c r="U351" s="818"/>
      <c r="V351" s="818"/>
      <c r="W351" s="818"/>
      <c r="X351" s="818"/>
      <c r="Y351" s="818"/>
      <c r="Z351" s="818"/>
    </row>
    <row r="352" spans="1:26" ht="19.5" hidden="1">
      <c r="A352" s="940"/>
      <c r="B352" s="833"/>
      <c r="C352" s="946"/>
      <c r="D352" s="833"/>
      <c r="E352" s="834" t="s">
        <v>18</v>
      </c>
      <c r="F352" s="833"/>
      <c r="G352" s="941"/>
      <c r="H352" s="165" t="s">
        <v>12</v>
      </c>
      <c r="I352" s="947"/>
      <c r="J352" s="947"/>
      <c r="K352" s="948"/>
      <c r="L352" s="837">
        <v>0</v>
      </c>
      <c r="M352" s="837">
        <v>0</v>
      </c>
      <c r="N352" s="837">
        <v>0</v>
      </c>
      <c r="O352" s="837">
        <f t="shared" si="156"/>
        <v>0</v>
      </c>
      <c r="P352" s="837">
        <f t="shared" si="157"/>
        <v>0</v>
      </c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</row>
    <row r="353" spans="1:26" ht="19.5" hidden="1">
      <c r="A353" s="940"/>
      <c r="B353" s="833"/>
      <c r="C353" s="946"/>
      <c r="D353" s="833"/>
      <c r="E353" s="834" t="s">
        <v>19</v>
      </c>
      <c r="F353" s="833"/>
      <c r="G353" s="941"/>
      <c r="H353" s="169" t="s">
        <v>12</v>
      </c>
      <c r="I353" s="947"/>
      <c r="J353" s="947"/>
      <c r="K353" s="948"/>
      <c r="L353" s="837">
        <f ca="1">IFERROR(__xludf.DUMMYFUNCTION("IMPORTRANGE(""https://docs.google.com/spreadsheets/d/1MeEWN-I1oV_STSDYn1IFDPWt_1FKiwhDph83XaGc0o0/edit?usp=sharing"",""งบพรบ!EZ15"")"),88600)</f>
        <v>88600</v>
      </c>
      <c r="M353" s="837">
        <f ca="1">IFERROR(__xludf.DUMMYFUNCTION("IMPORTRANGE(""https://docs.google.com/spreadsheets/d/1MeEWN-I1oV_STSDYn1IFDPWt_1FKiwhDph83XaGc0o0/edit?usp=sharing"",""งบพรบ!FC15"")"),88600)</f>
        <v>88600</v>
      </c>
      <c r="N353" s="837">
        <f ca="1">IFERROR(__xludf.DUMMYFUNCTION("IMPORTRANGE(""https://docs.google.com/spreadsheets/d/1MeEWN-I1oV_STSDYn1IFDPWt_1FKiwhDph83XaGc0o0/edit?usp=sharing"",""งบพรบ!FE15"")"),88600)</f>
        <v>88600</v>
      </c>
      <c r="O353" s="837">
        <f t="shared" ca="1" si="156"/>
        <v>100</v>
      </c>
      <c r="P353" s="837">
        <f t="shared" ca="1" si="157"/>
        <v>100</v>
      </c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</row>
    <row r="354" spans="1:26" ht="19.5">
      <c r="A354" s="1011"/>
      <c r="B354" s="1018"/>
      <c r="C354" s="1012"/>
      <c r="D354" s="1145" t="s">
        <v>158</v>
      </c>
      <c r="E354" s="1012"/>
      <c r="F354" s="1012"/>
      <c r="G354" s="1014"/>
      <c r="H354" s="1146"/>
      <c r="I354" s="1015"/>
      <c r="J354" s="1015"/>
      <c r="K354" s="1016"/>
      <c r="L354" s="1016"/>
      <c r="M354" s="1016"/>
      <c r="N354" s="1016"/>
      <c r="O354" s="1016"/>
      <c r="P354" s="1016"/>
    </row>
    <row r="355" spans="1:26" ht="19.5">
      <c r="A355" s="1147"/>
      <c r="B355" s="1148"/>
      <c r="C355" s="1149"/>
      <c r="D355" s="1150" t="s">
        <v>159</v>
      </c>
      <c r="E355" s="1151"/>
      <c r="F355" s="1151"/>
      <c r="G355" s="1152"/>
      <c r="H355" s="431" t="s">
        <v>35</v>
      </c>
      <c r="I355" s="1153">
        <f ca="1">IFERROR(__xludf.DUMMYFUNCTION("IMPORTRANGE(""https://docs.google.com/spreadsheets/d/1QqKyyYR6Q21VydFLVH3TRQUabQu_ym0Zz7PgGX0-kHA/edit?usp=sharing"",""แผน!EP15"")"),460)</f>
        <v>460</v>
      </c>
      <c r="J355" s="1153">
        <f ca="1">J362</f>
        <v>157</v>
      </c>
      <c r="K355" s="1154">
        <f ca="1">IF(I355&gt;0,J355*100/I355,0)</f>
        <v>34.130434782608695</v>
      </c>
      <c r="L355" s="1155"/>
      <c r="M355" s="1155"/>
      <c r="N355" s="1155"/>
      <c r="O355" s="1155"/>
      <c r="P355" s="1155"/>
    </row>
    <row r="356" spans="1:26" ht="19.5">
      <c r="A356" s="1147"/>
      <c r="B356" s="1148"/>
      <c r="C356" s="1149"/>
      <c r="D356" s="1156" t="s">
        <v>160</v>
      </c>
      <c r="E356" s="1151"/>
      <c r="F356" s="1151"/>
      <c r="G356" s="1152"/>
      <c r="H356" s="1157"/>
      <c r="I356" s="1158"/>
      <c r="J356" s="1158"/>
      <c r="K356" s="1155"/>
      <c r="L356" s="1155"/>
      <c r="M356" s="1155"/>
      <c r="N356" s="1155"/>
      <c r="O356" s="1155"/>
      <c r="P356" s="1155"/>
    </row>
    <row r="357" spans="1:26" ht="19.5">
      <c r="A357" s="949"/>
      <c r="B357" s="950"/>
      <c r="C357" s="946" t="s">
        <v>16</v>
      </c>
      <c r="D357" s="951" t="s">
        <v>38</v>
      </c>
      <c r="E357" s="952"/>
      <c r="F357" s="952"/>
      <c r="G357" s="953"/>
      <c r="H357" s="954"/>
      <c r="I357" s="830"/>
      <c r="J357" s="830"/>
      <c r="K357" s="831"/>
      <c r="L357" s="945"/>
      <c r="M357" s="945"/>
      <c r="N357" s="945"/>
      <c r="O357" s="945"/>
      <c r="P357" s="945"/>
    </row>
    <row r="358" spans="1:26" ht="18.75">
      <c r="A358" s="949"/>
      <c r="B358" s="957"/>
      <c r="C358" s="950"/>
      <c r="D358" s="957"/>
      <c r="E358" s="955" t="s">
        <v>161</v>
      </c>
      <c r="F358" s="957"/>
      <c r="G358" s="958"/>
      <c r="H358" s="777" t="s">
        <v>35</v>
      </c>
      <c r="I358" s="830">
        <v>0</v>
      </c>
      <c r="J358" s="830">
        <f ca="1">IFERROR(__xludf.DUMMYFUNCTION("IMPORTRANGE(""https://docs.google.com/spreadsheets/d/1XWAQStnk-4SwqDmLtmXYiTMKHgktTP8We1SCoS47DrQ/edit?usp=sharing"",""จัดที่ดิน!W15"")"),213)</f>
        <v>213</v>
      </c>
      <c r="K358" s="831">
        <f t="shared" ref="K358:K365" si="161">IF(I358&gt;0,J358*100/I358,0)</f>
        <v>0</v>
      </c>
      <c r="L358" s="945"/>
      <c r="M358" s="945"/>
      <c r="N358" s="945"/>
      <c r="O358" s="945"/>
      <c r="P358" s="945"/>
    </row>
    <row r="359" spans="1:26" ht="18.75">
      <c r="A359" s="949"/>
      <c r="B359" s="957"/>
      <c r="C359" s="950"/>
      <c r="D359" s="957"/>
      <c r="E359" s="957"/>
      <c r="F359" s="957"/>
      <c r="G359" s="958"/>
      <c r="H359" s="777" t="s">
        <v>46</v>
      </c>
      <c r="I359" s="830">
        <f ca="1">IFERROR(__xludf.DUMMYFUNCTION("IMPORTRANGE(""https://docs.google.com/spreadsheets/d/1QqKyyYR6Q21VydFLVH3TRQUabQu_ym0Zz7PgGX0-kHA/edit?usp=sharing"",""แผน!EO15"")"),3600)</f>
        <v>3600</v>
      </c>
      <c r="J359" s="830">
        <f ca="1">IFERROR(__xludf.DUMMYFUNCTION("IMPORTRANGE(""https://docs.google.com/spreadsheets/d/1XWAQStnk-4SwqDmLtmXYiTMKHgktTP8We1SCoS47DrQ/edit?usp=sharing"",""จัดที่ดิน!X15"")"),1180.28)</f>
        <v>1180.28</v>
      </c>
      <c r="K359" s="831">
        <f t="shared" ca="1" si="161"/>
        <v>32.785555555555554</v>
      </c>
      <c r="L359" s="945"/>
      <c r="M359" s="945"/>
      <c r="N359" s="945"/>
      <c r="O359" s="945"/>
      <c r="P359" s="945"/>
    </row>
    <row r="360" spans="1:26" ht="18.75">
      <c r="A360" s="949"/>
      <c r="B360" s="957"/>
      <c r="C360" s="950"/>
      <c r="D360" s="957"/>
      <c r="E360" s="955" t="s">
        <v>162</v>
      </c>
      <c r="F360" s="957"/>
      <c r="G360" s="958"/>
      <c r="H360" s="730" t="s">
        <v>35</v>
      </c>
      <c r="I360" s="830">
        <f ca="1">IFERROR(__xludf.DUMMYFUNCTION("IMPORTRANGE(""https://docs.google.com/spreadsheets/d/1QqKyyYR6Q21VydFLVH3TRQUabQu_ym0Zz7PgGX0-kHA/edit?usp=sharing"",""แผน!EP15"")"),460)</f>
        <v>460</v>
      </c>
      <c r="J360" s="830">
        <f ca="1">IFERROR(__xludf.DUMMYFUNCTION("IMPORTRANGE(""https://docs.google.com/spreadsheets/d/1XWAQStnk-4SwqDmLtmXYiTMKHgktTP8We1SCoS47DrQ/edit?usp=sharing"",""จัดที่ดิน!Y15"")"),164)</f>
        <v>164</v>
      </c>
      <c r="K360" s="831">
        <f t="shared" ca="1" si="161"/>
        <v>35.652173913043477</v>
      </c>
      <c r="L360" s="945"/>
      <c r="M360" s="945"/>
      <c r="N360" s="945"/>
      <c r="O360" s="945"/>
      <c r="P360" s="945"/>
    </row>
    <row r="361" spans="1:26" ht="18.75">
      <c r="A361" s="949"/>
      <c r="B361" s="957"/>
      <c r="C361" s="950"/>
      <c r="D361" s="957"/>
      <c r="E361" s="957"/>
      <c r="F361" s="957"/>
      <c r="G361" s="958"/>
      <c r="H361" s="730" t="s">
        <v>46</v>
      </c>
      <c r="I361" s="830">
        <v>0</v>
      </c>
      <c r="J361" s="830">
        <f ca="1">IFERROR(__xludf.DUMMYFUNCTION("IMPORTRANGE(""https://docs.google.com/spreadsheets/d/1XWAQStnk-4SwqDmLtmXYiTMKHgktTP8We1SCoS47DrQ/edit?usp=sharing"",""จัดที่ดิน!Z15"")"),912.66)</f>
        <v>912.66</v>
      </c>
      <c r="K361" s="831">
        <f t="shared" si="161"/>
        <v>0</v>
      </c>
      <c r="L361" s="945"/>
      <c r="M361" s="945"/>
      <c r="N361" s="945"/>
      <c r="O361" s="945"/>
      <c r="P361" s="945"/>
    </row>
    <row r="362" spans="1:26" ht="18.75">
      <c r="A362" s="949"/>
      <c r="B362" s="957"/>
      <c r="C362" s="950"/>
      <c r="D362" s="957"/>
      <c r="E362" s="955" t="s">
        <v>163</v>
      </c>
      <c r="F362" s="957"/>
      <c r="G362" s="958"/>
      <c r="H362" s="730" t="s">
        <v>35</v>
      </c>
      <c r="I362" s="830">
        <f ca="1">IFERROR(__xludf.DUMMYFUNCTION("IMPORTRANGE(""https://docs.google.com/spreadsheets/d/1QqKyyYR6Q21VydFLVH3TRQUabQu_ym0Zz7PgGX0-kHA/edit?usp=sharing"",""แผน!EP15"")"),460)</f>
        <v>460</v>
      </c>
      <c r="J362" s="830">
        <f ca="1">IFERROR(__xludf.DUMMYFUNCTION("IMPORTRANGE(""https://docs.google.com/spreadsheets/d/1XWAQStnk-4SwqDmLtmXYiTMKHgktTP8We1SCoS47DrQ/edit?usp=sharing"",""จัดที่ดิน!AA15"")"),157)</f>
        <v>157</v>
      </c>
      <c r="K362" s="831">
        <f t="shared" ca="1" si="161"/>
        <v>34.130434782608695</v>
      </c>
      <c r="L362" s="945"/>
      <c r="M362" s="945"/>
      <c r="N362" s="945"/>
      <c r="O362" s="945"/>
      <c r="P362" s="945"/>
    </row>
    <row r="363" spans="1:26" ht="18.75">
      <c r="A363" s="1159" t="s">
        <v>164</v>
      </c>
      <c r="B363" s="957"/>
      <c r="C363" s="950"/>
      <c r="D363" s="957"/>
      <c r="E363" s="956"/>
      <c r="F363" s="957"/>
      <c r="G363" s="958"/>
      <c r="H363" s="730" t="s">
        <v>46</v>
      </c>
      <c r="I363" s="830">
        <v>0</v>
      </c>
      <c r="J363" s="830">
        <f ca="1">IFERROR(__xludf.DUMMYFUNCTION("IMPORTRANGE(""https://docs.google.com/spreadsheets/d/1XWAQStnk-4SwqDmLtmXYiTMKHgktTP8We1SCoS47DrQ/edit?usp=sharing"",""จัดที่ดิน!AB15"")"),803.59)</f>
        <v>803.59</v>
      </c>
      <c r="K363" s="831">
        <f t="shared" si="161"/>
        <v>0</v>
      </c>
      <c r="L363" s="945"/>
      <c r="M363" s="945"/>
      <c r="N363" s="945"/>
      <c r="O363" s="945"/>
      <c r="P363" s="945"/>
    </row>
    <row r="364" spans="1:26" ht="19.5">
      <c r="A364" s="1160"/>
      <c r="B364" s="1161"/>
      <c r="C364" s="1162"/>
      <c r="D364" s="1163" t="s">
        <v>165</v>
      </c>
      <c r="E364" s="1164"/>
      <c r="F364" s="1164"/>
      <c r="G364" s="1165"/>
      <c r="H364" s="446" t="s">
        <v>35</v>
      </c>
      <c r="I364" s="1166">
        <f t="shared" ref="I364:J364" ca="1" si="162">I365+I374</f>
        <v>1360</v>
      </c>
      <c r="J364" s="1166">
        <f t="shared" ca="1" si="162"/>
        <v>342</v>
      </c>
      <c r="K364" s="1167">
        <f t="shared" ca="1" si="161"/>
        <v>25.147058823529413</v>
      </c>
      <c r="L364" s="1168"/>
      <c r="M364" s="1168"/>
      <c r="N364" s="1168"/>
      <c r="O364" s="1168"/>
      <c r="P364" s="1168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69"/>
      <c r="B365" s="1170"/>
      <c r="C365" s="1171"/>
      <c r="D365" s="1171" t="s">
        <v>166</v>
      </c>
      <c r="E365" s="1172"/>
      <c r="F365" s="1172"/>
      <c r="G365" s="1173"/>
      <c r="H365" s="457" t="s">
        <v>35</v>
      </c>
      <c r="I365" s="1174">
        <f ca="1">IFERROR(__xludf.DUMMYFUNCTION("IMPORTRANGE(""https://docs.google.com/spreadsheets/d/1QqKyyYR6Q21VydFLVH3TRQUabQu_ym0Zz7PgGX0-kHA/edit?usp=sharing"",""แผน!EJ15"")"),110)</f>
        <v>110</v>
      </c>
      <c r="J365" s="1174">
        <f ca="1">J372</f>
        <v>6</v>
      </c>
      <c r="K365" s="1175">
        <f t="shared" ca="1" si="161"/>
        <v>5.4545454545454541</v>
      </c>
      <c r="L365" s="1176"/>
      <c r="M365" s="1176"/>
      <c r="N365" s="1176"/>
      <c r="O365" s="1176"/>
      <c r="P365" s="1176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69"/>
      <c r="B366" s="1170"/>
      <c r="C366" s="1171"/>
      <c r="D366" s="1177" t="s">
        <v>167</v>
      </c>
      <c r="E366" s="1172"/>
      <c r="F366" s="1172"/>
      <c r="G366" s="1173"/>
      <c r="H366" s="1178"/>
      <c r="I366" s="1179"/>
      <c r="J366" s="1179"/>
      <c r="K366" s="1176"/>
      <c r="L366" s="1176"/>
      <c r="M366" s="1176"/>
      <c r="N366" s="1176"/>
      <c r="O366" s="1176"/>
      <c r="P366" s="1176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49"/>
      <c r="B367" s="950"/>
      <c r="C367" s="946" t="s">
        <v>16</v>
      </c>
      <c r="D367" s="951" t="s">
        <v>38</v>
      </c>
      <c r="E367" s="952"/>
      <c r="F367" s="952"/>
      <c r="G367" s="953"/>
      <c r="H367" s="954"/>
      <c r="I367" s="830"/>
      <c r="J367" s="830"/>
      <c r="K367" s="831"/>
      <c r="L367" s="945"/>
      <c r="M367" s="945"/>
      <c r="N367" s="945"/>
      <c r="O367" s="945"/>
      <c r="P367" s="945"/>
    </row>
    <row r="368" spans="1:26" ht="18.75">
      <c r="A368" s="949"/>
      <c r="B368" s="957"/>
      <c r="C368" s="950"/>
      <c r="D368" s="957"/>
      <c r="E368" s="955" t="s">
        <v>161</v>
      </c>
      <c r="F368" s="957"/>
      <c r="G368" s="958"/>
      <c r="H368" s="777" t="s">
        <v>35</v>
      </c>
      <c r="I368" s="830">
        <v>0</v>
      </c>
      <c r="J368" s="830">
        <f ca="1">IFERROR(__xludf.DUMMYFUNCTION("IMPORTRANGE(""https://docs.google.com/spreadsheets/d/1XWAQStnk-4SwqDmLtmXYiTMKHgktTP8We1SCoS47DrQ/edit?usp=sharing"",""จัดที่ดิน!E15"")"),38)</f>
        <v>38</v>
      </c>
      <c r="K368" s="831">
        <f t="shared" ref="K368:K374" si="163">IF(I368&gt;0,J368*100/I368,0)</f>
        <v>0</v>
      </c>
      <c r="L368" s="945"/>
      <c r="M368" s="945"/>
      <c r="N368" s="945"/>
      <c r="O368" s="945"/>
      <c r="P368" s="945"/>
    </row>
    <row r="369" spans="1:26" ht="18.75">
      <c r="A369" s="949"/>
      <c r="B369" s="957"/>
      <c r="C369" s="950"/>
      <c r="D369" s="957"/>
      <c r="E369" s="957"/>
      <c r="F369" s="957"/>
      <c r="G369" s="958"/>
      <c r="H369" s="777" t="s">
        <v>46</v>
      </c>
      <c r="I369" s="830">
        <f ca="1">IFERROR(__xludf.DUMMYFUNCTION("IMPORTRANGE(""https://docs.google.com/spreadsheets/d/1QqKyyYR6Q21VydFLVH3TRQUabQu_ym0Zz7PgGX0-kHA/edit?usp=sharing"",""แผน!EI15"")"),1100)</f>
        <v>1100</v>
      </c>
      <c r="J369" s="830">
        <f ca="1">IFERROR(__xludf.DUMMYFUNCTION("IMPORTRANGE(""https://docs.google.com/spreadsheets/d/1XWAQStnk-4SwqDmLtmXYiTMKHgktTP8We1SCoS47DrQ/edit?usp=sharing"",""จัดที่ดิน!F15"")"),276.34)</f>
        <v>276.33999999999997</v>
      </c>
      <c r="K369" s="831">
        <f t="shared" ca="1" si="163"/>
        <v>25.121818181818178</v>
      </c>
      <c r="L369" s="945"/>
      <c r="M369" s="945"/>
      <c r="N369" s="945"/>
      <c r="O369" s="945"/>
      <c r="P369" s="945"/>
    </row>
    <row r="370" spans="1:26" ht="18.75">
      <c r="A370" s="949"/>
      <c r="B370" s="957"/>
      <c r="C370" s="950"/>
      <c r="D370" s="957"/>
      <c r="E370" s="955" t="s">
        <v>162</v>
      </c>
      <c r="F370" s="957"/>
      <c r="G370" s="958"/>
      <c r="H370" s="730" t="s">
        <v>35</v>
      </c>
      <c r="I370" s="830">
        <f ca="1">IFERROR(__xludf.DUMMYFUNCTION("IMPORTRANGE(""https://docs.google.com/spreadsheets/d/1QqKyyYR6Q21VydFLVH3TRQUabQu_ym0Zz7PgGX0-kHA/edit?usp=sharing"",""แผน!EJ15"")"),110)</f>
        <v>110</v>
      </c>
      <c r="J370" s="830">
        <f ca="1">IFERROR(__xludf.DUMMYFUNCTION("IMPORTRANGE(""https://docs.google.com/spreadsheets/d/1XWAQStnk-4SwqDmLtmXYiTMKHgktTP8We1SCoS47DrQ/edit?usp=sharing"",""จัดที่ดิน!G15"")"),36)</f>
        <v>36</v>
      </c>
      <c r="K370" s="831">
        <f t="shared" ca="1" si="163"/>
        <v>32.727272727272727</v>
      </c>
      <c r="L370" s="945"/>
      <c r="M370" s="945"/>
      <c r="N370" s="945"/>
      <c r="O370" s="945"/>
      <c r="P370" s="945"/>
    </row>
    <row r="371" spans="1:26" ht="18.75">
      <c r="A371" s="949"/>
      <c r="B371" s="957"/>
      <c r="C371" s="950"/>
      <c r="D371" s="957"/>
      <c r="E371" s="957"/>
      <c r="F371" s="957"/>
      <c r="G371" s="958"/>
      <c r="H371" s="730" t="s">
        <v>46</v>
      </c>
      <c r="I371" s="830">
        <v>0</v>
      </c>
      <c r="J371" s="830">
        <f ca="1">IFERROR(__xludf.DUMMYFUNCTION("IMPORTRANGE(""https://docs.google.com/spreadsheets/d/1XWAQStnk-4SwqDmLtmXYiTMKHgktTP8We1SCoS47DrQ/edit?usp=sharing"",""จัดที่ดิน!H15"")"),311.22)</f>
        <v>311.22000000000003</v>
      </c>
      <c r="K371" s="831">
        <f t="shared" si="163"/>
        <v>0</v>
      </c>
      <c r="L371" s="945"/>
      <c r="M371" s="945"/>
      <c r="N371" s="945"/>
      <c r="O371" s="945"/>
      <c r="P371" s="945"/>
    </row>
    <row r="372" spans="1:26" ht="18.75">
      <c r="A372" s="949"/>
      <c r="B372" s="957"/>
      <c r="C372" s="950"/>
      <c r="D372" s="957"/>
      <c r="E372" s="955" t="s">
        <v>163</v>
      </c>
      <c r="F372" s="957"/>
      <c r="G372" s="958"/>
      <c r="H372" s="730" t="s">
        <v>35</v>
      </c>
      <c r="I372" s="830">
        <f ca="1">IFERROR(__xludf.DUMMYFUNCTION("IMPORTRANGE(""https://docs.google.com/spreadsheets/d/1QqKyyYR6Q21VydFLVH3TRQUabQu_ym0Zz7PgGX0-kHA/edit?usp=sharing"",""แผน!EJ15"")"),110)</f>
        <v>110</v>
      </c>
      <c r="J372" s="830">
        <f ca="1">IFERROR(__xludf.DUMMYFUNCTION("IMPORTRANGE(""https://docs.google.com/spreadsheets/d/1XWAQStnk-4SwqDmLtmXYiTMKHgktTP8We1SCoS47DrQ/edit?usp=sharing"",""จัดที่ดิน!I15"")"),6)</f>
        <v>6</v>
      </c>
      <c r="K372" s="831">
        <f t="shared" ca="1" si="163"/>
        <v>5.4545454545454541</v>
      </c>
      <c r="L372" s="945"/>
      <c r="M372" s="945"/>
      <c r="N372" s="945"/>
      <c r="O372" s="945"/>
      <c r="P372" s="945"/>
    </row>
    <row r="373" spans="1:26" ht="18.75">
      <c r="A373" s="1159" t="s">
        <v>164</v>
      </c>
      <c r="B373" s="957"/>
      <c r="C373" s="950"/>
      <c r="D373" s="957"/>
      <c r="E373" s="956"/>
      <c r="F373" s="957"/>
      <c r="G373" s="958"/>
      <c r="H373" s="730" t="s">
        <v>46</v>
      </c>
      <c r="I373" s="830">
        <v>0</v>
      </c>
      <c r="J373" s="830">
        <f ca="1">IFERROR(__xludf.DUMMYFUNCTION("IMPORTRANGE(""https://docs.google.com/spreadsheets/d/1XWAQStnk-4SwqDmLtmXYiTMKHgktTP8We1SCoS47DrQ/edit?usp=sharing"",""จัดที่ดิน!J15"")"),65.72)</f>
        <v>65.72</v>
      </c>
      <c r="K373" s="831">
        <f t="shared" si="163"/>
        <v>0</v>
      </c>
      <c r="L373" s="945"/>
      <c r="M373" s="945"/>
      <c r="N373" s="945"/>
      <c r="O373" s="945"/>
      <c r="P373" s="945"/>
    </row>
    <row r="374" spans="1:26" ht="19.5">
      <c r="A374" s="1169"/>
      <c r="B374" s="1170"/>
      <c r="C374" s="1171"/>
      <c r="D374" s="1171" t="s">
        <v>168</v>
      </c>
      <c r="E374" s="1172"/>
      <c r="F374" s="1172"/>
      <c r="G374" s="1173"/>
      <c r="H374" s="457" t="s">
        <v>35</v>
      </c>
      <c r="I374" s="1180">
        <f ca="1">IFERROR(__xludf.DUMMYFUNCTION("IMPORTRANGE(""https://docs.google.com/spreadsheets/d/1QqKyyYR6Q21VydFLVH3TRQUabQu_ym0Zz7PgGX0-kHA/edit?usp=sharing"",""แผน!EU15"")"),1250)</f>
        <v>1250</v>
      </c>
      <c r="J374" s="1174">
        <f ca="1">J381</f>
        <v>336</v>
      </c>
      <c r="K374" s="1175">
        <f t="shared" ca="1" si="163"/>
        <v>26.88</v>
      </c>
      <c r="L374" s="1176"/>
      <c r="M374" s="1176"/>
      <c r="N374" s="1176"/>
      <c r="O374" s="1176"/>
      <c r="P374" s="1176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69"/>
      <c r="B375" s="1170"/>
      <c r="C375" s="1171"/>
      <c r="D375" s="1177" t="s">
        <v>169</v>
      </c>
      <c r="E375" s="1172"/>
      <c r="F375" s="1172"/>
      <c r="G375" s="1173"/>
      <c r="H375" s="1178"/>
      <c r="I375" s="1179"/>
      <c r="J375" s="1179"/>
      <c r="K375" s="1176"/>
      <c r="L375" s="1176"/>
      <c r="M375" s="1176"/>
      <c r="N375" s="1176"/>
      <c r="O375" s="1176"/>
      <c r="P375" s="1176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49"/>
      <c r="B376" s="950"/>
      <c r="C376" s="946" t="s">
        <v>16</v>
      </c>
      <c r="D376" s="951" t="s">
        <v>38</v>
      </c>
      <c r="E376" s="952"/>
      <c r="F376" s="952"/>
      <c r="G376" s="953"/>
      <c r="H376" s="954"/>
      <c r="I376" s="830"/>
      <c r="J376" s="830"/>
      <c r="K376" s="831"/>
      <c r="L376" s="945"/>
      <c r="M376" s="945"/>
      <c r="N376" s="945"/>
      <c r="O376" s="945"/>
      <c r="P376" s="945"/>
    </row>
    <row r="377" spans="1:26" ht="18.75">
      <c r="A377" s="949"/>
      <c r="B377" s="957"/>
      <c r="C377" s="950"/>
      <c r="D377" s="957"/>
      <c r="E377" s="955" t="s">
        <v>161</v>
      </c>
      <c r="F377" s="957"/>
      <c r="G377" s="958"/>
      <c r="H377" s="777" t="s">
        <v>35</v>
      </c>
      <c r="I377" s="830">
        <v>0</v>
      </c>
      <c r="J377" s="830">
        <f ca="1">IFERROR(__xludf.DUMMYFUNCTION("IMPORTRANGE(""https://docs.google.com/spreadsheets/d/1XWAQStnk-4SwqDmLtmXYiTMKHgktTP8We1SCoS47DrQ/edit?usp=sharing"",""จัดที่ดิน!AH15"")"),175)</f>
        <v>175</v>
      </c>
      <c r="K377" s="831">
        <f t="shared" ref="K377:K382" si="164">IF(I377&gt;0,J377*100/I377,0)</f>
        <v>0</v>
      </c>
      <c r="L377" s="945"/>
      <c r="M377" s="945"/>
      <c r="N377" s="945"/>
      <c r="O377" s="945"/>
      <c r="P377" s="945"/>
    </row>
    <row r="378" spans="1:26" ht="18.75">
      <c r="A378" s="949"/>
      <c r="B378" s="957"/>
      <c r="C378" s="950"/>
      <c r="D378" s="957"/>
      <c r="E378" s="957"/>
      <c r="F378" s="957"/>
      <c r="G378" s="958"/>
      <c r="H378" s="777" t="s">
        <v>46</v>
      </c>
      <c r="I378" s="830">
        <f ca="1">IFERROR(__xludf.DUMMYFUNCTION("IMPORTRANGE(""https://docs.google.com/spreadsheets/d/1QqKyyYR6Q21VydFLVH3TRQUabQu_ym0Zz7PgGX0-kHA/edit?usp=sharing"",""แผน!ET15"")"),2500)</f>
        <v>2500</v>
      </c>
      <c r="J378" s="830">
        <f ca="1">IFERROR(__xludf.DUMMYFUNCTION("IMPORTRANGE(""https://docs.google.com/spreadsheets/d/1XWAQStnk-4SwqDmLtmXYiTMKHgktTP8We1SCoS47DrQ/edit?usp=sharing"",""จัดที่ดิน!AI15"")"),903.94)</f>
        <v>903.94</v>
      </c>
      <c r="K378" s="831">
        <f t="shared" ca="1" si="164"/>
        <v>36.157600000000002</v>
      </c>
      <c r="L378" s="945"/>
      <c r="M378" s="945"/>
      <c r="N378" s="945"/>
      <c r="O378" s="945"/>
      <c r="P378" s="945"/>
    </row>
    <row r="379" spans="1:26" ht="18.75">
      <c r="A379" s="949"/>
      <c r="B379" s="957"/>
      <c r="C379" s="950"/>
      <c r="D379" s="957"/>
      <c r="E379" s="955" t="s">
        <v>162</v>
      </c>
      <c r="F379" s="957"/>
      <c r="G379" s="958"/>
      <c r="H379" s="730" t="s">
        <v>35</v>
      </c>
      <c r="I379" s="830">
        <f ca="1">IFERROR(__xludf.DUMMYFUNCTION("IMPORTRANGE(""https://docs.google.com/spreadsheets/d/1QqKyyYR6Q21VydFLVH3TRQUabQu_ym0Zz7PgGX0-kHA/edit?usp=sharing"",""แผน!EU15"")"),1250)</f>
        <v>1250</v>
      </c>
      <c r="J379" s="830">
        <f ca="1">IFERROR(__xludf.DUMMYFUNCTION("IMPORTRANGE(""https://docs.google.com/spreadsheets/d/1XWAQStnk-4SwqDmLtmXYiTMKHgktTP8We1SCoS47DrQ/edit?usp=sharing"",""จัดที่ดิน!AJ15"")"),395)</f>
        <v>395</v>
      </c>
      <c r="K379" s="831">
        <f t="shared" ca="1" si="164"/>
        <v>31.6</v>
      </c>
      <c r="L379" s="945"/>
      <c r="M379" s="945"/>
      <c r="N379" s="945"/>
      <c r="O379" s="945"/>
      <c r="P379" s="945"/>
    </row>
    <row r="380" spans="1:26" ht="18.75">
      <c r="A380" s="949"/>
      <c r="B380" s="957"/>
      <c r="C380" s="950"/>
      <c r="D380" s="957"/>
      <c r="E380" s="957"/>
      <c r="F380" s="957"/>
      <c r="G380" s="958"/>
      <c r="H380" s="730" t="s">
        <v>46</v>
      </c>
      <c r="I380" s="830">
        <v>0</v>
      </c>
      <c r="J380" s="830">
        <f ca="1">IFERROR(__xludf.DUMMYFUNCTION("IMPORTRANGE(""https://docs.google.com/spreadsheets/d/1XWAQStnk-4SwqDmLtmXYiTMKHgktTP8We1SCoS47DrQ/edit?usp=sharing"",""จัดที่ดิน!AK15"")"),2789.03)</f>
        <v>2789.03</v>
      </c>
      <c r="K380" s="831">
        <f t="shared" si="164"/>
        <v>0</v>
      </c>
      <c r="L380" s="945"/>
      <c r="M380" s="945"/>
      <c r="N380" s="945"/>
      <c r="O380" s="945"/>
      <c r="P380" s="945"/>
    </row>
    <row r="381" spans="1:26" ht="18.75">
      <c r="A381" s="949"/>
      <c r="B381" s="957"/>
      <c r="C381" s="950"/>
      <c r="D381" s="957"/>
      <c r="E381" s="955" t="s">
        <v>163</v>
      </c>
      <c r="F381" s="957"/>
      <c r="G381" s="958"/>
      <c r="H381" s="730" t="s">
        <v>35</v>
      </c>
      <c r="I381" s="830">
        <f ca="1">IFERROR(__xludf.DUMMYFUNCTION("IMPORTRANGE(""https://docs.google.com/spreadsheets/d/1QqKyyYR6Q21VydFLVH3TRQUabQu_ym0Zz7PgGX0-kHA/edit?usp=sharing"",""แผน!EU15"")"),1250)</f>
        <v>1250</v>
      </c>
      <c r="J381" s="830">
        <f ca="1">IFERROR(__xludf.DUMMYFUNCTION("IMPORTRANGE(""https://docs.google.com/spreadsheets/d/1XWAQStnk-4SwqDmLtmXYiTMKHgktTP8We1SCoS47DrQ/edit?usp=sharing"",""จัดที่ดิน!AL15"")"),336)</f>
        <v>336</v>
      </c>
      <c r="K381" s="831">
        <f t="shared" ca="1" si="164"/>
        <v>26.88</v>
      </c>
      <c r="L381" s="945"/>
      <c r="M381" s="945"/>
      <c r="N381" s="945"/>
      <c r="O381" s="945"/>
      <c r="P381" s="945"/>
    </row>
    <row r="382" spans="1:26" ht="18.75">
      <c r="A382" s="1159" t="s">
        <v>164</v>
      </c>
      <c r="B382" s="957"/>
      <c r="C382" s="950"/>
      <c r="D382" s="957"/>
      <c r="E382" s="956"/>
      <c r="F382" s="957"/>
      <c r="G382" s="958"/>
      <c r="H382" s="730" t="s">
        <v>46</v>
      </c>
      <c r="I382" s="830">
        <v>0</v>
      </c>
      <c r="J382" s="830">
        <f ca="1">IFERROR(__xludf.DUMMYFUNCTION("IMPORTRANGE(""https://docs.google.com/spreadsheets/d/1XWAQStnk-4SwqDmLtmXYiTMKHgktTP8We1SCoS47DrQ/edit?usp=sharing"",""จัดที่ดิน!AM15"")"),2269.54)</f>
        <v>2269.54</v>
      </c>
      <c r="K382" s="831">
        <f t="shared" si="164"/>
        <v>0</v>
      </c>
      <c r="L382" s="945"/>
      <c r="M382" s="945"/>
      <c r="N382" s="945"/>
      <c r="O382" s="945"/>
      <c r="P382" s="945"/>
    </row>
    <row r="383" spans="1:26" ht="19.5">
      <c r="A383" s="1011"/>
      <c r="B383" s="1018"/>
      <c r="C383" s="1012"/>
      <c r="D383" s="1145" t="s">
        <v>170</v>
      </c>
      <c r="E383" s="1012"/>
      <c r="F383" s="1012"/>
      <c r="G383" s="1014"/>
      <c r="H383" s="1146"/>
      <c r="I383" s="1015"/>
      <c r="J383" s="1015"/>
      <c r="K383" s="1016"/>
      <c r="L383" s="1016"/>
      <c r="M383" s="1016"/>
      <c r="N383" s="1016"/>
      <c r="O383" s="1016"/>
      <c r="P383" s="1016"/>
    </row>
    <row r="384" spans="1:26" ht="19.5">
      <c r="A384" s="949"/>
      <c r="B384" s="950"/>
      <c r="C384" s="827" t="s">
        <v>16</v>
      </c>
      <c r="D384" s="951" t="s">
        <v>38</v>
      </c>
      <c r="E384" s="952"/>
      <c r="F384" s="952"/>
      <c r="G384" s="953"/>
      <c r="H384" s="954"/>
      <c r="I384" s="830"/>
      <c r="J384" s="830"/>
      <c r="K384" s="831"/>
      <c r="L384" s="945"/>
      <c r="M384" s="945"/>
      <c r="N384" s="945"/>
      <c r="O384" s="945"/>
      <c r="P384" s="945"/>
    </row>
    <row r="385" spans="1:26" ht="18.75">
      <c r="A385" s="1080"/>
      <c r="B385" s="1083"/>
      <c r="C385" s="1081"/>
      <c r="D385" s="1083"/>
      <c r="E385" s="1181" t="s">
        <v>163</v>
      </c>
      <c r="F385" s="1083"/>
      <c r="G385" s="1084"/>
      <c r="H385" s="468" t="s">
        <v>35</v>
      </c>
      <c r="I385" s="1085">
        <f ca="1">IFERROR(__xludf.DUMMYFUNCTION("IMPORTRANGE(""https://docs.google.com/spreadsheets/d/1QqKyyYR6Q21VydFLVH3TRQUabQu_ym0Zz7PgGX0-kHA/edit?usp=sharing"",""แผน!EW15"")"),150)</f>
        <v>150</v>
      </c>
      <c r="J385" s="1085">
        <f ca="1">IFERROR(__xludf.DUMMYFUNCTION("IMPORTRANGE(""https://docs.google.com/spreadsheets/d/1XWAQStnk-4SwqDmLtmXYiTMKHgktTP8We1SCoS47DrQ/edit?usp=sharing"",""จัดที่ดิน!AP15"")"),60)</f>
        <v>60</v>
      </c>
      <c r="K385" s="1182">
        <f ca="1">IF(I385&gt;0,J385*100/I385,0)</f>
        <v>40</v>
      </c>
      <c r="L385" s="1086"/>
      <c r="M385" s="1086"/>
      <c r="N385" s="1086"/>
      <c r="O385" s="1086"/>
      <c r="P385" s="1086"/>
    </row>
    <row r="386" spans="1:26" ht="19.5" hidden="1">
      <c r="A386" s="1183" t="s">
        <v>171</v>
      </c>
      <c r="B386" s="1184"/>
      <c r="C386" s="1184"/>
      <c r="D386" s="1184"/>
      <c r="E386" s="1185"/>
      <c r="F386" s="1185"/>
      <c r="G386" s="1186"/>
      <c r="H386" s="1187"/>
      <c r="I386" s="1188"/>
      <c r="J386" s="1188"/>
      <c r="K386" s="1189"/>
      <c r="L386" s="1189"/>
      <c r="M386" s="1189"/>
      <c r="N386" s="1189"/>
      <c r="O386" s="1189"/>
      <c r="P386" s="1189"/>
    </row>
    <row r="387" spans="1:26" ht="19.5" hidden="1">
      <c r="A387" s="1190" t="s">
        <v>172</v>
      </c>
      <c r="B387" s="1191"/>
      <c r="C387" s="1191"/>
      <c r="D387" s="1192"/>
      <c r="E387" s="1191"/>
      <c r="F387" s="1191"/>
      <c r="G387" s="1191"/>
      <c r="H387" s="1193"/>
      <c r="I387" s="1194"/>
      <c r="J387" s="1194"/>
      <c r="K387" s="1195"/>
      <c r="L387" s="1195"/>
      <c r="M387" s="1195"/>
      <c r="N387" s="1195"/>
      <c r="O387" s="1195"/>
      <c r="P387" s="1195"/>
    </row>
    <row r="388" spans="1:26" ht="19.5" hidden="1">
      <c r="A388" s="1196"/>
      <c r="B388" s="1197" t="s">
        <v>173</v>
      </c>
      <c r="C388" s="1198"/>
      <c r="D388" s="1199"/>
      <c r="E388" s="1199"/>
      <c r="F388" s="1199"/>
      <c r="G388" s="1200"/>
      <c r="H388" s="489" t="s">
        <v>66</v>
      </c>
      <c r="I388" s="1201">
        <f t="shared" ref="I388:J388" si="165">I400</f>
        <v>0</v>
      </c>
      <c r="J388" s="1201">
        <f t="shared" si="165"/>
        <v>0</v>
      </c>
      <c r="K388" s="1202">
        <f>IF(I388&gt;0,J388*100/I388,0)</f>
        <v>0</v>
      </c>
      <c r="L388" s="1203"/>
      <c r="M388" s="1203"/>
      <c r="N388" s="1203"/>
      <c r="O388" s="1203"/>
      <c r="P388" s="1203"/>
    </row>
    <row r="389" spans="1:26" ht="19.5" hidden="1">
      <c r="A389" s="932"/>
      <c r="B389" s="933"/>
      <c r="C389" s="934" t="s">
        <v>16</v>
      </c>
      <c r="D389" s="935" t="s">
        <v>17</v>
      </c>
      <c r="E389" s="933"/>
      <c r="F389" s="933"/>
      <c r="G389" s="936"/>
      <c r="H389" s="152" t="s">
        <v>12</v>
      </c>
      <c r="I389" s="937"/>
      <c r="J389" s="937"/>
      <c r="K389" s="938"/>
      <c r="L389" s="939">
        <f t="shared" ref="L389:N389" ca="1" si="166">L390+L391</f>
        <v>0</v>
      </c>
      <c r="M389" s="939">
        <f t="shared" ca="1" si="166"/>
        <v>0</v>
      </c>
      <c r="N389" s="939">
        <f t="shared" ca="1" si="166"/>
        <v>0</v>
      </c>
      <c r="O389" s="939">
        <f t="shared" ref="O389:O397" ca="1" si="167">IF(L389&gt;0,N389*100/L389,0)</f>
        <v>0</v>
      </c>
      <c r="P389" s="939">
        <f t="shared" ref="P389:P397" ca="1" si="168">IF(M389&gt;0,N389*100/M389,0)</f>
        <v>0</v>
      </c>
      <c r="Q389" s="818"/>
      <c r="R389" s="818"/>
      <c r="S389" s="818"/>
      <c r="T389" s="818"/>
      <c r="U389" s="818"/>
      <c r="V389" s="818"/>
      <c r="W389" s="818"/>
      <c r="X389" s="818"/>
      <c r="Y389" s="818"/>
      <c r="Z389" s="818"/>
    </row>
    <row r="390" spans="1:26" ht="18.75" hidden="1">
      <c r="A390" s="940"/>
      <c r="B390" s="833"/>
      <c r="C390" s="833"/>
      <c r="D390" s="833"/>
      <c r="E390" s="834" t="s">
        <v>18</v>
      </c>
      <c r="F390" s="833"/>
      <c r="G390" s="941"/>
      <c r="H390" s="158" t="s">
        <v>12</v>
      </c>
      <c r="I390" s="836"/>
      <c r="J390" s="836"/>
      <c r="K390" s="837"/>
      <c r="L390" s="837">
        <f t="shared" ref="L390:N391" si="169">L393+L396</f>
        <v>0</v>
      </c>
      <c r="M390" s="837">
        <f t="shared" si="169"/>
        <v>0</v>
      </c>
      <c r="N390" s="837">
        <f t="shared" si="169"/>
        <v>0</v>
      </c>
      <c r="O390" s="837">
        <f t="shared" si="167"/>
        <v>0</v>
      </c>
      <c r="P390" s="837">
        <f t="shared" si="168"/>
        <v>0</v>
      </c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</row>
    <row r="391" spans="1:26" ht="18.75" hidden="1">
      <c r="A391" s="940"/>
      <c r="B391" s="833"/>
      <c r="C391" s="833"/>
      <c r="D391" s="833"/>
      <c r="E391" s="834" t="s">
        <v>19</v>
      </c>
      <c r="F391" s="833"/>
      <c r="G391" s="941"/>
      <c r="H391" s="158" t="s">
        <v>12</v>
      </c>
      <c r="I391" s="836"/>
      <c r="J391" s="836"/>
      <c r="K391" s="837"/>
      <c r="L391" s="837">
        <f t="shared" ca="1" si="169"/>
        <v>0</v>
      </c>
      <c r="M391" s="837">
        <f t="shared" ca="1" si="169"/>
        <v>0</v>
      </c>
      <c r="N391" s="837">
        <f t="shared" ca="1" si="169"/>
        <v>0</v>
      </c>
      <c r="O391" s="837">
        <f t="shared" ca="1" si="167"/>
        <v>0</v>
      </c>
      <c r="P391" s="837">
        <f t="shared" ca="1" si="168"/>
        <v>0</v>
      </c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</row>
    <row r="392" spans="1:26" ht="18.75" hidden="1">
      <c r="A392" s="942"/>
      <c r="B392" s="827"/>
      <c r="C392" s="943"/>
      <c r="D392" s="828" t="s">
        <v>20</v>
      </c>
      <c r="E392" s="827"/>
      <c r="F392" s="827"/>
      <c r="G392" s="829"/>
      <c r="H392" s="778" t="s">
        <v>12</v>
      </c>
      <c r="I392" s="944"/>
      <c r="J392" s="944"/>
      <c r="K392" s="945"/>
      <c r="L392" s="831">
        <f t="shared" ref="L392:N392" ca="1" si="170">L393+L394</f>
        <v>0</v>
      </c>
      <c r="M392" s="831">
        <f t="shared" ca="1" si="170"/>
        <v>0</v>
      </c>
      <c r="N392" s="831">
        <f t="shared" ca="1" si="170"/>
        <v>0</v>
      </c>
      <c r="O392" s="831">
        <f t="shared" ca="1" si="167"/>
        <v>0</v>
      </c>
      <c r="P392" s="831">
        <f t="shared" ca="1" si="168"/>
        <v>0</v>
      </c>
      <c r="Q392" s="818"/>
      <c r="R392" s="818"/>
      <c r="S392" s="818"/>
      <c r="T392" s="818"/>
      <c r="U392" s="818"/>
      <c r="V392" s="818"/>
      <c r="W392" s="818"/>
      <c r="X392" s="818"/>
      <c r="Y392" s="818"/>
      <c r="Z392" s="818"/>
    </row>
    <row r="393" spans="1:26" ht="19.5" hidden="1">
      <c r="A393" s="940"/>
      <c r="B393" s="833"/>
      <c r="C393" s="946"/>
      <c r="D393" s="833"/>
      <c r="E393" s="834" t="s">
        <v>36</v>
      </c>
      <c r="F393" s="833"/>
      <c r="G393" s="941"/>
      <c r="H393" s="165" t="s">
        <v>12</v>
      </c>
      <c r="I393" s="947"/>
      <c r="J393" s="947"/>
      <c r="K393" s="948"/>
      <c r="L393" s="837">
        <v>0</v>
      </c>
      <c r="M393" s="837">
        <v>0</v>
      </c>
      <c r="N393" s="837">
        <v>0</v>
      </c>
      <c r="O393" s="837">
        <f t="shared" si="167"/>
        <v>0</v>
      </c>
      <c r="P393" s="837">
        <f t="shared" si="168"/>
        <v>0</v>
      </c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</row>
    <row r="394" spans="1:26" ht="19.5" hidden="1">
      <c r="A394" s="940"/>
      <c r="B394" s="833"/>
      <c r="C394" s="946"/>
      <c r="D394" s="833"/>
      <c r="E394" s="834" t="s">
        <v>37</v>
      </c>
      <c r="F394" s="833"/>
      <c r="G394" s="941"/>
      <c r="H394" s="165" t="s">
        <v>12</v>
      </c>
      <c r="I394" s="947"/>
      <c r="J394" s="947"/>
      <c r="K394" s="948"/>
      <c r="L394" s="837">
        <f ca="1">IFERROR(__xludf.DUMMYFUNCTION("IMPORTRANGE(""https://docs.google.com/spreadsheets/d/1MeEWN-I1oV_STSDYn1IFDPWt_1FKiwhDph83XaGc0o0/edit?usp=sharing"",""งบพรบ!FG15"")"),0)</f>
        <v>0</v>
      </c>
      <c r="M394" s="837">
        <f ca="1">IFERROR(__xludf.DUMMYFUNCTION("IMPORTRANGE(""https://docs.google.com/spreadsheets/d/1MeEWN-I1oV_STSDYn1IFDPWt_1FKiwhDph83XaGc0o0/edit?usp=sharing"",""งบพรบ!FL15"")"),0)</f>
        <v>0</v>
      </c>
      <c r="N394" s="837">
        <f ca="1">IFERROR(__xludf.DUMMYFUNCTION("IMPORTRANGE(""https://docs.google.com/spreadsheets/d/1MeEWN-I1oV_STSDYn1IFDPWt_1FKiwhDph83XaGc0o0/edit?usp=sharing"",""งบพรบ!FN15"")"),0)</f>
        <v>0</v>
      </c>
      <c r="O394" s="837">
        <f t="shared" ca="1" si="167"/>
        <v>0</v>
      </c>
      <c r="P394" s="837">
        <f t="shared" ca="1" si="168"/>
        <v>0</v>
      </c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</row>
    <row r="395" spans="1:26" ht="18.75" hidden="1">
      <c r="A395" s="942"/>
      <c r="B395" s="827"/>
      <c r="C395" s="943"/>
      <c r="D395" s="828" t="s">
        <v>21</v>
      </c>
      <c r="E395" s="827"/>
      <c r="F395" s="827"/>
      <c r="G395" s="829"/>
      <c r="H395" s="168" t="s">
        <v>12</v>
      </c>
      <c r="I395" s="944"/>
      <c r="J395" s="944"/>
      <c r="K395" s="945"/>
      <c r="L395" s="831">
        <f t="shared" ref="L395:N395" ca="1" si="171">L396+L397</f>
        <v>0</v>
      </c>
      <c r="M395" s="831">
        <f t="shared" ca="1" si="171"/>
        <v>0</v>
      </c>
      <c r="N395" s="831">
        <f t="shared" ca="1" si="171"/>
        <v>0</v>
      </c>
      <c r="O395" s="831">
        <f t="shared" ca="1" si="167"/>
        <v>0</v>
      </c>
      <c r="P395" s="831">
        <f t="shared" ca="1" si="168"/>
        <v>0</v>
      </c>
      <c r="Q395" s="818"/>
      <c r="R395" s="818"/>
      <c r="S395" s="818"/>
      <c r="T395" s="818"/>
      <c r="U395" s="818"/>
      <c r="V395" s="818"/>
      <c r="W395" s="818"/>
      <c r="X395" s="818"/>
      <c r="Y395" s="818"/>
      <c r="Z395" s="818"/>
    </row>
    <row r="396" spans="1:26" ht="19.5" hidden="1">
      <c r="A396" s="940"/>
      <c r="B396" s="833"/>
      <c r="C396" s="946"/>
      <c r="D396" s="833"/>
      <c r="E396" s="834" t="s">
        <v>18</v>
      </c>
      <c r="F396" s="833"/>
      <c r="G396" s="941"/>
      <c r="H396" s="165" t="s">
        <v>12</v>
      </c>
      <c r="I396" s="947"/>
      <c r="J396" s="947"/>
      <c r="K396" s="948"/>
      <c r="L396" s="837">
        <v>0</v>
      </c>
      <c r="M396" s="837">
        <v>0</v>
      </c>
      <c r="N396" s="837">
        <v>0</v>
      </c>
      <c r="O396" s="837">
        <f t="shared" si="167"/>
        <v>0</v>
      </c>
      <c r="P396" s="837">
        <f t="shared" si="168"/>
        <v>0</v>
      </c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</row>
    <row r="397" spans="1:26" ht="19.5" hidden="1">
      <c r="A397" s="940"/>
      <c r="B397" s="833"/>
      <c r="C397" s="946"/>
      <c r="D397" s="833"/>
      <c r="E397" s="834" t="s">
        <v>19</v>
      </c>
      <c r="F397" s="833"/>
      <c r="G397" s="941"/>
      <c r="H397" s="169" t="s">
        <v>12</v>
      </c>
      <c r="I397" s="947"/>
      <c r="J397" s="947"/>
      <c r="K397" s="948"/>
      <c r="L397" s="837">
        <f ca="1">IFERROR(__xludf.DUMMYFUNCTION("IMPORTRANGE(""https://docs.google.com/spreadsheets/d/1MeEWN-I1oV_STSDYn1IFDPWt_1FKiwhDph83XaGc0o0/edit?usp=sharing"",""งบพรบ!FJ15"")"),0)</f>
        <v>0</v>
      </c>
      <c r="M397" s="837">
        <f ca="1">IFERROR(__xludf.DUMMYFUNCTION("IMPORTRANGE(""https://docs.google.com/spreadsheets/d/1MeEWN-I1oV_STSDYn1IFDPWt_1FKiwhDph83XaGc0o0/edit?usp=sharing"",""งบพรบ!FM15"")"),0)</f>
        <v>0</v>
      </c>
      <c r="N397" s="837">
        <f ca="1">IFERROR(__xludf.DUMMYFUNCTION("IMPORTRANGE(""https://docs.google.com/spreadsheets/d/1MeEWN-I1oV_STSDYn1IFDPWt_1FKiwhDph83XaGc0o0/edit?usp=sharing"",""งบพรบ!FO15"")"),0)</f>
        <v>0</v>
      </c>
      <c r="O397" s="837">
        <f t="shared" ca="1" si="167"/>
        <v>0</v>
      </c>
      <c r="P397" s="837">
        <f t="shared" ca="1" si="168"/>
        <v>0</v>
      </c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</row>
    <row r="398" spans="1:26" ht="19.5" hidden="1">
      <c r="A398" s="949"/>
      <c r="B398" s="950"/>
      <c r="C398" s="946" t="s">
        <v>16</v>
      </c>
      <c r="D398" s="951" t="s">
        <v>38</v>
      </c>
      <c r="E398" s="952"/>
      <c r="F398" s="952"/>
      <c r="G398" s="953"/>
      <c r="H398" s="954"/>
      <c r="I398" s="944"/>
      <c r="J398" s="830"/>
      <c r="K398" s="831"/>
      <c r="L398" s="831"/>
      <c r="M398" s="831"/>
      <c r="N398" s="831"/>
      <c r="O398" s="945"/>
      <c r="P398" s="945"/>
    </row>
    <row r="399" spans="1:26" ht="18.75" hidden="1">
      <c r="A399" s="1204"/>
      <c r="B399" s="933"/>
      <c r="C399" s="1205"/>
      <c r="D399" s="968" t="s">
        <v>174</v>
      </c>
      <c r="E399" s="1113"/>
      <c r="F399" s="933"/>
      <c r="G399" s="936"/>
      <c r="H399" s="496" t="s">
        <v>9</v>
      </c>
      <c r="I399" s="830">
        <v>0</v>
      </c>
      <c r="J399" s="959">
        <v>0</v>
      </c>
      <c r="K399" s="831">
        <f t="shared" ref="K399:K401" si="172">IF(I399&gt;0,J399*100/I399,0)</f>
        <v>0</v>
      </c>
      <c r="L399" s="1206"/>
      <c r="M399" s="1206"/>
      <c r="N399" s="1206"/>
      <c r="O399" s="1206"/>
      <c r="P399" s="1206"/>
      <c r="Q399" s="818"/>
      <c r="R399" s="818"/>
      <c r="S399" s="818"/>
      <c r="T399" s="818"/>
      <c r="U399" s="818"/>
      <c r="V399" s="818"/>
      <c r="W399" s="818"/>
      <c r="X399" s="818"/>
      <c r="Y399" s="818"/>
      <c r="Z399" s="818"/>
    </row>
    <row r="400" spans="1:26" ht="18.75" hidden="1">
      <c r="A400" s="1032"/>
      <c r="B400" s="827"/>
      <c r="C400" s="1030"/>
      <c r="D400" s="956" t="s">
        <v>175</v>
      </c>
      <c r="E400" s="950"/>
      <c r="F400" s="827"/>
      <c r="G400" s="829"/>
      <c r="H400" s="277" t="s">
        <v>66</v>
      </c>
      <c r="I400" s="830">
        <v>0</v>
      </c>
      <c r="J400" s="959">
        <v>0</v>
      </c>
      <c r="K400" s="831">
        <f t="shared" si="172"/>
        <v>0</v>
      </c>
      <c r="L400" s="831"/>
      <c r="M400" s="831"/>
      <c r="N400" s="831"/>
      <c r="O400" s="831"/>
      <c r="P400" s="831"/>
    </row>
    <row r="401" spans="1:26" ht="19.5" hidden="1">
      <c r="A401" s="1196"/>
      <c r="B401" s="1197" t="s">
        <v>176</v>
      </c>
      <c r="C401" s="1198"/>
      <c r="D401" s="1199"/>
      <c r="E401" s="1199"/>
      <c r="F401" s="1199"/>
      <c r="G401" s="1200"/>
      <c r="H401" s="489" t="s">
        <v>66</v>
      </c>
      <c r="I401" s="1201">
        <f t="shared" ref="I401:J401" si="173">I412</f>
        <v>0</v>
      </c>
      <c r="J401" s="1201">
        <f t="shared" si="173"/>
        <v>0</v>
      </c>
      <c r="K401" s="1202">
        <f t="shared" si="172"/>
        <v>0</v>
      </c>
      <c r="L401" s="1203"/>
      <c r="M401" s="1203"/>
      <c r="N401" s="1203"/>
      <c r="O401" s="1203"/>
      <c r="P401" s="1203"/>
    </row>
    <row r="402" spans="1:26" ht="19.5" hidden="1">
      <c r="A402" s="932"/>
      <c r="B402" s="933"/>
      <c r="C402" s="934" t="s">
        <v>16</v>
      </c>
      <c r="D402" s="935" t="s">
        <v>17</v>
      </c>
      <c r="E402" s="933"/>
      <c r="F402" s="933"/>
      <c r="G402" s="936"/>
      <c r="H402" s="152" t="s">
        <v>12</v>
      </c>
      <c r="I402" s="937"/>
      <c r="J402" s="937"/>
      <c r="K402" s="938"/>
      <c r="L402" s="939">
        <f t="shared" ref="L402:N402" ca="1" si="174">L403+L404</f>
        <v>0</v>
      </c>
      <c r="M402" s="939">
        <f t="shared" ca="1" si="174"/>
        <v>0</v>
      </c>
      <c r="N402" s="939">
        <f t="shared" ca="1" si="174"/>
        <v>0</v>
      </c>
      <c r="O402" s="939">
        <f t="shared" ref="O402:O410" ca="1" si="175">IF(L402&gt;0,N402*100/L402,0)</f>
        <v>0</v>
      </c>
      <c r="P402" s="939">
        <f t="shared" ref="P402:P410" ca="1" si="176">IF(M402&gt;0,N402*100/M402,0)</f>
        <v>0</v>
      </c>
      <c r="Q402" s="818"/>
      <c r="R402" s="818"/>
      <c r="S402" s="818"/>
      <c r="T402" s="818"/>
      <c r="U402" s="818"/>
      <c r="V402" s="818"/>
      <c r="W402" s="818"/>
      <c r="X402" s="818"/>
      <c r="Y402" s="818"/>
      <c r="Z402" s="818"/>
    </row>
    <row r="403" spans="1:26" ht="18.75" hidden="1">
      <c r="A403" s="940"/>
      <c r="B403" s="833"/>
      <c r="C403" s="833"/>
      <c r="D403" s="833"/>
      <c r="E403" s="834" t="s">
        <v>18</v>
      </c>
      <c r="F403" s="833"/>
      <c r="G403" s="941"/>
      <c r="H403" s="158" t="s">
        <v>12</v>
      </c>
      <c r="I403" s="836"/>
      <c r="J403" s="836"/>
      <c r="K403" s="837"/>
      <c r="L403" s="837">
        <f t="shared" ref="L403:N404" si="177">L406+L409</f>
        <v>0</v>
      </c>
      <c r="M403" s="837">
        <f t="shared" si="177"/>
        <v>0</v>
      </c>
      <c r="N403" s="837">
        <f t="shared" si="177"/>
        <v>0</v>
      </c>
      <c r="O403" s="837">
        <f t="shared" si="175"/>
        <v>0</v>
      </c>
      <c r="P403" s="837">
        <f t="shared" si="176"/>
        <v>0</v>
      </c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</row>
    <row r="404" spans="1:26" ht="18.75" hidden="1">
      <c r="A404" s="940"/>
      <c r="B404" s="833"/>
      <c r="C404" s="833"/>
      <c r="D404" s="833"/>
      <c r="E404" s="834" t="s">
        <v>19</v>
      </c>
      <c r="F404" s="833"/>
      <c r="G404" s="941"/>
      <c r="H404" s="158" t="s">
        <v>12</v>
      </c>
      <c r="I404" s="836"/>
      <c r="J404" s="836"/>
      <c r="K404" s="837"/>
      <c r="L404" s="837">
        <f t="shared" ca="1" si="177"/>
        <v>0</v>
      </c>
      <c r="M404" s="837">
        <f t="shared" ca="1" si="177"/>
        <v>0</v>
      </c>
      <c r="N404" s="837">
        <f t="shared" ca="1" si="177"/>
        <v>0</v>
      </c>
      <c r="O404" s="837">
        <f t="shared" ca="1" si="175"/>
        <v>0</v>
      </c>
      <c r="P404" s="837">
        <f t="shared" ca="1" si="176"/>
        <v>0</v>
      </c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</row>
    <row r="405" spans="1:26" ht="18.75" hidden="1">
      <c r="A405" s="942"/>
      <c r="B405" s="827"/>
      <c r="C405" s="943"/>
      <c r="D405" s="828" t="s">
        <v>20</v>
      </c>
      <c r="E405" s="827"/>
      <c r="F405" s="827"/>
      <c r="G405" s="829"/>
      <c r="H405" s="778" t="s">
        <v>12</v>
      </c>
      <c r="I405" s="944"/>
      <c r="J405" s="944"/>
      <c r="K405" s="945"/>
      <c r="L405" s="831">
        <f t="shared" ref="L405:N405" ca="1" si="178">L406+L407</f>
        <v>0</v>
      </c>
      <c r="M405" s="831">
        <f t="shared" ca="1" si="178"/>
        <v>0</v>
      </c>
      <c r="N405" s="831">
        <f t="shared" ca="1" si="178"/>
        <v>0</v>
      </c>
      <c r="O405" s="831">
        <f t="shared" ca="1" si="175"/>
        <v>0</v>
      </c>
      <c r="P405" s="831">
        <f t="shared" ca="1" si="176"/>
        <v>0</v>
      </c>
      <c r="Q405" s="818"/>
      <c r="R405" s="818"/>
      <c r="S405" s="818"/>
      <c r="T405" s="818"/>
      <c r="U405" s="818"/>
      <c r="V405" s="818"/>
      <c r="W405" s="818"/>
      <c r="X405" s="818"/>
      <c r="Y405" s="818"/>
      <c r="Z405" s="818"/>
    </row>
    <row r="406" spans="1:26" ht="19.5" hidden="1">
      <c r="A406" s="940"/>
      <c r="B406" s="833"/>
      <c r="C406" s="946"/>
      <c r="D406" s="833"/>
      <c r="E406" s="834" t="s">
        <v>36</v>
      </c>
      <c r="F406" s="833"/>
      <c r="G406" s="941"/>
      <c r="H406" s="165" t="s">
        <v>12</v>
      </c>
      <c r="I406" s="947"/>
      <c r="J406" s="947"/>
      <c r="K406" s="948"/>
      <c r="L406" s="837">
        <v>0</v>
      </c>
      <c r="M406" s="837">
        <v>0</v>
      </c>
      <c r="N406" s="837">
        <v>0</v>
      </c>
      <c r="O406" s="837">
        <f t="shared" si="175"/>
        <v>0</v>
      </c>
      <c r="P406" s="837">
        <f t="shared" si="176"/>
        <v>0</v>
      </c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</row>
    <row r="407" spans="1:26" ht="19.5" hidden="1">
      <c r="A407" s="940"/>
      <c r="B407" s="833"/>
      <c r="C407" s="946"/>
      <c r="D407" s="833"/>
      <c r="E407" s="834" t="s">
        <v>37</v>
      </c>
      <c r="F407" s="833"/>
      <c r="G407" s="941"/>
      <c r="H407" s="165" t="s">
        <v>12</v>
      </c>
      <c r="I407" s="947"/>
      <c r="J407" s="947"/>
      <c r="K407" s="948"/>
      <c r="L407" s="837">
        <f ca="1">IFERROR(__xludf.DUMMYFUNCTION("IMPORTRANGE(""https://docs.google.com/spreadsheets/d/1MeEWN-I1oV_STSDYn1IFDPWt_1FKiwhDph83XaGc0o0/edit?usp=sharing"",""งบพรบ!FQ15"")"),0)</f>
        <v>0</v>
      </c>
      <c r="M407" s="837">
        <f ca="1">IFERROR(__xludf.DUMMYFUNCTION("IMPORTRANGE(""https://docs.google.com/spreadsheets/d/1MeEWN-I1oV_STSDYn1IFDPWt_1FKiwhDph83XaGc0o0/edit?usp=sharing"",""งบพรบ!FV15"")"),0)</f>
        <v>0</v>
      </c>
      <c r="N407" s="837">
        <f ca="1">IFERROR(__xludf.DUMMYFUNCTION("IMPORTRANGE(""https://docs.google.com/spreadsheets/d/1MeEWN-I1oV_STSDYn1IFDPWt_1FKiwhDph83XaGc0o0/edit?usp=sharing"",""งบพรบ!FX15"")"),0)</f>
        <v>0</v>
      </c>
      <c r="O407" s="837">
        <f t="shared" ca="1" si="175"/>
        <v>0</v>
      </c>
      <c r="P407" s="837">
        <f t="shared" ca="1" si="176"/>
        <v>0</v>
      </c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</row>
    <row r="408" spans="1:26" ht="18.75" hidden="1">
      <c r="A408" s="942"/>
      <c r="B408" s="827"/>
      <c r="C408" s="943"/>
      <c r="D408" s="828" t="s">
        <v>21</v>
      </c>
      <c r="E408" s="827"/>
      <c r="F408" s="827"/>
      <c r="G408" s="829"/>
      <c r="H408" s="168" t="s">
        <v>12</v>
      </c>
      <c r="I408" s="944"/>
      <c r="J408" s="944"/>
      <c r="K408" s="945"/>
      <c r="L408" s="831">
        <f t="shared" ref="L408:N408" ca="1" si="179">L409+L410</f>
        <v>0</v>
      </c>
      <c r="M408" s="831">
        <f t="shared" ca="1" si="179"/>
        <v>0</v>
      </c>
      <c r="N408" s="831">
        <f t="shared" ca="1" si="179"/>
        <v>0</v>
      </c>
      <c r="O408" s="831">
        <f t="shared" ca="1" si="175"/>
        <v>0</v>
      </c>
      <c r="P408" s="831">
        <f t="shared" ca="1" si="176"/>
        <v>0</v>
      </c>
      <c r="Q408" s="818"/>
      <c r="R408" s="818"/>
      <c r="S408" s="818"/>
      <c r="T408" s="818"/>
      <c r="U408" s="818"/>
      <c r="V408" s="818"/>
      <c r="W408" s="818"/>
      <c r="X408" s="818"/>
      <c r="Y408" s="818"/>
      <c r="Z408" s="818"/>
    </row>
    <row r="409" spans="1:26" ht="19.5" hidden="1">
      <c r="A409" s="940"/>
      <c r="B409" s="833"/>
      <c r="C409" s="946"/>
      <c r="D409" s="833"/>
      <c r="E409" s="834" t="s">
        <v>18</v>
      </c>
      <c r="F409" s="833"/>
      <c r="G409" s="941"/>
      <c r="H409" s="165" t="s">
        <v>12</v>
      </c>
      <c r="I409" s="947"/>
      <c r="J409" s="947"/>
      <c r="K409" s="948"/>
      <c r="L409" s="837">
        <v>0</v>
      </c>
      <c r="M409" s="837">
        <v>0</v>
      </c>
      <c r="N409" s="837">
        <v>0</v>
      </c>
      <c r="O409" s="837">
        <f t="shared" si="175"/>
        <v>0</v>
      </c>
      <c r="P409" s="837">
        <f t="shared" si="176"/>
        <v>0</v>
      </c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</row>
    <row r="410" spans="1:26" ht="19.5" hidden="1">
      <c r="A410" s="940"/>
      <c r="B410" s="833"/>
      <c r="C410" s="946"/>
      <c r="D410" s="833"/>
      <c r="E410" s="834" t="s">
        <v>19</v>
      </c>
      <c r="F410" s="833"/>
      <c r="G410" s="941"/>
      <c r="H410" s="169" t="s">
        <v>12</v>
      </c>
      <c r="I410" s="947"/>
      <c r="J410" s="947"/>
      <c r="K410" s="948"/>
      <c r="L410" s="837">
        <f ca="1">IFERROR(__xludf.DUMMYFUNCTION("IMPORTRANGE(""https://docs.google.com/spreadsheets/d/1MeEWN-I1oV_STSDYn1IFDPWt_1FKiwhDph83XaGc0o0/edit?usp=sharing"",""งบพรบ!FT15"")"),0)</f>
        <v>0</v>
      </c>
      <c r="M410" s="837">
        <f ca="1">IFERROR(__xludf.DUMMYFUNCTION("IMPORTRANGE(""https://docs.google.com/spreadsheets/d/1MeEWN-I1oV_STSDYn1IFDPWt_1FKiwhDph83XaGc0o0/edit?usp=sharing"",""งบพรบ!FW15"")"),0)</f>
        <v>0</v>
      </c>
      <c r="N410" s="837">
        <f ca="1">IFERROR(__xludf.DUMMYFUNCTION("IMPORTRANGE(""https://docs.google.com/spreadsheets/d/1MeEWN-I1oV_STSDYn1IFDPWt_1FKiwhDph83XaGc0o0/edit?usp=sharing"",""งบพรบ!FY15"")"),0)</f>
        <v>0</v>
      </c>
      <c r="O410" s="837">
        <f t="shared" ca="1" si="175"/>
        <v>0</v>
      </c>
      <c r="P410" s="837">
        <f t="shared" ca="1" si="176"/>
        <v>0</v>
      </c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</row>
    <row r="411" spans="1:26" ht="19.5" hidden="1">
      <c r="A411" s="949"/>
      <c r="B411" s="950"/>
      <c r="C411" s="946" t="s">
        <v>16</v>
      </c>
      <c r="D411" s="1207" t="s">
        <v>38</v>
      </c>
      <c r="E411" s="1208"/>
      <c r="F411" s="1208"/>
      <c r="G411" s="1209"/>
      <c r="H411" s="954"/>
      <c r="I411" s="830"/>
      <c r="J411" s="830"/>
      <c r="K411" s="831"/>
      <c r="L411" s="945"/>
      <c r="M411" s="945"/>
      <c r="N411" s="945"/>
      <c r="O411" s="945"/>
      <c r="P411" s="945"/>
    </row>
    <row r="412" spans="1:26" ht="18.75" hidden="1">
      <c r="A412" s="949"/>
      <c r="B412" s="957"/>
      <c r="C412" s="957"/>
      <c r="D412" s="956" t="s">
        <v>177</v>
      </c>
      <c r="E412" s="957"/>
      <c r="F412" s="957"/>
      <c r="G412" s="958"/>
      <c r="H412" s="501" t="s">
        <v>66</v>
      </c>
      <c r="I412" s="830">
        <v>0</v>
      </c>
      <c r="J412" s="959">
        <v>0</v>
      </c>
      <c r="K412" s="831">
        <f t="shared" ref="K412:K413" si="180">IF(I412&gt;0,J412*100/I412,0)</f>
        <v>0</v>
      </c>
      <c r="L412" s="945"/>
      <c r="M412" s="945"/>
      <c r="N412" s="945"/>
      <c r="O412" s="945"/>
      <c r="P412" s="945"/>
    </row>
    <row r="413" spans="1:26" ht="19.5" hidden="1" thickBot="1">
      <c r="A413" s="1210"/>
      <c r="B413" s="1211"/>
      <c r="C413" s="1211"/>
      <c r="D413" s="1212" t="s">
        <v>178</v>
      </c>
      <c r="E413" s="1211"/>
      <c r="F413" s="1211"/>
      <c r="G413" s="1213"/>
      <c r="H413" s="506" t="s">
        <v>179</v>
      </c>
      <c r="I413" s="1214">
        <v>0</v>
      </c>
      <c r="J413" s="1215">
        <v>0</v>
      </c>
      <c r="K413" s="1216">
        <f t="shared" si="180"/>
        <v>0</v>
      </c>
      <c r="L413" s="1217"/>
      <c r="M413" s="1217"/>
      <c r="N413" s="1217"/>
      <c r="O413" s="1217"/>
      <c r="P413" s="1217"/>
    </row>
    <row r="414" spans="1:26" ht="19.5">
      <c r="A414" s="1218" t="s">
        <v>180</v>
      </c>
      <c r="B414" s="1219"/>
      <c r="C414" s="1219"/>
      <c r="D414" s="1219"/>
      <c r="E414" s="1219"/>
      <c r="F414" s="1219"/>
      <c r="G414" s="1220"/>
      <c r="H414" s="1221"/>
      <c r="I414" s="1222"/>
      <c r="J414" s="1222"/>
      <c r="K414" s="1223"/>
      <c r="L414" s="1224">
        <f t="shared" ref="L414:N414" ca="1" si="181">L419+L444+L467+L502+L523+L544+L629+L655+L685+L737+L754+L770+L786+L805</f>
        <v>2284885</v>
      </c>
      <c r="M414" s="1224">
        <f t="shared" si="181"/>
        <v>0</v>
      </c>
      <c r="N414" s="1224">
        <f t="shared" si="181"/>
        <v>357431</v>
      </c>
      <c r="O414" s="1224">
        <f ca="1">IF(L414&gt;0,N414*100/L414,0)</f>
        <v>15.643281828188289</v>
      </c>
      <c r="P414" s="1224">
        <f>IF(M414&gt;0,N414*100/M414,0)</f>
        <v>0</v>
      </c>
    </row>
    <row r="415" spans="1:26" ht="19.5">
      <c r="A415" s="1225" t="s">
        <v>181</v>
      </c>
      <c r="B415" s="1226"/>
      <c r="C415" s="1226"/>
      <c r="D415" s="1226"/>
      <c r="E415" s="1226"/>
      <c r="F415" s="1226"/>
      <c r="G415" s="1226"/>
      <c r="H415" s="1227"/>
      <c r="I415" s="1228"/>
      <c r="J415" s="1228"/>
      <c r="K415" s="1229"/>
      <c r="L415" s="1230"/>
      <c r="M415" s="1230"/>
      <c r="N415" s="1230"/>
      <c r="O415" s="1230"/>
      <c r="P415" s="1230"/>
    </row>
    <row r="416" spans="1:26" ht="19.5">
      <c r="A416" s="1225" t="s">
        <v>182</v>
      </c>
      <c r="B416" s="1226"/>
      <c r="C416" s="1226"/>
      <c r="D416" s="1226"/>
      <c r="E416" s="1226"/>
      <c r="F416" s="1226"/>
      <c r="G416" s="1231"/>
      <c r="H416" s="1232"/>
      <c r="I416" s="1233"/>
      <c r="J416" s="1233"/>
      <c r="K416" s="1230"/>
      <c r="L416" s="1230"/>
      <c r="M416" s="1230"/>
      <c r="N416" s="1230"/>
      <c r="O416" s="1230"/>
      <c r="P416" s="1230"/>
    </row>
    <row r="417" spans="1:26" ht="39">
      <c r="A417" s="527">
        <v>1</v>
      </c>
      <c r="B417" s="1234" t="s">
        <v>183</v>
      </c>
      <c r="C417" s="1234"/>
      <c r="D417" s="1235"/>
      <c r="E417" s="1235"/>
      <c r="F417" s="1235"/>
      <c r="G417" s="1236"/>
      <c r="H417" s="532" t="s">
        <v>35</v>
      </c>
      <c r="I417" s="1237">
        <f t="shared" ref="I417:J418" ca="1" si="182">I433</f>
        <v>60</v>
      </c>
      <c r="J417" s="1237">
        <f t="shared" ca="1" si="182"/>
        <v>60</v>
      </c>
      <c r="K417" s="1238">
        <f t="shared" ref="K417:K418" ca="1" si="183">IF(I417&gt;0,J417*100/I417,0)</f>
        <v>100</v>
      </c>
      <c r="L417" s="1239"/>
      <c r="M417" s="1239"/>
      <c r="N417" s="1239"/>
      <c r="O417" s="1239"/>
      <c r="P417" s="1239"/>
    </row>
    <row r="418" spans="1:26" ht="19.5">
      <c r="A418" s="1240"/>
      <c r="B418" s="527"/>
      <c r="C418" s="1234"/>
      <c r="D418" s="1235"/>
      <c r="E418" s="1235"/>
      <c r="F418" s="1235"/>
      <c r="G418" s="1236"/>
      <c r="H418" s="532" t="s">
        <v>49</v>
      </c>
      <c r="I418" s="1237">
        <f t="shared" ca="1" si="182"/>
        <v>2</v>
      </c>
      <c r="J418" s="1237">
        <f t="shared" si="182"/>
        <v>2</v>
      </c>
      <c r="K418" s="1238">
        <f t="shared" ca="1" si="183"/>
        <v>100</v>
      </c>
      <c r="L418" s="1239"/>
      <c r="M418" s="1239"/>
      <c r="N418" s="1239"/>
      <c r="O418" s="1239"/>
      <c r="P418" s="1239"/>
    </row>
    <row r="419" spans="1:26" ht="19.5">
      <c r="A419" s="932"/>
      <c r="B419" s="933"/>
      <c r="C419" s="933" t="s">
        <v>16</v>
      </c>
      <c r="D419" s="1510" t="s">
        <v>17</v>
      </c>
      <c r="E419" s="1487"/>
      <c r="F419" s="1487"/>
      <c r="G419" s="936"/>
      <c r="H419" s="275" t="s">
        <v>12</v>
      </c>
      <c r="I419" s="937"/>
      <c r="J419" s="937"/>
      <c r="K419" s="938"/>
      <c r="L419" s="939">
        <f t="shared" ref="L419:N419" ca="1" si="184">L420+L421</f>
        <v>188600</v>
      </c>
      <c r="M419" s="939">
        <f t="shared" si="184"/>
        <v>0</v>
      </c>
      <c r="N419" s="939">
        <f t="shared" si="184"/>
        <v>130380</v>
      </c>
      <c r="O419" s="939">
        <f t="shared" ref="O419:O424" ca="1" si="185">IF(L419&gt;0,N419*100/L419,0)</f>
        <v>69.130434782608702</v>
      </c>
      <c r="P419" s="939">
        <f t="shared" ref="P419:P424" si="186">IF(M419&gt;0,N419*100/M419,0)</f>
        <v>0</v>
      </c>
      <c r="Q419" s="818"/>
      <c r="R419" s="818"/>
      <c r="S419" s="818"/>
      <c r="T419" s="818"/>
      <c r="U419" s="818"/>
      <c r="V419" s="818"/>
      <c r="W419" s="818"/>
      <c r="X419" s="818"/>
      <c r="Y419" s="818"/>
      <c r="Z419" s="818"/>
    </row>
    <row r="420" spans="1:26" ht="18.75" hidden="1">
      <c r="A420" s="940"/>
      <c r="B420" s="833"/>
      <c r="C420" s="833"/>
      <c r="D420" s="1061"/>
      <c r="E420" s="834" t="s">
        <v>184</v>
      </c>
      <c r="F420" s="833"/>
      <c r="G420" s="941"/>
      <c r="H420" s="165" t="s">
        <v>12</v>
      </c>
      <c r="I420" s="836"/>
      <c r="J420" s="836"/>
      <c r="K420" s="837"/>
      <c r="L420" s="837">
        <f t="shared" ref="L420:N421" si="187">L423+L430</f>
        <v>0</v>
      </c>
      <c r="M420" s="837">
        <f t="shared" si="187"/>
        <v>0</v>
      </c>
      <c r="N420" s="837">
        <f t="shared" si="187"/>
        <v>0</v>
      </c>
      <c r="O420" s="837">
        <f t="shared" si="185"/>
        <v>0</v>
      </c>
      <c r="P420" s="837">
        <f t="shared" si="186"/>
        <v>0</v>
      </c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</row>
    <row r="421" spans="1:26" ht="18.75" hidden="1">
      <c r="A421" s="940"/>
      <c r="B421" s="833"/>
      <c r="C421" s="833"/>
      <c r="D421" s="1061"/>
      <c r="E421" s="834" t="s">
        <v>185</v>
      </c>
      <c r="F421" s="833"/>
      <c r="G421" s="941"/>
      <c r="H421" s="165" t="s">
        <v>12</v>
      </c>
      <c r="I421" s="836"/>
      <c r="J421" s="836"/>
      <c r="K421" s="837"/>
      <c r="L421" s="837">
        <f t="shared" ca="1" si="187"/>
        <v>188600</v>
      </c>
      <c r="M421" s="837">
        <f t="shared" si="187"/>
        <v>0</v>
      </c>
      <c r="N421" s="837">
        <f t="shared" si="187"/>
        <v>130380</v>
      </c>
      <c r="O421" s="837">
        <f t="shared" ca="1" si="185"/>
        <v>69.130434782608702</v>
      </c>
      <c r="P421" s="837">
        <f t="shared" si="186"/>
        <v>0</v>
      </c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</row>
    <row r="422" spans="1:26" ht="18.75">
      <c r="A422" s="942"/>
      <c r="B422" s="1030"/>
      <c r="C422" s="827"/>
      <c r="D422" s="828" t="s">
        <v>20</v>
      </c>
      <c r="E422" s="827"/>
      <c r="F422" s="827"/>
      <c r="G422" s="829"/>
      <c r="H422" s="778" t="s">
        <v>12</v>
      </c>
      <c r="I422" s="944"/>
      <c r="J422" s="944"/>
      <c r="K422" s="945"/>
      <c r="L422" s="831">
        <f t="shared" ref="L422:N422" ca="1" si="188">L423+L424</f>
        <v>188600</v>
      </c>
      <c r="M422" s="831">
        <f t="shared" si="188"/>
        <v>0</v>
      </c>
      <c r="N422" s="831">
        <f t="shared" si="188"/>
        <v>130380</v>
      </c>
      <c r="O422" s="831">
        <f t="shared" ca="1" si="185"/>
        <v>69.130434782608702</v>
      </c>
      <c r="P422" s="831">
        <f t="shared" si="186"/>
        <v>0</v>
      </c>
      <c r="Q422" s="818"/>
      <c r="R422" s="818"/>
      <c r="S422" s="818"/>
      <c r="T422" s="818"/>
      <c r="U422" s="818"/>
      <c r="V422" s="818"/>
      <c r="W422" s="818"/>
      <c r="X422" s="818"/>
      <c r="Y422" s="818"/>
      <c r="Z422" s="818"/>
    </row>
    <row r="423" spans="1:26" ht="18.75" hidden="1">
      <c r="A423" s="940"/>
      <c r="B423" s="833"/>
      <c r="C423" s="833"/>
      <c r="D423" s="1061"/>
      <c r="E423" s="834" t="s">
        <v>184</v>
      </c>
      <c r="F423" s="833"/>
      <c r="G423" s="941"/>
      <c r="H423" s="165" t="s">
        <v>12</v>
      </c>
      <c r="I423" s="836"/>
      <c r="J423" s="836"/>
      <c r="K423" s="837"/>
      <c r="L423" s="837">
        <v>0</v>
      </c>
      <c r="M423" s="837">
        <v>0</v>
      </c>
      <c r="N423" s="837">
        <v>0</v>
      </c>
      <c r="O423" s="837">
        <f t="shared" si="185"/>
        <v>0</v>
      </c>
      <c r="P423" s="837">
        <f t="shared" si="186"/>
        <v>0</v>
      </c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</row>
    <row r="424" spans="1:26" ht="18.75" hidden="1">
      <c r="A424" s="940"/>
      <c r="B424" s="833"/>
      <c r="C424" s="833"/>
      <c r="D424" s="1061"/>
      <c r="E424" s="834" t="s">
        <v>185</v>
      </c>
      <c r="F424" s="833"/>
      <c r="G424" s="941"/>
      <c r="H424" s="165" t="s">
        <v>12</v>
      </c>
      <c r="I424" s="836"/>
      <c r="J424" s="836"/>
      <c r="K424" s="837"/>
      <c r="L424" s="837">
        <f ca="1">IFERROR(__xludf.DUMMYFUNCTION("IMPORTRANGE(""https://docs.google.com/spreadsheets/d/1QqKyyYR6Q21VydFLVH3TRQUabQu_ym0Zz7PgGX0-kHA/edit?usp=sharing"",""แผน!EY15"")"),188600)</f>
        <v>188600</v>
      </c>
      <c r="M424" s="837">
        <v>0</v>
      </c>
      <c r="N424" s="837">
        <f>N425+N426+N427+N428</f>
        <v>130380</v>
      </c>
      <c r="O424" s="837">
        <f t="shared" ca="1" si="185"/>
        <v>69.130434782608702</v>
      </c>
      <c r="P424" s="837">
        <f t="shared" si="186"/>
        <v>0</v>
      </c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</row>
    <row r="425" spans="1:26" ht="18.75">
      <c r="A425" s="1241"/>
      <c r="B425" s="1242"/>
      <c r="C425" s="1243"/>
      <c r="D425" s="1243"/>
      <c r="E425" s="1243"/>
      <c r="F425" s="1243" t="s">
        <v>186</v>
      </c>
      <c r="G425" s="963"/>
      <c r="H425" s="778" t="s">
        <v>12</v>
      </c>
      <c r="I425" s="830"/>
      <c r="J425" s="830"/>
      <c r="K425" s="831"/>
      <c r="L425" s="831"/>
      <c r="M425" s="831"/>
      <c r="N425" s="1031">
        <f>13810+113210</f>
        <v>127020</v>
      </c>
      <c r="O425" s="831"/>
      <c r="P425" s="831"/>
      <c r="Q425" s="1244"/>
      <c r="R425" s="1244"/>
      <c r="S425" s="1244"/>
      <c r="T425" s="1244"/>
      <c r="U425" s="1244"/>
      <c r="V425" s="1244"/>
      <c r="W425" s="1244"/>
      <c r="X425" s="1244"/>
      <c r="Y425" s="1244"/>
      <c r="Z425" s="1244"/>
    </row>
    <row r="426" spans="1:26" ht="18.75">
      <c r="A426" s="1241"/>
      <c r="B426" s="1242"/>
      <c r="C426" s="1243"/>
      <c r="D426" s="1243"/>
      <c r="E426" s="1243"/>
      <c r="F426" s="1243" t="s">
        <v>187</v>
      </c>
      <c r="G426" s="963"/>
      <c r="H426" s="778" t="s">
        <v>12</v>
      </c>
      <c r="I426" s="830"/>
      <c r="J426" s="830"/>
      <c r="K426" s="831"/>
      <c r="L426" s="831"/>
      <c r="M426" s="831"/>
      <c r="N426" s="1031">
        <v>0</v>
      </c>
      <c r="O426" s="831"/>
      <c r="P426" s="831"/>
      <c r="Q426" s="1244"/>
      <c r="R426" s="1244"/>
      <c r="S426" s="1244"/>
      <c r="T426" s="1244"/>
      <c r="U426" s="1244"/>
      <c r="V426" s="1244"/>
      <c r="W426" s="1244"/>
      <c r="X426" s="1244"/>
      <c r="Y426" s="1244"/>
      <c r="Z426" s="1244"/>
    </row>
    <row r="427" spans="1:26" ht="18.75">
      <c r="A427" s="1241"/>
      <c r="B427" s="1242"/>
      <c r="C427" s="1243"/>
      <c r="D427" s="1243"/>
      <c r="E427" s="1243"/>
      <c r="F427" s="1243" t="s">
        <v>188</v>
      </c>
      <c r="G427" s="963"/>
      <c r="H427" s="778" t="s">
        <v>12</v>
      </c>
      <c r="I427" s="830"/>
      <c r="J427" s="830"/>
      <c r="K427" s="831"/>
      <c r="L427" s="831"/>
      <c r="M427" s="831"/>
      <c r="N427" s="1031">
        <v>0</v>
      </c>
      <c r="O427" s="831"/>
      <c r="P427" s="831"/>
      <c r="Q427" s="1244"/>
      <c r="R427" s="1244"/>
      <c r="S427" s="1244"/>
      <c r="T427" s="1244"/>
      <c r="U427" s="1244"/>
      <c r="V427" s="1244"/>
      <c r="W427" s="1244"/>
      <c r="X427" s="1244"/>
      <c r="Y427" s="1244"/>
      <c r="Z427" s="1244"/>
    </row>
    <row r="428" spans="1:26" ht="18.75">
      <c r="A428" s="1032"/>
      <c r="B428" s="1030"/>
      <c r="C428" s="827"/>
      <c r="D428" s="827"/>
      <c r="E428" s="827"/>
      <c r="F428" s="943" t="s">
        <v>189</v>
      </c>
      <c r="G428" s="977"/>
      <c r="H428" s="778" t="s">
        <v>12</v>
      </c>
      <c r="I428" s="830"/>
      <c r="J428" s="830"/>
      <c r="K428" s="831"/>
      <c r="L428" s="831"/>
      <c r="M428" s="831"/>
      <c r="N428" s="1031">
        <f>360+3000</f>
        <v>3360</v>
      </c>
      <c r="O428" s="831"/>
      <c r="P428" s="831"/>
      <c r="Q428" s="818"/>
      <c r="R428" s="818"/>
      <c r="S428" s="818"/>
      <c r="T428" s="818"/>
      <c r="U428" s="818"/>
      <c r="V428" s="818"/>
      <c r="W428" s="818"/>
      <c r="X428" s="818"/>
      <c r="Y428" s="818"/>
      <c r="Z428" s="818"/>
    </row>
    <row r="429" spans="1:26" ht="18.75">
      <c r="A429" s="942"/>
      <c r="B429" s="1030"/>
      <c r="C429" s="827"/>
      <c r="D429" s="828" t="s">
        <v>21</v>
      </c>
      <c r="E429" s="827"/>
      <c r="F429" s="827"/>
      <c r="G429" s="829"/>
      <c r="H429" s="168" t="s">
        <v>12</v>
      </c>
      <c r="I429" s="944"/>
      <c r="J429" s="944"/>
      <c r="K429" s="945"/>
      <c r="L429" s="831">
        <f t="shared" ref="L429:N429" ca="1" si="189">L430+L431</f>
        <v>0</v>
      </c>
      <c r="M429" s="831">
        <f t="shared" si="189"/>
        <v>0</v>
      </c>
      <c r="N429" s="831">
        <f t="shared" si="189"/>
        <v>0</v>
      </c>
      <c r="O429" s="831">
        <f t="shared" ref="O429:O431" ca="1" si="190">IF(L429&gt;0,N429*100/L429,0)</f>
        <v>0</v>
      </c>
      <c r="P429" s="831">
        <f t="shared" ref="P429:P431" si="191">IF(M429&gt;0,N429*100/M429,0)</f>
        <v>0</v>
      </c>
      <c r="Q429" s="818"/>
      <c r="R429" s="818"/>
      <c r="S429" s="818"/>
      <c r="T429" s="818"/>
      <c r="U429" s="818"/>
      <c r="V429" s="818"/>
      <c r="W429" s="818"/>
      <c r="X429" s="818"/>
      <c r="Y429" s="818"/>
      <c r="Z429" s="818"/>
    </row>
    <row r="430" spans="1:26" ht="18.75" hidden="1">
      <c r="A430" s="940"/>
      <c r="B430" s="1052"/>
      <c r="C430" s="833"/>
      <c r="D430" s="833"/>
      <c r="E430" s="834" t="s">
        <v>18</v>
      </c>
      <c r="F430" s="833"/>
      <c r="G430" s="835"/>
      <c r="H430" s="165" t="s">
        <v>12</v>
      </c>
      <c r="I430" s="947"/>
      <c r="J430" s="947"/>
      <c r="K430" s="948"/>
      <c r="L430" s="837">
        <v>0</v>
      </c>
      <c r="M430" s="837">
        <v>0</v>
      </c>
      <c r="N430" s="837">
        <v>0</v>
      </c>
      <c r="O430" s="837">
        <f t="shared" si="190"/>
        <v>0</v>
      </c>
      <c r="P430" s="837">
        <f t="shared" si="191"/>
        <v>0</v>
      </c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</row>
    <row r="431" spans="1:26" ht="18.75" hidden="1">
      <c r="A431" s="940"/>
      <c r="B431" s="1052"/>
      <c r="C431" s="833"/>
      <c r="D431" s="833"/>
      <c r="E431" s="834" t="s">
        <v>19</v>
      </c>
      <c r="F431" s="833"/>
      <c r="G431" s="835"/>
      <c r="H431" s="169" t="s">
        <v>12</v>
      </c>
      <c r="I431" s="947"/>
      <c r="J431" s="947"/>
      <c r="K431" s="948"/>
      <c r="L431" s="837">
        <f ca="1">IFERROR(__xludf.DUMMYFUNCTION("IMPORTRANGE(""https://docs.google.com/spreadsheets/d/1QqKyyYR6Q21VydFLVH3TRQUabQu_ym0Zz7PgGX0-kHA/edit?usp=sharing"",""แผน!FB15"")"),0)</f>
        <v>0</v>
      </c>
      <c r="M431" s="837">
        <v>0</v>
      </c>
      <c r="N431" s="837">
        <v>0</v>
      </c>
      <c r="O431" s="837">
        <f t="shared" ca="1" si="190"/>
        <v>0</v>
      </c>
      <c r="P431" s="837">
        <f t="shared" si="191"/>
        <v>0</v>
      </c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</row>
    <row r="432" spans="1:26" ht="19.5">
      <c r="A432" s="1112"/>
      <c r="B432" s="1113"/>
      <c r="C432" s="933" t="s">
        <v>16</v>
      </c>
      <c r="D432" s="1245" t="s">
        <v>38</v>
      </c>
      <c r="E432" s="1246"/>
      <c r="F432" s="1246"/>
      <c r="G432" s="1247"/>
      <c r="H432" s="1248"/>
      <c r="I432" s="937"/>
      <c r="J432" s="937"/>
      <c r="K432" s="938"/>
      <c r="L432" s="938"/>
      <c r="M432" s="938"/>
      <c r="N432" s="938"/>
      <c r="O432" s="938"/>
      <c r="P432" s="938"/>
      <c r="Q432" s="818"/>
      <c r="R432" s="818"/>
      <c r="S432" s="818"/>
      <c r="T432" s="818"/>
      <c r="U432" s="818"/>
      <c r="V432" s="818"/>
      <c r="W432" s="818"/>
      <c r="X432" s="818"/>
      <c r="Y432" s="818"/>
      <c r="Z432" s="818"/>
    </row>
    <row r="433" spans="1:26" ht="19.5">
      <c r="A433" s="949"/>
      <c r="B433" s="950"/>
      <c r="C433" s="950"/>
      <c r="D433" s="960" t="s">
        <v>190</v>
      </c>
      <c r="E433" s="957"/>
      <c r="F433" s="957"/>
      <c r="G433" s="958"/>
      <c r="H433" s="196" t="s">
        <v>35</v>
      </c>
      <c r="I433" s="966">
        <f ca="1">I435</f>
        <v>60</v>
      </c>
      <c r="J433" s="966">
        <f ca="1">IF(AND(J435=I435,J437=I437,J439=I439),I437+I439,IF(AND(J435=I437,J437=I437),I437,IF(AND(J435=I439,J439=I439),I439,0)))</f>
        <v>60</v>
      </c>
      <c r="K433" s="967">
        <f t="shared" ref="K433:K435" ca="1" si="192">IF(I433&gt;0,J433*100/I433,0)</f>
        <v>100</v>
      </c>
      <c r="L433" s="831"/>
      <c r="M433" s="831"/>
      <c r="N433" s="831"/>
      <c r="O433" s="831"/>
      <c r="P433" s="831"/>
      <c r="Q433" s="818"/>
      <c r="R433" s="818"/>
      <c r="S433" s="818"/>
      <c r="T433" s="818"/>
      <c r="U433" s="818"/>
      <c r="V433" s="818"/>
      <c r="W433" s="818"/>
      <c r="X433" s="818"/>
      <c r="Y433" s="818"/>
      <c r="Z433" s="818"/>
    </row>
    <row r="434" spans="1:26" ht="19.5">
      <c r="A434" s="949"/>
      <c r="B434" s="950"/>
      <c r="C434" s="950"/>
      <c r="D434" s="960" t="s">
        <v>191</v>
      </c>
      <c r="E434" s="957"/>
      <c r="F434" s="957"/>
      <c r="G434" s="958"/>
      <c r="H434" s="196" t="s">
        <v>49</v>
      </c>
      <c r="I434" s="966">
        <f t="shared" ref="I434:J434" ca="1" si="193">I438+I440</f>
        <v>2</v>
      </c>
      <c r="J434" s="966">
        <f t="shared" si="193"/>
        <v>2</v>
      </c>
      <c r="K434" s="967">
        <f t="shared" ca="1" si="192"/>
        <v>100</v>
      </c>
      <c r="L434" s="831"/>
      <c r="M434" s="831"/>
      <c r="N434" s="831"/>
      <c r="O434" s="831"/>
      <c r="P434" s="831"/>
      <c r="Q434" s="818"/>
      <c r="R434" s="818"/>
      <c r="S434" s="818"/>
      <c r="T434" s="818"/>
      <c r="U434" s="818"/>
      <c r="V434" s="818"/>
      <c r="W434" s="818"/>
      <c r="X434" s="818"/>
      <c r="Y434" s="818"/>
      <c r="Z434" s="818"/>
    </row>
    <row r="435" spans="1:26" ht="18.75">
      <c r="A435" s="949"/>
      <c r="B435" s="950"/>
      <c r="C435" s="950"/>
      <c r="D435" s="956" t="s">
        <v>192</v>
      </c>
      <c r="E435" s="957"/>
      <c r="F435" s="957"/>
      <c r="G435" s="958"/>
      <c r="H435" s="590" t="s">
        <v>35</v>
      </c>
      <c r="I435" s="548">
        <f ca="1">IFERROR(__xludf.DUMMYFUNCTION("IMPORTRANGE(""https://docs.google.com/spreadsheets/d/1QqKyyYR6Q21VydFLVH3TRQUabQu_ym0Zz7PgGX0-kHA/edit?usp=sharing"",""แผน!FC15"")"),60)</f>
        <v>60</v>
      </c>
      <c r="J435" s="549">
        <v>60</v>
      </c>
      <c r="K435" s="831">
        <f t="shared" ca="1" si="192"/>
        <v>100</v>
      </c>
      <c r="L435" s="831"/>
      <c r="M435" s="831"/>
      <c r="N435" s="831"/>
      <c r="O435" s="831"/>
      <c r="P435" s="831"/>
      <c r="Q435" s="818"/>
      <c r="R435" s="818"/>
      <c r="S435" s="818"/>
      <c r="T435" s="818"/>
      <c r="U435" s="818"/>
      <c r="V435" s="818"/>
      <c r="W435" s="818"/>
      <c r="X435" s="818"/>
      <c r="Y435" s="818"/>
      <c r="Z435" s="818"/>
    </row>
    <row r="436" spans="1:26" ht="18.75">
      <c r="A436" s="949"/>
      <c r="B436" s="950"/>
      <c r="C436" s="950"/>
      <c r="D436" s="956" t="s">
        <v>193</v>
      </c>
      <c r="E436" s="957"/>
      <c r="F436" s="957"/>
      <c r="G436" s="958"/>
      <c r="H436" s="590"/>
      <c r="I436" s="830"/>
      <c r="J436" s="830"/>
      <c r="K436" s="831"/>
      <c r="L436" s="831"/>
      <c r="M436" s="831"/>
      <c r="N436" s="831"/>
      <c r="O436" s="831"/>
      <c r="P436" s="831"/>
      <c r="Q436" s="818"/>
      <c r="R436" s="818"/>
      <c r="S436" s="818"/>
      <c r="T436" s="818"/>
      <c r="U436" s="818"/>
      <c r="V436" s="818"/>
      <c r="W436" s="818"/>
      <c r="X436" s="818"/>
      <c r="Y436" s="818"/>
      <c r="Z436" s="818"/>
    </row>
    <row r="437" spans="1:26" ht="18.75">
      <c r="A437" s="949"/>
      <c r="B437" s="950"/>
      <c r="C437" s="950"/>
      <c r="D437" s="956" t="s">
        <v>194</v>
      </c>
      <c r="E437" s="957"/>
      <c r="F437" s="957"/>
      <c r="G437" s="958"/>
      <c r="H437" s="590" t="s">
        <v>35</v>
      </c>
      <c r="I437" s="548">
        <f ca="1">IFERROR(__xludf.DUMMYFUNCTION("IMPORTRANGE(""https://docs.google.com/spreadsheets/d/1QqKyyYR6Q21VydFLVH3TRQUabQu_ym0Zz7PgGX0-kHA/edit?usp=sharing"",""แผน!FD15"")"),40)</f>
        <v>40</v>
      </c>
      <c r="J437" s="549">
        <v>40</v>
      </c>
      <c r="K437" s="831">
        <f t="shared" ref="K437:K443" ca="1" si="194">IF(I437&gt;0,J437*100/I437,0)</f>
        <v>100</v>
      </c>
      <c r="L437" s="831"/>
      <c r="M437" s="831"/>
      <c r="N437" s="831"/>
      <c r="O437" s="831"/>
      <c r="P437" s="831"/>
      <c r="Q437" s="818"/>
      <c r="R437" s="818"/>
      <c r="S437" s="818"/>
      <c r="T437" s="818"/>
      <c r="U437" s="818"/>
      <c r="V437" s="818"/>
      <c r="W437" s="818"/>
      <c r="X437" s="818"/>
      <c r="Y437" s="818"/>
      <c r="Z437" s="818"/>
    </row>
    <row r="438" spans="1:26" ht="18.75">
      <c r="A438" s="949"/>
      <c r="B438" s="950"/>
      <c r="C438" s="950"/>
      <c r="D438" s="956" t="s">
        <v>195</v>
      </c>
      <c r="E438" s="957"/>
      <c r="F438" s="957"/>
      <c r="G438" s="958"/>
      <c r="H438" s="590" t="s">
        <v>49</v>
      </c>
      <c r="I438" s="830">
        <f ca="1">IFERROR(__xludf.DUMMYFUNCTION("IMPORTRANGE(""https://docs.google.com/spreadsheets/d/1QqKyyYR6Q21VydFLVH3TRQUabQu_ym0Zz7PgGX0-kHA/edit?usp=sharing"",""แผน!FE15"")"),1)</f>
        <v>1</v>
      </c>
      <c r="J438" s="959">
        <v>1</v>
      </c>
      <c r="K438" s="831">
        <f t="shared" ca="1" si="194"/>
        <v>100</v>
      </c>
      <c r="L438" s="831"/>
      <c r="M438" s="831"/>
      <c r="N438" s="831"/>
      <c r="O438" s="831"/>
      <c r="P438" s="831"/>
      <c r="Q438" s="818"/>
      <c r="R438" s="818"/>
      <c r="S438" s="818"/>
      <c r="T438" s="818"/>
      <c r="U438" s="818"/>
      <c r="V438" s="818"/>
      <c r="W438" s="818"/>
      <c r="X438" s="818"/>
      <c r="Y438" s="818"/>
      <c r="Z438" s="818"/>
    </row>
    <row r="439" spans="1:26" ht="18.75">
      <c r="A439" s="949"/>
      <c r="B439" s="950"/>
      <c r="C439" s="950"/>
      <c r="D439" s="956" t="s">
        <v>196</v>
      </c>
      <c r="E439" s="957"/>
      <c r="F439" s="957"/>
      <c r="G439" s="958"/>
      <c r="H439" s="590" t="s">
        <v>35</v>
      </c>
      <c r="I439" s="548">
        <f ca="1">IFERROR(__xludf.DUMMYFUNCTION("IMPORTRANGE(""https://docs.google.com/spreadsheets/d/1QqKyyYR6Q21VydFLVH3TRQUabQu_ym0Zz7PgGX0-kHA/edit?usp=sharing"",""แผน!FF15"")"),20)</f>
        <v>20</v>
      </c>
      <c r="J439" s="549">
        <v>20</v>
      </c>
      <c r="K439" s="831">
        <f t="shared" ca="1" si="194"/>
        <v>100</v>
      </c>
      <c r="L439" s="831"/>
      <c r="M439" s="831"/>
      <c r="N439" s="831"/>
      <c r="O439" s="831"/>
      <c r="P439" s="831"/>
      <c r="Q439" s="818"/>
      <c r="R439" s="818"/>
      <c r="S439" s="818"/>
      <c r="T439" s="818"/>
      <c r="U439" s="818"/>
      <c r="V439" s="818"/>
      <c r="W439" s="818"/>
      <c r="X439" s="818"/>
      <c r="Y439" s="818"/>
      <c r="Z439" s="818"/>
    </row>
    <row r="440" spans="1:26" ht="18.75">
      <c r="A440" s="949"/>
      <c r="B440" s="950"/>
      <c r="C440" s="950"/>
      <c r="D440" s="956" t="s">
        <v>197</v>
      </c>
      <c r="E440" s="957"/>
      <c r="F440" s="957"/>
      <c r="G440" s="958"/>
      <c r="H440" s="590" t="s">
        <v>49</v>
      </c>
      <c r="I440" s="830">
        <f ca="1">IFERROR(__xludf.DUMMYFUNCTION("IMPORTRANGE(""https://docs.google.com/spreadsheets/d/1QqKyyYR6Q21VydFLVH3TRQUabQu_ym0Zz7PgGX0-kHA/edit?usp=sharing"",""แผน!FG15"")"),1)</f>
        <v>1</v>
      </c>
      <c r="J440" s="959">
        <v>1</v>
      </c>
      <c r="K440" s="831">
        <f t="shared" ca="1" si="194"/>
        <v>100</v>
      </c>
      <c r="L440" s="831"/>
      <c r="M440" s="831"/>
      <c r="N440" s="831"/>
      <c r="O440" s="831"/>
      <c r="P440" s="831"/>
      <c r="Q440" s="818"/>
      <c r="R440" s="818"/>
      <c r="S440" s="818"/>
      <c r="T440" s="818"/>
      <c r="U440" s="818"/>
      <c r="V440" s="818"/>
      <c r="W440" s="818"/>
      <c r="X440" s="818"/>
      <c r="Y440" s="818"/>
      <c r="Z440" s="818"/>
    </row>
    <row r="441" spans="1:26" ht="18.75" hidden="1">
      <c r="A441" s="949"/>
      <c r="B441" s="950"/>
      <c r="C441" s="950"/>
      <c r="D441" s="956" t="s">
        <v>198</v>
      </c>
      <c r="E441" s="957"/>
      <c r="F441" s="957"/>
      <c r="G441" s="958"/>
      <c r="H441" s="590" t="s">
        <v>35</v>
      </c>
      <c r="I441" s="830">
        <f ca="1">IFERROR(__xludf.DUMMYFUNCTION("IMPORTRANGE(""https://docs.google.com/spreadsheets/d/1QqKyyYR6Q21VydFLVH3TRQUabQu_ym0Zz7PgGX0-kHA/edit?usp=sharing"",""แผน!FH15"")"),0)</f>
        <v>0</v>
      </c>
      <c r="J441" s="830">
        <v>0</v>
      </c>
      <c r="K441" s="831">
        <f t="shared" ca="1" si="194"/>
        <v>0</v>
      </c>
      <c r="L441" s="831"/>
      <c r="M441" s="831"/>
      <c r="N441" s="831"/>
      <c r="O441" s="831"/>
      <c r="P441" s="831"/>
      <c r="Q441" s="818"/>
      <c r="R441" s="818"/>
      <c r="S441" s="818"/>
      <c r="T441" s="818"/>
      <c r="U441" s="818"/>
      <c r="V441" s="818"/>
      <c r="W441" s="818"/>
      <c r="X441" s="818"/>
      <c r="Y441" s="818"/>
      <c r="Z441" s="818"/>
    </row>
    <row r="442" spans="1:26" ht="19.5">
      <c r="A442" s="550">
        <v>2</v>
      </c>
      <c r="B442" s="1249" t="s">
        <v>199</v>
      </c>
      <c r="C442" s="1250"/>
      <c r="D442" s="1250"/>
      <c r="E442" s="1250"/>
      <c r="F442" s="1250"/>
      <c r="G442" s="1251"/>
      <c r="H442" s="554" t="s">
        <v>35</v>
      </c>
      <c r="I442" s="1252">
        <f t="shared" ref="I442:J442" ca="1" si="195">I460</f>
        <v>150</v>
      </c>
      <c r="J442" s="1252">
        <f t="shared" si="195"/>
        <v>150</v>
      </c>
      <c r="K442" s="1253">
        <f t="shared" ca="1" si="194"/>
        <v>100</v>
      </c>
      <c r="L442" s="1254"/>
      <c r="M442" s="1254"/>
      <c r="N442" s="1254"/>
      <c r="O442" s="1254"/>
      <c r="P442" s="1254"/>
      <c r="Q442" s="1244"/>
      <c r="R442" s="1244"/>
      <c r="S442" s="1244"/>
      <c r="T442" s="1244"/>
      <c r="U442" s="1244"/>
      <c r="V442" s="1244"/>
      <c r="W442" s="1244"/>
      <c r="X442" s="1244"/>
      <c r="Y442" s="1244"/>
      <c r="Z442" s="1244"/>
    </row>
    <row r="443" spans="1:26" ht="19.5">
      <c r="A443" s="1255"/>
      <c r="B443" s="1256"/>
      <c r="C443" s="1257"/>
      <c r="D443" s="1257"/>
      <c r="E443" s="1257"/>
      <c r="F443" s="1257"/>
      <c r="G443" s="1258"/>
      <c r="H443" s="532" t="s">
        <v>46</v>
      </c>
      <c r="I443" s="1237">
        <f t="shared" ref="I443:J443" ca="1" si="196">I462</f>
        <v>300</v>
      </c>
      <c r="J443" s="1237">
        <f t="shared" si="196"/>
        <v>300</v>
      </c>
      <c r="K443" s="1238">
        <f t="shared" ca="1" si="194"/>
        <v>100</v>
      </c>
      <c r="L443" s="1239"/>
      <c r="M443" s="1239"/>
      <c r="N443" s="1239"/>
      <c r="O443" s="1239"/>
      <c r="P443" s="1239"/>
      <c r="Q443" s="1244"/>
      <c r="R443" s="1244"/>
      <c r="S443" s="1244"/>
      <c r="T443" s="1244"/>
      <c r="U443" s="1244"/>
      <c r="V443" s="1244"/>
      <c r="W443" s="1244"/>
      <c r="X443" s="1244"/>
      <c r="Y443" s="1244"/>
      <c r="Z443" s="1244"/>
    </row>
    <row r="444" spans="1:26" ht="19.5">
      <c r="A444" s="1259"/>
      <c r="B444" s="1243"/>
      <c r="C444" s="1243" t="s">
        <v>16</v>
      </c>
      <c r="D444" s="1507" t="s">
        <v>17</v>
      </c>
      <c r="E444" s="1485"/>
      <c r="F444" s="1485"/>
      <c r="G444" s="963"/>
      <c r="H444" s="563" t="s">
        <v>12</v>
      </c>
      <c r="I444" s="830"/>
      <c r="J444" s="830"/>
      <c r="K444" s="831"/>
      <c r="L444" s="967">
        <f t="shared" ref="L444:N444" ca="1" si="197">L445+L446</f>
        <v>714280</v>
      </c>
      <c r="M444" s="967">
        <f t="shared" si="197"/>
        <v>0</v>
      </c>
      <c r="N444" s="967">
        <f t="shared" si="197"/>
        <v>150100</v>
      </c>
      <c r="O444" s="967">
        <f t="shared" ref="O444:O449" ca="1" si="198">IF(L444&gt;0,N444*100/L444,0)</f>
        <v>21.014168113344908</v>
      </c>
      <c r="P444" s="967">
        <f t="shared" ref="P444:P449" si="199">IF(M444&gt;0,N444*100/M444,0)</f>
        <v>0</v>
      </c>
      <c r="Q444" s="1244"/>
      <c r="R444" s="1244"/>
      <c r="S444" s="1244"/>
      <c r="T444" s="1244"/>
      <c r="U444" s="1244"/>
      <c r="V444" s="1244"/>
      <c r="W444" s="1244"/>
      <c r="X444" s="1244"/>
      <c r="Y444" s="1244"/>
      <c r="Z444" s="1244"/>
    </row>
    <row r="445" spans="1:26" ht="18.75" hidden="1">
      <c r="A445" s="1260"/>
      <c r="B445" s="1261"/>
      <c r="C445" s="1261"/>
      <c r="D445" s="1262"/>
      <c r="E445" s="1261" t="s">
        <v>184</v>
      </c>
      <c r="F445" s="1261"/>
      <c r="G445" s="1263"/>
      <c r="H445" s="165" t="s">
        <v>12</v>
      </c>
      <c r="I445" s="836"/>
      <c r="J445" s="836"/>
      <c r="K445" s="837"/>
      <c r="L445" s="837">
        <f t="shared" ref="L445:N446" si="200">L448+L455</f>
        <v>0</v>
      </c>
      <c r="M445" s="837">
        <f t="shared" si="200"/>
        <v>0</v>
      </c>
      <c r="N445" s="837">
        <f t="shared" si="200"/>
        <v>0</v>
      </c>
      <c r="O445" s="837">
        <f t="shared" si="198"/>
        <v>0</v>
      </c>
      <c r="P445" s="837">
        <f t="shared" si="199"/>
        <v>0</v>
      </c>
      <c r="Q445" s="1264"/>
      <c r="R445" s="1264"/>
      <c r="S445" s="1264"/>
      <c r="T445" s="1264"/>
      <c r="U445" s="1264"/>
      <c r="V445" s="1264"/>
      <c r="W445" s="1264"/>
      <c r="X445" s="1264"/>
      <c r="Y445" s="1264"/>
      <c r="Z445" s="1264"/>
    </row>
    <row r="446" spans="1:26" ht="18.75" hidden="1">
      <c r="A446" s="1260"/>
      <c r="B446" s="1265"/>
      <c r="C446" s="1261"/>
      <c r="D446" s="1262"/>
      <c r="E446" s="1261" t="s">
        <v>185</v>
      </c>
      <c r="F446" s="1261"/>
      <c r="G446" s="1263"/>
      <c r="H446" s="165" t="s">
        <v>12</v>
      </c>
      <c r="I446" s="836"/>
      <c r="J446" s="836"/>
      <c r="K446" s="837"/>
      <c r="L446" s="837">
        <f t="shared" ca="1" si="200"/>
        <v>714280</v>
      </c>
      <c r="M446" s="837">
        <f t="shared" si="200"/>
        <v>0</v>
      </c>
      <c r="N446" s="837">
        <f t="shared" si="200"/>
        <v>150100</v>
      </c>
      <c r="O446" s="837">
        <f t="shared" ca="1" si="198"/>
        <v>21.014168113344908</v>
      </c>
      <c r="P446" s="837">
        <f t="shared" si="199"/>
        <v>0</v>
      </c>
      <c r="Q446" s="1264"/>
      <c r="R446" s="1264"/>
      <c r="S446" s="1264"/>
      <c r="T446" s="1264"/>
      <c r="U446" s="1264"/>
      <c r="V446" s="1264"/>
      <c r="W446" s="1264"/>
      <c r="X446" s="1264"/>
      <c r="Y446" s="1264"/>
      <c r="Z446" s="1264"/>
    </row>
    <row r="447" spans="1:26" ht="18.75">
      <c r="A447" s="1259"/>
      <c r="B447" s="1242"/>
      <c r="C447" s="1243"/>
      <c r="D447" s="1266" t="s">
        <v>20</v>
      </c>
      <c r="E447" s="1243"/>
      <c r="F447" s="1243"/>
      <c r="G447" s="963"/>
      <c r="H447" s="778" t="s">
        <v>12</v>
      </c>
      <c r="I447" s="944"/>
      <c r="J447" s="944"/>
      <c r="K447" s="945"/>
      <c r="L447" s="831">
        <f t="shared" ref="L447:N447" ca="1" si="201">L448+L449</f>
        <v>714280</v>
      </c>
      <c r="M447" s="831">
        <f t="shared" si="201"/>
        <v>0</v>
      </c>
      <c r="N447" s="831">
        <f t="shared" si="201"/>
        <v>150100</v>
      </c>
      <c r="O447" s="831">
        <f t="shared" ca="1" si="198"/>
        <v>21.014168113344908</v>
      </c>
      <c r="P447" s="831">
        <f t="shared" si="199"/>
        <v>0</v>
      </c>
      <c r="Q447" s="1244"/>
      <c r="R447" s="1244"/>
      <c r="S447" s="1244"/>
      <c r="T447" s="1244"/>
      <c r="U447" s="1244"/>
      <c r="V447" s="1244"/>
      <c r="W447" s="1244"/>
      <c r="X447" s="1244"/>
      <c r="Y447" s="1244"/>
      <c r="Z447" s="1244"/>
    </row>
    <row r="448" spans="1:26" ht="18.75" hidden="1">
      <c r="A448" s="1260"/>
      <c r="B448" s="1265"/>
      <c r="C448" s="1261"/>
      <c r="D448" s="1262"/>
      <c r="E448" s="1261" t="s">
        <v>184</v>
      </c>
      <c r="F448" s="1261"/>
      <c r="G448" s="1263"/>
      <c r="H448" s="165" t="s">
        <v>12</v>
      </c>
      <c r="I448" s="836"/>
      <c r="J448" s="836"/>
      <c r="K448" s="837"/>
      <c r="L448" s="837">
        <v>0</v>
      </c>
      <c r="M448" s="837">
        <v>0</v>
      </c>
      <c r="N448" s="837">
        <v>0</v>
      </c>
      <c r="O448" s="837">
        <f t="shared" si="198"/>
        <v>0</v>
      </c>
      <c r="P448" s="837">
        <f t="shared" si="199"/>
        <v>0</v>
      </c>
      <c r="Q448" s="1264"/>
      <c r="R448" s="1264"/>
      <c r="S448" s="1264"/>
      <c r="T448" s="1264"/>
      <c r="U448" s="1264"/>
      <c r="V448" s="1264"/>
      <c r="W448" s="1264"/>
      <c r="X448" s="1264"/>
      <c r="Y448" s="1264"/>
      <c r="Z448" s="1264"/>
    </row>
    <row r="449" spans="1:26" ht="18.75" hidden="1">
      <c r="A449" s="1260"/>
      <c r="B449" s="1265"/>
      <c r="C449" s="1261"/>
      <c r="D449" s="1262"/>
      <c r="E449" s="1261" t="s">
        <v>185</v>
      </c>
      <c r="F449" s="1261"/>
      <c r="G449" s="1263"/>
      <c r="H449" s="165" t="s">
        <v>12</v>
      </c>
      <c r="I449" s="836"/>
      <c r="J449" s="836"/>
      <c r="K449" s="837"/>
      <c r="L449" s="837">
        <f ca="1">IFERROR(__xludf.DUMMYFUNCTION("IMPORTRANGE(""https://docs.google.com/spreadsheets/d/1QqKyyYR6Q21VydFLVH3TRQUabQu_ym0Zz7PgGX0-kHA/edit?usp=sharing"",""แผน!FJ15"")"),714280)</f>
        <v>714280</v>
      </c>
      <c r="M449" s="837">
        <v>0</v>
      </c>
      <c r="N449" s="837">
        <f>N450+N451+N452+N453</f>
        <v>150100</v>
      </c>
      <c r="O449" s="837">
        <f t="shared" ca="1" si="198"/>
        <v>21.014168113344908</v>
      </c>
      <c r="P449" s="837">
        <f t="shared" si="199"/>
        <v>0</v>
      </c>
      <c r="Q449" s="1264"/>
      <c r="R449" s="1264"/>
      <c r="S449" s="1264"/>
      <c r="T449" s="1264"/>
      <c r="U449" s="1264"/>
      <c r="V449" s="1264"/>
      <c r="W449" s="1264"/>
      <c r="X449" s="1264"/>
      <c r="Y449" s="1264"/>
      <c r="Z449" s="1264"/>
    </row>
    <row r="450" spans="1:26" ht="18.75">
      <c r="A450" s="1241"/>
      <c r="B450" s="1242"/>
      <c r="C450" s="1243"/>
      <c r="D450" s="1243"/>
      <c r="E450" s="1243"/>
      <c r="F450" s="1243" t="s">
        <v>186</v>
      </c>
      <c r="G450" s="963"/>
      <c r="H450" s="778" t="s">
        <v>12</v>
      </c>
      <c r="I450" s="830"/>
      <c r="J450" s="830"/>
      <c r="K450" s="831"/>
      <c r="L450" s="831"/>
      <c r="M450" s="831"/>
      <c r="N450" s="1031">
        <v>101220</v>
      </c>
      <c r="O450" s="831"/>
      <c r="P450" s="831"/>
      <c r="Q450" s="1244"/>
      <c r="R450" s="1244"/>
      <c r="S450" s="1244"/>
      <c r="T450" s="1244"/>
      <c r="U450" s="1244"/>
      <c r="V450" s="1244"/>
      <c r="W450" s="1244"/>
      <c r="X450" s="1244"/>
      <c r="Y450" s="1244"/>
      <c r="Z450" s="1244"/>
    </row>
    <row r="451" spans="1:26" ht="18.75">
      <c r="A451" s="1241"/>
      <c r="B451" s="1242"/>
      <c r="C451" s="1243"/>
      <c r="D451" s="1243"/>
      <c r="E451" s="1243"/>
      <c r="F451" s="1243" t="s">
        <v>187</v>
      </c>
      <c r="G451" s="963"/>
      <c r="H451" s="778" t="s">
        <v>12</v>
      </c>
      <c r="I451" s="830"/>
      <c r="J451" s="830"/>
      <c r="K451" s="831"/>
      <c r="L451" s="831"/>
      <c r="M451" s="831"/>
      <c r="N451" s="1031">
        <v>0</v>
      </c>
      <c r="O451" s="831"/>
      <c r="P451" s="831"/>
      <c r="Q451" s="1244"/>
      <c r="R451" s="1244"/>
      <c r="S451" s="1244"/>
      <c r="T451" s="1244"/>
      <c r="U451" s="1244"/>
      <c r="V451" s="1244"/>
      <c r="W451" s="1244"/>
      <c r="X451" s="1244"/>
      <c r="Y451" s="1244"/>
      <c r="Z451" s="1244"/>
    </row>
    <row r="452" spans="1:26" ht="18.75">
      <c r="A452" s="1241"/>
      <c r="B452" s="1242"/>
      <c r="C452" s="1242"/>
      <c r="D452" s="1242"/>
      <c r="E452" s="1242"/>
      <c r="F452" s="1243" t="s">
        <v>188</v>
      </c>
      <c r="G452" s="963"/>
      <c r="H452" s="778" t="s">
        <v>12</v>
      </c>
      <c r="I452" s="830"/>
      <c r="J452" s="830"/>
      <c r="K452" s="831"/>
      <c r="L452" s="831"/>
      <c r="M452" s="831"/>
      <c r="N452" s="1031">
        <v>39000</v>
      </c>
      <c r="O452" s="831"/>
      <c r="P452" s="831"/>
      <c r="Q452" s="1244"/>
      <c r="R452" s="1244"/>
      <c r="S452" s="1244"/>
      <c r="T452" s="1244"/>
      <c r="U452" s="1244"/>
      <c r="V452" s="1244"/>
      <c r="W452" s="1244"/>
      <c r="X452" s="1244"/>
      <c r="Y452" s="1244"/>
      <c r="Z452" s="1244"/>
    </row>
    <row r="453" spans="1:26" ht="18.75">
      <c r="A453" s="1241"/>
      <c r="B453" s="1242"/>
      <c r="C453" s="1242"/>
      <c r="D453" s="1242"/>
      <c r="E453" s="1242"/>
      <c r="F453" s="1243" t="s">
        <v>189</v>
      </c>
      <c r="G453" s="963"/>
      <c r="H453" s="778" t="s">
        <v>12</v>
      </c>
      <c r="I453" s="830"/>
      <c r="J453" s="830"/>
      <c r="K453" s="831"/>
      <c r="L453" s="831"/>
      <c r="M453" s="831"/>
      <c r="N453" s="1031">
        <f>3480+2900+3500</f>
        <v>9880</v>
      </c>
      <c r="O453" s="831"/>
      <c r="P453" s="831"/>
      <c r="Q453" s="1244"/>
      <c r="R453" s="1244"/>
      <c r="S453" s="1244"/>
      <c r="T453" s="1244"/>
      <c r="U453" s="1244"/>
      <c r="V453" s="1244"/>
      <c r="W453" s="1244"/>
      <c r="X453" s="1244"/>
      <c r="Y453" s="1244"/>
      <c r="Z453" s="1244"/>
    </row>
    <row r="454" spans="1:26" ht="18.75">
      <c r="A454" s="1259"/>
      <c r="B454" s="1242"/>
      <c r="C454" s="1242"/>
      <c r="D454" s="1266" t="s">
        <v>21</v>
      </c>
      <c r="E454" s="1242"/>
      <c r="F454" s="1243"/>
      <c r="G454" s="963"/>
      <c r="H454" s="168" t="s">
        <v>12</v>
      </c>
      <c r="I454" s="944"/>
      <c r="J454" s="944"/>
      <c r="K454" s="945"/>
      <c r="L454" s="831">
        <f t="shared" ref="L454:N454" ca="1" si="202">L455+L456</f>
        <v>0</v>
      </c>
      <c r="M454" s="831">
        <f t="shared" si="202"/>
        <v>0</v>
      </c>
      <c r="N454" s="831">
        <f t="shared" si="202"/>
        <v>0</v>
      </c>
      <c r="O454" s="831">
        <f t="shared" ref="O454:O456" ca="1" si="203">IF(L454&gt;0,N454*100/L454,0)</f>
        <v>0</v>
      </c>
      <c r="P454" s="831">
        <f t="shared" ref="P454:P456" si="204">IF(M454&gt;0,N454*100/M454,0)</f>
        <v>0</v>
      </c>
      <c r="Q454" s="1244"/>
      <c r="R454" s="1244"/>
      <c r="S454" s="1244"/>
      <c r="T454" s="1244"/>
      <c r="U454" s="1244"/>
      <c r="V454" s="1244"/>
      <c r="W454" s="1244"/>
      <c r="X454" s="1244"/>
      <c r="Y454" s="1244"/>
      <c r="Z454" s="1244"/>
    </row>
    <row r="455" spans="1:26" ht="18.75" hidden="1">
      <c r="A455" s="1260"/>
      <c r="B455" s="1265"/>
      <c r="C455" s="1265"/>
      <c r="D455" s="1265"/>
      <c r="E455" s="1265" t="s">
        <v>18</v>
      </c>
      <c r="F455" s="1261"/>
      <c r="G455" s="1263"/>
      <c r="H455" s="165" t="s">
        <v>12</v>
      </c>
      <c r="I455" s="947"/>
      <c r="J455" s="947"/>
      <c r="K455" s="948"/>
      <c r="L455" s="837">
        <v>0</v>
      </c>
      <c r="M455" s="837">
        <v>0</v>
      </c>
      <c r="N455" s="837">
        <v>0</v>
      </c>
      <c r="O455" s="837">
        <f t="shared" si="203"/>
        <v>0</v>
      </c>
      <c r="P455" s="837">
        <f t="shared" si="204"/>
        <v>0</v>
      </c>
      <c r="Q455" s="1264"/>
      <c r="R455" s="1264"/>
      <c r="S455" s="1264"/>
      <c r="T455" s="1264"/>
      <c r="U455" s="1264"/>
      <c r="V455" s="1264"/>
      <c r="W455" s="1264"/>
      <c r="X455" s="1264"/>
      <c r="Y455" s="1264"/>
      <c r="Z455" s="1264"/>
    </row>
    <row r="456" spans="1:26" ht="18.75" hidden="1">
      <c r="A456" s="1260"/>
      <c r="B456" s="1265"/>
      <c r="C456" s="1265"/>
      <c r="D456" s="1265"/>
      <c r="E456" s="1265" t="s">
        <v>19</v>
      </c>
      <c r="F456" s="1261"/>
      <c r="G456" s="1263"/>
      <c r="H456" s="169" t="s">
        <v>12</v>
      </c>
      <c r="I456" s="947"/>
      <c r="J456" s="947"/>
      <c r="K456" s="948"/>
      <c r="L456" s="837">
        <f ca="1">IFERROR(__xludf.DUMMYFUNCTION("IMPORTRANGE(""https://docs.google.com/spreadsheets/d/1QqKyyYR6Q21VydFLVH3TRQUabQu_ym0Zz7PgGX0-kHA/edit?usp=sharing"",""แผน!FM15"")"),0)</f>
        <v>0</v>
      </c>
      <c r="M456" s="837">
        <v>0</v>
      </c>
      <c r="N456" s="837">
        <v>0</v>
      </c>
      <c r="O456" s="837">
        <f t="shared" ca="1" si="203"/>
        <v>0</v>
      </c>
      <c r="P456" s="837">
        <f t="shared" si="204"/>
        <v>0</v>
      </c>
      <c r="Q456" s="1264"/>
      <c r="R456" s="1264"/>
      <c r="S456" s="1264"/>
      <c r="T456" s="1264"/>
      <c r="U456" s="1264"/>
      <c r="V456" s="1264"/>
      <c r="W456" s="1264"/>
      <c r="X456" s="1264"/>
      <c r="Y456" s="1264"/>
      <c r="Z456" s="1264"/>
    </row>
    <row r="457" spans="1:26" ht="19.5">
      <c r="A457" s="1267"/>
      <c r="B457" s="1268"/>
      <c r="C457" s="1242" t="s">
        <v>16</v>
      </c>
      <c r="D457" s="1269" t="s">
        <v>38</v>
      </c>
      <c r="E457" s="1270"/>
      <c r="F457" s="1271"/>
      <c r="G457" s="1272"/>
      <c r="H457" s="954"/>
      <c r="I457" s="830"/>
      <c r="J457" s="830"/>
      <c r="K457" s="831"/>
      <c r="L457" s="831"/>
      <c r="M457" s="831"/>
      <c r="N457" s="831"/>
      <c r="O457" s="831"/>
      <c r="P457" s="831"/>
      <c r="Q457" s="1244"/>
      <c r="R457" s="1244"/>
      <c r="S457" s="1244"/>
      <c r="T457" s="1244"/>
      <c r="U457" s="1244"/>
      <c r="V457" s="1244"/>
      <c r="W457" s="1244"/>
      <c r="X457" s="1244"/>
      <c r="Y457" s="1244"/>
      <c r="Z457" s="1244"/>
    </row>
    <row r="458" spans="1:26" ht="18.75" hidden="1">
      <c r="A458" s="1273"/>
      <c r="B458" s="1274"/>
      <c r="C458" s="1274"/>
      <c r="D458" s="1274" t="s">
        <v>200</v>
      </c>
      <c r="E458" s="1274"/>
      <c r="F458" s="1262"/>
      <c r="G458" s="1060"/>
      <c r="H458" s="583" t="s">
        <v>35</v>
      </c>
      <c r="I458" s="836">
        <v>0</v>
      </c>
      <c r="J458" s="836">
        <v>0</v>
      </c>
      <c r="K458" s="837">
        <f>IF(I458&gt;0,J458*100/I458,0)</f>
        <v>0</v>
      </c>
      <c r="L458" s="837"/>
      <c r="M458" s="837"/>
      <c r="N458" s="837"/>
      <c r="O458" s="837"/>
      <c r="P458" s="837"/>
      <c r="Q458" s="1264"/>
      <c r="R458" s="1264"/>
      <c r="S458" s="1264"/>
      <c r="T458" s="1264"/>
      <c r="U458" s="1264"/>
      <c r="V458" s="1264"/>
      <c r="W458" s="1264"/>
      <c r="X458" s="1264"/>
      <c r="Y458" s="1264"/>
      <c r="Z458" s="1264"/>
    </row>
    <row r="459" spans="1:26" ht="18.75" hidden="1">
      <c r="A459" s="1273"/>
      <c r="B459" s="1274"/>
      <c r="C459" s="1274"/>
      <c r="D459" s="1274" t="s">
        <v>201</v>
      </c>
      <c r="E459" s="1274"/>
      <c r="F459" s="1262"/>
      <c r="G459" s="1060"/>
      <c r="H459" s="583"/>
      <c r="I459" s="836"/>
      <c r="J459" s="836"/>
      <c r="K459" s="837"/>
      <c r="L459" s="837"/>
      <c r="M459" s="837"/>
      <c r="N459" s="837"/>
      <c r="O459" s="837"/>
      <c r="P459" s="837"/>
      <c r="Q459" s="1264"/>
      <c r="R459" s="1264"/>
      <c r="S459" s="1264"/>
      <c r="T459" s="1264"/>
      <c r="U459" s="1264"/>
      <c r="V459" s="1264"/>
      <c r="W459" s="1264"/>
      <c r="X459" s="1264"/>
      <c r="Y459" s="1264"/>
      <c r="Z459" s="1264"/>
    </row>
    <row r="460" spans="1:26" ht="18.75">
      <c r="A460" s="1267"/>
      <c r="B460" s="1268"/>
      <c r="C460" s="1268"/>
      <c r="D460" s="1268" t="s">
        <v>202</v>
      </c>
      <c r="E460" s="1268"/>
      <c r="F460" s="961"/>
      <c r="G460" s="954"/>
      <c r="H460" s="730" t="s">
        <v>35</v>
      </c>
      <c r="I460" s="830">
        <f ca="1">IFERROR(__xludf.DUMMYFUNCTION("IMPORTRANGE(""https://docs.google.com/spreadsheets/d/1QqKyyYR6Q21VydFLVH3TRQUabQu_ym0Zz7PgGX0-kHA/edit?usp=sharing"",""แผน!FN15"")"),150)</f>
        <v>150</v>
      </c>
      <c r="J460" s="959">
        <v>150</v>
      </c>
      <c r="K460" s="831">
        <f ca="1">IF(I460&gt;0,J460*100/I460,0)</f>
        <v>100</v>
      </c>
      <c r="L460" s="831"/>
      <c r="M460" s="831"/>
      <c r="N460" s="831"/>
      <c r="O460" s="831"/>
      <c r="P460" s="831"/>
      <c r="Q460" s="1244"/>
      <c r="R460" s="1244"/>
      <c r="S460" s="1244"/>
      <c r="T460" s="1244"/>
      <c r="U460" s="1244"/>
      <c r="V460" s="1244"/>
      <c r="W460" s="1244"/>
      <c r="X460" s="1244"/>
      <c r="Y460" s="1244"/>
      <c r="Z460" s="1244"/>
    </row>
    <row r="461" spans="1:26" ht="18.75">
      <c r="A461" s="1267"/>
      <c r="B461" s="1268"/>
      <c r="C461" s="1268"/>
      <c r="D461" s="1268" t="s">
        <v>203</v>
      </c>
      <c r="E461" s="961"/>
      <c r="F461" s="961"/>
      <c r="G461" s="954"/>
      <c r="H461" s="730"/>
      <c r="I461" s="830"/>
      <c r="J461" s="830"/>
      <c r="K461" s="831"/>
      <c r="L461" s="831"/>
      <c r="M461" s="831"/>
      <c r="N461" s="831"/>
      <c r="O461" s="831"/>
      <c r="P461" s="831"/>
      <c r="Q461" s="1244"/>
      <c r="R461" s="1244"/>
      <c r="S461" s="1244"/>
      <c r="T461" s="1244"/>
      <c r="U461" s="1244"/>
      <c r="V461" s="1244"/>
      <c r="W461" s="1244"/>
      <c r="X461" s="1244"/>
      <c r="Y461" s="1244"/>
      <c r="Z461" s="1244"/>
    </row>
    <row r="462" spans="1:26" ht="18.75">
      <c r="A462" s="1267"/>
      <c r="B462" s="1268"/>
      <c r="C462" s="1268"/>
      <c r="D462" s="1268" t="s">
        <v>204</v>
      </c>
      <c r="E462" s="961"/>
      <c r="F462" s="961"/>
      <c r="G462" s="954"/>
      <c r="H462" s="730" t="s">
        <v>46</v>
      </c>
      <c r="I462" s="830">
        <f ca="1">IFERROR(__xludf.DUMMYFUNCTION("IMPORTRANGE(""https://docs.google.com/spreadsheets/d/1QqKyyYR6Q21VydFLVH3TRQUabQu_ym0Zz7PgGX0-kHA/edit?usp=sharing"",""แผน!FO15"")"),300)</f>
        <v>300</v>
      </c>
      <c r="J462" s="959">
        <v>300</v>
      </c>
      <c r="K462" s="831">
        <f ca="1">IF(I462&gt;0,J462*100/I462,0)</f>
        <v>100</v>
      </c>
      <c r="L462" s="831"/>
      <c r="M462" s="831"/>
      <c r="N462" s="831"/>
      <c r="O462" s="831"/>
      <c r="P462" s="831"/>
      <c r="Q462" s="1244"/>
      <c r="R462" s="1244"/>
      <c r="S462" s="1244"/>
      <c r="T462" s="1244"/>
      <c r="U462" s="1244"/>
      <c r="V462" s="1244"/>
      <c r="W462" s="1244"/>
      <c r="X462" s="1244"/>
      <c r="Y462" s="1244"/>
      <c r="Z462" s="1244"/>
    </row>
    <row r="463" spans="1:26" ht="18.75">
      <c r="A463" s="1267"/>
      <c r="B463" s="1268"/>
      <c r="C463" s="1268"/>
      <c r="D463" s="1268" t="s">
        <v>59</v>
      </c>
      <c r="E463" s="961"/>
      <c r="F463" s="1243"/>
      <c r="G463" s="963"/>
      <c r="H463" s="730" t="s">
        <v>46</v>
      </c>
      <c r="I463" s="830">
        <f ca="1">IFERROR(__xludf.DUMMYFUNCTION("IMPORTRANGE(""https://docs.google.com/spreadsheets/d/1QqKyyYR6Q21VydFLVH3TRQUabQu_ym0Zz7PgGX0-kHA/edit?usp=sharing"",""แผน!FO15"")"),300)</f>
        <v>300</v>
      </c>
      <c r="J463" s="959">
        <v>0</v>
      </c>
      <c r="K463" s="831"/>
      <c r="L463" s="831"/>
      <c r="M463" s="831"/>
      <c r="N463" s="831"/>
      <c r="O463" s="831"/>
      <c r="P463" s="831"/>
      <c r="Q463" s="1244"/>
      <c r="R463" s="1244"/>
      <c r="S463" s="1244"/>
      <c r="T463" s="1244"/>
      <c r="U463" s="1244"/>
      <c r="V463" s="1244"/>
      <c r="W463" s="1244"/>
      <c r="X463" s="1244"/>
      <c r="Y463" s="1244"/>
      <c r="Z463" s="1244"/>
    </row>
    <row r="464" spans="1:26" ht="19.5">
      <c r="A464" s="1267"/>
      <c r="B464" s="1268"/>
      <c r="C464" s="1268"/>
      <c r="D464" s="1268"/>
      <c r="E464" s="961"/>
      <c r="F464" s="961"/>
      <c r="G464" s="1275"/>
      <c r="H464" s="730" t="s">
        <v>35</v>
      </c>
      <c r="I464" s="830">
        <f ca="1">IFERROR(__xludf.DUMMYFUNCTION("IMPORTRANGE(""https://docs.google.com/spreadsheets/d/1QqKyyYR6Q21VydFLVH3TRQUabQu_ym0Zz7PgGX0-kHA/edit?usp=sharing"",""แผน!FN15"")"),150)</f>
        <v>150</v>
      </c>
      <c r="J464" s="959">
        <v>0</v>
      </c>
      <c r="K464" s="831"/>
      <c r="L464" s="831"/>
      <c r="M464" s="831"/>
      <c r="N464" s="831"/>
      <c r="O464" s="831"/>
      <c r="P464" s="831"/>
      <c r="Q464" s="1244"/>
      <c r="R464" s="1244"/>
      <c r="S464" s="1244"/>
      <c r="T464" s="1244"/>
      <c r="U464" s="1244"/>
      <c r="V464" s="1244"/>
      <c r="W464" s="1244"/>
      <c r="X464" s="1244"/>
      <c r="Y464" s="1244"/>
      <c r="Z464" s="1244"/>
    </row>
    <row r="465" spans="1:26" ht="19.5">
      <c r="A465" s="550">
        <v>3</v>
      </c>
      <c r="B465" s="1249" t="s">
        <v>205</v>
      </c>
      <c r="C465" s="1250"/>
      <c r="D465" s="1250"/>
      <c r="E465" s="1250"/>
      <c r="F465" s="1250"/>
      <c r="G465" s="1251"/>
      <c r="H465" s="554" t="s">
        <v>35</v>
      </c>
      <c r="I465" s="1252">
        <f ca="1">IFERROR(__xludf.DUMMYFUNCTION("IMPORTRANGE(""https://docs.google.com/spreadsheets/d/1QqKyyYR6Q21VydFLVH3TRQUabQu_ym0Zz7PgGX0-kHA/edit?usp=sharing"",""แผน!FX15"")"),51)</f>
        <v>51</v>
      </c>
      <c r="J465" s="1252">
        <f>J485+J489+J492</f>
        <v>70</v>
      </c>
      <c r="K465" s="1253">
        <f t="shared" ref="K465:K466" ca="1" si="205">IF(I465&gt;0,J465*100/I465,0)</f>
        <v>137.25490196078431</v>
      </c>
      <c r="L465" s="1254"/>
      <c r="M465" s="1254"/>
      <c r="N465" s="1254"/>
      <c r="O465" s="1254"/>
      <c r="P465" s="1254"/>
      <c r="Q465" s="1244"/>
      <c r="R465" s="1244"/>
      <c r="S465" s="1244"/>
      <c r="T465" s="1244"/>
      <c r="U465" s="1244"/>
      <c r="V465" s="1244"/>
      <c r="W465" s="1244"/>
      <c r="X465" s="1244"/>
      <c r="Y465" s="1244"/>
      <c r="Z465" s="1244"/>
    </row>
    <row r="466" spans="1:26" ht="19.5">
      <c r="A466" s="1255"/>
      <c r="B466" s="1256"/>
      <c r="C466" s="1257"/>
      <c r="D466" s="1257"/>
      <c r="E466" s="1257"/>
      <c r="F466" s="1257"/>
      <c r="G466" s="1258"/>
      <c r="H466" s="532" t="s">
        <v>46</v>
      </c>
      <c r="I466" s="1237">
        <f ca="1">IFERROR(__xludf.DUMMYFUNCTION("IMPORTRANGE(""https://docs.google.com/spreadsheets/d/1QqKyyYR6Q21VydFLVH3TRQUabQu_ym0Zz7PgGX0-kHA/edit?usp=sharing"",""แผน!FW15"")"),500)</f>
        <v>500</v>
      </c>
      <c r="J466" s="1237">
        <f>J495+J498</f>
        <v>0</v>
      </c>
      <c r="K466" s="1238">
        <f t="shared" ca="1" si="205"/>
        <v>0</v>
      </c>
      <c r="L466" s="1239"/>
      <c r="M466" s="1239"/>
      <c r="N466" s="1239"/>
      <c r="O466" s="1239"/>
      <c r="P466" s="1239"/>
      <c r="Q466" s="1244"/>
      <c r="R466" s="1244"/>
      <c r="S466" s="1244"/>
      <c r="T466" s="1244"/>
      <c r="U466" s="1244"/>
      <c r="V466" s="1244"/>
      <c r="W466" s="1244"/>
      <c r="X466" s="1244"/>
      <c r="Y466" s="1244"/>
      <c r="Z466" s="1244"/>
    </row>
    <row r="467" spans="1:26" ht="19.5">
      <c r="A467" s="1259"/>
      <c r="B467" s="1243"/>
      <c r="C467" s="1243" t="s">
        <v>16</v>
      </c>
      <c r="D467" s="1507" t="s">
        <v>17</v>
      </c>
      <c r="E467" s="1485"/>
      <c r="F467" s="1485"/>
      <c r="G467" s="963"/>
      <c r="H467" s="563" t="s">
        <v>12</v>
      </c>
      <c r="I467" s="830"/>
      <c r="J467" s="830"/>
      <c r="K467" s="831"/>
      <c r="L467" s="967">
        <f t="shared" ref="L467:N467" ca="1" si="206">L468+L469</f>
        <v>416253</v>
      </c>
      <c r="M467" s="967">
        <f t="shared" si="206"/>
        <v>0</v>
      </c>
      <c r="N467" s="967">
        <f t="shared" si="206"/>
        <v>16220</v>
      </c>
      <c r="O467" s="967">
        <f t="shared" ref="O467:O472" ca="1" si="207">IF(L467&gt;0,N467*100/L467,0)</f>
        <v>3.8966686125985879</v>
      </c>
      <c r="P467" s="967">
        <f t="shared" ref="P467:P472" si="208">IF(M467&gt;0,N467*100/M467,0)</f>
        <v>0</v>
      </c>
      <c r="Q467" s="1244"/>
      <c r="R467" s="1244"/>
      <c r="S467" s="1244"/>
      <c r="T467" s="1244"/>
      <c r="U467" s="1244"/>
      <c r="V467" s="1244"/>
      <c r="W467" s="1244"/>
      <c r="X467" s="1244"/>
      <c r="Y467" s="1244"/>
      <c r="Z467" s="1244"/>
    </row>
    <row r="468" spans="1:26" ht="18.75" hidden="1">
      <c r="A468" s="1260"/>
      <c r="B468" s="1261"/>
      <c r="C468" s="1261"/>
      <c r="D468" s="1262"/>
      <c r="E468" s="1261" t="s">
        <v>184</v>
      </c>
      <c r="F468" s="1261"/>
      <c r="G468" s="1263"/>
      <c r="H468" s="165" t="s">
        <v>12</v>
      </c>
      <c r="I468" s="836"/>
      <c r="J468" s="836"/>
      <c r="K468" s="837"/>
      <c r="L468" s="837">
        <f t="shared" ref="L468:N469" si="209">L471+L478</f>
        <v>0</v>
      </c>
      <c r="M468" s="837">
        <f t="shared" si="209"/>
        <v>0</v>
      </c>
      <c r="N468" s="837">
        <f t="shared" si="209"/>
        <v>0</v>
      </c>
      <c r="O468" s="837">
        <f t="shared" si="207"/>
        <v>0</v>
      </c>
      <c r="P468" s="837">
        <f t="shared" si="208"/>
        <v>0</v>
      </c>
      <c r="Q468" s="1264"/>
      <c r="R468" s="1264"/>
      <c r="S468" s="1264"/>
      <c r="T468" s="1264"/>
      <c r="U468" s="1264"/>
      <c r="V468" s="1264"/>
      <c r="W468" s="1264"/>
      <c r="X468" s="1264"/>
      <c r="Y468" s="1264"/>
      <c r="Z468" s="1264"/>
    </row>
    <row r="469" spans="1:26" ht="18.75" hidden="1">
      <c r="A469" s="1260"/>
      <c r="B469" s="1265"/>
      <c r="C469" s="1261"/>
      <c r="D469" s="1262"/>
      <c r="E469" s="1261" t="s">
        <v>185</v>
      </c>
      <c r="F469" s="1261"/>
      <c r="G469" s="1263"/>
      <c r="H469" s="165" t="s">
        <v>12</v>
      </c>
      <c r="I469" s="836"/>
      <c r="J469" s="836"/>
      <c r="K469" s="837"/>
      <c r="L469" s="837">
        <f t="shared" ca="1" si="209"/>
        <v>416253</v>
      </c>
      <c r="M469" s="837">
        <f t="shared" si="209"/>
        <v>0</v>
      </c>
      <c r="N469" s="837">
        <f t="shared" si="209"/>
        <v>16220</v>
      </c>
      <c r="O469" s="837">
        <f t="shared" ca="1" si="207"/>
        <v>3.8966686125985879</v>
      </c>
      <c r="P469" s="837">
        <f t="shared" si="208"/>
        <v>0</v>
      </c>
      <c r="Q469" s="1264"/>
      <c r="R469" s="1264"/>
      <c r="S469" s="1264"/>
      <c r="T469" s="1264"/>
      <c r="U469" s="1264"/>
      <c r="V469" s="1264"/>
      <c r="W469" s="1264"/>
      <c r="X469" s="1264"/>
      <c r="Y469" s="1264"/>
      <c r="Z469" s="1264"/>
    </row>
    <row r="470" spans="1:26" ht="18.75">
      <c r="A470" s="1259"/>
      <c r="B470" s="1242"/>
      <c r="C470" s="1243"/>
      <c r="D470" s="1266" t="s">
        <v>20</v>
      </c>
      <c r="E470" s="1243"/>
      <c r="F470" s="1243"/>
      <c r="G470" s="963"/>
      <c r="H470" s="778" t="s">
        <v>12</v>
      </c>
      <c r="I470" s="944"/>
      <c r="J470" s="944"/>
      <c r="K470" s="945"/>
      <c r="L470" s="831">
        <f t="shared" ref="L470:N470" ca="1" si="210">L471+L472</f>
        <v>416253</v>
      </c>
      <c r="M470" s="831">
        <f t="shared" si="210"/>
        <v>0</v>
      </c>
      <c r="N470" s="831">
        <f t="shared" si="210"/>
        <v>16220</v>
      </c>
      <c r="O470" s="831">
        <f t="shared" ca="1" si="207"/>
        <v>3.8966686125985879</v>
      </c>
      <c r="P470" s="831">
        <f t="shared" si="208"/>
        <v>0</v>
      </c>
      <c r="Q470" s="1244"/>
      <c r="R470" s="1244"/>
      <c r="S470" s="1244"/>
      <c r="T470" s="1244"/>
      <c r="U470" s="1244"/>
      <c r="V470" s="1244"/>
      <c r="W470" s="1244"/>
      <c r="X470" s="1244"/>
      <c r="Y470" s="1244"/>
      <c r="Z470" s="1244"/>
    </row>
    <row r="471" spans="1:26" ht="18.75" hidden="1">
      <c r="A471" s="1260"/>
      <c r="B471" s="1265"/>
      <c r="C471" s="1261"/>
      <c r="D471" s="1262"/>
      <c r="E471" s="1261" t="s">
        <v>184</v>
      </c>
      <c r="F471" s="1261"/>
      <c r="G471" s="1263"/>
      <c r="H471" s="165" t="s">
        <v>12</v>
      </c>
      <c r="I471" s="836"/>
      <c r="J471" s="836"/>
      <c r="K471" s="837"/>
      <c r="L471" s="837">
        <v>0</v>
      </c>
      <c r="M471" s="837">
        <v>0</v>
      </c>
      <c r="N471" s="837">
        <v>0</v>
      </c>
      <c r="O471" s="837">
        <f t="shared" si="207"/>
        <v>0</v>
      </c>
      <c r="P471" s="837">
        <f t="shared" si="208"/>
        <v>0</v>
      </c>
      <c r="Q471" s="1264"/>
      <c r="R471" s="1264"/>
      <c r="S471" s="1264"/>
      <c r="T471" s="1264"/>
      <c r="U471" s="1264"/>
      <c r="V471" s="1264"/>
      <c r="W471" s="1264"/>
      <c r="X471" s="1264"/>
      <c r="Y471" s="1264"/>
      <c r="Z471" s="1264"/>
    </row>
    <row r="472" spans="1:26" ht="18.75" hidden="1">
      <c r="A472" s="1260"/>
      <c r="B472" s="1265"/>
      <c r="C472" s="1261"/>
      <c r="D472" s="1262"/>
      <c r="E472" s="1261" t="s">
        <v>185</v>
      </c>
      <c r="F472" s="1261"/>
      <c r="G472" s="1263"/>
      <c r="H472" s="165" t="s">
        <v>12</v>
      </c>
      <c r="I472" s="836"/>
      <c r="J472" s="836"/>
      <c r="K472" s="837"/>
      <c r="L472" s="837">
        <f ca="1">IFERROR(__xludf.DUMMYFUNCTION("IMPORTRANGE(""https://docs.google.com/spreadsheets/d/1QqKyyYR6Q21VydFLVH3TRQUabQu_ym0Zz7PgGX0-kHA/edit?usp=sharing"",""แผน!FS15"")"),416253)</f>
        <v>416253</v>
      </c>
      <c r="M472" s="837">
        <v>0</v>
      </c>
      <c r="N472" s="837">
        <f>N473+N474+N475+N476</f>
        <v>16220</v>
      </c>
      <c r="O472" s="837">
        <f t="shared" ca="1" si="207"/>
        <v>3.8966686125985879</v>
      </c>
      <c r="P472" s="837">
        <f t="shared" si="208"/>
        <v>0</v>
      </c>
      <c r="Q472" s="1264"/>
      <c r="R472" s="1264"/>
      <c r="S472" s="1264"/>
      <c r="T472" s="1264"/>
      <c r="U472" s="1264"/>
      <c r="V472" s="1264"/>
      <c r="W472" s="1264"/>
      <c r="X472" s="1264"/>
      <c r="Y472" s="1264"/>
      <c r="Z472" s="1264"/>
    </row>
    <row r="473" spans="1:26" ht="18.75">
      <c r="A473" s="1241"/>
      <c r="B473" s="1242"/>
      <c r="C473" s="1243"/>
      <c r="D473" s="1243"/>
      <c r="E473" s="1243"/>
      <c r="F473" s="1243" t="s">
        <v>186</v>
      </c>
      <c r="G473" s="963"/>
      <c r="H473" s="778" t="s">
        <v>12</v>
      </c>
      <c r="I473" s="830"/>
      <c r="J473" s="830"/>
      <c r="K473" s="831"/>
      <c r="L473" s="831"/>
      <c r="M473" s="831"/>
      <c r="N473" s="1031"/>
      <c r="O473" s="831"/>
      <c r="P473" s="831"/>
      <c r="Q473" s="1244"/>
      <c r="R473" s="1244"/>
      <c r="S473" s="1244"/>
      <c r="T473" s="1244"/>
      <c r="U473" s="1244"/>
      <c r="V473" s="1244"/>
      <c r="W473" s="1244"/>
      <c r="X473" s="1244"/>
      <c r="Y473" s="1244"/>
      <c r="Z473" s="1244"/>
    </row>
    <row r="474" spans="1:26" ht="18.75">
      <c r="A474" s="1241"/>
      <c r="B474" s="1242"/>
      <c r="C474" s="1243"/>
      <c r="D474" s="1243"/>
      <c r="E474" s="1243"/>
      <c r="F474" s="1243" t="s">
        <v>187</v>
      </c>
      <c r="G474" s="963"/>
      <c r="H474" s="778" t="s">
        <v>12</v>
      </c>
      <c r="I474" s="830"/>
      <c r="J474" s="830"/>
      <c r="K474" s="831"/>
      <c r="L474" s="831"/>
      <c r="M474" s="831"/>
      <c r="N474" s="1031">
        <v>0</v>
      </c>
      <c r="O474" s="831"/>
      <c r="P474" s="831"/>
      <c r="Q474" s="1244"/>
      <c r="R474" s="1244"/>
      <c r="S474" s="1244"/>
      <c r="T474" s="1244"/>
      <c r="U474" s="1244"/>
      <c r="V474" s="1244"/>
      <c r="W474" s="1244"/>
      <c r="X474" s="1244"/>
      <c r="Y474" s="1244"/>
      <c r="Z474" s="1244"/>
    </row>
    <row r="475" spans="1:26" ht="18.75">
      <c r="A475" s="1241"/>
      <c r="B475" s="1242"/>
      <c r="C475" s="1242"/>
      <c r="D475" s="1242"/>
      <c r="E475" s="1242"/>
      <c r="F475" s="1243" t="s">
        <v>188</v>
      </c>
      <c r="G475" s="963"/>
      <c r="H475" s="778" t="s">
        <v>12</v>
      </c>
      <c r="I475" s="830"/>
      <c r="J475" s="830"/>
      <c r="K475" s="831"/>
      <c r="L475" s="831"/>
      <c r="M475" s="831"/>
      <c r="N475" s="1031">
        <v>0</v>
      </c>
      <c r="O475" s="831"/>
      <c r="P475" s="831"/>
      <c r="Q475" s="1244"/>
      <c r="R475" s="1244"/>
      <c r="S475" s="1244"/>
      <c r="T475" s="1244"/>
      <c r="U475" s="1244"/>
      <c r="V475" s="1244"/>
      <c r="W475" s="1244"/>
      <c r="X475" s="1244"/>
      <c r="Y475" s="1244"/>
      <c r="Z475" s="1244"/>
    </row>
    <row r="476" spans="1:26" ht="18.75">
      <c r="A476" s="1241"/>
      <c r="B476" s="1242"/>
      <c r="C476" s="1242"/>
      <c r="D476" s="1242"/>
      <c r="E476" s="1242"/>
      <c r="F476" s="1243" t="s">
        <v>189</v>
      </c>
      <c r="G476" s="963"/>
      <c r="H476" s="778" t="s">
        <v>12</v>
      </c>
      <c r="I476" s="830"/>
      <c r="J476" s="830"/>
      <c r="K476" s="831"/>
      <c r="L476" s="831"/>
      <c r="M476" s="831"/>
      <c r="N476" s="1031">
        <f>2280+9540+1900+2500</f>
        <v>16220</v>
      </c>
      <c r="O476" s="831"/>
      <c r="P476" s="831"/>
      <c r="Q476" s="1244"/>
      <c r="R476" s="1244"/>
      <c r="S476" s="1244"/>
      <c r="T476" s="1244"/>
      <c r="U476" s="1244"/>
      <c r="V476" s="1244"/>
      <c r="W476" s="1244"/>
      <c r="X476" s="1244"/>
      <c r="Y476" s="1244"/>
      <c r="Z476" s="1244"/>
    </row>
    <row r="477" spans="1:26" ht="18.75">
      <c r="A477" s="1259"/>
      <c r="B477" s="1242"/>
      <c r="C477" s="1242"/>
      <c r="D477" s="1266" t="s">
        <v>21</v>
      </c>
      <c r="E477" s="1242"/>
      <c r="F477" s="1242"/>
      <c r="G477" s="963"/>
      <c r="H477" s="168" t="s">
        <v>12</v>
      </c>
      <c r="I477" s="944"/>
      <c r="J477" s="944"/>
      <c r="K477" s="945"/>
      <c r="L477" s="831">
        <f t="shared" ref="L477:N477" ca="1" si="211">L478+L479</f>
        <v>0</v>
      </c>
      <c r="M477" s="831">
        <f t="shared" si="211"/>
        <v>0</v>
      </c>
      <c r="N477" s="831">
        <f t="shared" si="211"/>
        <v>0</v>
      </c>
      <c r="O477" s="831">
        <f t="shared" ref="O477:O479" ca="1" si="212">IF(L477&gt;0,N477*100/L477,0)</f>
        <v>0</v>
      </c>
      <c r="P477" s="831">
        <f t="shared" ref="P477:P479" si="213">IF(M477&gt;0,N477*100/M477,0)</f>
        <v>0</v>
      </c>
      <c r="Q477" s="1244"/>
      <c r="R477" s="1244"/>
      <c r="S477" s="1244"/>
      <c r="T477" s="1244"/>
      <c r="U477" s="1244"/>
      <c r="V477" s="1244"/>
      <c r="W477" s="1244"/>
      <c r="X477" s="1244"/>
      <c r="Y477" s="1244"/>
      <c r="Z477" s="1244"/>
    </row>
    <row r="478" spans="1:26" ht="18.75" hidden="1">
      <c r="A478" s="1260"/>
      <c r="B478" s="1265"/>
      <c r="C478" s="1265"/>
      <c r="D478" s="1265"/>
      <c r="E478" s="1265" t="s">
        <v>18</v>
      </c>
      <c r="F478" s="1265"/>
      <c r="G478" s="1263"/>
      <c r="H478" s="165" t="s">
        <v>12</v>
      </c>
      <c r="I478" s="947"/>
      <c r="J478" s="947"/>
      <c r="K478" s="948"/>
      <c r="L478" s="837">
        <v>0</v>
      </c>
      <c r="M478" s="837">
        <v>0</v>
      </c>
      <c r="N478" s="837">
        <v>0</v>
      </c>
      <c r="O478" s="837">
        <f t="shared" si="212"/>
        <v>0</v>
      </c>
      <c r="P478" s="837">
        <f t="shared" si="213"/>
        <v>0</v>
      </c>
      <c r="Q478" s="1264"/>
      <c r="R478" s="1264"/>
      <c r="S478" s="1264"/>
      <c r="T478" s="1264"/>
      <c r="U478" s="1264"/>
      <c r="V478" s="1264"/>
      <c r="W478" s="1264"/>
      <c r="X478" s="1264"/>
      <c r="Y478" s="1264"/>
      <c r="Z478" s="1264"/>
    </row>
    <row r="479" spans="1:26" ht="18.75" hidden="1">
      <c r="A479" s="1260"/>
      <c r="B479" s="1265"/>
      <c r="C479" s="1265"/>
      <c r="D479" s="1265"/>
      <c r="E479" s="1265" t="s">
        <v>19</v>
      </c>
      <c r="F479" s="1265"/>
      <c r="G479" s="1263"/>
      <c r="H479" s="169" t="s">
        <v>12</v>
      </c>
      <c r="I479" s="947"/>
      <c r="J479" s="947"/>
      <c r="K479" s="948"/>
      <c r="L479" s="837">
        <f ca="1">IFERROR(__xludf.DUMMYFUNCTION("IMPORTRANGE(""https://docs.google.com/spreadsheets/d/1QqKyyYR6Q21VydFLVH3TRQUabQu_ym0Zz7PgGX0-kHA/edit?usp=sharing"",""แผน!FV15"")"),0)</f>
        <v>0</v>
      </c>
      <c r="M479" s="837">
        <v>0</v>
      </c>
      <c r="N479" s="837">
        <v>0</v>
      </c>
      <c r="O479" s="837">
        <f t="shared" ca="1" si="212"/>
        <v>0</v>
      </c>
      <c r="P479" s="837">
        <f t="shared" si="213"/>
        <v>0</v>
      </c>
      <c r="Q479" s="1264"/>
      <c r="R479" s="1264"/>
      <c r="S479" s="1264"/>
      <c r="T479" s="1264"/>
      <c r="U479" s="1264"/>
      <c r="V479" s="1264"/>
      <c r="W479" s="1264"/>
      <c r="X479" s="1264"/>
      <c r="Y479" s="1264"/>
      <c r="Z479" s="1264"/>
    </row>
    <row r="480" spans="1:26" ht="19.5">
      <c r="A480" s="1267"/>
      <c r="B480" s="1268"/>
      <c r="C480" s="1242" t="s">
        <v>16</v>
      </c>
      <c r="D480" s="1276" t="s">
        <v>38</v>
      </c>
      <c r="E480" s="1270"/>
      <c r="F480" s="1271"/>
      <c r="G480" s="1272"/>
      <c r="H480" s="954"/>
      <c r="I480" s="830"/>
      <c r="J480" s="830"/>
      <c r="K480" s="831"/>
      <c r="L480" s="831"/>
      <c r="M480" s="831"/>
      <c r="N480" s="831"/>
      <c r="O480" s="831"/>
      <c r="P480" s="831"/>
      <c r="Q480" s="1244"/>
      <c r="R480" s="1244"/>
      <c r="S480" s="1244"/>
      <c r="T480" s="1244"/>
      <c r="U480" s="1244"/>
      <c r="V480" s="1244"/>
      <c r="W480" s="1244"/>
      <c r="X480" s="1244"/>
      <c r="Y480" s="1244"/>
      <c r="Z480" s="1244"/>
    </row>
    <row r="481" spans="1:26" ht="19.5">
      <c r="A481" s="1267"/>
      <c r="B481" s="1268"/>
      <c r="C481" s="1268"/>
      <c r="D481" s="1277" t="s">
        <v>206</v>
      </c>
      <c r="E481" s="1268"/>
      <c r="F481" s="1268"/>
      <c r="G481" s="954"/>
      <c r="H481" s="963"/>
      <c r="I481" s="830"/>
      <c r="J481" s="830"/>
      <c r="K481" s="831"/>
      <c r="L481" s="831"/>
      <c r="M481" s="831"/>
      <c r="N481" s="831"/>
      <c r="O481" s="831"/>
      <c r="P481" s="831"/>
      <c r="Q481" s="1244"/>
      <c r="R481" s="1244"/>
      <c r="S481" s="1244"/>
      <c r="T481" s="1244"/>
      <c r="U481" s="1244"/>
      <c r="V481" s="1244"/>
      <c r="W481" s="1244"/>
      <c r="X481" s="1244"/>
      <c r="Y481" s="1244"/>
      <c r="Z481" s="1244"/>
    </row>
    <row r="482" spans="1:26" ht="18.75">
      <c r="A482" s="1267"/>
      <c r="B482" s="1268"/>
      <c r="C482" s="1268"/>
      <c r="D482" s="1268"/>
      <c r="E482" s="1268" t="s">
        <v>207</v>
      </c>
      <c r="F482" s="1268"/>
      <c r="G482" s="954"/>
      <c r="H482" s="963"/>
      <c r="I482" s="830"/>
      <c r="J482" s="830"/>
      <c r="K482" s="831"/>
      <c r="L482" s="831"/>
      <c r="M482" s="831"/>
      <c r="N482" s="831"/>
      <c r="O482" s="831"/>
      <c r="P482" s="831"/>
      <c r="Q482" s="1244"/>
      <c r="R482" s="1244"/>
      <c r="S482" s="1244"/>
      <c r="T482" s="1244"/>
      <c r="U482" s="1244"/>
      <c r="V482" s="1244"/>
      <c r="W482" s="1244"/>
      <c r="X482" s="1244"/>
      <c r="Y482" s="1244"/>
      <c r="Z482" s="1244"/>
    </row>
    <row r="483" spans="1:26" ht="18.75">
      <c r="A483" s="1267"/>
      <c r="B483" s="1268"/>
      <c r="C483" s="1268"/>
      <c r="D483" s="1268"/>
      <c r="E483" s="1268"/>
      <c r="F483" s="1268" t="s">
        <v>208</v>
      </c>
      <c r="G483" s="954"/>
      <c r="H483" s="590" t="s">
        <v>46</v>
      </c>
      <c r="I483" s="830">
        <f ca="1">IFERROR(__xludf.DUMMYFUNCTION("IMPORTRANGE(""https://docs.google.com/spreadsheets/d/1QqKyyYR6Q21VydFLVH3TRQUabQu_ym0Zz7PgGX0-kHA/edit?usp=sharing"",""แผน!FY15"")"),450)</f>
        <v>450</v>
      </c>
      <c r="J483" s="959">
        <v>450</v>
      </c>
      <c r="K483" s="831">
        <f ca="1">IF(I483&gt;0,J483*100/I483,0)</f>
        <v>100</v>
      </c>
      <c r="L483" s="831"/>
      <c r="M483" s="831"/>
      <c r="N483" s="831"/>
      <c r="O483" s="831"/>
      <c r="P483" s="831"/>
      <c r="Q483" s="1244"/>
      <c r="R483" s="1244"/>
      <c r="S483" s="1244"/>
      <c r="T483" s="1244"/>
      <c r="U483" s="1244"/>
      <c r="V483" s="1244"/>
      <c r="W483" s="1244"/>
      <c r="X483" s="1244"/>
      <c r="Y483" s="1244"/>
      <c r="Z483" s="1244"/>
    </row>
    <row r="484" spans="1:26" ht="18.75">
      <c r="A484" s="1267"/>
      <c r="B484" s="1268"/>
      <c r="C484" s="1268"/>
      <c r="D484" s="1268"/>
      <c r="E484" s="1268"/>
      <c r="F484" s="1268" t="s">
        <v>209</v>
      </c>
      <c r="G484" s="954"/>
      <c r="H484" s="590" t="s">
        <v>35</v>
      </c>
      <c r="I484" s="830"/>
      <c r="J484" s="959">
        <v>65</v>
      </c>
      <c r="K484" s="831"/>
      <c r="L484" s="831"/>
      <c r="M484" s="831"/>
      <c r="N484" s="831"/>
      <c r="O484" s="831"/>
      <c r="P484" s="831"/>
      <c r="Q484" s="1244"/>
      <c r="R484" s="1244"/>
      <c r="S484" s="1244"/>
      <c r="T484" s="1244"/>
      <c r="U484" s="1244"/>
      <c r="V484" s="1244"/>
      <c r="W484" s="1244"/>
      <c r="X484" s="1244"/>
      <c r="Y484" s="1244"/>
      <c r="Z484" s="1244"/>
    </row>
    <row r="485" spans="1:26" ht="18.75">
      <c r="A485" s="1267"/>
      <c r="B485" s="1268"/>
      <c r="C485" s="1268"/>
      <c r="D485" s="1268"/>
      <c r="E485" s="1268"/>
      <c r="F485" s="1268" t="s">
        <v>210</v>
      </c>
      <c r="G485" s="954"/>
      <c r="H485" s="590" t="s">
        <v>35</v>
      </c>
      <c r="I485" s="830">
        <f ca="1">IFERROR(__xludf.DUMMYFUNCTION("IMPORTRANGE(""https://docs.google.com/spreadsheets/d/1QqKyyYR6Q21VydFLVH3TRQUabQu_ym0Zz7PgGX0-kHA/edit?usp=sharing"",""แผน!FZ15"")"),45)</f>
        <v>45</v>
      </c>
      <c r="J485" s="959">
        <v>65</v>
      </c>
      <c r="K485" s="831">
        <f ca="1">IF(I485&gt;0,J485*100/I485,0)</f>
        <v>144.44444444444446</v>
      </c>
      <c r="L485" s="831"/>
      <c r="M485" s="831"/>
      <c r="N485" s="831"/>
      <c r="O485" s="831"/>
      <c r="P485" s="831"/>
      <c r="Q485" s="1244"/>
      <c r="R485" s="1244"/>
      <c r="S485" s="1244"/>
      <c r="T485" s="1244"/>
      <c r="U485" s="1244"/>
      <c r="V485" s="1244"/>
      <c r="W485" s="1244"/>
      <c r="X485" s="1244"/>
      <c r="Y485" s="1244"/>
      <c r="Z485" s="1244"/>
    </row>
    <row r="486" spans="1:26" ht="18.75">
      <c r="A486" s="1267"/>
      <c r="B486" s="1268"/>
      <c r="C486" s="1268"/>
      <c r="D486" s="1268"/>
      <c r="E486" s="1268" t="s">
        <v>62</v>
      </c>
      <c r="F486" s="1268"/>
      <c r="G486" s="954"/>
      <c r="H486" s="590"/>
      <c r="I486" s="830"/>
      <c r="J486" s="830"/>
      <c r="K486" s="831"/>
      <c r="L486" s="831"/>
      <c r="M486" s="831"/>
      <c r="N486" s="831"/>
      <c r="O486" s="831"/>
      <c r="P486" s="831"/>
      <c r="Q486" s="1244"/>
      <c r="R486" s="1244"/>
      <c r="S486" s="1244"/>
      <c r="T486" s="1244"/>
      <c r="U486" s="1244"/>
      <c r="V486" s="1244"/>
      <c r="W486" s="1244"/>
      <c r="X486" s="1244"/>
      <c r="Y486" s="1244"/>
      <c r="Z486" s="1244"/>
    </row>
    <row r="487" spans="1:26" ht="18.75">
      <c r="A487" s="1267"/>
      <c r="B487" s="1268"/>
      <c r="C487" s="1268"/>
      <c r="D487" s="1268"/>
      <c r="E487" s="1268"/>
      <c r="F487" s="1268" t="s">
        <v>208</v>
      </c>
      <c r="G487" s="954"/>
      <c r="H487" s="590" t="s">
        <v>46</v>
      </c>
      <c r="I487" s="830">
        <f ca="1">IFERROR(__xludf.DUMMYFUNCTION("IMPORTRANGE(""https://docs.google.com/spreadsheets/d/1QqKyyYR6Q21VydFLVH3TRQUabQu_ym0Zz7PgGX0-kHA/edit?usp=sharing"",""แผน!GA15"")"),50)</f>
        <v>50</v>
      </c>
      <c r="J487" s="959">
        <v>50</v>
      </c>
      <c r="K487" s="831">
        <f ca="1">IF(I487&gt;0,J487*100/I487,0)</f>
        <v>100</v>
      </c>
      <c r="L487" s="831"/>
      <c r="M487" s="831"/>
      <c r="N487" s="831"/>
      <c r="O487" s="831"/>
      <c r="P487" s="831"/>
      <c r="Q487" s="1244"/>
      <c r="R487" s="1244"/>
      <c r="S487" s="1244"/>
      <c r="T487" s="1244"/>
      <c r="U487" s="1244"/>
      <c r="V487" s="1244"/>
      <c r="W487" s="1244"/>
      <c r="X487" s="1244"/>
      <c r="Y487" s="1244"/>
      <c r="Z487" s="1244"/>
    </row>
    <row r="488" spans="1:26" ht="18.75">
      <c r="A488" s="1267"/>
      <c r="B488" s="1268"/>
      <c r="C488" s="1268"/>
      <c r="D488" s="1268"/>
      <c r="E488" s="1268"/>
      <c r="F488" s="1268" t="s">
        <v>211</v>
      </c>
      <c r="G488" s="954"/>
      <c r="H488" s="590" t="s">
        <v>35</v>
      </c>
      <c r="I488" s="830"/>
      <c r="J488" s="959">
        <v>5</v>
      </c>
      <c r="K488" s="831"/>
      <c r="L488" s="831"/>
      <c r="M488" s="831"/>
      <c r="N488" s="831"/>
      <c r="O488" s="831"/>
      <c r="P488" s="831"/>
      <c r="Q488" s="1244"/>
      <c r="R488" s="1244"/>
      <c r="S488" s="1244"/>
      <c r="T488" s="1244"/>
      <c r="U488" s="1244"/>
      <c r="V488" s="1244"/>
      <c r="W488" s="1244"/>
      <c r="X488" s="1244"/>
      <c r="Y488" s="1244"/>
      <c r="Z488" s="1244"/>
    </row>
    <row r="489" spans="1:26" ht="18.75">
      <c r="A489" s="1267"/>
      <c r="B489" s="1268"/>
      <c r="C489" s="1268"/>
      <c r="D489" s="1268"/>
      <c r="E489" s="1268"/>
      <c r="F489" s="1268" t="s">
        <v>212</v>
      </c>
      <c r="G489" s="954"/>
      <c r="H489" s="590" t="s">
        <v>35</v>
      </c>
      <c r="I489" s="830">
        <f ca="1">IFERROR(__xludf.DUMMYFUNCTION("IMPORTRANGE(""https://docs.google.com/spreadsheets/d/1QqKyyYR6Q21VydFLVH3TRQUabQu_ym0Zz7PgGX0-kHA/edit?usp=sharing"",""แผน!GB15"")"),5)</f>
        <v>5</v>
      </c>
      <c r="J489" s="959">
        <v>5</v>
      </c>
      <c r="K489" s="831">
        <f ca="1">IF(I489&gt;0,J489*100/I489,0)</f>
        <v>100</v>
      </c>
      <c r="L489" s="831"/>
      <c r="M489" s="831"/>
      <c r="N489" s="831"/>
      <c r="O489" s="831"/>
      <c r="P489" s="831"/>
      <c r="Q489" s="1244"/>
      <c r="R489" s="1244"/>
      <c r="S489" s="1244"/>
      <c r="T489" s="1244"/>
      <c r="U489" s="1244"/>
      <c r="V489" s="1244"/>
      <c r="W489" s="1244"/>
      <c r="X489" s="1244"/>
      <c r="Y489" s="1244"/>
      <c r="Z489" s="1244"/>
    </row>
    <row r="490" spans="1:26" ht="18.75">
      <c r="A490" s="1267"/>
      <c r="B490" s="1268"/>
      <c r="C490" s="1268"/>
      <c r="D490" s="1268"/>
      <c r="E490" s="1268" t="s">
        <v>63</v>
      </c>
      <c r="F490" s="961"/>
      <c r="G490" s="954"/>
      <c r="H490" s="590"/>
      <c r="I490" s="830"/>
      <c r="J490" s="830"/>
      <c r="K490" s="831"/>
      <c r="L490" s="831"/>
      <c r="M490" s="831"/>
      <c r="N490" s="831"/>
      <c r="O490" s="831"/>
      <c r="P490" s="831"/>
      <c r="Q490" s="1244"/>
      <c r="R490" s="1244"/>
      <c r="S490" s="1244"/>
      <c r="T490" s="1244"/>
      <c r="U490" s="1244"/>
      <c r="V490" s="1244"/>
      <c r="W490" s="1244"/>
      <c r="X490" s="1244"/>
      <c r="Y490" s="1244"/>
      <c r="Z490" s="1244"/>
    </row>
    <row r="491" spans="1:26" ht="18.75">
      <c r="A491" s="1267"/>
      <c r="B491" s="1268"/>
      <c r="C491" s="1268"/>
      <c r="D491" s="1268"/>
      <c r="E491" s="1268"/>
      <c r="F491" s="1268" t="s">
        <v>213</v>
      </c>
      <c r="G491" s="954"/>
      <c r="H491" s="590" t="s">
        <v>35</v>
      </c>
      <c r="I491" s="830"/>
      <c r="J491" s="959">
        <v>1</v>
      </c>
      <c r="K491" s="831"/>
      <c r="L491" s="831"/>
      <c r="M491" s="831"/>
      <c r="N491" s="831"/>
      <c r="O491" s="831"/>
      <c r="P491" s="831"/>
      <c r="Q491" s="1244"/>
      <c r="R491" s="1244"/>
      <c r="S491" s="1244"/>
      <c r="T491" s="1244"/>
      <c r="U491" s="1244"/>
      <c r="V491" s="1244"/>
      <c r="W491" s="1244"/>
      <c r="X491" s="1244"/>
      <c r="Y491" s="1244"/>
      <c r="Z491" s="1244"/>
    </row>
    <row r="492" spans="1:26" ht="18.75">
      <c r="A492" s="1267"/>
      <c r="B492" s="1268"/>
      <c r="C492" s="1268"/>
      <c r="D492" s="1268"/>
      <c r="E492" s="1268"/>
      <c r="F492" s="1268" t="s">
        <v>214</v>
      </c>
      <c r="G492" s="954"/>
      <c r="H492" s="590" t="s">
        <v>35</v>
      </c>
      <c r="I492" s="830">
        <f ca="1">IFERROR(__xludf.DUMMYFUNCTION("IMPORTRANGE(""https://docs.google.com/spreadsheets/d/1QqKyyYR6Q21VydFLVH3TRQUabQu_ym0Zz7PgGX0-kHA/edit?usp=sharing"",""แผน!GC15"")"),1)</f>
        <v>1</v>
      </c>
      <c r="J492" s="959">
        <v>0</v>
      </c>
      <c r="K492" s="831">
        <f ca="1">IF(I492&gt;0,J492*100/I492,0)</f>
        <v>0</v>
      </c>
      <c r="L492" s="831"/>
      <c r="M492" s="831"/>
      <c r="N492" s="831"/>
      <c r="O492" s="831"/>
      <c r="P492" s="831"/>
      <c r="Q492" s="1244"/>
      <c r="R492" s="1244"/>
      <c r="S492" s="1244"/>
      <c r="T492" s="1244"/>
      <c r="U492" s="1244"/>
      <c r="V492" s="1244"/>
      <c r="W492" s="1244"/>
      <c r="X492" s="1244"/>
      <c r="Y492" s="1244"/>
      <c r="Z492" s="1244"/>
    </row>
    <row r="493" spans="1:26" ht="19.5">
      <c r="A493" s="1267"/>
      <c r="B493" s="1268"/>
      <c r="C493" s="1268"/>
      <c r="D493" s="1277" t="s">
        <v>59</v>
      </c>
      <c r="E493" s="1268"/>
      <c r="F493" s="961"/>
      <c r="G493" s="954"/>
      <c r="H493" s="963"/>
      <c r="I493" s="830"/>
      <c r="J493" s="830"/>
      <c r="K493" s="831"/>
      <c r="L493" s="831"/>
      <c r="M493" s="831"/>
      <c r="N493" s="831"/>
      <c r="O493" s="831"/>
      <c r="P493" s="831"/>
      <c r="Q493" s="1244"/>
      <c r="R493" s="1244"/>
      <c r="S493" s="1244"/>
      <c r="T493" s="1244"/>
      <c r="U493" s="1244"/>
      <c r="V493" s="1244"/>
      <c r="W493" s="1244"/>
      <c r="X493" s="1244"/>
      <c r="Y493" s="1244"/>
      <c r="Z493" s="1244"/>
    </row>
    <row r="494" spans="1:26" ht="18.75">
      <c r="A494" s="1267"/>
      <c r="B494" s="1268"/>
      <c r="C494" s="1268"/>
      <c r="D494" s="1268"/>
      <c r="E494" s="1268" t="s">
        <v>207</v>
      </c>
      <c r="F494" s="961"/>
      <c r="G494" s="954"/>
      <c r="H494" s="963"/>
      <c r="I494" s="830"/>
      <c r="J494" s="830"/>
      <c r="K494" s="831"/>
      <c r="L494" s="831"/>
      <c r="M494" s="831"/>
      <c r="N494" s="831"/>
      <c r="O494" s="831"/>
      <c r="P494" s="831"/>
      <c r="Q494" s="1244"/>
      <c r="R494" s="1244"/>
      <c r="S494" s="1244"/>
      <c r="T494" s="1244"/>
      <c r="U494" s="1244"/>
      <c r="V494" s="1244"/>
      <c r="W494" s="1244"/>
      <c r="X494" s="1244"/>
      <c r="Y494" s="1244"/>
      <c r="Z494" s="1244"/>
    </row>
    <row r="495" spans="1:26" ht="18.75">
      <c r="A495" s="1267"/>
      <c r="B495" s="1268"/>
      <c r="C495" s="1268"/>
      <c r="D495" s="1268"/>
      <c r="E495" s="1268"/>
      <c r="F495" s="961" t="s">
        <v>215</v>
      </c>
      <c r="G495" s="954"/>
      <c r="H495" s="590" t="s">
        <v>46</v>
      </c>
      <c r="I495" s="830">
        <f ca="1">IFERROR(__xludf.DUMMYFUNCTION("IMPORTRANGE(""https://docs.google.com/spreadsheets/d/1QqKyyYR6Q21VydFLVH3TRQUabQu_ym0Zz7PgGX0-kHA/edit?usp=sharing"",""แผน!FY15"")"),450)</f>
        <v>450</v>
      </c>
      <c r="J495" s="959">
        <v>0</v>
      </c>
      <c r="K495" s="831">
        <f ca="1">IF(I495&gt;0,J495*100/I495,0)</f>
        <v>0</v>
      </c>
      <c r="L495" s="831"/>
      <c r="M495" s="831"/>
      <c r="N495" s="831"/>
      <c r="O495" s="831"/>
      <c r="P495" s="831"/>
      <c r="Q495" s="1244"/>
      <c r="R495" s="1244"/>
      <c r="S495" s="1244"/>
      <c r="T495" s="1244"/>
      <c r="U495" s="1244"/>
      <c r="V495" s="1244"/>
      <c r="W495" s="1244"/>
      <c r="X495" s="1244"/>
      <c r="Y495" s="1244"/>
      <c r="Z495" s="1244"/>
    </row>
    <row r="496" spans="1:26" ht="18.75">
      <c r="A496" s="1267"/>
      <c r="B496" s="1268"/>
      <c r="C496" s="1268"/>
      <c r="D496" s="1268"/>
      <c r="E496" s="1268"/>
      <c r="F496" s="961" t="s">
        <v>216</v>
      </c>
      <c r="G496" s="954"/>
      <c r="H496" s="590" t="s">
        <v>46</v>
      </c>
      <c r="I496" s="830"/>
      <c r="J496" s="959">
        <v>0</v>
      </c>
      <c r="K496" s="831"/>
      <c r="L496" s="831"/>
      <c r="M496" s="831"/>
      <c r="N496" s="831"/>
      <c r="O496" s="831"/>
      <c r="P496" s="831"/>
      <c r="Q496" s="1244"/>
      <c r="R496" s="1244"/>
      <c r="S496" s="1244"/>
      <c r="T496" s="1244"/>
      <c r="U496" s="1244"/>
      <c r="V496" s="1244"/>
      <c r="W496" s="1244"/>
      <c r="X496" s="1244"/>
      <c r="Y496" s="1244"/>
      <c r="Z496" s="1244"/>
    </row>
    <row r="497" spans="1:26" ht="18.75">
      <c r="A497" s="1267"/>
      <c r="B497" s="1268"/>
      <c r="C497" s="1268"/>
      <c r="D497" s="1268"/>
      <c r="E497" s="1268" t="s">
        <v>62</v>
      </c>
      <c r="F497" s="961"/>
      <c r="G497" s="954"/>
      <c r="H497" s="963"/>
      <c r="I497" s="830"/>
      <c r="J497" s="830"/>
      <c r="K497" s="831"/>
      <c r="L497" s="831"/>
      <c r="M497" s="831"/>
      <c r="N497" s="831"/>
      <c r="O497" s="831"/>
      <c r="P497" s="831"/>
      <c r="Q497" s="1244"/>
      <c r="R497" s="1244"/>
      <c r="S497" s="1244"/>
      <c r="T497" s="1244"/>
      <c r="U497" s="1244"/>
      <c r="V497" s="1244"/>
      <c r="W497" s="1244"/>
      <c r="X497" s="1244"/>
      <c r="Y497" s="1244"/>
      <c r="Z497" s="1244"/>
    </row>
    <row r="498" spans="1:26" ht="18.75">
      <c r="A498" s="1267"/>
      <c r="B498" s="1268"/>
      <c r="C498" s="1268"/>
      <c r="D498" s="1268"/>
      <c r="E498" s="961"/>
      <c r="F498" s="961" t="s">
        <v>217</v>
      </c>
      <c r="G498" s="954"/>
      <c r="H498" s="590" t="s">
        <v>46</v>
      </c>
      <c r="I498" s="830">
        <f ca="1">IFERROR(__xludf.DUMMYFUNCTION("IMPORTRANGE(""https://docs.google.com/spreadsheets/d/1QqKyyYR6Q21VydFLVH3TRQUabQu_ym0Zz7PgGX0-kHA/edit?usp=sharing"",""แผน!GA15"")"),50)</f>
        <v>50</v>
      </c>
      <c r="J498" s="959">
        <v>0</v>
      </c>
      <c r="K498" s="831">
        <f ca="1">IF(I498&gt;0,J498*100/I498,0)</f>
        <v>0</v>
      </c>
      <c r="L498" s="831"/>
      <c r="M498" s="831"/>
      <c r="N498" s="831"/>
      <c r="O498" s="831"/>
      <c r="P498" s="831"/>
      <c r="Q498" s="1244"/>
      <c r="R498" s="1244"/>
      <c r="S498" s="1244"/>
      <c r="T498" s="1244"/>
      <c r="U498" s="1244"/>
      <c r="V498" s="1244"/>
      <c r="W498" s="1244"/>
      <c r="X498" s="1244"/>
      <c r="Y498" s="1244"/>
      <c r="Z498" s="1244"/>
    </row>
    <row r="499" spans="1:26" ht="18.75">
      <c r="A499" s="1267"/>
      <c r="B499" s="1268"/>
      <c r="C499" s="1268"/>
      <c r="D499" s="1268"/>
      <c r="E499" s="961"/>
      <c r="F499" s="961" t="s">
        <v>218</v>
      </c>
      <c r="G499" s="954"/>
      <c r="H499" s="590" t="s">
        <v>46</v>
      </c>
      <c r="I499" s="830"/>
      <c r="J499" s="959">
        <v>0</v>
      </c>
      <c r="K499" s="831"/>
      <c r="L499" s="831"/>
      <c r="M499" s="831"/>
      <c r="N499" s="831"/>
      <c r="O499" s="831"/>
      <c r="P499" s="831"/>
      <c r="Q499" s="1244"/>
      <c r="R499" s="1244"/>
      <c r="S499" s="1244"/>
      <c r="T499" s="1244"/>
      <c r="U499" s="1244"/>
      <c r="V499" s="1244"/>
      <c r="W499" s="1244"/>
      <c r="X499" s="1244"/>
      <c r="Y499" s="1244"/>
      <c r="Z499" s="1244"/>
    </row>
    <row r="500" spans="1:26" ht="19.5" hidden="1">
      <c r="A500" s="594">
        <v>4</v>
      </c>
      <c r="B500" s="1278" t="s">
        <v>219</v>
      </c>
      <c r="C500" s="1279"/>
      <c r="D500" s="1280"/>
      <c r="E500" s="1280"/>
      <c r="F500" s="1280"/>
      <c r="G500" s="1281"/>
      <c r="H500" s="599" t="s">
        <v>109</v>
      </c>
      <c r="I500" s="1282"/>
      <c r="J500" s="1282">
        <f t="shared" ref="J500:J501" si="214">J516</f>
        <v>0</v>
      </c>
      <c r="K500" s="1283">
        <f t="shared" ref="K500:K501" si="215">IF(I500&gt;0,J500*100/I500,0)</f>
        <v>0</v>
      </c>
      <c r="L500" s="1284"/>
      <c r="M500" s="1284"/>
      <c r="N500" s="1284"/>
      <c r="O500" s="1284"/>
      <c r="P500" s="1284"/>
      <c r="Q500" s="1264"/>
      <c r="R500" s="1264"/>
      <c r="S500" s="1264"/>
      <c r="T500" s="1264"/>
      <c r="U500" s="1264"/>
      <c r="V500" s="1264"/>
      <c r="W500" s="1264"/>
      <c r="X500" s="1264"/>
      <c r="Y500" s="1264"/>
      <c r="Z500" s="1264"/>
    </row>
    <row r="501" spans="1:26" ht="19.5" hidden="1">
      <c r="A501" s="1285"/>
      <c r="B501" s="1286" t="s">
        <v>220</v>
      </c>
      <c r="C501" s="1286"/>
      <c r="D501" s="1287"/>
      <c r="E501" s="1287"/>
      <c r="F501" s="1287"/>
      <c r="G501" s="1288"/>
      <c r="H501" s="608" t="s">
        <v>35</v>
      </c>
      <c r="I501" s="1289"/>
      <c r="J501" s="1289">
        <f t="shared" si="214"/>
        <v>0</v>
      </c>
      <c r="K501" s="1290">
        <f t="shared" si="215"/>
        <v>0</v>
      </c>
      <c r="L501" s="1291"/>
      <c r="M501" s="1291"/>
      <c r="N501" s="1291"/>
      <c r="O501" s="1291"/>
      <c r="P501" s="1291"/>
      <c r="Q501" s="1264"/>
      <c r="R501" s="1264"/>
      <c r="S501" s="1264"/>
      <c r="T501" s="1264"/>
      <c r="U501" s="1264"/>
      <c r="V501" s="1264"/>
      <c r="W501" s="1264"/>
      <c r="X501" s="1264"/>
      <c r="Y501" s="1264"/>
      <c r="Z501" s="1264"/>
    </row>
    <row r="502" spans="1:26" ht="19.5" hidden="1">
      <c r="A502" s="1260"/>
      <c r="B502" s="1261"/>
      <c r="C502" s="1261" t="s">
        <v>16</v>
      </c>
      <c r="D502" s="1508" t="s">
        <v>17</v>
      </c>
      <c r="E502" s="1485"/>
      <c r="F502" s="1485"/>
      <c r="G502" s="1263"/>
      <c r="H502" s="612" t="s">
        <v>12</v>
      </c>
      <c r="I502" s="836"/>
      <c r="J502" s="836"/>
      <c r="K502" s="837"/>
      <c r="L502" s="1292">
        <f t="shared" ref="L502:N502" si="216">L503+L504</f>
        <v>0</v>
      </c>
      <c r="M502" s="1292">
        <f t="shared" si="216"/>
        <v>0</v>
      </c>
      <c r="N502" s="1292">
        <f t="shared" si="216"/>
        <v>0</v>
      </c>
      <c r="O502" s="1292">
        <f t="shared" ref="O502:O507" si="217">IF(L502&gt;0,N502*100/L502,0)</f>
        <v>0</v>
      </c>
      <c r="P502" s="1292">
        <f t="shared" ref="P502:P507" si="218">IF(M502&gt;0,N502*100/M502,0)</f>
        <v>0</v>
      </c>
      <c r="Q502" s="1264"/>
      <c r="R502" s="1264"/>
      <c r="S502" s="1264"/>
      <c r="T502" s="1264"/>
      <c r="U502" s="1264"/>
      <c r="V502" s="1264"/>
      <c r="W502" s="1264"/>
      <c r="X502" s="1264"/>
      <c r="Y502" s="1264"/>
      <c r="Z502" s="1264"/>
    </row>
    <row r="503" spans="1:26" ht="18.75" hidden="1">
      <c r="A503" s="1260"/>
      <c r="B503" s="1261"/>
      <c r="C503" s="1261"/>
      <c r="D503" s="1262"/>
      <c r="E503" s="1261" t="s">
        <v>184</v>
      </c>
      <c r="F503" s="1261"/>
      <c r="G503" s="1263"/>
      <c r="H503" s="165" t="s">
        <v>12</v>
      </c>
      <c r="I503" s="836"/>
      <c r="J503" s="836"/>
      <c r="K503" s="837"/>
      <c r="L503" s="837">
        <f t="shared" ref="L503:N504" si="219">L506+L513</f>
        <v>0</v>
      </c>
      <c r="M503" s="837">
        <f t="shared" si="219"/>
        <v>0</v>
      </c>
      <c r="N503" s="837">
        <f t="shared" si="219"/>
        <v>0</v>
      </c>
      <c r="O503" s="837">
        <f t="shared" si="217"/>
        <v>0</v>
      </c>
      <c r="P503" s="837">
        <f t="shared" si="218"/>
        <v>0</v>
      </c>
      <c r="Q503" s="1264"/>
      <c r="R503" s="1264"/>
      <c r="S503" s="1264"/>
      <c r="T503" s="1264"/>
      <c r="U503" s="1264"/>
      <c r="V503" s="1264"/>
      <c r="W503" s="1264"/>
      <c r="X503" s="1264"/>
      <c r="Y503" s="1264"/>
      <c r="Z503" s="1264"/>
    </row>
    <row r="504" spans="1:26" ht="18.75" hidden="1">
      <c r="A504" s="1260"/>
      <c r="B504" s="1265"/>
      <c r="C504" s="1261"/>
      <c r="D504" s="1262"/>
      <c r="E504" s="1261" t="s">
        <v>185</v>
      </c>
      <c r="F504" s="1261"/>
      <c r="G504" s="1263"/>
      <c r="H504" s="165" t="s">
        <v>12</v>
      </c>
      <c r="I504" s="836"/>
      <c r="J504" s="836"/>
      <c r="K504" s="837"/>
      <c r="L504" s="837">
        <f t="shared" si="219"/>
        <v>0</v>
      </c>
      <c r="M504" s="837">
        <f t="shared" si="219"/>
        <v>0</v>
      </c>
      <c r="N504" s="837">
        <f t="shared" si="219"/>
        <v>0</v>
      </c>
      <c r="O504" s="837">
        <f t="shared" si="217"/>
        <v>0</v>
      </c>
      <c r="P504" s="837">
        <f t="shared" si="218"/>
        <v>0</v>
      </c>
      <c r="Q504" s="1264"/>
      <c r="R504" s="1264"/>
      <c r="S504" s="1264"/>
      <c r="T504" s="1264"/>
      <c r="U504" s="1264"/>
      <c r="V504" s="1264"/>
      <c r="W504" s="1264"/>
      <c r="X504" s="1264"/>
      <c r="Y504" s="1264"/>
      <c r="Z504" s="1264"/>
    </row>
    <row r="505" spans="1:26" ht="18.75" hidden="1">
      <c r="A505" s="1260"/>
      <c r="B505" s="1265"/>
      <c r="C505" s="1261"/>
      <c r="D505" s="1293" t="s">
        <v>20</v>
      </c>
      <c r="E505" s="1261"/>
      <c r="F505" s="1261"/>
      <c r="G505" s="1263"/>
      <c r="H505" s="165" t="s">
        <v>12</v>
      </c>
      <c r="I505" s="947"/>
      <c r="J505" s="947"/>
      <c r="K505" s="948"/>
      <c r="L505" s="837">
        <f t="shared" ref="L505:N505" si="220">L506+L507</f>
        <v>0</v>
      </c>
      <c r="M505" s="837">
        <f t="shared" si="220"/>
        <v>0</v>
      </c>
      <c r="N505" s="837">
        <f t="shared" si="220"/>
        <v>0</v>
      </c>
      <c r="O505" s="837">
        <f t="shared" si="217"/>
        <v>0</v>
      </c>
      <c r="P505" s="837">
        <f t="shared" si="218"/>
        <v>0</v>
      </c>
      <c r="Q505" s="1264"/>
      <c r="R505" s="1264"/>
      <c r="S505" s="1264"/>
      <c r="T505" s="1264"/>
      <c r="U505" s="1264"/>
      <c r="V505" s="1264"/>
      <c r="W505" s="1264"/>
      <c r="X505" s="1264"/>
      <c r="Y505" s="1264"/>
      <c r="Z505" s="1264"/>
    </row>
    <row r="506" spans="1:26" ht="18.75" hidden="1">
      <c r="A506" s="1260"/>
      <c r="B506" s="1265"/>
      <c r="C506" s="1261"/>
      <c r="D506" s="1262"/>
      <c r="E506" s="1261" t="s">
        <v>184</v>
      </c>
      <c r="F506" s="1261"/>
      <c r="G506" s="1263"/>
      <c r="H506" s="165" t="s">
        <v>12</v>
      </c>
      <c r="I506" s="836"/>
      <c r="J506" s="836"/>
      <c r="K506" s="837"/>
      <c r="L506" s="837">
        <v>0</v>
      </c>
      <c r="M506" s="837">
        <v>0</v>
      </c>
      <c r="N506" s="837">
        <v>0</v>
      </c>
      <c r="O506" s="837">
        <f t="shared" si="217"/>
        <v>0</v>
      </c>
      <c r="P506" s="837">
        <f t="shared" si="218"/>
        <v>0</v>
      </c>
      <c r="Q506" s="1264"/>
      <c r="R506" s="1264"/>
      <c r="S506" s="1264"/>
      <c r="T506" s="1264"/>
      <c r="U506" s="1264"/>
      <c r="V506" s="1264"/>
      <c r="W506" s="1264"/>
      <c r="X506" s="1264"/>
      <c r="Y506" s="1264"/>
      <c r="Z506" s="1264"/>
    </row>
    <row r="507" spans="1:26" ht="18.75" hidden="1">
      <c r="A507" s="1260"/>
      <c r="B507" s="1265"/>
      <c r="C507" s="1261"/>
      <c r="D507" s="1262"/>
      <c r="E507" s="1261" t="s">
        <v>185</v>
      </c>
      <c r="F507" s="1261"/>
      <c r="G507" s="1263"/>
      <c r="H507" s="165" t="s">
        <v>12</v>
      </c>
      <c r="I507" s="836"/>
      <c r="J507" s="836"/>
      <c r="K507" s="837"/>
      <c r="L507" s="837">
        <v>0</v>
      </c>
      <c r="M507" s="837">
        <v>0</v>
      </c>
      <c r="N507" s="837">
        <f>N508+N509+N510+N511</f>
        <v>0</v>
      </c>
      <c r="O507" s="837">
        <f t="shared" si="217"/>
        <v>0</v>
      </c>
      <c r="P507" s="837">
        <f t="shared" si="218"/>
        <v>0</v>
      </c>
      <c r="Q507" s="1264"/>
      <c r="R507" s="1264"/>
      <c r="S507" s="1264"/>
      <c r="T507" s="1264"/>
      <c r="U507" s="1264"/>
      <c r="V507" s="1264"/>
      <c r="W507" s="1264"/>
      <c r="X507" s="1264"/>
      <c r="Y507" s="1264"/>
      <c r="Z507" s="1264"/>
    </row>
    <row r="508" spans="1:26" ht="18.75" hidden="1">
      <c r="A508" s="1294"/>
      <c r="B508" s="1265"/>
      <c r="C508" s="1261"/>
      <c r="D508" s="1261"/>
      <c r="E508" s="1261"/>
      <c r="F508" s="1261" t="s">
        <v>186</v>
      </c>
      <c r="G508" s="1263"/>
      <c r="H508" s="165" t="s">
        <v>12</v>
      </c>
      <c r="I508" s="836"/>
      <c r="J508" s="836"/>
      <c r="K508" s="837"/>
      <c r="L508" s="837"/>
      <c r="M508" s="837"/>
      <c r="N508" s="837">
        <v>0</v>
      </c>
      <c r="O508" s="837"/>
      <c r="P508" s="837"/>
      <c r="Q508" s="1264"/>
      <c r="R508" s="1264"/>
      <c r="S508" s="1264"/>
      <c r="T508" s="1264"/>
      <c r="U508" s="1264"/>
      <c r="V508" s="1264"/>
      <c r="W508" s="1264"/>
      <c r="X508" s="1264"/>
      <c r="Y508" s="1264"/>
      <c r="Z508" s="1264"/>
    </row>
    <row r="509" spans="1:26" ht="18.75" hidden="1">
      <c r="A509" s="1294"/>
      <c r="B509" s="1265"/>
      <c r="C509" s="1261"/>
      <c r="D509" s="1261"/>
      <c r="E509" s="1261"/>
      <c r="F509" s="1261" t="s">
        <v>187</v>
      </c>
      <c r="G509" s="1263"/>
      <c r="H509" s="165" t="s">
        <v>12</v>
      </c>
      <c r="I509" s="836"/>
      <c r="J509" s="836"/>
      <c r="K509" s="837"/>
      <c r="L509" s="837"/>
      <c r="M509" s="837"/>
      <c r="N509" s="837">
        <v>0</v>
      </c>
      <c r="O509" s="837"/>
      <c r="P509" s="837"/>
      <c r="Q509" s="1264"/>
      <c r="R509" s="1264"/>
      <c r="S509" s="1264"/>
      <c r="T509" s="1264"/>
      <c r="U509" s="1264"/>
      <c r="V509" s="1264"/>
      <c r="W509" s="1264"/>
      <c r="X509" s="1264"/>
      <c r="Y509" s="1264"/>
      <c r="Z509" s="1264"/>
    </row>
    <row r="510" spans="1:26" ht="18.75" hidden="1">
      <c r="A510" s="1294"/>
      <c r="B510" s="1265"/>
      <c r="C510" s="1265"/>
      <c r="D510" s="1265"/>
      <c r="E510" s="1261"/>
      <c r="F510" s="1261" t="s">
        <v>188</v>
      </c>
      <c r="G510" s="1263"/>
      <c r="H510" s="165" t="s">
        <v>12</v>
      </c>
      <c r="I510" s="836"/>
      <c r="J510" s="836"/>
      <c r="K510" s="837"/>
      <c r="L510" s="837"/>
      <c r="M510" s="837"/>
      <c r="N510" s="837">
        <v>0</v>
      </c>
      <c r="O510" s="837"/>
      <c r="P510" s="837"/>
      <c r="Q510" s="1264"/>
      <c r="R510" s="1264"/>
      <c r="S510" s="1264"/>
      <c r="T510" s="1264"/>
      <c r="U510" s="1264"/>
      <c r="V510" s="1264"/>
      <c r="W510" s="1264"/>
      <c r="X510" s="1264"/>
      <c r="Y510" s="1264"/>
      <c r="Z510" s="1264"/>
    </row>
    <row r="511" spans="1:26" ht="18.75" hidden="1">
      <c r="A511" s="1294"/>
      <c r="B511" s="1265"/>
      <c r="C511" s="1265"/>
      <c r="D511" s="1265"/>
      <c r="E511" s="1261"/>
      <c r="F511" s="1261" t="s">
        <v>189</v>
      </c>
      <c r="G511" s="1263"/>
      <c r="H511" s="165" t="s">
        <v>12</v>
      </c>
      <c r="I511" s="836"/>
      <c r="J511" s="836"/>
      <c r="K511" s="837"/>
      <c r="L511" s="837"/>
      <c r="M511" s="837"/>
      <c r="N511" s="837">
        <v>0</v>
      </c>
      <c r="O511" s="837"/>
      <c r="P511" s="837"/>
      <c r="Q511" s="1264"/>
      <c r="R511" s="1264"/>
      <c r="S511" s="1264"/>
      <c r="T511" s="1264"/>
      <c r="U511" s="1264"/>
      <c r="V511" s="1264"/>
      <c r="W511" s="1264"/>
      <c r="X511" s="1264"/>
      <c r="Y511" s="1264"/>
      <c r="Z511" s="1264"/>
    </row>
    <row r="512" spans="1:26" ht="18.75" hidden="1">
      <c r="A512" s="1260"/>
      <c r="B512" s="1265"/>
      <c r="C512" s="1265"/>
      <c r="D512" s="1293" t="s">
        <v>21</v>
      </c>
      <c r="E512" s="1265"/>
      <c r="F512" s="1261"/>
      <c r="G512" s="1263"/>
      <c r="H512" s="169" t="s">
        <v>12</v>
      </c>
      <c r="I512" s="947"/>
      <c r="J512" s="947"/>
      <c r="K512" s="948"/>
      <c r="L512" s="837">
        <f t="shared" ref="L512:N512" si="221">L513+L514</f>
        <v>0</v>
      </c>
      <c r="M512" s="837">
        <f t="shared" si="221"/>
        <v>0</v>
      </c>
      <c r="N512" s="837">
        <f t="shared" si="221"/>
        <v>0</v>
      </c>
      <c r="O512" s="837">
        <f t="shared" ref="O512:O514" si="222">IF(L512&gt;0,N512*100/L512,0)</f>
        <v>0</v>
      </c>
      <c r="P512" s="837">
        <f t="shared" ref="P512:P514" si="223">IF(M512&gt;0,N512*100/M512,0)</f>
        <v>0</v>
      </c>
      <c r="Q512" s="1264"/>
      <c r="R512" s="1264"/>
      <c r="S512" s="1264"/>
      <c r="T512" s="1264"/>
      <c r="U512" s="1264"/>
      <c r="V512" s="1264"/>
      <c r="W512" s="1264"/>
      <c r="X512" s="1264"/>
      <c r="Y512" s="1264"/>
      <c r="Z512" s="1264"/>
    </row>
    <row r="513" spans="1:26" ht="18.75" hidden="1">
      <c r="A513" s="1260"/>
      <c r="B513" s="1265"/>
      <c r="C513" s="1265"/>
      <c r="D513" s="1265"/>
      <c r="E513" s="1265" t="s">
        <v>18</v>
      </c>
      <c r="F513" s="1261"/>
      <c r="G513" s="1263"/>
      <c r="H513" s="165" t="s">
        <v>12</v>
      </c>
      <c r="I513" s="947"/>
      <c r="J513" s="947"/>
      <c r="K513" s="948"/>
      <c r="L513" s="837">
        <v>0</v>
      </c>
      <c r="M513" s="837">
        <v>0</v>
      </c>
      <c r="N513" s="837">
        <v>0</v>
      </c>
      <c r="O513" s="837">
        <f t="shared" si="222"/>
        <v>0</v>
      </c>
      <c r="P513" s="837">
        <f t="shared" si="223"/>
        <v>0</v>
      </c>
      <c r="Q513" s="1264"/>
      <c r="R513" s="1264"/>
      <c r="S513" s="1264"/>
      <c r="T513" s="1264"/>
      <c r="U513" s="1264"/>
      <c r="V513" s="1264"/>
      <c r="W513" s="1264"/>
      <c r="X513" s="1264"/>
      <c r="Y513" s="1264"/>
      <c r="Z513" s="1264"/>
    </row>
    <row r="514" spans="1:26" ht="18.75" hidden="1">
      <c r="A514" s="1260"/>
      <c r="B514" s="1265"/>
      <c r="C514" s="1265"/>
      <c r="D514" s="1261"/>
      <c r="E514" s="1265" t="s">
        <v>19</v>
      </c>
      <c r="F514" s="1261"/>
      <c r="G514" s="1263"/>
      <c r="H514" s="169" t="s">
        <v>12</v>
      </c>
      <c r="I514" s="947"/>
      <c r="J514" s="947"/>
      <c r="K514" s="948"/>
      <c r="L514" s="837">
        <v>0</v>
      </c>
      <c r="M514" s="837">
        <v>0</v>
      </c>
      <c r="N514" s="837">
        <v>0</v>
      </c>
      <c r="O514" s="837">
        <f t="shared" si="222"/>
        <v>0</v>
      </c>
      <c r="P514" s="837">
        <f t="shared" si="223"/>
        <v>0</v>
      </c>
      <c r="Q514" s="1264"/>
      <c r="R514" s="1264"/>
      <c r="S514" s="1264"/>
      <c r="T514" s="1264"/>
      <c r="U514" s="1264"/>
      <c r="V514" s="1264"/>
      <c r="W514" s="1264"/>
      <c r="X514" s="1264"/>
      <c r="Y514" s="1264"/>
      <c r="Z514" s="1264"/>
    </row>
    <row r="515" spans="1:26" ht="19.5" hidden="1">
      <c r="A515" s="1273"/>
      <c r="B515" s="1274"/>
      <c r="C515" s="1265" t="s">
        <v>16</v>
      </c>
      <c r="D515" s="1295" t="s">
        <v>38</v>
      </c>
      <c r="E515" s="1296"/>
      <c r="F515" s="1296"/>
      <c r="G515" s="1297"/>
      <c r="H515" s="1060"/>
      <c r="I515" s="947"/>
      <c r="J515" s="947"/>
      <c r="K515" s="948"/>
      <c r="L515" s="948"/>
      <c r="M515" s="948"/>
      <c r="N515" s="948"/>
      <c r="O515" s="948"/>
      <c r="P515" s="948"/>
      <c r="Q515" s="1264"/>
      <c r="R515" s="1264"/>
      <c r="S515" s="1264"/>
      <c r="T515" s="1264"/>
      <c r="U515" s="1264"/>
      <c r="V515" s="1264"/>
      <c r="W515" s="1264"/>
      <c r="X515" s="1264"/>
      <c r="Y515" s="1264"/>
      <c r="Z515" s="1264"/>
    </row>
    <row r="516" spans="1:26" ht="18.75" hidden="1">
      <c r="A516" s="1273"/>
      <c r="B516" s="1274"/>
      <c r="C516" s="1274"/>
      <c r="D516" s="1274" t="s">
        <v>221</v>
      </c>
      <c r="E516" s="1262"/>
      <c r="F516" s="1262"/>
      <c r="G516" s="1060"/>
      <c r="H516" s="619" t="s">
        <v>109</v>
      </c>
      <c r="I516" s="836"/>
      <c r="J516" s="836">
        <v>0</v>
      </c>
      <c r="K516" s="948">
        <f t="shared" ref="K516:K517" si="224">IF(I516&gt;0,J516*100/I516,0)</f>
        <v>0</v>
      </c>
      <c r="L516" s="948"/>
      <c r="M516" s="948"/>
      <c r="N516" s="948"/>
      <c r="O516" s="948"/>
      <c r="P516" s="948"/>
      <c r="Q516" s="1264"/>
      <c r="R516" s="1264"/>
      <c r="S516" s="1264"/>
      <c r="T516" s="1264"/>
      <c r="U516" s="1264"/>
      <c r="V516" s="1264"/>
      <c r="W516" s="1264"/>
      <c r="X516" s="1264"/>
      <c r="Y516" s="1264"/>
      <c r="Z516" s="1264"/>
    </row>
    <row r="517" spans="1:26" ht="19.5" hidden="1">
      <c r="A517" s="1273"/>
      <c r="B517" s="1274"/>
      <c r="C517" s="1274"/>
      <c r="D517" s="1274" t="s">
        <v>222</v>
      </c>
      <c r="E517" s="1262"/>
      <c r="F517" s="1262"/>
      <c r="G517" s="1060"/>
      <c r="H517" s="620" t="s">
        <v>35</v>
      </c>
      <c r="I517" s="1298"/>
      <c r="J517" s="1298">
        <f>J518+J519</f>
        <v>0</v>
      </c>
      <c r="K517" s="1299">
        <f t="shared" si="224"/>
        <v>0</v>
      </c>
      <c r="L517" s="948"/>
      <c r="M517" s="948"/>
      <c r="N517" s="948"/>
      <c r="O517" s="948"/>
      <c r="P517" s="948"/>
      <c r="Q517" s="1264"/>
      <c r="R517" s="1264"/>
      <c r="S517" s="1264"/>
      <c r="T517" s="1264"/>
      <c r="U517" s="1264"/>
      <c r="V517" s="1264"/>
      <c r="W517" s="1264"/>
      <c r="X517" s="1264"/>
      <c r="Y517" s="1264"/>
      <c r="Z517" s="1264"/>
    </row>
    <row r="518" spans="1:26" ht="18.75" hidden="1">
      <c r="A518" s="1273"/>
      <c r="B518" s="1274"/>
      <c r="C518" s="1274"/>
      <c r="D518" s="1274"/>
      <c r="E518" s="1274" t="s">
        <v>223</v>
      </c>
      <c r="F518" s="1262"/>
      <c r="G518" s="1060"/>
      <c r="H518" s="583" t="s">
        <v>35</v>
      </c>
      <c r="I518" s="836"/>
      <c r="J518" s="836"/>
      <c r="K518" s="948"/>
      <c r="L518" s="948"/>
      <c r="M518" s="948"/>
      <c r="N518" s="948"/>
      <c r="O518" s="948"/>
      <c r="P518" s="948"/>
      <c r="Q518" s="1264"/>
      <c r="R518" s="1264"/>
      <c r="S518" s="1264"/>
      <c r="T518" s="1264"/>
      <c r="U518" s="1264"/>
      <c r="V518" s="1264"/>
      <c r="W518" s="1264"/>
      <c r="X518" s="1264"/>
      <c r="Y518" s="1264"/>
      <c r="Z518" s="1264"/>
    </row>
    <row r="519" spans="1:26" ht="18.75" hidden="1">
      <c r="A519" s="1273"/>
      <c r="B519" s="1274"/>
      <c r="C519" s="1274"/>
      <c r="D519" s="1274"/>
      <c r="E519" s="1274" t="s">
        <v>224</v>
      </c>
      <c r="F519" s="1262"/>
      <c r="G519" s="1060"/>
      <c r="H519" s="619" t="s">
        <v>35</v>
      </c>
      <c r="I519" s="836"/>
      <c r="J519" s="836"/>
      <c r="K519" s="948"/>
      <c r="L519" s="948"/>
      <c r="M519" s="948"/>
      <c r="N519" s="948"/>
      <c r="O519" s="948"/>
      <c r="P519" s="948"/>
      <c r="Q519" s="1264"/>
      <c r="R519" s="1264"/>
      <c r="S519" s="1264"/>
      <c r="T519" s="1264"/>
      <c r="U519" s="1264"/>
      <c r="V519" s="1264"/>
      <c r="W519" s="1264"/>
      <c r="X519" s="1264"/>
      <c r="Y519" s="1264"/>
      <c r="Z519" s="1264"/>
    </row>
    <row r="520" spans="1:26" ht="19.5">
      <c r="A520" s="1300" t="s">
        <v>137</v>
      </c>
      <c r="B520" s="1301"/>
      <c r="C520" s="1301"/>
      <c r="D520" s="1302"/>
      <c r="E520" s="1302"/>
      <c r="F520" s="1302"/>
      <c r="G520" s="1303"/>
      <c r="H520" s="1304"/>
      <c r="I520" s="1305"/>
      <c r="J520" s="1305"/>
      <c r="K520" s="1306"/>
      <c r="L520" s="1306"/>
      <c r="M520" s="1306"/>
      <c r="N520" s="1306"/>
      <c r="O520" s="1306"/>
      <c r="P520" s="1306"/>
    </row>
    <row r="521" spans="1:26" ht="19.5" hidden="1">
      <c r="A521" s="630">
        <v>5</v>
      </c>
      <c r="B521" s="1307" t="s">
        <v>225</v>
      </c>
      <c r="C521" s="1308"/>
      <c r="D521" s="1309"/>
      <c r="E521" s="1309"/>
      <c r="F521" s="1309"/>
      <c r="G521" s="1309"/>
      <c r="H521" s="1310"/>
      <c r="I521" s="1311"/>
      <c r="J521" s="1311"/>
      <c r="K521" s="1312"/>
      <c r="L521" s="1312"/>
      <c r="M521" s="1312"/>
      <c r="N521" s="1312"/>
      <c r="O521" s="1312"/>
      <c r="P521" s="1312"/>
      <c r="Q521" s="1244"/>
      <c r="R521" s="1244"/>
      <c r="S521" s="1244"/>
      <c r="T521" s="1244"/>
      <c r="U521" s="1244"/>
      <c r="V521" s="1244"/>
      <c r="W521" s="1244"/>
      <c r="X521" s="1244"/>
      <c r="Y521" s="1244"/>
      <c r="Z521" s="1244"/>
    </row>
    <row r="522" spans="1:26" ht="19.5" hidden="1">
      <c r="A522" s="1313"/>
      <c r="B522" s="1314" t="s">
        <v>226</v>
      </c>
      <c r="C522" s="1315"/>
      <c r="D522" s="1315"/>
      <c r="E522" s="1315"/>
      <c r="F522" s="1315"/>
      <c r="G522" s="1316"/>
      <c r="H522" s="641" t="s">
        <v>35</v>
      </c>
      <c r="I522" s="1317">
        <f t="shared" ref="I522:J522" ca="1" si="225">I537</f>
        <v>0</v>
      </c>
      <c r="J522" s="1317">
        <f t="shared" ca="1" si="225"/>
        <v>0</v>
      </c>
      <c r="K522" s="1318">
        <f ca="1">IF(I522&gt;0,J522*100/I522,0)</f>
        <v>0</v>
      </c>
      <c r="L522" s="1319"/>
      <c r="M522" s="1319"/>
      <c r="N522" s="1319"/>
      <c r="O522" s="1319"/>
      <c r="P522" s="1319"/>
      <c r="Q522" s="1244"/>
      <c r="R522" s="1244"/>
      <c r="S522" s="1244"/>
      <c r="T522" s="1244"/>
      <c r="U522" s="1244"/>
      <c r="V522" s="1244"/>
      <c r="W522" s="1244"/>
      <c r="X522" s="1244"/>
      <c r="Y522" s="1244"/>
      <c r="Z522" s="1244"/>
    </row>
    <row r="523" spans="1:26" ht="19.5" hidden="1">
      <c r="A523" s="1259"/>
      <c r="B523" s="1243"/>
      <c r="C523" s="1243" t="s">
        <v>16</v>
      </c>
      <c r="D523" s="1507" t="s">
        <v>17</v>
      </c>
      <c r="E523" s="1485"/>
      <c r="F523" s="1485"/>
      <c r="G523" s="963"/>
      <c r="H523" s="563" t="s">
        <v>12</v>
      </c>
      <c r="I523" s="830"/>
      <c r="J523" s="830"/>
      <c r="K523" s="831"/>
      <c r="L523" s="967">
        <f t="shared" ref="L523:N523" ca="1" si="226">L524+L525</f>
        <v>0</v>
      </c>
      <c r="M523" s="967">
        <f t="shared" si="226"/>
        <v>0</v>
      </c>
      <c r="N523" s="967">
        <f t="shared" si="226"/>
        <v>0</v>
      </c>
      <c r="O523" s="967">
        <f t="shared" ref="O523:O528" ca="1" si="227">IF(L523&gt;0,N523*100/L523,0)</f>
        <v>0</v>
      </c>
      <c r="P523" s="967">
        <f t="shared" ref="P523:P528" si="228">IF(M523&gt;0,N523*100/M523,0)</f>
        <v>0</v>
      </c>
      <c r="Q523" s="1244"/>
      <c r="R523" s="1244"/>
      <c r="S523" s="1244"/>
      <c r="T523" s="1244"/>
      <c r="U523" s="1244"/>
      <c r="V523" s="1244"/>
      <c r="W523" s="1244"/>
      <c r="X523" s="1244"/>
      <c r="Y523" s="1244"/>
      <c r="Z523" s="1244"/>
    </row>
    <row r="524" spans="1:26" ht="18.75" hidden="1">
      <c r="A524" s="1260"/>
      <c r="B524" s="1261"/>
      <c r="C524" s="1261"/>
      <c r="D524" s="1262"/>
      <c r="E524" s="1261" t="s">
        <v>184</v>
      </c>
      <c r="F524" s="1261"/>
      <c r="G524" s="1263"/>
      <c r="H524" s="165" t="s">
        <v>12</v>
      </c>
      <c r="I524" s="836"/>
      <c r="J524" s="836"/>
      <c r="K524" s="837"/>
      <c r="L524" s="837">
        <f t="shared" ref="L524:N525" si="229">L527+L534</f>
        <v>0</v>
      </c>
      <c r="M524" s="837">
        <f t="shared" si="229"/>
        <v>0</v>
      </c>
      <c r="N524" s="837">
        <f t="shared" si="229"/>
        <v>0</v>
      </c>
      <c r="O524" s="837">
        <f t="shared" si="227"/>
        <v>0</v>
      </c>
      <c r="P524" s="837">
        <f t="shared" si="228"/>
        <v>0</v>
      </c>
      <c r="Q524" s="1264"/>
      <c r="R524" s="1264"/>
      <c r="S524" s="1264"/>
      <c r="T524" s="1264"/>
      <c r="U524" s="1264"/>
      <c r="V524" s="1264"/>
      <c r="W524" s="1264"/>
      <c r="X524" s="1264"/>
      <c r="Y524" s="1264"/>
      <c r="Z524" s="1264"/>
    </row>
    <row r="525" spans="1:26" ht="18.75" hidden="1">
      <c r="A525" s="1260"/>
      <c r="B525" s="1265"/>
      <c r="C525" s="1261"/>
      <c r="D525" s="1262"/>
      <c r="E525" s="1261" t="s">
        <v>185</v>
      </c>
      <c r="F525" s="1261"/>
      <c r="G525" s="1263"/>
      <c r="H525" s="165" t="s">
        <v>12</v>
      </c>
      <c r="I525" s="836"/>
      <c r="J525" s="836"/>
      <c r="K525" s="837"/>
      <c r="L525" s="837">
        <f t="shared" ca="1" si="229"/>
        <v>0</v>
      </c>
      <c r="M525" s="837">
        <f t="shared" si="229"/>
        <v>0</v>
      </c>
      <c r="N525" s="837">
        <f t="shared" si="229"/>
        <v>0</v>
      </c>
      <c r="O525" s="837">
        <f t="shared" ca="1" si="227"/>
        <v>0</v>
      </c>
      <c r="P525" s="837">
        <f t="shared" si="228"/>
        <v>0</v>
      </c>
      <c r="Q525" s="1264"/>
      <c r="R525" s="1264"/>
      <c r="S525" s="1264"/>
      <c r="T525" s="1264"/>
      <c r="U525" s="1264"/>
      <c r="V525" s="1264"/>
      <c r="W525" s="1264"/>
      <c r="X525" s="1264"/>
      <c r="Y525" s="1264"/>
      <c r="Z525" s="1264"/>
    </row>
    <row r="526" spans="1:26" ht="18.75" hidden="1">
      <c r="A526" s="1259"/>
      <c r="B526" s="1242"/>
      <c r="C526" s="1243"/>
      <c r="D526" s="1266" t="s">
        <v>20</v>
      </c>
      <c r="E526" s="1243"/>
      <c r="F526" s="1243"/>
      <c r="G526" s="963"/>
      <c r="H526" s="778" t="s">
        <v>12</v>
      </c>
      <c r="I526" s="944"/>
      <c r="J526" s="944"/>
      <c r="K526" s="945"/>
      <c r="L526" s="831">
        <f t="shared" ref="L526:N526" ca="1" si="230">L527+L528</f>
        <v>0</v>
      </c>
      <c r="M526" s="831">
        <f t="shared" si="230"/>
        <v>0</v>
      </c>
      <c r="N526" s="831">
        <f t="shared" si="230"/>
        <v>0</v>
      </c>
      <c r="O526" s="831">
        <f t="shared" ca="1" si="227"/>
        <v>0</v>
      </c>
      <c r="P526" s="831">
        <f t="shared" si="228"/>
        <v>0</v>
      </c>
      <c r="Q526" s="1244"/>
      <c r="R526" s="1244"/>
      <c r="S526" s="1244"/>
      <c r="T526" s="1244"/>
      <c r="U526" s="1244"/>
      <c r="V526" s="1244"/>
      <c r="W526" s="1244"/>
      <c r="X526" s="1244"/>
      <c r="Y526" s="1244"/>
      <c r="Z526" s="1244"/>
    </row>
    <row r="527" spans="1:26" ht="18.75" hidden="1">
      <c r="A527" s="1260"/>
      <c r="B527" s="1265"/>
      <c r="C527" s="1261"/>
      <c r="D527" s="1262"/>
      <c r="E527" s="1261" t="s">
        <v>184</v>
      </c>
      <c r="F527" s="1261"/>
      <c r="G527" s="1263"/>
      <c r="H527" s="165" t="s">
        <v>12</v>
      </c>
      <c r="I527" s="836"/>
      <c r="J527" s="836"/>
      <c r="K527" s="837"/>
      <c r="L527" s="837">
        <v>0</v>
      </c>
      <c r="M527" s="837">
        <v>0</v>
      </c>
      <c r="N527" s="837">
        <v>0</v>
      </c>
      <c r="O527" s="837">
        <f t="shared" si="227"/>
        <v>0</v>
      </c>
      <c r="P527" s="837">
        <f t="shared" si="228"/>
        <v>0</v>
      </c>
      <c r="Q527" s="1264"/>
      <c r="R527" s="1264"/>
      <c r="S527" s="1264"/>
      <c r="T527" s="1264"/>
      <c r="U527" s="1264"/>
      <c r="V527" s="1264"/>
      <c r="W527" s="1264"/>
      <c r="X527" s="1264"/>
      <c r="Y527" s="1264"/>
      <c r="Z527" s="1264"/>
    </row>
    <row r="528" spans="1:26" ht="18.75" hidden="1">
      <c r="A528" s="1260"/>
      <c r="B528" s="1265"/>
      <c r="C528" s="1261"/>
      <c r="D528" s="1262"/>
      <c r="E528" s="1261" t="s">
        <v>185</v>
      </c>
      <c r="F528" s="1261"/>
      <c r="G528" s="1263"/>
      <c r="H528" s="165" t="s">
        <v>12</v>
      </c>
      <c r="I528" s="836"/>
      <c r="J528" s="836"/>
      <c r="K528" s="837"/>
      <c r="L528" s="837">
        <f ca="1">IFERROR(__xludf.DUMMYFUNCTION("IMPORTRANGE(""https://docs.google.com/spreadsheets/d/1QqKyyYR6Q21VydFLVH3TRQUabQu_ym0Zz7PgGX0-kHA/edit?usp=sharing"",""แผน!GQ15"")"),0)</f>
        <v>0</v>
      </c>
      <c r="M528" s="837">
        <v>0</v>
      </c>
      <c r="N528" s="837">
        <f>N529+N530+N531+N532</f>
        <v>0</v>
      </c>
      <c r="O528" s="837">
        <f t="shared" ca="1" si="227"/>
        <v>0</v>
      </c>
      <c r="P528" s="837">
        <f t="shared" si="228"/>
        <v>0</v>
      </c>
      <c r="Q528" s="1264"/>
      <c r="R528" s="1264"/>
      <c r="S528" s="1264"/>
      <c r="T528" s="1264"/>
      <c r="U528" s="1264"/>
      <c r="V528" s="1264"/>
      <c r="W528" s="1264"/>
      <c r="X528" s="1264"/>
      <c r="Y528" s="1264"/>
      <c r="Z528" s="1264"/>
    </row>
    <row r="529" spans="1:26" ht="18.75" hidden="1">
      <c r="A529" s="1241"/>
      <c r="B529" s="1242"/>
      <c r="C529" s="1243"/>
      <c r="D529" s="1243"/>
      <c r="E529" s="1243"/>
      <c r="F529" s="1243" t="s">
        <v>186</v>
      </c>
      <c r="G529" s="963"/>
      <c r="H529" s="778" t="s">
        <v>12</v>
      </c>
      <c r="I529" s="830"/>
      <c r="J529" s="830"/>
      <c r="K529" s="831"/>
      <c r="L529" s="831"/>
      <c r="M529" s="831"/>
      <c r="N529" s="1031">
        <v>0</v>
      </c>
      <c r="O529" s="831"/>
      <c r="P529" s="831"/>
      <c r="Q529" s="1244"/>
      <c r="R529" s="1244"/>
      <c r="S529" s="1244"/>
      <c r="T529" s="1244"/>
      <c r="U529" s="1244"/>
      <c r="V529" s="1244"/>
      <c r="W529" s="1244"/>
      <c r="X529" s="1244"/>
      <c r="Y529" s="1244"/>
      <c r="Z529" s="1244"/>
    </row>
    <row r="530" spans="1:26" ht="18.75" hidden="1">
      <c r="A530" s="1241"/>
      <c r="B530" s="1242"/>
      <c r="C530" s="1243"/>
      <c r="D530" s="1243"/>
      <c r="E530" s="1243"/>
      <c r="F530" s="1243" t="s">
        <v>187</v>
      </c>
      <c r="G530" s="963"/>
      <c r="H530" s="778" t="s">
        <v>12</v>
      </c>
      <c r="I530" s="830"/>
      <c r="J530" s="830"/>
      <c r="K530" s="831"/>
      <c r="L530" s="831"/>
      <c r="M530" s="831"/>
      <c r="N530" s="1031">
        <v>0</v>
      </c>
      <c r="O530" s="831"/>
      <c r="P530" s="831"/>
      <c r="Q530" s="1244"/>
      <c r="R530" s="1244"/>
      <c r="S530" s="1244"/>
      <c r="T530" s="1244"/>
      <c r="U530" s="1244"/>
      <c r="V530" s="1244"/>
      <c r="W530" s="1244"/>
      <c r="X530" s="1244"/>
      <c r="Y530" s="1244"/>
      <c r="Z530" s="1244"/>
    </row>
    <row r="531" spans="1:26" ht="18.75" hidden="1">
      <c r="A531" s="1241"/>
      <c r="B531" s="1242"/>
      <c r="C531" s="1243"/>
      <c r="D531" s="1243"/>
      <c r="E531" s="1243"/>
      <c r="F531" s="1243" t="s">
        <v>188</v>
      </c>
      <c r="G531" s="963"/>
      <c r="H531" s="778" t="s">
        <v>12</v>
      </c>
      <c r="I531" s="830"/>
      <c r="J531" s="830"/>
      <c r="K531" s="831"/>
      <c r="L531" s="831"/>
      <c r="M531" s="831"/>
      <c r="N531" s="1031">
        <v>0</v>
      </c>
      <c r="O531" s="831"/>
      <c r="P531" s="831"/>
      <c r="Q531" s="1244"/>
      <c r="R531" s="1244"/>
      <c r="S531" s="1244"/>
      <c r="T531" s="1244"/>
      <c r="U531" s="1244"/>
      <c r="V531" s="1244"/>
      <c r="W531" s="1244"/>
      <c r="X531" s="1244"/>
      <c r="Y531" s="1244"/>
      <c r="Z531" s="1244"/>
    </row>
    <row r="532" spans="1:26" ht="18.75" hidden="1">
      <c r="A532" s="1241"/>
      <c r="B532" s="1242"/>
      <c r="C532" s="1243"/>
      <c r="D532" s="1243"/>
      <c r="E532" s="1243"/>
      <c r="F532" s="1243" t="s">
        <v>189</v>
      </c>
      <c r="G532" s="963"/>
      <c r="H532" s="778" t="s">
        <v>12</v>
      </c>
      <c r="I532" s="830"/>
      <c r="J532" s="830"/>
      <c r="K532" s="831"/>
      <c r="L532" s="831"/>
      <c r="M532" s="831"/>
      <c r="N532" s="1031">
        <v>0</v>
      </c>
      <c r="O532" s="831"/>
      <c r="P532" s="831"/>
      <c r="Q532" s="1244"/>
      <c r="R532" s="1244"/>
      <c r="S532" s="1244"/>
      <c r="T532" s="1244"/>
      <c r="U532" s="1244"/>
      <c r="V532" s="1244"/>
      <c r="W532" s="1244"/>
      <c r="X532" s="1244"/>
      <c r="Y532" s="1244"/>
      <c r="Z532" s="1244"/>
    </row>
    <row r="533" spans="1:26" ht="18.75" hidden="1">
      <c r="A533" s="1259"/>
      <c r="B533" s="1242"/>
      <c r="C533" s="1243"/>
      <c r="D533" s="1266" t="s">
        <v>21</v>
      </c>
      <c r="E533" s="1243"/>
      <c r="F533" s="1243"/>
      <c r="G533" s="963"/>
      <c r="H533" s="168" t="s">
        <v>12</v>
      </c>
      <c r="I533" s="944"/>
      <c r="J533" s="944"/>
      <c r="K533" s="945"/>
      <c r="L533" s="831">
        <f t="shared" ref="L533:N533" ca="1" si="231">L534+L535</f>
        <v>0</v>
      </c>
      <c r="M533" s="831">
        <f t="shared" si="231"/>
        <v>0</v>
      </c>
      <c r="N533" s="831">
        <f t="shared" si="231"/>
        <v>0</v>
      </c>
      <c r="O533" s="831">
        <f t="shared" ref="O533:O535" ca="1" si="232">IF(L533&gt;0,N533*100/L533,0)</f>
        <v>0</v>
      </c>
      <c r="P533" s="831">
        <f t="shared" ref="P533:P535" si="233">IF(M533&gt;0,N533*100/M533,0)</f>
        <v>0</v>
      </c>
      <c r="Q533" s="1244"/>
      <c r="R533" s="1244"/>
      <c r="S533" s="1244"/>
      <c r="T533" s="1244"/>
      <c r="U533" s="1244"/>
      <c r="V533" s="1244"/>
      <c r="W533" s="1244"/>
      <c r="X533" s="1244"/>
      <c r="Y533" s="1244"/>
      <c r="Z533" s="1244"/>
    </row>
    <row r="534" spans="1:26" ht="18.75" hidden="1">
      <c r="A534" s="1260"/>
      <c r="B534" s="1265"/>
      <c r="C534" s="1261"/>
      <c r="D534" s="1261"/>
      <c r="E534" s="1261" t="s">
        <v>18</v>
      </c>
      <c r="F534" s="1261"/>
      <c r="G534" s="1263"/>
      <c r="H534" s="165" t="s">
        <v>12</v>
      </c>
      <c r="I534" s="947"/>
      <c r="J534" s="947"/>
      <c r="K534" s="948"/>
      <c r="L534" s="837">
        <v>0</v>
      </c>
      <c r="M534" s="837">
        <v>0</v>
      </c>
      <c r="N534" s="837">
        <v>0</v>
      </c>
      <c r="O534" s="837">
        <f t="shared" si="232"/>
        <v>0</v>
      </c>
      <c r="P534" s="837">
        <f t="shared" si="233"/>
        <v>0</v>
      </c>
      <c r="Q534" s="1264"/>
      <c r="R534" s="1264"/>
      <c r="S534" s="1264"/>
      <c r="T534" s="1264"/>
      <c r="U534" s="1264"/>
      <c r="V534" s="1264"/>
      <c r="W534" s="1264"/>
      <c r="X534" s="1264"/>
      <c r="Y534" s="1264"/>
      <c r="Z534" s="1264"/>
    </row>
    <row r="535" spans="1:26" ht="18.75" hidden="1">
      <c r="A535" s="1260"/>
      <c r="B535" s="1265"/>
      <c r="C535" s="1261"/>
      <c r="D535" s="1261"/>
      <c r="E535" s="1261" t="s">
        <v>19</v>
      </c>
      <c r="F535" s="1261"/>
      <c r="G535" s="1263"/>
      <c r="H535" s="169" t="s">
        <v>12</v>
      </c>
      <c r="I535" s="947"/>
      <c r="J535" s="947"/>
      <c r="K535" s="948"/>
      <c r="L535" s="837">
        <f ca="1">IFERROR(__xludf.DUMMYFUNCTION("IMPORTRANGE(""https://docs.google.com/spreadsheets/d/1QqKyyYR6Q21VydFLVH3TRQUabQu_ym0Zz7PgGX0-kHA/edit?usp=sharing"",""แผน!GT15"")"),0)</f>
        <v>0</v>
      </c>
      <c r="M535" s="837">
        <v>0</v>
      </c>
      <c r="N535" s="837">
        <v>0</v>
      </c>
      <c r="O535" s="837">
        <f t="shared" ca="1" si="232"/>
        <v>0</v>
      </c>
      <c r="P535" s="837">
        <f t="shared" si="233"/>
        <v>0</v>
      </c>
      <c r="Q535" s="1264"/>
      <c r="R535" s="1264"/>
      <c r="S535" s="1264"/>
      <c r="T535" s="1264"/>
      <c r="U535" s="1264"/>
      <c r="V535" s="1264"/>
      <c r="W535" s="1264"/>
      <c r="X535" s="1264"/>
      <c r="Y535" s="1264"/>
      <c r="Z535" s="1264"/>
    </row>
    <row r="536" spans="1:26" ht="19.5" hidden="1">
      <c r="A536" s="1267"/>
      <c r="B536" s="1268"/>
      <c r="C536" s="1243" t="s">
        <v>16</v>
      </c>
      <c r="D536" s="1320" t="s">
        <v>38</v>
      </c>
      <c r="E536" s="1271"/>
      <c r="F536" s="1271"/>
      <c r="G536" s="1272"/>
      <c r="H536" s="954"/>
      <c r="I536" s="944"/>
      <c r="J536" s="944"/>
      <c r="K536" s="945"/>
      <c r="L536" s="945"/>
      <c r="M536" s="945"/>
      <c r="N536" s="945"/>
      <c r="O536" s="945"/>
      <c r="P536" s="945"/>
      <c r="Q536" s="1244"/>
      <c r="R536" s="1244"/>
      <c r="S536" s="1244"/>
      <c r="T536" s="1244"/>
      <c r="U536" s="1244"/>
      <c r="V536" s="1244"/>
      <c r="W536" s="1244"/>
      <c r="X536" s="1244"/>
      <c r="Y536" s="1244"/>
      <c r="Z536" s="1244"/>
    </row>
    <row r="537" spans="1:26" ht="19.5" hidden="1">
      <c r="A537" s="1241"/>
      <c r="B537" s="1242"/>
      <c r="C537" s="1243"/>
      <c r="D537" s="1243" t="s">
        <v>227</v>
      </c>
      <c r="E537" s="1243"/>
      <c r="F537" s="1243"/>
      <c r="G537" s="963"/>
      <c r="H537" s="590" t="s">
        <v>35</v>
      </c>
      <c r="I537" s="966">
        <f ca="1">IFERROR(__xludf.DUMMYFUNCTION("IMPORTRANGE(""https://docs.google.com/spreadsheets/d/1QqKyyYR6Q21VydFLVH3TRQUabQu_ym0Zz7PgGX0-kHA/edit?usp=sharing"",""แผน!GU15"")"),0)</f>
        <v>0</v>
      </c>
      <c r="J537" s="966">
        <f ca="1">IF(AND(J538=I538,J539=I539,J540=I540,J541=I541),I537,0)</f>
        <v>0</v>
      </c>
      <c r="K537" s="831">
        <f t="shared" ref="K537:K543" ca="1" si="234">IF(I537&gt;0,J537*100/I537,0)</f>
        <v>0</v>
      </c>
      <c r="L537" s="831"/>
      <c r="M537" s="831"/>
      <c r="N537" s="831"/>
      <c r="O537" s="831"/>
      <c r="P537" s="831"/>
      <c r="Q537" s="1321"/>
      <c r="R537" s="1321"/>
      <c r="S537" s="1321"/>
      <c r="T537" s="1321"/>
      <c r="U537" s="1321"/>
      <c r="V537" s="1321"/>
      <c r="W537" s="1321"/>
      <c r="X537" s="1321"/>
      <c r="Y537" s="1321"/>
      <c r="Z537" s="1321"/>
    </row>
    <row r="538" spans="1:26" ht="18.75" hidden="1">
      <c r="A538" s="1241"/>
      <c r="B538" s="1242"/>
      <c r="C538" s="1243"/>
      <c r="D538" s="1243"/>
      <c r="E538" s="1243" t="s">
        <v>228</v>
      </c>
      <c r="F538" s="1243"/>
      <c r="G538" s="963"/>
      <c r="H538" s="590" t="s">
        <v>35</v>
      </c>
      <c r="I538" s="830">
        <f ca="1">IFERROR(__xludf.DUMMYFUNCTION("IMPORTRANGE(""https://docs.google.com/spreadsheets/d/1QqKyyYR6Q21VydFLVH3TRQUabQu_ym0Zz7PgGX0-kHA/edit?usp=sharing"",""แผน!GV15"")"),0)</f>
        <v>0</v>
      </c>
      <c r="J538" s="959">
        <v>0</v>
      </c>
      <c r="K538" s="831">
        <f t="shared" ca="1" si="234"/>
        <v>0</v>
      </c>
      <c r="L538" s="831"/>
      <c r="M538" s="831"/>
      <c r="N538" s="831"/>
      <c r="O538" s="831"/>
      <c r="P538" s="831"/>
      <c r="Q538" s="1321"/>
      <c r="R538" s="1321"/>
      <c r="S538" s="1321"/>
      <c r="T538" s="1321"/>
      <c r="U538" s="1321"/>
      <c r="V538" s="1321"/>
      <c r="W538" s="1321"/>
      <c r="X538" s="1321"/>
      <c r="Y538" s="1321"/>
      <c r="Z538" s="1321"/>
    </row>
    <row r="539" spans="1:26" ht="18.75" hidden="1">
      <c r="A539" s="1241"/>
      <c r="B539" s="1242"/>
      <c r="C539" s="1243"/>
      <c r="D539" s="1243"/>
      <c r="E539" s="1243" t="s">
        <v>229</v>
      </c>
      <c r="F539" s="1243"/>
      <c r="G539" s="963"/>
      <c r="H539" s="590" t="s">
        <v>35</v>
      </c>
      <c r="I539" s="830">
        <f ca="1">IFERROR(__xludf.DUMMYFUNCTION("IMPORTRANGE(""https://docs.google.com/spreadsheets/d/1QqKyyYR6Q21VydFLVH3TRQUabQu_ym0Zz7PgGX0-kHA/edit?usp=sharing"",""แผน!GW15"")"),0)</f>
        <v>0</v>
      </c>
      <c r="J539" s="959">
        <v>0</v>
      </c>
      <c r="K539" s="831">
        <f t="shared" ca="1" si="234"/>
        <v>0</v>
      </c>
      <c r="L539" s="831"/>
      <c r="M539" s="831"/>
      <c r="N539" s="831"/>
      <c r="O539" s="831"/>
      <c r="P539" s="831"/>
      <c r="Q539" s="1321"/>
      <c r="R539" s="1321"/>
      <c r="S539" s="1321"/>
      <c r="T539" s="1321"/>
      <c r="U539" s="1321"/>
      <c r="V539" s="1321"/>
      <c r="W539" s="1321"/>
      <c r="X539" s="1321"/>
      <c r="Y539" s="1321"/>
      <c r="Z539" s="1321"/>
    </row>
    <row r="540" spans="1:26" ht="18.75" hidden="1">
      <c r="A540" s="1241"/>
      <c r="B540" s="1242"/>
      <c r="C540" s="1243"/>
      <c r="D540" s="1243"/>
      <c r="E540" s="1243" t="s">
        <v>230</v>
      </c>
      <c r="F540" s="1243"/>
      <c r="G540" s="963"/>
      <c r="H540" s="590" t="s">
        <v>35</v>
      </c>
      <c r="I540" s="830">
        <f ca="1">IFERROR(__xludf.DUMMYFUNCTION("IMPORTRANGE(""https://docs.google.com/spreadsheets/d/1QqKyyYR6Q21VydFLVH3TRQUabQu_ym0Zz7PgGX0-kHA/edit?usp=sharing"",""แผน!GX15"")"),0)</f>
        <v>0</v>
      </c>
      <c r="J540" s="959">
        <v>0</v>
      </c>
      <c r="K540" s="831">
        <f t="shared" ca="1" si="234"/>
        <v>0</v>
      </c>
      <c r="L540" s="831"/>
      <c r="M540" s="831"/>
      <c r="N540" s="831"/>
      <c r="O540" s="831"/>
      <c r="P540" s="831"/>
      <c r="Q540" s="1321"/>
      <c r="R540" s="1321"/>
      <c r="S540" s="1321"/>
      <c r="T540" s="1321"/>
      <c r="U540" s="1321"/>
      <c r="V540" s="1321"/>
      <c r="W540" s="1321"/>
      <c r="X540" s="1321"/>
      <c r="Y540" s="1321"/>
      <c r="Z540" s="1321"/>
    </row>
    <row r="541" spans="1:26" ht="18.75" hidden="1">
      <c r="A541" s="1241"/>
      <c r="B541" s="1242"/>
      <c r="C541" s="1243"/>
      <c r="D541" s="1243"/>
      <c r="E541" s="1322" t="s">
        <v>231</v>
      </c>
      <c r="F541" s="1243"/>
      <c r="G541" s="963"/>
      <c r="H541" s="590" t="s">
        <v>35</v>
      </c>
      <c r="I541" s="830">
        <f ca="1">IFERROR(__xludf.DUMMYFUNCTION("IMPORTRANGE(""https://docs.google.com/spreadsheets/d/1QqKyyYR6Q21VydFLVH3TRQUabQu_ym0Zz7PgGX0-kHA/edit?usp=sharing"",""แผน!GY15"")"),0)</f>
        <v>0</v>
      </c>
      <c r="J541" s="959">
        <v>0</v>
      </c>
      <c r="K541" s="831">
        <f t="shared" ca="1" si="234"/>
        <v>0</v>
      </c>
      <c r="L541" s="831"/>
      <c r="M541" s="831"/>
      <c r="N541" s="831"/>
      <c r="O541" s="831"/>
      <c r="P541" s="831"/>
      <c r="Q541" s="1321"/>
      <c r="R541" s="1321"/>
      <c r="S541" s="1321"/>
      <c r="T541" s="1321"/>
      <c r="U541" s="1321"/>
      <c r="V541" s="1321"/>
      <c r="W541" s="1321"/>
      <c r="X541" s="1321"/>
      <c r="Y541" s="1321"/>
      <c r="Z541" s="1321"/>
    </row>
    <row r="542" spans="1:26" ht="18.75" hidden="1">
      <c r="A542" s="1241"/>
      <c r="B542" s="1242"/>
      <c r="C542" s="1243"/>
      <c r="D542" s="1243" t="s">
        <v>59</v>
      </c>
      <c r="E542" s="1243"/>
      <c r="F542" s="1243"/>
      <c r="G542" s="963"/>
      <c r="H542" s="590" t="s">
        <v>35</v>
      </c>
      <c r="I542" s="830">
        <f ca="1">IFERROR(__xludf.DUMMYFUNCTION("IMPORTRANGE(""https://docs.google.com/spreadsheets/d/1QqKyyYR6Q21VydFLVH3TRQUabQu_ym0Zz7PgGX0-kHA/edit?usp=sharing"",""แผน!GZ15"")"),0)</f>
        <v>0</v>
      </c>
      <c r="J542" s="959">
        <v>0</v>
      </c>
      <c r="K542" s="831">
        <f t="shared" ca="1" si="234"/>
        <v>0</v>
      </c>
      <c r="L542" s="831"/>
      <c r="M542" s="831"/>
      <c r="N542" s="831"/>
      <c r="O542" s="831"/>
      <c r="P542" s="831"/>
      <c r="Q542" s="1321"/>
      <c r="R542" s="1321"/>
      <c r="S542" s="1321"/>
      <c r="T542" s="1321"/>
      <c r="U542" s="1321"/>
      <c r="V542" s="1321"/>
      <c r="W542" s="1321"/>
      <c r="X542" s="1321"/>
      <c r="Y542" s="1321"/>
      <c r="Z542" s="1321"/>
    </row>
    <row r="543" spans="1:26" ht="19.5">
      <c r="A543" s="630">
        <v>6</v>
      </c>
      <c r="B543" s="1323" t="s">
        <v>232</v>
      </c>
      <c r="C543" s="1309"/>
      <c r="D543" s="1309"/>
      <c r="E543" s="1309"/>
      <c r="F543" s="1309"/>
      <c r="G543" s="1310"/>
      <c r="H543" s="652" t="s">
        <v>46</v>
      </c>
      <c r="I543" s="1324">
        <f t="shared" ref="I543:J543" ca="1" si="235">I559</f>
        <v>28996</v>
      </c>
      <c r="J543" s="1324">
        <f t="shared" si="235"/>
        <v>0</v>
      </c>
      <c r="K543" s="1325">
        <f t="shared" ca="1" si="234"/>
        <v>0</v>
      </c>
      <c r="L543" s="1312"/>
      <c r="M543" s="1312"/>
      <c r="N543" s="1312"/>
      <c r="O543" s="1312"/>
      <c r="P543" s="1312"/>
      <c r="Q543" s="1244"/>
      <c r="R543" s="1244"/>
      <c r="S543" s="1244"/>
      <c r="T543" s="1244"/>
      <c r="U543" s="1244"/>
      <c r="V543" s="1244"/>
      <c r="W543" s="1244"/>
      <c r="X543" s="1244"/>
      <c r="Y543" s="1244"/>
      <c r="Z543" s="1244"/>
    </row>
    <row r="544" spans="1:26" ht="19.5">
      <c r="A544" s="1326"/>
      <c r="B544" s="1327"/>
      <c r="C544" s="1327" t="s">
        <v>16</v>
      </c>
      <c r="D544" s="1511" t="s">
        <v>17</v>
      </c>
      <c r="E544" s="1487"/>
      <c r="F544" s="1487"/>
      <c r="G544" s="1328"/>
      <c r="H544" s="275" t="s">
        <v>12</v>
      </c>
      <c r="I544" s="937"/>
      <c r="J544" s="937"/>
      <c r="K544" s="938"/>
      <c r="L544" s="939">
        <f t="shared" ref="L544:N544" ca="1" si="236">L545+L546</f>
        <v>537922</v>
      </c>
      <c r="M544" s="939">
        <f t="shared" si="236"/>
        <v>0</v>
      </c>
      <c r="N544" s="939">
        <f t="shared" si="236"/>
        <v>56639</v>
      </c>
      <c r="O544" s="939">
        <f t="shared" ref="O544:O549" ca="1" si="237">IF(L544&gt;0,N544*100/L544,0)</f>
        <v>10.52922170872357</v>
      </c>
      <c r="P544" s="939">
        <f t="shared" ref="P544:P549" si="238">IF(M544&gt;0,N544*100/M544,0)</f>
        <v>0</v>
      </c>
      <c r="Q544" s="1244"/>
      <c r="R544" s="1244"/>
      <c r="S544" s="1244"/>
      <c r="T544" s="1244"/>
      <c r="U544" s="1244"/>
      <c r="V544" s="1244"/>
      <c r="W544" s="1244"/>
      <c r="X544" s="1244"/>
      <c r="Y544" s="1244"/>
      <c r="Z544" s="1244"/>
    </row>
    <row r="545" spans="1:26" ht="18.75" hidden="1">
      <c r="A545" s="1260"/>
      <c r="B545" s="1261"/>
      <c r="C545" s="1261"/>
      <c r="D545" s="1261"/>
      <c r="E545" s="1261" t="s">
        <v>184</v>
      </c>
      <c r="F545" s="1261"/>
      <c r="G545" s="1263"/>
      <c r="H545" s="165" t="s">
        <v>12</v>
      </c>
      <c r="I545" s="836"/>
      <c r="J545" s="836"/>
      <c r="K545" s="837"/>
      <c r="L545" s="837">
        <f t="shared" ref="L545:L546" si="239">L548+L556</f>
        <v>0</v>
      </c>
      <c r="M545" s="837">
        <f t="shared" ref="M545:N546" si="240">M548+M555</f>
        <v>0</v>
      </c>
      <c r="N545" s="837">
        <f t="shared" si="240"/>
        <v>0</v>
      </c>
      <c r="O545" s="837">
        <f t="shared" si="237"/>
        <v>0</v>
      </c>
      <c r="P545" s="837">
        <f t="shared" si="238"/>
        <v>0</v>
      </c>
      <c r="Q545" s="1264"/>
      <c r="R545" s="1264"/>
      <c r="S545" s="1264"/>
      <c r="T545" s="1264"/>
      <c r="U545" s="1264"/>
      <c r="V545" s="1264"/>
      <c r="W545" s="1264"/>
      <c r="X545" s="1264"/>
      <c r="Y545" s="1264"/>
      <c r="Z545" s="1264"/>
    </row>
    <row r="546" spans="1:26" ht="18.75" hidden="1">
      <c r="A546" s="1260"/>
      <c r="B546" s="1265"/>
      <c r="C546" s="1261"/>
      <c r="D546" s="1261"/>
      <c r="E546" s="1261" t="s">
        <v>185</v>
      </c>
      <c r="F546" s="1261"/>
      <c r="G546" s="1263"/>
      <c r="H546" s="165" t="s">
        <v>12</v>
      </c>
      <c r="I546" s="836"/>
      <c r="J546" s="836"/>
      <c r="K546" s="837"/>
      <c r="L546" s="837">
        <f t="shared" ca="1" si="239"/>
        <v>537922</v>
      </c>
      <c r="M546" s="837">
        <f t="shared" si="240"/>
        <v>0</v>
      </c>
      <c r="N546" s="837">
        <f t="shared" si="240"/>
        <v>56639</v>
      </c>
      <c r="O546" s="837">
        <f t="shared" ca="1" si="237"/>
        <v>10.52922170872357</v>
      </c>
      <c r="P546" s="837">
        <f t="shared" si="238"/>
        <v>0</v>
      </c>
      <c r="Q546" s="1264"/>
      <c r="R546" s="1264"/>
      <c r="S546" s="1264"/>
      <c r="T546" s="1264"/>
      <c r="U546" s="1264"/>
      <c r="V546" s="1264"/>
      <c r="W546" s="1264"/>
      <c r="X546" s="1264"/>
      <c r="Y546" s="1264"/>
      <c r="Z546" s="1264"/>
    </row>
    <row r="547" spans="1:26" ht="18.75">
      <c r="A547" s="1259"/>
      <c r="B547" s="1242"/>
      <c r="C547" s="1243"/>
      <c r="D547" s="1266" t="s">
        <v>20</v>
      </c>
      <c r="E547" s="1243"/>
      <c r="F547" s="1243"/>
      <c r="G547" s="963"/>
      <c r="H547" s="778" t="s">
        <v>12</v>
      </c>
      <c r="I547" s="944"/>
      <c r="J547" s="944"/>
      <c r="K547" s="945"/>
      <c r="L547" s="831">
        <f t="shared" ref="L547:N547" ca="1" si="241">L548+L549</f>
        <v>537922</v>
      </c>
      <c r="M547" s="831">
        <f t="shared" si="241"/>
        <v>0</v>
      </c>
      <c r="N547" s="831">
        <f t="shared" si="241"/>
        <v>56639</v>
      </c>
      <c r="O547" s="831">
        <f t="shared" ca="1" si="237"/>
        <v>10.52922170872357</v>
      </c>
      <c r="P547" s="831">
        <f t="shared" si="238"/>
        <v>0</v>
      </c>
      <c r="Q547" s="1244"/>
      <c r="R547" s="1244"/>
      <c r="S547" s="1244"/>
      <c r="T547" s="1244"/>
      <c r="U547" s="1244"/>
      <c r="V547" s="1244"/>
      <c r="W547" s="1244"/>
      <c r="X547" s="1244"/>
      <c r="Y547" s="1244"/>
      <c r="Z547" s="1244"/>
    </row>
    <row r="548" spans="1:26" ht="18.75" hidden="1">
      <c r="A548" s="1260"/>
      <c r="B548" s="1265"/>
      <c r="C548" s="1261"/>
      <c r="D548" s="1262"/>
      <c r="E548" s="1261" t="s">
        <v>184</v>
      </c>
      <c r="F548" s="1261"/>
      <c r="G548" s="1263"/>
      <c r="H548" s="165" t="s">
        <v>12</v>
      </c>
      <c r="I548" s="836"/>
      <c r="J548" s="836"/>
      <c r="K548" s="837"/>
      <c r="L548" s="837">
        <v>0</v>
      </c>
      <c r="M548" s="837">
        <v>0</v>
      </c>
      <c r="N548" s="837">
        <v>0</v>
      </c>
      <c r="O548" s="837">
        <f t="shared" si="237"/>
        <v>0</v>
      </c>
      <c r="P548" s="837">
        <f t="shared" si="238"/>
        <v>0</v>
      </c>
      <c r="Q548" s="1264"/>
      <c r="R548" s="1264"/>
      <c r="S548" s="1264"/>
      <c r="T548" s="1264"/>
      <c r="U548" s="1264"/>
      <c r="V548" s="1264"/>
      <c r="W548" s="1264"/>
      <c r="X548" s="1264"/>
      <c r="Y548" s="1264"/>
      <c r="Z548" s="1264"/>
    </row>
    <row r="549" spans="1:26" ht="18.75" hidden="1">
      <c r="A549" s="1260"/>
      <c r="B549" s="1265"/>
      <c r="C549" s="1261"/>
      <c r="D549" s="1262"/>
      <c r="E549" s="1261" t="s">
        <v>185</v>
      </c>
      <c r="F549" s="1261"/>
      <c r="G549" s="1263"/>
      <c r="H549" s="165" t="s">
        <v>12</v>
      </c>
      <c r="I549" s="836"/>
      <c r="J549" s="836"/>
      <c r="K549" s="837"/>
      <c r="L549" s="837">
        <f ca="1">IFERROR(__xludf.DUMMYFUNCTION("IMPORTRANGE(""https://docs.google.com/spreadsheets/d/1QqKyyYR6Q21VydFLVH3TRQUabQu_ym0Zz7PgGX0-kHA/edit?usp=sharing"",""แผน!HB15"")"),537922)</f>
        <v>537922</v>
      </c>
      <c r="M549" s="837">
        <v>0</v>
      </c>
      <c r="N549" s="837">
        <f>N550+N551+N552+N553+N554</f>
        <v>56639</v>
      </c>
      <c r="O549" s="837">
        <f t="shared" ca="1" si="237"/>
        <v>10.52922170872357</v>
      </c>
      <c r="P549" s="837">
        <f t="shared" si="238"/>
        <v>0</v>
      </c>
      <c r="Q549" s="1264"/>
      <c r="R549" s="1264"/>
      <c r="S549" s="1264"/>
      <c r="T549" s="1264"/>
      <c r="U549" s="1264"/>
      <c r="V549" s="1264"/>
      <c r="W549" s="1264"/>
      <c r="X549" s="1264"/>
      <c r="Y549" s="1264"/>
      <c r="Z549" s="1264"/>
    </row>
    <row r="550" spans="1:26" ht="18.75">
      <c r="A550" s="1241"/>
      <c r="B550" s="1242"/>
      <c r="C550" s="1243"/>
      <c r="D550" s="1243"/>
      <c r="E550" s="1243"/>
      <c r="F550" s="1243" t="s">
        <v>186</v>
      </c>
      <c r="G550" s="963"/>
      <c r="H550" s="778" t="s">
        <v>12</v>
      </c>
      <c r="I550" s="830"/>
      <c r="J550" s="830"/>
      <c r="K550" s="831"/>
      <c r="L550" s="831"/>
      <c r="M550" s="831"/>
      <c r="N550" s="1031">
        <v>0</v>
      </c>
      <c r="O550" s="831"/>
      <c r="P550" s="831"/>
      <c r="Q550" s="1244"/>
      <c r="R550" s="1244"/>
      <c r="S550" s="1244"/>
      <c r="T550" s="1244"/>
      <c r="U550" s="1244"/>
      <c r="V550" s="1244"/>
      <c r="W550" s="1244"/>
      <c r="X550" s="1244"/>
      <c r="Y550" s="1244"/>
      <c r="Z550" s="1244"/>
    </row>
    <row r="551" spans="1:26" ht="18.75">
      <c r="A551" s="1241"/>
      <c r="B551" s="1242"/>
      <c r="C551" s="1242"/>
      <c r="D551" s="1242"/>
      <c r="E551" s="1243"/>
      <c r="F551" s="1243" t="s">
        <v>187</v>
      </c>
      <c r="G551" s="963"/>
      <c r="H551" s="778" t="s">
        <v>12</v>
      </c>
      <c r="I551" s="830"/>
      <c r="J551" s="830"/>
      <c r="K551" s="831"/>
      <c r="L551" s="831"/>
      <c r="M551" s="831"/>
      <c r="N551" s="1031">
        <v>0</v>
      </c>
      <c r="O551" s="831"/>
      <c r="P551" s="831"/>
      <c r="Q551" s="1244"/>
      <c r="R551" s="1244"/>
      <c r="S551" s="1244"/>
      <c r="T551" s="1244"/>
      <c r="U551" s="1244"/>
      <c r="V551" s="1244"/>
      <c r="W551" s="1244"/>
      <c r="X551" s="1244"/>
      <c r="Y551" s="1244"/>
      <c r="Z551" s="1244"/>
    </row>
    <row r="552" spans="1:26" ht="18.75">
      <c r="A552" s="1241"/>
      <c r="B552" s="1242"/>
      <c r="C552" s="1243"/>
      <c r="D552" s="1243"/>
      <c r="E552" s="1243"/>
      <c r="F552" s="1243" t="s">
        <v>188</v>
      </c>
      <c r="G552" s="963"/>
      <c r="H552" s="778" t="s">
        <v>12</v>
      </c>
      <c r="I552" s="830"/>
      <c r="J552" s="830"/>
      <c r="K552" s="831"/>
      <c r="L552" s="831"/>
      <c r="M552" s="831"/>
      <c r="N552" s="1031">
        <v>39000</v>
      </c>
      <c r="O552" s="831"/>
      <c r="P552" s="831"/>
      <c r="Q552" s="1244"/>
      <c r="R552" s="1244"/>
      <c r="S552" s="1244"/>
      <c r="T552" s="1244"/>
      <c r="U552" s="1244"/>
      <c r="V552" s="1244"/>
      <c r="W552" s="1244"/>
      <c r="X552" s="1244"/>
      <c r="Y552" s="1244"/>
      <c r="Z552" s="1244"/>
    </row>
    <row r="553" spans="1:26" ht="18.75">
      <c r="A553" s="1241"/>
      <c r="B553" s="1242"/>
      <c r="C553" s="1242"/>
      <c r="D553" s="1242"/>
      <c r="E553" s="1243"/>
      <c r="F553" s="1243" t="s">
        <v>189</v>
      </c>
      <c r="G553" s="963"/>
      <c r="H553" s="778" t="s">
        <v>12</v>
      </c>
      <c r="I553" s="830"/>
      <c r="J553" s="830"/>
      <c r="K553" s="831"/>
      <c r="L553" s="831"/>
      <c r="M553" s="831"/>
      <c r="N553" s="1031">
        <f>8439+9200</f>
        <v>17639</v>
      </c>
      <c r="O553" s="831"/>
      <c r="P553" s="831"/>
      <c r="Q553" s="1244"/>
      <c r="R553" s="1244"/>
      <c r="S553" s="1244"/>
      <c r="T553" s="1244"/>
      <c r="U553" s="1244"/>
      <c r="V553" s="1244"/>
      <c r="W553" s="1244"/>
      <c r="X553" s="1244"/>
      <c r="Y553" s="1244"/>
      <c r="Z553" s="1244"/>
    </row>
    <row r="554" spans="1:26" ht="18.75">
      <c r="A554" s="1241"/>
      <c r="B554" s="1242"/>
      <c r="C554" s="1242"/>
      <c r="D554" s="1242"/>
      <c r="E554" s="1243"/>
      <c r="F554" s="1243" t="s">
        <v>233</v>
      </c>
      <c r="G554" s="963"/>
      <c r="H554" s="778" t="s">
        <v>12</v>
      </c>
      <c r="I554" s="830"/>
      <c r="J554" s="830"/>
      <c r="K554" s="831"/>
      <c r="L554" s="831"/>
      <c r="M554" s="831"/>
      <c r="N554" s="1031">
        <v>0</v>
      </c>
      <c r="O554" s="831"/>
      <c r="P554" s="831"/>
      <c r="Q554" s="1244"/>
      <c r="R554" s="1244"/>
      <c r="S554" s="1244"/>
      <c r="T554" s="1244"/>
      <c r="U554" s="1244"/>
      <c r="V554" s="1244"/>
      <c r="W554" s="1244"/>
      <c r="X554" s="1244"/>
      <c r="Y554" s="1244"/>
      <c r="Z554" s="1244"/>
    </row>
    <row r="555" spans="1:26" ht="18.75">
      <c r="A555" s="1259"/>
      <c r="B555" s="1242"/>
      <c r="C555" s="1242"/>
      <c r="D555" s="1266" t="s">
        <v>21</v>
      </c>
      <c r="E555" s="1243"/>
      <c r="F555" s="1243"/>
      <c r="G555" s="963"/>
      <c r="H555" s="168" t="s">
        <v>12</v>
      </c>
      <c r="I555" s="944"/>
      <c r="J555" s="944"/>
      <c r="K555" s="945"/>
      <c r="L555" s="831">
        <f t="shared" ref="L555:N555" ca="1" si="242">L556+L557</f>
        <v>0</v>
      </c>
      <c r="M555" s="831">
        <f t="shared" si="242"/>
        <v>0</v>
      </c>
      <c r="N555" s="831">
        <f t="shared" si="242"/>
        <v>0</v>
      </c>
      <c r="O555" s="831">
        <f t="shared" ref="O555:O557" ca="1" si="243">IF(L555&gt;0,N555*100/L555,0)</f>
        <v>0</v>
      </c>
      <c r="P555" s="831">
        <f t="shared" ref="P555:P557" si="244">IF(M555&gt;0,N555*100/M555,0)</f>
        <v>0</v>
      </c>
      <c r="Q555" s="1244"/>
      <c r="R555" s="1244"/>
      <c r="S555" s="1244"/>
      <c r="T555" s="1244"/>
      <c r="U555" s="1244"/>
      <c r="V555" s="1244"/>
      <c r="W555" s="1244"/>
      <c r="X555" s="1244"/>
      <c r="Y555" s="1244"/>
      <c r="Z555" s="1244"/>
    </row>
    <row r="556" spans="1:26" ht="18.75" hidden="1">
      <c r="A556" s="1260"/>
      <c r="B556" s="1265"/>
      <c r="C556" s="1265"/>
      <c r="D556" s="1261"/>
      <c r="E556" s="1261" t="s">
        <v>18</v>
      </c>
      <c r="F556" s="1261"/>
      <c r="G556" s="1263"/>
      <c r="H556" s="165" t="s">
        <v>12</v>
      </c>
      <c r="I556" s="947"/>
      <c r="J556" s="947"/>
      <c r="K556" s="948"/>
      <c r="L556" s="837">
        <v>0</v>
      </c>
      <c r="M556" s="837">
        <v>0</v>
      </c>
      <c r="N556" s="837">
        <v>0</v>
      </c>
      <c r="O556" s="837">
        <f t="shared" si="243"/>
        <v>0</v>
      </c>
      <c r="P556" s="837">
        <f t="shared" si="244"/>
        <v>0</v>
      </c>
      <c r="Q556" s="1264"/>
      <c r="R556" s="1264"/>
      <c r="S556" s="1264"/>
      <c r="T556" s="1264"/>
      <c r="U556" s="1264"/>
      <c r="V556" s="1264"/>
      <c r="W556" s="1264"/>
      <c r="X556" s="1264"/>
      <c r="Y556" s="1264"/>
      <c r="Z556" s="1264"/>
    </row>
    <row r="557" spans="1:26" ht="18.75" hidden="1">
      <c r="A557" s="1260"/>
      <c r="B557" s="1265"/>
      <c r="C557" s="1265"/>
      <c r="D557" s="1261"/>
      <c r="E557" s="1261" t="s">
        <v>19</v>
      </c>
      <c r="F557" s="1261"/>
      <c r="G557" s="1263"/>
      <c r="H557" s="169" t="s">
        <v>12</v>
      </c>
      <c r="I557" s="947"/>
      <c r="J557" s="947"/>
      <c r="K557" s="948"/>
      <c r="L557" s="837">
        <f ca="1">IFERROR(__xludf.DUMMYFUNCTION("IMPORTRANGE(""https://docs.google.com/spreadsheets/d/1QqKyyYR6Q21VydFLVH3TRQUabQu_ym0Zz7PgGX0-kHA/edit?usp=sharing"",""แผน!HF15"")"),0)</f>
        <v>0</v>
      </c>
      <c r="M557" s="837">
        <v>0</v>
      </c>
      <c r="N557" s="837">
        <v>0</v>
      </c>
      <c r="O557" s="837">
        <f t="shared" ca="1" si="243"/>
        <v>0</v>
      </c>
      <c r="P557" s="837">
        <f t="shared" si="244"/>
        <v>0</v>
      </c>
      <c r="Q557" s="1264"/>
      <c r="R557" s="1264"/>
      <c r="S557" s="1264"/>
      <c r="T557" s="1264"/>
      <c r="U557" s="1264"/>
      <c r="V557" s="1264"/>
      <c r="W557" s="1264"/>
      <c r="X557" s="1264"/>
      <c r="Y557" s="1264"/>
      <c r="Z557" s="1264"/>
    </row>
    <row r="558" spans="1:26" ht="19.5">
      <c r="A558" s="1267"/>
      <c r="B558" s="1268"/>
      <c r="C558" s="1242" t="s">
        <v>16</v>
      </c>
      <c r="D558" s="1320" t="s">
        <v>38</v>
      </c>
      <c r="E558" s="1271"/>
      <c r="F558" s="1271"/>
      <c r="G558" s="1272"/>
      <c r="H558" s="954"/>
      <c r="I558" s="944"/>
      <c r="J558" s="944"/>
      <c r="K558" s="945"/>
      <c r="L558" s="945"/>
      <c r="M558" s="945"/>
      <c r="N558" s="945"/>
      <c r="O558" s="945"/>
      <c r="P558" s="945"/>
      <c r="Q558" s="1244"/>
      <c r="R558" s="1244"/>
      <c r="S558" s="1244"/>
      <c r="T558" s="1244"/>
      <c r="U558" s="1244"/>
      <c r="V558" s="1244"/>
      <c r="W558" s="1244"/>
      <c r="X558" s="1244"/>
      <c r="Y558" s="1244"/>
      <c r="Z558" s="1244"/>
    </row>
    <row r="559" spans="1:26" ht="19.5">
      <c r="A559" s="1329"/>
      <c r="B559" s="1330" t="s">
        <v>234</v>
      </c>
      <c r="C559" s="1331"/>
      <c r="D559" s="1331"/>
      <c r="E559" s="1315"/>
      <c r="F559" s="1315"/>
      <c r="G559" s="1316"/>
      <c r="H559" s="661" t="s">
        <v>46</v>
      </c>
      <c r="I559" s="1317">
        <f t="shared" ref="I559:J559" ca="1" si="245">I576</f>
        <v>28996</v>
      </c>
      <c r="J559" s="1317">
        <f t="shared" si="245"/>
        <v>0</v>
      </c>
      <c r="K559" s="1318">
        <f t="shared" ref="K559:K561" ca="1" si="246">IF(I559&gt;0,J559*100/I559,0)</f>
        <v>0</v>
      </c>
      <c r="L559" s="1319"/>
      <c r="M559" s="1319"/>
      <c r="N559" s="1319"/>
      <c r="O559" s="1319"/>
      <c r="P559" s="1319"/>
      <c r="Q559" s="1244"/>
      <c r="R559" s="1244"/>
      <c r="S559" s="1244"/>
      <c r="T559" s="1244"/>
      <c r="U559" s="1244"/>
      <c r="V559" s="1244"/>
      <c r="W559" s="1244"/>
      <c r="X559" s="1244"/>
      <c r="Y559" s="1244"/>
      <c r="Z559" s="1244"/>
    </row>
    <row r="560" spans="1:26" ht="19.5">
      <c r="A560" s="1267"/>
      <c r="B560" s="1268"/>
      <c r="C560" s="1277" t="s">
        <v>235</v>
      </c>
      <c r="D560" s="1268"/>
      <c r="E560" s="961"/>
      <c r="F560" s="961"/>
      <c r="G560" s="954"/>
      <c r="H560" s="733" t="s">
        <v>46</v>
      </c>
      <c r="I560" s="965">
        <f ca="1">IFERROR(__xludf.DUMMYFUNCTION("IMPORTRANGE(""https://docs.google.com/spreadsheets/d/1QqKyyYR6Q21VydFLVH3TRQUabQu_ym0Zz7PgGX0-kHA/edit?usp=sharing"",""แผน!HH15"")"),28996)</f>
        <v>28996</v>
      </c>
      <c r="J560" s="965">
        <f t="shared" ref="J560:J561" si="247">J562+J564+J566</f>
        <v>28996.460000000003</v>
      </c>
      <c r="K560" s="1109">
        <f t="shared" ca="1" si="246"/>
        <v>100.00158642571391</v>
      </c>
      <c r="L560" s="945"/>
      <c r="M560" s="945"/>
      <c r="N560" s="945"/>
      <c r="O560" s="945"/>
      <c r="P560" s="945"/>
      <c r="Q560" s="1244"/>
      <c r="R560" s="1244"/>
      <c r="S560" s="1244"/>
      <c r="T560" s="1244"/>
      <c r="U560" s="1244"/>
      <c r="V560" s="1244"/>
      <c r="W560" s="1244"/>
      <c r="X560" s="1244"/>
      <c r="Y560" s="1244"/>
      <c r="Z560" s="1244"/>
    </row>
    <row r="561" spans="1:26" ht="19.5">
      <c r="A561" s="1267"/>
      <c r="B561" s="1268"/>
      <c r="C561" s="1268"/>
      <c r="D561" s="961"/>
      <c r="E561" s="961"/>
      <c r="F561" s="961"/>
      <c r="G561" s="954"/>
      <c r="H561" s="733" t="s">
        <v>34</v>
      </c>
      <c r="I561" s="965">
        <f ca="1">IFERROR(__xludf.DUMMYFUNCTION("IMPORTRANGE(""https://docs.google.com/spreadsheets/d/1QqKyyYR6Q21VydFLVH3TRQUabQu_ym0Zz7PgGX0-kHA/edit?usp=sharing"",""แผน!HG15"")"),6226)</f>
        <v>6226</v>
      </c>
      <c r="J561" s="965">
        <f t="shared" si="247"/>
        <v>6226</v>
      </c>
      <c r="K561" s="1109">
        <f t="shared" ca="1" si="246"/>
        <v>100</v>
      </c>
      <c r="L561" s="945"/>
      <c r="M561" s="945"/>
      <c r="N561" s="945"/>
      <c r="O561" s="945"/>
      <c r="P561" s="945"/>
      <c r="Q561" s="1244"/>
      <c r="R561" s="1244"/>
      <c r="S561" s="1244"/>
      <c r="T561" s="1244"/>
      <c r="U561" s="1244"/>
      <c r="V561" s="1244"/>
      <c r="W561" s="1244"/>
      <c r="X561" s="1244"/>
      <c r="Y561" s="1244"/>
      <c r="Z561" s="1244"/>
    </row>
    <row r="562" spans="1:26" ht="18.75">
      <c r="A562" s="1267"/>
      <c r="B562" s="1268"/>
      <c r="C562" s="1268"/>
      <c r="D562" s="961" t="s">
        <v>236</v>
      </c>
      <c r="E562" s="961"/>
      <c r="F562" s="961"/>
      <c r="G562" s="954"/>
      <c r="H562" s="730" t="s">
        <v>46</v>
      </c>
      <c r="I562" s="944"/>
      <c r="J562" s="959">
        <v>23430.06</v>
      </c>
      <c r="K562" s="945"/>
      <c r="L562" s="945"/>
      <c r="M562" s="945"/>
      <c r="N562" s="945"/>
      <c r="O562" s="945"/>
      <c r="P562" s="945"/>
      <c r="Q562" s="1244"/>
      <c r="R562" s="1244"/>
      <c r="S562" s="1244"/>
      <c r="T562" s="1244"/>
      <c r="U562" s="1244"/>
      <c r="V562" s="1244"/>
      <c r="W562" s="1244"/>
      <c r="X562" s="1244"/>
      <c r="Y562" s="1244"/>
      <c r="Z562" s="1244"/>
    </row>
    <row r="563" spans="1:26" ht="18.75">
      <c r="A563" s="1267"/>
      <c r="B563" s="1268"/>
      <c r="C563" s="1268"/>
      <c r="D563" s="1268"/>
      <c r="E563" s="961"/>
      <c r="F563" s="961"/>
      <c r="G563" s="954"/>
      <c r="H563" s="730" t="s">
        <v>34</v>
      </c>
      <c r="I563" s="944"/>
      <c r="J563" s="959">
        <v>5153</v>
      </c>
      <c r="K563" s="945"/>
      <c r="L563" s="945"/>
      <c r="M563" s="945"/>
      <c r="N563" s="945"/>
      <c r="O563" s="945"/>
      <c r="P563" s="945"/>
      <c r="Q563" s="1244"/>
      <c r="R563" s="1244"/>
      <c r="S563" s="1244"/>
      <c r="T563" s="1244"/>
      <c r="U563" s="1244"/>
      <c r="V563" s="1244"/>
      <c r="W563" s="1244"/>
      <c r="X563" s="1244"/>
      <c r="Y563" s="1244"/>
      <c r="Z563" s="1244"/>
    </row>
    <row r="564" spans="1:26" ht="18.75">
      <c r="A564" s="1267"/>
      <c r="B564" s="1268"/>
      <c r="C564" s="1268"/>
      <c r="D564" s="961" t="s">
        <v>237</v>
      </c>
      <c r="E564" s="961"/>
      <c r="F564" s="961"/>
      <c r="G564" s="954"/>
      <c r="H564" s="730" t="s">
        <v>46</v>
      </c>
      <c r="I564" s="944"/>
      <c r="J564" s="959">
        <v>4601.67</v>
      </c>
      <c r="K564" s="945"/>
      <c r="L564" s="945"/>
      <c r="M564" s="945"/>
      <c r="N564" s="945"/>
      <c r="O564" s="945"/>
      <c r="P564" s="945"/>
      <c r="Q564" s="1244"/>
      <c r="R564" s="1244"/>
      <c r="S564" s="1244"/>
      <c r="T564" s="1244"/>
      <c r="U564" s="1244"/>
      <c r="V564" s="1244"/>
      <c r="W564" s="1244"/>
      <c r="X564" s="1244"/>
      <c r="Y564" s="1244"/>
      <c r="Z564" s="1244"/>
    </row>
    <row r="565" spans="1:26" ht="18.75">
      <c r="A565" s="1267"/>
      <c r="B565" s="1268"/>
      <c r="C565" s="1268"/>
      <c r="D565" s="961"/>
      <c r="E565" s="961"/>
      <c r="F565" s="961"/>
      <c r="G565" s="954"/>
      <c r="H565" s="730" t="s">
        <v>34</v>
      </c>
      <c r="I565" s="944"/>
      <c r="J565" s="959">
        <v>891</v>
      </c>
      <c r="K565" s="945"/>
      <c r="L565" s="945"/>
      <c r="M565" s="945"/>
      <c r="N565" s="945"/>
      <c r="O565" s="945"/>
      <c r="P565" s="945"/>
      <c r="Q565" s="1244"/>
      <c r="R565" s="1244"/>
      <c r="S565" s="1244"/>
      <c r="T565" s="1244"/>
      <c r="U565" s="1244"/>
      <c r="V565" s="1244"/>
      <c r="W565" s="1244"/>
      <c r="X565" s="1244"/>
      <c r="Y565" s="1244"/>
      <c r="Z565" s="1244"/>
    </row>
    <row r="566" spans="1:26" ht="18.75">
      <c r="A566" s="1267"/>
      <c r="B566" s="1268"/>
      <c r="C566" s="1268"/>
      <c r="D566" s="961" t="s">
        <v>238</v>
      </c>
      <c r="E566" s="961"/>
      <c r="F566" s="961"/>
      <c r="G566" s="954"/>
      <c r="H566" s="730" t="s">
        <v>46</v>
      </c>
      <c r="I566" s="944"/>
      <c r="J566" s="959">
        <v>964.73</v>
      </c>
      <c r="K566" s="945"/>
      <c r="L566" s="945"/>
      <c r="M566" s="945"/>
      <c r="N566" s="945"/>
      <c r="O566" s="945"/>
      <c r="P566" s="945"/>
      <c r="Q566" s="1244"/>
      <c r="R566" s="1244"/>
      <c r="S566" s="1244"/>
      <c r="T566" s="1244"/>
      <c r="U566" s="1244"/>
      <c r="V566" s="1244"/>
      <c r="W566" s="1244"/>
      <c r="X566" s="1244"/>
      <c r="Y566" s="1244"/>
      <c r="Z566" s="1244"/>
    </row>
    <row r="567" spans="1:26" ht="18.75">
      <c r="A567" s="1267"/>
      <c r="B567" s="1268"/>
      <c r="C567" s="1268"/>
      <c r="D567" s="961"/>
      <c r="E567" s="961"/>
      <c r="F567" s="961"/>
      <c r="G567" s="954"/>
      <c r="H567" s="730" t="s">
        <v>34</v>
      </c>
      <c r="I567" s="944"/>
      <c r="J567" s="959">
        <v>182</v>
      </c>
      <c r="K567" s="945"/>
      <c r="L567" s="945"/>
      <c r="M567" s="945"/>
      <c r="N567" s="945"/>
      <c r="O567" s="945"/>
      <c r="P567" s="945"/>
      <c r="Q567" s="1244"/>
      <c r="R567" s="1244"/>
      <c r="S567" s="1244"/>
      <c r="T567" s="1244"/>
      <c r="U567" s="1244"/>
      <c r="V567" s="1244"/>
      <c r="W567" s="1244"/>
      <c r="X567" s="1244"/>
      <c r="Y567" s="1244"/>
      <c r="Z567" s="1244"/>
    </row>
    <row r="568" spans="1:26" ht="19.5">
      <c r="A568" s="1267"/>
      <c r="B568" s="1268"/>
      <c r="C568" s="1277" t="s">
        <v>239</v>
      </c>
      <c r="D568" s="961"/>
      <c r="E568" s="961"/>
      <c r="F568" s="961"/>
      <c r="G568" s="954"/>
      <c r="H568" s="733" t="s">
        <v>46</v>
      </c>
      <c r="I568" s="965">
        <f ca="1">IFERROR(__xludf.DUMMYFUNCTION("IMPORTRANGE(""https://docs.google.com/spreadsheets/d/1QqKyyYR6Q21VydFLVH3TRQUabQu_ym0Zz7PgGX0-kHA/edit?usp=sharing"",""แผน!HH15"")"),28996)</f>
        <v>28996</v>
      </c>
      <c r="J568" s="966">
        <f t="shared" ref="J568:J569" si="248">J570+J572+J574</f>
        <v>0</v>
      </c>
      <c r="K568" s="1109">
        <f t="shared" ref="K568:K569" ca="1" si="249">IF(I568&gt;0,J568*100/I568,0)</f>
        <v>0</v>
      </c>
      <c r="L568" s="945"/>
      <c r="M568" s="945"/>
      <c r="N568" s="945"/>
      <c r="O568" s="945"/>
      <c r="P568" s="945"/>
      <c r="Q568" s="1244"/>
      <c r="R568" s="1244"/>
      <c r="S568" s="1244"/>
      <c r="T568" s="1244"/>
      <c r="U568" s="1244"/>
      <c r="V568" s="1244"/>
      <c r="W568" s="1244"/>
      <c r="X568" s="1244"/>
      <c r="Y568" s="1244"/>
      <c r="Z568" s="1244"/>
    </row>
    <row r="569" spans="1:26" ht="19.5">
      <c r="A569" s="1267"/>
      <c r="B569" s="1268"/>
      <c r="C569" s="1268"/>
      <c r="D569" s="1268"/>
      <c r="E569" s="961"/>
      <c r="F569" s="961"/>
      <c r="G569" s="954"/>
      <c r="H569" s="733" t="s">
        <v>34</v>
      </c>
      <c r="I569" s="965">
        <f ca="1">IFERROR(__xludf.DUMMYFUNCTION("IMPORTRANGE(""https://docs.google.com/spreadsheets/d/1QqKyyYR6Q21VydFLVH3TRQUabQu_ym0Zz7PgGX0-kHA/edit?usp=sharing"",""แผน!HG15"")"),6226)</f>
        <v>6226</v>
      </c>
      <c r="J569" s="966">
        <f t="shared" si="248"/>
        <v>0</v>
      </c>
      <c r="K569" s="1109">
        <f t="shared" ca="1" si="249"/>
        <v>0</v>
      </c>
      <c r="L569" s="945"/>
      <c r="M569" s="945"/>
      <c r="N569" s="945"/>
      <c r="O569" s="945"/>
      <c r="P569" s="945"/>
      <c r="Q569" s="1244"/>
      <c r="R569" s="1244"/>
      <c r="S569" s="1244"/>
      <c r="T569" s="1244"/>
      <c r="U569" s="1244"/>
      <c r="V569" s="1244"/>
      <c r="W569" s="1244"/>
      <c r="X569" s="1244"/>
      <c r="Y569" s="1244"/>
      <c r="Z569" s="1244"/>
    </row>
    <row r="570" spans="1:26" ht="18.75">
      <c r="A570" s="1267"/>
      <c r="B570" s="1268"/>
      <c r="C570" s="1268"/>
      <c r="D570" s="961" t="s">
        <v>240</v>
      </c>
      <c r="E570" s="1268"/>
      <c r="F570" s="961"/>
      <c r="G570" s="954"/>
      <c r="H570" s="730" t="s">
        <v>46</v>
      </c>
      <c r="I570" s="944"/>
      <c r="J570" s="959">
        <v>0</v>
      </c>
      <c r="K570" s="945"/>
      <c r="L570" s="945"/>
      <c r="M570" s="945"/>
      <c r="N570" s="945"/>
      <c r="O570" s="945"/>
      <c r="P570" s="945"/>
      <c r="Q570" s="1244"/>
      <c r="R570" s="1244"/>
      <c r="S570" s="1244"/>
      <c r="T570" s="1244"/>
      <c r="U570" s="1244"/>
      <c r="V570" s="1244"/>
      <c r="W570" s="1244"/>
      <c r="X570" s="1244"/>
      <c r="Y570" s="1244"/>
      <c r="Z570" s="1244"/>
    </row>
    <row r="571" spans="1:26" ht="18.75">
      <c r="A571" s="1267"/>
      <c r="B571" s="1268"/>
      <c r="C571" s="1268"/>
      <c r="D571" s="1268"/>
      <c r="E571" s="961"/>
      <c r="F571" s="961"/>
      <c r="G571" s="954"/>
      <c r="H571" s="730" t="s">
        <v>34</v>
      </c>
      <c r="I571" s="944"/>
      <c r="J571" s="959">
        <v>0</v>
      </c>
      <c r="K571" s="945"/>
      <c r="L571" s="945"/>
      <c r="M571" s="945"/>
      <c r="N571" s="945"/>
      <c r="O571" s="945"/>
      <c r="P571" s="945"/>
      <c r="Q571" s="1244"/>
      <c r="R571" s="1244"/>
      <c r="S571" s="1244"/>
      <c r="T571" s="1244"/>
      <c r="U571" s="1244"/>
      <c r="V571" s="1244"/>
      <c r="W571" s="1244"/>
      <c r="X571" s="1244"/>
      <c r="Y571" s="1244"/>
      <c r="Z571" s="1244"/>
    </row>
    <row r="572" spans="1:26" ht="18.75">
      <c r="A572" s="1267"/>
      <c r="B572" s="1268"/>
      <c r="C572" s="1268"/>
      <c r="D572" s="961" t="s">
        <v>241</v>
      </c>
      <c r="E572" s="961"/>
      <c r="F572" s="961"/>
      <c r="G572" s="954"/>
      <c r="H572" s="730" t="s">
        <v>46</v>
      </c>
      <c r="I572" s="944"/>
      <c r="J572" s="959">
        <v>0</v>
      </c>
      <c r="K572" s="945"/>
      <c r="L572" s="945"/>
      <c r="M572" s="945"/>
      <c r="N572" s="945"/>
      <c r="O572" s="945"/>
      <c r="P572" s="945"/>
      <c r="Q572" s="1244"/>
      <c r="R572" s="1244"/>
      <c r="S572" s="1244"/>
      <c r="T572" s="1244"/>
      <c r="U572" s="1244"/>
      <c r="V572" s="1244"/>
      <c r="W572" s="1244"/>
      <c r="X572" s="1244"/>
      <c r="Y572" s="1244"/>
      <c r="Z572" s="1244"/>
    </row>
    <row r="573" spans="1:26" ht="18.75">
      <c r="A573" s="1267"/>
      <c r="B573" s="1268"/>
      <c r="C573" s="1268"/>
      <c r="D573" s="961"/>
      <c r="E573" s="961"/>
      <c r="F573" s="961"/>
      <c r="G573" s="954"/>
      <c r="H573" s="730" t="s">
        <v>34</v>
      </c>
      <c r="I573" s="944"/>
      <c r="J573" s="959">
        <v>0</v>
      </c>
      <c r="K573" s="945"/>
      <c r="L573" s="945"/>
      <c r="M573" s="945"/>
      <c r="N573" s="945"/>
      <c r="O573" s="945"/>
      <c r="P573" s="945"/>
      <c r="Q573" s="1244"/>
      <c r="R573" s="1244"/>
      <c r="S573" s="1244"/>
      <c r="T573" s="1244"/>
      <c r="U573" s="1244"/>
      <c r="V573" s="1244"/>
      <c r="W573" s="1244"/>
      <c r="X573" s="1244"/>
      <c r="Y573" s="1244"/>
      <c r="Z573" s="1244"/>
    </row>
    <row r="574" spans="1:26" ht="18.75">
      <c r="A574" s="1267"/>
      <c r="B574" s="1268"/>
      <c r="C574" s="1268"/>
      <c r="D574" s="961" t="s">
        <v>242</v>
      </c>
      <c r="E574" s="961"/>
      <c r="F574" s="961"/>
      <c r="G574" s="954"/>
      <c r="H574" s="730" t="s">
        <v>46</v>
      </c>
      <c r="I574" s="944"/>
      <c r="J574" s="959">
        <v>0</v>
      </c>
      <c r="K574" s="945"/>
      <c r="L574" s="945"/>
      <c r="M574" s="945"/>
      <c r="N574" s="945"/>
      <c r="O574" s="945"/>
      <c r="P574" s="945"/>
      <c r="Q574" s="1244"/>
      <c r="R574" s="1244"/>
      <c r="S574" s="1244"/>
      <c r="T574" s="1244"/>
      <c r="U574" s="1244"/>
      <c r="V574" s="1244"/>
      <c r="W574" s="1244"/>
      <c r="X574" s="1244"/>
      <c r="Y574" s="1244"/>
      <c r="Z574" s="1244"/>
    </row>
    <row r="575" spans="1:26" ht="18.75">
      <c r="A575" s="1267"/>
      <c r="B575" s="1268"/>
      <c r="C575" s="1268"/>
      <c r="D575" s="1268"/>
      <c r="E575" s="961"/>
      <c r="F575" s="961"/>
      <c r="G575" s="954"/>
      <c r="H575" s="730" t="s">
        <v>34</v>
      </c>
      <c r="I575" s="944"/>
      <c r="J575" s="959">
        <v>0</v>
      </c>
      <c r="K575" s="945"/>
      <c r="L575" s="945"/>
      <c r="M575" s="945"/>
      <c r="N575" s="945"/>
      <c r="O575" s="945"/>
      <c r="P575" s="945"/>
      <c r="Q575" s="1244"/>
      <c r="R575" s="1244"/>
      <c r="S575" s="1244"/>
      <c r="T575" s="1244"/>
      <c r="U575" s="1244"/>
      <c r="V575" s="1244"/>
      <c r="W575" s="1244"/>
      <c r="X575" s="1244"/>
      <c r="Y575" s="1244"/>
      <c r="Z575" s="1244"/>
    </row>
    <row r="576" spans="1:26" ht="19.5">
      <c r="A576" s="1267"/>
      <c r="B576" s="1268"/>
      <c r="C576" s="1277" t="s">
        <v>243</v>
      </c>
      <c r="D576" s="1268"/>
      <c r="E576" s="1268"/>
      <c r="F576" s="961"/>
      <c r="G576" s="954"/>
      <c r="H576" s="733" t="s">
        <v>46</v>
      </c>
      <c r="I576" s="965">
        <f ca="1">IFERROR(__xludf.DUMMYFUNCTION("IMPORTRANGE(""https://docs.google.com/spreadsheets/d/1QqKyyYR6Q21VydFLVH3TRQUabQu_ym0Zz7PgGX0-kHA/edit?usp=sharing"",""แผน!HH15"")"),28996)</f>
        <v>28996</v>
      </c>
      <c r="J576" s="966">
        <f t="shared" ref="J576:J577" si="250">J578+J580+J582+J588+J590</f>
        <v>0</v>
      </c>
      <c r="K576" s="1109">
        <f t="shared" ref="K576:K577" ca="1" si="251">IF(I576&gt;0,J576*100/I576,0)</f>
        <v>0</v>
      </c>
      <c r="L576" s="945"/>
      <c r="M576" s="945"/>
      <c r="N576" s="945"/>
      <c r="O576" s="945"/>
      <c r="P576" s="945"/>
      <c r="Q576" s="1244"/>
      <c r="R576" s="1244"/>
      <c r="S576" s="1244"/>
      <c r="T576" s="1244"/>
      <c r="U576" s="1244"/>
      <c r="V576" s="1244"/>
      <c r="W576" s="1244"/>
      <c r="X576" s="1244"/>
      <c r="Y576" s="1244"/>
      <c r="Z576" s="1244"/>
    </row>
    <row r="577" spans="1:26" ht="19.5">
      <c r="A577" s="1267"/>
      <c r="B577" s="1268"/>
      <c r="C577" s="1268"/>
      <c r="D577" s="1268"/>
      <c r="E577" s="961"/>
      <c r="F577" s="961"/>
      <c r="G577" s="954"/>
      <c r="H577" s="733" t="s">
        <v>34</v>
      </c>
      <c r="I577" s="965">
        <f ca="1">IFERROR(__xludf.DUMMYFUNCTION("IMPORTRANGE(""https://docs.google.com/spreadsheets/d/1QqKyyYR6Q21VydFLVH3TRQUabQu_ym0Zz7PgGX0-kHA/edit?usp=sharing"",""แผน!HG15"")"),6226)</f>
        <v>6226</v>
      </c>
      <c r="J577" s="966">
        <f t="shared" si="250"/>
        <v>0</v>
      </c>
      <c r="K577" s="1109">
        <f t="shared" ca="1" si="251"/>
        <v>0</v>
      </c>
      <c r="L577" s="945"/>
      <c r="M577" s="945"/>
      <c r="N577" s="945"/>
      <c r="O577" s="945"/>
      <c r="P577" s="945"/>
      <c r="Q577" s="1244"/>
      <c r="R577" s="1244"/>
      <c r="S577" s="1244"/>
      <c r="T577" s="1244"/>
      <c r="U577" s="1244"/>
      <c r="V577" s="1244"/>
      <c r="W577" s="1244"/>
      <c r="X577" s="1244"/>
      <c r="Y577" s="1244"/>
      <c r="Z577" s="1244"/>
    </row>
    <row r="578" spans="1:26" ht="18.75">
      <c r="A578" s="1267"/>
      <c r="B578" s="1268"/>
      <c r="C578" s="1268"/>
      <c r="D578" s="961" t="s">
        <v>244</v>
      </c>
      <c r="E578" s="961"/>
      <c r="F578" s="961"/>
      <c r="G578" s="954"/>
      <c r="H578" s="730" t="s">
        <v>46</v>
      </c>
      <c r="I578" s="944"/>
      <c r="J578" s="959">
        <v>0</v>
      </c>
      <c r="K578" s="945"/>
      <c r="L578" s="945"/>
      <c r="M578" s="945"/>
      <c r="N578" s="945"/>
      <c r="O578" s="945"/>
      <c r="P578" s="945"/>
      <c r="Q578" s="1244"/>
      <c r="R578" s="1244"/>
      <c r="S578" s="1244"/>
      <c r="T578" s="1244"/>
      <c r="U578" s="1244"/>
      <c r="V578" s="1244"/>
      <c r="W578" s="1244"/>
      <c r="X578" s="1244"/>
      <c r="Y578" s="1244"/>
      <c r="Z578" s="1244"/>
    </row>
    <row r="579" spans="1:26" ht="18.75">
      <c r="A579" s="1267"/>
      <c r="B579" s="1268"/>
      <c r="C579" s="1268"/>
      <c r="D579" s="1268"/>
      <c r="E579" s="961"/>
      <c r="F579" s="961"/>
      <c r="G579" s="954"/>
      <c r="H579" s="730" t="s">
        <v>34</v>
      </c>
      <c r="I579" s="944"/>
      <c r="J579" s="959">
        <v>0</v>
      </c>
      <c r="K579" s="945"/>
      <c r="L579" s="945"/>
      <c r="M579" s="945"/>
      <c r="N579" s="945"/>
      <c r="O579" s="945"/>
      <c r="P579" s="945"/>
      <c r="Q579" s="1244"/>
      <c r="R579" s="1244"/>
      <c r="S579" s="1244"/>
      <c r="T579" s="1244"/>
      <c r="U579" s="1244"/>
      <c r="V579" s="1244"/>
      <c r="W579" s="1244"/>
      <c r="X579" s="1244"/>
      <c r="Y579" s="1244"/>
      <c r="Z579" s="1244"/>
    </row>
    <row r="580" spans="1:26" ht="18.75">
      <c r="A580" s="1267"/>
      <c r="B580" s="1268"/>
      <c r="C580" s="1268"/>
      <c r="D580" s="961" t="s">
        <v>245</v>
      </c>
      <c r="E580" s="961"/>
      <c r="F580" s="961"/>
      <c r="G580" s="954"/>
      <c r="H580" s="730" t="s">
        <v>46</v>
      </c>
      <c r="I580" s="944"/>
      <c r="J580" s="959">
        <v>0</v>
      </c>
      <c r="K580" s="945"/>
      <c r="L580" s="945"/>
      <c r="M580" s="945"/>
      <c r="N580" s="945"/>
      <c r="O580" s="945"/>
      <c r="P580" s="945"/>
      <c r="Q580" s="1244"/>
      <c r="R580" s="1244"/>
      <c r="S580" s="1244"/>
      <c r="T580" s="1244"/>
      <c r="U580" s="1244"/>
      <c r="V580" s="1244"/>
      <c r="W580" s="1244"/>
      <c r="X580" s="1244"/>
      <c r="Y580" s="1244"/>
      <c r="Z580" s="1244"/>
    </row>
    <row r="581" spans="1:26" ht="18.75">
      <c r="A581" s="1267"/>
      <c r="B581" s="1268"/>
      <c r="C581" s="1268"/>
      <c r="D581" s="1268"/>
      <c r="E581" s="961"/>
      <c r="F581" s="961"/>
      <c r="G581" s="954"/>
      <c r="H581" s="730" t="s">
        <v>34</v>
      </c>
      <c r="I581" s="944"/>
      <c r="J581" s="959">
        <v>0</v>
      </c>
      <c r="K581" s="945"/>
      <c r="L581" s="945"/>
      <c r="M581" s="945"/>
      <c r="N581" s="945"/>
      <c r="O581" s="945"/>
      <c r="P581" s="945"/>
      <c r="Q581" s="1244"/>
      <c r="R581" s="1244"/>
      <c r="S581" s="1244"/>
      <c r="T581" s="1244"/>
      <c r="U581" s="1244"/>
      <c r="V581" s="1244"/>
      <c r="W581" s="1244"/>
      <c r="X581" s="1244"/>
      <c r="Y581" s="1244"/>
      <c r="Z581" s="1244"/>
    </row>
    <row r="582" spans="1:26" ht="19.5">
      <c r="A582" s="1267"/>
      <c r="B582" s="1268"/>
      <c r="C582" s="1268"/>
      <c r="D582" s="961" t="s">
        <v>246</v>
      </c>
      <c r="E582" s="961"/>
      <c r="F582" s="961"/>
      <c r="G582" s="954"/>
      <c r="H582" s="730" t="s">
        <v>46</v>
      </c>
      <c r="I582" s="944"/>
      <c r="J582" s="966">
        <f t="shared" ref="J582:J583" si="252">J584+J586</f>
        <v>0</v>
      </c>
      <c r="K582" s="1109"/>
      <c r="L582" s="945"/>
      <c r="M582" s="945"/>
      <c r="N582" s="945"/>
      <c r="O582" s="945"/>
      <c r="P582" s="945"/>
      <c r="Q582" s="1244"/>
      <c r="R582" s="1244"/>
      <c r="S582" s="1244"/>
      <c r="T582" s="1244"/>
      <c r="U582" s="1244"/>
      <c r="V582" s="1244"/>
      <c r="W582" s="1244"/>
      <c r="X582" s="1244"/>
      <c r="Y582" s="1244"/>
      <c r="Z582" s="1244"/>
    </row>
    <row r="583" spans="1:26" ht="19.5">
      <c r="A583" s="1267"/>
      <c r="B583" s="1268"/>
      <c r="C583" s="1268"/>
      <c r="D583" s="1268"/>
      <c r="E583" s="961"/>
      <c r="F583" s="961"/>
      <c r="G583" s="954"/>
      <c r="H583" s="730" t="s">
        <v>34</v>
      </c>
      <c r="I583" s="944"/>
      <c r="J583" s="966">
        <f t="shared" si="252"/>
        <v>0</v>
      </c>
      <c r="K583" s="1109"/>
      <c r="L583" s="945"/>
      <c r="M583" s="945"/>
      <c r="N583" s="945"/>
      <c r="O583" s="945"/>
      <c r="P583" s="945"/>
      <c r="Q583" s="1244"/>
      <c r="R583" s="1244"/>
      <c r="S583" s="1244"/>
      <c r="T583" s="1244"/>
      <c r="U583" s="1244"/>
      <c r="V583" s="1244"/>
      <c r="W583" s="1244"/>
      <c r="X583" s="1244"/>
      <c r="Y583" s="1244"/>
      <c r="Z583" s="1244"/>
    </row>
    <row r="584" spans="1:26" ht="18.75">
      <c r="A584" s="1267"/>
      <c r="B584" s="1268"/>
      <c r="C584" s="1268"/>
      <c r="D584" s="1268"/>
      <c r="E584" s="961" t="s">
        <v>247</v>
      </c>
      <c r="F584" s="961"/>
      <c r="G584" s="954"/>
      <c r="H584" s="730" t="s">
        <v>46</v>
      </c>
      <c r="I584" s="944"/>
      <c r="J584" s="959">
        <v>0</v>
      </c>
      <c r="K584" s="945"/>
      <c r="L584" s="945"/>
      <c r="M584" s="945"/>
      <c r="N584" s="945"/>
      <c r="O584" s="945"/>
      <c r="P584" s="945"/>
      <c r="Q584" s="1244"/>
      <c r="R584" s="1244"/>
      <c r="S584" s="1244"/>
      <c r="T584" s="1244"/>
      <c r="U584" s="1244"/>
      <c r="V584" s="1244"/>
      <c r="W584" s="1244"/>
      <c r="X584" s="1244"/>
      <c r="Y584" s="1244"/>
      <c r="Z584" s="1244"/>
    </row>
    <row r="585" spans="1:26" ht="18.75">
      <c r="A585" s="1267"/>
      <c r="B585" s="1268"/>
      <c r="C585" s="1268"/>
      <c r="D585" s="1268"/>
      <c r="E585" s="961"/>
      <c r="F585" s="961"/>
      <c r="G585" s="954"/>
      <c r="H585" s="730" t="s">
        <v>34</v>
      </c>
      <c r="I585" s="944"/>
      <c r="J585" s="959">
        <v>0</v>
      </c>
      <c r="K585" s="945"/>
      <c r="L585" s="945"/>
      <c r="M585" s="945"/>
      <c r="N585" s="945"/>
      <c r="O585" s="945"/>
      <c r="P585" s="945"/>
      <c r="Q585" s="1244"/>
      <c r="R585" s="1244"/>
      <c r="S585" s="1244"/>
      <c r="T585" s="1244"/>
      <c r="U585" s="1244"/>
      <c r="V585" s="1244"/>
      <c r="W585" s="1244"/>
      <c r="X585" s="1244"/>
      <c r="Y585" s="1244"/>
      <c r="Z585" s="1244"/>
    </row>
    <row r="586" spans="1:26" ht="18.75">
      <c r="A586" s="1267"/>
      <c r="B586" s="1268"/>
      <c r="C586" s="1268"/>
      <c r="D586" s="1268"/>
      <c r="E586" s="961" t="s">
        <v>248</v>
      </c>
      <c r="F586" s="961"/>
      <c r="G586" s="954"/>
      <c r="H586" s="730" t="s">
        <v>46</v>
      </c>
      <c r="I586" s="944"/>
      <c r="J586" s="959">
        <v>0</v>
      </c>
      <c r="K586" s="945"/>
      <c r="L586" s="945"/>
      <c r="M586" s="945"/>
      <c r="N586" s="945"/>
      <c r="O586" s="945"/>
      <c r="P586" s="945"/>
      <c r="Q586" s="1244"/>
      <c r="R586" s="1244"/>
      <c r="S586" s="1244"/>
      <c r="T586" s="1244"/>
      <c r="U586" s="1244"/>
      <c r="V586" s="1244"/>
      <c r="W586" s="1244"/>
      <c r="X586" s="1244"/>
      <c r="Y586" s="1244"/>
      <c r="Z586" s="1244"/>
    </row>
    <row r="587" spans="1:26" ht="18.75">
      <c r="A587" s="1267"/>
      <c r="B587" s="1268"/>
      <c r="C587" s="1268"/>
      <c r="D587" s="1268"/>
      <c r="E587" s="1268"/>
      <c r="F587" s="961"/>
      <c r="G587" s="954"/>
      <c r="H587" s="730" t="s">
        <v>34</v>
      </c>
      <c r="I587" s="944"/>
      <c r="J587" s="959">
        <v>0</v>
      </c>
      <c r="K587" s="945"/>
      <c r="L587" s="945"/>
      <c r="M587" s="945"/>
      <c r="N587" s="945"/>
      <c r="O587" s="945"/>
      <c r="P587" s="945"/>
      <c r="Q587" s="1244"/>
      <c r="R587" s="1244"/>
      <c r="S587" s="1244"/>
      <c r="T587" s="1244"/>
      <c r="U587" s="1244"/>
      <c r="V587" s="1244"/>
      <c r="W587" s="1244"/>
      <c r="X587" s="1244"/>
      <c r="Y587" s="1244"/>
      <c r="Z587" s="1244"/>
    </row>
    <row r="588" spans="1:26" ht="18.75">
      <c r="A588" s="1267"/>
      <c r="B588" s="1268"/>
      <c r="C588" s="1268"/>
      <c r="D588" s="961" t="s">
        <v>249</v>
      </c>
      <c r="E588" s="961"/>
      <c r="F588" s="961"/>
      <c r="G588" s="954"/>
      <c r="H588" s="730" t="s">
        <v>46</v>
      </c>
      <c r="I588" s="944"/>
      <c r="J588" s="959">
        <v>0</v>
      </c>
      <c r="K588" s="945"/>
      <c r="L588" s="945"/>
      <c r="M588" s="945"/>
      <c r="N588" s="945"/>
      <c r="O588" s="945"/>
      <c r="P588" s="945"/>
      <c r="Q588" s="1244"/>
      <c r="R588" s="1244"/>
      <c r="S588" s="1244"/>
      <c r="T588" s="1244"/>
      <c r="U588" s="1244"/>
      <c r="V588" s="1244"/>
      <c r="W588" s="1244"/>
      <c r="X588" s="1244"/>
      <c r="Y588" s="1244"/>
      <c r="Z588" s="1244"/>
    </row>
    <row r="589" spans="1:26" ht="18.75">
      <c r="A589" s="1267"/>
      <c r="B589" s="1268"/>
      <c r="C589" s="1268"/>
      <c r="D589" s="1268"/>
      <c r="E589" s="1268"/>
      <c r="F589" s="961"/>
      <c r="G589" s="954"/>
      <c r="H589" s="730" t="s">
        <v>34</v>
      </c>
      <c r="I589" s="944"/>
      <c r="J589" s="959">
        <v>0</v>
      </c>
      <c r="K589" s="945"/>
      <c r="L589" s="945"/>
      <c r="M589" s="945"/>
      <c r="N589" s="945"/>
      <c r="O589" s="945"/>
      <c r="P589" s="945"/>
      <c r="Q589" s="1244"/>
      <c r="R589" s="1244"/>
      <c r="S589" s="1244"/>
      <c r="T589" s="1244"/>
      <c r="U589" s="1244"/>
      <c r="V589" s="1244"/>
      <c r="W589" s="1244"/>
      <c r="X589" s="1244"/>
      <c r="Y589" s="1244"/>
      <c r="Z589" s="1244"/>
    </row>
    <row r="590" spans="1:26" ht="18.75">
      <c r="A590" s="1267"/>
      <c r="B590" s="1268"/>
      <c r="C590" s="1268"/>
      <c r="D590" s="961" t="s">
        <v>250</v>
      </c>
      <c r="E590" s="961"/>
      <c r="F590" s="961"/>
      <c r="G590" s="954"/>
      <c r="H590" s="730" t="s">
        <v>46</v>
      </c>
      <c r="I590" s="944"/>
      <c r="J590" s="959">
        <v>0</v>
      </c>
      <c r="K590" s="945"/>
      <c r="L590" s="945"/>
      <c r="M590" s="945"/>
      <c r="N590" s="945"/>
      <c r="O590" s="945"/>
      <c r="P590" s="945"/>
      <c r="Q590" s="1244"/>
      <c r="R590" s="1244"/>
      <c r="S590" s="1244"/>
      <c r="T590" s="1244"/>
      <c r="U590" s="1244"/>
      <c r="V590" s="1244"/>
      <c r="W590" s="1244"/>
      <c r="X590" s="1244"/>
      <c r="Y590" s="1244"/>
      <c r="Z590" s="1244"/>
    </row>
    <row r="591" spans="1:26" ht="18.75">
      <c r="A591" s="1332"/>
      <c r="B591" s="1333"/>
      <c r="C591" s="1333"/>
      <c r="D591" s="1333"/>
      <c r="E591" s="1244"/>
      <c r="F591" s="1244"/>
      <c r="G591" s="1334"/>
      <c r="H591" s="665" t="s">
        <v>34</v>
      </c>
      <c r="I591" s="1335"/>
      <c r="J591" s="1336">
        <v>0</v>
      </c>
      <c r="K591" s="1337"/>
      <c r="L591" s="1337"/>
      <c r="M591" s="1337"/>
      <c r="N591" s="1337"/>
      <c r="O591" s="1337"/>
      <c r="P591" s="1337"/>
      <c r="Q591" s="1244"/>
      <c r="R591" s="1244"/>
      <c r="S591" s="1244"/>
      <c r="T591" s="1244"/>
      <c r="U591" s="1244"/>
      <c r="V591" s="1244"/>
      <c r="W591" s="1244"/>
      <c r="X591" s="1244"/>
      <c r="Y591" s="1244"/>
      <c r="Z591" s="1244"/>
    </row>
    <row r="592" spans="1:26" ht="19.5">
      <c r="A592" s="1329"/>
      <c r="B592" s="1330" t="s">
        <v>251</v>
      </c>
      <c r="C592" s="1331"/>
      <c r="D592" s="1331"/>
      <c r="E592" s="1315"/>
      <c r="F592" s="1315"/>
      <c r="G592" s="1316"/>
      <c r="H592" s="661" t="s">
        <v>46</v>
      </c>
      <c r="I592" s="1338">
        <f t="shared" ref="I592:J592" ca="1" si="253">I593</f>
        <v>3953.38</v>
      </c>
      <c r="J592" s="1317">
        <f t="shared" si="253"/>
        <v>1135</v>
      </c>
      <c r="K592" s="1318">
        <f t="shared" ref="K592:K594" ca="1" si="254">IF(I592&gt;0,J592*100/I592,0)</f>
        <v>28.709610510499875</v>
      </c>
      <c r="L592" s="1319"/>
      <c r="M592" s="1319"/>
      <c r="N592" s="1319"/>
      <c r="O592" s="1319"/>
      <c r="P592" s="1319"/>
      <c r="Q592" s="1244"/>
      <c r="R592" s="1244"/>
      <c r="S592" s="1244"/>
      <c r="T592" s="1244"/>
      <c r="U592" s="1244"/>
      <c r="V592" s="1244"/>
      <c r="W592" s="1244"/>
      <c r="X592" s="1244"/>
      <c r="Y592" s="1244"/>
      <c r="Z592" s="1244"/>
    </row>
    <row r="593" spans="1:26" ht="19.5">
      <c r="A593" s="1267"/>
      <c r="B593" s="1268"/>
      <c r="C593" s="1277" t="s">
        <v>252</v>
      </c>
      <c r="D593" s="1268"/>
      <c r="E593" s="1268"/>
      <c r="F593" s="961"/>
      <c r="G593" s="954"/>
      <c r="H593" s="733" t="s">
        <v>46</v>
      </c>
      <c r="I593" s="1339">
        <f ca="1">IFERROR(__xludf.DUMMYFUNCTION("IMPORTRANGE(""https://docs.google.com/spreadsheets/d/1QqKyyYR6Q21VydFLVH3TRQUabQu_ym0Zz7PgGX0-kHA/edit?usp=sharing"",""แผน!HJ15"")"),3953.38)</f>
        <v>3953.38</v>
      </c>
      <c r="J593" s="965">
        <f t="shared" ref="J593:J594" si="255">J595+J603+J609</f>
        <v>1135</v>
      </c>
      <c r="K593" s="1109">
        <f t="shared" ca="1" si="254"/>
        <v>28.709610510499875</v>
      </c>
      <c r="L593" s="945"/>
      <c r="M593" s="945"/>
      <c r="N593" s="945"/>
      <c r="O593" s="945"/>
      <c r="P593" s="945"/>
      <c r="Q593" s="1244"/>
      <c r="R593" s="1244"/>
      <c r="S593" s="1244"/>
      <c r="T593" s="1244"/>
      <c r="U593" s="1244"/>
      <c r="V593" s="1244"/>
      <c r="W593" s="1244"/>
      <c r="X593" s="1244"/>
      <c r="Y593" s="1244"/>
      <c r="Z593" s="1244"/>
    </row>
    <row r="594" spans="1:26" ht="19.5">
      <c r="A594" s="1267"/>
      <c r="B594" s="1268"/>
      <c r="C594" s="1268"/>
      <c r="D594" s="1268"/>
      <c r="E594" s="961"/>
      <c r="F594" s="961"/>
      <c r="G594" s="954"/>
      <c r="H594" s="733" t="s">
        <v>34</v>
      </c>
      <c r="I594" s="965">
        <f ca="1">IFERROR(__xludf.DUMMYFUNCTION("IMPORTRANGE(""https://docs.google.com/spreadsheets/d/1QqKyyYR6Q21VydFLVH3TRQUabQu_ym0Zz7PgGX0-kHA/edit?usp=sharing"",""แผน!HI15"")"),648)</f>
        <v>648</v>
      </c>
      <c r="J594" s="965">
        <f t="shared" si="255"/>
        <v>193</v>
      </c>
      <c r="K594" s="1109">
        <f t="shared" ca="1" si="254"/>
        <v>29.783950617283949</v>
      </c>
      <c r="L594" s="945"/>
      <c r="M594" s="945"/>
      <c r="N594" s="945"/>
      <c r="O594" s="945"/>
      <c r="P594" s="945"/>
      <c r="Q594" s="1244"/>
      <c r="R594" s="1244"/>
      <c r="S594" s="1244"/>
      <c r="T594" s="1244"/>
      <c r="U594" s="1244"/>
      <c r="V594" s="1244"/>
      <c r="W594" s="1244"/>
      <c r="X594" s="1244"/>
      <c r="Y594" s="1244"/>
      <c r="Z594" s="1244"/>
    </row>
    <row r="595" spans="1:26" ht="18.75">
      <c r="A595" s="1267"/>
      <c r="B595" s="1268"/>
      <c r="C595" s="1268" t="s">
        <v>253</v>
      </c>
      <c r="D595" s="1268"/>
      <c r="E595" s="1268"/>
      <c r="F595" s="961"/>
      <c r="G595" s="954"/>
      <c r="H595" s="730" t="s">
        <v>46</v>
      </c>
      <c r="I595" s="944"/>
      <c r="J595" s="944">
        <f t="shared" ref="J595:J596" si="256">J597+J599</f>
        <v>1093</v>
      </c>
      <c r="K595" s="945"/>
      <c r="L595" s="945"/>
      <c r="M595" s="945"/>
      <c r="N595" s="945"/>
      <c r="O595" s="945"/>
      <c r="P595" s="945"/>
      <c r="Q595" s="1244"/>
      <c r="R595" s="1244"/>
      <c r="S595" s="1244"/>
      <c r="T595" s="1244"/>
      <c r="U595" s="1244"/>
      <c r="V595" s="1244"/>
      <c r="W595" s="1244"/>
      <c r="X595" s="1244"/>
      <c r="Y595" s="1244"/>
      <c r="Z595" s="1244"/>
    </row>
    <row r="596" spans="1:26" ht="18.75">
      <c r="A596" s="1267"/>
      <c r="B596" s="1268"/>
      <c r="C596" s="1268"/>
      <c r="D596" s="1268"/>
      <c r="E596" s="961"/>
      <c r="F596" s="961"/>
      <c r="G596" s="954"/>
      <c r="H596" s="730" t="s">
        <v>34</v>
      </c>
      <c r="I596" s="944"/>
      <c r="J596" s="944">
        <f t="shared" si="256"/>
        <v>186</v>
      </c>
      <c r="K596" s="945"/>
      <c r="L596" s="945"/>
      <c r="M596" s="945"/>
      <c r="N596" s="945"/>
      <c r="O596" s="945"/>
      <c r="P596" s="945"/>
      <c r="Q596" s="1244"/>
      <c r="R596" s="1244"/>
      <c r="S596" s="1244"/>
      <c r="T596" s="1244"/>
      <c r="U596" s="1244"/>
      <c r="V596" s="1244"/>
      <c r="W596" s="1244"/>
      <c r="X596" s="1244"/>
      <c r="Y596" s="1244"/>
      <c r="Z596" s="1244"/>
    </row>
    <row r="597" spans="1:26" ht="18.75">
      <c r="A597" s="1267"/>
      <c r="B597" s="1268"/>
      <c r="C597" s="1268"/>
      <c r="D597" s="1017" t="s">
        <v>254</v>
      </c>
      <c r="E597" s="961"/>
      <c r="F597" s="961"/>
      <c r="G597" s="954"/>
      <c r="H597" s="730" t="s">
        <v>46</v>
      </c>
      <c r="I597" s="944"/>
      <c r="J597" s="959">
        <v>1093</v>
      </c>
      <c r="K597" s="945"/>
      <c r="L597" s="945"/>
      <c r="M597" s="945"/>
      <c r="N597" s="945"/>
      <c r="O597" s="945"/>
      <c r="P597" s="945"/>
      <c r="Q597" s="1244"/>
      <c r="R597" s="1244"/>
      <c r="S597" s="1244"/>
      <c r="T597" s="1244"/>
      <c r="U597" s="1244"/>
      <c r="V597" s="1244"/>
      <c r="W597" s="1244"/>
      <c r="X597" s="1244"/>
      <c r="Y597" s="1244"/>
      <c r="Z597" s="1244"/>
    </row>
    <row r="598" spans="1:26" ht="18.75">
      <c r="A598" s="1267"/>
      <c r="B598" s="1268"/>
      <c r="C598" s="1268"/>
      <c r="D598" s="1268"/>
      <c r="E598" s="961"/>
      <c r="F598" s="961"/>
      <c r="G598" s="954"/>
      <c r="H598" s="730" t="s">
        <v>34</v>
      </c>
      <c r="I598" s="830"/>
      <c r="J598" s="959">
        <v>186</v>
      </c>
      <c r="K598" s="945"/>
      <c r="L598" s="945"/>
      <c r="M598" s="945"/>
      <c r="N598" s="945"/>
      <c r="O598" s="945"/>
      <c r="P598" s="945"/>
      <c r="Q598" s="1244"/>
      <c r="R598" s="1244"/>
      <c r="S598" s="1244"/>
      <c r="T598" s="1244"/>
      <c r="U598" s="1244"/>
      <c r="V598" s="1244"/>
      <c r="W598" s="1244"/>
      <c r="X598" s="1244"/>
      <c r="Y598" s="1244"/>
      <c r="Z598" s="1244"/>
    </row>
    <row r="599" spans="1:26" ht="18.75">
      <c r="A599" s="1267"/>
      <c r="B599" s="1268"/>
      <c r="C599" s="1268"/>
      <c r="D599" s="1017" t="s">
        <v>255</v>
      </c>
      <c r="E599" s="961"/>
      <c r="F599" s="961"/>
      <c r="G599" s="954"/>
      <c r="H599" s="730" t="s">
        <v>46</v>
      </c>
      <c r="I599" s="830"/>
      <c r="J599" s="959">
        <v>0</v>
      </c>
      <c r="K599" s="945"/>
      <c r="L599" s="945"/>
      <c r="M599" s="945"/>
      <c r="N599" s="945"/>
      <c r="O599" s="945"/>
      <c r="P599" s="945"/>
      <c r="Q599" s="1244"/>
      <c r="R599" s="1244"/>
      <c r="S599" s="1244"/>
      <c r="T599" s="1244"/>
      <c r="U599" s="1244"/>
      <c r="V599" s="1244"/>
      <c r="W599" s="1244"/>
      <c r="X599" s="1244"/>
      <c r="Y599" s="1244"/>
      <c r="Z599" s="1244"/>
    </row>
    <row r="600" spans="1:26" ht="18.75">
      <c r="A600" s="1267"/>
      <c r="B600" s="1268"/>
      <c r="C600" s="1268"/>
      <c r="D600" s="1268"/>
      <c r="E600" s="961"/>
      <c r="F600" s="961"/>
      <c r="G600" s="954"/>
      <c r="H600" s="730" t="s">
        <v>34</v>
      </c>
      <c r="I600" s="830"/>
      <c r="J600" s="959">
        <v>0</v>
      </c>
      <c r="K600" s="945"/>
      <c r="L600" s="945"/>
      <c r="M600" s="945"/>
      <c r="N600" s="945"/>
      <c r="O600" s="945"/>
      <c r="P600" s="945"/>
      <c r="Q600" s="1244"/>
      <c r="R600" s="1244"/>
      <c r="S600" s="1244"/>
      <c r="T600" s="1244"/>
      <c r="U600" s="1244"/>
      <c r="V600" s="1244"/>
      <c r="W600" s="1244"/>
      <c r="X600" s="1244"/>
      <c r="Y600" s="1244"/>
      <c r="Z600" s="1244"/>
    </row>
    <row r="601" spans="1:26" ht="18.75">
      <c r="A601" s="1267"/>
      <c r="B601" s="1268"/>
      <c r="C601" s="1268"/>
      <c r="D601" s="1017" t="s">
        <v>256</v>
      </c>
      <c r="E601" s="961"/>
      <c r="F601" s="961"/>
      <c r="G601" s="954"/>
      <c r="H601" s="730" t="s">
        <v>46</v>
      </c>
      <c r="I601" s="830"/>
      <c r="J601" s="959">
        <v>0</v>
      </c>
      <c r="K601" s="945"/>
      <c r="L601" s="945"/>
      <c r="M601" s="945"/>
      <c r="N601" s="945"/>
      <c r="O601" s="945"/>
      <c r="P601" s="945"/>
      <c r="Q601" s="1244"/>
      <c r="R601" s="1244"/>
      <c r="S601" s="1244"/>
      <c r="T601" s="1244"/>
      <c r="U601" s="1244"/>
      <c r="V601" s="1244"/>
      <c r="W601" s="1244"/>
      <c r="X601" s="1244"/>
      <c r="Y601" s="1244"/>
      <c r="Z601" s="1244"/>
    </row>
    <row r="602" spans="1:26" ht="18.75">
      <c r="A602" s="1267"/>
      <c r="B602" s="1268"/>
      <c r="C602" s="1268"/>
      <c r="D602" s="1268"/>
      <c r="E602" s="961"/>
      <c r="F602" s="961"/>
      <c r="G602" s="954"/>
      <c r="H602" s="730" t="s">
        <v>34</v>
      </c>
      <c r="I602" s="830"/>
      <c r="J602" s="959">
        <v>0</v>
      </c>
      <c r="K602" s="945"/>
      <c r="L602" s="945"/>
      <c r="M602" s="945"/>
      <c r="N602" s="945"/>
      <c r="O602" s="945"/>
      <c r="P602" s="945"/>
      <c r="Q602" s="1244"/>
      <c r="R602" s="1244"/>
      <c r="S602" s="1244"/>
      <c r="T602" s="1244"/>
      <c r="U602" s="1244"/>
      <c r="V602" s="1244"/>
      <c r="W602" s="1244"/>
      <c r="X602" s="1244"/>
      <c r="Y602" s="1244"/>
      <c r="Z602" s="1244"/>
    </row>
    <row r="603" spans="1:26" ht="18.75">
      <c r="A603" s="1267"/>
      <c r="B603" s="1268"/>
      <c r="C603" s="1340" t="s">
        <v>257</v>
      </c>
      <c r="D603" s="1268"/>
      <c r="E603" s="1268"/>
      <c r="F603" s="961"/>
      <c r="G603" s="954"/>
      <c r="H603" s="730" t="s">
        <v>46</v>
      </c>
      <c r="I603" s="830"/>
      <c r="J603" s="830">
        <f t="shared" ref="J603:J604" si="257">J605+J607</f>
        <v>42</v>
      </c>
      <c r="K603" s="945"/>
      <c r="L603" s="945"/>
      <c r="M603" s="945"/>
      <c r="N603" s="945"/>
      <c r="O603" s="945"/>
      <c r="P603" s="945"/>
      <c r="Q603" s="1244"/>
      <c r="R603" s="1244"/>
      <c r="S603" s="1244"/>
      <c r="T603" s="1244"/>
      <c r="U603" s="1244"/>
      <c r="V603" s="1244"/>
      <c r="W603" s="1244"/>
      <c r="X603" s="1244"/>
      <c r="Y603" s="1244"/>
      <c r="Z603" s="1244"/>
    </row>
    <row r="604" spans="1:26" ht="18.75">
      <c r="A604" s="1267"/>
      <c r="B604" s="1268"/>
      <c r="C604" s="1268"/>
      <c r="D604" s="1268"/>
      <c r="E604" s="961"/>
      <c r="F604" s="961"/>
      <c r="G604" s="954"/>
      <c r="H604" s="730" t="s">
        <v>34</v>
      </c>
      <c r="I604" s="830"/>
      <c r="J604" s="830">
        <f t="shared" si="257"/>
        <v>7</v>
      </c>
      <c r="K604" s="945"/>
      <c r="L604" s="945"/>
      <c r="M604" s="945"/>
      <c r="N604" s="945"/>
      <c r="O604" s="945"/>
      <c r="P604" s="945"/>
      <c r="Q604" s="1244"/>
      <c r="R604" s="1244"/>
      <c r="S604" s="1244"/>
      <c r="T604" s="1244"/>
      <c r="U604" s="1244"/>
      <c r="V604" s="1244"/>
      <c r="W604" s="1244"/>
      <c r="X604" s="1244"/>
      <c r="Y604" s="1244"/>
      <c r="Z604" s="1244"/>
    </row>
    <row r="605" spans="1:26" ht="18.75">
      <c r="A605" s="1267"/>
      <c r="B605" s="1268"/>
      <c r="C605" s="1268"/>
      <c r="D605" s="1340" t="s">
        <v>258</v>
      </c>
      <c r="E605" s="961"/>
      <c r="F605" s="961"/>
      <c r="G605" s="954"/>
      <c r="H605" s="730" t="s">
        <v>46</v>
      </c>
      <c r="I605" s="830"/>
      <c r="J605" s="959">
        <v>42</v>
      </c>
      <c r="K605" s="945"/>
      <c r="L605" s="945"/>
      <c r="M605" s="945"/>
      <c r="N605" s="945"/>
      <c r="O605" s="945"/>
      <c r="P605" s="945"/>
      <c r="Q605" s="1244"/>
      <c r="R605" s="1244"/>
      <c r="S605" s="1244"/>
      <c r="T605" s="1244"/>
      <c r="U605" s="1244"/>
      <c r="V605" s="1244"/>
      <c r="W605" s="1244"/>
      <c r="X605" s="1244"/>
      <c r="Y605" s="1244"/>
      <c r="Z605" s="1244"/>
    </row>
    <row r="606" spans="1:26" ht="18.75">
      <c r="A606" s="1267"/>
      <c r="B606" s="1268"/>
      <c r="C606" s="1268"/>
      <c r="D606" s="1268"/>
      <c r="E606" s="1268"/>
      <c r="F606" s="961"/>
      <c r="G606" s="954"/>
      <c r="H606" s="730" t="s">
        <v>34</v>
      </c>
      <c r="I606" s="830"/>
      <c r="J606" s="959">
        <v>7</v>
      </c>
      <c r="K606" s="945"/>
      <c r="L606" s="945"/>
      <c r="M606" s="945"/>
      <c r="N606" s="945"/>
      <c r="O606" s="945"/>
      <c r="P606" s="945"/>
      <c r="Q606" s="1244"/>
      <c r="R606" s="1244"/>
      <c r="S606" s="1244"/>
      <c r="T606" s="1244"/>
      <c r="U606" s="1244"/>
      <c r="V606" s="1244"/>
      <c r="W606" s="1244"/>
      <c r="X606" s="1244"/>
      <c r="Y606" s="1244"/>
      <c r="Z606" s="1244"/>
    </row>
    <row r="607" spans="1:26" ht="18.75">
      <c r="A607" s="1267"/>
      <c r="B607" s="1268"/>
      <c r="C607" s="1268"/>
      <c r="D607" s="1340" t="s">
        <v>259</v>
      </c>
      <c r="E607" s="1268"/>
      <c r="F607" s="961"/>
      <c r="G607" s="954"/>
      <c r="H607" s="730" t="s">
        <v>46</v>
      </c>
      <c r="I607" s="830"/>
      <c r="J607" s="959">
        <v>0</v>
      </c>
      <c r="K607" s="945"/>
      <c r="L607" s="945"/>
      <c r="M607" s="945"/>
      <c r="N607" s="945"/>
      <c r="O607" s="945"/>
      <c r="P607" s="945"/>
      <c r="Q607" s="1244"/>
      <c r="R607" s="1244"/>
      <c r="S607" s="1244"/>
      <c r="T607" s="1244"/>
      <c r="U607" s="1244"/>
      <c r="V607" s="1244"/>
      <c r="W607" s="1244"/>
      <c r="X607" s="1244"/>
      <c r="Y607" s="1244"/>
      <c r="Z607" s="1244"/>
    </row>
    <row r="608" spans="1:26" ht="18.75">
      <c r="A608" s="1267"/>
      <c r="B608" s="1268"/>
      <c r="C608" s="1268"/>
      <c r="D608" s="1268"/>
      <c r="E608" s="961"/>
      <c r="F608" s="961"/>
      <c r="G608" s="954"/>
      <c r="H608" s="730" t="s">
        <v>34</v>
      </c>
      <c r="I608" s="830"/>
      <c r="J608" s="959">
        <v>0</v>
      </c>
      <c r="K608" s="945"/>
      <c r="L608" s="945"/>
      <c r="M608" s="945"/>
      <c r="N608" s="945"/>
      <c r="O608" s="945"/>
      <c r="P608" s="945"/>
      <c r="Q608" s="1244"/>
      <c r="R608" s="1244"/>
      <c r="S608" s="1244"/>
      <c r="T608" s="1244"/>
      <c r="U608" s="1244"/>
      <c r="V608" s="1244"/>
      <c r="W608" s="1244"/>
      <c r="X608" s="1244"/>
      <c r="Y608" s="1244"/>
      <c r="Z608" s="1244"/>
    </row>
    <row r="609" spans="1:26" ht="18.75">
      <c r="A609" s="1267"/>
      <c r="B609" s="1268"/>
      <c r="C609" s="1268" t="s">
        <v>260</v>
      </c>
      <c r="D609" s="1268"/>
      <c r="E609" s="1268"/>
      <c r="F609" s="961"/>
      <c r="G609" s="954"/>
      <c r="H609" s="730" t="s">
        <v>46</v>
      </c>
      <c r="I609" s="830"/>
      <c r="J609" s="959">
        <v>0</v>
      </c>
      <c r="K609" s="945"/>
      <c r="L609" s="945"/>
      <c r="M609" s="945"/>
      <c r="N609" s="945"/>
      <c r="O609" s="945"/>
      <c r="P609" s="945"/>
      <c r="Q609" s="1244"/>
      <c r="R609" s="1244"/>
      <c r="S609" s="1244"/>
      <c r="T609" s="1244"/>
      <c r="U609" s="1244"/>
      <c r="V609" s="1244"/>
      <c r="W609" s="1244"/>
      <c r="X609" s="1244"/>
      <c r="Y609" s="1244"/>
      <c r="Z609" s="1244"/>
    </row>
    <row r="610" spans="1:26" ht="18.75">
      <c r="A610" s="1267"/>
      <c r="B610" s="1268"/>
      <c r="C610" s="1268"/>
      <c r="D610" s="1268"/>
      <c r="E610" s="961"/>
      <c r="F610" s="961"/>
      <c r="G610" s="954"/>
      <c r="H610" s="730" t="s">
        <v>34</v>
      </c>
      <c r="I610" s="830"/>
      <c r="J610" s="959">
        <v>0</v>
      </c>
      <c r="K610" s="945"/>
      <c r="L610" s="945"/>
      <c r="M610" s="945"/>
      <c r="N610" s="945"/>
      <c r="O610" s="945"/>
      <c r="P610" s="945"/>
      <c r="Q610" s="1244"/>
      <c r="R610" s="1244"/>
      <c r="S610" s="1244"/>
      <c r="T610" s="1244"/>
      <c r="U610" s="1244"/>
      <c r="V610" s="1244"/>
      <c r="W610" s="1244"/>
      <c r="X610" s="1244"/>
      <c r="Y610" s="1244"/>
      <c r="Z610" s="1244"/>
    </row>
    <row r="611" spans="1:26" ht="19.5" hidden="1">
      <c r="A611" s="1329"/>
      <c r="B611" s="1341" t="s">
        <v>261</v>
      </c>
      <c r="C611" s="1331"/>
      <c r="D611" s="1331"/>
      <c r="E611" s="1315"/>
      <c r="F611" s="1315"/>
      <c r="G611" s="1316"/>
      <c r="H611" s="673" t="s">
        <v>46</v>
      </c>
      <c r="I611" s="1317">
        <v>0</v>
      </c>
      <c r="J611" s="1317">
        <f>J614+J616</f>
        <v>0</v>
      </c>
      <c r="K611" s="1318">
        <f t="shared" ref="K611:K613" si="258">IF(I611&gt;0,J611*100/I611,0)</f>
        <v>0</v>
      </c>
      <c r="L611" s="1319"/>
      <c r="M611" s="1319"/>
      <c r="N611" s="1319"/>
      <c r="O611" s="1319"/>
      <c r="P611" s="1319"/>
      <c r="Q611" s="1244"/>
      <c r="R611" s="1244"/>
      <c r="S611" s="1244"/>
      <c r="T611" s="1244"/>
      <c r="U611" s="1244"/>
      <c r="V611" s="1244"/>
      <c r="W611" s="1244"/>
      <c r="X611" s="1244"/>
      <c r="Y611" s="1244"/>
      <c r="Z611" s="1244"/>
    </row>
    <row r="612" spans="1:26" ht="19.5" hidden="1">
      <c r="A612" s="1342"/>
      <c r="B612" s="1343"/>
      <c r="C612" s="1344" t="s">
        <v>262</v>
      </c>
      <c r="D612" s="1343"/>
      <c r="E612" s="1343"/>
      <c r="F612" s="1345"/>
      <c r="G612" s="1346"/>
      <c r="H612" s="680" t="s">
        <v>46</v>
      </c>
      <c r="I612" s="1347">
        <v>0</v>
      </c>
      <c r="J612" s="1347">
        <f t="shared" ref="J612:J613" si="259">J614+J616</f>
        <v>0</v>
      </c>
      <c r="K612" s="1348">
        <f t="shared" si="258"/>
        <v>0</v>
      </c>
      <c r="L612" s="1349"/>
      <c r="M612" s="1349"/>
      <c r="N612" s="1349"/>
      <c r="O612" s="1349"/>
      <c r="P612" s="1349"/>
      <c r="Q612" s="1264"/>
      <c r="R612" s="1264"/>
      <c r="S612" s="1264"/>
      <c r="T612" s="1264"/>
      <c r="U612" s="1264"/>
      <c r="V612" s="1264"/>
      <c r="W612" s="1264"/>
      <c r="X612" s="1264"/>
      <c r="Y612" s="1264"/>
      <c r="Z612" s="1264"/>
    </row>
    <row r="613" spans="1:26" ht="19.5" hidden="1">
      <c r="A613" s="1342"/>
      <c r="B613" s="1343"/>
      <c r="C613" s="1343" t="s">
        <v>263</v>
      </c>
      <c r="D613" s="1343"/>
      <c r="E613" s="1343"/>
      <c r="F613" s="1345"/>
      <c r="G613" s="1346"/>
      <c r="H613" s="680" t="s">
        <v>34</v>
      </c>
      <c r="I613" s="1347">
        <v>0</v>
      </c>
      <c r="J613" s="1347">
        <f t="shared" si="259"/>
        <v>0</v>
      </c>
      <c r="K613" s="1348">
        <f t="shared" si="258"/>
        <v>0</v>
      </c>
      <c r="L613" s="1349"/>
      <c r="M613" s="1349"/>
      <c r="N613" s="1349"/>
      <c r="O613" s="1349"/>
      <c r="P613" s="1349"/>
      <c r="Q613" s="1264"/>
      <c r="R613" s="1264"/>
      <c r="S613" s="1264"/>
      <c r="T613" s="1264"/>
      <c r="U613" s="1264"/>
      <c r="V613" s="1264"/>
      <c r="W613" s="1264"/>
      <c r="X613" s="1264"/>
      <c r="Y613" s="1264"/>
      <c r="Z613" s="1264"/>
    </row>
    <row r="614" spans="1:26" ht="18.75" hidden="1">
      <c r="A614" s="1273"/>
      <c r="B614" s="1274"/>
      <c r="C614" s="1274"/>
      <c r="D614" s="1262" t="s">
        <v>264</v>
      </c>
      <c r="E614" s="1274"/>
      <c r="F614" s="1262"/>
      <c r="G614" s="1060"/>
      <c r="H614" s="583" t="s">
        <v>46</v>
      </c>
      <c r="I614" s="836"/>
      <c r="J614" s="836">
        <v>0</v>
      </c>
      <c r="K614" s="948"/>
      <c r="L614" s="948"/>
      <c r="M614" s="948"/>
      <c r="N614" s="948"/>
      <c r="O614" s="948"/>
      <c r="P614" s="948"/>
      <c r="Q614" s="1264"/>
      <c r="R614" s="1264"/>
      <c r="S614" s="1264"/>
      <c r="T614" s="1264"/>
      <c r="U614" s="1264"/>
      <c r="V614" s="1264"/>
      <c r="W614" s="1264"/>
      <c r="X614" s="1264"/>
      <c r="Y614" s="1264"/>
      <c r="Z614" s="1264"/>
    </row>
    <row r="615" spans="1:26" ht="18.75" hidden="1">
      <c r="A615" s="1273"/>
      <c r="B615" s="1274"/>
      <c r="C615" s="1274"/>
      <c r="D615" s="1274"/>
      <c r="E615" s="1274"/>
      <c r="F615" s="1262"/>
      <c r="G615" s="1060"/>
      <c r="H615" s="583" t="s">
        <v>34</v>
      </c>
      <c r="I615" s="836"/>
      <c r="J615" s="836">
        <v>0</v>
      </c>
      <c r="K615" s="948"/>
      <c r="L615" s="948"/>
      <c r="M615" s="948"/>
      <c r="N615" s="948"/>
      <c r="O615" s="948"/>
      <c r="P615" s="948"/>
      <c r="Q615" s="1264"/>
      <c r="R615" s="1264"/>
      <c r="S615" s="1264"/>
      <c r="T615" s="1264"/>
      <c r="U615" s="1264"/>
      <c r="V615" s="1264"/>
      <c r="W615" s="1264"/>
      <c r="X615" s="1264"/>
      <c r="Y615" s="1264"/>
      <c r="Z615" s="1264"/>
    </row>
    <row r="616" spans="1:26" ht="18.75" hidden="1">
      <c r="A616" s="1273"/>
      <c r="B616" s="1274"/>
      <c r="C616" s="1274"/>
      <c r="D616" s="1350" t="s">
        <v>264</v>
      </c>
      <c r="E616" s="1262"/>
      <c r="F616" s="1262"/>
      <c r="G616" s="1060"/>
      <c r="H616" s="583" t="s">
        <v>46</v>
      </c>
      <c r="I616" s="836"/>
      <c r="J616" s="836">
        <v>0</v>
      </c>
      <c r="K616" s="948"/>
      <c r="L616" s="948"/>
      <c r="M616" s="948"/>
      <c r="N616" s="948"/>
      <c r="O616" s="948"/>
      <c r="P616" s="948"/>
      <c r="Q616" s="1264"/>
      <c r="R616" s="1264"/>
      <c r="S616" s="1264"/>
      <c r="T616" s="1264"/>
      <c r="U616" s="1264"/>
      <c r="V616" s="1264"/>
      <c r="W616" s="1264"/>
      <c r="X616" s="1264"/>
      <c r="Y616" s="1264"/>
      <c r="Z616" s="1264"/>
    </row>
    <row r="617" spans="1:26" ht="18.75" hidden="1">
      <c r="A617" s="1273"/>
      <c r="B617" s="1274"/>
      <c r="C617" s="1274"/>
      <c r="D617" s="1274"/>
      <c r="E617" s="1262"/>
      <c r="F617" s="1262"/>
      <c r="G617" s="1060"/>
      <c r="H617" s="583" t="s">
        <v>34</v>
      </c>
      <c r="I617" s="836"/>
      <c r="J617" s="836">
        <v>0</v>
      </c>
      <c r="K617" s="948"/>
      <c r="L617" s="948"/>
      <c r="M617" s="948"/>
      <c r="N617" s="948"/>
      <c r="O617" s="948"/>
      <c r="P617" s="948"/>
      <c r="Q617" s="1264"/>
      <c r="R617" s="1264"/>
      <c r="S617" s="1264"/>
      <c r="T617" s="1264"/>
      <c r="U617" s="1264"/>
      <c r="V617" s="1264"/>
      <c r="W617" s="1264"/>
      <c r="X617" s="1264"/>
      <c r="Y617" s="1264"/>
      <c r="Z617" s="1264"/>
    </row>
    <row r="618" spans="1:26" ht="18.75" hidden="1">
      <c r="A618" s="1273"/>
      <c r="B618" s="1274"/>
      <c r="C618" s="1274"/>
      <c r="D618" s="1350" t="s">
        <v>265</v>
      </c>
      <c r="E618" s="1262"/>
      <c r="F618" s="1262"/>
      <c r="G618" s="1060"/>
      <c r="H618" s="583" t="s">
        <v>46</v>
      </c>
      <c r="I618" s="836"/>
      <c r="J618" s="836">
        <v>0</v>
      </c>
      <c r="K618" s="948"/>
      <c r="L618" s="948"/>
      <c r="M618" s="948"/>
      <c r="N618" s="948"/>
      <c r="O618" s="948"/>
      <c r="P618" s="948"/>
      <c r="Q618" s="1264"/>
      <c r="R618" s="1264"/>
      <c r="S618" s="1264"/>
      <c r="T618" s="1264"/>
      <c r="U618" s="1264"/>
      <c r="V618" s="1264"/>
      <c r="W618" s="1264"/>
      <c r="X618" s="1264"/>
      <c r="Y618" s="1264"/>
      <c r="Z618" s="1264"/>
    </row>
    <row r="619" spans="1:26" ht="18.75" hidden="1">
      <c r="A619" s="1273"/>
      <c r="B619" s="1274"/>
      <c r="C619" s="1274"/>
      <c r="D619" s="1274"/>
      <c r="E619" s="1262"/>
      <c r="F619" s="1262"/>
      <c r="G619" s="1060"/>
      <c r="H619" s="583" t="s">
        <v>34</v>
      </c>
      <c r="I619" s="836"/>
      <c r="J619" s="836">
        <v>0</v>
      </c>
      <c r="K619" s="948"/>
      <c r="L619" s="948"/>
      <c r="M619" s="948"/>
      <c r="N619" s="948"/>
      <c r="O619" s="948"/>
      <c r="P619" s="948"/>
      <c r="Q619" s="1264"/>
      <c r="R619" s="1264"/>
      <c r="S619" s="1264"/>
      <c r="T619" s="1264"/>
      <c r="U619" s="1264"/>
      <c r="V619" s="1264"/>
      <c r="W619" s="1264"/>
      <c r="X619" s="1264"/>
      <c r="Y619" s="1264"/>
      <c r="Z619" s="1264"/>
    </row>
    <row r="620" spans="1:26" ht="19.5" hidden="1">
      <c r="A620" s="1351"/>
      <c r="B620" s="1352"/>
      <c r="C620" s="1353" t="s">
        <v>266</v>
      </c>
      <c r="D620" s="1352"/>
      <c r="E620" s="1352"/>
      <c r="F620" s="1354"/>
      <c r="G620" s="1355"/>
      <c r="H620" s="693" t="s">
        <v>46</v>
      </c>
      <c r="I620" s="1356">
        <f ca="1">IFERROR(__xludf.DUMMYFUNCTION("IMPORTRANGE(""https://docs.google.com/spreadsheets/d/1QqKyyYR6Q21VydFLVH3TRQUabQu_ym0Zz7PgGX0-kHA/edit?usp=sharing"",""แผน!HL15"")"),3)</f>
        <v>3</v>
      </c>
      <c r="J620" s="1356">
        <f t="shared" ref="J620:J621" si="260">J622+J624+J626</f>
        <v>0</v>
      </c>
      <c r="K620" s="1357">
        <f t="shared" ref="K620:K621" ca="1" si="261">IF(I620&gt;0,J620*100/I620,0)</f>
        <v>0</v>
      </c>
      <c r="L620" s="1358"/>
      <c r="M620" s="1358"/>
      <c r="N620" s="1358"/>
      <c r="O620" s="1358"/>
      <c r="P620" s="1358"/>
      <c r="Q620" s="1244"/>
      <c r="R620" s="1244"/>
      <c r="S620" s="1244"/>
      <c r="T620" s="1244"/>
      <c r="U620" s="1244"/>
      <c r="V620" s="1244"/>
      <c r="W620" s="1244"/>
      <c r="X620" s="1244"/>
      <c r="Y620" s="1244"/>
      <c r="Z620" s="1244"/>
    </row>
    <row r="621" spans="1:26" ht="19.5" hidden="1">
      <c r="A621" s="1351"/>
      <c r="B621" s="1352"/>
      <c r="C621" s="1352" t="s">
        <v>267</v>
      </c>
      <c r="D621" s="1352"/>
      <c r="E621" s="1352"/>
      <c r="F621" s="1354"/>
      <c r="G621" s="1355"/>
      <c r="H621" s="693" t="s">
        <v>34</v>
      </c>
      <c r="I621" s="1356">
        <f ca="1">IFERROR(__xludf.DUMMYFUNCTION("IMPORTRANGE(""https://docs.google.com/spreadsheets/d/1QqKyyYR6Q21VydFLVH3TRQUabQu_ym0Zz7PgGX0-kHA/edit?usp=sharing"",""แผน!HK15"")"),1)</f>
        <v>1</v>
      </c>
      <c r="J621" s="1356">
        <f t="shared" si="260"/>
        <v>0</v>
      </c>
      <c r="K621" s="1357">
        <f t="shared" ca="1" si="261"/>
        <v>0</v>
      </c>
      <c r="L621" s="1358"/>
      <c r="M621" s="1358"/>
      <c r="N621" s="1358"/>
      <c r="O621" s="1358"/>
      <c r="P621" s="1358"/>
      <c r="Q621" s="1244"/>
      <c r="R621" s="1244"/>
      <c r="S621" s="1244"/>
      <c r="T621" s="1244"/>
      <c r="U621" s="1244"/>
      <c r="V621" s="1244"/>
      <c r="W621" s="1244"/>
      <c r="X621" s="1244"/>
      <c r="Y621" s="1244"/>
      <c r="Z621" s="1244"/>
    </row>
    <row r="622" spans="1:26" ht="18.75" hidden="1">
      <c r="A622" s="1267"/>
      <c r="B622" s="1268"/>
      <c r="C622" s="1268"/>
      <c r="D622" s="1017" t="s">
        <v>268</v>
      </c>
      <c r="E622" s="961"/>
      <c r="F622" s="961"/>
      <c r="G622" s="954"/>
      <c r="H622" s="730" t="s">
        <v>46</v>
      </c>
      <c r="I622" s="830"/>
      <c r="J622" s="959">
        <v>0</v>
      </c>
      <c r="K622" s="945"/>
      <c r="L622" s="945"/>
      <c r="M622" s="945"/>
      <c r="N622" s="945"/>
      <c r="O622" s="945"/>
      <c r="P622" s="945"/>
      <c r="Q622" s="1244"/>
      <c r="R622" s="1244"/>
      <c r="S622" s="1244"/>
      <c r="T622" s="1244"/>
      <c r="U622" s="1244"/>
      <c r="V622" s="1244"/>
      <c r="W622" s="1244"/>
      <c r="X622" s="1244"/>
      <c r="Y622" s="1244"/>
      <c r="Z622" s="1244"/>
    </row>
    <row r="623" spans="1:26" ht="18.75" hidden="1">
      <c r="A623" s="1267"/>
      <c r="B623" s="1268"/>
      <c r="C623" s="1268"/>
      <c r="D623" s="1268"/>
      <c r="E623" s="961"/>
      <c r="F623" s="961"/>
      <c r="G623" s="954"/>
      <c r="H623" s="730" t="s">
        <v>34</v>
      </c>
      <c r="I623" s="830"/>
      <c r="J623" s="959">
        <v>0</v>
      </c>
      <c r="K623" s="945"/>
      <c r="L623" s="945"/>
      <c r="M623" s="945"/>
      <c r="N623" s="945"/>
      <c r="O623" s="945"/>
      <c r="P623" s="945"/>
      <c r="Q623" s="1244"/>
      <c r="R623" s="1244"/>
      <c r="S623" s="1244"/>
      <c r="T623" s="1244"/>
      <c r="U623" s="1244"/>
      <c r="V623" s="1244"/>
      <c r="W623" s="1244"/>
      <c r="X623" s="1244"/>
      <c r="Y623" s="1244"/>
      <c r="Z623" s="1244"/>
    </row>
    <row r="624" spans="1:26" ht="18.75" hidden="1">
      <c r="A624" s="1267"/>
      <c r="B624" s="1268"/>
      <c r="C624" s="1268"/>
      <c r="D624" s="1017" t="s">
        <v>264</v>
      </c>
      <c r="E624" s="961"/>
      <c r="F624" s="961"/>
      <c r="G624" s="954"/>
      <c r="H624" s="730" t="s">
        <v>46</v>
      </c>
      <c r="I624" s="830"/>
      <c r="J624" s="959">
        <v>0</v>
      </c>
      <c r="K624" s="945"/>
      <c r="L624" s="945"/>
      <c r="M624" s="945"/>
      <c r="N624" s="945"/>
      <c r="O624" s="945"/>
      <c r="P624" s="945"/>
      <c r="Q624" s="1244"/>
      <c r="R624" s="1244"/>
      <c r="S624" s="1244"/>
      <c r="T624" s="1244"/>
      <c r="U624" s="1244"/>
      <c r="V624" s="1244"/>
      <c r="W624" s="1244"/>
      <c r="X624" s="1244"/>
      <c r="Y624" s="1244"/>
      <c r="Z624" s="1244"/>
    </row>
    <row r="625" spans="1:26" ht="18.75" hidden="1">
      <c r="A625" s="1267"/>
      <c r="B625" s="1268"/>
      <c r="C625" s="1268"/>
      <c r="D625" s="1268"/>
      <c r="E625" s="961"/>
      <c r="F625" s="961"/>
      <c r="G625" s="954"/>
      <c r="H625" s="730" t="s">
        <v>34</v>
      </c>
      <c r="I625" s="830"/>
      <c r="J625" s="959">
        <v>0</v>
      </c>
      <c r="K625" s="945"/>
      <c r="L625" s="945"/>
      <c r="M625" s="945"/>
      <c r="N625" s="945"/>
      <c r="O625" s="945"/>
      <c r="P625" s="945"/>
      <c r="Q625" s="1244"/>
      <c r="R625" s="1244"/>
      <c r="S625" s="1244"/>
      <c r="T625" s="1244"/>
      <c r="U625" s="1244"/>
      <c r="V625" s="1244"/>
      <c r="W625" s="1244"/>
      <c r="X625" s="1244"/>
      <c r="Y625" s="1244"/>
      <c r="Z625" s="1244"/>
    </row>
    <row r="626" spans="1:26" ht="18.75" hidden="1">
      <c r="A626" s="1267"/>
      <c r="B626" s="1268"/>
      <c r="C626" s="1268"/>
      <c r="D626" s="1017" t="s">
        <v>269</v>
      </c>
      <c r="E626" s="961"/>
      <c r="F626" s="961"/>
      <c r="G626" s="954"/>
      <c r="H626" s="730" t="s">
        <v>46</v>
      </c>
      <c r="I626" s="830"/>
      <c r="J626" s="959">
        <v>0</v>
      </c>
      <c r="K626" s="945"/>
      <c r="L626" s="945"/>
      <c r="M626" s="945"/>
      <c r="N626" s="945"/>
      <c r="O626" s="945"/>
      <c r="P626" s="945"/>
      <c r="Q626" s="1244"/>
      <c r="R626" s="1244"/>
      <c r="S626" s="1244"/>
      <c r="T626" s="1244"/>
      <c r="U626" s="1244"/>
      <c r="V626" s="1244"/>
      <c r="W626" s="1244"/>
      <c r="X626" s="1244"/>
      <c r="Y626" s="1244"/>
      <c r="Z626" s="1244"/>
    </row>
    <row r="627" spans="1:26" ht="18.75" hidden="1">
      <c r="A627" s="1359"/>
      <c r="B627" s="1360"/>
      <c r="C627" s="1360"/>
      <c r="D627" s="1360"/>
      <c r="E627" s="1116"/>
      <c r="F627" s="1116"/>
      <c r="G627" s="1361"/>
      <c r="H627" s="391" t="s">
        <v>34</v>
      </c>
      <c r="I627" s="1085"/>
      <c r="J627" s="1118">
        <v>0</v>
      </c>
      <c r="K627" s="1086"/>
      <c r="L627" s="1086"/>
      <c r="M627" s="1086"/>
      <c r="N627" s="1086"/>
      <c r="O627" s="1086"/>
      <c r="P627" s="1086"/>
      <c r="Q627" s="1244"/>
      <c r="R627" s="1244"/>
      <c r="S627" s="1244"/>
      <c r="T627" s="1244"/>
      <c r="U627" s="1244"/>
      <c r="V627" s="1244"/>
      <c r="W627" s="1244"/>
      <c r="X627" s="1244"/>
      <c r="Y627" s="1244"/>
      <c r="Z627" s="1244"/>
    </row>
    <row r="628" spans="1:26" ht="19.5">
      <c r="A628" s="702">
        <v>7</v>
      </c>
      <c r="B628" s="1362" t="s">
        <v>270</v>
      </c>
      <c r="C628" s="1363"/>
      <c r="D628" s="1363"/>
      <c r="E628" s="1363"/>
      <c r="F628" s="1363"/>
      <c r="G628" s="1364"/>
      <c r="H628" s="706" t="s">
        <v>35</v>
      </c>
      <c r="I628" s="1365">
        <f t="shared" ref="I628:J628" ca="1" si="262">I651</f>
        <v>140</v>
      </c>
      <c r="J628" s="1365">
        <f t="shared" ca="1" si="262"/>
        <v>0</v>
      </c>
      <c r="K628" s="1366">
        <f ca="1">IF(I628&gt;0,J628*100/I628,0)</f>
        <v>0</v>
      </c>
      <c r="L628" s="1367"/>
      <c r="M628" s="1367"/>
      <c r="N628" s="1367"/>
      <c r="O628" s="1367"/>
      <c r="P628" s="1367"/>
      <c r="Q628" s="1244"/>
      <c r="R628" s="1244"/>
      <c r="S628" s="1244"/>
      <c r="T628" s="1244"/>
      <c r="U628" s="1244"/>
      <c r="V628" s="1244"/>
      <c r="W628" s="1244"/>
      <c r="X628" s="1244"/>
      <c r="Y628" s="1244"/>
      <c r="Z628" s="1244"/>
    </row>
    <row r="629" spans="1:26" ht="19.5">
      <c r="A629" s="1259"/>
      <c r="B629" s="1243"/>
      <c r="C629" s="1243" t="s">
        <v>16</v>
      </c>
      <c r="D629" s="1507" t="s">
        <v>17</v>
      </c>
      <c r="E629" s="1485"/>
      <c r="F629" s="1485"/>
      <c r="G629" s="963"/>
      <c r="H629" s="563" t="s">
        <v>12</v>
      </c>
      <c r="I629" s="830"/>
      <c r="J629" s="830"/>
      <c r="K629" s="831"/>
      <c r="L629" s="967">
        <f t="shared" ref="L629:N629" ca="1" si="263">L630+L631</f>
        <v>400230</v>
      </c>
      <c r="M629" s="967">
        <f t="shared" si="263"/>
        <v>0</v>
      </c>
      <c r="N629" s="967">
        <f t="shared" si="263"/>
        <v>0</v>
      </c>
      <c r="O629" s="967">
        <f t="shared" ref="O629:O634" ca="1" si="264">IF(L629&gt;0,N629*100/L629,0)</f>
        <v>0</v>
      </c>
      <c r="P629" s="967">
        <f t="shared" ref="P629:P634" si="265">IF(M629&gt;0,N629*100/M629,0)</f>
        <v>0</v>
      </c>
      <c r="Q629" s="1244"/>
      <c r="R629" s="1244"/>
      <c r="S629" s="1244"/>
      <c r="T629" s="1244"/>
      <c r="U629" s="1244"/>
      <c r="V629" s="1244"/>
      <c r="W629" s="1244"/>
      <c r="X629" s="1244"/>
      <c r="Y629" s="1244"/>
      <c r="Z629" s="1244"/>
    </row>
    <row r="630" spans="1:26" ht="18.75" hidden="1">
      <c r="A630" s="1260"/>
      <c r="B630" s="1261"/>
      <c r="C630" s="1261"/>
      <c r="D630" s="1262"/>
      <c r="E630" s="1261" t="s">
        <v>184</v>
      </c>
      <c r="F630" s="1261"/>
      <c r="G630" s="1263"/>
      <c r="H630" s="165" t="s">
        <v>12</v>
      </c>
      <c r="I630" s="836"/>
      <c r="J630" s="836"/>
      <c r="K630" s="837"/>
      <c r="L630" s="837">
        <f t="shared" ref="L630:N631" si="266">L633+L640</f>
        <v>0</v>
      </c>
      <c r="M630" s="837">
        <f t="shared" si="266"/>
        <v>0</v>
      </c>
      <c r="N630" s="837">
        <f t="shared" si="266"/>
        <v>0</v>
      </c>
      <c r="O630" s="837">
        <f t="shared" si="264"/>
        <v>0</v>
      </c>
      <c r="P630" s="837">
        <f t="shared" si="265"/>
        <v>0</v>
      </c>
      <c r="Q630" s="1264"/>
      <c r="R630" s="1264"/>
      <c r="S630" s="1264"/>
      <c r="T630" s="1264"/>
      <c r="U630" s="1264"/>
      <c r="V630" s="1264"/>
      <c r="W630" s="1264"/>
      <c r="X630" s="1264"/>
      <c r="Y630" s="1264"/>
      <c r="Z630" s="1264"/>
    </row>
    <row r="631" spans="1:26" ht="18.75" hidden="1">
      <c r="A631" s="1260"/>
      <c r="B631" s="1265"/>
      <c r="C631" s="1261"/>
      <c r="D631" s="1262"/>
      <c r="E631" s="1261" t="s">
        <v>185</v>
      </c>
      <c r="F631" s="1261"/>
      <c r="G631" s="1263"/>
      <c r="H631" s="165" t="s">
        <v>12</v>
      </c>
      <c r="I631" s="836"/>
      <c r="J631" s="836"/>
      <c r="K631" s="837"/>
      <c r="L631" s="837">
        <f t="shared" ca="1" si="266"/>
        <v>400230</v>
      </c>
      <c r="M631" s="837">
        <f t="shared" si="266"/>
        <v>0</v>
      </c>
      <c r="N631" s="837">
        <f t="shared" si="266"/>
        <v>0</v>
      </c>
      <c r="O631" s="837">
        <f t="shared" ca="1" si="264"/>
        <v>0</v>
      </c>
      <c r="P631" s="837">
        <f t="shared" si="265"/>
        <v>0</v>
      </c>
      <c r="Q631" s="1264"/>
      <c r="R631" s="1264"/>
      <c r="S631" s="1264"/>
      <c r="T631" s="1264"/>
      <c r="U631" s="1264"/>
      <c r="V631" s="1264"/>
      <c r="W631" s="1264"/>
      <c r="X631" s="1264"/>
      <c r="Y631" s="1264"/>
      <c r="Z631" s="1264"/>
    </row>
    <row r="632" spans="1:26" ht="18.75">
      <c r="A632" s="1259"/>
      <c r="B632" s="1242"/>
      <c r="C632" s="1243"/>
      <c r="D632" s="1266" t="s">
        <v>20</v>
      </c>
      <c r="E632" s="1243"/>
      <c r="F632" s="1243"/>
      <c r="G632" s="963"/>
      <c r="H632" s="778" t="s">
        <v>12</v>
      </c>
      <c r="I632" s="944"/>
      <c r="J632" s="944"/>
      <c r="K632" s="945"/>
      <c r="L632" s="831">
        <f t="shared" ref="L632:N632" ca="1" si="267">L633+L634</f>
        <v>400230</v>
      </c>
      <c r="M632" s="831">
        <f t="shared" si="267"/>
        <v>0</v>
      </c>
      <c r="N632" s="831">
        <f t="shared" si="267"/>
        <v>0</v>
      </c>
      <c r="O632" s="831">
        <f t="shared" ca="1" si="264"/>
        <v>0</v>
      </c>
      <c r="P632" s="831">
        <f t="shared" si="265"/>
        <v>0</v>
      </c>
      <c r="Q632" s="1244"/>
      <c r="R632" s="1244"/>
      <c r="S632" s="1244"/>
      <c r="T632" s="1244"/>
      <c r="U632" s="1244"/>
      <c r="V632" s="1244"/>
      <c r="W632" s="1244"/>
      <c r="X632" s="1244"/>
      <c r="Y632" s="1244"/>
      <c r="Z632" s="1244"/>
    </row>
    <row r="633" spans="1:26" ht="18.75" hidden="1">
      <c r="A633" s="1260"/>
      <c r="B633" s="1265"/>
      <c r="C633" s="1261"/>
      <c r="D633" s="1262"/>
      <c r="E633" s="1261" t="s">
        <v>184</v>
      </c>
      <c r="F633" s="1261"/>
      <c r="G633" s="1263"/>
      <c r="H633" s="165" t="s">
        <v>12</v>
      </c>
      <c r="I633" s="836"/>
      <c r="J633" s="836"/>
      <c r="K633" s="837"/>
      <c r="L633" s="837">
        <v>0</v>
      </c>
      <c r="M633" s="837">
        <v>0</v>
      </c>
      <c r="N633" s="837">
        <v>0</v>
      </c>
      <c r="O633" s="837">
        <f t="shared" si="264"/>
        <v>0</v>
      </c>
      <c r="P633" s="837">
        <f t="shared" si="265"/>
        <v>0</v>
      </c>
      <c r="Q633" s="1264"/>
      <c r="R633" s="1264"/>
      <c r="S633" s="1264"/>
      <c r="T633" s="1264"/>
      <c r="U633" s="1264"/>
      <c r="V633" s="1264"/>
      <c r="W633" s="1264"/>
      <c r="X633" s="1264"/>
      <c r="Y633" s="1264"/>
      <c r="Z633" s="1264"/>
    </row>
    <row r="634" spans="1:26" ht="18.75" hidden="1">
      <c r="A634" s="1260"/>
      <c r="B634" s="1265"/>
      <c r="C634" s="1261"/>
      <c r="D634" s="1262"/>
      <c r="E634" s="1261" t="s">
        <v>185</v>
      </c>
      <c r="F634" s="1261"/>
      <c r="G634" s="1263"/>
      <c r="H634" s="165" t="s">
        <v>12</v>
      </c>
      <c r="I634" s="836"/>
      <c r="J634" s="836"/>
      <c r="K634" s="837"/>
      <c r="L634" s="837">
        <f ca="1">IFERROR(__xludf.DUMMYFUNCTION("IMPORTRANGE(""https://docs.google.com/spreadsheets/d/1QqKyyYR6Q21VydFLVH3TRQUabQu_ym0Zz7PgGX0-kHA/edit?usp=sharing"",""แผน!HN15"")"),400230)</f>
        <v>400230</v>
      </c>
      <c r="M634" s="837">
        <v>0</v>
      </c>
      <c r="N634" s="837">
        <f>N635+N636+N637+N638</f>
        <v>0</v>
      </c>
      <c r="O634" s="837">
        <f t="shared" ca="1" si="264"/>
        <v>0</v>
      </c>
      <c r="P634" s="837">
        <f t="shared" si="265"/>
        <v>0</v>
      </c>
      <c r="Q634" s="1264"/>
      <c r="R634" s="1264"/>
      <c r="S634" s="1264"/>
      <c r="T634" s="1264"/>
      <c r="U634" s="1264"/>
      <c r="V634" s="1264"/>
      <c r="W634" s="1264"/>
      <c r="X634" s="1264"/>
      <c r="Y634" s="1264"/>
      <c r="Z634" s="1264"/>
    </row>
    <row r="635" spans="1:26" ht="18.75">
      <c r="A635" s="1241"/>
      <c r="B635" s="1242"/>
      <c r="C635" s="1243"/>
      <c r="D635" s="1243"/>
      <c r="E635" s="1243"/>
      <c r="F635" s="1243" t="s">
        <v>186</v>
      </c>
      <c r="G635" s="963"/>
      <c r="H635" s="778" t="s">
        <v>12</v>
      </c>
      <c r="I635" s="830"/>
      <c r="J635" s="830"/>
      <c r="K635" s="831"/>
      <c r="L635" s="831"/>
      <c r="M635" s="831"/>
      <c r="N635" s="1031">
        <v>0</v>
      </c>
      <c r="O635" s="831"/>
      <c r="P635" s="831"/>
      <c r="Q635" s="1244"/>
      <c r="R635" s="1244"/>
      <c r="S635" s="1244"/>
      <c r="T635" s="1244"/>
      <c r="U635" s="1244"/>
      <c r="V635" s="1244"/>
      <c r="W635" s="1244"/>
      <c r="X635" s="1244"/>
      <c r="Y635" s="1244"/>
      <c r="Z635" s="1244"/>
    </row>
    <row r="636" spans="1:26" ht="18.75">
      <c r="A636" s="1241"/>
      <c r="B636" s="1242"/>
      <c r="C636" s="1243"/>
      <c r="D636" s="1243"/>
      <c r="E636" s="1243"/>
      <c r="F636" s="1243" t="s">
        <v>187</v>
      </c>
      <c r="G636" s="963"/>
      <c r="H636" s="778" t="s">
        <v>12</v>
      </c>
      <c r="I636" s="830"/>
      <c r="J636" s="830"/>
      <c r="K636" s="831"/>
      <c r="L636" s="831"/>
      <c r="M636" s="831"/>
      <c r="N636" s="1031">
        <v>0</v>
      </c>
      <c r="O636" s="831"/>
      <c r="P636" s="831"/>
      <c r="Q636" s="1244"/>
      <c r="R636" s="1244"/>
      <c r="S636" s="1244"/>
      <c r="T636" s="1244"/>
      <c r="U636" s="1244"/>
      <c r="V636" s="1244"/>
      <c r="W636" s="1244"/>
      <c r="X636" s="1244"/>
      <c r="Y636" s="1244"/>
      <c r="Z636" s="1244"/>
    </row>
    <row r="637" spans="1:26" ht="18.75">
      <c r="A637" s="1241"/>
      <c r="B637" s="1242"/>
      <c r="C637" s="1243"/>
      <c r="D637" s="1243"/>
      <c r="E637" s="1243"/>
      <c r="F637" s="1243" t="s">
        <v>188</v>
      </c>
      <c r="G637" s="963"/>
      <c r="H637" s="778" t="s">
        <v>12</v>
      </c>
      <c r="I637" s="830"/>
      <c r="J637" s="830"/>
      <c r="K637" s="831"/>
      <c r="L637" s="831"/>
      <c r="M637" s="831"/>
      <c r="N637" s="1031">
        <v>0</v>
      </c>
      <c r="O637" s="831"/>
      <c r="P637" s="831"/>
      <c r="Q637" s="1244"/>
      <c r="R637" s="1244"/>
      <c r="S637" s="1244"/>
      <c r="T637" s="1244"/>
      <c r="U637" s="1244"/>
      <c r="V637" s="1244"/>
      <c r="W637" s="1244"/>
      <c r="X637" s="1244"/>
      <c r="Y637" s="1244"/>
      <c r="Z637" s="1244"/>
    </row>
    <row r="638" spans="1:26" ht="18.75">
      <c r="A638" s="1241"/>
      <c r="B638" s="1242"/>
      <c r="C638" s="1243"/>
      <c r="D638" s="1243"/>
      <c r="E638" s="1243"/>
      <c r="F638" s="1243" t="s">
        <v>189</v>
      </c>
      <c r="G638" s="963"/>
      <c r="H638" s="778" t="s">
        <v>12</v>
      </c>
      <c r="I638" s="830"/>
      <c r="J638" s="830"/>
      <c r="K638" s="831"/>
      <c r="L638" s="831"/>
      <c r="M638" s="831"/>
      <c r="N638" s="1031">
        <v>0</v>
      </c>
      <c r="O638" s="831"/>
      <c r="P638" s="831"/>
      <c r="Q638" s="1244"/>
      <c r="R638" s="1244"/>
      <c r="S638" s="1244"/>
      <c r="T638" s="1244"/>
      <c r="U638" s="1244"/>
      <c r="V638" s="1244"/>
      <c r="W638" s="1244"/>
      <c r="X638" s="1244"/>
      <c r="Y638" s="1244"/>
      <c r="Z638" s="1244"/>
    </row>
    <row r="639" spans="1:26" ht="18.75">
      <c r="A639" s="1259"/>
      <c r="B639" s="1242"/>
      <c r="C639" s="1243"/>
      <c r="D639" s="1266" t="s">
        <v>21</v>
      </c>
      <c r="E639" s="1243"/>
      <c r="F639" s="1243"/>
      <c r="G639" s="963"/>
      <c r="H639" s="168" t="s">
        <v>12</v>
      </c>
      <c r="I639" s="944"/>
      <c r="J639" s="944"/>
      <c r="K639" s="945"/>
      <c r="L639" s="831">
        <f t="shared" ref="L639:N639" ca="1" si="268">L640+L641</f>
        <v>0</v>
      </c>
      <c r="M639" s="831">
        <f t="shared" si="268"/>
        <v>0</v>
      </c>
      <c r="N639" s="831">
        <f t="shared" si="268"/>
        <v>0</v>
      </c>
      <c r="O639" s="831">
        <f t="shared" ref="O639:O641" ca="1" si="269">IF(L639&gt;0,N639*100/L639,0)</f>
        <v>0</v>
      </c>
      <c r="P639" s="831">
        <f t="shared" ref="P639:P641" si="270">IF(M639&gt;0,N639*100/M639,0)</f>
        <v>0</v>
      </c>
      <c r="Q639" s="1244"/>
      <c r="R639" s="1244"/>
      <c r="S639" s="1244"/>
      <c r="T639" s="1244"/>
      <c r="U639" s="1244"/>
      <c r="V639" s="1244"/>
      <c r="W639" s="1244"/>
      <c r="X639" s="1244"/>
      <c r="Y639" s="1244"/>
      <c r="Z639" s="1244"/>
    </row>
    <row r="640" spans="1:26" ht="18.75" hidden="1">
      <c r="A640" s="1260"/>
      <c r="B640" s="1265"/>
      <c r="C640" s="1261"/>
      <c r="D640" s="1261"/>
      <c r="E640" s="1261" t="s">
        <v>18</v>
      </c>
      <c r="F640" s="1261"/>
      <c r="G640" s="1263"/>
      <c r="H640" s="165" t="s">
        <v>12</v>
      </c>
      <c r="I640" s="947"/>
      <c r="J640" s="947"/>
      <c r="K640" s="948"/>
      <c r="L640" s="837">
        <v>0</v>
      </c>
      <c r="M640" s="837">
        <v>0</v>
      </c>
      <c r="N640" s="837">
        <v>0</v>
      </c>
      <c r="O640" s="837">
        <f t="shared" si="269"/>
        <v>0</v>
      </c>
      <c r="P640" s="837">
        <f t="shared" si="270"/>
        <v>0</v>
      </c>
      <c r="Q640" s="1264"/>
      <c r="R640" s="1264"/>
      <c r="S640" s="1264"/>
      <c r="T640" s="1264"/>
      <c r="U640" s="1264"/>
      <c r="V640" s="1264"/>
      <c r="W640" s="1264"/>
      <c r="X640" s="1264"/>
      <c r="Y640" s="1264"/>
      <c r="Z640" s="1264"/>
    </row>
    <row r="641" spans="1:26" ht="18.75" hidden="1">
      <c r="A641" s="1260"/>
      <c r="B641" s="1265"/>
      <c r="C641" s="1261"/>
      <c r="D641" s="1261"/>
      <c r="E641" s="1261" t="s">
        <v>19</v>
      </c>
      <c r="F641" s="1261"/>
      <c r="G641" s="1263"/>
      <c r="H641" s="169" t="s">
        <v>12</v>
      </c>
      <c r="I641" s="947"/>
      <c r="J641" s="947"/>
      <c r="K641" s="948"/>
      <c r="L641" s="837">
        <f ca="1">IFERROR(__xludf.DUMMYFUNCTION("IMPORTRANGE(""https://docs.google.com/spreadsheets/d/1QqKyyYR6Q21VydFLVH3TRQUabQu_ym0Zz7PgGX0-kHA/edit?usp=sharing"",""แผน!HQ15"")"),0)</f>
        <v>0</v>
      </c>
      <c r="M641" s="837">
        <v>0</v>
      </c>
      <c r="N641" s="837">
        <v>0</v>
      </c>
      <c r="O641" s="837">
        <f t="shared" ca="1" si="269"/>
        <v>0</v>
      </c>
      <c r="P641" s="837">
        <f t="shared" si="270"/>
        <v>0</v>
      </c>
      <c r="Q641" s="1264"/>
      <c r="R641" s="1264"/>
      <c r="S641" s="1264"/>
      <c r="T641" s="1264"/>
      <c r="U641" s="1264"/>
      <c r="V641" s="1264"/>
      <c r="W641" s="1264"/>
      <c r="X641" s="1264"/>
      <c r="Y641" s="1264"/>
      <c r="Z641" s="1264"/>
    </row>
    <row r="642" spans="1:26" ht="19.5">
      <c r="A642" s="1267"/>
      <c r="B642" s="1268"/>
      <c r="C642" s="1243" t="s">
        <v>16</v>
      </c>
      <c r="D642" s="1320" t="s">
        <v>38</v>
      </c>
      <c r="E642" s="1271"/>
      <c r="F642" s="1271"/>
      <c r="G642" s="1272"/>
      <c r="H642" s="954"/>
      <c r="I642" s="944"/>
      <c r="J642" s="944"/>
      <c r="K642" s="945"/>
      <c r="L642" s="945"/>
      <c r="M642" s="945"/>
      <c r="N642" s="945"/>
      <c r="O642" s="945"/>
      <c r="P642" s="945"/>
      <c r="Q642" s="1244"/>
      <c r="R642" s="1244"/>
      <c r="S642" s="1244"/>
      <c r="T642" s="1244"/>
      <c r="U642" s="1244"/>
      <c r="V642" s="1244"/>
      <c r="W642" s="1244"/>
      <c r="X642" s="1244"/>
      <c r="Y642" s="1244"/>
      <c r="Z642" s="1244"/>
    </row>
    <row r="643" spans="1:26" ht="18.75">
      <c r="A643" s="1368"/>
      <c r="B643" s="1242"/>
      <c r="C643" s="1243"/>
      <c r="D643" s="961"/>
      <c r="E643" s="1017" t="s">
        <v>271</v>
      </c>
      <c r="F643" s="961"/>
      <c r="G643" s="954"/>
      <c r="H643" s="730" t="s">
        <v>272</v>
      </c>
      <c r="I643" s="830">
        <f ca="1">IFERROR(__xludf.DUMMYFUNCTION("IMPORTRANGE(""https://docs.google.com/spreadsheets/d/1QqKyyYR6Q21VydFLVH3TRQUabQu_ym0Zz7PgGX0-kHA/edit?usp=sharing"",""แผน!HR15"")"),0)</f>
        <v>0</v>
      </c>
      <c r="J643" s="959">
        <v>0</v>
      </c>
      <c r="K643" s="945">
        <f t="shared" ref="K643:K652" ca="1" si="271">IF(I643&gt;0,J643*100/I643,0)</f>
        <v>0</v>
      </c>
      <c r="L643" s="945"/>
      <c r="M643" s="945"/>
      <c r="N643" s="831"/>
      <c r="O643" s="945"/>
      <c r="P643" s="945"/>
      <c r="Q643" s="1244"/>
      <c r="R643" s="1244"/>
      <c r="S643" s="1244"/>
      <c r="T643" s="1244"/>
      <c r="U643" s="1244"/>
      <c r="V643" s="1244"/>
      <c r="W643" s="1244"/>
      <c r="X643" s="1244"/>
      <c r="Y643" s="1244"/>
      <c r="Z643" s="1244"/>
    </row>
    <row r="644" spans="1:26" ht="18.75">
      <c r="A644" s="1368"/>
      <c r="B644" s="1242"/>
      <c r="C644" s="1243"/>
      <c r="D644" s="961"/>
      <c r="E644" s="1017" t="s">
        <v>273</v>
      </c>
      <c r="F644" s="961"/>
      <c r="G644" s="954"/>
      <c r="H644" s="730" t="s">
        <v>274</v>
      </c>
      <c r="I644" s="830">
        <f ca="1">IFERROR(__xludf.DUMMYFUNCTION("IMPORTRANGE(""https://docs.google.com/spreadsheets/d/1QqKyyYR6Q21VydFLVH3TRQUabQu_ym0Zz7PgGX0-kHA/edit?usp=sharing"",""แผน!HR15"")"),0)</f>
        <v>0</v>
      </c>
      <c r="J644" s="959">
        <v>0</v>
      </c>
      <c r="K644" s="945">
        <f t="shared" ca="1" si="271"/>
        <v>0</v>
      </c>
      <c r="L644" s="945"/>
      <c r="M644" s="945"/>
      <c r="N644" s="831"/>
      <c r="O644" s="945"/>
      <c r="P644" s="945"/>
      <c r="Q644" s="1244"/>
      <c r="R644" s="1244"/>
      <c r="S644" s="1244"/>
      <c r="T644" s="1244"/>
      <c r="U644" s="1244"/>
      <c r="V644" s="1244"/>
      <c r="W644" s="1244"/>
      <c r="X644" s="1244"/>
      <c r="Y644" s="1244"/>
      <c r="Z644" s="1244"/>
    </row>
    <row r="645" spans="1:26" ht="18.75">
      <c r="A645" s="1368"/>
      <c r="B645" s="1242"/>
      <c r="C645" s="1243"/>
      <c r="D645" s="961"/>
      <c r="E645" s="1017" t="s">
        <v>275</v>
      </c>
      <c r="F645" s="961"/>
      <c r="G645" s="954"/>
      <c r="H645" s="730" t="s">
        <v>34</v>
      </c>
      <c r="I645" s="830">
        <v>0</v>
      </c>
      <c r="J645" s="830">
        <f ca="1">IFERROR(__xludf.DUMMYFUNCTION("IMPORTRANGE(""https://docs.google.com/spreadsheets/d/1XWAQStnk-4SwqDmLtmXYiTMKHgktTP8We1SCoS47DrQ/edit?usp=sharing"",""จัดที่ดิน!AS15"")"),11)</f>
        <v>11</v>
      </c>
      <c r="K645" s="945">
        <f t="shared" si="271"/>
        <v>0</v>
      </c>
      <c r="L645" s="945"/>
      <c r="M645" s="945"/>
      <c r="N645" s="831"/>
      <c r="O645" s="945"/>
      <c r="P645" s="945"/>
      <c r="Q645" s="1244"/>
      <c r="R645" s="1244"/>
      <c r="S645" s="1244"/>
      <c r="T645" s="1244"/>
      <c r="U645" s="1244"/>
      <c r="V645" s="1244"/>
      <c r="W645" s="1244"/>
      <c r="X645" s="1244"/>
      <c r="Y645" s="1244"/>
      <c r="Z645" s="1244"/>
    </row>
    <row r="646" spans="1:26" ht="18.75">
      <c r="A646" s="1368"/>
      <c r="B646" s="1242"/>
      <c r="C646" s="1243"/>
      <c r="D646" s="961"/>
      <c r="E646" s="961"/>
      <c r="F646" s="961"/>
      <c r="G646" s="954"/>
      <c r="H646" s="730" t="s">
        <v>46</v>
      </c>
      <c r="I646" s="830">
        <v>0</v>
      </c>
      <c r="J646" s="830">
        <f ca="1">IFERROR(__xludf.DUMMYFUNCTION("IMPORTRANGE(""https://docs.google.com/spreadsheets/d/1XWAQStnk-4SwqDmLtmXYiTMKHgktTP8We1SCoS47DrQ/edit?usp=sharing"",""จัดที่ดิน!AT15"")"),5.42)</f>
        <v>5.42</v>
      </c>
      <c r="K646" s="831">
        <f t="shared" si="271"/>
        <v>0</v>
      </c>
      <c r="L646" s="945"/>
      <c r="M646" s="945"/>
      <c r="N646" s="831"/>
      <c r="O646" s="945"/>
      <c r="P646" s="945"/>
      <c r="Q646" s="1244"/>
      <c r="R646" s="1244"/>
      <c r="S646" s="1244"/>
      <c r="T646" s="1244"/>
      <c r="U646" s="1244"/>
      <c r="V646" s="1244"/>
      <c r="W646" s="1244"/>
      <c r="X646" s="1244"/>
      <c r="Y646" s="1244"/>
      <c r="Z646" s="1244"/>
    </row>
    <row r="647" spans="1:26" ht="18.75">
      <c r="A647" s="1368"/>
      <c r="B647" s="1242"/>
      <c r="C647" s="1243"/>
      <c r="D647" s="961"/>
      <c r="E647" s="1017" t="s">
        <v>162</v>
      </c>
      <c r="F647" s="961"/>
      <c r="G647" s="954"/>
      <c r="H647" s="730" t="s">
        <v>35</v>
      </c>
      <c r="I647" s="830">
        <f ca="1">IFERROR(__xludf.DUMMYFUNCTION("IMPORTRANGE(""https://docs.google.com/spreadsheets/d/1QqKyyYR6Q21VydFLVH3TRQUabQu_ym0Zz7PgGX0-kHA/edit?usp=sharing"",""แผน!HS15"")"),140)</f>
        <v>140</v>
      </c>
      <c r="J647" s="830">
        <f ca="1">IFERROR(__xludf.DUMMYFUNCTION("IMPORTRANGE(""https://docs.google.com/spreadsheets/d/1XWAQStnk-4SwqDmLtmXYiTMKHgktTP8We1SCoS47DrQ/edit?usp=sharing"",""จัดที่ดิน!AU15"")"),47)</f>
        <v>47</v>
      </c>
      <c r="K647" s="945">
        <f t="shared" ca="1" si="271"/>
        <v>33.571428571428569</v>
      </c>
      <c r="L647" s="945"/>
      <c r="M647" s="945"/>
      <c r="N647" s="945"/>
      <c r="O647" s="945"/>
      <c r="P647" s="945"/>
      <c r="Q647" s="1244"/>
      <c r="R647" s="1244"/>
      <c r="S647" s="1244"/>
      <c r="T647" s="1244"/>
      <c r="U647" s="1244"/>
      <c r="V647" s="1244"/>
      <c r="W647" s="1244"/>
      <c r="X647" s="1244"/>
      <c r="Y647" s="1244"/>
      <c r="Z647" s="1244"/>
    </row>
    <row r="648" spans="1:26" ht="18.75">
      <c r="A648" s="1368"/>
      <c r="B648" s="1242"/>
      <c r="C648" s="1243"/>
      <c r="D648" s="961"/>
      <c r="E648" s="961"/>
      <c r="F648" s="961"/>
      <c r="G648" s="954"/>
      <c r="H648" s="730" t="s">
        <v>46</v>
      </c>
      <c r="I648" s="830">
        <v>0</v>
      </c>
      <c r="J648" s="830">
        <f ca="1">IFERROR(__xludf.DUMMYFUNCTION("IMPORTRANGE(""https://docs.google.com/spreadsheets/d/1XWAQStnk-4SwqDmLtmXYiTMKHgktTP8We1SCoS47DrQ/edit?usp=sharing"",""จัดที่ดิน!AV15"")"),26.55)</f>
        <v>26.55</v>
      </c>
      <c r="K648" s="831">
        <f t="shared" si="271"/>
        <v>0</v>
      </c>
      <c r="L648" s="945"/>
      <c r="M648" s="945"/>
      <c r="N648" s="945"/>
      <c r="O648" s="945"/>
      <c r="P648" s="945"/>
      <c r="Q648" s="1244"/>
      <c r="R648" s="1244"/>
      <c r="S648" s="1244"/>
      <c r="T648" s="1244"/>
      <c r="U648" s="1244"/>
      <c r="V648" s="1244"/>
      <c r="W648" s="1244"/>
      <c r="X648" s="1244"/>
      <c r="Y648" s="1244"/>
      <c r="Z648" s="1244"/>
    </row>
    <row r="649" spans="1:26" ht="18.75">
      <c r="A649" s="1368"/>
      <c r="B649" s="1242"/>
      <c r="C649" s="1243"/>
      <c r="D649" s="961"/>
      <c r="E649" s="1017" t="s">
        <v>276</v>
      </c>
      <c r="F649" s="961"/>
      <c r="G649" s="954"/>
      <c r="H649" s="730" t="s">
        <v>35</v>
      </c>
      <c r="I649" s="830">
        <f ca="1">IFERROR(__xludf.DUMMYFUNCTION("IMPORTRANGE(""https://docs.google.com/spreadsheets/d/1QqKyyYR6Q21VydFLVH3TRQUabQu_ym0Zz7PgGX0-kHA/edit?usp=sharing"",""แผน!HS15"")"),140)</f>
        <v>140</v>
      </c>
      <c r="J649" s="830">
        <f ca="1">IFERROR(__xludf.DUMMYFUNCTION("IMPORTRANGE(""https://docs.google.com/spreadsheets/d/1XWAQStnk-4SwqDmLtmXYiTMKHgktTP8We1SCoS47DrQ/edit?usp=sharing"",""จัดที่ดิน!AW15"")"),51)</f>
        <v>51</v>
      </c>
      <c r="K649" s="945">
        <f t="shared" ca="1" si="271"/>
        <v>36.428571428571431</v>
      </c>
      <c r="L649" s="945"/>
      <c r="M649" s="945"/>
      <c r="N649" s="945"/>
      <c r="O649" s="945"/>
      <c r="P649" s="945"/>
      <c r="Q649" s="1244"/>
      <c r="R649" s="1244"/>
      <c r="S649" s="1244"/>
      <c r="T649" s="1244"/>
      <c r="U649" s="1244"/>
      <c r="V649" s="1244"/>
      <c r="W649" s="1244"/>
      <c r="X649" s="1244"/>
      <c r="Y649" s="1244"/>
      <c r="Z649" s="1244"/>
    </row>
    <row r="650" spans="1:26" ht="18.75">
      <c r="A650" s="1368"/>
      <c r="B650" s="1242"/>
      <c r="C650" s="1243"/>
      <c r="D650" s="961"/>
      <c r="E650" s="961"/>
      <c r="F650" s="961"/>
      <c r="G650" s="954"/>
      <c r="H650" s="730" t="s">
        <v>46</v>
      </c>
      <c r="I650" s="830">
        <v>0</v>
      </c>
      <c r="J650" s="830">
        <f ca="1">IFERROR(__xludf.DUMMYFUNCTION("IMPORTRANGE(""https://docs.google.com/spreadsheets/d/1XWAQStnk-4SwqDmLtmXYiTMKHgktTP8We1SCoS47DrQ/edit?usp=sharing"",""จัดที่ดิน!AX15"")"),29.41)</f>
        <v>29.41</v>
      </c>
      <c r="K650" s="831">
        <f t="shared" si="271"/>
        <v>0</v>
      </c>
      <c r="L650" s="945"/>
      <c r="M650" s="945"/>
      <c r="N650" s="945"/>
      <c r="O650" s="945"/>
      <c r="P650" s="945"/>
      <c r="Q650" s="1244"/>
      <c r="R650" s="1244"/>
      <c r="S650" s="1244"/>
      <c r="T650" s="1244"/>
      <c r="U650" s="1244"/>
      <c r="V650" s="1244"/>
      <c r="W650" s="1244"/>
      <c r="X650" s="1244"/>
      <c r="Y650" s="1244"/>
      <c r="Z650" s="1244"/>
    </row>
    <row r="651" spans="1:26" ht="18.75">
      <c r="A651" s="1368"/>
      <c r="B651" s="1242"/>
      <c r="C651" s="1243"/>
      <c r="D651" s="961"/>
      <c r="E651" s="1017" t="s">
        <v>277</v>
      </c>
      <c r="F651" s="961"/>
      <c r="G651" s="954"/>
      <c r="H651" s="730" t="s">
        <v>35</v>
      </c>
      <c r="I651" s="830">
        <f ca="1">IFERROR(__xludf.DUMMYFUNCTION("IMPORTRANGE(""https://docs.google.com/spreadsheets/d/1QqKyyYR6Q21VydFLVH3TRQUabQu_ym0Zz7PgGX0-kHA/edit?usp=sharing"",""แผน!HS15"")"),140)</f>
        <v>140</v>
      </c>
      <c r="J651" s="830">
        <f ca="1">IFERROR(__xludf.DUMMYFUNCTION("IMPORTRANGE(""https://docs.google.com/spreadsheets/d/1XWAQStnk-4SwqDmLtmXYiTMKHgktTP8We1SCoS47DrQ/edit?usp=sharing"",""จัดที่ดิน!AY15"")"),0)</f>
        <v>0</v>
      </c>
      <c r="K651" s="945">
        <f t="shared" ca="1" si="271"/>
        <v>0</v>
      </c>
      <c r="L651" s="945"/>
      <c r="M651" s="945"/>
      <c r="N651" s="945"/>
      <c r="O651" s="945"/>
      <c r="P651" s="945"/>
      <c r="Q651" s="1244"/>
      <c r="R651" s="1244"/>
      <c r="S651" s="1244"/>
      <c r="T651" s="1244"/>
      <c r="U651" s="1244"/>
      <c r="V651" s="1244"/>
      <c r="W651" s="1244"/>
      <c r="X651" s="1244"/>
      <c r="Y651" s="1244"/>
      <c r="Z651" s="1244"/>
    </row>
    <row r="652" spans="1:26" ht="18.75">
      <c r="A652" s="1369"/>
      <c r="B652" s="1370"/>
      <c r="C652" s="1371"/>
      <c r="D652" s="1116"/>
      <c r="E652" s="1116"/>
      <c r="F652" s="1116"/>
      <c r="G652" s="1361"/>
      <c r="H652" s="468" t="s">
        <v>46</v>
      </c>
      <c r="I652" s="1085">
        <v>0</v>
      </c>
      <c r="J652" s="1085">
        <f ca="1">IFERROR(__xludf.DUMMYFUNCTION("IMPORTRANGE(""https://docs.google.com/spreadsheets/d/1XWAQStnk-4SwqDmLtmXYiTMKHgktTP8We1SCoS47DrQ/edit?usp=sharing"",""จัดที่ดิน!AZ15"")"),0)</f>
        <v>0</v>
      </c>
      <c r="K652" s="1182">
        <f t="shared" si="271"/>
        <v>0</v>
      </c>
      <c r="L652" s="1086"/>
      <c r="M652" s="1086"/>
      <c r="N652" s="1086"/>
      <c r="O652" s="1086"/>
      <c r="P652" s="1086"/>
      <c r="Q652" s="1244"/>
      <c r="R652" s="1244"/>
      <c r="S652" s="1244"/>
      <c r="T652" s="1244"/>
      <c r="U652" s="1244"/>
      <c r="V652" s="1244"/>
      <c r="W652" s="1244"/>
      <c r="X652" s="1244"/>
      <c r="Y652" s="1244"/>
      <c r="Z652" s="1244"/>
    </row>
    <row r="653" spans="1:26" ht="19.5">
      <c r="A653" s="716">
        <v>8</v>
      </c>
      <c r="B653" s="1362" t="s">
        <v>278</v>
      </c>
      <c r="C653" s="1363"/>
      <c r="D653" s="1363"/>
      <c r="E653" s="1363"/>
      <c r="F653" s="1363"/>
      <c r="G653" s="1364"/>
      <c r="H653" s="1364"/>
      <c r="I653" s="1372"/>
      <c r="J653" s="1372"/>
      <c r="K653" s="1367"/>
      <c r="L653" s="1367"/>
      <c r="M653" s="1367"/>
      <c r="N653" s="1367"/>
      <c r="O653" s="1367"/>
      <c r="P653" s="1367"/>
      <c r="Q653" s="1244"/>
      <c r="R653" s="1244"/>
      <c r="S653" s="1244"/>
      <c r="T653" s="1244"/>
      <c r="U653" s="1244"/>
      <c r="V653" s="1244"/>
      <c r="W653" s="1244"/>
      <c r="X653" s="1244"/>
      <c r="Y653" s="1244"/>
      <c r="Z653" s="1244"/>
    </row>
    <row r="654" spans="1:26" ht="19.5">
      <c r="A654" s="1315"/>
      <c r="B654" s="1314" t="s">
        <v>279</v>
      </c>
      <c r="C654" s="1315"/>
      <c r="D654" s="1315"/>
      <c r="E654" s="1315"/>
      <c r="F654" s="1315"/>
      <c r="G654" s="1316"/>
      <c r="H654" s="673" t="s">
        <v>46</v>
      </c>
      <c r="I654" s="1317">
        <f t="shared" ref="I654:J654" ca="1" si="272">I669</f>
        <v>300</v>
      </c>
      <c r="J654" s="1317">
        <f t="shared" si="272"/>
        <v>0</v>
      </c>
      <c r="K654" s="1318">
        <f ca="1">IF(I654&gt;0,J654*100/I654,0)</f>
        <v>0</v>
      </c>
      <c r="L654" s="1319"/>
      <c r="M654" s="1319"/>
      <c r="N654" s="1319"/>
      <c r="O654" s="1319"/>
      <c r="P654" s="1319"/>
      <c r="Q654" s="1244"/>
      <c r="R654" s="1244"/>
      <c r="S654" s="1244"/>
      <c r="T654" s="1244"/>
      <c r="U654" s="1244"/>
      <c r="V654" s="1244"/>
      <c r="W654" s="1244"/>
      <c r="X654" s="1244"/>
      <c r="Y654" s="1244"/>
      <c r="Z654" s="1244"/>
    </row>
    <row r="655" spans="1:26" ht="19.5">
      <c r="A655" s="1259"/>
      <c r="B655" s="1243"/>
      <c r="C655" s="1243" t="s">
        <v>16</v>
      </c>
      <c r="D655" s="1507" t="s">
        <v>17</v>
      </c>
      <c r="E655" s="1485"/>
      <c r="F655" s="1485"/>
      <c r="G655" s="963"/>
      <c r="H655" s="563" t="s">
        <v>12</v>
      </c>
      <c r="I655" s="830"/>
      <c r="J655" s="830"/>
      <c r="K655" s="831"/>
      <c r="L655" s="967">
        <f t="shared" ref="L655:N655" ca="1" si="273">L656+L657</f>
        <v>27600</v>
      </c>
      <c r="M655" s="967">
        <f t="shared" si="273"/>
        <v>0</v>
      </c>
      <c r="N655" s="967">
        <f t="shared" si="273"/>
        <v>4092</v>
      </c>
      <c r="O655" s="967">
        <f t="shared" ref="O655:O660" ca="1" si="274">IF(L655&gt;0,N655*100/L655,0)</f>
        <v>14.826086956521738</v>
      </c>
      <c r="P655" s="967">
        <f t="shared" ref="P655:P660" si="275">IF(M655&gt;0,N655*100/M655,0)</f>
        <v>0</v>
      </c>
      <c r="Q655" s="1244"/>
      <c r="R655" s="1244"/>
      <c r="S655" s="1244"/>
      <c r="T655" s="1244"/>
      <c r="U655" s="1244"/>
      <c r="V655" s="1244"/>
      <c r="W655" s="1244"/>
      <c r="X655" s="1244"/>
      <c r="Y655" s="1244"/>
      <c r="Z655" s="1244"/>
    </row>
    <row r="656" spans="1:26" ht="18.75" hidden="1">
      <c r="A656" s="1260"/>
      <c r="B656" s="1261"/>
      <c r="C656" s="1261"/>
      <c r="D656" s="1262"/>
      <c r="E656" s="1261" t="s">
        <v>184</v>
      </c>
      <c r="F656" s="1261"/>
      <c r="G656" s="1263"/>
      <c r="H656" s="165" t="s">
        <v>12</v>
      </c>
      <c r="I656" s="836"/>
      <c r="J656" s="836"/>
      <c r="K656" s="837"/>
      <c r="L656" s="837">
        <f t="shared" ref="L656:N657" si="276">L659+L666</f>
        <v>0</v>
      </c>
      <c r="M656" s="837">
        <f t="shared" si="276"/>
        <v>0</v>
      </c>
      <c r="N656" s="837">
        <f t="shared" si="276"/>
        <v>0</v>
      </c>
      <c r="O656" s="837">
        <f t="shared" si="274"/>
        <v>0</v>
      </c>
      <c r="P656" s="837">
        <f t="shared" si="275"/>
        <v>0</v>
      </c>
      <c r="Q656" s="1264"/>
      <c r="R656" s="1264"/>
      <c r="S656" s="1264"/>
      <c r="T656" s="1264"/>
      <c r="U656" s="1264"/>
      <c r="V656" s="1264"/>
      <c r="W656" s="1264"/>
      <c r="X656" s="1264"/>
      <c r="Y656" s="1264"/>
      <c r="Z656" s="1264"/>
    </row>
    <row r="657" spans="1:26" ht="18.75" hidden="1">
      <c r="A657" s="1260"/>
      <c r="B657" s="1265"/>
      <c r="C657" s="1261"/>
      <c r="D657" s="1262"/>
      <c r="E657" s="1261" t="s">
        <v>185</v>
      </c>
      <c r="F657" s="1261"/>
      <c r="G657" s="1263"/>
      <c r="H657" s="165" t="s">
        <v>12</v>
      </c>
      <c r="I657" s="836"/>
      <c r="J657" s="836"/>
      <c r="K657" s="837"/>
      <c r="L657" s="837">
        <f t="shared" ca="1" si="276"/>
        <v>27600</v>
      </c>
      <c r="M657" s="837">
        <f t="shared" si="276"/>
        <v>0</v>
      </c>
      <c r="N657" s="837">
        <f t="shared" si="276"/>
        <v>4092</v>
      </c>
      <c r="O657" s="837">
        <f t="shared" ca="1" si="274"/>
        <v>14.826086956521738</v>
      </c>
      <c r="P657" s="837">
        <f t="shared" si="275"/>
        <v>0</v>
      </c>
      <c r="Q657" s="1264"/>
      <c r="R657" s="1264"/>
      <c r="S657" s="1264"/>
      <c r="T657" s="1264"/>
      <c r="U657" s="1264"/>
      <c r="V657" s="1264"/>
      <c r="W657" s="1264"/>
      <c r="X657" s="1264"/>
      <c r="Y657" s="1264"/>
      <c r="Z657" s="1264"/>
    </row>
    <row r="658" spans="1:26" ht="18.75">
      <c r="A658" s="1259"/>
      <c r="B658" s="1242"/>
      <c r="C658" s="1243"/>
      <c r="D658" s="1266" t="s">
        <v>20</v>
      </c>
      <c r="E658" s="1243"/>
      <c r="F658" s="1243"/>
      <c r="G658" s="963"/>
      <c r="H658" s="778" t="s">
        <v>12</v>
      </c>
      <c r="I658" s="944"/>
      <c r="J658" s="944"/>
      <c r="K658" s="945"/>
      <c r="L658" s="831">
        <f t="shared" ref="L658:N658" ca="1" si="277">L659+L660</f>
        <v>27600</v>
      </c>
      <c r="M658" s="831">
        <f t="shared" si="277"/>
        <v>0</v>
      </c>
      <c r="N658" s="831">
        <f t="shared" si="277"/>
        <v>4092</v>
      </c>
      <c r="O658" s="831">
        <f t="shared" ca="1" si="274"/>
        <v>14.826086956521738</v>
      </c>
      <c r="P658" s="831">
        <f t="shared" si="275"/>
        <v>0</v>
      </c>
      <c r="Q658" s="1244"/>
      <c r="R658" s="1244"/>
      <c r="S658" s="1244"/>
      <c r="T658" s="1244"/>
      <c r="U658" s="1244"/>
      <c r="V658" s="1244"/>
      <c r="W658" s="1244"/>
      <c r="X658" s="1244"/>
      <c r="Y658" s="1244"/>
      <c r="Z658" s="1244"/>
    </row>
    <row r="659" spans="1:26" ht="18.75" hidden="1">
      <c r="A659" s="1260"/>
      <c r="B659" s="1265"/>
      <c r="C659" s="1261"/>
      <c r="D659" s="1262"/>
      <c r="E659" s="1261" t="s">
        <v>184</v>
      </c>
      <c r="F659" s="1261"/>
      <c r="G659" s="1263"/>
      <c r="H659" s="165" t="s">
        <v>12</v>
      </c>
      <c r="I659" s="836"/>
      <c r="J659" s="836"/>
      <c r="K659" s="837"/>
      <c r="L659" s="837">
        <v>0</v>
      </c>
      <c r="M659" s="837">
        <v>0</v>
      </c>
      <c r="N659" s="837">
        <v>0</v>
      </c>
      <c r="O659" s="837">
        <f t="shared" si="274"/>
        <v>0</v>
      </c>
      <c r="P659" s="837">
        <f t="shared" si="275"/>
        <v>0</v>
      </c>
      <c r="Q659" s="1264"/>
      <c r="R659" s="1264"/>
      <c r="S659" s="1264"/>
      <c r="T659" s="1264"/>
      <c r="U659" s="1264"/>
      <c r="V659" s="1264"/>
      <c r="W659" s="1264"/>
      <c r="X659" s="1264"/>
      <c r="Y659" s="1264"/>
      <c r="Z659" s="1264"/>
    </row>
    <row r="660" spans="1:26" ht="18.75" hidden="1">
      <c r="A660" s="1260"/>
      <c r="B660" s="1265"/>
      <c r="C660" s="1261"/>
      <c r="D660" s="1262"/>
      <c r="E660" s="1261" t="s">
        <v>185</v>
      </c>
      <c r="F660" s="1261"/>
      <c r="G660" s="1263"/>
      <c r="H660" s="165" t="s">
        <v>12</v>
      </c>
      <c r="I660" s="836"/>
      <c r="J660" s="836"/>
      <c r="K660" s="837"/>
      <c r="L660" s="837">
        <f ca="1">IFERROR(__xludf.DUMMYFUNCTION("IMPORTRANGE(""https://docs.google.com/spreadsheets/d/1QqKyyYR6Q21VydFLVH3TRQUabQu_ym0Zz7PgGX0-kHA/edit?usp=sharing"",""แผน!HV15"")"),27600)</f>
        <v>27600</v>
      </c>
      <c r="M660" s="837">
        <v>0</v>
      </c>
      <c r="N660" s="837">
        <f>N661+N662+N663+N664</f>
        <v>4092</v>
      </c>
      <c r="O660" s="837">
        <f t="shared" ca="1" si="274"/>
        <v>14.826086956521738</v>
      </c>
      <c r="P660" s="837">
        <f t="shared" si="275"/>
        <v>0</v>
      </c>
      <c r="Q660" s="1264"/>
      <c r="R660" s="1264"/>
      <c r="S660" s="1264"/>
      <c r="T660" s="1264"/>
      <c r="U660" s="1264"/>
      <c r="V660" s="1264"/>
      <c r="W660" s="1264"/>
      <c r="X660" s="1264"/>
      <c r="Y660" s="1264"/>
      <c r="Z660" s="1264"/>
    </row>
    <row r="661" spans="1:26" ht="18.75">
      <c r="A661" s="1241"/>
      <c r="B661" s="1242"/>
      <c r="C661" s="1243"/>
      <c r="D661" s="1243"/>
      <c r="E661" s="1243"/>
      <c r="F661" s="1243" t="s">
        <v>186</v>
      </c>
      <c r="G661" s="963"/>
      <c r="H661" s="778" t="s">
        <v>12</v>
      </c>
      <c r="I661" s="830"/>
      <c r="J661" s="830"/>
      <c r="K661" s="831"/>
      <c r="L661" s="831"/>
      <c r="M661" s="831"/>
      <c r="N661" s="1031">
        <v>0</v>
      </c>
      <c r="O661" s="831"/>
      <c r="P661" s="831"/>
      <c r="Q661" s="1244"/>
      <c r="R661" s="1244"/>
      <c r="S661" s="1244"/>
      <c r="T661" s="1244"/>
      <c r="U661" s="1244"/>
      <c r="V661" s="1244"/>
      <c r="W661" s="1244"/>
      <c r="X661" s="1244"/>
      <c r="Y661" s="1244"/>
      <c r="Z661" s="1244"/>
    </row>
    <row r="662" spans="1:26" ht="18.75">
      <c r="A662" s="1241"/>
      <c r="B662" s="1242"/>
      <c r="C662" s="1243"/>
      <c r="D662" s="1243"/>
      <c r="E662" s="1243"/>
      <c r="F662" s="1243" t="s">
        <v>187</v>
      </c>
      <c r="G662" s="963"/>
      <c r="H662" s="778" t="s">
        <v>12</v>
      </c>
      <c r="I662" s="830"/>
      <c r="J662" s="830"/>
      <c r="K662" s="831"/>
      <c r="L662" s="831"/>
      <c r="M662" s="831"/>
      <c r="N662" s="1031">
        <v>0</v>
      </c>
      <c r="O662" s="831"/>
      <c r="P662" s="831"/>
      <c r="Q662" s="1244"/>
      <c r="R662" s="1244"/>
      <c r="S662" s="1244"/>
      <c r="T662" s="1244"/>
      <c r="U662" s="1244"/>
      <c r="V662" s="1244"/>
      <c r="W662" s="1244"/>
      <c r="X662" s="1244"/>
      <c r="Y662" s="1244"/>
      <c r="Z662" s="1244"/>
    </row>
    <row r="663" spans="1:26" ht="18.75">
      <c r="A663" s="1241"/>
      <c r="B663" s="1242"/>
      <c r="C663" s="1242"/>
      <c r="D663" s="1243"/>
      <c r="E663" s="1243"/>
      <c r="F663" s="1243" t="s">
        <v>188</v>
      </c>
      <c r="G663" s="963"/>
      <c r="H663" s="778" t="s">
        <v>12</v>
      </c>
      <c r="I663" s="830"/>
      <c r="J663" s="830"/>
      <c r="K663" s="831"/>
      <c r="L663" s="831"/>
      <c r="M663" s="831"/>
      <c r="N663" s="1031">
        <v>0</v>
      </c>
      <c r="O663" s="831"/>
      <c r="P663" s="831"/>
      <c r="Q663" s="1244"/>
      <c r="R663" s="1244"/>
      <c r="S663" s="1244"/>
      <c r="T663" s="1244"/>
      <c r="U663" s="1244"/>
      <c r="V663" s="1244"/>
      <c r="W663" s="1244"/>
      <c r="X663" s="1244"/>
      <c r="Y663" s="1244"/>
      <c r="Z663" s="1244"/>
    </row>
    <row r="664" spans="1:26" ht="18.75">
      <c r="A664" s="1241"/>
      <c r="B664" s="1242"/>
      <c r="C664" s="1242"/>
      <c r="D664" s="1242"/>
      <c r="E664" s="1243"/>
      <c r="F664" s="1243" t="s">
        <v>189</v>
      </c>
      <c r="G664" s="963"/>
      <c r="H664" s="778" t="s">
        <v>12</v>
      </c>
      <c r="I664" s="830"/>
      <c r="J664" s="830"/>
      <c r="K664" s="831"/>
      <c r="L664" s="831"/>
      <c r="M664" s="831"/>
      <c r="N664" s="1031">
        <f>240+2700+1152</f>
        <v>4092</v>
      </c>
      <c r="O664" s="831"/>
      <c r="P664" s="831"/>
      <c r="Q664" s="1244"/>
      <c r="R664" s="1244"/>
      <c r="S664" s="1244"/>
      <c r="T664" s="1244"/>
      <c r="U664" s="1244"/>
      <c r="V664" s="1244"/>
      <c r="W664" s="1244"/>
      <c r="X664" s="1244"/>
      <c r="Y664" s="1244"/>
      <c r="Z664" s="1244"/>
    </row>
    <row r="665" spans="1:26" ht="18.75">
      <c r="A665" s="1259"/>
      <c r="B665" s="1242"/>
      <c r="C665" s="1242"/>
      <c r="D665" s="1266" t="s">
        <v>21</v>
      </c>
      <c r="E665" s="1243"/>
      <c r="F665" s="1243"/>
      <c r="G665" s="963"/>
      <c r="H665" s="168" t="s">
        <v>12</v>
      </c>
      <c r="I665" s="944"/>
      <c r="J665" s="944"/>
      <c r="K665" s="945"/>
      <c r="L665" s="831">
        <f t="shared" ref="L665:N665" si="278">L666+L667</f>
        <v>0</v>
      </c>
      <c r="M665" s="831">
        <f t="shared" si="278"/>
        <v>0</v>
      </c>
      <c r="N665" s="831">
        <f t="shared" si="278"/>
        <v>0</v>
      </c>
      <c r="O665" s="831">
        <f t="shared" ref="O665:O667" si="279">IF(L665&gt;0,N665*100/L665,0)</f>
        <v>0</v>
      </c>
      <c r="P665" s="831">
        <f t="shared" ref="P665:P667" si="280">IF(M665&gt;0,N665*100/M665,0)</f>
        <v>0</v>
      </c>
      <c r="Q665" s="1244"/>
      <c r="R665" s="1244"/>
      <c r="S665" s="1244"/>
      <c r="T665" s="1244"/>
      <c r="U665" s="1244"/>
      <c r="V665" s="1244"/>
      <c r="W665" s="1244"/>
      <c r="X665" s="1244"/>
      <c r="Y665" s="1244"/>
      <c r="Z665" s="1244"/>
    </row>
    <row r="666" spans="1:26" ht="18.75" hidden="1">
      <c r="A666" s="1260"/>
      <c r="B666" s="1265"/>
      <c r="C666" s="1265"/>
      <c r="D666" s="1265"/>
      <c r="E666" s="1261" t="s">
        <v>18</v>
      </c>
      <c r="F666" s="1261"/>
      <c r="G666" s="1263"/>
      <c r="H666" s="165" t="s">
        <v>12</v>
      </c>
      <c r="I666" s="947"/>
      <c r="J666" s="947"/>
      <c r="K666" s="948"/>
      <c r="L666" s="837">
        <v>0</v>
      </c>
      <c r="M666" s="837">
        <v>0</v>
      </c>
      <c r="N666" s="837">
        <v>0</v>
      </c>
      <c r="O666" s="837">
        <f t="shared" si="279"/>
        <v>0</v>
      </c>
      <c r="P666" s="837">
        <f t="shared" si="280"/>
        <v>0</v>
      </c>
      <c r="Q666" s="1264"/>
      <c r="R666" s="1264"/>
      <c r="S666" s="1264"/>
      <c r="T666" s="1264"/>
      <c r="U666" s="1264"/>
      <c r="V666" s="1264"/>
      <c r="W666" s="1264"/>
      <c r="X666" s="1264"/>
      <c r="Y666" s="1264"/>
      <c r="Z666" s="1264"/>
    </row>
    <row r="667" spans="1:26" ht="18.75" hidden="1">
      <c r="A667" s="1260"/>
      <c r="B667" s="1265"/>
      <c r="C667" s="1265"/>
      <c r="D667" s="1265"/>
      <c r="E667" s="1261" t="s">
        <v>19</v>
      </c>
      <c r="F667" s="1261"/>
      <c r="G667" s="1263"/>
      <c r="H667" s="169" t="s">
        <v>12</v>
      </c>
      <c r="I667" s="947"/>
      <c r="J667" s="947"/>
      <c r="K667" s="948"/>
      <c r="L667" s="837">
        <v>0</v>
      </c>
      <c r="M667" s="837">
        <v>0</v>
      </c>
      <c r="N667" s="837">
        <v>0</v>
      </c>
      <c r="O667" s="837">
        <f t="shared" si="279"/>
        <v>0</v>
      </c>
      <c r="P667" s="837">
        <f t="shared" si="280"/>
        <v>0</v>
      </c>
      <c r="Q667" s="1264"/>
      <c r="R667" s="1264"/>
      <c r="S667" s="1264"/>
      <c r="T667" s="1264"/>
      <c r="U667" s="1264"/>
      <c r="V667" s="1264"/>
      <c r="W667" s="1264"/>
      <c r="X667" s="1264"/>
      <c r="Y667" s="1264"/>
      <c r="Z667" s="1264"/>
    </row>
    <row r="668" spans="1:26" ht="19.5">
      <c r="A668" s="1267"/>
      <c r="B668" s="1268"/>
      <c r="C668" s="1242" t="s">
        <v>16</v>
      </c>
      <c r="D668" s="1269" t="s">
        <v>38</v>
      </c>
      <c r="E668" s="1271"/>
      <c r="F668" s="1271"/>
      <c r="G668" s="1272"/>
      <c r="H668" s="954"/>
      <c r="I668" s="944"/>
      <c r="J668" s="944"/>
      <c r="K668" s="945"/>
      <c r="L668" s="945"/>
      <c r="M668" s="945"/>
      <c r="N668" s="945"/>
      <c r="O668" s="945"/>
      <c r="P668" s="945"/>
      <c r="Q668" s="1244"/>
      <c r="R668" s="1244"/>
      <c r="S668" s="1244"/>
      <c r="T668" s="1244"/>
      <c r="U668" s="1244"/>
      <c r="V668" s="1244"/>
      <c r="W668" s="1244"/>
      <c r="X668" s="1244"/>
      <c r="Y668" s="1244"/>
      <c r="Z668" s="1244"/>
    </row>
    <row r="669" spans="1:26" ht="19.5">
      <c r="A669" s="1267"/>
      <c r="B669" s="1268"/>
      <c r="C669" s="1268"/>
      <c r="D669" s="1268" t="s">
        <v>280</v>
      </c>
      <c r="E669" s="961"/>
      <c r="F669" s="961"/>
      <c r="G669" s="954"/>
      <c r="H669" s="733" t="s">
        <v>46</v>
      </c>
      <c r="I669" s="966">
        <f ca="1">IFERROR(__xludf.DUMMYFUNCTION("IMPORTRANGE(""https://docs.google.com/spreadsheets/d/1QqKyyYR6Q21VydFLVH3TRQUabQu_ym0Zz7PgGX0-kHA/edit?usp=sharing"",""แผน!IA15"")"),300)</f>
        <v>300</v>
      </c>
      <c r="J669" s="966">
        <f>J675</f>
        <v>0</v>
      </c>
      <c r="K669" s="967">
        <f ca="1">IF(I669&gt;0,J669*100/I669,0)</f>
        <v>0</v>
      </c>
      <c r="L669" s="945"/>
      <c r="M669" s="945"/>
      <c r="N669" s="945"/>
      <c r="O669" s="945"/>
      <c r="P669" s="945"/>
      <c r="Q669" s="1244"/>
      <c r="R669" s="1244"/>
      <c r="S669" s="1244"/>
      <c r="T669" s="1244"/>
      <c r="U669" s="1244"/>
      <c r="V669" s="1244"/>
      <c r="W669" s="1244"/>
      <c r="X669" s="1244"/>
      <c r="Y669" s="1244"/>
      <c r="Z669" s="1244"/>
    </row>
    <row r="670" spans="1:26" ht="18.75">
      <c r="A670" s="1267"/>
      <c r="B670" s="1268"/>
      <c r="C670" s="1268"/>
      <c r="D670" s="1268"/>
      <c r="E670" s="961" t="s">
        <v>281</v>
      </c>
      <c r="F670" s="961"/>
      <c r="G670" s="954"/>
      <c r="H670" s="730" t="s">
        <v>66</v>
      </c>
      <c r="I670" s="830">
        <f ca="1">IFERROR(__xludf.DUMMYFUNCTION("IMPORTRANGE(""https://docs.google.com/spreadsheets/d/1QqKyyYR6Q21VydFLVH3TRQUabQu_ym0Zz7PgGX0-kHA/edit?usp=sharing"",""แผน!HZ15"")"),6)</f>
        <v>6</v>
      </c>
      <c r="J670" s="959">
        <v>6</v>
      </c>
      <c r="K670" s="831">
        <f ca="1">IF(I670&gt;0,(J670*100)/I670,0)</f>
        <v>100</v>
      </c>
      <c r="L670" s="945"/>
      <c r="M670" s="945"/>
      <c r="N670" s="945"/>
      <c r="O670" s="945"/>
      <c r="P670" s="945"/>
      <c r="Q670" s="1244"/>
      <c r="R670" s="1244"/>
      <c r="S670" s="1244"/>
      <c r="T670" s="1244"/>
      <c r="U670" s="1244"/>
      <c r="V670" s="1244"/>
      <c r="W670" s="1244"/>
      <c r="X670" s="1244"/>
      <c r="Y670" s="1244"/>
      <c r="Z670" s="1244"/>
    </row>
    <row r="671" spans="1:26" ht="18.75">
      <c r="A671" s="1267"/>
      <c r="B671" s="1268"/>
      <c r="C671" s="1268"/>
      <c r="D671" s="1268"/>
      <c r="E671" s="961" t="s">
        <v>282</v>
      </c>
      <c r="F671" s="961"/>
      <c r="G671" s="954"/>
      <c r="H671" s="730" t="s">
        <v>66</v>
      </c>
      <c r="I671" s="830">
        <f ca="1">IFERROR(__xludf.DUMMYFUNCTION("IMPORTRANGE(""https://docs.google.com/spreadsheets/d/1QqKyyYR6Q21VydFLVH3TRQUabQu_ym0Zz7PgGX0-kHA/edit?usp=sharing"",""แผน!HZ15"")"),6)</f>
        <v>6</v>
      </c>
      <c r="J671" s="959">
        <v>6</v>
      </c>
      <c r="K671" s="831">
        <f ca="1">IF(I$671&gt;0,J671*100/I$671,0)</f>
        <v>100</v>
      </c>
      <c r="L671" s="945"/>
      <c r="M671" s="945"/>
      <c r="N671" s="945"/>
      <c r="O671" s="945"/>
      <c r="P671" s="945"/>
      <c r="Q671" s="1244"/>
      <c r="R671" s="1244"/>
      <c r="S671" s="1244"/>
      <c r="T671" s="1244"/>
      <c r="U671" s="1244"/>
      <c r="V671" s="1244"/>
      <c r="W671" s="1244"/>
      <c r="X671" s="1244"/>
      <c r="Y671" s="1244"/>
      <c r="Z671" s="1244"/>
    </row>
    <row r="672" spans="1:26" ht="18.75">
      <c r="A672" s="1267"/>
      <c r="B672" s="1268"/>
      <c r="C672" s="1268"/>
      <c r="D672" s="1268"/>
      <c r="E672" s="961" t="s">
        <v>283</v>
      </c>
      <c r="F672" s="961"/>
      <c r="G672" s="954"/>
      <c r="H672" s="730" t="s">
        <v>46</v>
      </c>
      <c r="I672" s="830"/>
      <c r="J672" s="959">
        <v>800</v>
      </c>
      <c r="K672" s="831">
        <f t="shared" ref="K672:K675" ca="1" si="281">IF(I$669&gt;0,J672*100/I$669,0)</f>
        <v>266.66666666666669</v>
      </c>
      <c r="L672" s="945"/>
      <c r="M672" s="945"/>
      <c r="N672" s="945"/>
      <c r="O672" s="945"/>
      <c r="P672" s="945"/>
      <c r="Q672" s="1244"/>
      <c r="R672" s="1244"/>
      <c r="S672" s="1244"/>
      <c r="T672" s="1244"/>
      <c r="U672" s="1244"/>
      <c r="V672" s="1244"/>
      <c r="W672" s="1244"/>
      <c r="X672" s="1244"/>
      <c r="Y672" s="1244"/>
      <c r="Z672" s="1244"/>
    </row>
    <row r="673" spans="1:26" ht="18.75">
      <c r="A673" s="1267"/>
      <c r="B673" s="1268"/>
      <c r="C673" s="1268"/>
      <c r="D673" s="1268"/>
      <c r="E673" s="961" t="s">
        <v>284</v>
      </c>
      <c r="F673" s="961"/>
      <c r="G673" s="954"/>
      <c r="H673" s="730" t="s">
        <v>46</v>
      </c>
      <c r="I673" s="830"/>
      <c r="J673" s="959">
        <v>0</v>
      </c>
      <c r="K673" s="831">
        <f t="shared" ca="1" si="281"/>
        <v>0</v>
      </c>
      <c r="L673" s="945"/>
      <c r="M673" s="945"/>
      <c r="N673" s="945"/>
      <c r="O673" s="945"/>
      <c r="P673" s="945"/>
      <c r="Q673" s="1244"/>
      <c r="R673" s="1244"/>
      <c r="S673" s="1244"/>
      <c r="T673" s="1244"/>
      <c r="U673" s="1244"/>
      <c r="V673" s="1244"/>
      <c r="W673" s="1244"/>
      <c r="X673" s="1244"/>
      <c r="Y673" s="1244"/>
      <c r="Z673" s="1244"/>
    </row>
    <row r="674" spans="1:26" ht="18.75">
      <c r="A674" s="1267"/>
      <c r="B674" s="1268"/>
      <c r="C674" s="1268"/>
      <c r="D674" s="1268"/>
      <c r="E674" s="961" t="s">
        <v>285</v>
      </c>
      <c r="F674" s="961"/>
      <c r="G674" s="954"/>
      <c r="H674" s="730" t="s">
        <v>46</v>
      </c>
      <c r="I674" s="830"/>
      <c r="J674" s="959">
        <v>0</v>
      </c>
      <c r="K674" s="831">
        <f t="shared" ca="1" si="281"/>
        <v>0</v>
      </c>
      <c r="L674" s="945"/>
      <c r="M674" s="945"/>
      <c r="N674" s="945"/>
      <c r="O674" s="945"/>
      <c r="P674" s="945"/>
      <c r="Q674" s="1244"/>
      <c r="R674" s="1244"/>
      <c r="S674" s="1244"/>
      <c r="T674" s="1244"/>
      <c r="U674" s="1244"/>
      <c r="V674" s="1244"/>
      <c r="W674" s="1244"/>
      <c r="X674" s="1244"/>
      <c r="Y674" s="1244"/>
      <c r="Z674" s="1244"/>
    </row>
    <row r="675" spans="1:26" ht="19.5">
      <c r="A675" s="1267"/>
      <c r="B675" s="1268"/>
      <c r="C675" s="1268"/>
      <c r="D675" s="1268"/>
      <c r="E675" s="961" t="s">
        <v>286</v>
      </c>
      <c r="F675" s="961"/>
      <c r="G675" s="954"/>
      <c r="H675" s="730" t="s">
        <v>46</v>
      </c>
      <c r="I675" s="830"/>
      <c r="J675" s="966">
        <f>J676+J677</f>
        <v>0</v>
      </c>
      <c r="K675" s="967">
        <f t="shared" ca="1" si="281"/>
        <v>0</v>
      </c>
      <c r="L675" s="945"/>
      <c r="M675" s="945"/>
      <c r="N675" s="945"/>
      <c r="O675" s="945"/>
      <c r="P675" s="945"/>
      <c r="Q675" s="1244"/>
      <c r="R675" s="1244"/>
      <c r="S675" s="1244"/>
      <c r="T675" s="1244"/>
      <c r="U675" s="1244"/>
      <c r="V675" s="1244"/>
      <c r="W675" s="1244"/>
      <c r="X675" s="1244"/>
      <c r="Y675" s="1244"/>
      <c r="Z675" s="1244"/>
    </row>
    <row r="676" spans="1:26" ht="18.75">
      <c r="A676" s="1267"/>
      <c r="B676" s="1268"/>
      <c r="C676" s="1268"/>
      <c r="D676" s="1268"/>
      <c r="E676" s="961"/>
      <c r="F676" s="961" t="s">
        <v>287</v>
      </c>
      <c r="G676" s="954"/>
      <c r="H676" s="730" t="s">
        <v>46</v>
      </c>
      <c r="I676" s="830"/>
      <c r="J676" s="959">
        <v>0</v>
      </c>
      <c r="K676" s="831"/>
      <c r="L676" s="945"/>
      <c r="M676" s="945"/>
      <c r="N676" s="945"/>
      <c r="O676" s="945"/>
      <c r="P676" s="945"/>
      <c r="Q676" s="1244"/>
      <c r="R676" s="1244"/>
      <c r="S676" s="1244"/>
      <c r="T676" s="1244"/>
      <c r="U676" s="1244"/>
      <c r="V676" s="1244"/>
      <c r="W676" s="1244"/>
      <c r="X676" s="1244"/>
      <c r="Y676" s="1244"/>
      <c r="Z676" s="1244"/>
    </row>
    <row r="677" spans="1:26" ht="18.75">
      <c r="A677" s="1267"/>
      <c r="B677" s="1268"/>
      <c r="C677" s="1268"/>
      <c r="D677" s="1268"/>
      <c r="E677" s="961"/>
      <c r="F677" s="961" t="s">
        <v>288</v>
      </c>
      <c r="G677" s="954"/>
      <c r="H677" s="730" t="s">
        <v>46</v>
      </c>
      <c r="I677" s="830"/>
      <c r="J677" s="959">
        <v>0</v>
      </c>
      <c r="K677" s="831"/>
      <c r="L677" s="945"/>
      <c r="M677" s="945"/>
      <c r="N677" s="945"/>
      <c r="O677" s="945"/>
      <c r="P677" s="945"/>
      <c r="Q677" s="1244"/>
      <c r="R677" s="1244"/>
      <c r="S677" s="1244"/>
      <c r="T677" s="1244"/>
      <c r="U677" s="1244"/>
      <c r="V677" s="1244"/>
      <c r="W677" s="1244"/>
      <c r="X677" s="1244"/>
      <c r="Y677" s="1244"/>
      <c r="Z677" s="1244"/>
    </row>
    <row r="678" spans="1:26" ht="19.5">
      <c r="A678" s="1267"/>
      <c r="B678" s="1268"/>
      <c r="C678" s="1268"/>
      <c r="D678" s="1268" t="s">
        <v>289</v>
      </c>
      <c r="E678" s="961"/>
      <c r="F678" s="961"/>
      <c r="G678" s="954"/>
      <c r="H678" s="730" t="s">
        <v>46</v>
      </c>
      <c r="I678" s="966">
        <f ca="1">IFERROR(__xludf.DUMMYFUNCTION("IMPORTRANGE(""https://docs.google.com/spreadsheets/d/1QqKyyYR6Q21VydFLVH3TRQUabQu_ym0Zz7PgGX0-kHA/edit?usp=sharing"",""แผน!IB15"")"),0)</f>
        <v>0</v>
      </c>
      <c r="J678" s="966">
        <f>J679</f>
        <v>0</v>
      </c>
      <c r="K678" s="967">
        <f ca="1">IF(I678&gt;0,J678*100/I678,0)</f>
        <v>0</v>
      </c>
      <c r="L678" s="945"/>
      <c r="M678" s="945"/>
      <c r="N678" s="945"/>
      <c r="O678" s="945"/>
      <c r="P678" s="945"/>
      <c r="Q678" s="1244"/>
      <c r="R678" s="1244"/>
      <c r="S678" s="1244"/>
      <c r="T678" s="1244"/>
      <c r="U678" s="1244"/>
      <c r="V678" s="1244"/>
      <c r="W678" s="1244"/>
      <c r="X678" s="1244"/>
      <c r="Y678" s="1244"/>
      <c r="Z678" s="1244"/>
    </row>
    <row r="679" spans="1:26" ht="18.75">
      <c r="A679" s="1267"/>
      <c r="B679" s="1268"/>
      <c r="C679" s="1268"/>
      <c r="D679" s="1268"/>
      <c r="E679" s="961" t="s">
        <v>290</v>
      </c>
      <c r="F679" s="961"/>
      <c r="G679" s="954"/>
      <c r="H679" s="730" t="s">
        <v>46</v>
      </c>
      <c r="I679" s="830"/>
      <c r="J679" s="830">
        <f>J680+J681</f>
        <v>0</v>
      </c>
      <c r="K679" s="831"/>
      <c r="L679" s="945"/>
      <c r="M679" s="945"/>
      <c r="N679" s="945"/>
      <c r="O679" s="945"/>
      <c r="P679" s="945"/>
      <c r="Q679" s="1244"/>
      <c r="R679" s="1244"/>
      <c r="S679" s="1244"/>
      <c r="T679" s="1244"/>
      <c r="U679" s="1244"/>
      <c r="V679" s="1244"/>
      <c r="W679" s="1244"/>
      <c r="X679" s="1244"/>
      <c r="Y679" s="1244"/>
      <c r="Z679" s="1244"/>
    </row>
    <row r="680" spans="1:26" ht="18.75">
      <c r="A680" s="1267"/>
      <c r="B680" s="1268"/>
      <c r="C680" s="1268"/>
      <c r="D680" s="1268"/>
      <c r="E680" s="961"/>
      <c r="F680" s="961" t="s">
        <v>287</v>
      </c>
      <c r="G680" s="954"/>
      <c r="H680" s="730" t="s">
        <v>46</v>
      </c>
      <c r="I680" s="830"/>
      <c r="J680" s="959">
        <v>0</v>
      </c>
      <c r="K680" s="831"/>
      <c r="L680" s="945"/>
      <c r="M680" s="945"/>
      <c r="N680" s="945"/>
      <c r="O680" s="945"/>
      <c r="P680" s="945"/>
      <c r="Q680" s="1244"/>
      <c r="R680" s="1244"/>
      <c r="S680" s="1244"/>
      <c r="T680" s="1244"/>
      <c r="U680" s="1244"/>
      <c r="V680" s="1244"/>
      <c r="W680" s="1244"/>
      <c r="X680" s="1244"/>
      <c r="Y680" s="1244"/>
      <c r="Z680" s="1244"/>
    </row>
    <row r="681" spans="1:26" ht="18.75">
      <c r="A681" s="1267"/>
      <c r="B681" s="1268"/>
      <c r="C681" s="1268"/>
      <c r="D681" s="1268"/>
      <c r="E681" s="961"/>
      <c r="F681" s="961" t="s">
        <v>288</v>
      </c>
      <c r="G681" s="954"/>
      <c r="H681" s="730" t="s">
        <v>46</v>
      </c>
      <c r="I681" s="830"/>
      <c r="J681" s="959">
        <v>0</v>
      </c>
      <c r="K681" s="831"/>
      <c r="L681" s="945"/>
      <c r="M681" s="945"/>
      <c r="N681" s="945"/>
      <c r="O681" s="945"/>
      <c r="P681" s="945"/>
      <c r="Q681" s="1244"/>
      <c r="R681" s="1244"/>
      <c r="S681" s="1244"/>
      <c r="T681" s="1244"/>
      <c r="U681" s="1244"/>
      <c r="V681" s="1244"/>
      <c r="W681" s="1244"/>
      <c r="X681" s="1244"/>
      <c r="Y681" s="1244"/>
      <c r="Z681" s="1244"/>
    </row>
    <row r="682" spans="1:26" ht="18.75">
      <c r="A682" s="1267"/>
      <c r="B682" s="1268"/>
      <c r="C682" s="1268"/>
      <c r="D682" s="1268"/>
      <c r="E682" s="961" t="s">
        <v>291</v>
      </c>
      <c r="F682" s="961"/>
      <c r="G682" s="954"/>
      <c r="H682" s="730" t="s">
        <v>46</v>
      </c>
      <c r="I682" s="830"/>
      <c r="J682" s="959">
        <v>0</v>
      </c>
      <c r="K682" s="831"/>
      <c r="L682" s="945"/>
      <c r="M682" s="945"/>
      <c r="N682" s="945"/>
      <c r="O682" s="945"/>
      <c r="P682" s="945"/>
      <c r="Q682" s="1244"/>
      <c r="R682" s="1244"/>
      <c r="S682" s="1244"/>
      <c r="T682" s="1244"/>
      <c r="U682" s="1244"/>
      <c r="V682" s="1244"/>
      <c r="W682" s="1244"/>
      <c r="X682" s="1244"/>
      <c r="Y682" s="1244"/>
      <c r="Z682" s="1244"/>
    </row>
    <row r="683" spans="1:26" ht="19.5" thickBot="1">
      <c r="A683" s="1267"/>
      <c r="B683" s="1268"/>
      <c r="C683" s="1268"/>
      <c r="D683" s="1268"/>
      <c r="E683" s="961"/>
      <c r="F683" s="961" t="s">
        <v>292</v>
      </c>
      <c r="G683" s="954"/>
      <c r="H683" s="730" t="s">
        <v>46</v>
      </c>
      <c r="I683" s="830"/>
      <c r="J683" s="959">
        <v>0</v>
      </c>
      <c r="K683" s="831"/>
      <c r="L683" s="945"/>
      <c r="M683" s="945"/>
      <c r="N683" s="945"/>
      <c r="O683" s="945"/>
      <c r="P683" s="945"/>
      <c r="Q683" s="1244"/>
      <c r="R683" s="1244"/>
      <c r="S683" s="1244"/>
      <c r="T683" s="1244"/>
      <c r="U683" s="1244"/>
      <c r="V683" s="1244"/>
      <c r="W683" s="1244"/>
      <c r="X683" s="1244"/>
      <c r="Y683" s="1244"/>
      <c r="Z683" s="1244"/>
    </row>
    <row r="684" spans="1:26" ht="20.25" hidden="1" thickBot="1">
      <c r="A684" s="1373"/>
      <c r="B684" s="1374" t="s">
        <v>293</v>
      </c>
      <c r="C684" s="1373"/>
      <c r="D684" s="1373"/>
      <c r="E684" s="1373"/>
      <c r="F684" s="1373"/>
      <c r="G684" s="1375"/>
      <c r="H684" s="1375"/>
      <c r="I684" s="1376"/>
      <c r="J684" s="1376"/>
      <c r="K684" s="1377"/>
      <c r="L684" s="1377"/>
      <c r="M684" s="1377"/>
      <c r="N684" s="1377"/>
      <c r="O684" s="1377"/>
      <c r="P684" s="1377"/>
      <c r="Q684" s="1244"/>
      <c r="R684" s="1244"/>
      <c r="S684" s="1244"/>
      <c r="T684" s="1244"/>
      <c r="U684" s="1244"/>
      <c r="V684" s="1244"/>
      <c r="W684" s="1244"/>
      <c r="X684" s="1244"/>
      <c r="Y684" s="1244"/>
      <c r="Z684" s="1244"/>
    </row>
    <row r="685" spans="1:26" ht="20.25" hidden="1" thickBot="1">
      <c r="A685" s="1259"/>
      <c r="B685" s="1243"/>
      <c r="C685" s="1243" t="s">
        <v>16</v>
      </c>
      <c r="D685" s="1507" t="s">
        <v>17</v>
      </c>
      <c r="E685" s="1485"/>
      <c r="F685" s="1485"/>
      <c r="G685" s="963"/>
      <c r="H685" s="563" t="s">
        <v>12</v>
      </c>
      <c r="I685" s="830"/>
      <c r="J685" s="830"/>
      <c r="K685" s="831"/>
      <c r="L685" s="967">
        <f t="shared" ref="L685:N685" ca="1" si="282">L686+L687</f>
        <v>0</v>
      </c>
      <c r="M685" s="967">
        <f t="shared" si="282"/>
        <v>0</v>
      </c>
      <c r="N685" s="967">
        <f t="shared" si="282"/>
        <v>0</v>
      </c>
      <c r="O685" s="967">
        <f t="shared" ref="O685:O688" ca="1" si="283">IF(L685&gt;0,N685*100/L685,0)</f>
        <v>0</v>
      </c>
      <c r="P685" s="967">
        <f t="shared" ref="P685:P688" si="284">IF(M685&gt;0,N685*100/M685,0)</f>
        <v>0</v>
      </c>
      <c r="Q685" s="1244"/>
      <c r="R685" s="1244"/>
      <c r="S685" s="1244"/>
      <c r="T685" s="1244"/>
      <c r="U685" s="1244"/>
      <c r="V685" s="1244"/>
      <c r="W685" s="1244"/>
      <c r="X685" s="1244"/>
      <c r="Y685" s="1244"/>
      <c r="Z685" s="1244"/>
    </row>
    <row r="686" spans="1:26" ht="19.5" hidden="1" thickBot="1">
      <c r="A686" s="1260"/>
      <c r="B686" s="1261"/>
      <c r="C686" s="1261"/>
      <c r="D686" s="1262"/>
      <c r="E686" s="1261" t="s">
        <v>184</v>
      </c>
      <c r="F686" s="1261"/>
      <c r="G686" s="1263"/>
      <c r="H686" s="165" t="s">
        <v>12</v>
      </c>
      <c r="I686" s="836"/>
      <c r="J686" s="836"/>
      <c r="K686" s="837"/>
      <c r="L686" s="837">
        <f t="shared" ref="L686:N687" si="285">L689+L696</f>
        <v>0</v>
      </c>
      <c r="M686" s="837">
        <f t="shared" si="285"/>
        <v>0</v>
      </c>
      <c r="N686" s="837">
        <f t="shared" si="285"/>
        <v>0</v>
      </c>
      <c r="O686" s="837">
        <f t="shared" si="283"/>
        <v>0</v>
      </c>
      <c r="P686" s="837">
        <f t="shared" si="284"/>
        <v>0</v>
      </c>
      <c r="Q686" s="1264"/>
      <c r="R686" s="1264"/>
      <c r="S686" s="1264"/>
      <c r="T686" s="1264"/>
      <c r="U686" s="1264"/>
      <c r="V686" s="1264"/>
      <c r="W686" s="1264"/>
      <c r="X686" s="1264"/>
      <c r="Y686" s="1264"/>
      <c r="Z686" s="1264"/>
    </row>
    <row r="687" spans="1:26" ht="19.5" hidden="1" thickBot="1">
      <c r="A687" s="1260"/>
      <c r="B687" s="1265"/>
      <c r="C687" s="1261"/>
      <c r="D687" s="1262"/>
      <c r="E687" s="1261" t="s">
        <v>185</v>
      </c>
      <c r="F687" s="1261"/>
      <c r="G687" s="1263"/>
      <c r="H687" s="165" t="s">
        <v>12</v>
      </c>
      <c r="I687" s="836"/>
      <c r="J687" s="836"/>
      <c r="K687" s="837"/>
      <c r="L687" s="837">
        <f t="shared" ca="1" si="285"/>
        <v>0</v>
      </c>
      <c r="M687" s="837">
        <f t="shared" si="285"/>
        <v>0</v>
      </c>
      <c r="N687" s="837">
        <f t="shared" si="285"/>
        <v>0</v>
      </c>
      <c r="O687" s="837">
        <f t="shared" ca="1" si="283"/>
        <v>0</v>
      </c>
      <c r="P687" s="837">
        <f t="shared" si="284"/>
        <v>0</v>
      </c>
      <c r="Q687" s="1264"/>
      <c r="R687" s="1264"/>
      <c r="S687" s="1264"/>
      <c r="T687" s="1264"/>
      <c r="U687" s="1264"/>
      <c r="V687" s="1264"/>
      <c r="W687" s="1264"/>
      <c r="X687" s="1264"/>
      <c r="Y687" s="1264"/>
      <c r="Z687" s="1264"/>
    </row>
    <row r="688" spans="1:26" ht="19.5" hidden="1" thickBot="1">
      <c r="A688" s="1259"/>
      <c r="B688" s="1242"/>
      <c r="C688" s="1243"/>
      <c r="D688" s="1266" t="s">
        <v>20</v>
      </c>
      <c r="E688" s="1243"/>
      <c r="F688" s="1243"/>
      <c r="G688" s="963"/>
      <c r="H688" s="778" t="s">
        <v>12</v>
      </c>
      <c r="I688" s="944"/>
      <c r="J688" s="944"/>
      <c r="K688" s="945"/>
      <c r="L688" s="831">
        <f t="shared" ref="L688:N688" ca="1" si="286">L689+L690</f>
        <v>0</v>
      </c>
      <c r="M688" s="831">
        <f t="shared" si="286"/>
        <v>0</v>
      </c>
      <c r="N688" s="831">
        <f t="shared" si="286"/>
        <v>0</v>
      </c>
      <c r="O688" s="831">
        <f t="shared" ca="1" si="283"/>
        <v>0</v>
      </c>
      <c r="P688" s="831">
        <f t="shared" si="284"/>
        <v>0</v>
      </c>
      <c r="Q688" s="1244"/>
      <c r="R688" s="1244"/>
      <c r="S688" s="1244"/>
      <c r="T688" s="1244"/>
      <c r="U688" s="1244"/>
      <c r="V688" s="1244"/>
      <c r="W688" s="1244"/>
      <c r="X688" s="1244"/>
      <c r="Y688" s="1244"/>
      <c r="Z688" s="1244"/>
    </row>
    <row r="689" spans="1:26" ht="19.5" hidden="1" thickBot="1">
      <c r="A689" s="1260"/>
      <c r="B689" s="1265"/>
      <c r="C689" s="1261"/>
      <c r="D689" s="1262"/>
      <c r="E689" s="1261" t="s">
        <v>184</v>
      </c>
      <c r="F689" s="1261"/>
      <c r="G689" s="1263"/>
      <c r="H689" s="165" t="s">
        <v>12</v>
      </c>
      <c r="I689" s="836"/>
      <c r="J689" s="836"/>
      <c r="K689" s="837"/>
      <c r="L689" s="837">
        <v>0</v>
      </c>
      <c r="M689" s="837">
        <v>0</v>
      </c>
      <c r="N689" s="837">
        <v>0</v>
      </c>
      <c r="O689" s="837"/>
      <c r="P689" s="837"/>
      <c r="Q689" s="1264"/>
      <c r="R689" s="1264"/>
      <c r="S689" s="1264"/>
      <c r="T689" s="1264"/>
      <c r="U689" s="1264"/>
      <c r="V689" s="1264"/>
      <c r="W689" s="1264"/>
      <c r="X689" s="1264"/>
      <c r="Y689" s="1264"/>
      <c r="Z689" s="1264"/>
    </row>
    <row r="690" spans="1:26" ht="19.5" hidden="1" thickBot="1">
      <c r="A690" s="1260"/>
      <c r="B690" s="1265"/>
      <c r="C690" s="1261"/>
      <c r="D690" s="1262"/>
      <c r="E690" s="1261" t="s">
        <v>185</v>
      </c>
      <c r="F690" s="1261"/>
      <c r="G690" s="1263"/>
      <c r="H690" s="165" t="s">
        <v>12</v>
      </c>
      <c r="I690" s="836"/>
      <c r="J690" s="836"/>
      <c r="K690" s="837"/>
      <c r="L690" s="837">
        <f ca="1">IFERROR(__xludf.DUMMYFUNCTION("IMPORTRANGE(""https://docs.google.com/spreadsheets/d/1QqKyyYR6Q21VydFLVH3TRQUabQu_ym0Zz7PgGX0-kHA/edit?usp=sharing"",""แผน!HW15"")"),0)</f>
        <v>0</v>
      </c>
      <c r="M690" s="837">
        <v>0</v>
      </c>
      <c r="N690" s="837">
        <f>N691+N692+N693+N694</f>
        <v>0</v>
      </c>
      <c r="O690" s="837">
        <f ca="1">IF(L690&gt;0,N690*100/L690,0)</f>
        <v>0</v>
      </c>
      <c r="P690" s="837">
        <f>IF(M690&gt;0,N690*100/M690,0)</f>
        <v>0</v>
      </c>
      <c r="Q690" s="1264"/>
      <c r="R690" s="1264"/>
      <c r="S690" s="1264"/>
      <c r="T690" s="1264"/>
      <c r="U690" s="1264"/>
      <c r="V690" s="1264"/>
      <c r="W690" s="1264"/>
      <c r="X690" s="1264"/>
      <c r="Y690" s="1264"/>
      <c r="Z690" s="1264"/>
    </row>
    <row r="691" spans="1:26" ht="19.5" hidden="1" thickBot="1">
      <c r="A691" s="1241"/>
      <c r="B691" s="1242"/>
      <c r="C691" s="1243"/>
      <c r="D691" s="1243"/>
      <c r="E691" s="1243"/>
      <c r="F691" s="1243" t="s">
        <v>186</v>
      </c>
      <c r="G691" s="963"/>
      <c r="H691" s="778" t="s">
        <v>12</v>
      </c>
      <c r="I691" s="830"/>
      <c r="J691" s="830"/>
      <c r="K691" s="831"/>
      <c r="L691" s="831"/>
      <c r="M691" s="831"/>
      <c r="N691" s="1031">
        <v>0</v>
      </c>
      <c r="O691" s="831"/>
      <c r="P691" s="831"/>
      <c r="Q691" s="1244"/>
      <c r="R691" s="1244"/>
      <c r="S691" s="1244"/>
      <c r="T691" s="1244"/>
      <c r="U691" s="1244"/>
      <c r="V691" s="1244"/>
      <c r="W691" s="1244"/>
      <c r="X691" s="1244"/>
      <c r="Y691" s="1244"/>
      <c r="Z691" s="1244"/>
    </row>
    <row r="692" spans="1:26" ht="19.5" hidden="1" thickBot="1">
      <c r="A692" s="1241"/>
      <c r="B692" s="1242"/>
      <c r="C692" s="1243"/>
      <c r="D692" s="1243"/>
      <c r="E692" s="1243"/>
      <c r="F692" s="1243" t="s">
        <v>187</v>
      </c>
      <c r="G692" s="963"/>
      <c r="H692" s="778" t="s">
        <v>12</v>
      </c>
      <c r="I692" s="830"/>
      <c r="J692" s="830"/>
      <c r="K692" s="831"/>
      <c r="L692" s="831"/>
      <c r="M692" s="831"/>
      <c r="N692" s="1031">
        <v>0</v>
      </c>
      <c r="O692" s="831"/>
      <c r="P692" s="831"/>
      <c r="Q692" s="1244"/>
      <c r="R692" s="1244"/>
      <c r="S692" s="1244"/>
      <c r="T692" s="1244"/>
      <c r="U692" s="1244"/>
      <c r="V692" s="1244"/>
      <c r="W692" s="1244"/>
      <c r="X692" s="1244"/>
      <c r="Y692" s="1244"/>
      <c r="Z692" s="1244"/>
    </row>
    <row r="693" spans="1:26" ht="19.5" hidden="1" thickBot="1">
      <c r="A693" s="1241"/>
      <c r="B693" s="1242"/>
      <c r="C693" s="1243"/>
      <c r="D693" s="1243"/>
      <c r="E693" s="1243"/>
      <c r="F693" s="1243" t="s">
        <v>188</v>
      </c>
      <c r="G693" s="963"/>
      <c r="H693" s="778" t="s">
        <v>12</v>
      </c>
      <c r="I693" s="830"/>
      <c r="J693" s="830"/>
      <c r="K693" s="831"/>
      <c r="L693" s="831"/>
      <c r="M693" s="831"/>
      <c r="N693" s="1031">
        <v>0</v>
      </c>
      <c r="O693" s="831"/>
      <c r="P693" s="831"/>
      <c r="Q693" s="1244"/>
      <c r="R693" s="1244"/>
      <c r="S693" s="1244"/>
      <c r="T693" s="1244"/>
      <c r="U693" s="1244"/>
      <c r="V693" s="1244"/>
      <c r="W693" s="1244"/>
      <c r="X693" s="1244"/>
      <c r="Y693" s="1244"/>
      <c r="Z693" s="1244"/>
    </row>
    <row r="694" spans="1:26" ht="19.5" hidden="1" thickBot="1">
      <c r="A694" s="1241"/>
      <c r="B694" s="1242"/>
      <c r="C694" s="1243"/>
      <c r="D694" s="1243"/>
      <c r="E694" s="1243"/>
      <c r="F694" s="1243" t="s">
        <v>189</v>
      </c>
      <c r="G694" s="963"/>
      <c r="H694" s="778" t="s">
        <v>12</v>
      </c>
      <c r="I694" s="830"/>
      <c r="J694" s="830"/>
      <c r="K694" s="831"/>
      <c r="L694" s="831"/>
      <c r="M694" s="831"/>
      <c r="N694" s="1031">
        <v>0</v>
      </c>
      <c r="O694" s="831"/>
      <c r="P694" s="831"/>
      <c r="Q694" s="1244"/>
      <c r="R694" s="1244"/>
      <c r="S694" s="1244"/>
      <c r="T694" s="1244"/>
      <c r="U694" s="1244"/>
      <c r="V694" s="1244"/>
      <c r="W694" s="1244"/>
      <c r="X694" s="1244"/>
      <c r="Y694" s="1244"/>
      <c r="Z694" s="1244"/>
    </row>
    <row r="695" spans="1:26" ht="19.5" hidden="1" thickBot="1">
      <c r="A695" s="1259"/>
      <c r="B695" s="1242"/>
      <c r="C695" s="1243"/>
      <c r="D695" s="1266" t="s">
        <v>21</v>
      </c>
      <c r="E695" s="1243"/>
      <c r="F695" s="1243"/>
      <c r="G695" s="963"/>
      <c r="H695" s="168" t="s">
        <v>12</v>
      </c>
      <c r="I695" s="944"/>
      <c r="J695" s="944"/>
      <c r="K695" s="945"/>
      <c r="L695" s="831">
        <f t="shared" ref="L695:N695" si="287">L696+L697</f>
        <v>0</v>
      </c>
      <c r="M695" s="831">
        <f t="shared" si="287"/>
        <v>0</v>
      </c>
      <c r="N695" s="831">
        <f t="shared" si="287"/>
        <v>0</v>
      </c>
      <c r="O695" s="831">
        <f t="shared" ref="O695:O697" si="288">IF(L695&gt;0,N695*100/L695,0)</f>
        <v>0</v>
      </c>
      <c r="P695" s="831">
        <f t="shared" ref="P695:P697" si="289">IF(M695&gt;0,N695*100/M695,0)</f>
        <v>0</v>
      </c>
      <c r="Q695" s="1244"/>
      <c r="R695" s="1244"/>
      <c r="S695" s="1244"/>
      <c r="T695" s="1244"/>
      <c r="U695" s="1244"/>
      <c r="V695" s="1244"/>
      <c r="W695" s="1244"/>
      <c r="X695" s="1244"/>
      <c r="Y695" s="1244"/>
      <c r="Z695" s="1244"/>
    </row>
    <row r="696" spans="1:26" ht="19.5" hidden="1" thickBot="1">
      <c r="A696" s="1260"/>
      <c r="B696" s="1265"/>
      <c r="C696" s="1261"/>
      <c r="D696" s="1261"/>
      <c r="E696" s="1261" t="s">
        <v>18</v>
      </c>
      <c r="F696" s="1261"/>
      <c r="G696" s="1263"/>
      <c r="H696" s="165" t="s">
        <v>12</v>
      </c>
      <c r="I696" s="947"/>
      <c r="J696" s="947"/>
      <c r="K696" s="948"/>
      <c r="L696" s="837">
        <v>0</v>
      </c>
      <c r="M696" s="837">
        <v>0</v>
      </c>
      <c r="N696" s="837">
        <v>0</v>
      </c>
      <c r="O696" s="837">
        <f t="shared" si="288"/>
        <v>0</v>
      </c>
      <c r="P696" s="837">
        <f t="shared" si="289"/>
        <v>0</v>
      </c>
      <c r="Q696" s="1264"/>
      <c r="R696" s="1264"/>
      <c r="S696" s="1264"/>
      <c r="T696" s="1264"/>
      <c r="U696" s="1264"/>
      <c r="V696" s="1264"/>
      <c r="W696" s="1264"/>
      <c r="X696" s="1264"/>
      <c r="Y696" s="1264"/>
      <c r="Z696" s="1264"/>
    </row>
    <row r="697" spans="1:26" ht="19.5" hidden="1" thickBot="1">
      <c r="A697" s="1260"/>
      <c r="B697" s="1265"/>
      <c r="C697" s="1261"/>
      <c r="D697" s="1261"/>
      <c r="E697" s="1261" t="s">
        <v>19</v>
      </c>
      <c r="F697" s="1261"/>
      <c r="G697" s="1263"/>
      <c r="H697" s="169" t="s">
        <v>12</v>
      </c>
      <c r="I697" s="947"/>
      <c r="J697" s="947"/>
      <c r="K697" s="948"/>
      <c r="L697" s="837">
        <v>0</v>
      </c>
      <c r="M697" s="837">
        <v>0</v>
      </c>
      <c r="N697" s="837">
        <v>0</v>
      </c>
      <c r="O697" s="837">
        <f t="shared" si="288"/>
        <v>0</v>
      </c>
      <c r="P697" s="837">
        <f t="shared" si="289"/>
        <v>0</v>
      </c>
      <c r="Q697" s="1264"/>
      <c r="R697" s="1264"/>
      <c r="S697" s="1264"/>
      <c r="T697" s="1264"/>
      <c r="U697" s="1264"/>
      <c r="V697" s="1264"/>
      <c r="W697" s="1264"/>
      <c r="X697" s="1264"/>
      <c r="Y697" s="1264"/>
      <c r="Z697" s="1264"/>
    </row>
    <row r="698" spans="1:26" ht="20.25" hidden="1" thickBot="1">
      <c r="A698" s="1267"/>
      <c r="B698" s="1268"/>
      <c r="C698" s="1243" t="s">
        <v>16</v>
      </c>
      <c r="D698" s="1378" t="s">
        <v>38</v>
      </c>
      <c r="E698" s="1271"/>
      <c r="F698" s="1271"/>
      <c r="G698" s="1272"/>
      <c r="H698" s="954"/>
      <c r="I698" s="944"/>
      <c r="J698" s="944"/>
      <c r="K698" s="945"/>
      <c r="L698" s="945"/>
      <c r="M698" s="945"/>
      <c r="N698" s="945"/>
      <c r="O698" s="945"/>
      <c r="P698" s="945"/>
      <c r="Q698" s="1244"/>
      <c r="R698" s="1244"/>
      <c r="S698" s="1244"/>
      <c r="T698" s="1244"/>
      <c r="U698" s="1244"/>
      <c r="V698" s="1244"/>
      <c r="W698" s="1244"/>
      <c r="X698" s="1244"/>
      <c r="Y698" s="1244"/>
      <c r="Z698" s="1244"/>
    </row>
    <row r="699" spans="1:26" ht="19.5" hidden="1" thickBot="1">
      <c r="A699" s="1368"/>
      <c r="B699" s="1243"/>
      <c r="C699" s="1243"/>
      <c r="D699" s="1243" t="s">
        <v>294</v>
      </c>
      <c r="E699" s="1243"/>
      <c r="F699" s="1243"/>
      <c r="G699" s="963"/>
      <c r="H699" s="730" t="s">
        <v>46</v>
      </c>
      <c r="I699" s="1379">
        <f ca="1">IFERROR(__xludf.DUMMYFUNCTION("IMPORTRANGE(""https://docs.google.com/spreadsheets/d/1QqKyyYR6Q21VydFLVH3TRQUabQu_ym0Zz7PgGX0-kHA/edit?usp=sharing"",""แผน!IC15"")"),0)</f>
        <v>0</v>
      </c>
      <c r="J699" s="830">
        <f ca="1">IFERROR(__xludf.DUMMYFUNCTION("IMPORTRANGE(""https://docs.google.com/spreadsheets/d/1XWAQStnk-4SwqDmLtmXYiTMKHgktTP8We1SCoS47DrQ/edit?usp=sharing"",""จัดที่ดิน!BB15"")"),0)</f>
        <v>0</v>
      </c>
      <c r="K699" s="831">
        <f t="shared" ref="K699:K701" ca="1" si="290">IF(I699&gt;0,J699*100/I699,0)</f>
        <v>0</v>
      </c>
      <c r="L699" s="831"/>
      <c r="M699" s="963"/>
      <c r="N699" s="1380"/>
      <c r="O699" s="831"/>
      <c r="P699" s="831"/>
      <c r="Q699" s="1244"/>
      <c r="R699" s="1244"/>
      <c r="S699" s="1244"/>
      <c r="T699" s="1244"/>
      <c r="U699" s="1244"/>
      <c r="V699" s="1244"/>
      <c r="W699" s="1244"/>
      <c r="X699" s="1244"/>
      <c r="Y699" s="1244"/>
      <c r="Z699" s="1244"/>
    </row>
    <row r="700" spans="1:26" ht="19.5" hidden="1" thickBot="1">
      <c r="A700" s="1368"/>
      <c r="B700" s="1243"/>
      <c r="C700" s="1243"/>
      <c r="D700" s="1243" t="s">
        <v>295</v>
      </c>
      <c r="E700" s="1243"/>
      <c r="F700" s="1243"/>
      <c r="G700" s="963"/>
      <c r="H700" s="730" t="s">
        <v>35</v>
      </c>
      <c r="I700" s="1379">
        <f ca="1">IFERROR(__xludf.DUMMYFUNCTION("IMPORTRANGE(""https://docs.google.com/spreadsheets/d/1QqKyyYR6Q21VydFLVH3TRQUabQu_ym0Zz7PgGX0-kHA/edit?usp=sharing"",""แผน!ID15"")"),0)</f>
        <v>0</v>
      </c>
      <c r="J700" s="830">
        <f ca="1">IFERROR(__xludf.DUMMYFUNCTION("IMPORTRANGE(""https://docs.google.com/spreadsheets/d/1XWAQStnk-4SwqDmLtmXYiTMKHgktTP8We1SCoS47DrQ/edit?usp=sharing"",""จัดที่ดิน!BD15"")"),0)</f>
        <v>0</v>
      </c>
      <c r="K700" s="831">
        <f t="shared" ca="1" si="290"/>
        <v>0</v>
      </c>
      <c r="L700" s="831"/>
      <c r="M700" s="963"/>
      <c r="N700" s="1380"/>
      <c r="O700" s="831"/>
      <c r="P700" s="831"/>
      <c r="Q700" s="1244"/>
      <c r="R700" s="1244"/>
      <c r="S700" s="1244"/>
      <c r="T700" s="1244"/>
      <c r="U700" s="1244"/>
      <c r="V700" s="1244"/>
      <c r="W700" s="1244"/>
      <c r="X700" s="1244"/>
      <c r="Y700" s="1244"/>
      <c r="Z700" s="1244"/>
    </row>
    <row r="701" spans="1:26" ht="20.25" hidden="1" thickBot="1">
      <c r="A701" s="1368"/>
      <c r="B701" s="1243"/>
      <c r="C701" s="1243"/>
      <c r="D701" s="1243" t="s">
        <v>296</v>
      </c>
      <c r="E701" s="1243"/>
      <c r="F701" s="1243"/>
      <c r="G701" s="963"/>
      <c r="H701" s="733" t="s">
        <v>46</v>
      </c>
      <c r="I701" s="1381">
        <f ca="1">IFERROR(__xludf.DUMMYFUNCTION("IMPORTRANGE(""https://docs.google.com/spreadsheets/d/1QqKyyYR6Q21VydFLVH3TRQUabQu_ym0Zz7PgGX0-kHA/edit?usp=sharing"",""แผน!IE15"")"),0)</f>
        <v>0</v>
      </c>
      <c r="J701" s="966">
        <f>J704+J707</f>
        <v>0</v>
      </c>
      <c r="K701" s="967">
        <f t="shared" ca="1" si="290"/>
        <v>0</v>
      </c>
      <c r="L701" s="831"/>
      <c r="M701" s="963"/>
      <c r="N701" s="1380"/>
      <c r="O701" s="831"/>
      <c r="P701" s="831"/>
      <c r="Q701" s="1244"/>
      <c r="R701" s="1244"/>
      <c r="S701" s="1244"/>
      <c r="T701" s="1244"/>
      <c r="U701" s="1244"/>
      <c r="V701" s="1244"/>
      <c r="W701" s="1244"/>
      <c r="X701" s="1244"/>
      <c r="Y701" s="1244"/>
      <c r="Z701" s="1244"/>
    </row>
    <row r="702" spans="1:26" ht="19.5" hidden="1" thickBot="1">
      <c r="A702" s="1368"/>
      <c r="B702" s="1243"/>
      <c r="C702" s="1243"/>
      <c r="D702" s="1243"/>
      <c r="E702" s="1243" t="s">
        <v>297</v>
      </c>
      <c r="F702" s="1243"/>
      <c r="G702" s="963"/>
      <c r="H702" s="730" t="s">
        <v>35</v>
      </c>
      <c r="I702" s="1379"/>
      <c r="J702" s="959">
        <v>0</v>
      </c>
      <c r="K702" s="831"/>
      <c r="L702" s="831"/>
      <c r="M702" s="963"/>
      <c r="N702" s="1380"/>
      <c r="O702" s="831"/>
      <c r="P702" s="831"/>
      <c r="Q702" s="1244"/>
      <c r="R702" s="1244"/>
      <c r="S702" s="1244"/>
      <c r="T702" s="1244"/>
      <c r="U702" s="1244"/>
      <c r="V702" s="1244"/>
      <c r="W702" s="1244"/>
      <c r="X702" s="1244"/>
      <c r="Y702" s="1244"/>
      <c r="Z702" s="1244"/>
    </row>
    <row r="703" spans="1:26" ht="19.5" hidden="1" thickBot="1">
      <c r="A703" s="1368"/>
      <c r="B703" s="1243"/>
      <c r="C703" s="1243"/>
      <c r="D703" s="1243"/>
      <c r="E703" s="1243"/>
      <c r="F703" s="1243"/>
      <c r="G703" s="963"/>
      <c r="H703" s="730" t="s">
        <v>34</v>
      </c>
      <c r="I703" s="1379"/>
      <c r="J703" s="959">
        <v>0</v>
      </c>
      <c r="K703" s="831"/>
      <c r="L703" s="831"/>
      <c r="M703" s="963"/>
      <c r="N703" s="1380"/>
      <c r="O703" s="831"/>
      <c r="P703" s="831"/>
      <c r="Q703" s="1244"/>
      <c r="R703" s="1244"/>
      <c r="S703" s="1244"/>
      <c r="T703" s="1244"/>
      <c r="U703" s="1244"/>
      <c r="V703" s="1244"/>
      <c r="W703" s="1244"/>
      <c r="X703" s="1244"/>
      <c r="Y703" s="1244"/>
      <c r="Z703" s="1244"/>
    </row>
    <row r="704" spans="1:26" ht="19.5" hidden="1" thickBot="1">
      <c r="A704" s="1368"/>
      <c r="B704" s="1243"/>
      <c r="C704" s="1243"/>
      <c r="D704" s="1243"/>
      <c r="E704" s="1243"/>
      <c r="F704" s="1243"/>
      <c r="G704" s="963"/>
      <c r="H704" s="730" t="s">
        <v>46</v>
      </c>
      <c r="I704" s="1379">
        <f ca="1">IFERROR(__xludf.DUMMYFUNCTION("IMPORTRANGE(""https://docs.google.com/spreadsheets/d/1QqKyyYR6Q21VydFLVH3TRQUabQu_ym0Zz7PgGX0-kHA/edit?usp=sharing"",""แผน!IF15"")"),0)</f>
        <v>0</v>
      </c>
      <c r="J704" s="959">
        <v>0</v>
      </c>
      <c r="K704" s="831"/>
      <c r="L704" s="831"/>
      <c r="M704" s="963"/>
      <c r="N704" s="1380"/>
      <c r="O704" s="831"/>
      <c r="P704" s="831"/>
      <c r="Q704" s="1244"/>
      <c r="R704" s="1244"/>
      <c r="S704" s="1244"/>
      <c r="T704" s="1244"/>
      <c r="U704" s="1244"/>
      <c r="V704" s="1244"/>
      <c r="W704" s="1244"/>
      <c r="X704" s="1244"/>
      <c r="Y704" s="1244"/>
      <c r="Z704" s="1244"/>
    </row>
    <row r="705" spans="1:26" ht="19.5" hidden="1" thickBot="1">
      <c r="A705" s="1368"/>
      <c r="B705" s="1243"/>
      <c r="C705" s="1243"/>
      <c r="D705" s="1243"/>
      <c r="E705" s="1243" t="s">
        <v>298</v>
      </c>
      <c r="F705" s="1243"/>
      <c r="G705" s="963"/>
      <c r="H705" s="730" t="s">
        <v>35</v>
      </c>
      <c r="I705" s="1379"/>
      <c r="J705" s="959">
        <v>0</v>
      </c>
      <c r="K705" s="831"/>
      <c r="L705" s="831"/>
      <c r="M705" s="963"/>
      <c r="N705" s="1380"/>
      <c r="O705" s="831"/>
      <c r="P705" s="831"/>
      <c r="Q705" s="1244"/>
      <c r="R705" s="1244"/>
      <c r="S705" s="1244"/>
      <c r="T705" s="1244"/>
      <c r="U705" s="1244"/>
      <c r="V705" s="1244"/>
      <c r="W705" s="1244"/>
      <c r="X705" s="1244"/>
      <c r="Y705" s="1244"/>
      <c r="Z705" s="1244"/>
    </row>
    <row r="706" spans="1:26" ht="19.5" hidden="1" thickBot="1">
      <c r="A706" s="1368"/>
      <c r="B706" s="1243"/>
      <c r="C706" s="1243"/>
      <c r="D706" s="1243"/>
      <c r="E706" s="1243"/>
      <c r="F706" s="1243"/>
      <c r="G706" s="963"/>
      <c r="H706" s="730" t="s">
        <v>34</v>
      </c>
      <c r="I706" s="1379"/>
      <c r="J706" s="959">
        <v>0</v>
      </c>
      <c r="K706" s="831"/>
      <c r="L706" s="831"/>
      <c r="M706" s="963"/>
      <c r="N706" s="1380"/>
      <c r="O706" s="831"/>
      <c r="P706" s="831"/>
      <c r="Q706" s="1244"/>
      <c r="R706" s="1244"/>
      <c r="S706" s="1244"/>
      <c r="T706" s="1244"/>
      <c r="U706" s="1244"/>
      <c r="V706" s="1244"/>
      <c r="W706" s="1244"/>
      <c r="X706" s="1244"/>
      <c r="Y706" s="1244"/>
      <c r="Z706" s="1244"/>
    </row>
    <row r="707" spans="1:26" ht="19.5" hidden="1" thickBot="1">
      <c r="A707" s="1368"/>
      <c r="B707" s="1243"/>
      <c r="C707" s="1243"/>
      <c r="D707" s="1243"/>
      <c r="E707" s="1243"/>
      <c r="F707" s="1243"/>
      <c r="G707" s="963"/>
      <c r="H707" s="730" t="s">
        <v>46</v>
      </c>
      <c r="I707" s="1379">
        <f ca="1">IFERROR(__xludf.DUMMYFUNCTION("IMPORTRANGE(""https://docs.google.com/spreadsheets/d/1QqKyyYR6Q21VydFLVH3TRQUabQu_ym0Zz7PgGX0-kHA/edit?usp=sharing"",""แผน!IG15"")"),0)</f>
        <v>0</v>
      </c>
      <c r="J707" s="959">
        <v>0</v>
      </c>
      <c r="K707" s="831"/>
      <c r="L707" s="831"/>
      <c r="M707" s="963"/>
      <c r="N707" s="1380"/>
      <c r="O707" s="831"/>
      <c r="P707" s="831"/>
      <c r="Q707" s="1244"/>
      <c r="R707" s="1244"/>
      <c r="S707" s="1244"/>
      <c r="T707" s="1244"/>
      <c r="U707" s="1244"/>
      <c r="V707" s="1244"/>
      <c r="W707" s="1244"/>
      <c r="X707" s="1244"/>
      <c r="Y707" s="1244"/>
      <c r="Z707" s="1244"/>
    </row>
    <row r="708" spans="1:26" ht="20.25" hidden="1" thickBot="1">
      <c r="A708" s="1368"/>
      <c r="B708" s="1243"/>
      <c r="C708" s="1243"/>
      <c r="D708" s="1322" t="s">
        <v>299</v>
      </c>
      <c r="E708" s="1243"/>
      <c r="F708" s="1243"/>
      <c r="G708" s="963"/>
      <c r="H708" s="733" t="s">
        <v>46</v>
      </c>
      <c r="I708" s="1381">
        <f ca="1">IFERROR(__xludf.DUMMYFUNCTION("IMPORTRANGE(""https://docs.google.com/spreadsheets/d/1QqKyyYR6Q21VydFLVH3TRQUabQu_ym0Zz7PgGX0-kHA/edit?usp=sharing"",""แผน!IH15"")"),0)</f>
        <v>0</v>
      </c>
      <c r="J708" s="966">
        <f>J714+J717</f>
        <v>0</v>
      </c>
      <c r="K708" s="967">
        <f ca="1">IF(I708&gt;0,J708*100/I708,0)</f>
        <v>0</v>
      </c>
      <c r="L708" s="831"/>
      <c r="M708" s="963"/>
      <c r="N708" s="1380"/>
      <c r="O708" s="831"/>
      <c r="P708" s="831"/>
      <c r="Q708" s="1244"/>
      <c r="R708" s="1244"/>
      <c r="S708" s="1244"/>
      <c r="T708" s="1244"/>
      <c r="U708" s="1244"/>
      <c r="V708" s="1244"/>
      <c r="W708" s="1244"/>
      <c r="X708" s="1244"/>
      <c r="Y708" s="1244"/>
      <c r="Z708" s="1244"/>
    </row>
    <row r="709" spans="1:26" ht="19.5" hidden="1" thickBot="1">
      <c r="A709" s="1368"/>
      <c r="B709" s="1243"/>
      <c r="C709" s="1243"/>
      <c r="D709" s="1243"/>
      <c r="E709" s="1243" t="s">
        <v>300</v>
      </c>
      <c r="F709" s="1243"/>
      <c r="G709" s="963"/>
      <c r="H709" s="730" t="s">
        <v>34</v>
      </c>
      <c r="I709" s="1379"/>
      <c r="J709" s="959">
        <v>0</v>
      </c>
      <c r="K709" s="831"/>
      <c r="L709" s="1380"/>
      <c r="M709" s="963"/>
      <c r="N709" s="1380"/>
      <c r="O709" s="831"/>
      <c r="P709" s="831"/>
      <c r="Q709" s="1244"/>
      <c r="R709" s="1244"/>
      <c r="S709" s="1244"/>
      <c r="T709" s="1244"/>
      <c r="U709" s="1244"/>
      <c r="V709" s="1244"/>
      <c r="W709" s="1244"/>
      <c r="X709" s="1244"/>
      <c r="Y709" s="1244"/>
      <c r="Z709" s="1244"/>
    </row>
    <row r="710" spans="1:26" ht="19.5" hidden="1" thickBot="1">
      <c r="A710" s="1368"/>
      <c r="B710" s="1243"/>
      <c r="C710" s="1243"/>
      <c r="D710" s="1243"/>
      <c r="E710" s="1243"/>
      <c r="F710" s="1243"/>
      <c r="G710" s="963"/>
      <c r="H710" s="730" t="s">
        <v>46</v>
      </c>
      <c r="I710" s="1379"/>
      <c r="J710" s="959">
        <v>0</v>
      </c>
      <c r="K710" s="831"/>
      <c r="L710" s="1380"/>
      <c r="M710" s="963"/>
      <c r="N710" s="1380"/>
      <c r="O710" s="831"/>
      <c r="P710" s="831"/>
      <c r="Q710" s="1244"/>
      <c r="R710" s="1244"/>
      <c r="S710" s="1244"/>
      <c r="T710" s="1244"/>
      <c r="U710" s="1244"/>
      <c r="V710" s="1244"/>
      <c r="W710" s="1244"/>
      <c r="X710" s="1244"/>
      <c r="Y710" s="1244"/>
      <c r="Z710" s="1244"/>
    </row>
    <row r="711" spans="1:26" ht="19.5" hidden="1" thickBot="1">
      <c r="A711" s="1368"/>
      <c r="B711" s="1243"/>
      <c r="C711" s="1243"/>
      <c r="D711" s="1243"/>
      <c r="E711" s="1243" t="s">
        <v>301</v>
      </c>
      <c r="F711" s="1243"/>
      <c r="G711" s="963"/>
      <c r="H711" s="954"/>
      <c r="I711" s="1379"/>
      <c r="J711" s="830"/>
      <c r="K711" s="831"/>
      <c r="L711" s="1380"/>
      <c r="M711" s="963"/>
      <c r="N711" s="1380"/>
      <c r="O711" s="831"/>
      <c r="P711" s="831"/>
      <c r="Q711" s="1244"/>
      <c r="R711" s="1244"/>
      <c r="S711" s="1244"/>
      <c r="T711" s="1244"/>
      <c r="U711" s="1244"/>
      <c r="V711" s="1244"/>
      <c r="W711" s="1244"/>
      <c r="X711" s="1244"/>
      <c r="Y711" s="1244"/>
      <c r="Z711" s="1244"/>
    </row>
    <row r="712" spans="1:26" ht="19.5" hidden="1" thickBot="1">
      <c r="A712" s="1368"/>
      <c r="B712" s="1243"/>
      <c r="C712" s="1243"/>
      <c r="D712" s="1243"/>
      <c r="E712" s="1243"/>
      <c r="F712" s="1243" t="s">
        <v>302</v>
      </c>
      <c r="G712" s="963"/>
      <c r="H712" s="730" t="s">
        <v>35</v>
      </c>
      <c r="I712" s="1379"/>
      <c r="J712" s="959">
        <v>0</v>
      </c>
      <c r="K712" s="831"/>
      <c r="L712" s="1380"/>
      <c r="M712" s="963"/>
      <c r="N712" s="1380"/>
      <c r="O712" s="831"/>
      <c r="P712" s="831"/>
      <c r="Q712" s="1244"/>
      <c r="R712" s="1244"/>
      <c r="S712" s="1244"/>
      <c r="T712" s="1244"/>
      <c r="U712" s="1244"/>
      <c r="V712" s="1244"/>
      <c r="W712" s="1244"/>
      <c r="X712" s="1244"/>
      <c r="Y712" s="1244"/>
      <c r="Z712" s="1244"/>
    </row>
    <row r="713" spans="1:26" ht="19.5" hidden="1" thickBot="1">
      <c r="A713" s="1368"/>
      <c r="B713" s="1243"/>
      <c r="C713" s="1243"/>
      <c r="D713" s="1243"/>
      <c r="E713" s="1243"/>
      <c r="F713" s="1243"/>
      <c r="G713" s="963"/>
      <c r="H713" s="730" t="s">
        <v>34</v>
      </c>
      <c r="I713" s="1379"/>
      <c r="J713" s="959">
        <v>0</v>
      </c>
      <c r="K713" s="831"/>
      <c r="L713" s="1380"/>
      <c r="M713" s="963"/>
      <c r="N713" s="1380"/>
      <c r="O713" s="831"/>
      <c r="P713" s="831"/>
      <c r="Q713" s="1244"/>
      <c r="R713" s="1244"/>
      <c r="S713" s="1244"/>
      <c r="T713" s="1244"/>
      <c r="U713" s="1244"/>
      <c r="V713" s="1244"/>
      <c r="W713" s="1244"/>
      <c r="X713" s="1244"/>
      <c r="Y713" s="1244"/>
      <c r="Z713" s="1244"/>
    </row>
    <row r="714" spans="1:26" ht="19.5" hidden="1" thickBot="1">
      <c r="A714" s="1368"/>
      <c r="B714" s="1243"/>
      <c r="C714" s="1243"/>
      <c r="D714" s="1243"/>
      <c r="E714" s="1243"/>
      <c r="F714" s="1243"/>
      <c r="G714" s="963"/>
      <c r="H714" s="730" t="s">
        <v>46</v>
      </c>
      <c r="I714" s="1379"/>
      <c r="J714" s="959">
        <v>0</v>
      </c>
      <c r="K714" s="831"/>
      <c r="L714" s="1380"/>
      <c r="M714" s="963"/>
      <c r="N714" s="1380"/>
      <c r="O714" s="831"/>
      <c r="P714" s="831"/>
      <c r="Q714" s="1244"/>
      <c r="R714" s="1244"/>
      <c r="S714" s="1244"/>
      <c r="T714" s="1244"/>
      <c r="U714" s="1244"/>
      <c r="V714" s="1244"/>
      <c r="W714" s="1244"/>
      <c r="X714" s="1244"/>
      <c r="Y714" s="1244"/>
      <c r="Z714" s="1244"/>
    </row>
    <row r="715" spans="1:26" ht="19.5" hidden="1" thickBot="1">
      <c r="A715" s="1368"/>
      <c r="B715" s="1243"/>
      <c r="C715" s="1243"/>
      <c r="D715" s="1243"/>
      <c r="E715" s="1243"/>
      <c r="F715" s="1243" t="s">
        <v>303</v>
      </c>
      <c r="G715" s="963"/>
      <c r="H715" s="730" t="s">
        <v>35</v>
      </c>
      <c r="I715" s="1379"/>
      <c r="J715" s="959">
        <v>0</v>
      </c>
      <c r="K715" s="831"/>
      <c r="L715" s="1380"/>
      <c r="M715" s="963"/>
      <c r="N715" s="1380"/>
      <c r="O715" s="831"/>
      <c r="P715" s="831"/>
      <c r="Q715" s="1244"/>
      <c r="R715" s="1244"/>
      <c r="S715" s="1244"/>
      <c r="T715" s="1244"/>
      <c r="U715" s="1244"/>
      <c r="V715" s="1244"/>
      <c r="W715" s="1244"/>
      <c r="X715" s="1244"/>
      <c r="Y715" s="1244"/>
      <c r="Z715" s="1244"/>
    </row>
    <row r="716" spans="1:26" ht="19.5" hidden="1" thickBot="1">
      <c r="A716" s="1368"/>
      <c r="B716" s="1243"/>
      <c r="C716" s="1243"/>
      <c r="D716" s="1243"/>
      <c r="E716" s="1243"/>
      <c r="F716" s="1243"/>
      <c r="G716" s="963"/>
      <c r="H716" s="730" t="s">
        <v>34</v>
      </c>
      <c r="I716" s="1379"/>
      <c r="J716" s="959">
        <v>0</v>
      </c>
      <c r="K716" s="831"/>
      <c r="L716" s="1380"/>
      <c r="M716" s="963"/>
      <c r="N716" s="1380"/>
      <c r="O716" s="831"/>
      <c r="P716" s="831"/>
      <c r="Q716" s="1244"/>
      <c r="R716" s="1244"/>
      <c r="S716" s="1244"/>
      <c r="T716" s="1244"/>
      <c r="U716" s="1244"/>
      <c r="V716" s="1244"/>
      <c r="W716" s="1244"/>
      <c r="X716" s="1244"/>
      <c r="Y716" s="1244"/>
      <c r="Z716" s="1244"/>
    </row>
    <row r="717" spans="1:26" ht="19.5" hidden="1" thickBot="1">
      <c r="A717" s="1368"/>
      <c r="B717" s="1243"/>
      <c r="C717" s="1243"/>
      <c r="D717" s="1243"/>
      <c r="E717" s="1243"/>
      <c r="F717" s="1243"/>
      <c r="G717" s="963"/>
      <c r="H717" s="730" t="s">
        <v>46</v>
      </c>
      <c r="I717" s="1379"/>
      <c r="J717" s="959">
        <v>0</v>
      </c>
      <c r="K717" s="831"/>
      <c r="L717" s="1380"/>
      <c r="M717" s="963"/>
      <c r="N717" s="1380"/>
      <c r="O717" s="831"/>
      <c r="P717" s="831"/>
      <c r="Q717" s="1244"/>
      <c r="R717" s="1244"/>
      <c r="S717" s="1244"/>
      <c r="T717" s="1244"/>
      <c r="U717" s="1244"/>
      <c r="V717" s="1244"/>
      <c r="W717" s="1244"/>
      <c r="X717" s="1244"/>
      <c r="Y717" s="1244"/>
      <c r="Z717" s="1244"/>
    </row>
    <row r="718" spans="1:26" ht="19.5" hidden="1" thickBot="1">
      <c r="A718" s="1368"/>
      <c r="B718" s="1243"/>
      <c r="C718" s="1243"/>
      <c r="D718" s="1243" t="s">
        <v>304</v>
      </c>
      <c r="E718" s="1243"/>
      <c r="F718" s="1243"/>
      <c r="G718" s="963"/>
      <c r="H718" s="730" t="s">
        <v>35</v>
      </c>
      <c r="I718" s="1379"/>
      <c r="J718" s="830">
        <f ca="1">IFERROR(__xludf.DUMMYFUNCTION("IMPORTRANGE(""https://docs.google.com/spreadsheets/d/1XWAQStnk-4SwqDmLtmXYiTMKHgktTP8We1SCoS47DrQ/edit?usp=sharing"",""จัดที่ดิน!BF15"")"),0)</f>
        <v>0</v>
      </c>
      <c r="K718" s="831"/>
      <c r="L718" s="831"/>
      <c r="M718" s="963"/>
      <c r="N718" s="1380"/>
      <c r="O718" s="831"/>
      <c r="P718" s="831"/>
      <c r="Q718" s="1244"/>
      <c r="R718" s="1244"/>
      <c r="S718" s="1244"/>
      <c r="T718" s="1244"/>
      <c r="U718" s="1244"/>
      <c r="V718" s="1244"/>
      <c r="W718" s="1244"/>
      <c r="X718" s="1244"/>
      <c r="Y718" s="1244"/>
      <c r="Z718" s="1244"/>
    </row>
    <row r="719" spans="1:26" ht="19.5" hidden="1" thickBot="1">
      <c r="A719" s="1368"/>
      <c r="B719" s="1243"/>
      <c r="C719" s="1243"/>
      <c r="D719" s="1243"/>
      <c r="E719" s="1243"/>
      <c r="F719" s="1243"/>
      <c r="G719" s="963"/>
      <c r="H719" s="730" t="s">
        <v>34</v>
      </c>
      <c r="I719" s="1379"/>
      <c r="J719" s="830">
        <f ca="1">IFERROR(__xludf.DUMMYFUNCTION("IMPORTRANGE(""https://docs.google.com/spreadsheets/d/1XWAQStnk-4SwqDmLtmXYiTMKHgktTP8We1SCoS47DrQ/edit?usp=sharing"",""จัดที่ดิน!BG15"")"),0)</f>
        <v>0</v>
      </c>
      <c r="K719" s="831"/>
      <c r="L719" s="1380"/>
      <c r="M719" s="963"/>
      <c r="N719" s="1380"/>
      <c r="O719" s="831"/>
      <c r="P719" s="831"/>
      <c r="Q719" s="1244"/>
      <c r="R719" s="1244"/>
      <c r="S719" s="1244"/>
      <c r="T719" s="1244"/>
      <c r="U719" s="1244"/>
      <c r="V719" s="1244"/>
      <c r="W719" s="1244"/>
      <c r="X719" s="1244"/>
      <c r="Y719" s="1244"/>
      <c r="Z719" s="1244"/>
    </row>
    <row r="720" spans="1:26" ht="19.5" hidden="1" thickBot="1">
      <c r="A720" s="1368"/>
      <c r="B720" s="1243"/>
      <c r="C720" s="1243"/>
      <c r="D720" s="1243"/>
      <c r="E720" s="1243"/>
      <c r="F720" s="1243"/>
      <c r="G720" s="963"/>
      <c r="H720" s="730" t="s">
        <v>46</v>
      </c>
      <c r="I720" s="1379">
        <f ca="1">IFERROR(__xludf.DUMMYFUNCTION("IMPORTRANGE(""https://docs.google.com/spreadsheets/d/1QqKyyYR6Q21VydFLVH3TRQUabQu_ym0Zz7PgGX0-kHA/edit?usp=sharing"",""แผน!II15"")"),0)</f>
        <v>0</v>
      </c>
      <c r="J720" s="830">
        <f ca="1">IFERROR(__xludf.DUMMYFUNCTION("IMPORTRANGE(""https://docs.google.com/spreadsheets/d/1XWAQStnk-4SwqDmLtmXYiTMKHgktTP8We1SCoS47DrQ/edit?usp=sharing"",""จัดที่ดิน!BH15"")"),0)</f>
        <v>0</v>
      </c>
      <c r="K720" s="831">
        <f t="shared" ref="K720:K723" ca="1" si="291">IF(I720&gt;0,J720*100/I720,0)</f>
        <v>0</v>
      </c>
      <c r="L720" s="1380"/>
      <c r="M720" s="963"/>
      <c r="N720" s="1380"/>
      <c r="O720" s="831"/>
      <c r="P720" s="831"/>
      <c r="Q720" s="1244"/>
      <c r="R720" s="1244"/>
      <c r="S720" s="1244"/>
      <c r="T720" s="1244"/>
      <c r="U720" s="1244"/>
      <c r="V720" s="1244"/>
      <c r="W720" s="1244"/>
      <c r="X720" s="1244"/>
      <c r="Y720" s="1244"/>
      <c r="Z720" s="1244"/>
    </row>
    <row r="721" spans="1:26" ht="20.25" hidden="1" thickBot="1">
      <c r="A721" s="1368"/>
      <c r="B721" s="1243"/>
      <c r="C721" s="1243"/>
      <c r="D721" s="1243" t="s">
        <v>305</v>
      </c>
      <c r="E721" s="1243"/>
      <c r="F721" s="1243"/>
      <c r="G721" s="963"/>
      <c r="H721" s="733" t="s">
        <v>35</v>
      </c>
      <c r="I721" s="1381">
        <f ca="1">IFERROR(__xludf.DUMMYFUNCTION("IMPORTRANGE(""https://docs.google.com/spreadsheets/d/1QqKyyYR6Q21VydFLVH3TRQUabQu_ym0Zz7PgGX0-kHA/edit?usp=sharing"",""แผน!IJ15"")"),0)</f>
        <v>0</v>
      </c>
      <c r="J721" s="966">
        <f ca="1">J723+J726</f>
        <v>0</v>
      </c>
      <c r="K721" s="967">
        <f t="shared" ca="1" si="291"/>
        <v>0</v>
      </c>
      <c r="L721" s="1380"/>
      <c r="M721" s="963"/>
      <c r="N721" s="1380"/>
      <c r="O721" s="831"/>
      <c r="P721" s="831"/>
      <c r="Q721" s="1244"/>
      <c r="R721" s="1244"/>
      <c r="S721" s="1244"/>
      <c r="T721" s="1244"/>
      <c r="U721" s="1244"/>
      <c r="V721" s="1244"/>
      <c r="W721" s="1244"/>
      <c r="X721" s="1244"/>
      <c r="Y721" s="1244"/>
      <c r="Z721" s="1244"/>
    </row>
    <row r="722" spans="1:26" ht="20.25" hidden="1" thickBot="1">
      <c r="A722" s="1368"/>
      <c r="B722" s="1243"/>
      <c r="C722" s="1243"/>
      <c r="D722" s="1243"/>
      <c r="E722" s="1243"/>
      <c r="F722" s="1243"/>
      <c r="G722" s="963"/>
      <c r="H722" s="733" t="s">
        <v>46</v>
      </c>
      <c r="I722" s="1381">
        <f ca="1">IFERROR(__xludf.DUMMYFUNCTION("IMPORTRANGE(""https://docs.google.com/spreadsheets/d/1QqKyyYR6Q21VydFLVH3TRQUabQu_ym0Zz7PgGX0-kHA/edit?usp=sharing"",""แผน!IK15"")"),0)</f>
        <v>0</v>
      </c>
      <c r="J722" s="966">
        <f ca="1">J725+J728</f>
        <v>0</v>
      </c>
      <c r="K722" s="967">
        <f t="shared" ca="1" si="291"/>
        <v>0</v>
      </c>
      <c r="L722" s="831"/>
      <c r="M722" s="963"/>
      <c r="N722" s="1380"/>
      <c r="O722" s="831"/>
      <c r="P722" s="831"/>
      <c r="Q722" s="1244"/>
      <c r="R722" s="1244"/>
      <c r="S722" s="1244"/>
      <c r="T722" s="1244"/>
      <c r="U722" s="1244"/>
      <c r="V722" s="1244"/>
      <c r="W722" s="1244"/>
      <c r="X722" s="1244"/>
      <c r="Y722" s="1244"/>
      <c r="Z722" s="1244"/>
    </row>
    <row r="723" spans="1:26" ht="19.5" hidden="1" thickBot="1">
      <c r="A723" s="1368"/>
      <c r="B723" s="1243"/>
      <c r="C723" s="1243"/>
      <c r="D723" s="1243"/>
      <c r="E723" s="1243" t="s">
        <v>306</v>
      </c>
      <c r="F723" s="1243"/>
      <c r="G723" s="963"/>
      <c r="H723" s="730" t="s">
        <v>35</v>
      </c>
      <c r="I723" s="1379">
        <f ca="1">IFERROR(__xludf.DUMMYFUNCTION("IMPORTRANGE(""https://docs.google.com/spreadsheets/d/1QqKyyYR6Q21VydFLVH3TRQUabQu_ym0Zz7PgGX0-kHA/edit?usp=sharing"",""แผน!IL15"")"),0)</f>
        <v>0</v>
      </c>
      <c r="J723" s="830">
        <f ca="1">IFERROR(__xludf.DUMMYFUNCTION("IMPORTRANGE(""https://docs.google.com/spreadsheets/d/1XWAQStnk-4SwqDmLtmXYiTMKHgktTP8We1SCoS47DrQ/edit?usp=sharing"",""จัดที่ดิน!BM15"")"),0)</f>
        <v>0</v>
      </c>
      <c r="K723" s="831">
        <f t="shared" ca="1" si="291"/>
        <v>0</v>
      </c>
      <c r="L723" s="831"/>
      <c r="M723" s="963"/>
      <c r="N723" s="1380"/>
      <c r="O723" s="831"/>
      <c r="P723" s="831"/>
      <c r="Q723" s="1244"/>
      <c r="R723" s="1244"/>
      <c r="S723" s="1244"/>
      <c r="T723" s="1244"/>
      <c r="U723" s="1244"/>
      <c r="V723" s="1244"/>
      <c r="W723" s="1244"/>
      <c r="X723" s="1244"/>
      <c r="Y723" s="1244"/>
      <c r="Z723" s="1244"/>
    </row>
    <row r="724" spans="1:26" ht="19.5" hidden="1" thickBot="1">
      <c r="A724" s="1368"/>
      <c r="B724" s="1243"/>
      <c r="C724" s="1243"/>
      <c r="D724" s="1243"/>
      <c r="E724" s="1243"/>
      <c r="F724" s="1243"/>
      <c r="G724" s="963"/>
      <c r="H724" s="730" t="s">
        <v>34</v>
      </c>
      <c r="I724" s="1379"/>
      <c r="J724" s="830">
        <f ca="1">IFERROR(__xludf.DUMMYFUNCTION("IMPORTRANGE(""https://docs.google.com/spreadsheets/d/1XWAQStnk-4SwqDmLtmXYiTMKHgktTP8We1SCoS47DrQ/edit?usp=sharing"",""จัดที่ดิน!BN15"")"),0)</f>
        <v>0</v>
      </c>
      <c r="K724" s="831"/>
      <c r="L724" s="1380"/>
      <c r="M724" s="963"/>
      <c r="N724" s="1380"/>
      <c r="O724" s="831"/>
      <c r="P724" s="831"/>
      <c r="Q724" s="1244"/>
      <c r="R724" s="1244"/>
      <c r="S724" s="1244"/>
      <c r="T724" s="1244"/>
      <c r="U724" s="1244"/>
      <c r="V724" s="1244"/>
      <c r="W724" s="1244"/>
      <c r="X724" s="1244"/>
      <c r="Y724" s="1244"/>
      <c r="Z724" s="1244"/>
    </row>
    <row r="725" spans="1:26" ht="19.5" hidden="1" thickBot="1">
      <c r="A725" s="1368"/>
      <c r="B725" s="1243"/>
      <c r="C725" s="1243"/>
      <c r="D725" s="1243"/>
      <c r="E725" s="1243"/>
      <c r="F725" s="1243"/>
      <c r="G725" s="963"/>
      <c r="H725" s="730" t="s">
        <v>46</v>
      </c>
      <c r="I725" s="1379">
        <f ca="1">IFERROR(__xludf.DUMMYFUNCTION("IMPORTRANGE(""https://docs.google.com/spreadsheets/d/1QqKyyYR6Q21VydFLVH3TRQUabQu_ym0Zz7PgGX0-kHA/edit?usp=sharing"",""แผน!IM15"")"),0)</f>
        <v>0</v>
      </c>
      <c r="J725" s="830">
        <f ca="1">IFERROR(__xludf.DUMMYFUNCTION("IMPORTRANGE(""https://docs.google.com/spreadsheets/d/1XWAQStnk-4SwqDmLtmXYiTMKHgktTP8We1SCoS47DrQ/edit?usp=sharing"",""จัดที่ดิน!BO15"")"),0)</f>
        <v>0</v>
      </c>
      <c r="K725" s="831">
        <f t="shared" ref="K725:K726" ca="1" si="292">IF(I725&gt;0,J725*100/I725,0)</f>
        <v>0</v>
      </c>
      <c r="L725" s="1380"/>
      <c r="M725" s="963"/>
      <c r="N725" s="1380"/>
      <c r="O725" s="831"/>
      <c r="P725" s="831"/>
      <c r="Q725" s="1244"/>
      <c r="R725" s="1244"/>
      <c r="S725" s="1244"/>
      <c r="T725" s="1244"/>
      <c r="U725" s="1244"/>
      <c r="V725" s="1244"/>
      <c r="W725" s="1244"/>
      <c r="X725" s="1244"/>
      <c r="Y725" s="1244"/>
      <c r="Z725" s="1244"/>
    </row>
    <row r="726" spans="1:26" ht="19.5" hidden="1" thickBot="1">
      <c r="A726" s="1368"/>
      <c r="B726" s="1243"/>
      <c r="C726" s="1243"/>
      <c r="D726" s="1243"/>
      <c r="E726" s="1243" t="s">
        <v>307</v>
      </c>
      <c r="F726" s="1243"/>
      <c r="G726" s="963"/>
      <c r="H726" s="730" t="s">
        <v>35</v>
      </c>
      <c r="I726" s="1379">
        <f ca="1">IFERROR(__xludf.DUMMYFUNCTION("IMPORTRANGE(""https://docs.google.com/spreadsheets/d/1QqKyyYR6Q21VydFLVH3TRQUabQu_ym0Zz7PgGX0-kHA/edit?usp=sharing"",""แผน!IN15"")"),0)</f>
        <v>0</v>
      </c>
      <c r="J726" s="830">
        <f ca="1">IFERROR(__xludf.DUMMYFUNCTION("IMPORTRANGE(""https://docs.google.com/spreadsheets/d/1XWAQStnk-4SwqDmLtmXYiTMKHgktTP8We1SCoS47DrQ/edit?usp=sharing"",""จัดที่ดิน!BR15"")"),0)</f>
        <v>0</v>
      </c>
      <c r="K726" s="831">
        <f t="shared" ca="1" si="292"/>
        <v>0</v>
      </c>
      <c r="L726" s="831"/>
      <c r="M726" s="963"/>
      <c r="N726" s="1380"/>
      <c r="O726" s="831"/>
      <c r="P726" s="831"/>
      <c r="Q726" s="1244"/>
      <c r="R726" s="1244"/>
      <c r="S726" s="1244"/>
      <c r="T726" s="1244"/>
      <c r="U726" s="1244"/>
      <c r="V726" s="1244"/>
      <c r="W726" s="1244"/>
      <c r="X726" s="1244"/>
      <c r="Y726" s="1244"/>
      <c r="Z726" s="1244"/>
    </row>
    <row r="727" spans="1:26" ht="19.5" hidden="1" thickBot="1">
      <c r="A727" s="1368"/>
      <c r="B727" s="1243"/>
      <c r="C727" s="1243"/>
      <c r="D727" s="1243"/>
      <c r="E727" s="1243"/>
      <c r="F727" s="1243"/>
      <c r="G727" s="963"/>
      <c r="H727" s="730" t="s">
        <v>34</v>
      </c>
      <c r="I727" s="1379"/>
      <c r="J727" s="830">
        <f ca="1">IFERROR(__xludf.DUMMYFUNCTION("IMPORTRANGE(""https://docs.google.com/spreadsheets/d/1XWAQStnk-4SwqDmLtmXYiTMKHgktTP8We1SCoS47DrQ/edit?usp=sharing"",""จัดที่ดิน!BS15"")"),0)</f>
        <v>0</v>
      </c>
      <c r="K727" s="831"/>
      <c r="L727" s="1380"/>
      <c r="M727" s="963"/>
      <c r="N727" s="1380"/>
      <c r="O727" s="831"/>
      <c r="P727" s="831"/>
      <c r="Q727" s="1244"/>
      <c r="R727" s="1244"/>
      <c r="S727" s="1244"/>
      <c r="T727" s="1244"/>
      <c r="U727" s="1244"/>
      <c r="V727" s="1244"/>
      <c r="W727" s="1244"/>
      <c r="X727" s="1244"/>
      <c r="Y727" s="1244"/>
      <c r="Z727" s="1244"/>
    </row>
    <row r="728" spans="1:26" ht="19.5" hidden="1" thickBot="1">
      <c r="A728" s="1368"/>
      <c r="B728" s="1243"/>
      <c r="C728" s="1243"/>
      <c r="D728" s="1243"/>
      <c r="E728" s="1243"/>
      <c r="F728" s="1243"/>
      <c r="G728" s="963"/>
      <c r="H728" s="730" t="s">
        <v>46</v>
      </c>
      <c r="I728" s="1379">
        <f ca="1">IFERROR(__xludf.DUMMYFUNCTION("IMPORTRANGE(""https://docs.google.com/spreadsheets/d/1QqKyyYR6Q21VydFLVH3TRQUabQu_ym0Zz7PgGX0-kHA/edit?usp=sharing"",""แผน!IO15"")"),0)</f>
        <v>0</v>
      </c>
      <c r="J728" s="830">
        <f ca="1">IFERROR(__xludf.DUMMYFUNCTION("IMPORTRANGE(""https://docs.google.com/spreadsheets/d/1XWAQStnk-4SwqDmLtmXYiTMKHgktTP8We1SCoS47DrQ/edit?usp=sharing"",""จัดที่ดิน!BT15"")"),0)</f>
        <v>0</v>
      </c>
      <c r="K728" s="831">
        <f t="shared" ref="K728:K729" ca="1" si="293">IF(I728&gt;0,J728*100/I728,0)</f>
        <v>0</v>
      </c>
      <c r="L728" s="1380"/>
      <c r="M728" s="963"/>
      <c r="N728" s="1380"/>
      <c r="O728" s="831"/>
      <c r="P728" s="831"/>
      <c r="Q728" s="1244"/>
      <c r="R728" s="1244"/>
      <c r="S728" s="1244"/>
      <c r="T728" s="1244"/>
      <c r="U728" s="1244"/>
      <c r="V728" s="1244"/>
      <c r="W728" s="1244"/>
      <c r="X728" s="1244"/>
      <c r="Y728" s="1244"/>
      <c r="Z728" s="1244"/>
    </row>
    <row r="729" spans="1:26" ht="20.25" hidden="1" thickBot="1">
      <c r="A729" s="1368"/>
      <c r="B729" s="1243"/>
      <c r="C729" s="1243"/>
      <c r="D729" s="1243" t="s">
        <v>308</v>
      </c>
      <c r="E729" s="1243"/>
      <c r="F729" s="1243"/>
      <c r="G729" s="963"/>
      <c r="H729" s="733" t="s">
        <v>46</v>
      </c>
      <c r="I729" s="1381">
        <f ca="1">IFERROR(__xludf.DUMMYFUNCTION("IMPORTRANGE(""https://docs.google.com/spreadsheets/d/1QqKyyYR6Q21VydFLVH3TRQUabQu_ym0Zz7PgGX0-kHA/edit?usp=sharing"",""แผน!IP15"")"),0)</f>
        <v>0</v>
      </c>
      <c r="J729" s="966">
        <f>J732+J735</f>
        <v>0</v>
      </c>
      <c r="K729" s="967">
        <f t="shared" ca="1" si="293"/>
        <v>0</v>
      </c>
      <c r="L729" s="831"/>
      <c r="M729" s="963"/>
      <c r="N729" s="1380"/>
      <c r="O729" s="831"/>
      <c r="P729" s="831"/>
      <c r="Q729" s="1244"/>
      <c r="R729" s="1244"/>
      <c r="S729" s="1244"/>
      <c r="T729" s="1244"/>
      <c r="U729" s="1244"/>
      <c r="V729" s="1244"/>
      <c r="W729" s="1244"/>
      <c r="X729" s="1244"/>
      <c r="Y729" s="1244"/>
      <c r="Z729" s="1244"/>
    </row>
    <row r="730" spans="1:26" ht="19.5" hidden="1" thickBot="1">
      <c r="A730" s="1368"/>
      <c r="B730" s="1243"/>
      <c r="C730" s="1243"/>
      <c r="D730" s="1243"/>
      <c r="E730" s="1243" t="s">
        <v>309</v>
      </c>
      <c r="F730" s="1243"/>
      <c r="G730" s="963"/>
      <c r="H730" s="730" t="s">
        <v>35</v>
      </c>
      <c r="I730" s="1379"/>
      <c r="J730" s="959">
        <v>0</v>
      </c>
      <c r="K730" s="831"/>
      <c r="L730" s="1380"/>
      <c r="M730" s="831"/>
      <c r="N730" s="1380"/>
      <c r="O730" s="831"/>
      <c r="P730" s="831"/>
      <c r="Q730" s="1244"/>
      <c r="R730" s="1244"/>
      <c r="S730" s="1244"/>
      <c r="T730" s="1244"/>
      <c r="U730" s="1244"/>
      <c r="V730" s="1244"/>
      <c r="W730" s="1244"/>
      <c r="X730" s="1244"/>
      <c r="Y730" s="1244"/>
      <c r="Z730" s="1244"/>
    </row>
    <row r="731" spans="1:26" ht="19.5" hidden="1" thickBot="1">
      <c r="A731" s="1368"/>
      <c r="B731" s="1243"/>
      <c r="C731" s="1243"/>
      <c r="D731" s="1243"/>
      <c r="E731" s="1243"/>
      <c r="F731" s="1243"/>
      <c r="G731" s="963"/>
      <c r="H731" s="730" t="s">
        <v>34</v>
      </c>
      <c r="I731" s="1379"/>
      <c r="J731" s="959">
        <v>0</v>
      </c>
      <c r="K731" s="831"/>
      <c r="L731" s="1380"/>
      <c r="M731" s="831"/>
      <c r="N731" s="1380"/>
      <c r="O731" s="831"/>
      <c r="P731" s="831"/>
      <c r="Q731" s="1244"/>
      <c r="R731" s="1244"/>
      <c r="S731" s="1244"/>
      <c r="T731" s="1244"/>
      <c r="U731" s="1244"/>
      <c r="V731" s="1244"/>
      <c r="W731" s="1244"/>
      <c r="X731" s="1244"/>
      <c r="Y731" s="1244"/>
      <c r="Z731" s="1244"/>
    </row>
    <row r="732" spans="1:26" ht="19.5" hidden="1" thickBot="1">
      <c r="A732" s="1368"/>
      <c r="B732" s="1243"/>
      <c r="C732" s="1243"/>
      <c r="D732" s="1243"/>
      <c r="E732" s="1243"/>
      <c r="F732" s="1243"/>
      <c r="G732" s="963"/>
      <c r="H732" s="730" t="s">
        <v>46</v>
      </c>
      <c r="I732" s="1379"/>
      <c r="J732" s="959">
        <v>0</v>
      </c>
      <c r="K732" s="831"/>
      <c r="L732" s="1380"/>
      <c r="M732" s="831"/>
      <c r="N732" s="1380"/>
      <c r="O732" s="831"/>
      <c r="P732" s="831"/>
      <c r="Q732" s="1244"/>
      <c r="R732" s="1244"/>
      <c r="S732" s="1244"/>
      <c r="T732" s="1244"/>
      <c r="U732" s="1244"/>
      <c r="V732" s="1244"/>
      <c r="W732" s="1244"/>
      <c r="X732" s="1244"/>
      <c r="Y732" s="1244"/>
      <c r="Z732" s="1244"/>
    </row>
    <row r="733" spans="1:26" ht="19.5" hidden="1" thickBot="1">
      <c r="A733" s="1368"/>
      <c r="B733" s="1243"/>
      <c r="C733" s="1243"/>
      <c r="D733" s="1243"/>
      <c r="E733" s="1243" t="s">
        <v>310</v>
      </c>
      <c r="F733" s="1243"/>
      <c r="G733" s="963"/>
      <c r="H733" s="730" t="s">
        <v>35</v>
      </c>
      <c r="I733" s="1379"/>
      <c r="J733" s="959">
        <v>0</v>
      </c>
      <c r="K733" s="831"/>
      <c r="L733" s="1380"/>
      <c r="M733" s="831"/>
      <c r="N733" s="1380"/>
      <c r="O733" s="831"/>
      <c r="P733" s="831"/>
      <c r="Q733" s="1244"/>
      <c r="R733" s="1244"/>
      <c r="S733" s="1244"/>
      <c r="T733" s="1244"/>
      <c r="U733" s="1244"/>
      <c r="V733" s="1244"/>
      <c r="W733" s="1244"/>
      <c r="X733" s="1244"/>
      <c r="Y733" s="1244"/>
      <c r="Z733" s="1244"/>
    </row>
    <row r="734" spans="1:26" ht="19.5" hidden="1" thickBot="1">
      <c r="A734" s="1368"/>
      <c r="B734" s="1243"/>
      <c r="C734" s="1243"/>
      <c r="D734" s="1243"/>
      <c r="E734" s="1243"/>
      <c r="F734" s="1243"/>
      <c r="G734" s="963"/>
      <c r="H734" s="730" t="s">
        <v>34</v>
      </c>
      <c r="I734" s="1379"/>
      <c r="J734" s="959">
        <v>0</v>
      </c>
      <c r="K734" s="831"/>
      <c r="L734" s="1380"/>
      <c r="M734" s="831"/>
      <c r="N734" s="1380"/>
      <c r="O734" s="831"/>
      <c r="P734" s="831"/>
      <c r="Q734" s="1244"/>
      <c r="R734" s="1244"/>
      <c r="S734" s="1244"/>
      <c r="T734" s="1244"/>
      <c r="U734" s="1244"/>
      <c r="V734" s="1244"/>
      <c r="W734" s="1244"/>
      <c r="X734" s="1244"/>
      <c r="Y734" s="1244"/>
      <c r="Z734" s="1244"/>
    </row>
    <row r="735" spans="1:26" ht="20.25" hidden="1" thickBot="1">
      <c r="A735" s="1382"/>
      <c r="B735" s="1383" t="s">
        <v>311</v>
      </c>
      <c r="C735" s="1116"/>
      <c r="D735" s="1116"/>
      <c r="E735" s="1116"/>
      <c r="F735" s="1116"/>
      <c r="G735" s="1361"/>
      <c r="H735" s="391" t="s">
        <v>46</v>
      </c>
      <c r="I735" s="1384"/>
      <c r="J735" s="1118">
        <v>0</v>
      </c>
      <c r="K735" s="1182"/>
      <c r="L735" s="1385"/>
      <c r="M735" s="1182"/>
      <c r="N735" s="1385"/>
      <c r="O735" s="1182"/>
      <c r="P735" s="1182"/>
      <c r="Q735" s="1244"/>
      <c r="R735" s="1244"/>
      <c r="S735" s="1244"/>
      <c r="T735" s="1244"/>
      <c r="U735" s="1244"/>
      <c r="V735" s="1244"/>
      <c r="W735" s="1244"/>
      <c r="X735" s="1244"/>
      <c r="Y735" s="1244"/>
      <c r="Z735" s="1244"/>
    </row>
    <row r="736" spans="1:26" ht="20.25" hidden="1" thickBot="1">
      <c r="A736" s="740">
        <v>9</v>
      </c>
      <c r="B736" s="1386" t="s">
        <v>312</v>
      </c>
      <c r="C736" s="1387"/>
      <c r="D736" s="1387"/>
      <c r="E736" s="1387"/>
      <c r="F736" s="1387"/>
      <c r="G736" s="1388"/>
      <c r="H736" s="744" t="s">
        <v>46</v>
      </c>
      <c r="I736" s="1389"/>
      <c r="J736" s="1389">
        <f>J751</f>
        <v>0</v>
      </c>
      <c r="K736" s="1390">
        <f>IF(I736&gt;0,J736*100/I736,0)</f>
        <v>0</v>
      </c>
      <c r="L736" s="1391"/>
      <c r="M736" s="1391"/>
      <c r="N736" s="1391"/>
      <c r="O736" s="1391"/>
      <c r="P736" s="1391"/>
      <c r="Q736" s="1264"/>
      <c r="R736" s="1264"/>
      <c r="S736" s="1264"/>
      <c r="T736" s="1264"/>
      <c r="U736" s="1264"/>
      <c r="V736" s="1264"/>
      <c r="W736" s="1264"/>
      <c r="X736" s="1264"/>
      <c r="Y736" s="1264"/>
      <c r="Z736" s="1264"/>
    </row>
    <row r="737" spans="1:26" ht="20.25" hidden="1" thickBot="1">
      <c r="A737" s="1260"/>
      <c r="B737" s="1261"/>
      <c r="C737" s="1261" t="s">
        <v>16</v>
      </c>
      <c r="D737" s="1508" t="s">
        <v>17</v>
      </c>
      <c r="E737" s="1485"/>
      <c r="F737" s="1485"/>
      <c r="G737" s="1263"/>
      <c r="H737" s="612" t="s">
        <v>12</v>
      </c>
      <c r="I737" s="836"/>
      <c r="J737" s="836"/>
      <c r="K737" s="837"/>
      <c r="L737" s="1292">
        <f t="shared" ref="L737:N737" si="294">L738+L739</f>
        <v>0</v>
      </c>
      <c r="M737" s="1292">
        <f t="shared" si="294"/>
        <v>0</v>
      </c>
      <c r="N737" s="1292">
        <f t="shared" si="294"/>
        <v>0</v>
      </c>
      <c r="O737" s="1292">
        <f t="shared" ref="O737:O742" si="295">IF(L737&gt;0,N737*100/L737,0)</f>
        <v>0</v>
      </c>
      <c r="P737" s="1292">
        <f t="shared" ref="P737:P742" si="296">IF(M737&gt;0,N737*100/M737,0)</f>
        <v>0</v>
      </c>
      <c r="Q737" s="1264"/>
      <c r="R737" s="1264"/>
      <c r="S737" s="1264"/>
      <c r="T737" s="1264"/>
      <c r="U737" s="1264"/>
      <c r="V737" s="1264"/>
      <c r="W737" s="1264"/>
      <c r="X737" s="1264"/>
      <c r="Y737" s="1264"/>
      <c r="Z737" s="1264"/>
    </row>
    <row r="738" spans="1:26" ht="19.5" hidden="1" thickBot="1">
      <c r="A738" s="1260"/>
      <c r="B738" s="1261"/>
      <c r="C738" s="1261"/>
      <c r="D738" s="1262"/>
      <c r="E738" s="1261" t="s">
        <v>184</v>
      </c>
      <c r="F738" s="1261"/>
      <c r="G738" s="1263"/>
      <c r="H738" s="165" t="s">
        <v>12</v>
      </c>
      <c r="I738" s="836"/>
      <c r="J738" s="836"/>
      <c r="K738" s="837"/>
      <c r="L738" s="837">
        <f t="shared" ref="L738:N739" si="297">L741+L748</f>
        <v>0</v>
      </c>
      <c r="M738" s="837">
        <f t="shared" si="297"/>
        <v>0</v>
      </c>
      <c r="N738" s="837">
        <f t="shared" si="297"/>
        <v>0</v>
      </c>
      <c r="O738" s="837">
        <f t="shared" si="295"/>
        <v>0</v>
      </c>
      <c r="P738" s="837">
        <f t="shared" si="296"/>
        <v>0</v>
      </c>
      <c r="Q738" s="1264"/>
      <c r="R738" s="1264"/>
      <c r="S738" s="1264"/>
      <c r="T738" s="1264"/>
      <c r="U738" s="1264"/>
      <c r="V738" s="1264"/>
      <c r="W738" s="1264"/>
      <c r="X738" s="1264"/>
      <c r="Y738" s="1264"/>
      <c r="Z738" s="1264"/>
    </row>
    <row r="739" spans="1:26" ht="19.5" hidden="1" thickBot="1">
      <c r="A739" s="1260"/>
      <c r="B739" s="1265"/>
      <c r="C739" s="1261"/>
      <c r="D739" s="1262"/>
      <c r="E739" s="1261" t="s">
        <v>185</v>
      </c>
      <c r="F739" s="1261"/>
      <c r="G739" s="1263"/>
      <c r="H739" s="165" t="s">
        <v>12</v>
      </c>
      <c r="I739" s="836"/>
      <c r="J739" s="836"/>
      <c r="K739" s="837"/>
      <c r="L739" s="837">
        <f t="shared" si="297"/>
        <v>0</v>
      </c>
      <c r="M739" s="837">
        <f t="shared" si="297"/>
        <v>0</v>
      </c>
      <c r="N739" s="837">
        <f t="shared" si="297"/>
        <v>0</v>
      </c>
      <c r="O739" s="837">
        <f t="shared" si="295"/>
        <v>0</v>
      </c>
      <c r="P739" s="837">
        <f t="shared" si="296"/>
        <v>0</v>
      </c>
      <c r="Q739" s="1264"/>
      <c r="R739" s="1264"/>
      <c r="S739" s="1264"/>
      <c r="T739" s="1264"/>
      <c r="U739" s="1264"/>
      <c r="V739" s="1264"/>
      <c r="W739" s="1264"/>
      <c r="X739" s="1264"/>
      <c r="Y739" s="1264"/>
      <c r="Z739" s="1264"/>
    </row>
    <row r="740" spans="1:26" ht="20.25" hidden="1" thickBot="1">
      <c r="A740" s="1260"/>
      <c r="B740" s="1265"/>
      <c r="C740" s="1261"/>
      <c r="D740" s="1392" t="s">
        <v>20</v>
      </c>
      <c r="E740" s="1261"/>
      <c r="F740" s="1261"/>
      <c r="G740" s="1263"/>
      <c r="H740" s="612" t="s">
        <v>12</v>
      </c>
      <c r="I740" s="947"/>
      <c r="J740" s="947"/>
      <c r="K740" s="948"/>
      <c r="L740" s="1292">
        <f t="shared" ref="L740:N740" si="298">L741+L742</f>
        <v>0</v>
      </c>
      <c r="M740" s="1292">
        <f t="shared" si="298"/>
        <v>0</v>
      </c>
      <c r="N740" s="1292">
        <f t="shared" si="298"/>
        <v>0</v>
      </c>
      <c r="O740" s="1292">
        <f t="shared" si="295"/>
        <v>0</v>
      </c>
      <c r="P740" s="1292">
        <f t="shared" si="296"/>
        <v>0</v>
      </c>
      <c r="Q740" s="1264"/>
      <c r="R740" s="1264"/>
      <c r="S740" s="1264"/>
      <c r="T740" s="1264"/>
      <c r="U740" s="1264"/>
      <c r="V740" s="1264"/>
      <c r="W740" s="1264"/>
      <c r="X740" s="1264"/>
      <c r="Y740" s="1264"/>
      <c r="Z740" s="1264"/>
    </row>
    <row r="741" spans="1:26" ht="19.5" hidden="1" thickBot="1">
      <c r="A741" s="1260"/>
      <c r="B741" s="1265"/>
      <c r="C741" s="1261"/>
      <c r="D741" s="1262"/>
      <c r="E741" s="1261" t="s">
        <v>184</v>
      </c>
      <c r="F741" s="1261"/>
      <c r="G741" s="1263"/>
      <c r="H741" s="165" t="s">
        <v>12</v>
      </c>
      <c r="I741" s="836"/>
      <c r="J741" s="836"/>
      <c r="K741" s="837"/>
      <c r="L741" s="837">
        <v>0</v>
      </c>
      <c r="M741" s="837">
        <v>0</v>
      </c>
      <c r="N741" s="837">
        <v>0</v>
      </c>
      <c r="O741" s="837">
        <f t="shared" si="295"/>
        <v>0</v>
      </c>
      <c r="P741" s="837">
        <f t="shared" si="296"/>
        <v>0</v>
      </c>
      <c r="Q741" s="1264"/>
      <c r="R741" s="1264"/>
      <c r="S741" s="1264"/>
      <c r="T741" s="1264"/>
      <c r="U741" s="1264"/>
      <c r="V741" s="1264"/>
      <c r="W741" s="1264"/>
      <c r="X741" s="1264"/>
      <c r="Y741" s="1264"/>
      <c r="Z741" s="1264"/>
    </row>
    <row r="742" spans="1:26" ht="19.5" hidden="1" thickBot="1">
      <c r="A742" s="1260"/>
      <c r="B742" s="1265"/>
      <c r="C742" s="1261"/>
      <c r="D742" s="1262"/>
      <c r="E742" s="1261" t="s">
        <v>185</v>
      </c>
      <c r="F742" s="1261"/>
      <c r="G742" s="1263"/>
      <c r="H742" s="165" t="s">
        <v>12</v>
      </c>
      <c r="I742" s="836"/>
      <c r="J742" s="836"/>
      <c r="K742" s="837"/>
      <c r="L742" s="837">
        <v>0</v>
      </c>
      <c r="M742" s="837">
        <v>0</v>
      </c>
      <c r="N742" s="837">
        <f>N743+N744+N745+N746</f>
        <v>0</v>
      </c>
      <c r="O742" s="837">
        <f t="shared" si="295"/>
        <v>0</v>
      </c>
      <c r="P742" s="837">
        <f t="shared" si="296"/>
        <v>0</v>
      </c>
      <c r="Q742" s="1264"/>
      <c r="R742" s="1264"/>
      <c r="S742" s="1264"/>
      <c r="T742" s="1264"/>
      <c r="U742" s="1264"/>
      <c r="V742" s="1264"/>
      <c r="W742" s="1264"/>
      <c r="X742" s="1264"/>
      <c r="Y742" s="1264"/>
      <c r="Z742" s="1264"/>
    </row>
    <row r="743" spans="1:26" ht="19.5" hidden="1" thickBot="1">
      <c r="A743" s="1294"/>
      <c r="B743" s="1265"/>
      <c r="C743" s="1261"/>
      <c r="D743" s="1261"/>
      <c r="E743" s="1261"/>
      <c r="F743" s="1261" t="s">
        <v>186</v>
      </c>
      <c r="G743" s="1263"/>
      <c r="H743" s="165" t="s">
        <v>12</v>
      </c>
      <c r="I743" s="836"/>
      <c r="J743" s="836"/>
      <c r="K743" s="837"/>
      <c r="L743" s="837"/>
      <c r="M743" s="837"/>
      <c r="N743" s="837"/>
      <c r="O743" s="837"/>
      <c r="P743" s="837"/>
      <c r="Q743" s="1264"/>
      <c r="R743" s="1264"/>
      <c r="S743" s="1264"/>
      <c r="T743" s="1264"/>
      <c r="U743" s="1264"/>
      <c r="V743" s="1264"/>
      <c r="W743" s="1264"/>
      <c r="X743" s="1264"/>
      <c r="Y743" s="1264"/>
      <c r="Z743" s="1264"/>
    </row>
    <row r="744" spans="1:26" ht="19.5" hidden="1" thickBot="1">
      <c r="A744" s="1294"/>
      <c r="B744" s="1265"/>
      <c r="C744" s="1261"/>
      <c r="D744" s="1261"/>
      <c r="E744" s="1261"/>
      <c r="F744" s="1261" t="s">
        <v>187</v>
      </c>
      <c r="G744" s="1263"/>
      <c r="H744" s="165" t="s">
        <v>12</v>
      </c>
      <c r="I744" s="836"/>
      <c r="J744" s="836"/>
      <c r="K744" s="837"/>
      <c r="L744" s="837"/>
      <c r="M744" s="837"/>
      <c r="N744" s="837"/>
      <c r="O744" s="837"/>
      <c r="P744" s="837"/>
      <c r="Q744" s="1264"/>
      <c r="R744" s="1264"/>
      <c r="S744" s="1264"/>
      <c r="T744" s="1264"/>
      <c r="U744" s="1264"/>
      <c r="V744" s="1264"/>
      <c r="W744" s="1264"/>
      <c r="X744" s="1264"/>
      <c r="Y744" s="1264"/>
      <c r="Z744" s="1264"/>
    </row>
    <row r="745" spans="1:26" ht="19.5" hidden="1" thickBot="1">
      <c r="A745" s="1294"/>
      <c r="B745" s="1265"/>
      <c r="C745" s="1261"/>
      <c r="D745" s="1261"/>
      <c r="E745" s="1261"/>
      <c r="F745" s="1261" t="s">
        <v>188</v>
      </c>
      <c r="G745" s="1263"/>
      <c r="H745" s="165" t="s">
        <v>12</v>
      </c>
      <c r="I745" s="836"/>
      <c r="J745" s="836"/>
      <c r="K745" s="837"/>
      <c r="L745" s="837"/>
      <c r="M745" s="837"/>
      <c r="N745" s="837"/>
      <c r="O745" s="837"/>
      <c r="P745" s="837"/>
      <c r="Q745" s="1264"/>
      <c r="R745" s="1264"/>
      <c r="S745" s="1264"/>
      <c r="T745" s="1264"/>
      <c r="U745" s="1264"/>
      <c r="V745" s="1264"/>
      <c r="W745" s="1264"/>
      <c r="X745" s="1264"/>
      <c r="Y745" s="1264"/>
      <c r="Z745" s="1264"/>
    </row>
    <row r="746" spans="1:26" ht="19.5" hidden="1" thickBot="1">
      <c r="A746" s="1294"/>
      <c r="B746" s="1265"/>
      <c r="C746" s="1261"/>
      <c r="D746" s="1261"/>
      <c r="E746" s="1261"/>
      <c r="F746" s="1261" t="s">
        <v>189</v>
      </c>
      <c r="G746" s="1263"/>
      <c r="H746" s="165" t="s">
        <v>12</v>
      </c>
      <c r="I746" s="836"/>
      <c r="J746" s="836"/>
      <c r="K746" s="837"/>
      <c r="L746" s="837"/>
      <c r="M746" s="837"/>
      <c r="N746" s="837"/>
      <c r="O746" s="837"/>
      <c r="P746" s="837"/>
      <c r="Q746" s="1264"/>
      <c r="R746" s="1264"/>
      <c r="S746" s="1264"/>
      <c r="T746" s="1264"/>
      <c r="U746" s="1264"/>
      <c r="V746" s="1264"/>
      <c r="W746" s="1264"/>
      <c r="X746" s="1264"/>
      <c r="Y746" s="1264"/>
      <c r="Z746" s="1264"/>
    </row>
    <row r="747" spans="1:26" ht="20.25" hidden="1" thickBot="1">
      <c r="A747" s="1260"/>
      <c r="B747" s="1265"/>
      <c r="C747" s="1261"/>
      <c r="D747" s="1392" t="s">
        <v>21</v>
      </c>
      <c r="E747" s="1261"/>
      <c r="F747" s="1261"/>
      <c r="G747" s="1263"/>
      <c r="H747" s="749" t="s">
        <v>12</v>
      </c>
      <c r="I747" s="947"/>
      <c r="J747" s="947"/>
      <c r="K747" s="948"/>
      <c r="L747" s="1292">
        <f t="shared" ref="L747:N747" si="299">L748+L749</f>
        <v>0</v>
      </c>
      <c r="M747" s="1292">
        <f t="shared" si="299"/>
        <v>0</v>
      </c>
      <c r="N747" s="1292">
        <f t="shared" si="299"/>
        <v>0</v>
      </c>
      <c r="O747" s="1292">
        <f t="shared" ref="O747:O749" si="300">IF(L747&gt;0,N747*100/L747,0)</f>
        <v>0</v>
      </c>
      <c r="P747" s="1292">
        <f t="shared" ref="P747:P749" si="301">IF(M747&gt;0,N747*100/M747,0)</f>
        <v>0</v>
      </c>
      <c r="Q747" s="1264"/>
      <c r="R747" s="1264"/>
      <c r="S747" s="1264"/>
      <c r="T747" s="1264"/>
      <c r="U747" s="1264"/>
      <c r="V747" s="1264"/>
      <c r="W747" s="1264"/>
      <c r="X747" s="1264"/>
      <c r="Y747" s="1264"/>
      <c r="Z747" s="1264"/>
    </row>
    <row r="748" spans="1:26" ht="19.5" hidden="1" thickBot="1">
      <c r="A748" s="1260"/>
      <c r="B748" s="1265"/>
      <c r="C748" s="1261"/>
      <c r="D748" s="1261"/>
      <c r="E748" s="1261" t="s">
        <v>18</v>
      </c>
      <c r="F748" s="1261"/>
      <c r="G748" s="1263"/>
      <c r="H748" s="165" t="s">
        <v>12</v>
      </c>
      <c r="I748" s="947"/>
      <c r="J748" s="947"/>
      <c r="K748" s="948"/>
      <c r="L748" s="837">
        <v>0</v>
      </c>
      <c r="M748" s="837">
        <v>0</v>
      </c>
      <c r="N748" s="837">
        <v>0</v>
      </c>
      <c r="O748" s="837">
        <f t="shared" si="300"/>
        <v>0</v>
      </c>
      <c r="P748" s="837">
        <f t="shared" si="301"/>
        <v>0</v>
      </c>
      <c r="Q748" s="1264"/>
      <c r="R748" s="1264"/>
      <c r="S748" s="1264"/>
      <c r="T748" s="1264"/>
      <c r="U748" s="1264"/>
      <c r="V748" s="1264"/>
      <c r="W748" s="1264"/>
      <c r="X748" s="1264"/>
      <c r="Y748" s="1264"/>
      <c r="Z748" s="1264"/>
    </row>
    <row r="749" spans="1:26" ht="19.5" hidden="1" thickBot="1">
      <c r="A749" s="1260"/>
      <c r="B749" s="1265"/>
      <c r="C749" s="1261"/>
      <c r="D749" s="1261"/>
      <c r="E749" s="1261" t="s">
        <v>19</v>
      </c>
      <c r="F749" s="1261"/>
      <c r="G749" s="1263"/>
      <c r="H749" s="169" t="s">
        <v>12</v>
      </c>
      <c r="I749" s="947"/>
      <c r="J749" s="947"/>
      <c r="K749" s="948"/>
      <c r="L749" s="837">
        <v>0</v>
      </c>
      <c r="M749" s="837">
        <v>0</v>
      </c>
      <c r="N749" s="837">
        <v>0</v>
      </c>
      <c r="O749" s="837">
        <f t="shared" si="300"/>
        <v>0</v>
      </c>
      <c r="P749" s="837">
        <f t="shared" si="301"/>
        <v>0</v>
      </c>
      <c r="Q749" s="1264"/>
      <c r="R749" s="1264"/>
      <c r="S749" s="1264"/>
      <c r="T749" s="1264"/>
      <c r="U749" s="1264"/>
      <c r="V749" s="1264"/>
      <c r="W749" s="1264"/>
      <c r="X749" s="1264"/>
      <c r="Y749" s="1264"/>
      <c r="Z749" s="1264"/>
    </row>
    <row r="750" spans="1:26" ht="20.25" hidden="1" thickBot="1">
      <c r="A750" s="1273"/>
      <c r="B750" s="1274"/>
      <c r="C750" s="1261" t="s">
        <v>16</v>
      </c>
      <c r="D750" s="1393" t="s">
        <v>38</v>
      </c>
      <c r="E750" s="1296"/>
      <c r="F750" s="1296"/>
      <c r="G750" s="1297"/>
      <c r="H750" s="1060"/>
      <c r="I750" s="947"/>
      <c r="J750" s="947"/>
      <c r="K750" s="948"/>
      <c r="L750" s="948"/>
      <c r="M750" s="948"/>
      <c r="N750" s="948"/>
      <c r="O750" s="948"/>
      <c r="P750" s="948"/>
      <c r="Q750" s="1264"/>
      <c r="R750" s="1264"/>
      <c r="S750" s="1264"/>
      <c r="T750" s="1264"/>
      <c r="U750" s="1264"/>
      <c r="V750" s="1264"/>
      <c r="W750" s="1264"/>
      <c r="X750" s="1264"/>
      <c r="Y750" s="1264"/>
      <c r="Z750" s="1264"/>
    </row>
    <row r="751" spans="1:26" ht="19.5" hidden="1" thickBot="1">
      <c r="A751" s="1294"/>
      <c r="B751" s="1265"/>
      <c r="C751" s="1261"/>
      <c r="D751" s="1261"/>
      <c r="E751" s="1261" t="s">
        <v>313</v>
      </c>
      <c r="F751" s="1261"/>
      <c r="G751" s="1263"/>
      <c r="H751" s="165" t="s">
        <v>46</v>
      </c>
      <c r="I751" s="836"/>
      <c r="J751" s="836"/>
      <c r="K751" s="837"/>
      <c r="L751" s="837"/>
      <c r="M751" s="837"/>
      <c r="N751" s="837"/>
      <c r="O751" s="837"/>
      <c r="P751" s="837"/>
      <c r="Q751" s="1264"/>
      <c r="R751" s="1264"/>
      <c r="S751" s="1264"/>
      <c r="T751" s="1264"/>
      <c r="U751" s="1264"/>
      <c r="V751" s="1264"/>
      <c r="W751" s="1264"/>
      <c r="X751" s="1264"/>
      <c r="Y751" s="1264"/>
      <c r="Z751" s="1264"/>
    </row>
    <row r="752" spans="1:26" ht="19.5" hidden="1" thickBot="1">
      <c r="A752" s="1294"/>
      <c r="B752" s="1265"/>
      <c r="C752" s="1261"/>
      <c r="D752" s="1261"/>
      <c r="E752" s="1261"/>
      <c r="F752" s="1261"/>
      <c r="G752" s="1263"/>
      <c r="H752" s="165" t="s">
        <v>314</v>
      </c>
      <c r="I752" s="836"/>
      <c r="J752" s="836"/>
      <c r="K752" s="837"/>
      <c r="L752" s="837"/>
      <c r="M752" s="837"/>
      <c r="N752" s="837"/>
      <c r="O752" s="837"/>
      <c r="P752" s="837"/>
      <c r="Q752" s="1264"/>
      <c r="R752" s="1264"/>
      <c r="S752" s="1264"/>
      <c r="T752" s="1264"/>
      <c r="U752" s="1264"/>
      <c r="V752" s="1264"/>
      <c r="W752" s="1264"/>
      <c r="X752" s="1264"/>
      <c r="Y752" s="1264"/>
      <c r="Z752" s="1264"/>
    </row>
    <row r="753" spans="1:26" ht="20.25" hidden="1" thickBot="1">
      <c r="A753" s="751">
        <v>10</v>
      </c>
      <c r="B753" s="1394" t="s">
        <v>315</v>
      </c>
      <c r="C753" s="1395"/>
      <c r="D753" s="1395"/>
      <c r="E753" s="1395"/>
      <c r="F753" s="1395"/>
      <c r="G753" s="1396"/>
      <c r="H753" s="755" t="s">
        <v>46</v>
      </c>
      <c r="I753" s="1397"/>
      <c r="J753" s="1397">
        <f>J768</f>
        <v>0</v>
      </c>
      <c r="K753" s="1398">
        <f>IF(I753&gt;0,J753*100/I753,0)</f>
        <v>0</v>
      </c>
      <c r="L753" s="1399"/>
      <c r="M753" s="1399"/>
      <c r="N753" s="1399"/>
      <c r="O753" s="1399"/>
      <c r="P753" s="1399"/>
      <c r="Q753" s="1264"/>
      <c r="R753" s="1264"/>
      <c r="S753" s="1264"/>
      <c r="T753" s="1264"/>
      <c r="U753" s="1264"/>
      <c r="V753" s="1264"/>
      <c r="W753" s="1264"/>
      <c r="X753" s="1264"/>
      <c r="Y753" s="1264"/>
      <c r="Z753" s="1264"/>
    </row>
    <row r="754" spans="1:26" ht="20.25" hidden="1" thickBot="1">
      <c r="A754" s="1260"/>
      <c r="B754" s="1261"/>
      <c r="C754" s="1261" t="s">
        <v>16</v>
      </c>
      <c r="D754" s="1508" t="s">
        <v>17</v>
      </c>
      <c r="E754" s="1485"/>
      <c r="F754" s="1485"/>
      <c r="G754" s="1263"/>
      <c r="H754" s="612" t="s">
        <v>12</v>
      </c>
      <c r="I754" s="836"/>
      <c r="J754" s="836"/>
      <c r="K754" s="837"/>
      <c r="L754" s="1292">
        <f t="shared" ref="L754:N754" si="302">L755+L756</f>
        <v>0</v>
      </c>
      <c r="M754" s="1292">
        <f t="shared" si="302"/>
        <v>0</v>
      </c>
      <c r="N754" s="1292">
        <f t="shared" si="302"/>
        <v>0</v>
      </c>
      <c r="O754" s="1292">
        <f t="shared" ref="O754:O759" si="303">IF(L754&gt;0,N754*100/L754,0)</f>
        <v>0</v>
      </c>
      <c r="P754" s="1292">
        <f t="shared" ref="P754:P759" si="304">IF(M754&gt;0,N754*100/M754,0)</f>
        <v>0</v>
      </c>
      <c r="Q754" s="1264"/>
      <c r="R754" s="1264"/>
      <c r="S754" s="1264"/>
      <c r="T754" s="1264"/>
      <c r="U754" s="1264"/>
      <c r="V754" s="1264"/>
      <c r="W754" s="1264"/>
      <c r="X754" s="1264"/>
      <c r="Y754" s="1264"/>
      <c r="Z754" s="1264"/>
    </row>
    <row r="755" spans="1:26" ht="19.5" hidden="1" thickBot="1">
      <c r="A755" s="1260"/>
      <c r="B755" s="1261"/>
      <c r="C755" s="1261"/>
      <c r="D755" s="1262"/>
      <c r="E755" s="1261" t="s">
        <v>184</v>
      </c>
      <c r="F755" s="1261"/>
      <c r="G755" s="1263"/>
      <c r="H755" s="165" t="s">
        <v>12</v>
      </c>
      <c r="I755" s="836"/>
      <c r="J755" s="836"/>
      <c r="K755" s="837"/>
      <c r="L755" s="837">
        <f t="shared" ref="L755:N756" si="305">L758+L765</f>
        <v>0</v>
      </c>
      <c r="M755" s="837">
        <f t="shared" si="305"/>
        <v>0</v>
      </c>
      <c r="N755" s="837">
        <f t="shared" si="305"/>
        <v>0</v>
      </c>
      <c r="O755" s="837">
        <f t="shared" si="303"/>
        <v>0</v>
      </c>
      <c r="P755" s="837">
        <f t="shared" si="304"/>
        <v>0</v>
      </c>
      <c r="Q755" s="1264"/>
      <c r="R755" s="1264"/>
      <c r="S755" s="1264"/>
      <c r="T755" s="1264"/>
      <c r="U755" s="1264"/>
      <c r="V755" s="1264"/>
      <c r="W755" s="1264"/>
      <c r="X755" s="1264"/>
      <c r="Y755" s="1264"/>
      <c r="Z755" s="1264"/>
    </row>
    <row r="756" spans="1:26" ht="19.5" hidden="1" thickBot="1">
      <c r="A756" s="1260"/>
      <c r="B756" s="1265"/>
      <c r="C756" s="1261"/>
      <c r="D756" s="1262"/>
      <c r="E756" s="1261" t="s">
        <v>185</v>
      </c>
      <c r="F756" s="1261"/>
      <c r="G756" s="1263"/>
      <c r="H756" s="165" t="s">
        <v>12</v>
      </c>
      <c r="I756" s="836"/>
      <c r="J756" s="836"/>
      <c r="K756" s="837"/>
      <c r="L756" s="837">
        <f t="shared" si="305"/>
        <v>0</v>
      </c>
      <c r="M756" s="837">
        <f t="shared" si="305"/>
        <v>0</v>
      </c>
      <c r="N756" s="837">
        <f t="shared" si="305"/>
        <v>0</v>
      </c>
      <c r="O756" s="837">
        <f t="shared" si="303"/>
        <v>0</v>
      </c>
      <c r="P756" s="837">
        <f t="shared" si="304"/>
        <v>0</v>
      </c>
      <c r="Q756" s="1264"/>
      <c r="R756" s="1264"/>
      <c r="S756" s="1264"/>
      <c r="T756" s="1264"/>
      <c r="U756" s="1264"/>
      <c r="V756" s="1264"/>
      <c r="W756" s="1264"/>
      <c r="X756" s="1264"/>
      <c r="Y756" s="1264"/>
      <c r="Z756" s="1264"/>
    </row>
    <row r="757" spans="1:26" ht="20.25" hidden="1" thickBot="1">
      <c r="A757" s="1260"/>
      <c r="B757" s="1265"/>
      <c r="C757" s="1261"/>
      <c r="D757" s="1392" t="s">
        <v>20</v>
      </c>
      <c r="E757" s="1261"/>
      <c r="F757" s="1261"/>
      <c r="G757" s="1263"/>
      <c r="H757" s="612" t="s">
        <v>12</v>
      </c>
      <c r="I757" s="947"/>
      <c r="J757" s="947"/>
      <c r="K757" s="948"/>
      <c r="L757" s="1292">
        <f t="shared" ref="L757:N757" si="306">L758+L759</f>
        <v>0</v>
      </c>
      <c r="M757" s="1292">
        <f t="shared" si="306"/>
        <v>0</v>
      </c>
      <c r="N757" s="1292">
        <f t="shared" si="306"/>
        <v>0</v>
      </c>
      <c r="O757" s="1292">
        <f t="shared" si="303"/>
        <v>0</v>
      </c>
      <c r="P757" s="1292">
        <f t="shared" si="304"/>
        <v>0</v>
      </c>
      <c r="Q757" s="1264"/>
      <c r="R757" s="1264"/>
      <c r="S757" s="1264"/>
      <c r="T757" s="1264"/>
      <c r="U757" s="1264"/>
      <c r="V757" s="1264"/>
      <c r="W757" s="1264"/>
      <c r="X757" s="1264"/>
      <c r="Y757" s="1264"/>
      <c r="Z757" s="1264"/>
    </row>
    <row r="758" spans="1:26" ht="19.5" hidden="1" thickBot="1">
      <c r="A758" s="1260"/>
      <c r="B758" s="1265"/>
      <c r="C758" s="1261"/>
      <c r="D758" s="1262"/>
      <c r="E758" s="1261" t="s">
        <v>184</v>
      </c>
      <c r="F758" s="1261"/>
      <c r="G758" s="1263"/>
      <c r="H758" s="165" t="s">
        <v>12</v>
      </c>
      <c r="I758" s="836"/>
      <c r="J758" s="836"/>
      <c r="K758" s="837"/>
      <c r="L758" s="837">
        <v>0</v>
      </c>
      <c r="M758" s="837">
        <v>0</v>
      </c>
      <c r="N758" s="837">
        <v>0</v>
      </c>
      <c r="O758" s="837">
        <f t="shared" si="303"/>
        <v>0</v>
      </c>
      <c r="P758" s="837">
        <f t="shared" si="304"/>
        <v>0</v>
      </c>
      <c r="Q758" s="1264"/>
      <c r="R758" s="1264"/>
      <c r="S758" s="1264"/>
      <c r="T758" s="1264"/>
      <c r="U758" s="1264"/>
      <c r="V758" s="1264"/>
      <c r="W758" s="1264"/>
      <c r="X758" s="1264"/>
      <c r="Y758" s="1264"/>
      <c r="Z758" s="1264"/>
    </row>
    <row r="759" spans="1:26" ht="19.5" hidden="1" thickBot="1">
      <c r="A759" s="1260"/>
      <c r="B759" s="1265"/>
      <c r="C759" s="1261"/>
      <c r="D759" s="1262"/>
      <c r="E759" s="1261" t="s">
        <v>185</v>
      </c>
      <c r="F759" s="1261"/>
      <c r="G759" s="1263"/>
      <c r="H759" s="165" t="s">
        <v>12</v>
      </c>
      <c r="I759" s="836"/>
      <c r="J759" s="836"/>
      <c r="K759" s="837"/>
      <c r="L759" s="837">
        <v>0</v>
      </c>
      <c r="M759" s="837">
        <v>0</v>
      </c>
      <c r="N759" s="837">
        <f>N760+N761+N762+N763</f>
        <v>0</v>
      </c>
      <c r="O759" s="837">
        <f t="shared" si="303"/>
        <v>0</v>
      </c>
      <c r="P759" s="837">
        <f t="shared" si="304"/>
        <v>0</v>
      </c>
      <c r="Q759" s="1264"/>
      <c r="R759" s="1264"/>
      <c r="S759" s="1264"/>
      <c r="T759" s="1264"/>
      <c r="U759" s="1264"/>
      <c r="V759" s="1264"/>
      <c r="W759" s="1264"/>
      <c r="X759" s="1264"/>
      <c r="Y759" s="1264"/>
      <c r="Z759" s="1264"/>
    </row>
    <row r="760" spans="1:26" ht="19.5" hidden="1" thickBot="1">
      <c r="A760" s="1294"/>
      <c r="B760" s="1265"/>
      <c r="C760" s="1261"/>
      <c r="D760" s="1261"/>
      <c r="E760" s="1261"/>
      <c r="F760" s="1261" t="s">
        <v>186</v>
      </c>
      <c r="G760" s="1263"/>
      <c r="H760" s="165" t="s">
        <v>12</v>
      </c>
      <c r="I760" s="836"/>
      <c r="J760" s="836"/>
      <c r="K760" s="837"/>
      <c r="L760" s="837"/>
      <c r="M760" s="837"/>
      <c r="N760" s="837"/>
      <c r="O760" s="837"/>
      <c r="P760" s="837"/>
      <c r="Q760" s="1264"/>
      <c r="R760" s="1264"/>
      <c r="S760" s="1264"/>
      <c r="T760" s="1264"/>
      <c r="U760" s="1264"/>
      <c r="V760" s="1264"/>
      <c r="W760" s="1264"/>
      <c r="X760" s="1264"/>
      <c r="Y760" s="1264"/>
      <c r="Z760" s="1264"/>
    </row>
    <row r="761" spans="1:26" ht="19.5" hidden="1" thickBot="1">
      <c r="A761" s="1294"/>
      <c r="B761" s="1265"/>
      <c r="C761" s="1261"/>
      <c r="D761" s="1261"/>
      <c r="E761" s="1261"/>
      <c r="F761" s="1261" t="s">
        <v>187</v>
      </c>
      <c r="G761" s="1263"/>
      <c r="H761" s="165" t="s">
        <v>12</v>
      </c>
      <c r="I761" s="836"/>
      <c r="J761" s="836"/>
      <c r="K761" s="837"/>
      <c r="L761" s="837"/>
      <c r="M761" s="837"/>
      <c r="N761" s="837"/>
      <c r="O761" s="837"/>
      <c r="P761" s="837"/>
      <c r="Q761" s="1264"/>
      <c r="R761" s="1264"/>
      <c r="S761" s="1264"/>
      <c r="T761" s="1264"/>
      <c r="U761" s="1264"/>
      <c r="V761" s="1264"/>
      <c r="W761" s="1264"/>
      <c r="X761" s="1264"/>
      <c r="Y761" s="1264"/>
      <c r="Z761" s="1264"/>
    </row>
    <row r="762" spans="1:26" ht="19.5" hidden="1" thickBot="1">
      <c r="A762" s="1294"/>
      <c r="B762" s="1265"/>
      <c r="C762" s="1261"/>
      <c r="D762" s="1261"/>
      <c r="E762" s="1261"/>
      <c r="F762" s="1261" t="s">
        <v>188</v>
      </c>
      <c r="G762" s="1263"/>
      <c r="H762" s="165" t="s">
        <v>12</v>
      </c>
      <c r="I762" s="836"/>
      <c r="J762" s="836"/>
      <c r="K762" s="837"/>
      <c r="L762" s="837"/>
      <c r="M762" s="837"/>
      <c r="N762" s="837"/>
      <c r="O762" s="837"/>
      <c r="P762" s="837"/>
      <c r="Q762" s="1264"/>
      <c r="R762" s="1264"/>
      <c r="S762" s="1264"/>
      <c r="T762" s="1264"/>
      <c r="U762" s="1264"/>
      <c r="V762" s="1264"/>
      <c r="W762" s="1264"/>
      <c r="X762" s="1264"/>
      <c r="Y762" s="1264"/>
      <c r="Z762" s="1264"/>
    </row>
    <row r="763" spans="1:26" ht="19.5" hidden="1" thickBot="1">
      <c r="A763" s="1294"/>
      <c r="B763" s="1265"/>
      <c r="C763" s="1261"/>
      <c r="D763" s="1261"/>
      <c r="E763" s="1261"/>
      <c r="F763" s="1261" t="s">
        <v>189</v>
      </c>
      <c r="G763" s="1263"/>
      <c r="H763" s="165" t="s">
        <v>12</v>
      </c>
      <c r="I763" s="836"/>
      <c r="J763" s="836"/>
      <c r="K763" s="837"/>
      <c r="L763" s="837"/>
      <c r="M763" s="837"/>
      <c r="N763" s="837"/>
      <c r="O763" s="837"/>
      <c r="P763" s="837"/>
      <c r="Q763" s="1264"/>
      <c r="R763" s="1264"/>
      <c r="S763" s="1264"/>
      <c r="T763" s="1264"/>
      <c r="U763" s="1264"/>
      <c r="V763" s="1264"/>
      <c r="W763" s="1264"/>
      <c r="X763" s="1264"/>
      <c r="Y763" s="1264"/>
      <c r="Z763" s="1264"/>
    </row>
    <row r="764" spans="1:26" ht="20.25" hidden="1" thickBot="1">
      <c r="A764" s="1260"/>
      <c r="B764" s="1265"/>
      <c r="C764" s="1261"/>
      <c r="D764" s="1392" t="s">
        <v>21</v>
      </c>
      <c r="E764" s="1261"/>
      <c r="F764" s="1261"/>
      <c r="G764" s="1263"/>
      <c r="H764" s="749" t="s">
        <v>12</v>
      </c>
      <c r="I764" s="947"/>
      <c r="J764" s="947"/>
      <c r="K764" s="948"/>
      <c r="L764" s="1292">
        <f t="shared" ref="L764:N764" si="307">L765+L766</f>
        <v>0</v>
      </c>
      <c r="M764" s="1292">
        <f t="shared" si="307"/>
        <v>0</v>
      </c>
      <c r="N764" s="1292">
        <f t="shared" si="307"/>
        <v>0</v>
      </c>
      <c r="O764" s="1292">
        <f t="shared" ref="O764:O766" si="308">IF(L764&gt;0,N764*100/L764,0)</f>
        <v>0</v>
      </c>
      <c r="P764" s="1292">
        <f t="shared" ref="P764:P766" si="309">IF(M764&gt;0,N764*100/M764,0)</f>
        <v>0</v>
      </c>
      <c r="Q764" s="1264"/>
      <c r="R764" s="1264"/>
      <c r="S764" s="1264"/>
      <c r="T764" s="1264"/>
      <c r="U764" s="1264"/>
      <c r="V764" s="1264"/>
      <c r="W764" s="1264"/>
      <c r="X764" s="1264"/>
      <c r="Y764" s="1264"/>
      <c r="Z764" s="1264"/>
    </row>
    <row r="765" spans="1:26" ht="19.5" hidden="1" thickBot="1">
      <c r="A765" s="1260"/>
      <c r="B765" s="1265"/>
      <c r="C765" s="1261"/>
      <c r="D765" s="1261"/>
      <c r="E765" s="1261" t="s">
        <v>18</v>
      </c>
      <c r="F765" s="1261"/>
      <c r="G765" s="1263"/>
      <c r="H765" s="165" t="s">
        <v>12</v>
      </c>
      <c r="I765" s="947"/>
      <c r="J765" s="947"/>
      <c r="K765" s="948"/>
      <c r="L765" s="837">
        <v>0</v>
      </c>
      <c r="M765" s="837">
        <v>0</v>
      </c>
      <c r="N765" s="837">
        <v>0</v>
      </c>
      <c r="O765" s="837">
        <f t="shared" si="308"/>
        <v>0</v>
      </c>
      <c r="P765" s="837">
        <f t="shared" si="309"/>
        <v>0</v>
      </c>
      <c r="Q765" s="1264"/>
      <c r="R765" s="1264"/>
      <c r="S765" s="1264"/>
      <c r="T765" s="1264"/>
      <c r="U765" s="1264"/>
      <c r="V765" s="1264"/>
      <c r="W765" s="1264"/>
      <c r="X765" s="1264"/>
      <c r="Y765" s="1264"/>
      <c r="Z765" s="1264"/>
    </row>
    <row r="766" spans="1:26" ht="19.5" hidden="1" thickBot="1">
      <c r="A766" s="1260"/>
      <c r="B766" s="1265"/>
      <c r="C766" s="1261"/>
      <c r="D766" s="1261"/>
      <c r="E766" s="1261" t="s">
        <v>19</v>
      </c>
      <c r="F766" s="1261"/>
      <c r="G766" s="1263"/>
      <c r="H766" s="169" t="s">
        <v>12</v>
      </c>
      <c r="I766" s="947"/>
      <c r="J766" s="947"/>
      <c r="K766" s="948"/>
      <c r="L766" s="837">
        <v>0</v>
      </c>
      <c r="M766" s="837">
        <v>0</v>
      </c>
      <c r="N766" s="837">
        <v>0</v>
      </c>
      <c r="O766" s="837">
        <f t="shared" si="308"/>
        <v>0</v>
      </c>
      <c r="P766" s="837">
        <f t="shared" si="309"/>
        <v>0</v>
      </c>
      <c r="Q766" s="1264"/>
      <c r="R766" s="1264"/>
      <c r="S766" s="1264"/>
      <c r="T766" s="1264"/>
      <c r="U766" s="1264"/>
      <c r="V766" s="1264"/>
      <c r="W766" s="1264"/>
      <c r="X766" s="1264"/>
      <c r="Y766" s="1264"/>
      <c r="Z766" s="1264"/>
    </row>
    <row r="767" spans="1:26" ht="20.25" hidden="1" thickBot="1">
      <c r="A767" s="1273"/>
      <c r="B767" s="1274"/>
      <c r="C767" s="1261" t="s">
        <v>16</v>
      </c>
      <c r="D767" s="1393" t="s">
        <v>38</v>
      </c>
      <c r="E767" s="1296"/>
      <c r="F767" s="1296"/>
      <c r="G767" s="1297"/>
      <c r="H767" s="1060"/>
      <c r="I767" s="947"/>
      <c r="J767" s="947"/>
      <c r="K767" s="948"/>
      <c r="L767" s="948"/>
      <c r="M767" s="948"/>
      <c r="N767" s="948"/>
      <c r="O767" s="948"/>
      <c r="P767" s="948"/>
      <c r="Q767" s="1264"/>
      <c r="R767" s="1264"/>
      <c r="S767" s="1264"/>
      <c r="T767" s="1264"/>
      <c r="U767" s="1264"/>
      <c r="V767" s="1264"/>
      <c r="W767" s="1264"/>
      <c r="X767" s="1264"/>
      <c r="Y767" s="1264"/>
      <c r="Z767" s="1264"/>
    </row>
    <row r="768" spans="1:26" ht="19.5" hidden="1" thickBot="1">
      <c r="A768" s="1294"/>
      <c r="B768" s="1265"/>
      <c r="C768" s="1261"/>
      <c r="D768" s="1261"/>
      <c r="E768" s="1261" t="s">
        <v>316</v>
      </c>
      <c r="F768" s="1261"/>
      <c r="G768" s="1263"/>
      <c r="H768" s="165" t="s">
        <v>46</v>
      </c>
      <c r="I768" s="836"/>
      <c r="J768" s="836"/>
      <c r="K768" s="837"/>
      <c r="L768" s="837"/>
      <c r="M768" s="837"/>
      <c r="N768" s="837"/>
      <c r="O768" s="837"/>
      <c r="P768" s="837"/>
      <c r="Q768" s="1264"/>
      <c r="R768" s="1264"/>
      <c r="S768" s="1264"/>
      <c r="T768" s="1264"/>
      <c r="U768" s="1264"/>
      <c r="V768" s="1264"/>
      <c r="W768" s="1264"/>
      <c r="X768" s="1264"/>
      <c r="Y768" s="1264"/>
      <c r="Z768" s="1264"/>
    </row>
    <row r="769" spans="1:26" ht="20.25" hidden="1" thickBot="1">
      <c r="A769" s="759">
        <v>11</v>
      </c>
      <c r="B769" s="1400" t="s">
        <v>317</v>
      </c>
      <c r="C769" s="1401"/>
      <c r="D769" s="1401"/>
      <c r="E769" s="1401"/>
      <c r="F769" s="1401"/>
      <c r="G769" s="1402"/>
      <c r="H769" s="763" t="s">
        <v>46</v>
      </c>
      <c r="I769" s="1403"/>
      <c r="J769" s="1403">
        <f>J784</f>
        <v>0</v>
      </c>
      <c r="K769" s="1404">
        <f>IF(I769&gt;0,J769*100/I769,0)</f>
        <v>0</v>
      </c>
      <c r="L769" s="1405"/>
      <c r="M769" s="1405"/>
      <c r="N769" s="1405"/>
      <c r="O769" s="1405"/>
      <c r="P769" s="1405"/>
      <c r="Q769" s="1264"/>
      <c r="R769" s="1264"/>
      <c r="S769" s="1264"/>
      <c r="T769" s="1264"/>
      <c r="U769" s="1264"/>
      <c r="V769" s="1264"/>
      <c r="W769" s="1264"/>
      <c r="X769" s="1264"/>
      <c r="Y769" s="1264"/>
      <c r="Z769" s="1264"/>
    </row>
    <row r="770" spans="1:26" ht="20.25" hidden="1" thickBot="1">
      <c r="A770" s="1260"/>
      <c r="B770" s="1261"/>
      <c r="C770" s="1261" t="s">
        <v>16</v>
      </c>
      <c r="D770" s="1508" t="s">
        <v>17</v>
      </c>
      <c r="E770" s="1485"/>
      <c r="F770" s="1485"/>
      <c r="G770" s="1263"/>
      <c r="H770" s="612" t="s">
        <v>12</v>
      </c>
      <c r="I770" s="836"/>
      <c r="J770" s="836"/>
      <c r="K770" s="837"/>
      <c r="L770" s="1292">
        <f t="shared" ref="L770:N770" si="310">L771+L772</f>
        <v>0</v>
      </c>
      <c r="M770" s="1292">
        <f t="shared" si="310"/>
        <v>0</v>
      </c>
      <c r="N770" s="1292">
        <f t="shared" si="310"/>
        <v>0</v>
      </c>
      <c r="O770" s="1292">
        <f t="shared" ref="O770:O775" si="311">IF(L770&gt;0,N770*100/L770,0)</f>
        <v>0</v>
      </c>
      <c r="P770" s="1292">
        <f t="shared" ref="P770:P775" si="312">IF(M770&gt;0,N770*100/M770,0)</f>
        <v>0</v>
      </c>
      <c r="Q770" s="1264"/>
      <c r="R770" s="1264"/>
      <c r="S770" s="1264"/>
      <c r="T770" s="1264"/>
      <c r="U770" s="1264"/>
      <c r="V770" s="1264"/>
      <c r="W770" s="1264"/>
      <c r="X770" s="1264"/>
      <c r="Y770" s="1264"/>
      <c r="Z770" s="1264"/>
    </row>
    <row r="771" spans="1:26" ht="19.5" hidden="1" thickBot="1">
      <c r="A771" s="1260"/>
      <c r="B771" s="1261"/>
      <c r="C771" s="1261"/>
      <c r="D771" s="1262"/>
      <c r="E771" s="1261" t="s">
        <v>184</v>
      </c>
      <c r="F771" s="1261"/>
      <c r="G771" s="1263"/>
      <c r="H771" s="165" t="s">
        <v>12</v>
      </c>
      <c r="I771" s="836"/>
      <c r="J771" s="836"/>
      <c r="K771" s="837"/>
      <c r="L771" s="837">
        <f t="shared" ref="L771:N772" si="313">L774+L781</f>
        <v>0</v>
      </c>
      <c r="M771" s="837">
        <f t="shared" si="313"/>
        <v>0</v>
      </c>
      <c r="N771" s="837">
        <f t="shared" si="313"/>
        <v>0</v>
      </c>
      <c r="O771" s="837">
        <f t="shared" si="311"/>
        <v>0</v>
      </c>
      <c r="P771" s="837">
        <f t="shared" si="312"/>
        <v>0</v>
      </c>
      <c r="Q771" s="1264"/>
      <c r="R771" s="1264"/>
      <c r="S771" s="1264"/>
      <c r="T771" s="1264"/>
      <c r="U771" s="1264"/>
      <c r="V771" s="1264"/>
      <c r="W771" s="1264"/>
      <c r="X771" s="1264"/>
      <c r="Y771" s="1264"/>
      <c r="Z771" s="1264"/>
    </row>
    <row r="772" spans="1:26" ht="19.5" hidden="1" thickBot="1">
      <c r="A772" s="1260"/>
      <c r="B772" s="1265"/>
      <c r="C772" s="1261"/>
      <c r="D772" s="1262"/>
      <c r="E772" s="1261" t="s">
        <v>185</v>
      </c>
      <c r="F772" s="1261"/>
      <c r="G772" s="1263"/>
      <c r="H772" s="165" t="s">
        <v>12</v>
      </c>
      <c r="I772" s="836"/>
      <c r="J772" s="836"/>
      <c r="K772" s="837"/>
      <c r="L772" s="837">
        <f t="shared" si="313"/>
        <v>0</v>
      </c>
      <c r="M772" s="837">
        <f t="shared" si="313"/>
        <v>0</v>
      </c>
      <c r="N772" s="837">
        <f t="shared" si="313"/>
        <v>0</v>
      </c>
      <c r="O772" s="837">
        <f t="shared" si="311"/>
        <v>0</v>
      </c>
      <c r="P772" s="837">
        <f t="shared" si="312"/>
        <v>0</v>
      </c>
      <c r="Q772" s="1264"/>
      <c r="R772" s="1264"/>
      <c r="S772" s="1264"/>
      <c r="T772" s="1264"/>
      <c r="U772" s="1264"/>
      <c r="V772" s="1264"/>
      <c r="W772" s="1264"/>
      <c r="X772" s="1264"/>
      <c r="Y772" s="1264"/>
      <c r="Z772" s="1264"/>
    </row>
    <row r="773" spans="1:26" ht="20.25" hidden="1" thickBot="1">
      <c r="A773" s="1260"/>
      <c r="B773" s="1265"/>
      <c r="C773" s="1261"/>
      <c r="D773" s="1392" t="s">
        <v>20</v>
      </c>
      <c r="E773" s="1261"/>
      <c r="F773" s="1261"/>
      <c r="G773" s="1263"/>
      <c r="H773" s="612" t="s">
        <v>12</v>
      </c>
      <c r="I773" s="947"/>
      <c r="J773" s="947"/>
      <c r="K773" s="948"/>
      <c r="L773" s="1292">
        <f t="shared" ref="L773:N773" si="314">L774+L775</f>
        <v>0</v>
      </c>
      <c r="M773" s="1292">
        <f t="shared" si="314"/>
        <v>0</v>
      </c>
      <c r="N773" s="1292">
        <f t="shared" si="314"/>
        <v>0</v>
      </c>
      <c r="O773" s="1292">
        <f t="shared" si="311"/>
        <v>0</v>
      </c>
      <c r="P773" s="1292">
        <f t="shared" si="312"/>
        <v>0</v>
      </c>
      <c r="Q773" s="1264"/>
      <c r="R773" s="1264"/>
      <c r="S773" s="1264"/>
      <c r="T773" s="1264"/>
      <c r="U773" s="1264"/>
      <c r="V773" s="1264"/>
      <c r="W773" s="1264"/>
      <c r="X773" s="1264"/>
      <c r="Y773" s="1264"/>
      <c r="Z773" s="1264"/>
    </row>
    <row r="774" spans="1:26" ht="19.5" hidden="1" thickBot="1">
      <c r="A774" s="1260"/>
      <c r="B774" s="1265"/>
      <c r="C774" s="1261"/>
      <c r="D774" s="1262"/>
      <c r="E774" s="1261" t="s">
        <v>184</v>
      </c>
      <c r="F774" s="1261"/>
      <c r="G774" s="1263"/>
      <c r="H774" s="165" t="s">
        <v>12</v>
      </c>
      <c r="I774" s="836"/>
      <c r="J774" s="836"/>
      <c r="K774" s="837"/>
      <c r="L774" s="837">
        <v>0</v>
      </c>
      <c r="M774" s="837">
        <v>0</v>
      </c>
      <c r="N774" s="837">
        <v>0</v>
      </c>
      <c r="O774" s="837">
        <f t="shared" si="311"/>
        <v>0</v>
      </c>
      <c r="P774" s="837">
        <f t="shared" si="312"/>
        <v>0</v>
      </c>
      <c r="Q774" s="1264"/>
      <c r="R774" s="1264"/>
      <c r="S774" s="1264"/>
      <c r="T774" s="1264"/>
      <c r="U774" s="1264"/>
      <c r="V774" s="1264"/>
      <c r="W774" s="1264"/>
      <c r="X774" s="1264"/>
      <c r="Y774" s="1264"/>
      <c r="Z774" s="1264"/>
    </row>
    <row r="775" spans="1:26" ht="19.5" hidden="1" thickBot="1">
      <c r="A775" s="1260"/>
      <c r="B775" s="1265"/>
      <c r="C775" s="1261"/>
      <c r="D775" s="1262"/>
      <c r="E775" s="1261" t="s">
        <v>185</v>
      </c>
      <c r="F775" s="1261"/>
      <c r="G775" s="1263"/>
      <c r="H775" s="165" t="s">
        <v>12</v>
      </c>
      <c r="I775" s="836"/>
      <c r="J775" s="836"/>
      <c r="K775" s="837"/>
      <c r="L775" s="837">
        <v>0</v>
      </c>
      <c r="M775" s="837">
        <v>0</v>
      </c>
      <c r="N775" s="837">
        <f>N776+N777+N778+N779</f>
        <v>0</v>
      </c>
      <c r="O775" s="837">
        <f t="shared" si="311"/>
        <v>0</v>
      </c>
      <c r="P775" s="837">
        <f t="shared" si="312"/>
        <v>0</v>
      </c>
      <c r="Q775" s="1264"/>
      <c r="R775" s="1264"/>
      <c r="S775" s="1264"/>
      <c r="T775" s="1264"/>
      <c r="U775" s="1264"/>
      <c r="V775" s="1264"/>
      <c r="W775" s="1264"/>
      <c r="X775" s="1264"/>
      <c r="Y775" s="1264"/>
      <c r="Z775" s="1264"/>
    </row>
    <row r="776" spans="1:26" ht="19.5" hidden="1" thickBot="1">
      <c r="A776" s="1294"/>
      <c r="B776" s="1265"/>
      <c r="C776" s="1261"/>
      <c r="D776" s="1261"/>
      <c r="E776" s="1261"/>
      <c r="F776" s="1261" t="s">
        <v>186</v>
      </c>
      <c r="G776" s="1263"/>
      <c r="H776" s="165" t="s">
        <v>12</v>
      </c>
      <c r="I776" s="836"/>
      <c r="J776" s="836"/>
      <c r="K776" s="837"/>
      <c r="L776" s="837"/>
      <c r="M776" s="837"/>
      <c r="N776" s="837"/>
      <c r="O776" s="837"/>
      <c r="P776" s="837"/>
      <c r="Q776" s="1264"/>
      <c r="R776" s="1264"/>
      <c r="S776" s="1264"/>
      <c r="T776" s="1264"/>
      <c r="U776" s="1264"/>
      <c r="V776" s="1264"/>
      <c r="W776" s="1264"/>
      <c r="X776" s="1264"/>
      <c r="Y776" s="1264"/>
      <c r="Z776" s="1264"/>
    </row>
    <row r="777" spans="1:26" ht="19.5" hidden="1" thickBot="1">
      <c r="A777" s="1294"/>
      <c r="B777" s="1265"/>
      <c r="C777" s="1261"/>
      <c r="D777" s="1261"/>
      <c r="E777" s="1261"/>
      <c r="F777" s="1261" t="s">
        <v>187</v>
      </c>
      <c r="G777" s="1263"/>
      <c r="H777" s="165" t="s">
        <v>12</v>
      </c>
      <c r="I777" s="836"/>
      <c r="J777" s="836"/>
      <c r="K777" s="837"/>
      <c r="L777" s="837"/>
      <c r="M777" s="837"/>
      <c r="N777" s="837"/>
      <c r="O777" s="837"/>
      <c r="P777" s="837"/>
      <c r="Q777" s="1264"/>
      <c r="R777" s="1264"/>
      <c r="S777" s="1264"/>
      <c r="T777" s="1264"/>
      <c r="U777" s="1264"/>
      <c r="V777" s="1264"/>
      <c r="W777" s="1264"/>
      <c r="X777" s="1264"/>
      <c r="Y777" s="1264"/>
      <c r="Z777" s="1264"/>
    </row>
    <row r="778" spans="1:26" ht="19.5" hidden="1" thickBot="1">
      <c r="A778" s="1294"/>
      <c r="B778" s="1265"/>
      <c r="C778" s="1261"/>
      <c r="D778" s="1261"/>
      <c r="E778" s="1261"/>
      <c r="F778" s="1261" t="s">
        <v>188</v>
      </c>
      <c r="G778" s="1263"/>
      <c r="H778" s="165" t="s">
        <v>12</v>
      </c>
      <c r="I778" s="836"/>
      <c r="J778" s="836"/>
      <c r="K778" s="837"/>
      <c r="L778" s="837"/>
      <c r="M778" s="837"/>
      <c r="N778" s="837"/>
      <c r="O778" s="837"/>
      <c r="P778" s="837"/>
      <c r="Q778" s="1264"/>
      <c r="R778" s="1264"/>
      <c r="S778" s="1264"/>
      <c r="T778" s="1264"/>
      <c r="U778" s="1264"/>
      <c r="V778" s="1264"/>
      <c r="W778" s="1264"/>
      <c r="X778" s="1264"/>
      <c r="Y778" s="1264"/>
      <c r="Z778" s="1264"/>
    </row>
    <row r="779" spans="1:26" ht="19.5" hidden="1" thickBot="1">
      <c r="A779" s="1294"/>
      <c r="B779" s="1265"/>
      <c r="C779" s="1261"/>
      <c r="D779" s="1261"/>
      <c r="E779" s="1261"/>
      <c r="F779" s="1261" t="s">
        <v>189</v>
      </c>
      <c r="G779" s="1263"/>
      <c r="H779" s="165" t="s">
        <v>12</v>
      </c>
      <c r="I779" s="836"/>
      <c r="J779" s="836"/>
      <c r="K779" s="837"/>
      <c r="L779" s="837"/>
      <c r="M779" s="837"/>
      <c r="N779" s="837"/>
      <c r="O779" s="837"/>
      <c r="P779" s="837"/>
      <c r="Q779" s="1264"/>
      <c r="R779" s="1264"/>
      <c r="S779" s="1264"/>
      <c r="T779" s="1264"/>
      <c r="U779" s="1264"/>
      <c r="V779" s="1264"/>
      <c r="W779" s="1264"/>
      <c r="X779" s="1264"/>
      <c r="Y779" s="1264"/>
      <c r="Z779" s="1264"/>
    </row>
    <row r="780" spans="1:26" ht="20.25" hidden="1" thickBot="1">
      <c r="A780" s="1260"/>
      <c r="B780" s="1265"/>
      <c r="C780" s="1261"/>
      <c r="D780" s="1392" t="s">
        <v>21</v>
      </c>
      <c r="E780" s="1261"/>
      <c r="F780" s="1261"/>
      <c r="G780" s="1263"/>
      <c r="H780" s="749" t="s">
        <v>12</v>
      </c>
      <c r="I780" s="947"/>
      <c r="J780" s="947"/>
      <c r="K780" s="948"/>
      <c r="L780" s="1292">
        <f t="shared" ref="L780:N780" si="315">L781+L782</f>
        <v>0</v>
      </c>
      <c r="M780" s="1292">
        <f t="shared" si="315"/>
        <v>0</v>
      </c>
      <c r="N780" s="1292">
        <f t="shared" si="315"/>
        <v>0</v>
      </c>
      <c r="O780" s="1292">
        <f t="shared" ref="O780:O782" si="316">IF(L780&gt;0,N780*100/L780,0)</f>
        <v>0</v>
      </c>
      <c r="P780" s="1292">
        <f t="shared" ref="P780:P782" si="317">IF(M780&gt;0,N780*100/M780,0)</f>
        <v>0</v>
      </c>
      <c r="Q780" s="1264"/>
      <c r="R780" s="1264"/>
      <c r="S780" s="1264"/>
      <c r="T780" s="1264"/>
      <c r="U780" s="1264"/>
      <c r="V780" s="1264"/>
      <c r="W780" s="1264"/>
      <c r="X780" s="1264"/>
      <c r="Y780" s="1264"/>
      <c r="Z780" s="1264"/>
    </row>
    <row r="781" spans="1:26" ht="19.5" hidden="1" thickBot="1">
      <c r="A781" s="1260"/>
      <c r="B781" s="1265"/>
      <c r="C781" s="1261"/>
      <c r="D781" s="1261"/>
      <c r="E781" s="1261" t="s">
        <v>18</v>
      </c>
      <c r="F781" s="1261"/>
      <c r="G781" s="1263"/>
      <c r="H781" s="165" t="s">
        <v>12</v>
      </c>
      <c r="I781" s="947"/>
      <c r="J781" s="947"/>
      <c r="K781" s="948"/>
      <c r="L781" s="837">
        <v>0</v>
      </c>
      <c r="M781" s="837">
        <v>0</v>
      </c>
      <c r="N781" s="837">
        <v>0</v>
      </c>
      <c r="O781" s="837">
        <f t="shared" si="316"/>
        <v>0</v>
      </c>
      <c r="P781" s="837">
        <f t="shared" si="317"/>
        <v>0</v>
      </c>
      <c r="Q781" s="1264"/>
      <c r="R781" s="1264"/>
      <c r="S781" s="1264"/>
      <c r="T781" s="1264"/>
      <c r="U781" s="1264"/>
      <c r="V781" s="1264"/>
      <c r="W781" s="1264"/>
      <c r="X781" s="1264"/>
      <c r="Y781" s="1264"/>
      <c r="Z781" s="1264"/>
    </row>
    <row r="782" spans="1:26" ht="19.5" hidden="1" thickBot="1">
      <c r="A782" s="1260"/>
      <c r="B782" s="1265"/>
      <c r="C782" s="1261"/>
      <c r="D782" s="1261"/>
      <c r="E782" s="1261" t="s">
        <v>19</v>
      </c>
      <c r="F782" s="1261"/>
      <c r="G782" s="1263"/>
      <c r="H782" s="169" t="s">
        <v>12</v>
      </c>
      <c r="I782" s="947"/>
      <c r="J782" s="947"/>
      <c r="K782" s="948"/>
      <c r="L782" s="837">
        <v>0</v>
      </c>
      <c r="M782" s="837">
        <v>0</v>
      </c>
      <c r="N782" s="837">
        <v>0</v>
      </c>
      <c r="O782" s="837">
        <f t="shared" si="316"/>
        <v>0</v>
      </c>
      <c r="P782" s="837">
        <f t="shared" si="317"/>
        <v>0</v>
      </c>
      <c r="Q782" s="1264"/>
      <c r="R782" s="1264"/>
      <c r="S782" s="1264"/>
      <c r="T782" s="1264"/>
      <c r="U782" s="1264"/>
      <c r="V782" s="1264"/>
      <c r="W782" s="1264"/>
      <c r="X782" s="1264"/>
      <c r="Y782" s="1264"/>
      <c r="Z782" s="1264"/>
    </row>
    <row r="783" spans="1:26" ht="20.25" hidden="1" thickBot="1">
      <c r="A783" s="1273"/>
      <c r="B783" s="1274"/>
      <c r="C783" s="1261" t="s">
        <v>16</v>
      </c>
      <c r="D783" s="1393" t="s">
        <v>38</v>
      </c>
      <c r="E783" s="1296"/>
      <c r="F783" s="1296"/>
      <c r="G783" s="1297"/>
      <c r="H783" s="1406"/>
      <c r="I783" s="947"/>
      <c r="J783" s="947"/>
      <c r="K783" s="948"/>
      <c r="L783" s="948"/>
      <c r="M783" s="948"/>
      <c r="N783" s="948"/>
      <c r="O783" s="948"/>
      <c r="P783" s="948"/>
      <c r="Q783" s="1264"/>
      <c r="R783" s="1264"/>
      <c r="S783" s="1264"/>
      <c r="T783" s="1264"/>
      <c r="U783" s="1264"/>
      <c r="V783" s="1264"/>
      <c r="W783" s="1264"/>
      <c r="X783" s="1264"/>
      <c r="Y783" s="1264"/>
      <c r="Z783" s="1264"/>
    </row>
    <row r="784" spans="1:26" ht="19.5" hidden="1" thickBot="1">
      <c r="A784" s="1294"/>
      <c r="B784" s="1265"/>
      <c r="C784" s="1261"/>
      <c r="D784" s="1261"/>
      <c r="E784" s="1261" t="s">
        <v>318</v>
      </c>
      <c r="F784" s="1261"/>
      <c r="G784" s="1263"/>
      <c r="H784" s="165" t="s">
        <v>46</v>
      </c>
      <c r="I784" s="836"/>
      <c r="J784" s="836"/>
      <c r="K784" s="837"/>
      <c r="L784" s="837"/>
      <c r="M784" s="837"/>
      <c r="N784" s="837"/>
      <c r="O784" s="837"/>
      <c r="P784" s="837"/>
      <c r="Q784" s="1264"/>
      <c r="R784" s="1264"/>
      <c r="S784" s="1264"/>
      <c r="T784" s="1264"/>
      <c r="U784" s="1264"/>
      <c r="V784" s="1264"/>
      <c r="W784" s="1264"/>
      <c r="X784" s="1264"/>
      <c r="Y784" s="1264"/>
      <c r="Z784" s="1264"/>
    </row>
    <row r="785" spans="1:26" ht="20.25" hidden="1" thickBot="1">
      <c r="A785" s="768">
        <v>12</v>
      </c>
      <c r="B785" s="1407" t="s">
        <v>319</v>
      </c>
      <c r="C785" s="1408"/>
      <c r="D785" s="1408"/>
      <c r="E785" s="1408"/>
      <c r="F785" s="1408"/>
      <c r="G785" s="1409"/>
      <c r="H785" s="772" t="s">
        <v>46</v>
      </c>
      <c r="I785" s="1436">
        <f ca="1">I800</f>
        <v>0</v>
      </c>
      <c r="J785" s="1410">
        <f ca="1">J801</f>
        <v>0</v>
      </c>
      <c r="K785" s="1411">
        <f ca="1">IF(I785&gt;0,J785*100/I785,0)</f>
        <v>0</v>
      </c>
      <c r="L785" s="1412"/>
      <c r="M785" s="1412"/>
      <c r="N785" s="1412"/>
      <c r="O785" s="1412"/>
      <c r="P785" s="1412"/>
      <c r="Q785" s="1244"/>
      <c r="R785" s="1244"/>
      <c r="S785" s="1244"/>
      <c r="T785" s="1244"/>
      <c r="U785" s="1244"/>
      <c r="V785" s="1244"/>
      <c r="W785" s="1244"/>
      <c r="X785" s="1244"/>
      <c r="Y785" s="1244"/>
      <c r="Z785" s="1244"/>
    </row>
    <row r="786" spans="1:26" ht="20.25" hidden="1" thickBot="1">
      <c r="A786" s="1259"/>
      <c r="B786" s="1242"/>
      <c r="C786" s="1243" t="s">
        <v>16</v>
      </c>
      <c r="D786" s="1507" t="s">
        <v>17</v>
      </c>
      <c r="E786" s="1485"/>
      <c r="F786" s="1485"/>
      <c r="G786" s="963"/>
      <c r="H786" s="563" t="s">
        <v>12</v>
      </c>
      <c r="I786" s="830"/>
      <c r="J786" s="830"/>
      <c r="K786" s="831"/>
      <c r="L786" s="967">
        <f t="shared" ref="L786:N786" ca="1" si="318">L787+L788</f>
        <v>0</v>
      </c>
      <c r="M786" s="967">
        <f t="shared" si="318"/>
        <v>0</v>
      </c>
      <c r="N786" s="967">
        <f t="shared" si="318"/>
        <v>0</v>
      </c>
      <c r="O786" s="967">
        <f t="shared" ref="O786:O791" ca="1" si="319">IF(L786&gt;0,N786*100/L786,0)</f>
        <v>0</v>
      </c>
      <c r="P786" s="967">
        <f t="shared" ref="P786:P791" si="320">IF(M786&gt;0,N786*100/M786,0)</f>
        <v>0</v>
      </c>
      <c r="Q786" s="1244"/>
      <c r="R786" s="1244"/>
      <c r="S786" s="1244"/>
      <c r="T786" s="1244"/>
      <c r="U786" s="1244"/>
      <c r="V786" s="1244"/>
      <c r="W786" s="1244"/>
      <c r="X786" s="1244"/>
      <c r="Y786" s="1244"/>
      <c r="Z786" s="1244"/>
    </row>
    <row r="787" spans="1:26" ht="19.5" hidden="1" thickBot="1">
      <c r="A787" s="1260"/>
      <c r="B787" s="1265"/>
      <c r="C787" s="1261"/>
      <c r="D787" s="1262"/>
      <c r="E787" s="1261" t="s">
        <v>184</v>
      </c>
      <c r="F787" s="1261"/>
      <c r="G787" s="1263"/>
      <c r="H787" s="165" t="s">
        <v>12</v>
      </c>
      <c r="I787" s="836"/>
      <c r="J787" s="836"/>
      <c r="K787" s="837"/>
      <c r="L787" s="837">
        <f t="shared" ref="L787:N788" si="321">L790+L797</f>
        <v>0</v>
      </c>
      <c r="M787" s="837">
        <f t="shared" si="321"/>
        <v>0</v>
      </c>
      <c r="N787" s="837">
        <f t="shared" si="321"/>
        <v>0</v>
      </c>
      <c r="O787" s="837">
        <f t="shared" si="319"/>
        <v>0</v>
      </c>
      <c r="P787" s="837">
        <f t="shared" si="320"/>
        <v>0</v>
      </c>
      <c r="Q787" s="1264"/>
      <c r="R787" s="1264"/>
      <c r="S787" s="1264"/>
      <c r="T787" s="1264"/>
      <c r="U787" s="1264"/>
      <c r="V787" s="1264"/>
      <c r="W787" s="1264"/>
      <c r="X787" s="1264"/>
      <c r="Y787" s="1264"/>
      <c r="Z787" s="1264"/>
    </row>
    <row r="788" spans="1:26" ht="19.5" hidden="1" thickBot="1">
      <c r="A788" s="1260"/>
      <c r="B788" s="1265"/>
      <c r="C788" s="1265"/>
      <c r="D788" s="1274"/>
      <c r="E788" s="1261" t="s">
        <v>185</v>
      </c>
      <c r="F788" s="1261"/>
      <c r="G788" s="1263"/>
      <c r="H788" s="165" t="s">
        <v>12</v>
      </c>
      <c r="I788" s="836"/>
      <c r="J788" s="836"/>
      <c r="K788" s="837"/>
      <c r="L788" s="837">
        <f t="shared" ca="1" si="321"/>
        <v>0</v>
      </c>
      <c r="M788" s="837">
        <f t="shared" si="321"/>
        <v>0</v>
      </c>
      <c r="N788" s="837">
        <f t="shared" si="321"/>
        <v>0</v>
      </c>
      <c r="O788" s="837">
        <f t="shared" ca="1" si="319"/>
        <v>0</v>
      </c>
      <c r="P788" s="837">
        <f t="shared" si="320"/>
        <v>0</v>
      </c>
      <c r="Q788" s="1264"/>
      <c r="R788" s="1264"/>
      <c r="S788" s="1264"/>
      <c r="T788" s="1264"/>
      <c r="U788" s="1264"/>
      <c r="V788" s="1264"/>
      <c r="W788" s="1264"/>
      <c r="X788" s="1264"/>
      <c r="Y788" s="1264"/>
      <c r="Z788" s="1264"/>
    </row>
    <row r="789" spans="1:26" ht="19.5" hidden="1" thickBot="1">
      <c r="A789" s="1259"/>
      <c r="B789" s="1242"/>
      <c r="C789" s="1242"/>
      <c r="D789" s="1266" t="s">
        <v>20</v>
      </c>
      <c r="E789" s="1243"/>
      <c r="F789" s="1243"/>
      <c r="G789" s="963"/>
      <c r="H789" s="778" t="s">
        <v>12</v>
      </c>
      <c r="I789" s="944"/>
      <c r="J789" s="944"/>
      <c r="K789" s="945"/>
      <c r="L789" s="831">
        <f t="shared" ref="L789:N789" ca="1" si="322">L790+L791</f>
        <v>0</v>
      </c>
      <c r="M789" s="831">
        <f t="shared" si="322"/>
        <v>0</v>
      </c>
      <c r="N789" s="831">
        <f t="shared" si="322"/>
        <v>0</v>
      </c>
      <c r="O789" s="831">
        <f t="shared" ca="1" si="319"/>
        <v>0</v>
      </c>
      <c r="P789" s="831">
        <f t="shared" si="320"/>
        <v>0</v>
      </c>
      <c r="Q789" s="1244"/>
      <c r="R789" s="1244"/>
      <c r="S789" s="1244"/>
      <c r="T789" s="1244"/>
      <c r="U789" s="1244"/>
      <c r="V789" s="1244"/>
      <c r="W789" s="1244"/>
      <c r="X789" s="1244"/>
      <c r="Y789" s="1244"/>
      <c r="Z789" s="1244"/>
    </row>
    <row r="790" spans="1:26" ht="19.5" hidden="1" thickBot="1">
      <c r="A790" s="1260"/>
      <c r="B790" s="1265"/>
      <c r="C790" s="1265"/>
      <c r="D790" s="1274"/>
      <c r="E790" s="1261" t="s">
        <v>184</v>
      </c>
      <c r="F790" s="1261"/>
      <c r="G790" s="1263"/>
      <c r="H790" s="165" t="s">
        <v>12</v>
      </c>
      <c r="I790" s="836"/>
      <c r="J790" s="836"/>
      <c r="K790" s="837"/>
      <c r="L790" s="837">
        <v>0</v>
      </c>
      <c r="M790" s="837">
        <v>0</v>
      </c>
      <c r="N790" s="837">
        <v>0</v>
      </c>
      <c r="O790" s="837">
        <f t="shared" si="319"/>
        <v>0</v>
      </c>
      <c r="P790" s="837">
        <f t="shared" si="320"/>
        <v>0</v>
      </c>
      <c r="Q790" s="1264"/>
      <c r="R790" s="1264"/>
      <c r="S790" s="1264"/>
      <c r="T790" s="1264"/>
      <c r="U790" s="1264"/>
      <c r="V790" s="1264"/>
      <c r="W790" s="1264"/>
      <c r="X790" s="1264"/>
      <c r="Y790" s="1264"/>
      <c r="Z790" s="1264"/>
    </row>
    <row r="791" spans="1:26" ht="19.5" hidden="1" thickBot="1">
      <c r="A791" s="1260"/>
      <c r="B791" s="1265"/>
      <c r="C791" s="1265"/>
      <c r="D791" s="1274"/>
      <c r="E791" s="1261" t="s">
        <v>185</v>
      </c>
      <c r="F791" s="1261"/>
      <c r="G791" s="1263"/>
      <c r="H791" s="165" t="s">
        <v>12</v>
      </c>
      <c r="I791" s="836"/>
      <c r="J791" s="836"/>
      <c r="K791" s="837"/>
      <c r="L791" s="837">
        <f ca="1">IFERROR(__xludf.DUMMYFUNCTION("IMPORTRANGE(""https://docs.google.com/spreadsheets/d/1QqKyyYR6Q21VydFLVH3TRQUabQu_ym0Zz7PgGX0-kHA/edit?usp=sharing"",""แผน!JJ15"")"),0)</f>
        <v>0</v>
      </c>
      <c r="M791" s="837">
        <v>0</v>
      </c>
      <c r="N791" s="837">
        <f>N792+N793+N794+N795</f>
        <v>0</v>
      </c>
      <c r="O791" s="837">
        <f t="shared" ca="1" si="319"/>
        <v>0</v>
      </c>
      <c r="P791" s="837">
        <f t="shared" si="320"/>
        <v>0</v>
      </c>
      <c r="Q791" s="1264"/>
      <c r="R791" s="1264"/>
      <c r="S791" s="1264"/>
      <c r="T791" s="1264"/>
      <c r="U791" s="1264"/>
      <c r="V791" s="1264"/>
      <c r="W791" s="1264"/>
      <c r="X791" s="1264"/>
      <c r="Y791" s="1264"/>
      <c r="Z791" s="1264"/>
    </row>
    <row r="792" spans="1:26" ht="19.5" hidden="1" thickBot="1">
      <c r="A792" s="1241"/>
      <c r="B792" s="1242"/>
      <c r="C792" s="1243"/>
      <c r="D792" s="1243"/>
      <c r="E792" s="1243"/>
      <c r="F792" s="1243" t="s">
        <v>186</v>
      </c>
      <c r="G792" s="963"/>
      <c r="H792" s="778" t="s">
        <v>12</v>
      </c>
      <c r="I792" s="830"/>
      <c r="J792" s="830"/>
      <c r="K792" s="831"/>
      <c r="L792" s="831"/>
      <c r="M792" s="831"/>
      <c r="N792" s="1031">
        <v>0</v>
      </c>
      <c r="O792" s="831"/>
      <c r="P792" s="831"/>
      <c r="Q792" s="1244"/>
      <c r="R792" s="1244"/>
      <c r="S792" s="1244"/>
      <c r="T792" s="1244"/>
      <c r="U792" s="1244"/>
      <c r="V792" s="1244"/>
      <c r="W792" s="1244"/>
      <c r="X792" s="1244"/>
      <c r="Y792" s="1244"/>
      <c r="Z792" s="1244"/>
    </row>
    <row r="793" spans="1:26" ht="19.5" hidden="1" thickBot="1">
      <c r="A793" s="1241"/>
      <c r="B793" s="1242"/>
      <c r="C793" s="1243"/>
      <c r="D793" s="1243"/>
      <c r="E793" s="1243"/>
      <c r="F793" s="1243" t="s">
        <v>187</v>
      </c>
      <c r="G793" s="963"/>
      <c r="H793" s="778" t="s">
        <v>12</v>
      </c>
      <c r="I793" s="830"/>
      <c r="J793" s="830"/>
      <c r="K793" s="831"/>
      <c r="L793" s="831"/>
      <c r="M793" s="831"/>
      <c r="N793" s="1031">
        <v>0</v>
      </c>
      <c r="O793" s="831"/>
      <c r="P793" s="831"/>
      <c r="Q793" s="1244"/>
      <c r="R793" s="1244"/>
      <c r="S793" s="1244"/>
      <c r="T793" s="1244"/>
      <c r="U793" s="1244"/>
      <c r="V793" s="1244"/>
      <c r="W793" s="1244"/>
      <c r="X793" s="1244"/>
      <c r="Y793" s="1244"/>
      <c r="Z793" s="1244"/>
    </row>
    <row r="794" spans="1:26" ht="19.5" hidden="1" thickBot="1">
      <c r="A794" s="1241"/>
      <c r="B794" s="1242"/>
      <c r="C794" s="1243"/>
      <c r="D794" s="1243"/>
      <c r="E794" s="1243"/>
      <c r="F794" s="1243" t="s">
        <v>188</v>
      </c>
      <c r="G794" s="963"/>
      <c r="H794" s="778" t="s">
        <v>12</v>
      </c>
      <c r="I794" s="830"/>
      <c r="J794" s="830"/>
      <c r="K794" s="831"/>
      <c r="L794" s="831"/>
      <c r="M794" s="831"/>
      <c r="N794" s="1031">
        <v>0</v>
      </c>
      <c r="O794" s="831"/>
      <c r="P794" s="831"/>
      <c r="Q794" s="1244"/>
      <c r="R794" s="1244"/>
      <c r="S794" s="1244"/>
      <c r="T794" s="1244"/>
      <c r="U794" s="1244"/>
      <c r="V794" s="1244"/>
      <c r="W794" s="1244"/>
      <c r="X794" s="1244"/>
      <c r="Y794" s="1244"/>
      <c r="Z794" s="1244"/>
    </row>
    <row r="795" spans="1:26" ht="19.5" hidden="1" thickBot="1">
      <c r="A795" s="1241"/>
      <c r="B795" s="1242"/>
      <c r="C795" s="1243"/>
      <c r="D795" s="1243"/>
      <c r="E795" s="1243"/>
      <c r="F795" s="1243" t="s">
        <v>189</v>
      </c>
      <c r="G795" s="963"/>
      <c r="H795" s="778" t="s">
        <v>12</v>
      </c>
      <c r="I795" s="830"/>
      <c r="J795" s="830"/>
      <c r="K795" s="831"/>
      <c r="L795" s="831"/>
      <c r="M795" s="831"/>
      <c r="N795" s="1031">
        <v>0</v>
      </c>
      <c r="O795" s="831"/>
      <c r="P795" s="831"/>
      <c r="Q795" s="1244"/>
      <c r="R795" s="1244"/>
      <c r="S795" s="1244"/>
      <c r="T795" s="1244"/>
      <c r="U795" s="1244"/>
      <c r="V795" s="1244"/>
      <c r="W795" s="1244"/>
      <c r="X795" s="1244"/>
      <c r="Y795" s="1244"/>
      <c r="Z795" s="1244"/>
    </row>
    <row r="796" spans="1:26" ht="19.5" hidden="1" thickBot="1">
      <c r="A796" s="1259"/>
      <c r="B796" s="1242"/>
      <c r="C796" s="1243"/>
      <c r="D796" s="1266" t="s">
        <v>21</v>
      </c>
      <c r="E796" s="1243"/>
      <c r="F796" s="1243"/>
      <c r="G796" s="963"/>
      <c r="H796" s="168" t="s">
        <v>12</v>
      </c>
      <c r="I796" s="944"/>
      <c r="J796" s="944"/>
      <c r="K796" s="945"/>
      <c r="L796" s="831">
        <f t="shared" ref="L796:N796" si="323">L797+L798</f>
        <v>0</v>
      </c>
      <c r="M796" s="831">
        <f t="shared" si="323"/>
        <v>0</v>
      </c>
      <c r="N796" s="831">
        <f t="shared" si="323"/>
        <v>0</v>
      </c>
      <c r="O796" s="831">
        <f t="shared" ref="O796:O798" si="324">IF(L796&gt;0,N796*100/L796,0)</f>
        <v>0</v>
      </c>
      <c r="P796" s="831">
        <f t="shared" ref="P796:P798" si="325">IF(M796&gt;0,N796*100/M796,0)</f>
        <v>0</v>
      </c>
      <c r="Q796" s="1244"/>
      <c r="R796" s="1244"/>
      <c r="S796" s="1244"/>
      <c r="T796" s="1244"/>
      <c r="U796" s="1244"/>
      <c r="V796" s="1244"/>
      <c r="W796" s="1244"/>
      <c r="X796" s="1244"/>
      <c r="Y796" s="1244"/>
      <c r="Z796" s="1244"/>
    </row>
    <row r="797" spans="1:26" ht="19.5" hidden="1" thickBot="1">
      <c r="A797" s="1260"/>
      <c r="B797" s="1265"/>
      <c r="C797" s="1261"/>
      <c r="D797" s="1261"/>
      <c r="E797" s="1261" t="s">
        <v>18</v>
      </c>
      <c r="F797" s="1261"/>
      <c r="G797" s="1263"/>
      <c r="H797" s="165" t="s">
        <v>12</v>
      </c>
      <c r="I797" s="947"/>
      <c r="J797" s="947"/>
      <c r="K797" s="948"/>
      <c r="L797" s="837">
        <v>0</v>
      </c>
      <c r="M797" s="837">
        <v>0</v>
      </c>
      <c r="N797" s="837">
        <v>0</v>
      </c>
      <c r="O797" s="837">
        <f t="shared" si="324"/>
        <v>0</v>
      </c>
      <c r="P797" s="837">
        <f t="shared" si="325"/>
        <v>0</v>
      </c>
      <c r="Q797" s="1264"/>
      <c r="R797" s="1264"/>
      <c r="S797" s="1264"/>
      <c r="T797" s="1264"/>
      <c r="U797" s="1264"/>
      <c r="V797" s="1264"/>
      <c r="W797" s="1264"/>
      <c r="X797" s="1264"/>
      <c r="Y797" s="1264"/>
      <c r="Z797" s="1264"/>
    </row>
    <row r="798" spans="1:26" ht="19.5" hidden="1" thickBot="1">
      <c r="A798" s="1260"/>
      <c r="B798" s="1265"/>
      <c r="C798" s="1261"/>
      <c r="D798" s="1261"/>
      <c r="E798" s="1261" t="s">
        <v>19</v>
      </c>
      <c r="F798" s="1261"/>
      <c r="G798" s="1263"/>
      <c r="H798" s="169" t="s">
        <v>12</v>
      </c>
      <c r="I798" s="947"/>
      <c r="J798" s="947"/>
      <c r="K798" s="948"/>
      <c r="L798" s="837">
        <v>0</v>
      </c>
      <c r="M798" s="837">
        <v>0</v>
      </c>
      <c r="N798" s="837">
        <v>0</v>
      </c>
      <c r="O798" s="837">
        <f t="shared" si="324"/>
        <v>0</v>
      </c>
      <c r="P798" s="837">
        <f t="shared" si="325"/>
        <v>0</v>
      </c>
      <c r="Q798" s="1264"/>
      <c r="R798" s="1264"/>
      <c r="S798" s="1264"/>
      <c r="T798" s="1264"/>
      <c r="U798" s="1264"/>
      <c r="V798" s="1264"/>
      <c r="W798" s="1264"/>
      <c r="X798" s="1264"/>
      <c r="Y798" s="1264"/>
      <c r="Z798" s="1264"/>
    </row>
    <row r="799" spans="1:26" ht="20.25" hidden="1" thickBot="1">
      <c r="A799" s="1267"/>
      <c r="B799" s="1268"/>
      <c r="C799" s="1243" t="s">
        <v>16</v>
      </c>
      <c r="D799" s="1378" t="s">
        <v>38</v>
      </c>
      <c r="E799" s="1271"/>
      <c r="F799" s="1271"/>
      <c r="G799" s="1272"/>
      <c r="H799" s="1413"/>
      <c r="I799" s="944"/>
      <c r="J799" s="944"/>
      <c r="K799" s="945"/>
      <c r="L799" s="945"/>
      <c r="M799" s="945"/>
      <c r="N799" s="945"/>
      <c r="O799" s="945"/>
      <c r="P799" s="945"/>
      <c r="Q799" s="1244"/>
      <c r="R799" s="1244"/>
      <c r="S799" s="1244"/>
      <c r="T799" s="1244"/>
      <c r="U799" s="1244"/>
      <c r="V799" s="1244"/>
      <c r="W799" s="1244"/>
      <c r="X799" s="1244"/>
      <c r="Y799" s="1244"/>
      <c r="Z799" s="1244"/>
    </row>
    <row r="800" spans="1:26" ht="19.5" hidden="1" thickBot="1">
      <c r="A800" s="1267"/>
      <c r="B800" s="1268"/>
      <c r="C800" s="1268"/>
      <c r="D800" s="1268"/>
      <c r="E800" s="961"/>
      <c r="F800" s="961" t="s">
        <v>320</v>
      </c>
      <c r="G800" s="954"/>
      <c r="H800" s="777" t="s">
        <v>34</v>
      </c>
      <c r="I800" s="944">
        <f ca="1">IFERROR(__xludf.DUMMYFUNCTION("IMPORTRANGE(""https://docs.google.com/spreadsheets/d/1QqKyyYR6Q21VydFLVH3TRQUabQu_ym0Zz7PgGX0-kHA/edit?usp=sharing"",""แผน!JN15"")"),0)</f>
        <v>0</v>
      </c>
      <c r="J800" s="944">
        <f ca="1">IFERROR(__xludf.DUMMYFUNCTION("IMPORTRANGE(""https://docs.google.com/spreadsheets/d/1MaWodYyGHDf7siQLGxnXhG4mBNTNIuy296niS2xXulU/edit?usp=sharing"",""RTK!H15"")"),0)</f>
        <v>0</v>
      </c>
      <c r="K800" s="831">
        <f ca="1">IF(I800&gt;0,J800*100/I800,0)</f>
        <v>0</v>
      </c>
      <c r="L800" s="831"/>
      <c r="M800" s="831"/>
      <c r="N800" s="831"/>
      <c r="O800" s="945"/>
      <c r="P800" s="945"/>
      <c r="Q800" s="1244"/>
      <c r="R800" s="1244"/>
      <c r="S800" s="1244"/>
      <c r="T800" s="1244"/>
      <c r="U800" s="1244"/>
      <c r="V800" s="1244"/>
      <c r="W800" s="1244"/>
      <c r="X800" s="1244"/>
      <c r="Y800" s="1244"/>
      <c r="Z800" s="1244"/>
    </row>
    <row r="801" spans="1:26" ht="19.5" hidden="1" thickBot="1">
      <c r="A801" s="1267"/>
      <c r="B801" s="1268"/>
      <c r="C801" s="1268"/>
      <c r="D801" s="1268"/>
      <c r="E801" s="961"/>
      <c r="F801" s="961"/>
      <c r="G801" s="954"/>
      <c r="H801" s="778" t="s">
        <v>46</v>
      </c>
      <c r="I801" s="944"/>
      <c r="J801" s="830">
        <f ca="1">IFERROR(__xludf.DUMMYFUNCTION("IMPORTRANGE(""https://docs.google.com/spreadsheets/d/1MaWodYyGHDf7siQLGxnXhG4mBNTNIuy296niS2xXulU/edit?usp=sharing"",""RTK!I15"")"),0)</f>
        <v>0</v>
      </c>
      <c r="K801" s="831"/>
      <c r="L801" s="831"/>
      <c r="M801" s="831"/>
      <c r="N801" s="831"/>
      <c r="O801" s="945"/>
      <c r="P801" s="945"/>
      <c r="Q801" s="1244"/>
      <c r="R801" s="1244"/>
      <c r="S801" s="1244"/>
      <c r="T801" s="1244"/>
      <c r="U801" s="1244"/>
      <c r="V801" s="1244"/>
      <c r="W801" s="1244"/>
      <c r="X801" s="1244"/>
      <c r="Y801" s="1244"/>
      <c r="Z801" s="1244"/>
    </row>
    <row r="802" spans="1:26" ht="19.5" hidden="1" thickBot="1">
      <c r="A802" s="1273"/>
      <c r="B802" s="1274"/>
      <c r="C802" s="1274"/>
      <c r="D802" s="1274"/>
      <c r="E802" s="1262"/>
      <c r="F802" s="1262" t="s">
        <v>321</v>
      </c>
      <c r="G802" s="1060"/>
      <c r="H802" s="619" t="s">
        <v>46</v>
      </c>
      <c r="I802" s="947"/>
      <c r="J802" s="836"/>
      <c r="K802" s="948">
        <f>IF(I802&gt;0,J802*100/I802,0)</f>
        <v>0</v>
      </c>
      <c r="L802" s="948"/>
      <c r="M802" s="948"/>
      <c r="N802" s="948"/>
      <c r="O802" s="948"/>
      <c r="P802" s="948"/>
      <c r="Q802" s="1264"/>
      <c r="R802" s="1264"/>
      <c r="S802" s="1264"/>
      <c r="T802" s="1264"/>
      <c r="U802" s="1264"/>
      <c r="V802" s="1264"/>
      <c r="W802" s="1264"/>
      <c r="X802" s="1264"/>
      <c r="Y802" s="1264"/>
      <c r="Z802" s="1264"/>
    </row>
    <row r="803" spans="1:26" ht="19.5" hidden="1" thickBot="1">
      <c r="A803" s="1273"/>
      <c r="B803" s="1274"/>
      <c r="C803" s="1274"/>
      <c r="D803" s="1274"/>
      <c r="E803" s="1262"/>
      <c r="F803" s="1262"/>
      <c r="G803" s="1060"/>
      <c r="H803" s="619" t="s">
        <v>34</v>
      </c>
      <c r="I803" s="947"/>
      <c r="J803" s="836"/>
      <c r="K803" s="948"/>
      <c r="L803" s="948"/>
      <c r="M803" s="948"/>
      <c r="N803" s="948"/>
      <c r="O803" s="948"/>
      <c r="P803" s="948"/>
      <c r="Q803" s="1264"/>
      <c r="R803" s="1264"/>
      <c r="S803" s="1264"/>
      <c r="T803" s="1264"/>
      <c r="U803" s="1264"/>
      <c r="V803" s="1264"/>
      <c r="W803" s="1264"/>
      <c r="X803" s="1264"/>
      <c r="Y803" s="1264"/>
      <c r="Z803" s="1264"/>
    </row>
    <row r="804" spans="1:26" ht="20.25" hidden="1" thickBot="1">
      <c r="A804" s="759">
        <v>13</v>
      </c>
      <c r="B804" s="1400" t="s">
        <v>322</v>
      </c>
      <c r="C804" s="1401"/>
      <c r="D804" s="1419"/>
      <c r="E804" s="1401"/>
      <c r="F804" s="1401"/>
      <c r="G804" s="1402"/>
      <c r="H804" s="763" t="s">
        <v>46</v>
      </c>
      <c r="I804" s="1403"/>
      <c r="J804" s="1403">
        <f>J819</f>
        <v>0</v>
      </c>
      <c r="K804" s="1404">
        <f>IF(I804&gt;0,J804*100/I804,0)</f>
        <v>0</v>
      </c>
      <c r="L804" s="1405"/>
      <c r="M804" s="1405"/>
      <c r="N804" s="1405"/>
      <c r="O804" s="1405"/>
      <c r="P804" s="1405"/>
      <c r="Q804" s="1264"/>
      <c r="R804" s="1264"/>
      <c r="S804" s="1264"/>
      <c r="T804" s="1264"/>
      <c r="U804" s="1264"/>
      <c r="V804" s="1264"/>
      <c r="W804" s="1264"/>
      <c r="X804" s="1264"/>
      <c r="Y804" s="1264"/>
      <c r="Z804" s="1264"/>
    </row>
    <row r="805" spans="1:26" ht="20.25" hidden="1" thickBot="1">
      <c r="A805" s="1260"/>
      <c r="B805" s="1261"/>
      <c r="C805" s="1261" t="s">
        <v>16</v>
      </c>
      <c r="D805" s="1508" t="s">
        <v>17</v>
      </c>
      <c r="E805" s="1485"/>
      <c r="F805" s="1485"/>
      <c r="G805" s="1263"/>
      <c r="H805" s="612" t="s">
        <v>12</v>
      </c>
      <c r="I805" s="836"/>
      <c r="J805" s="836"/>
      <c r="K805" s="837"/>
      <c r="L805" s="1292">
        <f t="shared" ref="L805:N805" si="326">L806+L807</f>
        <v>0</v>
      </c>
      <c r="M805" s="1292">
        <f t="shared" si="326"/>
        <v>0</v>
      </c>
      <c r="N805" s="1292">
        <f t="shared" si="326"/>
        <v>0</v>
      </c>
      <c r="O805" s="1292">
        <f t="shared" ref="O805:O810" si="327">IF(L805&gt;0,N805*100/L805,0)</f>
        <v>0</v>
      </c>
      <c r="P805" s="1292">
        <f t="shared" ref="P805:P810" si="328">IF(M805&gt;0,N805*100/M805,0)</f>
        <v>0</v>
      </c>
      <c r="Q805" s="1264"/>
      <c r="R805" s="1264"/>
      <c r="S805" s="1264"/>
      <c r="T805" s="1264"/>
      <c r="U805" s="1264"/>
      <c r="V805" s="1264"/>
      <c r="W805" s="1264"/>
      <c r="X805" s="1264"/>
      <c r="Y805" s="1264"/>
      <c r="Z805" s="1264"/>
    </row>
    <row r="806" spans="1:26" ht="19.5" hidden="1" thickBot="1">
      <c r="A806" s="1260"/>
      <c r="B806" s="1261"/>
      <c r="C806" s="1261"/>
      <c r="D806" s="1274"/>
      <c r="E806" s="1261" t="s">
        <v>184</v>
      </c>
      <c r="F806" s="1261"/>
      <c r="G806" s="1263"/>
      <c r="H806" s="165" t="s">
        <v>12</v>
      </c>
      <c r="I806" s="836"/>
      <c r="J806" s="836"/>
      <c r="K806" s="837"/>
      <c r="L806" s="837">
        <f t="shared" ref="L806:N807" si="329">L809+L816</f>
        <v>0</v>
      </c>
      <c r="M806" s="837">
        <f t="shared" si="329"/>
        <v>0</v>
      </c>
      <c r="N806" s="837">
        <f t="shared" si="329"/>
        <v>0</v>
      </c>
      <c r="O806" s="837">
        <f t="shared" si="327"/>
        <v>0</v>
      </c>
      <c r="P806" s="837">
        <f t="shared" si="328"/>
        <v>0</v>
      </c>
      <c r="Q806" s="1264"/>
      <c r="R806" s="1264"/>
      <c r="S806" s="1264"/>
      <c r="T806" s="1264"/>
      <c r="U806" s="1264"/>
      <c r="V806" s="1264"/>
      <c r="W806" s="1264"/>
      <c r="X806" s="1264"/>
      <c r="Y806" s="1264"/>
      <c r="Z806" s="1264"/>
    </row>
    <row r="807" spans="1:26" ht="19.5" hidden="1" thickBot="1">
      <c r="A807" s="1260"/>
      <c r="B807" s="1261"/>
      <c r="C807" s="1261"/>
      <c r="D807" s="1274"/>
      <c r="E807" s="1261" t="s">
        <v>185</v>
      </c>
      <c r="F807" s="1261"/>
      <c r="G807" s="1263"/>
      <c r="H807" s="165" t="s">
        <v>12</v>
      </c>
      <c r="I807" s="836"/>
      <c r="J807" s="836"/>
      <c r="K807" s="837"/>
      <c r="L807" s="837">
        <f t="shared" si="329"/>
        <v>0</v>
      </c>
      <c r="M807" s="837">
        <f t="shared" si="329"/>
        <v>0</v>
      </c>
      <c r="N807" s="837">
        <f t="shared" si="329"/>
        <v>0</v>
      </c>
      <c r="O807" s="837">
        <f t="shared" si="327"/>
        <v>0</v>
      </c>
      <c r="P807" s="837">
        <f t="shared" si="328"/>
        <v>0</v>
      </c>
      <c r="Q807" s="1264"/>
      <c r="R807" s="1264"/>
      <c r="S807" s="1264"/>
      <c r="T807" s="1264"/>
      <c r="U807" s="1264"/>
      <c r="V807" s="1264"/>
      <c r="W807" s="1264"/>
      <c r="X807" s="1264"/>
      <c r="Y807" s="1264"/>
      <c r="Z807" s="1264"/>
    </row>
    <row r="808" spans="1:26" ht="20.25" hidden="1" thickBot="1">
      <c r="A808" s="1260"/>
      <c r="B808" s="1265"/>
      <c r="C808" s="1261"/>
      <c r="D808" s="1509" t="s">
        <v>20</v>
      </c>
      <c r="E808" s="1485"/>
      <c r="F808" s="1485"/>
      <c r="G808" s="1263"/>
      <c r="H808" s="612" t="s">
        <v>12</v>
      </c>
      <c r="I808" s="947"/>
      <c r="J808" s="947"/>
      <c r="K808" s="948"/>
      <c r="L808" s="1292">
        <f t="shared" ref="L808:N808" si="330">L809+L810</f>
        <v>0</v>
      </c>
      <c r="M808" s="1292">
        <f t="shared" si="330"/>
        <v>0</v>
      </c>
      <c r="N808" s="1292">
        <f t="shared" si="330"/>
        <v>0</v>
      </c>
      <c r="O808" s="1292">
        <f t="shared" si="327"/>
        <v>0</v>
      </c>
      <c r="P808" s="1292">
        <f t="shared" si="328"/>
        <v>0</v>
      </c>
      <c r="Q808" s="1264"/>
      <c r="R808" s="1264"/>
      <c r="S808" s="1264"/>
      <c r="T808" s="1264"/>
      <c r="U808" s="1264"/>
      <c r="V808" s="1264"/>
      <c r="W808" s="1264"/>
      <c r="X808" s="1264"/>
      <c r="Y808" s="1264"/>
      <c r="Z808" s="1264"/>
    </row>
    <row r="809" spans="1:26" ht="19.5" hidden="1" thickBot="1">
      <c r="A809" s="1260"/>
      <c r="B809" s="1261"/>
      <c r="C809" s="1261"/>
      <c r="D809" s="1274"/>
      <c r="E809" s="1261" t="s">
        <v>184</v>
      </c>
      <c r="F809" s="1261"/>
      <c r="G809" s="1263"/>
      <c r="H809" s="165" t="s">
        <v>12</v>
      </c>
      <c r="I809" s="836"/>
      <c r="J809" s="836"/>
      <c r="K809" s="837"/>
      <c r="L809" s="837">
        <v>0</v>
      </c>
      <c r="M809" s="837">
        <v>0</v>
      </c>
      <c r="N809" s="837">
        <v>0</v>
      </c>
      <c r="O809" s="837">
        <f t="shared" si="327"/>
        <v>0</v>
      </c>
      <c r="P809" s="837">
        <f t="shared" si="328"/>
        <v>0</v>
      </c>
      <c r="Q809" s="1264"/>
      <c r="R809" s="1264"/>
      <c r="S809" s="1264"/>
      <c r="T809" s="1264"/>
      <c r="U809" s="1264"/>
      <c r="V809" s="1264"/>
      <c r="W809" s="1264"/>
      <c r="X809" s="1264"/>
      <c r="Y809" s="1264"/>
      <c r="Z809" s="1264"/>
    </row>
    <row r="810" spans="1:26" ht="19.5" hidden="1" thickBot="1">
      <c r="A810" s="1260"/>
      <c r="B810" s="1261"/>
      <c r="C810" s="1261"/>
      <c r="D810" s="1274"/>
      <c r="E810" s="1261" t="s">
        <v>185</v>
      </c>
      <c r="F810" s="1261"/>
      <c r="G810" s="1263"/>
      <c r="H810" s="165" t="s">
        <v>12</v>
      </c>
      <c r="I810" s="836"/>
      <c r="J810" s="836"/>
      <c r="K810" s="837"/>
      <c r="L810" s="837">
        <v>0</v>
      </c>
      <c r="M810" s="837">
        <v>0</v>
      </c>
      <c r="N810" s="837">
        <f>N811+N812+N813+N814</f>
        <v>0</v>
      </c>
      <c r="O810" s="837">
        <f t="shared" si="327"/>
        <v>0</v>
      </c>
      <c r="P810" s="837">
        <f t="shared" si="328"/>
        <v>0</v>
      </c>
      <c r="Q810" s="1264"/>
      <c r="R810" s="1264"/>
      <c r="S810" s="1264"/>
      <c r="T810" s="1264"/>
      <c r="U810" s="1264"/>
      <c r="V810" s="1264"/>
      <c r="W810" s="1264"/>
      <c r="X810" s="1264"/>
      <c r="Y810" s="1264"/>
      <c r="Z810" s="1264"/>
    </row>
    <row r="811" spans="1:26" ht="19.5" hidden="1" thickBot="1">
      <c r="A811" s="1294"/>
      <c r="B811" s="1265"/>
      <c r="C811" s="1261"/>
      <c r="D811" s="1265"/>
      <c r="E811" s="1261"/>
      <c r="F811" s="1261" t="s">
        <v>186</v>
      </c>
      <c r="G811" s="1263"/>
      <c r="H811" s="165" t="s">
        <v>12</v>
      </c>
      <c r="I811" s="836"/>
      <c r="J811" s="836"/>
      <c r="K811" s="837"/>
      <c r="L811" s="837"/>
      <c r="M811" s="837"/>
      <c r="N811" s="837"/>
      <c r="O811" s="837"/>
      <c r="P811" s="837"/>
      <c r="Q811" s="1264"/>
      <c r="R811" s="1264"/>
      <c r="S811" s="1264"/>
      <c r="T811" s="1264"/>
      <c r="U811" s="1264"/>
      <c r="V811" s="1264"/>
      <c r="W811" s="1264"/>
      <c r="X811" s="1264"/>
      <c r="Y811" s="1264"/>
      <c r="Z811" s="1264"/>
    </row>
    <row r="812" spans="1:26" ht="19.5" hidden="1" thickBot="1">
      <c r="A812" s="1294"/>
      <c r="B812" s="1265"/>
      <c r="C812" s="1261"/>
      <c r="D812" s="1265"/>
      <c r="E812" s="1261"/>
      <c r="F812" s="1261" t="s">
        <v>187</v>
      </c>
      <c r="G812" s="1263"/>
      <c r="H812" s="165" t="s">
        <v>12</v>
      </c>
      <c r="I812" s="836"/>
      <c r="J812" s="836"/>
      <c r="K812" s="837"/>
      <c r="L812" s="837"/>
      <c r="M812" s="837"/>
      <c r="N812" s="837"/>
      <c r="O812" s="837"/>
      <c r="P812" s="837"/>
      <c r="Q812" s="1264"/>
      <c r="R812" s="1264"/>
      <c r="S812" s="1264"/>
      <c r="T812" s="1264"/>
      <c r="U812" s="1264"/>
      <c r="V812" s="1264"/>
      <c r="W812" s="1264"/>
      <c r="X812" s="1264"/>
      <c r="Y812" s="1264"/>
      <c r="Z812" s="1264"/>
    </row>
    <row r="813" spans="1:26" ht="19.5" hidden="1" thickBot="1">
      <c r="A813" s="1294"/>
      <c r="B813" s="1265"/>
      <c r="C813" s="1261"/>
      <c r="D813" s="1265"/>
      <c r="E813" s="1261"/>
      <c r="F813" s="1261" t="s">
        <v>188</v>
      </c>
      <c r="G813" s="1263"/>
      <c r="H813" s="165" t="s">
        <v>12</v>
      </c>
      <c r="I813" s="836"/>
      <c r="J813" s="836"/>
      <c r="K813" s="837"/>
      <c r="L813" s="837"/>
      <c r="M813" s="837"/>
      <c r="N813" s="837"/>
      <c r="O813" s="837"/>
      <c r="P813" s="837"/>
      <c r="Q813" s="1264"/>
      <c r="R813" s="1264"/>
      <c r="S813" s="1264"/>
      <c r="T813" s="1264"/>
      <c r="U813" s="1264"/>
      <c r="V813" s="1264"/>
      <c r="W813" s="1264"/>
      <c r="X813" s="1264"/>
      <c r="Y813" s="1264"/>
      <c r="Z813" s="1264"/>
    </row>
    <row r="814" spans="1:26" ht="19.5" hidden="1" thickBot="1">
      <c r="A814" s="1294"/>
      <c r="B814" s="1265"/>
      <c r="C814" s="1261"/>
      <c r="D814" s="1265"/>
      <c r="E814" s="1261"/>
      <c r="F814" s="1261" t="s">
        <v>189</v>
      </c>
      <c r="G814" s="1263"/>
      <c r="H814" s="165" t="s">
        <v>12</v>
      </c>
      <c r="I814" s="836"/>
      <c r="J814" s="836"/>
      <c r="K814" s="837"/>
      <c r="L814" s="837"/>
      <c r="M814" s="837"/>
      <c r="N814" s="837"/>
      <c r="O814" s="837"/>
      <c r="P814" s="837"/>
      <c r="Q814" s="1264"/>
      <c r="R814" s="1264"/>
      <c r="S814" s="1264"/>
      <c r="T814" s="1264"/>
      <c r="U814" s="1264"/>
      <c r="V814" s="1264"/>
      <c r="W814" s="1264"/>
      <c r="X814" s="1264"/>
      <c r="Y814" s="1264"/>
      <c r="Z814" s="1264"/>
    </row>
    <row r="815" spans="1:26" ht="20.25" hidden="1" thickBot="1">
      <c r="A815" s="1260"/>
      <c r="B815" s="1265"/>
      <c r="C815" s="1261"/>
      <c r="D815" s="1509" t="s">
        <v>21</v>
      </c>
      <c r="E815" s="1485"/>
      <c r="F815" s="1485"/>
      <c r="G815" s="1263"/>
      <c r="H815" s="749" t="s">
        <v>12</v>
      </c>
      <c r="I815" s="947"/>
      <c r="J815" s="947"/>
      <c r="K815" s="948"/>
      <c r="L815" s="1292">
        <f t="shared" ref="L815:N815" si="331">L816+L817</f>
        <v>0</v>
      </c>
      <c r="M815" s="1292">
        <f t="shared" si="331"/>
        <v>0</v>
      </c>
      <c r="N815" s="1292">
        <f t="shared" si="331"/>
        <v>0</v>
      </c>
      <c r="O815" s="1292">
        <f t="shared" ref="O815:O817" si="332">IF(L815&gt;0,N815*100/L815,0)</f>
        <v>0</v>
      </c>
      <c r="P815" s="1292">
        <f t="shared" ref="P815:P817" si="333">IF(M815&gt;0,N815*100/M815,0)</f>
        <v>0</v>
      </c>
      <c r="Q815" s="1264"/>
      <c r="R815" s="1264"/>
      <c r="S815" s="1264"/>
      <c r="T815" s="1264"/>
      <c r="U815" s="1264"/>
      <c r="V815" s="1264"/>
      <c r="W815" s="1264"/>
      <c r="X815" s="1264"/>
      <c r="Y815" s="1264"/>
      <c r="Z815" s="1264"/>
    </row>
    <row r="816" spans="1:26" ht="19.5" hidden="1" thickBot="1">
      <c r="A816" s="1260"/>
      <c r="B816" s="1265"/>
      <c r="C816" s="1261"/>
      <c r="D816" s="1265"/>
      <c r="E816" s="1261" t="s">
        <v>18</v>
      </c>
      <c r="F816" s="1261"/>
      <c r="G816" s="1263"/>
      <c r="H816" s="165" t="s">
        <v>12</v>
      </c>
      <c r="I816" s="947"/>
      <c r="J816" s="947"/>
      <c r="K816" s="948"/>
      <c r="L816" s="837">
        <v>0</v>
      </c>
      <c r="M816" s="837">
        <v>0</v>
      </c>
      <c r="N816" s="837">
        <v>0</v>
      </c>
      <c r="O816" s="837">
        <f t="shared" si="332"/>
        <v>0</v>
      </c>
      <c r="P816" s="837">
        <f t="shared" si="333"/>
        <v>0</v>
      </c>
      <c r="Q816" s="1264"/>
      <c r="R816" s="1264"/>
      <c r="S816" s="1264"/>
      <c r="T816" s="1264"/>
      <c r="U816" s="1264"/>
      <c r="V816" s="1264"/>
      <c r="W816" s="1264"/>
      <c r="X816" s="1264"/>
      <c r="Y816" s="1264"/>
      <c r="Z816" s="1264"/>
    </row>
    <row r="817" spans="1:26" ht="19.5" hidden="1" thickBot="1">
      <c r="A817" s="1260"/>
      <c r="B817" s="1265"/>
      <c r="C817" s="1261"/>
      <c r="D817" s="1265"/>
      <c r="E817" s="1261" t="s">
        <v>19</v>
      </c>
      <c r="F817" s="1261"/>
      <c r="G817" s="1263"/>
      <c r="H817" s="169" t="s">
        <v>12</v>
      </c>
      <c r="I817" s="947"/>
      <c r="J817" s="947"/>
      <c r="K817" s="948"/>
      <c r="L817" s="837">
        <v>0</v>
      </c>
      <c r="M817" s="837">
        <v>0</v>
      </c>
      <c r="N817" s="837">
        <v>0</v>
      </c>
      <c r="O817" s="837">
        <f t="shared" si="332"/>
        <v>0</v>
      </c>
      <c r="P817" s="837">
        <f t="shared" si="333"/>
        <v>0</v>
      </c>
      <c r="Q817" s="1264"/>
      <c r="R817" s="1264"/>
      <c r="S817" s="1264"/>
      <c r="T817" s="1264"/>
      <c r="U817" s="1264"/>
      <c r="V817" s="1264"/>
      <c r="W817" s="1264"/>
      <c r="X817" s="1264"/>
      <c r="Y817" s="1264"/>
      <c r="Z817" s="1264"/>
    </row>
    <row r="818" spans="1:26" ht="20.25" hidden="1" thickBot="1">
      <c r="A818" s="1273"/>
      <c r="B818" s="1274"/>
      <c r="C818" s="1261" t="s">
        <v>16</v>
      </c>
      <c r="D818" s="1420" t="s">
        <v>38</v>
      </c>
      <c r="E818" s="1296"/>
      <c r="F818" s="1296"/>
      <c r="G818" s="1297"/>
      <c r="H818" s="1060"/>
      <c r="I818" s="947"/>
      <c r="J818" s="947"/>
      <c r="K818" s="948"/>
      <c r="L818" s="948"/>
      <c r="M818" s="948"/>
      <c r="N818" s="948"/>
      <c r="O818" s="948"/>
      <c r="P818" s="948"/>
      <c r="Q818" s="1264"/>
      <c r="R818" s="1264"/>
      <c r="S818" s="1264"/>
      <c r="T818" s="1264"/>
      <c r="U818" s="1264"/>
      <c r="V818" s="1264"/>
      <c r="W818" s="1264"/>
      <c r="X818" s="1264"/>
      <c r="Y818" s="1264"/>
      <c r="Z818" s="1264"/>
    </row>
    <row r="819" spans="1:26" ht="19.5" hidden="1" thickBot="1">
      <c r="A819" s="1421"/>
      <c r="B819" s="1422"/>
      <c r="C819" s="1423"/>
      <c r="D819" s="1422"/>
      <c r="E819" s="1423" t="s">
        <v>323</v>
      </c>
      <c r="F819" s="1423"/>
      <c r="G819" s="1424"/>
      <c r="H819" s="792" t="s">
        <v>46</v>
      </c>
      <c r="I819" s="1425"/>
      <c r="J819" s="1425"/>
      <c r="K819" s="1426"/>
      <c r="L819" s="1426"/>
      <c r="M819" s="1426"/>
      <c r="N819" s="1426"/>
      <c r="O819" s="1426"/>
      <c r="P819" s="1426"/>
      <c r="Q819" s="1264"/>
      <c r="R819" s="1264"/>
      <c r="S819" s="1264"/>
      <c r="T819" s="1264"/>
      <c r="U819" s="1264"/>
      <c r="V819" s="1264"/>
      <c r="W819" s="1264"/>
      <c r="X819" s="1264"/>
      <c r="Y819" s="1264"/>
      <c r="Z819" s="1264"/>
    </row>
    <row r="820" spans="1:26" ht="19.5">
      <c r="A820" s="1437" t="s">
        <v>333</v>
      </c>
      <c r="B820" s="1438"/>
      <c r="C820" s="1438"/>
      <c r="D820" s="1439"/>
      <c r="E820" s="1438"/>
      <c r="F820" s="1438"/>
      <c r="G820" s="1440"/>
      <c r="H820" s="144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42"/>
      <c r="J820" s="1442"/>
      <c r="K820" s="1443"/>
      <c r="L820" s="1443"/>
      <c r="M820" s="1443"/>
      <c r="N820" s="1443"/>
      <c r="O820" s="1443"/>
      <c r="P820" s="1443"/>
      <c r="Q820" s="1244"/>
      <c r="R820" s="1244"/>
      <c r="S820" s="1244"/>
      <c r="T820" s="1244"/>
      <c r="U820" s="1244"/>
      <c r="V820" s="1244"/>
      <c r="W820" s="1244"/>
      <c r="X820" s="1244"/>
      <c r="Y820" s="1244"/>
      <c r="Z820" s="1244"/>
    </row>
    <row r="821" spans="1:26" ht="18.75">
      <c r="A821" s="1368"/>
      <c r="B821" s="1243" t="s">
        <v>325</v>
      </c>
      <c r="C821" s="1243"/>
      <c r="D821" s="1242"/>
      <c r="E821" s="1243"/>
      <c r="F821" s="1243"/>
      <c r="G821" s="963"/>
      <c r="H821" s="590" t="s">
        <v>12</v>
      </c>
      <c r="I821" s="830">
        <f ca="1">IFERROR(__xludf.DUMMYFUNCTION("IMPORTRANGE(""https://docs.google.com/spreadsheets/d/19vJNZY_5yjcGF2XGBMNZRCAIB0Kwfpjp8YEOfu-bneM/edit?usp=sharing"",""งานกองทุน!D15"")"),5147244.11)</f>
        <v>5147244.1100000003</v>
      </c>
      <c r="J821" s="830">
        <f ca="1">IFERROR(__xludf.DUMMYFUNCTION("IMPORTRANGE(""https://docs.google.com/spreadsheets/d/19vJNZY_5yjcGF2XGBMNZRCAIB0Kwfpjp8YEOfu-bneM/edit?usp=sharing"",""งานกองทุน!F15"")"),726223.68)</f>
        <v>726223.68</v>
      </c>
      <c r="K821" s="831">
        <f t="shared" ref="K821:K828" ca="1" si="334">IF(I821&gt;0,J821*100/I821,0)</f>
        <v>14.108980737655358</v>
      </c>
      <c r="L821" s="831"/>
      <c r="M821" s="831"/>
      <c r="N821" s="831"/>
      <c r="O821" s="831"/>
      <c r="P821" s="831"/>
      <c r="Q821" s="1244"/>
      <c r="R821" s="1244"/>
      <c r="S821" s="1244"/>
      <c r="T821" s="1244"/>
      <c r="U821" s="1244"/>
      <c r="V821" s="1244"/>
      <c r="W821" s="1244"/>
      <c r="X821" s="1244"/>
      <c r="Y821" s="1244"/>
      <c r="Z821" s="1244"/>
    </row>
    <row r="822" spans="1:26" ht="18.75">
      <c r="A822" s="1368"/>
      <c r="B822" s="1243"/>
      <c r="C822" s="1243"/>
      <c r="D822" s="1242"/>
      <c r="E822" s="1243"/>
      <c r="F822" s="1243"/>
      <c r="G822" s="963"/>
      <c r="H822" s="590" t="s">
        <v>35</v>
      </c>
      <c r="I822" s="830">
        <f ca="1">IFERROR(__xludf.DUMMYFUNCTION("IMPORTRANGE(""https://docs.google.com/spreadsheets/d/19vJNZY_5yjcGF2XGBMNZRCAIB0Kwfpjp8YEOfu-bneM/edit?usp=sharing"",""งานกองทุน!C15"")"),193)</f>
        <v>193</v>
      </c>
      <c r="J822" s="830">
        <f ca="1">IFERROR(__xludf.DUMMYFUNCTION("IMPORTRANGE(""https://docs.google.com/spreadsheets/d/19vJNZY_5yjcGF2XGBMNZRCAIB0Kwfpjp8YEOfu-bneM/edit?usp=sharing"",""งานกองทุน!E15"")"),29)</f>
        <v>29</v>
      </c>
      <c r="K822" s="831">
        <f t="shared" ca="1" si="334"/>
        <v>15.025906735751295</v>
      </c>
      <c r="L822" s="831"/>
      <c r="M822" s="831"/>
      <c r="N822" s="831"/>
      <c r="O822" s="831"/>
      <c r="P822" s="831"/>
      <c r="Q822" s="1244"/>
      <c r="R822" s="1244"/>
      <c r="S822" s="1244"/>
      <c r="T822" s="1244"/>
      <c r="U822" s="1244"/>
      <c r="V822" s="1244"/>
      <c r="W822" s="1244"/>
      <c r="X822" s="1244"/>
      <c r="Y822" s="1244"/>
      <c r="Z822" s="1244"/>
    </row>
    <row r="823" spans="1:26" ht="18.75">
      <c r="A823" s="1368"/>
      <c r="B823" s="1243" t="s">
        <v>326</v>
      </c>
      <c r="C823" s="1243"/>
      <c r="D823" s="1242"/>
      <c r="E823" s="1243"/>
      <c r="F823" s="1243"/>
      <c r="G823" s="963"/>
      <c r="H823" s="590" t="s">
        <v>12</v>
      </c>
      <c r="I823" s="830">
        <f ca="1">IFERROR(__xludf.DUMMYFUNCTION("IMPORTRANGE(""https://docs.google.com/spreadsheets/d/19vJNZY_5yjcGF2XGBMNZRCAIB0Kwfpjp8YEOfu-bneM/edit?usp=sharing"",""งานกองทุน!I15"")"),5956520.01)</f>
        <v>5956520.0099999998</v>
      </c>
      <c r="J823" s="830">
        <f ca="1">IFERROR(__xludf.DUMMYFUNCTION("IMPORTRANGE(""https://docs.google.com/spreadsheets/d/19vJNZY_5yjcGF2XGBMNZRCAIB0Kwfpjp8YEOfu-bneM/edit?usp=sharing"",""งานกองทุน!K15"")"),202785.68)</f>
        <v>202785.68</v>
      </c>
      <c r="K823" s="831">
        <f t="shared" ca="1" si="334"/>
        <v>3.4044321123668988</v>
      </c>
      <c r="L823" s="831"/>
      <c r="M823" s="831"/>
      <c r="N823" s="831"/>
      <c r="O823" s="831"/>
      <c r="P823" s="831"/>
      <c r="Q823" s="1244"/>
      <c r="R823" s="1244"/>
      <c r="S823" s="1244"/>
      <c r="T823" s="1244"/>
      <c r="U823" s="1244"/>
      <c r="V823" s="1244"/>
      <c r="W823" s="1244"/>
      <c r="X823" s="1244"/>
      <c r="Y823" s="1244"/>
      <c r="Z823" s="1244"/>
    </row>
    <row r="824" spans="1:26" ht="18.75">
      <c r="A824" s="1368"/>
      <c r="B824" s="1243"/>
      <c r="C824" s="1243"/>
      <c r="D824" s="1242"/>
      <c r="E824" s="1243"/>
      <c r="F824" s="1243"/>
      <c r="G824" s="963"/>
      <c r="H824" s="590" t="s">
        <v>35</v>
      </c>
      <c r="I824" s="830">
        <f ca="1">IFERROR(__xludf.DUMMYFUNCTION("IMPORTRANGE(""https://docs.google.com/spreadsheets/d/19vJNZY_5yjcGF2XGBMNZRCAIB0Kwfpjp8YEOfu-bneM/edit?usp=sharing"",""งานกองทุน!H15"")"),150)</f>
        <v>150</v>
      </c>
      <c r="J824" s="830">
        <f ca="1">IFERROR(__xludf.DUMMYFUNCTION("IMPORTRANGE(""https://docs.google.com/spreadsheets/d/19vJNZY_5yjcGF2XGBMNZRCAIB0Kwfpjp8YEOfu-bneM/edit?usp=sharing"",""งานกองทุน!J15"")"),52)</f>
        <v>52</v>
      </c>
      <c r="K824" s="831">
        <f t="shared" ca="1" si="334"/>
        <v>34.666666666666664</v>
      </c>
      <c r="L824" s="831"/>
      <c r="M824" s="831"/>
      <c r="N824" s="831"/>
      <c r="O824" s="831"/>
      <c r="P824" s="831"/>
      <c r="Q824" s="1244"/>
      <c r="R824" s="1244"/>
      <c r="S824" s="1244"/>
      <c r="T824" s="1244"/>
      <c r="U824" s="1244"/>
      <c r="V824" s="1244"/>
      <c r="W824" s="1244"/>
      <c r="X824" s="1244"/>
      <c r="Y824" s="1244"/>
      <c r="Z824" s="1244"/>
    </row>
    <row r="825" spans="1:26" ht="18.75">
      <c r="A825" s="1368"/>
      <c r="B825" s="1243" t="s">
        <v>327</v>
      </c>
      <c r="C825" s="1243"/>
      <c r="D825" s="1242"/>
      <c r="E825" s="1243"/>
      <c r="F825" s="1243"/>
      <c r="G825" s="963"/>
      <c r="H825" s="590" t="s">
        <v>12</v>
      </c>
      <c r="I825" s="830">
        <f ca="1">IFERROR(__xludf.DUMMYFUNCTION("IMPORTRANGE(""https://docs.google.com/spreadsheets/d/19vJNZY_5yjcGF2XGBMNZRCAIB0Kwfpjp8YEOfu-bneM/edit?usp=sharing"",""งานกองทุน!N15"")"),1205473.28)</f>
        <v>1205473.28</v>
      </c>
      <c r="J825" s="830">
        <f ca="1">IFERROR(__xludf.DUMMYFUNCTION("IMPORTRANGE(""https://docs.google.com/spreadsheets/d/19vJNZY_5yjcGF2XGBMNZRCAIB0Kwfpjp8YEOfu-bneM/edit?usp=sharing"",""งานกองทุน!P15"")"),294668.65)</f>
        <v>294668.65000000002</v>
      </c>
      <c r="K825" s="831">
        <f t="shared" ca="1" si="334"/>
        <v>24.444229074907412</v>
      </c>
      <c r="L825" s="831"/>
      <c r="M825" s="831"/>
      <c r="N825" s="831"/>
      <c r="O825" s="831"/>
      <c r="P825" s="831"/>
      <c r="Q825" s="1244"/>
      <c r="R825" s="1244"/>
      <c r="S825" s="1244"/>
      <c r="T825" s="1244"/>
      <c r="U825" s="1244"/>
      <c r="V825" s="1244"/>
      <c r="W825" s="1244"/>
      <c r="X825" s="1244"/>
      <c r="Y825" s="1244"/>
      <c r="Z825" s="1244"/>
    </row>
    <row r="826" spans="1:26" ht="18.75">
      <c r="A826" s="1368"/>
      <c r="B826" s="1243"/>
      <c r="C826" s="1243"/>
      <c r="D826" s="1242"/>
      <c r="E826" s="1243"/>
      <c r="F826" s="1243"/>
      <c r="G826" s="963"/>
      <c r="H826" s="590" t="s">
        <v>35</v>
      </c>
      <c r="I826" s="830">
        <f ca="1">IFERROR(__xludf.DUMMYFUNCTION("IMPORTRANGE(""https://docs.google.com/spreadsheets/d/19vJNZY_5yjcGF2XGBMNZRCAIB0Kwfpjp8YEOfu-bneM/edit?usp=sharing"",""งานกองทุน!M15"")"),49)</f>
        <v>49</v>
      </c>
      <c r="J826" s="830">
        <f ca="1">IFERROR(__xludf.DUMMYFUNCTION("IMPORTRANGE(""https://docs.google.com/spreadsheets/d/19vJNZY_5yjcGF2XGBMNZRCAIB0Kwfpjp8YEOfu-bneM/edit?usp=sharing"",""งานกองทุน!O15"")"),25)</f>
        <v>25</v>
      </c>
      <c r="K826" s="831">
        <f t="shared" ca="1" si="334"/>
        <v>51.020408163265309</v>
      </c>
      <c r="L826" s="831"/>
      <c r="M826" s="831"/>
      <c r="N826" s="831"/>
      <c r="O826" s="831"/>
      <c r="P826" s="831"/>
      <c r="Q826" s="1244"/>
      <c r="R826" s="1244"/>
      <c r="S826" s="1244"/>
      <c r="T826" s="1244"/>
      <c r="U826" s="1244"/>
      <c r="V826" s="1244"/>
      <c r="W826" s="1244"/>
      <c r="X826" s="1244"/>
      <c r="Y826" s="1244"/>
      <c r="Z826" s="1244"/>
    </row>
    <row r="827" spans="1:26" ht="18.75">
      <c r="A827" s="1368"/>
      <c r="B827" s="1243" t="s">
        <v>328</v>
      </c>
      <c r="C827" s="1243"/>
      <c r="D827" s="1242"/>
      <c r="E827" s="1243"/>
      <c r="F827" s="1243"/>
      <c r="G827" s="963"/>
      <c r="H827" s="590" t="s">
        <v>12</v>
      </c>
      <c r="I827" s="830">
        <f ca="1">IFERROR(__xludf.DUMMYFUNCTION("IMPORTRANGE(""https://docs.google.com/spreadsheets/d/19vJNZY_5yjcGF2XGBMNZRCAIB0Kwfpjp8YEOfu-bneM/edit?usp=sharing"",""งานกองทุน!S15"")"),5880000)</f>
        <v>5880000</v>
      </c>
      <c r="J827" s="830">
        <f ca="1">IFERROR(__xludf.DUMMYFUNCTION("IMPORTRANGE(""https://docs.google.com/spreadsheets/d/19vJNZY_5yjcGF2XGBMNZRCAIB0Kwfpjp8YEOfu-bneM/edit?usp=sharing"",""งานกองทุน!U15"")"),0)</f>
        <v>0</v>
      </c>
      <c r="K827" s="831">
        <f t="shared" ca="1" si="334"/>
        <v>0</v>
      </c>
      <c r="L827" s="831"/>
      <c r="M827" s="831"/>
      <c r="N827" s="831"/>
      <c r="O827" s="831"/>
      <c r="P827" s="831"/>
      <c r="Q827" s="1244"/>
      <c r="R827" s="1244"/>
      <c r="S827" s="1244"/>
      <c r="T827" s="1244"/>
      <c r="U827" s="1244"/>
      <c r="V827" s="1244"/>
      <c r="W827" s="1244"/>
      <c r="X827" s="1244"/>
      <c r="Y827" s="1244"/>
      <c r="Z827" s="1244"/>
    </row>
    <row r="828" spans="1:26" ht="18.75">
      <c r="A828" s="1369"/>
      <c r="B828" s="1371"/>
      <c r="C828" s="1371"/>
      <c r="D828" s="1370"/>
      <c r="E828" s="1371"/>
      <c r="F828" s="1371"/>
      <c r="G828" s="1434"/>
      <c r="H828" s="802" t="s">
        <v>35</v>
      </c>
      <c r="I828" s="1085">
        <f ca="1">IFERROR(__xludf.DUMMYFUNCTION("IMPORTRANGE(""https://docs.google.com/spreadsheets/d/19vJNZY_5yjcGF2XGBMNZRCAIB0Kwfpjp8YEOfu-bneM/edit?usp=sharing"",""งานกองทุน!R15"")"),235)</f>
        <v>235</v>
      </c>
      <c r="J828" s="1085">
        <f ca="1">IFERROR(__xludf.DUMMYFUNCTION("IMPORTRANGE(""https://docs.google.com/spreadsheets/d/19vJNZY_5yjcGF2XGBMNZRCAIB0Kwfpjp8YEOfu-bneM/edit?usp=sharing"",""งานกองทุน!T15"")"),0)</f>
        <v>0</v>
      </c>
      <c r="K828" s="1182">
        <f t="shared" ca="1" si="334"/>
        <v>0</v>
      </c>
      <c r="L828" s="1182"/>
      <c r="M828" s="1182"/>
      <c r="N828" s="1182"/>
      <c r="O828" s="1182"/>
      <c r="P828" s="1182"/>
      <c r="Q828" s="1244"/>
      <c r="R828" s="1244"/>
      <c r="S828" s="1244"/>
      <c r="T828" s="1244"/>
      <c r="U828" s="1244"/>
      <c r="V828" s="1244"/>
      <c r="W828" s="1244"/>
      <c r="X828" s="1244"/>
      <c r="Y828" s="1244"/>
      <c r="Z828" s="124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061C-CE1E-4896-8E77-2E0AFB9ACE2C}">
  <sheetPr>
    <outlinePr summaryBelow="0" summaryRight="0"/>
    <pageSetUpPr fitToPage="1"/>
  </sheetPr>
  <dimension ref="A1:P828"/>
  <sheetViews>
    <sheetView view="pageBreakPreview" zoomScale="60" zoomScaleNormal="85" workbookViewId="0">
      <selection activeCell="Q24" sqref="Q24"/>
    </sheetView>
  </sheetViews>
  <sheetFormatPr defaultColWidth="12.5703125" defaultRowHeight="15.75" customHeight="1"/>
  <cols>
    <col min="1" max="3" width="3.28515625" style="803" customWidth="1"/>
    <col min="4" max="6" width="5.85546875" style="803" customWidth="1"/>
    <col min="7" max="7" width="56.42578125" style="803" customWidth="1"/>
    <col min="8" max="8" width="9.42578125" style="803" customWidth="1"/>
    <col min="9" max="10" width="16.85546875" style="803" bestFit="1" customWidth="1"/>
    <col min="11" max="11" width="12.5703125" style="803" bestFit="1" customWidth="1"/>
    <col min="12" max="14" width="21.28515625" style="803" bestFit="1" customWidth="1"/>
    <col min="15" max="15" width="20.140625" style="803" bestFit="1" customWidth="1"/>
    <col min="16" max="16" width="22" style="803" bestFit="1" customWidth="1"/>
    <col min="17" max="16384" width="12.5703125" style="803"/>
  </cols>
  <sheetData>
    <row r="1" spans="1:16" ht="19.5">
      <c r="A1" s="1498" t="s">
        <v>0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</row>
    <row r="2" spans="1:16" ht="19.5">
      <c r="A2" s="1498" t="s">
        <v>335</v>
      </c>
      <c r="B2" s="1516"/>
      <c r="C2" s="1516"/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  <c r="O2" s="1516"/>
      <c r="P2" s="1516"/>
    </row>
    <row r="3" spans="1:16" ht="19.5">
      <c r="A3" s="1498" t="s">
        <v>329</v>
      </c>
      <c r="B3" s="1516"/>
      <c r="C3" s="1516"/>
      <c r="D3" s="1516"/>
      <c r="E3" s="1516"/>
      <c r="F3" s="1516"/>
      <c r="G3" s="1516"/>
      <c r="H3" s="1516"/>
      <c r="I3" s="1516"/>
      <c r="J3" s="1516"/>
      <c r="K3" s="1516"/>
      <c r="L3" s="1516"/>
      <c r="M3" s="1516"/>
      <c r="N3" s="1516"/>
      <c r="O3" s="1516"/>
      <c r="P3" s="1516"/>
    </row>
    <row r="4" spans="1:16" ht="12.75">
      <c r="A4" s="804"/>
      <c r="B4" s="804"/>
      <c r="C4" s="804"/>
      <c r="D4" s="804"/>
      <c r="E4" s="804"/>
      <c r="F4" s="804"/>
      <c r="G4" s="804"/>
      <c r="H4" s="804"/>
      <c r="I4" s="804"/>
      <c r="J4" s="805"/>
      <c r="K4" s="806"/>
      <c r="L4" s="805"/>
      <c r="M4" s="805"/>
      <c r="N4" s="805"/>
      <c r="O4" s="804"/>
      <c r="P4" s="804"/>
    </row>
    <row r="5" spans="1:16" ht="19.5">
      <c r="A5" s="1504" t="s">
        <v>2</v>
      </c>
      <c r="B5" s="1516"/>
      <c r="C5" s="1516"/>
      <c r="D5" s="1516"/>
      <c r="E5" s="1516"/>
      <c r="F5" s="1516"/>
      <c r="G5" s="1505"/>
      <c r="H5" s="1500" t="s">
        <v>3</v>
      </c>
      <c r="I5" s="1501" t="s">
        <v>4</v>
      </c>
      <c r="J5" s="1494"/>
      <c r="K5" s="1495"/>
      <c r="L5" s="1502" t="s">
        <v>5</v>
      </c>
      <c r="M5" s="1495"/>
      <c r="N5" s="1503" t="s">
        <v>6</v>
      </c>
      <c r="O5" s="1494"/>
      <c r="P5" s="1495"/>
    </row>
    <row r="6" spans="1:16" ht="19.5">
      <c r="A6" s="1506"/>
      <c r="B6" s="1494"/>
      <c r="C6" s="1494"/>
      <c r="D6" s="1494"/>
      <c r="E6" s="1494"/>
      <c r="F6" s="1494"/>
      <c r="G6" s="1495"/>
      <c r="H6" s="14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16" ht="19.5">
      <c r="A7" s="1512" t="s">
        <v>15</v>
      </c>
      <c r="B7" s="1494"/>
      <c r="C7" s="1494"/>
      <c r="D7" s="1494"/>
      <c r="E7" s="1494"/>
      <c r="F7" s="1494"/>
      <c r="G7" s="1495"/>
      <c r="H7" s="807"/>
      <c r="I7" s="808"/>
      <c r="J7" s="808"/>
      <c r="K7" s="809"/>
      <c r="L7" s="809"/>
      <c r="M7" s="809"/>
      <c r="N7" s="809"/>
      <c r="O7" s="809"/>
      <c r="P7" s="809"/>
    </row>
    <row r="8" spans="1:16" ht="19.5">
      <c r="A8" s="810"/>
      <c r="B8" s="811"/>
      <c r="C8" s="812" t="s">
        <v>16</v>
      </c>
      <c r="D8" s="813" t="s">
        <v>17</v>
      </c>
      <c r="E8" s="811"/>
      <c r="F8" s="811"/>
      <c r="G8" s="814"/>
      <c r="H8" s="19" t="s">
        <v>12</v>
      </c>
      <c r="I8" s="815"/>
      <c r="J8" s="815"/>
      <c r="K8" s="816"/>
      <c r="L8" s="817">
        <f t="shared" ref="L8:N8" ca="1" si="0">L9+L10</f>
        <v>6724205</v>
      </c>
      <c r="M8" s="817">
        <f t="shared" ca="1" si="0"/>
        <v>3448430</v>
      </c>
      <c r="N8" s="817">
        <f t="shared" ca="1" si="0"/>
        <v>2549677.7799999998</v>
      </c>
      <c r="O8" s="817">
        <f t="shared" ref="O8:O16" ca="1" si="1">IF(L8&gt;0,N8*100/L8,0)</f>
        <v>37.91790672652008</v>
      </c>
      <c r="P8" s="817">
        <f t="shared" ref="P8:P16" ca="1" si="2">IF(M8&gt;0,N8*100/M8,0)</f>
        <v>73.937350620427253</v>
      </c>
    </row>
    <row r="9" spans="1:16" ht="18.75" hidden="1">
      <c r="A9" s="819"/>
      <c r="B9" s="820"/>
      <c r="C9" s="820"/>
      <c r="D9" s="820"/>
      <c r="E9" s="821" t="s">
        <v>18</v>
      </c>
      <c r="F9" s="820"/>
      <c r="G9" s="822"/>
      <c r="H9" s="28" t="s">
        <v>12</v>
      </c>
      <c r="I9" s="823"/>
      <c r="J9" s="823"/>
      <c r="K9" s="824"/>
      <c r="L9" s="824">
        <f t="shared" ref="L9:N10" si="3">L12+L15</f>
        <v>0</v>
      </c>
      <c r="M9" s="824">
        <f t="shared" si="3"/>
        <v>0</v>
      </c>
      <c r="N9" s="824">
        <f t="shared" si="3"/>
        <v>0</v>
      </c>
      <c r="O9" s="824">
        <f t="shared" si="1"/>
        <v>0</v>
      </c>
      <c r="P9" s="824">
        <f t="shared" si="2"/>
        <v>0</v>
      </c>
    </row>
    <row r="10" spans="1:16" ht="18.75" hidden="1">
      <c r="A10" s="819"/>
      <c r="B10" s="820"/>
      <c r="C10" s="820"/>
      <c r="D10" s="820"/>
      <c r="E10" s="821" t="s">
        <v>19</v>
      </c>
      <c r="F10" s="820"/>
      <c r="G10" s="822"/>
      <c r="H10" s="28" t="s">
        <v>12</v>
      </c>
      <c r="I10" s="823"/>
      <c r="J10" s="823"/>
      <c r="K10" s="824"/>
      <c r="L10" s="824">
        <f t="shared" ca="1" si="3"/>
        <v>6724205</v>
      </c>
      <c r="M10" s="824">
        <f t="shared" ca="1" si="3"/>
        <v>3448430</v>
      </c>
      <c r="N10" s="824">
        <f t="shared" ca="1" si="3"/>
        <v>2549677.7799999998</v>
      </c>
      <c r="O10" s="824">
        <f t="shared" ca="1" si="1"/>
        <v>37.91790672652008</v>
      </c>
      <c r="P10" s="824">
        <f t="shared" ca="1" si="2"/>
        <v>73.937350620427253</v>
      </c>
    </row>
    <row r="11" spans="1:16" ht="18.75">
      <c r="A11" s="826"/>
      <c r="B11" s="827"/>
      <c r="C11" s="827"/>
      <c r="D11" s="828" t="s">
        <v>20</v>
      </c>
      <c r="E11" s="827"/>
      <c r="F11" s="827"/>
      <c r="G11" s="829"/>
      <c r="H11" s="590" t="s">
        <v>12</v>
      </c>
      <c r="I11" s="830"/>
      <c r="J11" s="830"/>
      <c r="K11" s="831"/>
      <c r="L11" s="831">
        <f t="shared" ref="L11:N11" ca="1" si="4">L12+L13</f>
        <v>6448405</v>
      </c>
      <c r="M11" s="831">
        <f t="shared" ca="1" si="4"/>
        <v>3175830</v>
      </c>
      <c r="N11" s="831">
        <f t="shared" ca="1" si="4"/>
        <v>2277077.7799999998</v>
      </c>
      <c r="O11" s="831">
        <f t="shared" ca="1" si="1"/>
        <v>35.312263730333314</v>
      </c>
      <c r="P11" s="831">
        <f t="shared" ca="1" si="2"/>
        <v>71.700241511667812</v>
      </c>
    </row>
    <row r="12" spans="1:16" ht="18.75" hidden="1">
      <c r="A12" s="832"/>
      <c r="B12" s="833"/>
      <c r="C12" s="833"/>
      <c r="D12" s="833"/>
      <c r="E12" s="834" t="s">
        <v>18</v>
      </c>
      <c r="F12" s="833"/>
      <c r="G12" s="835"/>
      <c r="H12" s="43" t="s">
        <v>12</v>
      </c>
      <c r="I12" s="836"/>
      <c r="J12" s="836"/>
      <c r="K12" s="837"/>
      <c r="L12" s="837">
        <f t="shared" ref="L12:N13" si="5">L22+L32</f>
        <v>0</v>
      </c>
      <c r="M12" s="837">
        <f t="shared" si="5"/>
        <v>0</v>
      </c>
      <c r="N12" s="837">
        <f t="shared" si="5"/>
        <v>0</v>
      </c>
      <c r="O12" s="837">
        <f t="shared" si="1"/>
        <v>0</v>
      </c>
      <c r="P12" s="837">
        <f t="shared" si="2"/>
        <v>0</v>
      </c>
    </row>
    <row r="13" spans="1:16" ht="18.75" hidden="1">
      <c r="A13" s="832"/>
      <c r="B13" s="833"/>
      <c r="C13" s="833"/>
      <c r="D13" s="833"/>
      <c r="E13" s="834" t="s">
        <v>19</v>
      </c>
      <c r="F13" s="833"/>
      <c r="G13" s="835"/>
      <c r="H13" s="43" t="s">
        <v>12</v>
      </c>
      <c r="I13" s="836"/>
      <c r="J13" s="836"/>
      <c r="K13" s="837"/>
      <c r="L13" s="837">
        <f t="shared" ca="1" si="5"/>
        <v>6448405</v>
      </c>
      <c r="M13" s="837">
        <f t="shared" ca="1" si="5"/>
        <v>3175830</v>
      </c>
      <c r="N13" s="837">
        <f t="shared" ca="1" si="5"/>
        <v>2277077.7799999998</v>
      </c>
      <c r="O13" s="837">
        <f t="shared" ca="1" si="1"/>
        <v>35.312263730333314</v>
      </c>
      <c r="P13" s="837">
        <f t="shared" ca="1" si="2"/>
        <v>71.700241511667812</v>
      </c>
    </row>
    <row r="14" spans="1:16" ht="18.75">
      <c r="A14" s="826"/>
      <c r="B14" s="827"/>
      <c r="C14" s="827"/>
      <c r="D14" s="828" t="s">
        <v>21</v>
      </c>
      <c r="E14" s="827"/>
      <c r="F14" s="827"/>
      <c r="G14" s="829"/>
      <c r="H14" s="590" t="s">
        <v>12</v>
      </c>
      <c r="I14" s="830"/>
      <c r="J14" s="830"/>
      <c r="K14" s="831"/>
      <c r="L14" s="831">
        <f t="shared" ref="L14:N14" ca="1" si="6">L15+L16</f>
        <v>275800</v>
      </c>
      <c r="M14" s="831">
        <f t="shared" ca="1" si="6"/>
        <v>272600</v>
      </c>
      <c r="N14" s="831">
        <f t="shared" ca="1" si="6"/>
        <v>272600</v>
      </c>
      <c r="O14" s="831">
        <f t="shared" ca="1" si="1"/>
        <v>98.839738941261785</v>
      </c>
      <c r="P14" s="831">
        <f t="shared" ca="1" si="2"/>
        <v>100</v>
      </c>
    </row>
    <row r="15" spans="1:16" ht="18.75" hidden="1">
      <c r="A15" s="832"/>
      <c r="B15" s="833"/>
      <c r="C15" s="833"/>
      <c r="D15" s="833"/>
      <c r="E15" s="834" t="s">
        <v>18</v>
      </c>
      <c r="F15" s="833"/>
      <c r="G15" s="835"/>
      <c r="H15" s="43" t="s">
        <v>12</v>
      </c>
      <c r="I15" s="836"/>
      <c r="J15" s="836"/>
      <c r="K15" s="837"/>
      <c r="L15" s="837">
        <f t="shared" ref="L15:N16" si="7">L25+L35</f>
        <v>0</v>
      </c>
      <c r="M15" s="837">
        <f t="shared" si="7"/>
        <v>0</v>
      </c>
      <c r="N15" s="837">
        <f t="shared" si="7"/>
        <v>0</v>
      </c>
      <c r="O15" s="837">
        <f t="shared" si="1"/>
        <v>0</v>
      </c>
      <c r="P15" s="837">
        <f t="shared" si="2"/>
        <v>0</v>
      </c>
    </row>
    <row r="16" spans="1:16" ht="18.75" hidden="1">
      <c r="A16" s="838"/>
      <c r="B16" s="839"/>
      <c r="C16" s="839"/>
      <c r="D16" s="839"/>
      <c r="E16" s="840" t="s">
        <v>19</v>
      </c>
      <c r="F16" s="839"/>
      <c r="G16" s="841"/>
      <c r="H16" s="50" t="s">
        <v>12</v>
      </c>
      <c r="I16" s="842"/>
      <c r="J16" s="842"/>
      <c r="K16" s="843"/>
      <c r="L16" s="843">
        <f t="shared" ca="1" si="7"/>
        <v>275800</v>
      </c>
      <c r="M16" s="843">
        <f t="shared" ca="1" si="7"/>
        <v>272600</v>
      </c>
      <c r="N16" s="843">
        <f t="shared" ca="1" si="7"/>
        <v>272600</v>
      </c>
      <c r="O16" s="843">
        <f t="shared" ca="1" si="1"/>
        <v>98.839738941261785</v>
      </c>
      <c r="P16" s="843">
        <f t="shared" ca="1" si="2"/>
        <v>100</v>
      </c>
    </row>
    <row r="17" spans="1:16" ht="19.5">
      <c r="A17" s="1512" t="s">
        <v>22</v>
      </c>
      <c r="B17" s="1494"/>
      <c r="C17" s="1494"/>
      <c r="D17" s="1494"/>
      <c r="E17" s="1494"/>
      <c r="F17" s="1494"/>
      <c r="G17" s="1495"/>
      <c r="H17" s="807"/>
      <c r="I17" s="808"/>
      <c r="J17" s="808"/>
      <c r="K17" s="809"/>
      <c r="L17" s="809"/>
      <c r="M17" s="809"/>
      <c r="N17" s="809"/>
      <c r="O17" s="809"/>
      <c r="P17" s="809"/>
    </row>
    <row r="18" spans="1:16" ht="19.5">
      <c r="A18" s="810"/>
      <c r="B18" s="811"/>
      <c r="C18" s="812" t="s">
        <v>16</v>
      </c>
      <c r="D18" s="813" t="s">
        <v>17</v>
      </c>
      <c r="E18" s="811"/>
      <c r="F18" s="811"/>
      <c r="G18" s="814"/>
      <c r="H18" s="19" t="s">
        <v>12</v>
      </c>
      <c r="I18" s="815"/>
      <c r="J18" s="815"/>
      <c r="K18" s="816"/>
      <c r="L18" s="817">
        <f t="shared" ref="L18:N18" ca="1" si="8">L19+L20</f>
        <v>4070285</v>
      </c>
      <c r="M18" s="817">
        <f t="shared" ca="1" si="8"/>
        <v>3448430</v>
      </c>
      <c r="N18" s="817">
        <f t="shared" ca="1" si="8"/>
        <v>2019363.43</v>
      </c>
      <c r="O18" s="817">
        <f t="shared" ref="O18:O26" ca="1" si="9">IF(L18&gt;0,N18*100/L18,0)</f>
        <v>49.612335008482205</v>
      </c>
      <c r="P18" s="817">
        <f t="shared" ref="P18:P26" ca="1" si="10">IF(M18&gt;0,N18*100/M18,0)</f>
        <v>58.55892188619169</v>
      </c>
    </row>
    <row r="19" spans="1:16" ht="18.75" hidden="1">
      <c r="A19" s="819"/>
      <c r="B19" s="820"/>
      <c r="C19" s="820"/>
      <c r="D19" s="820"/>
      <c r="E19" s="821" t="s">
        <v>18</v>
      </c>
      <c r="F19" s="820"/>
      <c r="G19" s="822"/>
      <c r="H19" s="28" t="s">
        <v>12</v>
      </c>
      <c r="I19" s="823"/>
      <c r="J19" s="823"/>
      <c r="K19" s="824"/>
      <c r="L19" s="824">
        <f t="shared" ref="L19:N20" si="11">L22+L25</f>
        <v>0</v>
      </c>
      <c r="M19" s="824">
        <f t="shared" si="11"/>
        <v>0</v>
      </c>
      <c r="N19" s="824">
        <f t="shared" si="11"/>
        <v>0</v>
      </c>
      <c r="O19" s="824">
        <f t="shared" si="9"/>
        <v>0</v>
      </c>
      <c r="P19" s="824">
        <f t="shared" si="10"/>
        <v>0</v>
      </c>
    </row>
    <row r="20" spans="1:16" ht="18.75" hidden="1">
      <c r="A20" s="819"/>
      <c r="B20" s="820"/>
      <c r="C20" s="820"/>
      <c r="D20" s="820"/>
      <c r="E20" s="821" t="s">
        <v>19</v>
      </c>
      <c r="F20" s="820"/>
      <c r="G20" s="822"/>
      <c r="H20" s="28" t="s">
        <v>12</v>
      </c>
      <c r="I20" s="823"/>
      <c r="J20" s="823"/>
      <c r="K20" s="824"/>
      <c r="L20" s="824">
        <f t="shared" ca="1" si="11"/>
        <v>4070285</v>
      </c>
      <c r="M20" s="824">
        <f t="shared" ca="1" si="11"/>
        <v>3448430</v>
      </c>
      <c r="N20" s="824">
        <f t="shared" ca="1" si="11"/>
        <v>2019363.43</v>
      </c>
      <c r="O20" s="824">
        <f t="shared" ca="1" si="9"/>
        <v>49.612335008482205</v>
      </c>
      <c r="P20" s="824">
        <f t="shared" ca="1" si="10"/>
        <v>58.55892188619169</v>
      </c>
    </row>
    <row r="21" spans="1:16" ht="18.75">
      <c r="A21" s="826"/>
      <c r="B21" s="827"/>
      <c r="C21" s="827"/>
      <c r="D21" s="828" t="s">
        <v>20</v>
      </c>
      <c r="E21" s="827"/>
      <c r="F21" s="827"/>
      <c r="G21" s="829"/>
      <c r="H21" s="590" t="s">
        <v>12</v>
      </c>
      <c r="I21" s="830"/>
      <c r="J21" s="830"/>
      <c r="K21" s="831"/>
      <c r="L21" s="831">
        <f t="shared" ref="L21:N21" ca="1" si="12">L22+L23</f>
        <v>3794485</v>
      </c>
      <c r="M21" s="831">
        <f t="shared" ca="1" si="12"/>
        <v>3175830</v>
      </c>
      <c r="N21" s="831">
        <f t="shared" ca="1" si="12"/>
        <v>1746763.43</v>
      </c>
      <c r="O21" s="831">
        <f t="shared" ca="1" si="9"/>
        <v>46.034268945588138</v>
      </c>
      <c r="P21" s="831">
        <f t="shared" ca="1" si="10"/>
        <v>55.001792602248862</v>
      </c>
    </row>
    <row r="22" spans="1:16" ht="18.75" hidden="1">
      <c r="A22" s="832"/>
      <c r="B22" s="833"/>
      <c r="C22" s="833"/>
      <c r="D22" s="833"/>
      <c r="E22" s="834" t="s">
        <v>18</v>
      </c>
      <c r="F22" s="833"/>
      <c r="G22" s="835"/>
      <c r="H22" s="43" t="s">
        <v>12</v>
      </c>
      <c r="I22" s="836"/>
      <c r="J22" s="836"/>
      <c r="K22" s="837"/>
      <c r="L22" s="837">
        <f t="shared" ref="L22:N23" si="13">L45+L57+L70+L92+L123+L136+L153+L185+L169+L265+L281+L302+L319+L332+L349+L393+L406</f>
        <v>0</v>
      </c>
      <c r="M22" s="837">
        <f t="shared" si="13"/>
        <v>0</v>
      </c>
      <c r="N22" s="837">
        <f t="shared" si="13"/>
        <v>0</v>
      </c>
      <c r="O22" s="837">
        <f t="shared" si="9"/>
        <v>0</v>
      </c>
      <c r="P22" s="837">
        <f t="shared" si="10"/>
        <v>0</v>
      </c>
    </row>
    <row r="23" spans="1:16" ht="18.75" hidden="1">
      <c r="A23" s="832"/>
      <c r="B23" s="833"/>
      <c r="C23" s="833"/>
      <c r="D23" s="833"/>
      <c r="E23" s="834" t="s">
        <v>19</v>
      </c>
      <c r="F23" s="833"/>
      <c r="G23" s="835"/>
      <c r="H23" s="43" t="s">
        <v>12</v>
      </c>
      <c r="I23" s="836"/>
      <c r="J23" s="836"/>
      <c r="K23" s="837"/>
      <c r="L23" s="837">
        <f t="shared" ca="1" si="13"/>
        <v>3794485</v>
      </c>
      <c r="M23" s="837">
        <f t="shared" ca="1" si="13"/>
        <v>3175830</v>
      </c>
      <c r="N23" s="837">
        <f t="shared" ca="1" si="13"/>
        <v>1746763.43</v>
      </c>
      <c r="O23" s="837">
        <f t="shared" ca="1" si="9"/>
        <v>46.034268945588138</v>
      </c>
      <c r="P23" s="837">
        <f t="shared" ca="1" si="10"/>
        <v>55.001792602248862</v>
      </c>
    </row>
    <row r="24" spans="1:16" ht="18.75">
      <c r="A24" s="826"/>
      <c r="B24" s="827"/>
      <c r="C24" s="827"/>
      <c r="D24" s="828" t="s">
        <v>21</v>
      </c>
      <c r="E24" s="827"/>
      <c r="F24" s="827"/>
      <c r="G24" s="829"/>
      <c r="H24" s="590" t="s">
        <v>12</v>
      </c>
      <c r="I24" s="830"/>
      <c r="J24" s="830"/>
      <c r="K24" s="831"/>
      <c r="L24" s="831">
        <f t="shared" ref="L24:N24" ca="1" si="14">L25+L26</f>
        <v>275800</v>
      </c>
      <c r="M24" s="831">
        <f t="shared" ca="1" si="14"/>
        <v>272600</v>
      </c>
      <c r="N24" s="831">
        <f t="shared" ca="1" si="14"/>
        <v>272600</v>
      </c>
      <c r="O24" s="831">
        <f t="shared" ca="1" si="9"/>
        <v>98.839738941261785</v>
      </c>
      <c r="P24" s="831">
        <f t="shared" ca="1" si="10"/>
        <v>100</v>
      </c>
    </row>
    <row r="25" spans="1:16" ht="18.75" hidden="1">
      <c r="A25" s="832"/>
      <c r="B25" s="833"/>
      <c r="C25" s="833"/>
      <c r="D25" s="833"/>
      <c r="E25" s="834" t="s">
        <v>18</v>
      </c>
      <c r="F25" s="833"/>
      <c r="G25" s="835"/>
      <c r="H25" s="43" t="s">
        <v>12</v>
      </c>
      <c r="I25" s="836"/>
      <c r="J25" s="836"/>
      <c r="K25" s="837"/>
      <c r="L25" s="837">
        <f t="shared" ref="L25:N26" si="15">L48+L60+L73+L95+L126+L139+L156+L188+L172+L268+L284+L305+L322+L335+L352+L396+L409</f>
        <v>0</v>
      </c>
      <c r="M25" s="837">
        <f t="shared" si="15"/>
        <v>0</v>
      </c>
      <c r="N25" s="837">
        <f t="shared" si="15"/>
        <v>0</v>
      </c>
      <c r="O25" s="837">
        <f t="shared" si="9"/>
        <v>0</v>
      </c>
      <c r="P25" s="837">
        <f t="shared" si="10"/>
        <v>0</v>
      </c>
    </row>
    <row r="26" spans="1:16" ht="18.75" hidden="1">
      <c r="A26" s="838"/>
      <c r="B26" s="839"/>
      <c r="C26" s="839"/>
      <c r="D26" s="839"/>
      <c r="E26" s="840" t="s">
        <v>19</v>
      </c>
      <c r="F26" s="839"/>
      <c r="G26" s="841"/>
      <c r="H26" s="50" t="s">
        <v>12</v>
      </c>
      <c r="I26" s="842"/>
      <c r="J26" s="842"/>
      <c r="K26" s="843"/>
      <c r="L26" s="843">
        <f t="shared" ca="1" si="15"/>
        <v>275800</v>
      </c>
      <c r="M26" s="843">
        <f t="shared" ca="1" si="15"/>
        <v>272600</v>
      </c>
      <c r="N26" s="843">
        <f t="shared" ca="1" si="15"/>
        <v>272600</v>
      </c>
      <c r="O26" s="843">
        <f t="shared" ca="1" si="9"/>
        <v>98.839738941261785</v>
      </c>
      <c r="P26" s="843">
        <f t="shared" ca="1" si="10"/>
        <v>100</v>
      </c>
    </row>
    <row r="27" spans="1:16" ht="19.5">
      <c r="A27" s="1512" t="s">
        <v>23</v>
      </c>
      <c r="B27" s="1494"/>
      <c r="C27" s="1494"/>
      <c r="D27" s="1494"/>
      <c r="E27" s="1494"/>
      <c r="F27" s="1494"/>
      <c r="G27" s="1495"/>
      <c r="H27" s="807"/>
      <c r="I27" s="808"/>
      <c r="J27" s="808"/>
      <c r="K27" s="809"/>
      <c r="L27" s="809"/>
      <c r="M27" s="809"/>
      <c r="N27" s="809"/>
      <c r="O27" s="809"/>
      <c r="P27" s="809"/>
    </row>
    <row r="28" spans="1:16" ht="19.5">
      <c r="A28" s="810"/>
      <c r="B28" s="811"/>
      <c r="C28" s="812" t="s">
        <v>16</v>
      </c>
      <c r="D28" s="813" t="s">
        <v>17</v>
      </c>
      <c r="E28" s="811"/>
      <c r="F28" s="811"/>
      <c r="G28" s="814"/>
      <c r="H28" s="19" t="s">
        <v>12</v>
      </c>
      <c r="I28" s="815"/>
      <c r="J28" s="815"/>
      <c r="K28" s="816"/>
      <c r="L28" s="817">
        <f t="shared" ref="L28:N28" ca="1" si="16">L29+L30</f>
        <v>2653920</v>
      </c>
      <c r="M28" s="817">
        <f t="shared" si="16"/>
        <v>0</v>
      </c>
      <c r="N28" s="817">
        <f t="shared" si="16"/>
        <v>530314.35</v>
      </c>
      <c r="O28" s="817">
        <f t="shared" ref="O28:O37" ca="1" si="17">IF(L28&gt;0,N28*100/L28,0)</f>
        <v>19.982303535901611</v>
      </c>
      <c r="P28" s="817">
        <f t="shared" ref="P28:P37" si="18">IF(M28&gt;0,N28*100/M28,0)</f>
        <v>0</v>
      </c>
    </row>
    <row r="29" spans="1:16" ht="18.75" hidden="1">
      <c r="A29" s="819"/>
      <c r="B29" s="820"/>
      <c r="C29" s="820"/>
      <c r="D29" s="820"/>
      <c r="E29" s="821" t="s">
        <v>18</v>
      </c>
      <c r="F29" s="820"/>
      <c r="G29" s="822"/>
      <c r="H29" s="28" t="s">
        <v>12</v>
      </c>
      <c r="I29" s="823"/>
      <c r="J29" s="823"/>
      <c r="K29" s="824"/>
      <c r="L29" s="824">
        <f t="shared" ref="L29:N30" si="19">L32+L35</f>
        <v>0</v>
      </c>
      <c r="M29" s="824">
        <f t="shared" si="19"/>
        <v>0</v>
      </c>
      <c r="N29" s="824">
        <f t="shared" si="19"/>
        <v>0</v>
      </c>
      <c r="O29" s="824">
        <f t="shared" si="17"/>
        <v>0</v>
      </c>
      <c r="P29" s="824">
        <f t="shared" si="18"/>
        <v>0</v>
      </c>
    </row>
    <row r="30" spans="1:16" ht="18.75" hidden="1">
      <c r="A30" s="819"/>
      <c r="B30" s="820"/>
      <c r="C30" s="820"/>
      <c r="D30" s="820"/>
      <c r="E30" s="821" t="s">
        <v>19</v>
      </c>
      <c r="F30" s="820"/>
      <c r="G30" s="822"/>
      <c r="H30" s="28" t="s">
        <v>12</v>
      </c>
      <c r="I30" s="823"/>
      <c r="J30" s="823"/>
      <c r="K30" s="824"/>
      <c r="L30" s="824">
        <f t="shared" ca="1" si="19"/>
        <v>2653920</v>
      </c>
      <c r="M30" s="824">
        <f t="shared" si="19"/>
        <v>0</v>
      </c>
      <c r="N30" s="824">
        <f t="shared" si="19"/>
        <v>530314.35</v>
      </c>
      <c r="O30" s="824">
        <f t="shared" ca="1" si="17"/>
        <v>19.982303535901611</v>
      </c>
      <c r="P30" s="824">
        <f t="shared" si="18"/>
        <v>0</v>
      </c>
    </row>
    <row r="31" spans="1:16" ht="18.75">
      <c r="A31" s="826"/>
      <c r="B31" s="827"/>
      <c r="C31" s="827"/>
      <c r="D31" s="828" t="s">
        <v>20</v>
      </c>
      <c r="E31" s="827"/>
      <c r="F31" s="827"/>
      <c r="G31" s="829"/>
      <c r="H31" s="590" t="s">
        <v>12</v>
      </c>
      <c r="I31" s="830"/>
      <c r="J31" s="830"/>
      <c r="K31" s="831"/>
      <c r="L31" s="831">
        <f t="shared" ref="L31:N31" ca="1" si="20">L32+L33</f>
        <v>2653920</v>
      </c>
      <c r="M31" s="831">
        <f t="shared" si="20"/>
        <v>0</v>
      </c>
      <c r="N31" s="831">
        <f t="shared" si="20"/>
        <v>530314.35</v>
      </c>
      <c r="O31" s="831">
        <f t="shared" ca="1" si="17"/>
        <v>19.982303535901611</v>
      </c>
      <c r="P31" s="831">
        <f t="shared" si="18"/>
        <v>0</v>
      </c>
    </row>
    <row r="32" spans="1:16" ht="18.75" hidden="1">
      <c r="A32" s="832"/>
      <c r="B32" s="833"/>
      <c r="C32" s="833"/>
      <c r="D32" s="833"/>
      <c r="E32" s="834" t="s">
        <v>18</v>
      </c>
      <c r="F32" s="833"/>
      <c r="G32" s="835"/>
      <c r="H32" s="43" t="s">
        <v>12</v>
      </c>
      <c r="I32" s="836"/>
      <c r="J32" s="836"/>
      <c r="K32" s="837"/>
      <c r="L32" s="837">
        <f t="shared" ref="L32:N33" si="21">L423+L448+L471+L506+L527+L548+L633+L659+L689+L741+L758+L774+L790+L809</f>
        <v>0</v>
      </c>
      <c r="M32" s="837">
        <f t="shared" si="21"/>
        <v>0</v>
      </c>
      <c r="N32" s="837">
        <f t="shared" si="21"/>
        <v>0</v>
      </c>
      <c r="O32" s="837">
        <f t="shared" si="17"/>
        <v>0</v>
      </c>
      <c r="P32" s="837">
        <f t="shared" si="18"/>
        <v>0</v>
      </c>
    </row>
    <row r="33" spans="1:16" ht="18.75" hidden="1">
      <c r="A33" s="832"/>
      <c r="B33" s="833"/>
      <c r="C33" s="833"/>
      <c r="D33" s="833"/>
      <c r="E33" s="834" t="s">
        <v>19</v>
      </c>
      <c r="F33" s="833"/>
      <c r="G33" s="835"/>
      <c r="H33" s="43" t="s">
        <v>12</v>
      </c>
      <c r="I33" s="836"/>
      <c r="J33" s="836"/>
      <c r="K33" s="837"/>
      <c r="L33" s="837">
        <f t="shared" ca="1" si="21"/>
        <v>2653920</v>
      </c>
      <c r="M33" s="837">
        <f t="shared" si="21"/>
        <v>0</v>
      </c>
      <c r="N33" s="837">
        <f t="shared" si="21"/>
        <v>530314.35</v>
      </c>
      <c r="O33" s="837">
        <f t="shared" ca="1" si="17"/>
        <v>19.982303535901611</v>
      </c>
      <c r="P33" s="837">
        <f t="shared" si="18"/>
        <v>0</v>
      </c>
    </row>
    <row r="34" spans="1:16" ht="18.75">
      <c r="A34" s="826"/>
      <c r="B34" s="827"/>
      <c r="C34" s="827"/>
      <c r="D34" s="828" t="s">
        <v>21</v>
      </c>
      <c r="E34" s="827"/>
      <c r="F34" s="827"/>
      <c r="G34" s="829"/>
      <c r="H34" s="590" t="s">
        <v>12</v>
      </c>
      <c r="I34" s="830"/>
      <c r="J34" s="830"/>
      <c r="K34" s="831"/>
      <c r="L34" s="831">
        <f t="shared" ref="L34:N34" ca="1" si="22">L35+L36</f>
        <v>0</v>
      </c>
      <c r="M34" s="831">
        <f t="shared" si="22"/>
        <v>0</v>
      </c>
      <c r="N34" s="831">
        <f t="shared" si="22"/>
        <v>0</v>
      </c>
      <c r="O34" s="831">
        <f t="shared" ca="1" si="17"/>
        <v>0</v>
      </c>
      <c r="P34" s="831">
        <f t="shared" si="18"/>
        <v>0</v>
      </c>
    </row>
    <row r="35" spans="1:16" ht="18.75" hidden="1">
      <c r="A35" s="832"/>
      <c r="B35" s="833"/>
      <c r="C35" s="833"/>
      <c r="D35" s="833"/>
      <c r="E35" s="834" t="s">
        <v>18</v>
      </c>
      <c r="F35" s="833"/>
      <c r="G35" s="835"/>
      <c r="H35" s="43" t="s">
        <v>12</v>
      </c>
      <c r="I35" s="836"/>
      <c r="J35" s="836"/>
      <c r="K35" s="837"/>
      <c r="L35" s="837">
        <f t="shared" ref="L35:N36" si="23">L430+L455+L478+L513+L534+L556+L640+L666+L696+L748+L765+L781+L797+L816</f>
        <v>0</v>
      </c>
      <c r="M35" s="837">
        <f t="shared" si="23"/>
        <v>0</v>
      </c>
      <c r="N35" s="837">
        <f t="shared" si="23"/>
        <v>0</v>
      </c>
      <c r="O35" s="837">
        <f t="shared" si="17"/>
        <v>0</v>
      </c>
      <c r="P35" s="837">
        <f t="shared" si="18"/>
        <v>0</v>
      </c>
    </row>
    <row r="36" spans="1:16" ht="18.75" hidden="1">
      <c r="A36" s="838"/>
      <c r="B36" s="839"/>
      <c r="C36" s="839"/>
      <c r="D36" s="839"/>
      <c r="E36" s="840" t="s">
        <v>19</v>
      </c>
      <c r="F36" s="839"/>
      <c r="G36" s="841"/>
      <c r="H36" s="50" t="s">
        <v>12</v>
      </c>
      <c r="I36" s="842"/>
      <c r="J36" s="842"/>
      <c r="K36" s="843"/>
      <c r="L36" s="843">
        <f t="shared" ca="1" si="23"/>
        <v>0</v>
      </c>
      <c r="M36" s="843">
        <f t="shared" si="23"/>
        <v>0</v>
      </c>
      <c r="N36" s="843">
        <f t="shared" si="23"/>
        <v>0</v>
      </c>
      <c r="O36" s="843">
        <f t="shared" ca="1" si="17"/>
        <v>0</v>
      </c>
      <c r="P36" s="843">
        <f t="shared" si="18"/>
        <v>0</v>
      </c>
    </row>
    <row r="37" spans="1:16" ht="19.5">
      <c r="A37" s="844" t="s">
        <v>24</v>
      </c>
      <c r="B37" s="845"/>
      <c r="C37" s="845"/>
      <c r="D37" s="845"/>
      <c r="E37" s="845"/>
      <c r="F37" s="845"/>
      <c r="G37" s="846"/>
      <c r="H37" s="847"/>
      <c r="I37" s="848"/>
      <c r="J37" s="848"/>
      <c r="K37" s="849"/>
      <c r="L37" s="850">
        <f t="shared" ref="L37:N37" ca="1" si="24">L41+L53+L66+L88+L119+L132+L149+L165+L181+L261+L277+L298+L315+L328+L345+L389+L402</f>
        <v>4070285</v>
      </c>
      <c r="M37" s="850">
        <f t="shared" ca="1" si="24"/>
        <v>3448430</v>
      </c>
      <c r="N37" s="850">
        <f t="shared" ca="1" si="24"/>
        <v>2019363.43</v>
      </c>
      <c r="O37" s="850">
        <f t="shared" ca="1" si="17"/>
        <v>49.612335008482205</v>
      </c>
      <c r="P37" s="850">
        <f t="shared" ca="1" si="18"/>
        <v>58.55892188619169</v>
      </c>
    </row>
    <row r="38" spans="1:16" ht="19.5">
      <c r="A38" s="851" t="s">
        <v>25</v>
      </c>
      <c r="B38" s="852"/>
      <c r="C38" s="852"/>
      <c r="D38" s="852"/>
      <c r="E38" s="852"/>
      <c r="F38" s="852"/>
      <c r="G38" s="853"/>
      <c r="H38" s="854"/>
      <c r="I38" s="855"/>
      <c r="J38" s="855"/>
      <c r="K38" s="856"/>
      <c r="L38" s="856"/>
      <c r="M38" s="856"/>
      <c r="N38" s="856"/>
      <c r="O38" s="856"/>
      <c r="P38" s="856"/>
    </row>
    <row r="39" spans="1:16" ht="19.5">
      <c r="A39" s="857"/>
      <c r="B39" s="858" t="s">
        <v>26</v>
      </c>
      <c r="C39" s="859"/>
      <c r="D39" s="859"/>
      <c r="E39" s="859"/>
      <c r="F39" s="859"/>
      <c r="G39" s="860"/>
      <c r="H39" s="861"/>
      <c r="I39" s="862"/>
      <c r="J39" s="862"/>
      <c r="K39" s="863"/>
      <c r="L39" s="863"/>
      <c r="M39" s="863"/>
      <c r="N39" s="863"/>
      <c r="O39" s="863"/>
      <c r="P39" s="863"/>
    </row>
    <row r="40" spans="1:16" ht="19.5">
      <c r="A40" s="864"/>
      <c r="B40" s="1513" t="s">
        <v>27</v>
      </c>
      <c r="C40" s="1485"/>
      <c r="D40" s="1485"/>
      <c r="E40" s="1485"/>
      <c r="F40" s="1485"/>
      <c r="G40" s="1491"/>
      <c r="H40" s="865"/>
      <c r="I40" s="866"/>
      <c r="J40" s="866"/>
      <c r="K40" s="867"/>
      <c r="L40" s="867"/>
      <c r="M40" s="867"/>
      <c r="N40" s="867"/>
      <c r="O40" s="867"/>
      <c r="P40" s="867"/>
    </row>
    <row r="41" spans="1:16" ht="19.5">
      <c r="A41" s="868"/>
      <c r="B41" s="869"/>
      <c r="C41" s="870" t="s">
        <v>16</v>
      </c>
      <c r="D41" s="871" t="s">
        <v>17</v>
      </c>
      <c r="E41" s="869"/>
      <c r="F41" s="869"/>
      <c r="G41" s="872"/>
      <c r="H41" s="82" t="s">
        <v>12</v>
      </c>
      <c r="I41" s="873"/>
      <c r="J41" s="873"/>
      <c r="K41" s="874"/>
      <c r="L41" s="875">
        <f t="shared" ref="L41:N41" ca="1" si="25">L42+L43</f>
        <v>849550</v>
      </c>
      <c r="M41" s="875">
        <f t="shared" ca="1" si="25"/>
        <v>852280</v>
      </c>
      <c r="N41" s="875">
        <f t="shared" ca="1" si="25"/>
        <v>348928</v>
      </c>
      <c r="O41" s="875">
        <f t="shared" ref="O41:O49" ca="1" si="26">IF(L41&gt;0,N41*100/L41,0)</f>
        <v>41.072096992525452</v>
      </c>
      <c r="P41" s="875">
        <f t="shared" ref="P41:P49" ca="1" si="27">IF(M41&gt;0,N41*100/M41,0)</f>
        <v>40.940535974093024</v>
      </c>
    </row>
    <row r="42" spans="1:16" ht="18.75" hidden="1">
      <c r="A42" s="876"/>
      <c r="B42" s="877"/>
      <c r="C42" s="877"/>
      <c r="D42" s="877"/>
      <c r="E42" s="878" t="s">
        <v>18</v>
      </c>
      <c r="F42" s="877"/>
      <c r="G42" s="879"/>
      <c r="H42" s="90" t="s">
        <v>12</v>
      </c>
      <c r="I42" s="880"/>
      <c r="J42" s="880"/>
      <c r="K42" s="881"/>
      <c r="L42" s="881">
        <f t="shared" ref="L42:N43" si="28">L45+L48</f>
        <v>0</v>
      </c>
      <c r="M42" s="881">
        <f t="shared" si="28"/>
        <v>0</v>
      </c>
      <c r="N42" s="881">
        <f t="shared" si="28"/>
        <v>0</v>
      </c>
      <c r="O42" s="881">
        <f t="shared" si="26"/>
        <v>0</v>
      </c>
      <c r="P42" s="881">
        <f t="shared" si="27"/>
        <v>0</v>
      </c>
    </row>
    <row r="43" spans="1:16" ht="18.75" hidden="1">
      <c r="A43" s="876"/>
      <c r="B43" s="877"/>
      <c r="C43" s="877"/>
      <c r="D43" s="877"/>
      <c r="E43" s="878" t="s">
        <v>19</v>
      </c>
      <c r="F43" s="877"/>
      <c r="G43" s="879"/>
      <c r="H43" s="90" t="s">
        <v>12</v>
      </c>
      <c r="I43" s="880"/>
      <c r="J43" s="880"/>
      <c r="K43" s="881"/>
      <c r="L43" s="881">
        <f t="shared" ca="1" si="28"/>
        <v>849550</v>
      </c>
      <c r="M43" s="881">
        <f t="shared" ca="1" si="28"/>
        <v>852280</v>
      </c>
      <c r="N43" s="881">
        <f t="shared" ca="1" si="28"/>
        <v>348928</v>
      </c>
      <c r="O43" s="881">
        <f t="shared" ca="1" si="26"/>
        <v>41.072096992525452</v>
      </c>
      <c r="P43" s="881">
        <f t="shared" ca="1" si="27"/>
        <v>40.940535974093024</v>
      </c>
    </row>
    <row r="44" spans="1:16" ht="18.75">
      <c r="A44" s="826"/>
      <c r="B44" s="827"/>
      <c r="C44" s="827"/>
      <c r="D44" s="828" t="s">
        <v>20</v>
      </c>
      <c r="E44" s="827"/>
      <c r="F44" s="827"/>
      <c r="G44" s="829"/>
      <c r="H44" s="590" t="s">
        <v>12</v>
      </c>
      <c r="I44" s="830"/>
      <c r="J44" s="830"/>
      <c r="K44" s="831"/>
      <c r="L44" s="831">
        <f t="shared" ref="L44:N44" ca="1" si="29">L45+L46</f>
        <v>849550</v>
      </c>
      <c r="M44" s="831">
        <f t="shared" ca="1" si="29"/>
        <v>852280</v>
      </c>
      <c r="N44" s="831">
        <f t="shared" ca="1" si="29"/>
        <v>348928</v>
      </c>
      <c r="O44" s="831">
        <f t="shared" ca="1" si="26"/>
        <v>41.072096992525452</v>
      </c>
      <c r="P44" s="831">
        <f t="shared" ca="1" si="27"/>
        <v>40.940535974093024</v>
      </c>
    </row>
    <row r="45" spans="1:16" ht="18.75" hidden="1">
      <c r="A45" s="832"/>
      <c r="B45" s="833"/>
      <c r="C45" s="833"/>
      <c r="D45" s="833"/>
      <c r="E45" s="834" t="s">
        <v>18</v>
      </c>
      <c r="F45" s="833"/>
      <c r="G45" s="835"/>
      <c r="H45" s="43" t="s">
        <v>12</v>
      </c>
      <c r="I45" s="836"/>
      <c r="J45" s="836"/>
      <c r="K45" s="837"/>
      <c r="L45" s="837">
        <v>0</v>
      </c>
      <c r="M45" s="837">
        <v>0</v>
      </c>
      <c r="N45" s="837">
        <v>0</v>
      </c>
      <c r="O45" s="837">
        <f t="shared" si="26"/>
        <v>0</v>
      </c>
      <c r="P45" s="837">
        <f t="shared" si="27"/>
        <v>0</v>
      </c>
    </row>
    <row r="46" spans="1:16" ht="18.75" hidden="1">
      <c r="A46" s="832"/>
      <c r="B46" s="833"/>
      <c r="C46" s="833"/>
      <c r="D46" s="833"/>
      <c r="E46" s="834" t="s">
        <v>19</v>
      </c>
      <c r="F46" s="833"/>
      <c r="G46" s="835"/>
      <c r="H46" s="43" t="s">
        <v>12</v>
      </c>
      <c r="I46" s="836"/>
      <c r="J46" s="836"/>
      <c r="K46" s="837"/>
      <c r="L46" s="837">
        <f ca="1">IFERROR(__xludf.DUMMYFUNCTION("IMPORTRANGE(""https://docs.google.com/spreadsheets/d/1MeEWN-I1oV_STSDYn1IFDPWt_1FKiwhDph83XaGc0o0/edit?usp=sharing"",""งบพรบ!M16"")"),849550)</f>
        <v>849550</v>
      </c>
      <c r="M46" s="837">
        <f ca="1">IFERROR(__xludf.DUMMYFUNCTION("IMPORTRANGE(""https://docs.google.com/spreadsheets/d/1MeEWN-I1oV_STSDYn1IFDPWt_1FKiwhDph83XaGc0o0/edit?usp=sharing"",""งบพรบ!R16"")"),852280)</f>
        <v>852280</v>
      </c>
      <c r="N46" s="837">
        <f ca="1">IFERROR(__xludf.DUMMYFUNCTION("IMPORTRANGE(""https://docs.google.com/spreadsheets/d/1MeEWN-I1oV_STSDYn1IFDPWt_1FKiwhDph83XaGc0o0/edit?usp=sharing"",""งบพรบ!T16"")"),348928)</f>
        <v>348928</v>
      </c>
      <c r="O46" s="837">
        <f t="shared" ca="1" si="26"/>
        <v>41.072096992525452</v>
      </c>
      <c r="P46" s="837">
        <f t="shared" ca="1" si="27"/>
        <v>40.940535974093024</v>
      </c>
    </row>
    <row r="47" spans="1:16" ht="18.75">
      <c r="A47" s="826"/>
      <c r="B47" s="827"/>
      <c r="C47" s="827"/>
      <c r="D47" s="828" t="s">
        <v>21</v>
      </c>
      <c r="E47" s="827"/>
      <c r="F47" s="827"/>
      <c r="G47" s="829"/>
      <c r="H47" s="590" t="s">
        <v>12</v>
      </c>
      <c r="I47" s="830"/>
      <c r="J47" s="830"/>
      <c r="K47" s="831"/>
      <c r="L47" s="831">
        <f t="shared" ref="L47:N47" ca="1" si="30">L48+L49</f>
        <v>0</v>
      </c>
      <c r="M47" s="831">
        <f t="shared" ca="1" si="30"/>
        <v>0</v>
      </c>
      <c r="N47" s="831">
        <f t="shared" ca="1" si="30"/>
        <v>0</v>
      </c>
      <c r="O47" s="831">
        <f t="shared" ca="1" si="26"/>
        <v>0</v>
      </c>
      <c r="P47" s="831">
        <f t="shared" ca="1" si="27"/>
        <v>0</v>
      </c>
    </row>
    <row r="48" spans="1:16" ht="18.75" hidden="1">
      <c r="A48" s="832"/>
      <c r="B48" s="833"/>
      <c r="C48" s="833"/>
      <c r="D48" s="833"/>
      <c r="E48" s="834" t="s">
        <v>18</v>
      </c>
      <c r="F48" s="833"/>
      <c r="G48" s="835"/>
      <c r="H48" s="43" t="s">
        <v>12</v>
      </c>
      <c r="I48" s="836"/>
      <c r="J48" s="836"/>
      <c r="K48" s="837"/>
      <c r="L48" s="837">
        <v>0</v>
      </c>
      <c r="M48" s="837">
        <v>0</v>
      </c>
      <c r="N48" s="837">
        <v>0</v>
      </c>
      <c r="O48" s="837">
        <f t="shared" si="26"/>
        <v>0</v>
      </c>
      <c r="P48" s="837">
        <f t="shared" si="27"/>
        <v>0</v>
      </c>
    </row>
    <row r="49" spans="1:16" ht="18.75" hidden="1">
      <c r="A49" s="838"/>
      <c r="B49" s="839"/>
      <c r="C49" s="839"/>
      <c r="D49" s="839"/>
      <c r="E49" s="840" t="s">
        <v>19</v>
      </c>
      <c r="F49" s="839"/>
      <c r="G49" s="841"/>
      <c r="H49" s="50" t="s">
        <v>12</v>
      </c>
      <c r="I49" s="842"/>
      <c r="J49" s="842"/>
      <c r="K49" s="843"/>
      <c r="L49" s="843">
        <f ca="1">IFERROR(__xludf.DUMMYFUNCTION("IMPORTRANGE(""https://docs.google.com/spreadsheets/d/1MeEWN-I1oV_STSDYn1IFDPWt_1FKiwhDph83XaGc0o0/edit?usp=sharing"",""งบพรบ!P16"")"),0)</f>
        <v>0</v>
      </c>
      <c r="M49" s="843">
        <f ca="1">IFERROR(__xludf.DUMMYFUNCTION("IMPORTRANGE(""https://docs.google.com/spreadsheets/d/1MeEWN-I1oV_STSDYn1IFDPWt_1FKiwhDph83XaGc0o0/edit?usp=sharing"",""งบพรบ!S16"")"),0)</f>
        <v>0</v>
      </c>
      <c r="N49" s="843">
        <f ca="1">IFERROR(__xludf.DUMMYFUNCTION("IMPORTRANGE(""https://docs.google.com/spreadsheets/d/1MeEWN-I1oV_STSDYn1IFDPWt_1FKiwhDph83XaGc0o0/edit?usp=sharing"",""งบพรบ!U16"")"),0)</f>
        <v>0</v>
      </c>
      <c r="O49" s="843">
        <f t="shared" ca="1" si="26"/>
        <v>0</v>
      </c>
      <c r="P49" s="843">
        <f t="shared" ca="1" si="27"/>
        <v>0</v>
      </c>
    </row>
    <row r="50" spans="1:16" ht="19.5">
      <c r="A50" s="1514" t="s">
        <v>28</v>
      </c>
      <c r="B50" s="1494"/>
      <c r="C50" s="1494"/>
      <c r="D50" s="1494"/>
      <c r="E50" s="1494"/>
      <c r="F50" s="1494"/>
      <c r="G50" s="1495"/>
      <c r="H50" s="882"/>
      <c r="I50" s="883"/>
      <c r="J50" s="883"/>
      <c r="K50" s="884"/>
      <c r="L50" s="884"/>
      <c r="M50" s="884"/>
      <c r="N50" s="884"/>
      <c r="O50" s="884"/>
      <c r="P50" s="884"/>
    </row>
    <row r="51" spans="1:16" ht="19.5">
      <c r="A51" s="885"/>
      <c r="B51" s="1515" t="s">
        <v>29</v>
      </c>
      <c r="C51" s="1485"/>
      <c r="D51" s="1485"/>
      <c r="E51" s="1485"/>
      <c r="F51" s="1485"/>
      <c r="G51" s="1491"/>
      <c r="H51" s="886"/>
      <c r="I51" s="887"/>
      <c r="J51" s="887"/>
      <c r="K51" s="888"/>
      <c r="L51" s="888"/>
      <c r="M51" s="888"/>
      <c r="N51" s="888"/>
      <c r="O51" s="888"/>
      <c r="P51" s="888"/>
    </row>
    <row r="52" spans="1:16" ht="19.5">
      <c r="A52" s="889"/>
      <c r="B52" s="890" t="s">
        <v>30</v>
      </c>
      <c r="C52" s="891"/>
      <c r="D52" s="891"/>
      <c r="E52" s="891"/>
      <c r="F52" s="891"/>
      <c r="G52" s="892"/>
      <c r="H52" s="893"/>
      <c r="I52" s="894"/>
      <c r="J52" s="894"/>
      <c r="K52" s="895"/>
      <c r="L52" s="895"/>
      <c r="M52" s="895"/>
      <c r="N52" s="895"/>
      <c r="O52" s="895"/>
      <c r="P52" s="895"/>
    </row>
    <row r="53" spans="1:16" ht="19.5">
      <c r="A53" s="896"/>
      <c r="B53" s="897"/>
      <c r="C53" s="898" t="s">
        <v>16</v>
      </c>
      <c r="D53" s="899" t="s">
        <v>17</v>
      </c>
      <c r="E53" s="897"/>
      <c r="F53" s="897"/>
      <c r="G53" s="900"/>
      <c r="H53" s="113" t="s">
        <v>12</v>
      </c>
      <c r="I53" s="901"/>
      <c r="J53" s="901"/>
      <c r="K53" s="902"/>
      <c r="L53" s="903">
        <f t="shared" ref="L53:N53" ca="1" si="31">L54+L55</f>
        <v>903400</v>
      </c>
      <c r="M53" s="903">
        <f t="shared" ca="1" si="31"/>
        <v>722350</v>
      </c>
      <c r="N53" s="903">
        <f t="shared" ca="1" si="31"/>
        <v>563845.12</v>
      </c>
      <c r="O53" s="903">
        <f t="shared" ref="O53:O61" ca="1" si="32">IF(L53&gt;0,N53*100/L53,0)</f>
        <v>62.413672791675893</v>
      </c>
      <c r="P53" s="903">
        <f t="shared" ref="P53:P61" ca="1" si="33">IF(M53&gt;0,N53*100/M53,0)</f>
        <v>78.057052675295907</v>
      </c>
    </row>
    <row r="54" spans="1:16" ht="18.75" hidden="1">
      <c r="A54" s="904"/>
      <c r="B54" s="905"/>
      <c r="C54" s="905"/>
      <c r="D54" s="905"/>
      <c r="E54" s="906" t="s">
        <v>18</v>
      </c>
      <c r="F54" s="905"/>
      <c r="G54" s="907"/>
      <c r="H54" s="121" t="s">
        <v>12</v>
      </c>
      <c r="I54" s="908"/>
      <c r="J54" s="908"/>
      <c r="K54" s="909"/>
      <c r="L54" s="909">
        <f t="shared" ref="L54:N55" si="34">L57+L60</f>
        <v>0</v>
      </c>
      <c r="M54" s="909">
        <f t="shared" si="34"/>
        <v>0</v>
      </c>
      <c r="N54" s="909">
        <f t="shared" si="34"/>
        <v>0</v>
      </c>
      <c r="O54" s="909">
        <f t="shared" si="32"/>
        <v>0</v>
      </c>
      <c r="P54" s="909">
        <f t="shared" si="33"/>
        <v>0</v>
      </c>
    </row>
    <row r="55" spans="1:16" ht="18.75" hidden="1">
      <c r="A55" s="904"/>
      <c r="B55" s="905"/>
      <c r="C55" s="905"/>
      <c r="D55" s="905"/>
      <c r="E55" s="906" t="s">
        <v>19</v>
      </c>
      <c r="F55" s="905"/>
      <c r="G55" s="907"/>
      <c r="H55" s="121" t="s">
        <v>12</v>
      </c>
      <c r="I55" s="908"/>
      <c r="J55" s="908"/>
      <c r="K55" s="909"/>
      <c r="L55" s="909">
        <f t="shared" ca="1" si="34"/>
        <v>903400</v>
      </c>
      <c r="M55" s="909">
        <f t="shared" ca="1" si="34"/>
        <v>722350</v>
      </c>
      <c r="N55" s="909">
        <f t="shared" ca="1" si="34"/>
        <v>563845.12</v>
      </c>
      <c r="O55" s="909">
        <f t="shared" ca="1" si="32"/>
        <v>62.413672791675893</v>
      </c>
      <c r="P55" s="909">
        <f t="shared" ca="1" si="33"/>
        <v>78.057052675295907</v>
      </c>
    </row>
    <row r="56" spans="1:16" ht="18.75">
      <c r="A56" s="826"/>
      <c r="B56" s="827"/>
      <c r="C56" s="827"/>
      <c r="D56" s="828" t="s">
        <v>20</v>
      </c>
      <c r="E56" s="827"/>
      <c r="F56" s="827"/>
      <c r="G56" s="829"/>
      <c r="H56" s="590" t="s">
        <v>12</v>
      </c>
      <c r="I56" s="830"/>
      <c r="J56" s="830"/>
      <c r="K56" s="831"/>
      <c r="L56" s="831">
        <f t="shared" ref="L56:N56" ca="1" si="35">L57+L58</f>
        <v>711400</v>
      </c>
      <c r="M56" s="831">
        <f t="shared" ca="1" si="35"/>
        <v>533550</v>
      </c>
      <c r="N56" s="831">
        <f t="shared" ca="1" si="35"/>
        <v>375045.12</v>
      </c>
      <c r="O56" s="831">
        <f t="shared" ca="1" si="32"/>
        <v>52.719302783244309</v>
      </c>
      <c r="P56" s="831">
        <f t="shared" ca="1" si="33"/>
        <v>70.292403710992403</v>
      </c>
    </row>
    <row r="57" spans="1:16" ht="18.75" hidden="1">
      <c r="A57" s="832"/>
      <c r="B57" s="833"/>
      <c r="C57" s="833"/>
      <c r="D57" s="833"/>
      <c r="E57" s="834" t="s">
        <v>18</v>
      </c>
      <c r="F57" s="833"/>
      <c r="G57" s="835"/>
      <c r="H57" s="43" t="s">
        <v>12</v>
      </c>
      <c r="I57" s="836"/>
      <c r="J57" s="836"/>
      <c r="K57" s="837"/>
      <c r="L57" s="837">
        <v>0</v>
      </c>
      <c r="M57" s="837">
        <v>0</v>
      </c>
      <c r="N57" s="837">
        <v>0</v>
      </c>
      <c r="O57" s="837">
        <f t="shared" si="32"/>
        <v>0</v>
      </c>
      <c r="P57" s="837">
        <f t="shared" si="33"/>
        <v>0</v>
      </c>
    </row>
    <row r="58" spans="1:16" ht="18.75" hidden="1">
      <c r="A58" s="832"/>
      <c r="B58" s="833"/>
      <c r="C58" s="833"/>
      <c r="D58" s="833"/>
      <c r="E58" s="834" t="s">
        <v>19</v>
      </c>
      <c r="F58" s="833"/>
      <c r="G58" s="835"/>
      <c r="H58" s="43" t="s">
        <v>12</v>
      </c>
      <c r="I58" s="836"/>
      <c r="J58" s="836"/>
      <c r="K58" s="837"/>
      <c r="L58" s="837">
        <f ca="1">IFERROR(__xludf.DUMMYFUNCTION("IMPORTRANGE(""https://docs.google.com/spreadsheets/d/1MeEWN-I1oV_STSDYn1IFDPWt_1FKiwhDph83XaGc0o0/edit?usp=sharing"",""งบพรบ!W16"")"),711400)</f>
        <v>711400</v>
      </c>
      <c r="M58" s="837">
        <f ca="1">IFERROR(__xludf.DUMMYFUNCTION("IMPORTRANGE(""https://docs.google.com/spreadsheets/d/1MeEWN-I1oV_STSDYn1IFDPWt_1FKiwhDph83XaGc0o0/edit?usp=sharing"",""งบพรบ!AB16"")"),533550)</f>
        <v>533550</v>
      </c>
      <c r="N58" s="837">
        <f ca="1">IFERROR(__xludf.DUMMYFUNCTION("IMPORTRANGE(""https://docs.google.com/spreadsheets/d/1MeEWN-I1oV_STSDYn1IFDPWt_1FKiwhDph83XaGc0o0/edit?usp=sharing"",""งบพรบ!AD16"")"),375045.12)</f>
        <v>375045.12</v>
      </c>
      <c r="O58" s="837">
        <f t="shared" ca="1" si="32"/>
        <v>52.719302783244309</v>
      </c>
      <c r="P58" s="837">
        <f t="shared" ca="1" si="33"/>
        <v>70.292403710992403</v>
      </c>
    </row>
    <row r="59" spans="1:16" ht="18.75">
      <c r="A59" s="826"/>
      <c r="B59" s="827"/>
      <c r="C59" s="827"/>
      <c r="D59" s="828" t="s">
        <v>21</v>
      </c>
      <c r="E59" s="827"/>
      <c r="F59" s="827"/>
      <c r="G59" s="829"/>
      <c r="H59" s="590" t="s">
        <v>12</v>
      </c>
      <c r="I59" s="830"/>
      <c r="J59" s="830"/>
      <c r="K59" s="831"/>
      <c r="L59" s="831">
        <f t="shared" ref="L59:N59" ca="1" si="36">L60+L61</f>
        <v>192000</v>
      </c>
      <c r="M59" s="831">
        <f t="shared" ca="1" si="36"/>
        <v>188800</v>
      </c>
      <c r="N59" s="831">
        <f t="shared" ca="1" si="36"/>
        <v>188800</v>
      </c>
      <c r="O59" s="831">
        <f t="shared" ca="1" si="32"/>
        <v>98.333333333333329</v>
      </c>
      <c r="P59" s="831">
        <f t="shared" ca="1" si="33"/>
        <v>100</v>
      </c>
    </row>
    <row r="60" spans="1:16" ht="18.75" hidden="1">
      <c r="A60" s="832"/>
      <c r="B60" s="833"/>
      <c r="C60" s="833"/>
      <c r="D60" s="833"/>
      <c r="E60" s="834" t="s">
        <v>18</v>
      </c>
      <c r="F60" s="833"/>
      <c r="G60" s="835"/>
      <c r="H60" s="43" t="s">
        <v>12</v>
      </c>
      <c r="I60" s="836"/>
      <c r="J60" s="836"/>
      <c r="K60" s="837"/>
      <c r="L60" s="837">
        <v>0</v>
      </c>
      <c r="M60" s="837">
        <v>0</v>
      </c>
      <c r="N60" s="837">
        <v>0</v>
      </c>
      <c r="O60" s="837">
        <f t="shared" si="32"/>
        <v>0</v>
      </c>
      <c r="P60" s="837">
        <f t="shared" si="33"/>
        <v>0</v>
      </c>
    </row>
    <row r="61" spans="1:16" ht="18.75" hidden="1">
      <c r="A61" s="838"/>
      <c r="B61" s="839"/>
      <c r="C61" s="839"/>
      <c r="D61" s="839"/>
      <c r="E61" s="840" t="s">
        <v>19</v>
      </c>
      <c r="F61" s="839"/>
      <c r="G61" s="841"/>
      <c r="H61" s="50" t="s">
        <v>12</v>
      </c>
      <c r="I61" s="842"/>
      <c r="J61" s="842"/>
      <c r="K61" s="843"/>
      <c r="L61" s="843">
        <f ca="1">IFERROR(__xludf.DUMMYFUNCTION("IMPORTRANGE(""https://docs.google.com/spreadsheets/d/1MeEWN-I1oV_STSDYn1IFDPWt_1FKiwhDph83XaGc0o0/edit?usp=sharing"",""งบพรบ!Z16"")"),192000)</f>
        <v>192000</v>
      </c>
      <c r="M61" s="843">
        <f ca="1">IFERROR(__xludf.DUMMYFUNCTION("IMPORTRANGE(""https://docs.google.com/spreadsheets/d/1MeEWN-I1oV_STSDYn1IFDPWt_1FKiwhDph83XaGc0o0/edit?usp=sharing"",""งบพรบ!AC16"")"),188800)</f>
        <v>188800</v>
      </c>
      <c r="N61" s="843">
        <f ca="1">IFERROR(__xludf.DUMMYFUNCTION("IMPORTRANGE(""https://docs.google.com/spreadsheets/d/1MeEWN-I1oV_STSDYn1IFDPWt_1FKiwhDph83XaGc0o0/edit?usp=sharing"",""งบพรบ!AE16"")"),188800)</f>
        <v>188800</v>
      </c>
      <c r="O61" s="843">
        <f t="shared" ca="1" si="32"/>
        <v>98.333333333333329</v>
      </c>
      <c r="P61" s="843">
        <f t="shared" ca="1" si="33"/>
        <v>100</v>
      </c>
    </row>
    <row r="62" spans="1:16" ht="19.5">
      <c r="A62" s="910" t="s">
        <v>31</v>
      </c>
      <c r="B62" s="911"/>
      <c r="C62" s="911"/>
      <c r="D62" s="911"/>
      <c r="E62" s="912"/>
      <c r="F62" s="912"/>
      <c r="G62" s="913"/>
      <c r="H62" s="914"/>
      <c r="I62" s="915"/>
      <c r="J62" s="915"/>
      <c r="K62" s="916"/>
      <c r="L62" s="916"/>
      <c r="M62" s="916"/>
      <c r="N62" s="916"/>
      <c r="O62" s="916"/>
      <c r="P62" s="916"/>
    </row>
    <row r="63" spans="1:16" ht="19.5" hidden="1">
      <c r="A63" s="917" t="s">
        <v>32</v>
      </c>
      <c r="B63" s="918"/>
      <c r="C63" s="919"/>
      <c r="D63" s="918"/>
      <c r="E63" s="918"/>
      <c r="F63" s="918"/>
      <c r="G63" s="920"/>
      <c r="H63" s="921"/>
      <c r="I63" s="922"/>
      <c r="J63" s="922"/>
      <c r="K63" s="923"/>
      <c r="L63" s="923"/>
      <c r="M63" s="923"/>
      <c r="N63" s="923"/>
      <c r="O63" s="923"/>
      <c r="P63" s="923"/>
    </row>
    <row r="64" spans="1:16" ht="19.5" hidden="1">
      <c r="A64" s="924"/>
      <c r="B64" s="925" t="s">
        <v>33</v>
      </c>
      <c r="C64" s="926"/>
      <c r="D64" s="927"/>
      <c r="E64" s="926"/>
      <c r="F64" s="926"/>
      <c r="G64" s="928"/>
      <c r="H64" s="205" t="s">
        <v>34</v>
      </c>
      <c r="I64" s="929">
        <f t="shared" ref="I64:J65" ca="1" si="37">I76</f>
        <v>0</v>
      </c>
      <c r="J64" s="929">
        <f t="shared" si="37"/>
        <v>0</v>
      </c>
      <c r="K64" s="930">
        <f t="shared" ref="K64:K65" ca="1" si="38">IF(I64&gt;0,J64*100/I64,0)</f>
        <v>0</v>
      </c>
      <c r="L64" s="931"/>
      <c r="M64" s="931"/>
      <c r="N64" s="931"/>
      <c r="O64" s="931"/>
      <c r="P64" s="931"/>
    </row>
    <row r="65" spans="1:16" ht="19.5" hidden="1">
      <c r="A65" s="924"/>
      <c r="B65" s="926"/>
      <c r="C65" s="926"/>
      <c r="D65" s="927"/>
      <c r="E65" s="926"/>
      <c r="F65" s="926"/>
      <c r="G65" s="928"/>
      <c r="H65" s="205" t="s">
        <v>35</v>
      </c>
      <c r="I65" s="929">
        <f t="shared" ca="1" si="37"/>
        <v>0</v>
      </c>
      <c r="J65" s="929">
        <f t="shared" si="37"/>
        <v>0</v>
      </c>
      <c r="K65" s="930">
        <f t="shared" ca="1" si="38"/>
        <v>0</v>
      </c>
      <c r="L65" s="931"/>
      <c r="M65" s="931"/>
      <c r="N65" s="931"/>
      <c r="O65" s="931"/>
      <c r="P65" s="931"/>
    </row>
    <row r="66" spans="1:16" ht="19.5" hidden="1">
      <c r="A66" s="932"/>
      <c r="B66" s="933"/>
      <c r="C66" s="934" t="s">
        <v>16</v>
      </c>
      <c r="D66" s="935" t="s">
        <v>17</v>
      </c>
      <c r="E66" s="933"/>
      <c r="F66" s="933"/>
      <c r="G66" s="936"/>
      <c r="H66" s="152" t="s">
        <v>12</v>
      </c>
      <c r="I66" s="937"/>
      <c r="J66" s="937"/>
      <c r="K66" s="938"/>
      <c r="L66" s="939">
        <f t="shared" ref="L66:N66" ca="1" si="39">L67+L68</f>
        <v>0</v>
      </c>
      <c r="M66" s="939">
        <f t="shared" ca="1" si="39"/>
        <v>0</v>
      </c>
      <c r="N66" s="939">
        <f t="shared" ca="1" si="39"/>
        <v>0</v>
      </c>
      <c r="O66" s="939">
        <f t="shared" ref="O66:O74" ca="1" si="40">IF(L66&gt;0,N66*100/L66,0)</f>
        <v>0</v>
      </c>
      <c r="P66" s="939">
        <f t="shared" ref="P66:P74" ca="1" si="41">IF(M66&gt;0,N66*100/M66,0)</f>
        <v>0</v>
      </c>
    </row>
    <row r="67" spans="1:16" ht="18.75" hidden="1">
      <c r="A67" s="940"/>
      <c r="B67" s="833"/>
      <c r="C67" s="833"/>
      <c r="D67" s="833"/>
      <c r="E67" s="834" t="s">
        <v>18</v>
      </c>
      <c r="F67" s="833"/>
      <c r="G67" s="941"/>
      <c r="H67" s="158" t="s">
        <v>12</v>
      </c>
      <c r="I67" s="836"/>
      <c r="J67" s="836"/>
      <c r="K67" s="837"/>
      <c r="L67" s="837">
        <f t="shared" ref="L67:N68" si="42">L70+L73</f>
        <v>0</v>
      </c>
      <c r="M67" s="837">
        <f t="shared" si="42"/>
        <v>0</v>
      </c>
      <c r="N67" s="837">
        <f t="shared" si="42"/>
        <v>0</v>
      </c>
      <c r="O67" s="837">
        <f t="shared" si="40"/>
        <v>0</v>
      </c>
      <c r="P67" s="837">
        <f t="shared" si="41"/>
        <v>0</v>
      </c>
    </row>
    <row r="68" spans="1:16" ht="18.75" hidden="1">
      <c r="A68" s="940"/>
      <c r="B68" s="833"/>
      <c r="C68" s="833"/>
      <c r="D68" s="833"/>
      <c r="E68" s="834" t="s">
        <v>19</v>
      </c>
      <c r="F68" s="833"/>
      <c r="G68" s="941"/>
      <c r="H68" s="158" t="s">
        <v>12</v>
      </c>
      <c r="I68" s="836"/>
      <c r="J68" s="836"/>
      <c r="K68" s="837"/>
      <c r="L68" s="837">
        <f t="shared" ca="1" si="42"/>
        <v>0</v>
      </c>
      <c r="M68" s="837">
        <f t="shared" ca="1" si="42"/>
        <v>0</v>
      </c>
      <c r="N68" s="837">
        <f t="shared" ca="1" si="42"/>
        <v>0</v>
      </c>
      <c r="O68" s="837">
        <f t="shared" ca="1" si="40"/>
        <v>0</v>
      </c>
      <c r="P68" s="837">
        <f t="shared" ca="1" si="41"/>
        <v>0</v>
      </c>
    </row>
    <row r="69" spans="1:16" ht="18.75" hidden="1">
      <c r="A69" s="942"/>
      <c r="B69" s="827"/>
      <c r="C69" s="943"/>
      <c r="D69" s="828" t="s">
        <v>20</v>
      </c>
      <c r="E69" s="827"/>
      <c r="F69" s="827"/>
      <c r="G69" s="829"/>
      <c r="H69" s="778" t="s">
        <v>12</v>
      </c>
      <c r="I69" s="944"/>
      <c r="J69" s="944"/>
      <c r="K69" s="945"/>
      <c r="L69" s="831">
        <f t="shared" ref="L69:N69" ca="1" si="43">L70+L71</f>
        <v>0</v>
      </c>
      <c r="M69" s="831">
        <f t="shared" ca="1" si="43"/>
        <v>0</v>
      </c>
      <c r="N69" s="831">
        <f t="shared" ca="1" si="43"/>
        <v>0</v>
      </c>
      <c r="O69" s="831">
        <f t="shared" ca="1" si="40"/>
        <v>0</v>
      </c>
      <c r="P69" s="831">
        <f t="shared" ca="1" si="41"/>
        <v>0</v>
      </c>
    </row>
    <row r="70" spans="1:16" ht="19.5" hidden="1">
      <c r="A70" s="940"/>
      <c r="B70" s="833"/>
      <c r="C70" s="946"/>
      <c r="D70" s="833"/>
      <c r="E70" s="834" t="s">
        <v>36</v>
      </c>
      <c r="F70" s="833"/>
      <c r="G70" s="941"/>
      <c r="H70" s="165" t="s">
        <v>12</v>
      </c>
      <c r="I70" s="947"/>
      <c r="J70" s="947"/>
      <c r="K70" s="948"/>
      <c r="L70" s="837">
        <v>0</v>
      </c>
      <c r="M70" s="837">
        <v>0</v>
      </c>
      <c r="N70" s="837">
        <v>0</v>
      </c>
      <c r="O70" s="837">
        <f t="shared" si="40"/>
        <v>0</v>
      </c>
      <c r="P70" s="837">
        <f t="shared" si="41"/>
        <v>0</v>
      </c>
    </row>
    <row r="71" spans="1:16" ht="19.5" hidden="1">
      <c r="A71" s="940"/>
      <c r="B71" s="833"/>
      <c r="C71" s="946"/>
      <c r="D71" s="833"/>
      <c r="E71" s="834" t="s">
        <v>37</v>
      </c>
      <c r="F71" s="833"/>
      <c r="G71" s="941"/>
      <c r="H71" s="165" t="s">
        <v>12</v>
      </c>
      <c r="I71" s="947"/>
      <c r="J71" s="947"/>
      <c r="K71" s="948"/>
      <c r="L71" s="837">
        <f ca="1">IFERROR(__xludf.DUMMYFUNCTION("IMPORTRANGE(""https://docs.google.com/spreadsheets/d/1MeEWN-I1oV_STSDYn1IFDPWt_1FKiwhDph83XaGc0o0/edit?usp=sharing"",""งบพรบ!AG16"")"),0)</f>
        <v>0</v>
      </c>
      <c r="M71" s="837">
        <f ca="1">IFERROR(__xludf.DUMMYFUNCTION("IMPORTRANGE(""https://docs.google.com/spreadsheets/d/1MeEWN-I1oV_STSDYn1IFDPWt_1FKiwhDph83XaGc0o0/edit?usp=sharing"",""งบพรบ!AL16"")"),0)</f>
        <v>0</v>
      </c>
      <c r="N71" s="837">
        <f ca="1">IFERROR(__xludf.DUMMYFUNCTION("IMPORTRANGE(""https://docs.google.com/spreadsheets/d/1MeEWN-I1oV_STSDYn1IFDPWt_1FKiwhDph83XaGc0o0/edit?usp=sharing"",""งบพรบ!AN16"")"),0)</f>
        <v>0</v>
      </c>
      <c r="O71" s="837">
        <f t="shared" ca="1" si="40"/>
        <v>0</v>
      </c>
      <c r="P71" s="837">
        <f t="shared" ca="1" si="41"/>
        <v>0</v>
      </c>
    </row>
    <row r="72" spans="1:16" ht="18.75" hidden="1">
      <c r="A72" s="942"/>
      <c r="B72" s="827"/>
      <c r="C72" s="943"/>
      <c r="D72" s="828" t="s">
        <v>21</v>
      </c>
      <c r="E72" s="827"/>
      <c r="F72" s="827"/>
      <c r="G72" s="829"/>
      <c r="H72" s="168" t="s">
        <v>12</v>
      </c>
      <c r="I72" s="944"/>
      <c r="J72" s="944"/>
      <c r="K72" s="945"/>
      <c r="L72" s="831">
        <f t="shared" ref="L72:N72" ca="1" si="44">L73+L74</f>
        <v>0</v>
      </c>
      <c r="M72" s="831">
        <f t="shared" ca="1" si="44"/>
        <v>0</v>
      </c>
      <c r="N72" s="831">
        <f t="shared" ca="1" si="44"/>
        <v>0</v>
      </c>
      <c r="O72" s="831">
        <f t="shared" ca="1" si="40"/>
        <v>0</v>
      </c>
      <c r="P72" s="831">
        <f t="shared" ca="1" si="41"/>
        <v>0</v>
      </c>
    </row>
    <row r="73" spans="1:16" ht="19.5" hidden="1">
      <c r="A73" s="940"/>
      <c r="B73" s="833"/>
      <c r="C73" s="946"/>
      <c r="D73" s="833"/>
      <c r="E73" s="834" t="s">
        <v>18</v>
      </c>
      <c r="F73" s="833"/>
      <c r="G73" s="941"/>
      <c r="H73" s="165" t="s">
        <v>12</v>
      </c>
      <c r="I73" s="947"/>
      <c r="J73" s="947"/>
      <c r="K73" s="948"/>
      <c r="L73" s="837">
        <v>0</v>
      </c>
      <c r="M73" s="837"/>
      <c r="N73" s="837"/>
      <c r="O73" s="837">
        <f t="shared" si="40"/>
        <v>0</v>
      </c>
      <c r="P73" s="837">
        <f t="shared" si="41"/>
        <v>0</v>
      </c>
    </row>
    <row r="74" spans="1:16" ht="19.5" hidden="1">
      <c r="A74" s="940"/>
      <c r="B74" s="833"/>
      <c r="C74" s="946"/>
      <c r="D74" s="833"/>
      <c r="E74" s="834" t="s">
        <v>19</v>
      </c>
      <c r="F74" s="833"/>
      <c r="G74" s="941"/>
      <c r="H74" s="169" t="s">
        <v>12</v>
      </c>
      <c r="I74" s="947"/>
      <c r="J74" s="947"/>
      <c r="K74" s="948"/>
      <c r="L74" s="837">
        <f ca="1">IFERROR(__xludf.DUMMYFUNCTION("IMPORTRANGE(""https://docs.google.com/spreadsheets/d/1MeEWN-I1oV_STSDYn1IFDPWt_1FKiwhDph83XaGc0o0/edit?usp=sharing"",""งบพรบ!AJ16"")"),0)</f>
        <v>0</v>
      </c>
      <c r="M74" s="837">
        <f ca="1">IFERROR(__xludf.DUMMYFUNCTION("IMPORTRANGE(""https://docs.google.com/spreadsheets/d/1MeEWN-I1oV_STSDYn1IFDPWt_1FKiwhDph83XaGc0o0/edit?usp=sharing"",""งบพรบ!AM16"")"),0)</f>
        <v>0</v>
      </c>
      <c r="N74" s="837">
        <f ca="1">IFERROR(__xludf.DUMMYFUNCTION("IMPORTRANGE(""https://docs.google.com/spreadsheets/d/1MeEWN-I1oV_STSDYn1IFDPWt_1FKiwhDph83XaGc0o0/edit?usp=sharing"",""งบพรบ!AO16"")"),0)</f>
        <v>0</v>
      </c>
      <c r="O74" s="837">
        <f t="shared" ca="1" si="40"/>
        <v>0</v>
      </c>
      <c r="P74" s="837">
        <f t="shared" ca="1" si="41"/>
        <v>0</v>
      </c>
    </row>
    <row r="75" spans="1:16" ht="19.5" hidden="1">
      <c r="A75" s="949"/>
      <c r="B75" s="950"/>
      <c r="C75" s="946" t="s">
        <v>16</v>
      </c>
      <c r="D75" s="951" t="s">
        <v>38</v>
      </c>
      <c r="E75" s="952"/>
      <c r="F75" s="952"/>
      <c r="G75" s="953"/>
      <c r="H75" s="954"/>
      <c r="I75" s="944"/>
      <c r="J75" s="944"/>
      <c r="K75" s="945"/>
      <c r="L75" s="945"/>
      <c r="M75" s="945"/>
      <c r="N75" s="945"/>
      <c r="O75" s="945"/>
      <c r="P75" s="945"/>
    </row>
    <row r="76" spans="1:16" ht="19.5" hidden="1">
      <c r="A76" s="949"/>
      <c r="B76" s="950"/>
      <c r="C76" s="950"/>
      <c r="D76" s="955" t="s">
        <v>39</v>
      </c>
      <c r="E76" s="956"/>
      <c r="F76" s="957"/>
      <c r="G76" s="958"/>
      <c r="H76" s="180" t="s">
        <v>34</v>
      </c>
      <c r="I76" s="830">
        <f t="shared" ref="I76:J77" ca="1" si="45">I78+I80+I82</f>
        <v>0</v>
      </c>
      <c r="J76" s="830">
        <f t="shared" si="45"/>
        <v>0</v>
      </c>
      <c r="K76" s="945">
        <f t="shared" ref="K76:K84" ca="1" si="46">IF(I76&gt;0,J76*100/I76,0)</f>
        <v>0</v>
      </c>
      <c r="L76" s="945"/>
      <c r="M76" s="945"/>
      <c r="N76" s="945"/>
      <c r="O76" s="945"/>
      <c r="P76" s="945"/>
    </row>
    <row r="77" spans="1:16" ht="19.5" hidden="1">
      <c r="A77" s="949"/>
      <c r="B77" s="950"/>
      <c r="C77" s="950"/>
      <c r="D77" s="950"/>
      <c r="E77" s="957"/>
      <c r="F77" s="957"/>
      <c r="G77" s="958"/>
      <c r="H77" s="180" t="s">
        <v>35</v>
      </c>
      <c r="I77" s="830">
        <f t="shared" ca="1" si="45"/>
        <v>0</v>
      </c>
      <c r="J77" s="830">
        <f t="shared" si="45"/>
        <v>0</v>
      </c>
      <c r="K77" s="945">
        <f t="shared" ca="1" si="46"/>
        <v>0</v>
      </c>
      <c r="L77" s="945"/>
      <c r="M77" s="945"/>
      <c r="N77" s="945"/>
      <c r="O77" s="945"/>
      <c r="P77" s="945"/>
    </row>
    <row r="78" spans="1:16" ht="18.75" hidden="1">
      <c r="A78" s="949"/>
      <c r="B78" s="950"/>
      <c r="C78" s="950"/>
      <c r="D78" s="950"/>
      <c r="E78" s="956" t="s">
        <v>40</v>
      </c>
      <c r="F78" s="956"/>
      <c r="G78" s="958"/>
      <c r="H78" s="730" t="s">
        <v>34</v>
      </c>
      <c r="I78" s="944">
        <f ca="1">IFERROR(__xludf.DUMMYFUNCTION("IMPORTRANGE(""https://docs.google.com/spreadsheets/d/1QqKyyYR6Q21VydFLVH3TRQUabQu_ym0Zz7PgGX0-kHA/edit?usp=sharing"",""แผน!H16"")"),0)</f>
        <v>0</v>
      </c>
      <c r="J78" s="959">
        <v>0</v>
      </c>
      <c r="K78" s="945">
        <f t="shared" ca="1" si="46"/>
        <v>0</v>
      </c>
      <c r="L78" s="945"/>
      <c r="M78" s="945"/>
      <c r="N78" s="945"/>
      <c r="O78" s="945"/>
      <c r="P78" s="945"/>
    </row>
    <row r="79" spans="1:16" ht="18.75" hidden="1">
      <c r="A79" s="949"/>
      <c r="B79" s="950"/>
      <c r="C79" s="950"/>
      <c r="D79" s="950"/>
      <c r="E79" s="957"/>
      <c r="F79" s="957"/>
      <c r="G79" s="958"/>
      <c r="H79" s="730" t="s">
        <v>35</v>
      </c>
      <c r="I79" s="944">
        <f ca="1">IFERROR(__xludf.DUMMYFUNCTION("IMPORTRANGE(""https://docs.google.com/spreadsheets/d/1QqKyyYR6Q21VydFLVH3TRQUabQu_ym0Zz7PgGX0-kHA/edit?usp=sharing"",""แผน!I16"")"),0)</f>
        <v>0</v>
      </c>
      <c r="J79" s="959">
        <v>0</v>
      </c>
      <c r="K79" s="945">
        <f t="shared" ca="1" si="46"/>
        <v>0</v>
      </c>
      <c r="L79" s="945"/>
      <c r="M79" s="945"/>
      <c r="N79" s="945"/>
      <c r="O79" s="945"/>
      <c r="P79" s="945"/>
    </row>
    <row r="80" spans="1:16" ht="18.75" hidden="1">
      <c r="A80" s="949"/>
      <c r="B80" s="950"/>
      <c r="C80" s="950"/>
      <c r="D80" s="950"/>
      <c r="E80" s="956" t="s">
        <v>41</v>
      </c>
      <c r="F80" s="956"/>
      <c r="G80" s="958"/>
      <c r="H80" s="730" t="s">
        <v>34</v>
      </c>
      <c r="I80" s="944">
        <f ca="1">IFERROR(__xludf.DUMMYFUNCTION("IMPORTRANGE(""https://docs.google.com/spreadsheets/d/1QqKyyYR6Q21VydFLVH3TRQUabQu_ym0Zz7PgGX0-kHA/edit?usp=sharing"",""แผน!F16"")"),0)</f>
        <v>0</v>
      </c>
      <c r="J80" s="959">
        <v>0</v>
      </c>
      <c r="K80" s="945">
        <f t="shared" ca="1" si="46"/>
        <v>0</v>
      </c>
      <c r="L80" s="945"/>
      <c r="M80" s="945"/>
      <c r="N80" s="945"/>
      <c r="O80" s="945"/>
      <c r="P80" s="945"/>
    </row>
    <row r="81" spans="1:16" ht="18.75" hidden="1">
      <c r="A81" s="949"/>
      <c r="B81" s="950"/>
      <c r="C81" s="950"/>
      <c r="D81" s="950"/>
      <c r="E81" s="957"/>
      <c r="F81" s="957"/>
      <c r="G81" s="958"/>
      <c r="H81" s="730" t="s">
        <v>35</v>
      </c>
      <c r="I81" s="944">
        <f ca="1">IFERROR(__xludf.DUMMYFUNCTION("IMPORTRANGE(""https://docs.google.com/spreadsheets/d/1QqKyyYR6Q21VydFLVH3TRQUabQu_ym0Zz7PgGX0-kHA/edit?usp=sharing"",""แผน!G16"")"),0)</f>
        <v>0</v>
      </c>
      <c r="J81" s="959">
        <v>0</v>
      </c>
      <c r="K81" s="945">
        <f t="shared" ca="1" si="46"/>
        <v>0</v>
      </c>
      <c r="L81" s="945"/>
      <c r="M81" s="945"/>
      <c r="N81" s="945"/>
      <c r="O81" s="945"/>
      <c r="P81" s="945"/>
    </row>
    <row r="82" spans="1:16" ht="18.75" hidden="1">
      <c r="A82" s="949"/>
      <c r="B82" s="950"/>
      <c r="C82" s="950"/>
      <c r="D82" s="950"/>
      <c r="E82" s="956" t="s">
        <v>42</v>
      </c>
      <c r="F82" s="956"/>
      <c r="G82" s="958"/>
      <c r="H82" s="730" t="s">
        <v>34</v>
      </c>
      <c r="I82" s="944">
        <f ca="1">IFERROR(__xludf.DUMMYFUNCTION("IMPORTRANGE(""https://docs.google.com/spreadsheets/d/1QqKyyYR6Q21VydFLVH3TRQUabQu_ym0Zz7PgGX0-kHA/edit?usp=sharing"",""แผน!D16"")"),0)</f>
        <v>0</v>
      </c>
      <c r="J82" s="959">
        <v>0</v>
      </c>
      <c r="K82" s="945">
        <f t="shared" ca="1" si="46"/>
        <v>0</v>
      </c>
      <c r="L82" s="945"/>
      <c r="M82" s="945"/>
      <c r="N82" s="945"/>
      <c r="O82" s="945"/>
      <c r="P82" s="945"/>
    </row>
    <row r="83" spans="1:16" ht="18.75" hidden="1">
      <c r="A83" s="949"/>
      <c r="B83" s="950"/>
      <c r="C83" s="950"/>
      <c r="D83" s="950"/>
      <c r="E83" s="957"/>
      <c r="F83" s="957"/>
      <c r="G83" s="958"/>
      <c r="H83" s="730" t="s">
        <v>35</v>
      </c>
      <c r="I83" s="944">
        <f ca="1">IFERROR(__xludf.DUMMYFUNCTION("IMPORTRANGE(""https://docs.google.com/spreadsheets/d/1QqKyyYR6Q21VydFLVH3TRQUabQu_ym0Zz7PgGX0-kHA/edit?usp=sharing"",""แผน!E16"")"),0)</f>
        <v>0</v>
      </c>
      <c r="J83" s="959">
        <v>0</v>
      </c>
      <c r="K83" s="945">
        <f t="shared" ca="1" si="46"/>
        <v>0</v>
      </c>
      <c r="L83" s="945"/>
      <c r="M83" s="945"/>
      <c r="N83" s="945"/>
      <c r="O83" s="945"/>
      <c r="P83" s="945"/>
    </row>
    <row r="84" spans="1:16" ht="18.75" hidden="1">
      <c r="A84" s="949"/>
      <c r="B84" s="950"/>
      <c r="C84" s="950"/>
      <c r="D84" s="955" t="s">
        <v>43</v>
      </c>
      <c r="E84" s="956"/>
      <c r="F84" s="957"/>
      <c r="G84" s="958"/>
      <c r="H84" s="777" t="s">
        <v>34</v>
      </c>
      <c r="I84" s="944">
        <f ca="1">IFERROR(__xludf.DUMMYFUNCTION("IMPORTRANGE(""https://docs.google.com/spreadsheets/d/1QqKyyYR6Q21VydFLVH3TRQUabQu_ym0Zz7PgGX0-kHA/edit?usp=sharing"",""แผน!J16"")"),0)</f>
        <v>0</v>
      </c>
      <c r="J84" s="959">
        <v>0</v>
      </c>
      <c r="K84" s="945">
        <f t="shared" ca="1" si="46"/>
        <v>0</v>
      </c>
      <c r="L84" s="945"/>
      <c r="M84" s="945"/>
      <c r="N84" s="945"/>
      <c r="O84" s="945"/>
      <c r="P84" s="945"/>
    </row>
    <row r="85" spans="1:16" ht="19.5">
      <c r="A85" s="917" t="s">
        <v>44</v>
      </c>
      <c r="B85" s="918"/>
      <c r="C85" s="919"/>
      <c r="D85" s="918"/>
      <c r="E85" s="918"/>
      <c r="F85" s="918"/>
      <c r="G85" s="920"/>
      <c r="H85" s="921"/>
      <c r="I85" s="922"/>
      <c r="J85" s="922"/>
      <c r="K85" s="923"/>
      <c r="L85" s="923"/>
      <c r="M85" s="923"/>
      <c r="N85" s="923"/>
      <c r="O85" s="923"/>
      <c r="P85" s="923"/>
    </row>
    <row r="86" spans="1:16" ht="19.5">
      <c r="A86" s="924"/>
      <c r="B86" s="925" t="s">
        <v>45</v>
      </c>
      <c r="C86" s="926"/>
      <c r="D86" s="927"/>
      <c r="E86" s="926"/>
      <c r="F86" s="926"/>
      <c r="G86" s="928"/>
      <c r="H86" s="205" t="s">
        <v>46</v>
      </c>
      <c r="I86" s="929">
        <f t="shared" ref="I86:J87" ca="1" si="47">I98</f>
        <v>30</v>
      </c>
      <c r="J86" s="929">
        <f t="shared" si="47"/>
        <v>30</v>
      </c>
      <c r="K86" s="930">
        <f t="shared" ref="K86:K87" ca="1" si="48">IF(I86&gt;0,J86*100/I86,0)</f>
        <v>100</v>
      </c>
      <c r="L86" s="931"/>
      <c r="M86" s="931"/>
      <c r="N86" s="931"/>
      <c r="O86" s="931"/>
      <c r="P86" s="931"/>
    </row>
    <row r="87" spans="1:16" ht="19.5">
      <c r="A87" s="924"/>
      <c r="B87" s="926"/>
      <c r="C87" s="926"/>
      <c r="D87" s="927"/>
      <c r="E87" s="926"/>
      <c r="F87" s="926"/>
      <c r="G87" s="928"/>
      <c r="H87" s="205" t="s">
        <v>35</v>
      </c>
      <c r="I87" s="929">
        <f t="shared" ca="1" si="47"/>
        <v>10</v>
      </c>
      <c r="J87" s="929">
        <f t="shared" si="47"/>
        <v>10</v>
      </c>
      <c r="K87" s="930">
        <f t="shared" ca="1" si="48"/>
        <v>100</v>
      </c>
      <c r="L87" s="931"/>
      <c r="M87" s="931"/>
      <c r="N87" s="931"/>
      <c r="O87" s="931"/>
      <c r="P87" s="931"/>
    </row>
    <row r="88" spans="1:16" ht="19.5">
      <c r="A88" s="932"/>
      <c r="B88" s="933"/>
      <c r="C88" s="934" t="s">
        <v>16</v>
      </c>
      <c r="D88" s="935" t="s">
        <v>17</v>
      </c>
      <c r="E88" s="933"/>
      <c r="F88" s="933"/>
      <c r="G88" s="936"/>
      <c r="H88" s="152" t="s">
        <v>12</v>
      </c>
      <c r="I88" s="937"/>
      <c r="J88" s="937"/>
      <c r="K88" s="938"/>
      <c r="L88" s="939">
        <f t="shared" ref="L88:N88" ca="1" si="49">L89+L90</f>
        <v>86040</v>
      </c>
      <c r="M88" s="939">
        <f t="shared" ca="1" si="49"/>
        <v>51590</v>
      </c>
      <c r="N88" s="939">
        <f t="shared" ca="1" si="49"/>
        <v>50330</v>
      </c>
      <c r="O88" s="939">
        <f t="shared" ref="O88:O96" ca="1" si="50">IF(L88&gt;0,N88*100/L88,0)</f>
        <v>58.496048349604834</v>
      </c>
      <c r="P88" s="939">
        <f t="shared" ref="P88:P96" ca="1" si="51">IF(M88&gt;0,N88*100/M88,0)</f>
        <v>97.557666214382635</v>
      </c>
    </row>
    <row r="89" spans="1:16" ht="18.75" hidden="1">
      <c r="A89" s="940"/>
      <c r="B89" s="833"/>
      <c r="C89" s="833"/>
      <c r="D89" s="833"/>
      <c r="E89" s="834" t="s">
        <v>18</v>
      </c>
      <c r="F89" s="833"/>
      <c r="G89" s="941"/>
      <c r="H89" s="158" t="s">
        <v>12</v>
      </c>
      <c r="I89" s="836"/>
      <c r="J89" s="836"/>
      <c r="K89" s="837"/>
      <c r="L89" s="837">
        <f t="shared" ref="L89:N90" si="52">L92+L95</f>
        <v>0</v>
      </c>
      <c r="M89" s="837">
        <f t="shared" si="52"/>
        <v>0</v>
      </c>
      <c r="N89" s="837">
        <f t="shared" si="52"/>
        <v>0</v>
      </c>
      <c r="O89" s="837">
        <f t="shared" si="50"/>
        <v>0</v>
      </c>
      <c r="P89" s="837">
        <f t="shared" si="51"/>
        <v>0</v>
      </c>
    </row>
    <row r="90" spans="1:16" ht="18.75" hidden="1">
      <c r="A90" s="940"/>
      <c r="B90" s="833"/>
      <c r="C90" s="833"/>
      <c r="D90" s="833"/>
      <c r="E90" s="834" t="s">
        <v>19</v>
      </c>
      <c r="F90" s="833"/>
      <c r="G90" s="941"/>
      <c r="H90" s="158" t="s">
        <v>12</v>
      </c>
      <c r="I90" s="836"/>
      <c r="J90" s="836"/>
      <c r="K90" s="837"/>
      <c r="L90" s="837">
        <f t="shared" ca="1" si="52"/>
        <v>86040</v>
      </c>
      <c r="M90" s="837">
        <f t="shared" ca="1" si="52"/>
        <v>51590</v>
      </c>
      <c r="N90" s="837">
        <f t="shared" ca="1" si="52"/>
        <v>50330</v>
      </c>
      <c r="O90" s="837">
        <f t="shared" ca="1" si="50"/>
        <v>58.496048349604834</v>
      </c>
      <c r="P90" s="837">
        <f t="shared" ca="1" si="51"/>
        <v>97.557666214382635</v>
      </c>
    </row>
    <row r="91" spans="1:16" ht="18.75">
      <c r="A91" s="942"/>
      <c r="B91" s="827"/>
      <c r="C91" s="943"/>
      <c r="D91" s="828" t="s">
        <v>20</v>
      </c>
      <c r="E91" s="827"/>
      <c r="F91" s="827"/>
      <c r="G91" s="829"/>
      <c r="H91" s="778" t="s">
        <v>12</v>
      </c>
      <c r="I91" s="944"/>
      <c r="J91" s="944"/>
      <c r="K91" s="945"/>
      <c r="L91" s="831">
        <f t="shared" ref="L91:N91" ca="1" si="53">L92+L93</f>
        <v>86040</v>
      </c>
      <c r="M91" s="831">
        <f t="shared" ca="1" si="53"/>
        <v>51590</v>
      </c>
      <c r="N91" s="831">
        <f t="shared" ca="1" si="53"/>
        <v>50330</v>
      </c>
      <c r="O91" s="831">
        <f t="shared" ca="1" si="50"/>
        <v>58.496048349604834</v>
      </c>
      <c r="P91" s="831">
        <f t="shared" ca="1" si="51"/>
        <v>97.557666214382635</v>
      </c>
    </row>
    <row r="92" spans="1:16" ht="19.5" hidden="1">
      <c r="A92" s="940"/>
      <c r="B92" s="833"/>
      <c r="C92" s="946"/>
      <c r="D92" s="833"/>
      <c r="E92" s="834" t="s">
        <v>36</v>
      </c>
      <c r="F92" s="833"/>
      <c r="G92" s="941"/>
      <c r="H92" s="165" t="s">
        <v>12</v>
      </c>
      <c r="I92" s="947"/>
      <c r="J92" s="947"/>
      <c r="K92" s="948"/>
      <c r="L92" s="837">
        <v>0</v>
      </c>
      <c r="M92" s="837">
        <v>0</v>
      </c>
      <c r="N92" s="837">
        <v>0</v>
      </c>
      <c r="O92" s="837">
        <f t="shared" si="50"/>
        <v>0</v>
      </c>
      <c r="P92" s="837">
        <f t="shared" si="51"/>
        <v>0</v>
      </c>
    </row>
    <row r="93" spans="1:16" ht="19.5" hidden="1">
      <c r="A93" s="940"/>
      <c r="B93" s="833"/>
      <c r="C93" s="946"/>
      <c r="D93" s="833"/>
      <c r="E93" s="834" t="s">
        <v>37</v>
      </c>
      <c r="F93" s="833"/>
      <c r="G93" s="941"/>
      <c r="H93" s="165" t="s">
        <v>12</v>
      </c>
      <c r="I93" s="947"/>
      <c r="J93" s="947"/>
      <c r="K93" s="948"/>
      <c r="L93" s="837">
        <f ca="1">IFERROR(__xludf.DUMMYFUNCTION("IMPORTRANGE(""https://docs.google.com/spreadsheets/d/1MeEWN-I1oV_STSDYn1IFDPWt_1FKiwhDph83XaGc0o0/edit?usp=sharing"",""งบพรบ!AQ16"")"),86040)</f>
        <v>86040</v>
      </c>
      <c r="M93" s="837">
        <f ca="1">IFERROR(__xludf.DUMMYFUNCTION("IMPORTRANGE(""https://docs.google.com/spreadsheets/d/1MeEWN-I1oV_STSDYn1IFDPWt_1FKiwhDph83XaGc0o0/edit?usp=sharing"",""งบพรบ!AV16"")"),51590)</f>
        <v>51590</v>
      </c>
      <c r="N93" s="837">
        <f ca="1">IFERROR(__xludf.DUMMYFUNCTION("IMPORTRANGE(""https://docs.google.com/spreadsheets/d/1MeEWN-I1oV_STSDYn1IFDPWt_1FKiwhDph83XaGc0o0/edit?usp=sharing"",""งบพรบ!AX16"")"),50330)</f>
        <v>50330</v>
      </c>
      <c r="O93" s="837">
        <f t="shared" ca="1" si="50"/>
        <v>58.496048349604834</v>
      </c>
      <c r="P93" s="837">
        <f t="shared" ca="1" si="51"/>
        <v>97.557666214382635</v>
      </c>
    </row>
    <row r="94" spans="1:16" ht="18.75">
      <c r="A94" s="942"/>
      <c r="B94" s="827"/>
      <c r="C94" s="943"/>
      <c r="D94" s="828" t="s">
        <v>21</v>
      </c>
      <c r="E94" s="827"/>
      <c r="F94" s="827"/>
      <c r="G94" s="829"/>
      <c r="H94" s="168" t="s">
        <v>12</v>
      </c>
      <c r="I94" s="944"/>
      <c r="J94" s="944"/>
      <c r="K94" s="945"/>
      <c r="L94" s="831">
        <f t="shared" ref="L94:N94" ca="1" si="54">L95+L96</f>
        <v>0</v>
      </c>
      <c r="M94" s="831">
        <f t="shared" ca="1" si="54"/>
        <v>0</v>
      </c>
      <c r="N94" s="831">
        <f t="shared" ca="1" si="54"/>
        <v>0</v>
      </c>
      <c r="O94" s="831">
        <f t="shared" ca="1" si="50"/>
        <v>0</v>
      </c>
      <c r="P94" s="831">
        <f t="shared" ca="1" si="51"/>
        <v>0</v>
      </c>
    </row>
    <row r="95" spans="1:16" ht="19.5" hidden="1">
      <c r="A95" s="940"/>
      <c r="B95" s="833"/>
      <c r="C95" s="946"/>
      <c r="D95" s="833"/>
      <c r="E95" s="834" t="s">
        <v>18</v>
      </c>
      <c r="F95" s="833"/>
      <c r="G95" s="941"/>
      <c r="H95" s="165" t="s">
        <v>12</v>
      </c>
      <c r="I95" s="947"/>
      <c r="J95" s="947"/>
      <c r="K95" s="948"/>
      <c r="L95" s="837">
        <v>0</v>
      </c>
      <c r="M95" s="837">
        <v>0</v>
      </c>
      <c r="N95" s="837">
        <v>0</v>
      </c>
      <c r="O95" s="837">
        <f t="shared" si="50"/>
        <v>0</v>
      </c>
      <c r="P95" s="837">
        <f t="shared" si="51"/>
        <v>0</v>
      </c>
    </row>
    <row r="96" spans="1:16" ht="19.5" hidden="1">
      <c r="A96" s="940"/>
      <c r="B96" s="833"/>
      <c r="C96" s="946"/>
      <c r="D96" s="833"/>
      <c r="E96" s="834" t="s">
        <v>19</v>
      </c>
      <c r="F96" s="833"/>
      <c r="G96" s="941"/>
      <c r="H96" s="169" t="s">
        <v>12</v>
      </c>
      <c r="I96" s="947"/>
      <c r="J96" s="947"/>
      <c r="K96" s="948"/>
      <c r="L96" s="837">
        <f ca="1">IFERROR(__xludf.DUMMYFUNCTION("IMPORTRANGE(""https://docs.google.com/spreadsheets/d/1MeEWN-I1oV_STSDYn1IFDPWt_1FKiwhDph83XaGc0o0/edit?usp=sharing"",""งบพรบ!AT16"")"),0)</f>
        <v>0</v>
      </c>
      <c r="M96" s="837">
        <f ca="1">IFERROR(__xludf.DUMMYFUNCTION("IMPORTRANGE(""https://docs.google.com/spreadsheets/d/1MeEWN-I1oV_STSDYn1IFDPWt_1FKiwhDph83XaGc0o0/edit?usp=sharing"",""งบพรบ!AW16"")"),0)</f>
        <v>0</v>
      </c>
      <c r="N96" s="837">
        <f ca="1">IFERROR(__xludf.DUMMYFUNCTION("IMPORTRANGE(""https://docs.google.com/spreadsheets/d/1MeEWN-I1oV_STSDYn1IFDPWt_1FKiwhDph83XaGc0o0/edit?usp=sharing"",""งบพรบ!AY16"")"),0)</f>
        <v>0</v>
      </c>
      <c r="O96" s="837">
        <f t="shared" ca="1" si="50"/>
        <v>0</v>
      </c>
      <c r="P96" s="837">
        <f t="shared" ca="1" si="51"/>
        <v>0</v>
      </c>
    </row>
    <row r="97" spans="1:16" ht="19.5">
      <c r="A97" s="949"/>
      <c r="B97" s="950"/>
      <c r="C97" s="946" t="s">
        <v>16</v>
      </c>
      <c r="D97" s="951" t="s">
        <v>38</v>
      </c>
      <c r="E97" s="952"/>
      <c r="F97" s="952"/>
      <c r="G97" s="953"/>
      <c r="H97" s="954"/>
      <c r="I97" s="944"/>
      <c r="J97" s="830"/>
      <c r="K97" s="831"/>
      <c r="L97" s="831"/>
      <c r="M97" s="831"/>
      <c r="N97" s="831"/>
      <c r="O97" s="945"/>
      <c r="P97" s="945"/>
    </row>
    <row r="98" spans="1:16" ht="18.75">
      <c r="A98" s="949"/>
      <c r="B98" s="950"/>
      <c r="C98" s="950"/>
      <c r="D98" s="956" t="s">
        <v>47</v>
      </c>
      <c r="E98" s="956"/>
      <c r="F98" s="957"/>
      <c r="G98" s="958"/>
      <c r="H98" s="590" t="s">
        <v>46</v>
      </c>
      <c r="I98" s="830">
        <f ca="1">IFERROR(__xludf.DUMMYFUNCTION("IMPORTRANGE(""https://docs.google.com/spreadsheets/d/1QqKyyYR6Q21VydFLVH3TRQUabQu_ym0Zz7PgGX0-kHA/edit?usp=sharing"",""แผน!K16"")"),30)</f>
        <v>30</v>
      </c>
      <c r="J98" s="830">
        <f>J102</f>
        <v>30</v>
      </c>
      <c r="K98" s="831">
        <f t="shared" ref="K98:K100" ca="1" si="55">IF(I98&gt;0,J98*100/I98,0)</f>
        <v>100</v>
      </c>
      <c r="L98" s="831"/>
      <c r="M98" s="831"/>
      <c r="N98" s="831"/>
      <c r="O98" s="945"/>
      <c r="P98" s="945"/>
    </row>
    <row r="99" spans="1:16" ht="18.75">
      <c r="A99" s="949"/>
      <c r="B99" s="950"/>
      <c r="C99" s="950"/>
      <c r="D99" s="956" t="s">
        <v>48</v>
      </c>
      <c r="E99" s="956"/>
      <c r="F99" s="957"/>
      <c r="G99" s="958"/>
      <c r="H99" s="590" t="s">
        <v>35</v>
      </c>
      <c r="I99" s="830">
        <f ca="1">IFERROR(__xludf.DUMMYFUNCTION("IMPORTRANGE(""https://docs.google.com/spreadsheets/d/1QqKyyYR6Q21VydFLVH3TRQUabQu_ym0Zz7PgGX0-kHA/edit?usp=sharing"",""แผน!L16"")"),10)</f>
        <v>10</v>
      </c>
      <c r="J99" s="830">
        <f>J104</f>
        <v>10</v>
      </c>
      <c r="K99" s="831">
        <f t="shared" ca="1" si="55"/>
        <v>100</v>
      </c>
      <c r="L99" s="831"/>
      <c r="M99" s="831"/>
      <c r="N99" s="831"/>
      <c r="O99" s="945"/>
      <c r="P99" s="945"/>
    </row>
    <row r="100" spans="1:16" ht="18.75">
      <c r="A100" s="949"/>
      <c r="B100" s="950"/>
      <c r="C100" s="950"/>
      <c r="D100" s="950"/>
      <c r="E100" s="957"/>
      <c r="F100" s="957"/>
      <c r="G100" s="958"/>
      <c r="H100" s="590" t="s">
        <v>49</v>
      </c>
      <c r="I100" s="830">
        <f ca="1">IFERROR(__xludf.DUMMYFUNCTION("IMPORTRANGE(""https://docs.google.com/spreadsheets/d/1QqKyyYR6Q21VydFLVH3TRQUabQu_ym0Zz7PgGX0-kHA/edit?usp=sharing"",""แผน!M16"")"),2)</f>
        <v>2</v>
      </c>
      <c r="J100" s="830">
        <f>J107+J110</f>
        <v>1</v>
      </c>
      <c r="K100" s="831">
        <f t="shared" ca="1" si="55"/>
        <v>50</v>
      </c>
      <c r="L100" s="831"/>
      <c r="M100" s="831"/>
      <c r="N100" s="831"/>
      <c r="O100" s="945"/>
      <c r="P100" s="945"/>
    </row>
    <row r="101" spans="1:16" ht="19.5">
      <c r="A101" s="949"/>
      <c r="B101" s="950"/>
      <c r="C101" s="950"/>
      <c r="D101" s="957"/>
      <c r="E101" s="960" t="s">
        <v>50</v>
      </c>
      <c r="F101" s="957"/>
      <c r="G101" s="958"/>
      <c r="H101" s="590"/>
      <c r="I101" s="830"/>
      <c r="J101" s="830"/>
      <c r="K101" s="831"/>
      <c r="L101" s="831"/>
      <c r="M101" s="831"/>
      <c r="N101" s="831"/>
      <c r="O101" s="945"/>
      <c r="P101" s="945"/>
    </row>
    <row r="102" spans="1:16" ht="18.75">
      <c r="A102" s="949"/>
      <c r="B102" s="950"/>
      <c r="C102" s="950"/>
      <c r="D102" s="957"/>
      <c r="E102" s="961" t="s">
        <v>47</v>
      </c>
      <c r="F102" s="957"/>
      <c r="G102" s="958"/>
      <c r="H102" s="590" t="s">
        <v>46</v>
      </c>
      <c r="I102" s="830">
        <f ca="1">IFERROR(__xludf.DUMMYFUNCTION("IMPORTRANGE(""https://docs.google.com/spreadsheets/d/1QqKyyYR6Q21VydFLVH3TRQUabQu_ym0Zz7PgGX0-kHA/edit?usp=sharing"",""แผน!N16"")"),30)</f>
        <v>30</v>
      </c>
      <c r="J102" s="959">
        <v>30</v>
      </c>
      <c r="K102" s="831">
        <f t="shared" ref="K102:K104" ca="1" si="56">IF(I102&gt;0,J102*100/I102,0)</f>
        <v>100</v>
      </c>
      <c r="L102" s="831"/>
      <c r="M102" s="831"/>
      <c r="N102" s="831"/>
      <c r="O102" s="945"/>
      <c r="P102" s="945"/>
    </row>
    <row r="103" spans="1:16" ht="19.5">
      <c r="A103" s="949"/>
      <c r="B103" s="950"/>
      <c r="C103" s="950"/>
      <c r="D103" s="957"/>
      <c r="E103" s="956" t="s">
        <v>51</v>
      </c>
      <c r="F103" s="957"/>
      <c r="G103" s="958"/>
      <c r="H103" s="590" t="s">
        <v>35</v>
      </c>
      <c r="I103" s="830">
        <f ca="1">IFERROR(__xludf.DUMMYFUNCTION("IMPORTRANGE(""https://docs.google.com/spreadsheets/d/1QqKyyYR6Q21VydFLVH3TRQUabQu_ym0Zz7PgGX0-kHA/edit?usp=sharing"",""แผน!O16"")"),10)</f>
        <v>10</v>
      </c>
      <c r="J103" s="959">
        <v>10</v>
      </c>
      <c r="K103" s="831">
        <f t="shared" ca="1" si="56"/>
        <v>100</v>
      </c>
      <c r="L103" s="831"/>
      <c r="M103" s="831"/>
      <c r="N103" s="831"/>
      <c r="O103" s="945"/>
      <c r="P103" s="945"/>
    </row>
    <row r="104" spans="1:16" ht="18.75">
      <c r="A104" s="949"/>
      <c r="B104" s="950"/>
      <c r="C104" s="950"/>
      <c r="D104" s="957"/>
      <c r="E104" s="962" t="s">
        <v>52</v>
      </c>
      <c r="F104" s="957"/>
      <c r="G104" s="958"/>
      <c r="H104" s="590" t="s">
        <v>35</v>
      </c>
      <c r="I104" s="830">
        <f ca="1">IFERROR(__xludf.DUMMYFUNCTION("IMPORTRANGE(""https://docs.google.com/spreadsheets/d/1QqKyyYR6Q21VydFLVH3TRQUabQu_ym0Zz7PgGX0-kHA/edit?usp=sharing"",""แผน!O16"")"),10)</f>
        <v>10</v>
      </c>
      <c r="J104" s="959">
        <v>10</v>
      </c>
      <c r="K104" s="831">
        <f t="shared" ca="1" si="56"/>
        <v>100</v>
      </c>
      <c r="L104" s="831"/>
      <c r="M104" s="831"/>
      <c r="N104" s="831"/>
      <c r="O104" s="945"/>
      <c r="P104" s="945"/>
    </row>
    <row r="105" spans="1:16" ht="19.5">
      <c r="A105" s="949"/>
      <c r="B105" s="950"/>
      <c r="C105" s="950"/>
      <c r="D105" s="957"/>
      <c r="E105" s="960" t="s">
        <v>53</v>
      </c>
      <c r="F105" s="957"/>
      <c r="G105" s="958"/>
      <c r="H105" s="963"/>
      <c r="I105" s="830"/>
      <c r="J105" s="830"/>
      <c r="K105" s="831"/>
      <c r="L105" s="831"/>
      <c r="M105" s="831"/>
      <c r="N105" s="831"/>
      <c r="O105" s="945"/>
      <c r="P105" s="945"/>
    </row>
    <row r="106" spans="1:16" ht="19.5">
      <c r="A106" s="949"/>
      <c r="B106" s="950"/>
      <c r="C106" s="950"/>
      <c r="D106" s="957"/>
      <c r="E106" s="956" t="s">
        <v>54</v>
      </c>
      <c r="F106" s="957"/>
      <c r="G106" s="958"/>
      <c r="H106" s="590" t="s">
        <v>49</v>
      </c>
      <c r="I106" s="830">
        <f ca="1">IFERROR(__xludf.DUMMYFUNCTION("IMPORTRANGE(""https://docs.google.com/spreadsheets/d/1QqKyyYR6Q21VydFLVH3TRQUabQu_ym0Zz7PgGX0-kHA/edit?usp=sharing"",""แผน!P16"")"),1)</f>
        <v>1</v>
      </c>
      <c r="J106" s="959">
        <v>1</v>
      </c>
      <c r="K106" s="831">
        <f t="shared" ref="K106:K107" ca="1" si="57">IF(I106&gt;0,J106*100/I106,0)</f>
        <v>100</v>
      </c>
      <c r="L106" s="831"/>
      <c r="M106" s="831"/>
      <c r="N106" s="831"/>
      <c r="O106" s="945"/>
      <c r="P106" s="945"/>
    </row>
    <row r="107" spans="1:16" ht="18.75">
      <c r="A107" s="949"/>
      <c r="B107" s="950"/>
      <c r="C107" s="950"/>
      <c r="D107" s="957"/>
      <c r="E107" s="962" t="s">
        <v>55</v>
      </c>
      <c r="F107" s="957"/>
      <c r="G107" s="958"/>
      <c r="H107" s="590" t="s">
        <v>49</v>
      </c>
      <c r="I107" s="830">
        <f ca="1">IFERROR(__xludf.DUMMYFUNCTION("IMPORTRANGE(""https://docs.google.com/spreadsheets/d/1QqKyyYR6Q21VydFLVH3TRQUabQu_ym0Zz7PgGX0-kHA/edit?usp=sharing"",""แผน!P16"")"),1)</f>
        <v>1</v>
      </c>
      <c r="J107" s="959">
        <v>1</v>
      </c>
      <c r="K107" s="831">
        <f t="shared" ca="1" si="57"/>
        <v>100</v>
      </c>
      <c r="L107" s="831"/>
      <c r="M107" s="831"/>
      <c r="N107" s="831"/>
      <c r="O107" s="945"/>
      <c r="P107" s="945"/>
    </row>
    <row r="108" spans="1:16" ht="19.5">
      <c r="A108" s="949"/>
      <c r="B108" s="950"/>
      <c r="C108" s="950"/>
      <c r="D108" s="957"/>
      <c r="E108" s="960" t="s">
        <v>56</v>
      </c>
      <c r="F108" s="957"/>
      <c r="G108" s="958"/>
      <c r="H108" s="963"/>
      <c r="I108" s="830"/>
      <c r="J108" s="830"/>
      <c r="K108" s="831"/>
      <c r="L108" s="831"/>
      <c r="M108" s="831"/>
      <c r="N108" s="831"/>
      <c r="O108" s="945"/>
      <c r="P108" s="945"/>
    </row>
    <row r="109" spans="1:16" ht="19.5">
      <c r="A109" s="949"/>
      <c r="B109" s="950"/>
      <c r="C109" s="950"/>
      <c r="D109" s="957"/>
      <c r="E109" s="956" t="s">
        <v>57</v>
      </c>
      <c r="F109" s="957"/>
      <c r="G109" s="958"/>
      <c r="H109" s="590" t="s">
        <v>49</v>
      </c>
      <c r="I109" s="830">
        <f ca="1">IFERROR(__xludf.DUMMYFUNCTION("IMPORTRANGE(""https://docs.google.com/spreadsheets/d/1QqKyyYR6Q21VydFLVH3TRQUabQu_ym0Zz7PgGX0-kHA/edit?usp=sharing"",""แผน!Q16"")"),1)</f>
        <v>1</v>
      </c>
      <c r="J109" s="959">
        <v>0</v>
      </c>
      <c r="K109" s="831">
        <f t="shared" ref="K109:K116" ca="1" si="58">IF(I109&gt;0,J109*100/I109,0)</f>
        <v>0</v>
      </c>
      <c r="L109" s="831"/>
      <c r="M109" s="831"/>
      <c r="N109" s="831"/>
      <c r="O109" s="945"/>
      <c r="P109" s="945"/>
    </row>
    <row r="110" spans="1:16" ht="18.75">
      <c r="A110" s="949"/>
      <c r="B110" s="950"/>
      <c r="C110" s="950"/>
      <c r="D110" s="957"/>
      <c r="E110" s="964" t="s">
        <v>58</v>
      </c>
      <c r="F110" s="957"/>
      <c r="G110" s="958"/>
      <c r="H110" s="590" t="s">
        <v>49</v>
      </c>
      <c r="I110" s="830">
        <f ca="1">IFERROR(__xludf.DUMMYFUNCTION("IMPORTRANGE(""https://docs.google.com/spreadsheets/d/1QqKyyYR6Q21VydFLVH3TRQUabQu_ym0Zz7PgGX0-kHA/edit?usp=sharing"",""แผน!Q16"")"),1)</f>
        <v>1</v>
      </c>
      <c r="J110" s="959">
        <v>0</v>
      </c>
      <c r="K110" s="831">
        <f t="shared" ca="1" si="58"/>
        <v>0</v>
      </c>
      <c r="L110" s="831"/>
      <c r="M110" s="831"/>
      <c r="N110" s="831"/>
      <c r="O110" s="945"/>
      <c r="P110" s="945"/>
    </row>
    <row r="111" spans="1:16" ht="19.5">
      <c r="A111" s="949"/>
      <c r="B111" s="950"/>
      <c r="C111" s="950"/>
      <c r="D111" s="960" t="s">
        <v>59</v>
      </c>
      <c r="E111" s="960"/>
      <c r="F111" s="957"/>
      <c r="G111" s="958"/>
      <c r="H111" s="733" t="s">
        <v>35</v>
      </c>
      <c r="I111" s="965">
        <f ca="1">IFERROR(__xludf.DUMMYFUNCTION("IMPORTRANGE(""https://docs.google.com/spreadsheets/d/1QqKyyYR6Q21VydFLVH3TRQUabQu_ym0Zz7PgGX0-kHA/edit?usp=sharing"",""แผน!R16"")"),10)</f>
        <v>10</v>
      </c>
      <c r="J111" s="966">
        <f>J114</f>
        <v>0</v>
      </c>
      <c r="K111" s="967">
        <f t="shared" ca="1" si="58"/>
        <v>0</v>
      </c>
      <c r="L111" s="831"/>
      <c r="M111" s="831"/>
      <c r="N111" s="831"/>
      <c r="O111" s="945"/>
      <c r="P111" s="945"/>
    </row>
    <row r="112" spans="1:16" ht="19.5">
      <c r="A112" s="949"/>
      <c r="B112" s="950"/>
      <c r="C112" s="950"/>
      <c r="D112" s="950"/>
      <c r="E112" s="957"/>
      <c r="F112" s="957"/>
      <c r="G112" s="958"/>
      <c r="H112" s="196" t="s">
        <v>49</v>
      </c>
      <c r="I112" s="965">
        <f t="shared" ref="I112:J112" ca="1" si="59">I115+I116</f>
        <v>2</v>
      </c>
      <c r="J112" s="966">
        <f t="shared" si="59"/>
        <v>0</v>
      </c>
      <c r="K112" s="967">
        <f t="shared" ca="1" si="58"/>
        <v>0</v>
      </c>
      <c r="L112" s="831"/>
      <c r="M112" s="831"/>
      <c r="N112" s="831"/>
      <c r="O112" s="945"/>
      <c r="P112" s="945"/>
    </row>
    <row r="113" spans="1:16" ht="19.5">
      <c r="A113" s="949"/>
      <c r="B113" s="950"/>
      <c r="C113" s="950"/>
      <c r="D113" s="950"/>
      <c r="E113" s="968" t="s">
        <v>60</v>
      </c>
      <c r="F113" s="957"/>
      <c r="G113" s="958"/>
      <c r="H113" s="198" t="s">
        <v>35</v>
      </c>
      <c r="I113" s="944">
        <f ca="1">IFERROR(__xludf.DUMMYFUNCTION("IMPORTRANGE(""https://docs.google.com/spreadsheets/d/1QqKyyYR6Q21VydFLVH3TRQUabQu_ym0Zz7PgGX0-kHA/edit?usp=sharing"",""แผน!R16"")"),10)</f>
        <v>10</v>
      </c>
      <c r="J113" s="959">
        <v>0</v>
      </c>
      <c r="K113" s="831">
        <f t="shared" ca="1" si="58"/>
        <v>0</v>
      </c>
      <c r="L113" s="831"/>
      <c r="M113" s="831"/>
      <c r="N113" s="831"/>
      <c r="O113" s="945"/>
      <c r="P113" s="945"/>
    </row>
    <row r="114" spans="1:16" ht="19.5">
      <c r="A114" s="949"/>
      <c r="B114" s="950"/>
      <c r="C114" s="950"/>
      <c r="D114" s="950"/>
      <c r="E114" s="956" t="s">
        <v>61</v>
      </c>
      <c r="F114" s="957"/>
      <c r="G114" s="958"/>
      <c r="H114" s="199" t="s">
        <v>35</v>
      </c>
      <c r="I114" s="944">
        <f ca="1">IFERROR(__xludf.DUMMYFUNCTION("IMPORTRANGE(""https://docs.google.com/spreadsheets/d/1QqKyyYR6Q21VydFLVH3TRQUabQu_ym0Zz7PgGX0-kHA/edit?usp=sharing"",""แผน!R16"")"),10)</f>
        <v>10</v>
      </c>
      <c r="J114" s="959">
        <v>0</v>
      </c>
      <c r="K114" s="831">
        <f t="shared" ca="1" si="58"/>
        <v>0</v>
      </c>
      <c r="L114" s="831"/>
      <c r="M114" s="831"/>
      <c r="N114" s="831"/>
      <c r="O114" s="945"/>
      <c r="P114" s="945"/>
    </row>
    <row r="115" spans="1:16" ht="18.75">
      <c r="A115" s="949"/>
      <c r="B115" s="950"/>
      <c r="C115" s="950"/>
      <c r="D115" s="950"/>
      <c r="E115" s="956" t="s">
        <v>62</v>
      </c>
      <c r="F115" s="957"/>
      <c r="G115" s="958"/>
      <c r="H115" s="199" t="s">
        <v>49</v>
      </c>
      <c r="I115" s="944">
        <f ca="1">IFERROR(__xludf.DUMMYFUNCTION("IMPORTRANGE(""https://docs.google.com/spreadsheets/d/1QqKyyYR6Q21VydFLVH3TRQUabQu_ym0Zz7PgGX0-kHA/edit?usp=sharing"",""แผน!S16"")"),1)</f>
        <v>1</v>
      </c>
      <c r="J115" s="959">
        <v>0</v>
      </c>
      <c r="K115" s="831">
        <f t="shared" ca="1" si="58"/>
        <v>0</v>
      </c>
      <c r="L115" s="831"/>
      <c r="M115" s="831"/>
      <c r="N115" s="831"/>
      <c r="O115" s="945"/>
      <c r="P115" s="945"/>
    </row>
    <row r="116" spans="1:16" ht="18.75">
      <c r="A116" s="949"/>
      <c r="B116" s="950"/>
      <c r="C116" s="950"/>
      <c r="D116" s="950"/>
      <c r="E116" s="956" t="s">
        <v>63</v>
      </c>
      <c r="F116" s="957"/>
      <c r="G116" s="958"/>
      <c r="H116" s="199" t="s">
        <v>49</v>
      </c>
      <c r="I116" s="944">
        <f ca="1">IFERROR(__xludf.DUMMYFUNCTION("IMPORTRANGE(""https://docs.google.com/spreadsheets/d/1QqKyyYR6Q21VydFLVH3TRQUabQu_ym0Zz7PgGX0-kHA/edit?usp=sharing"",""แผน!T16"")"),1)</f>
        <v>1</v>
      </c>
      <c r="J116" s="959">
        <v>0</v>
      </c>
      <c r="K116" s="831">
        <f t="shared" ca="1" si="58"/>
        <v>0</v>
      </c>
      <c r="L116" s="831"/>
      <c r="M116" s="831"/>
      <c r="N116" s="831"/>
      <c r="O116" s="945"/>
      <c r="P116" s="945"/>
    </row>
    <row r="117" spans="1:16" ht="19.5" hidden="1">
      <c r="A117" s="917" t="s">
        <v>64</v>
      </c>
      <c r="B117" s="918"/>
      <c r="C117" s="969"/>
      <c r="D117" s="918"/>
      <c r="E117" s="918"/>
      <c r="F117" s="918"/>
      <c r="G117" s="918"/>
      <c r="H117" s="970"/>
      <c r="I117" s="971"/>
      <c r="J117" s="971"/>
      <c r="K117" s="972"/>
      <c r="L117" s="923"/>
      <c r="M117" s="923"/>
      <c r="N117" s="923"/>
      <c r="O117" s="923"/>
      <c r="P117" s="923"/>
    </row>
    <row r="118" spans="1:16" ht="19.5" hidden="1">
      <c r="A118" s="924"/>
      <c r="B118" s="925" t="s">
        <v>65</v>
      </c>
      <c r="C118" s="973"/>
      <c r="D118" s="927"/>
      <c r="E118" s="926"/>
      <c r="F118" s="926"/>
      <c r="G118" s="928"/>
      <c r="H118" s="205"/>
      <c r="I118" s="974"/>
      <c r="J118" s="974"/>
      <c r="K118" s="931"/>
      <c r="L118" s="931"/>
      <c r="M118" s="931"/>
      <c r="N118" s="931"/>
      <c r="O118" s="931"/>
      <c r="P118" s="931"/>
    </row>
    <row r="119" spans="1:16" ht="19.5" hidden="1">
      <c r="A119" s="932"/>
      <c r="B119" s="933"/>
      <c r="C119" s="934" t="s">
        <v>16</v>
      </c>
      <c r="D119" s="935" t="s">
        <v>17</v>
      </c>
      <c r="E119" s="933"/>
      <c r="F119" s="933"/>
      <c r="G119" s="936"/>
      <c r="H119" s="152" t="s">
        <v>12</v>
      </c>
      <c r="I119" s="937"/>
      <c r="J119" s="937"/>
      <c r="K119" s="938"/>
      <c r="L119" s="939">
        <f t="shared" ref="L119:N119" ca="1" si="60">L120+L121</f>
        <v>0</v>
      </c>
      <c r="M119" s="939">
        <f t="shared" ca="1" si="60"/>
        <v>0</v>
      </c>
      <c r="N119" s="939">
        <f t="shared" ca="1" si="60"/>
        <v>0</v>
      </c>
      <c r="O119" s="939">
        <f t="shared" ref="O119:O127" ca="1" si="61">IF(L119&gt;0,N119*100/L119,0)</f>
        <v>0</v>
      </c>
      <c r="P119" s="939">
        <f t="shared" ref="P119:P127" ca="1" si="62">IF(M119&gt;0,N119*100/M119,0)</f>
        <v>0</v>
      </c>
    </row>
    <row r="120" spans="1:16" ht="18.75" hidden="1">
      <c r="A120" s="940"/>
      <c r="B120" s="833"/>
      <c r="C120" s="833"/>
      <c r="D120" s="833"/>
      <c r="E120" s="834" t="s">
        <v>18</v>
      </c>
      <c r="F120" s="833"/>
      <c r="G120" s="941"/>
      <c r="H120" s="158" t="s">
        <v>12</v>
      </c>
      <c r="I120" s="836"/>
      <c r="J120" s="836"/>
      <c r="K120" s="837"/>
      <c r="L120" s="837">
        <f t="shared" ref="L120:N121" si="63">L123+L126</f>
        <v>0</v>
      </c>
      <c r="M120" s="837">
        <f t="shared" si="63"/>
        <v>0</v>
      </c>
      <c r="N120" s="837">
        <f t="shared" si="63"/>
        <v>0</v>
      </c>
      <c r="O120" s="837">
        <f t="shared" si="61"/>
        <v>0</v>
      </c>
      <c r="P120" s="837">
        <f t="shared" si="62"/>
        <v>0</v>
      </c>
    </row>
    <row r="121" spans="1:16" ht="18.75" hidden="1">
      <c r="A121" s="940"/>
      <c r="B121" s="833"/>
      <c r="C121" s="833"/>
      <c r="D121" s="833"/>
      <c r="E121" s="834" t="s">
        <v>19</v>
      </c>
      <c r="F121" s="833"/>
      <c r="G121" s="941"/>
      <c r="H121" s="158" t="s">
        <v>12</v>
      </c>
      <c r="I121" s="836"/>
      <c r="J121" s="836"/>
      <c r="K121" s="837"/>
      <c r="L121" s="837">
        <f t="shared" ca="1" si="63"/>
        <v>0</v>
      </c>
      <c r="M121" s="837">
        <f t="shared" ca="1" si="63"/>
        <v>0</v>
      </c>
      <c r="N121" s="837">
        <f t="shared" ca="1" si="63"/>
        <v>0</v>
      </c>
      <c r="O121" s="837">
        <f t="shared" ca="1" si="61"/>
        <v>0</v>
      </c>
      <c r="P121" s="837">
        <f t="shared" ca="1" si="62"/>
        <v>0</v>
      </c>
    </row>
    <row r="122" spans="1:16" ht="18.75" hidden="1">
      <c r="A122" s="942"/>
      <c r="B122" s="827"/>
      <c r="C122" s="943"/>
      <c r="D122" s="828" t="s">
        <v>20</v>
      </c>
      <c r="E122" s="827"/>
      <c r="F122" s="827"/>
      <c r="G122" s="829"/>
      <c r="H122" s="778" t="s">
        <v>12</v>
      </c>
      <c r="I122" s="944"/>
      <c r="J122" s="944"/>
      <c r="K122" s="945"/>
      <c r="L122" s="831">
        <f t="shared" ref="L122:N122" ca="1" si="64">L123+L124</f>
        <v>0</v>
      </c>
      <c r="M122" s="831">
        <f t="shared" ca="1" si="64"/>
        <v>0</v>
      </c>
      <c r="N122" s="831">
        <f t="shared" ca="1" si="64"/>
        <v>0</v>
      </c>
      <c r="O122" s="831">
        <f t="shared" ca="1" si="61"/>
        <v>0</v>
      </c>
      <c r="P122" s="831">
        <f t="shared" ca="1" si="62"/>
        <v>0</v>
      </c>
    </row>
    <row r="123" spans="1:16" ht="18.75" hidden="1">
      <c r="A123" s="940"/>
      <c r="B123" s="833"/>
      <c r="C123" s="834"/>
      <c r="D123" s="833"/>
      <c r="E123" s="834" t="s">
        <v>36</v>
      </c>
      <c r="F123" s="833"/>
      <c r="G123" s="941"/>
      <c r="H123" s="165" t="s">
        <v>12</v>
      </c>
      <c r="I123" s="947"/>
      <c r="J123" s="947"/>
      <c r="K123" s="948"/>
      <c r="L123" s="837">
        <v>0</v>
      </c>
      <c r="M123" s="837">
        <v>0</v>
      </c>
      <c r="N123" s="837">
        <v>0</v>
      </c>
      <c r="O123" s="837">
        <f t="shared" si="61"/>
        <v>0</v>
      </c>
      <c r="P123" s="837">
        <f t="shared" si="62"/>
        <v>0</v>
      </c>
    </row>
    <row r="124" spans="1:16" ht="18.75" hidden="1">
      <c r="A124" s="940"/>
      <c r="B124" s="833"/>
      <c r="C124" s="834"/>
      <c r="D124" s="833"/>
      <c r="E124" s="834" t="s">
        <v>37</v>
      </c>
      <c r="F124" s="833"/>
      <c r="G124" s="941"/>
      <c r="H124" s="165" t="s">
        <v>12</v>
      </c>
      <c r="I124" s="947"/>
      <c r="J124" s="947"/>
      <c r="K124" s="948"/>
      <c r="L124" s="837">
        <f ca="1">IFERROR(__xludf.DUMMYFUNCTION("IMPORTRANGE(""https://docs.google.com/spreadsheets/d/1MeEWN-I1oV_STSDYn1IFDPWt_1FKiwhDph83XaGc0o0/edit?usp=sharing"",""งบพรบ!BA16"")"),0)</f>
        <v>0</v>
      </c>
      <c r="M124" s="837">
        <f ca="1">IFERROR(__xludf.DUMMYFUNCTION("IMPORTRANGE(""https://docs.google.com/spreadsheets/d/1MeEWN-I1oV_STSDYn1IFDPWt_1FKiwhDph83XaGc0o0/edit?usp=sharing"",""งบพรบ!BF16"")"),0)</f>
        <v>0</v>
      </c>
      <c r="N124" s="837">
        <f ca="1">IFERROR(__xludf.DUMMYFUNCTION("IMPORTRANGE(""https://docs.google.com/spreadsheets/d/1MeEWN-I1oV_STSDYn1IFDPWt_1FKiwhDph83XaGc0o0/edit?usp=sharing"",""งบพรบ!BH16"")"),0)</f>
        <v>0</v>
      </c>
      <c r="O124" s="837">
        <f t="shared" ca="1" si="61"/>
        <v>0</v>
      </c>
      <c r="P124" s="837">
        <f t="shared" ca="1" si="62"/>
        <v>0</v>
      </c>
    </row>
    <row r="125" spans="1:16" ht="18.75" hidden="1">
      <c r="A125" s="942"/>
      <c r="B125" s="827"/>
      <c r="C125" s="943"/>
      <c r="D125" s="828" t="s">
        <v>21</v>
      </c>
      <c r="E125" s="827"/>
      <c r="F125" s="827"/>
      <c r="G125" s="829"/>
      <c r="H125" s="168" t="s">
        <v>12</v>
      </c>
      <c r="I125" s="944"/>
      <c r="J125" s="944"/>
      <c r="K125" s="945"/>
      <c r="L125" s="831">
        <f t="shared" ref="L125:N125" ca="1" si="65">L126+L127</f>
        <v>0</v>
      </c>
      <c r="M125" s="831">
        <f t="shared" ca="1" si="65"/>
        <v>0</v>
      </c>
      <c r="N125" s="831">
        <f t="shared" ca="1" si="65"/>
        <v>0</v>
      </c>
      <c r="O125" s="831">
        <f t="shared" ca="1" si="61"/>
        <v>0</v>
      </c>
      <c r="P125" s="831">
        <f t="shared" ca="1" si="62"/>
        <v>0</v>
      </c>
    </row>
    <row r="126" spans="1:16" ht="19.5" hidden="1">
      <c r="A126" s="940"/>
      <c r="B126" s="833"/>
      <c r="C126" s="946"/>
      <c r="D126" s="833"/>
      <c r="E126" s="834" t="s">
        <v>18</v>
      </c>
      <c r="F126" s="833"/>
      <c r="G126" s="941"/>
      <c r="H126" s="165" t="s">
        <v>12</v>
      </c>
      <c r="I126" s="947"/>
      <c r="J126" s="947"/>
      <c r="K126" s="948"/>
      <c r="L126" s="837">
        <v>0</v>
      </c>
      <c r="M126" s="837">
        <v>0</v>
      </c>
      <c r="N126" s="837">
        <v>0</v>
      </c>
      <c r="O126" s="837">
        <f t="shared" si="61"/>
        <v>0</v>
      </c>
      <c r="P126" s="837">
        <f t="shared" si="62"/>
        <v>0</v>
      </c>
    </row>
    <row r="127" spans="1:16" ht="19.5" hidden="1">
      <c r="A127" s="940"/>
      <c r="B127" s="833"/>
      <c r="C127" s="946"/>
      <c r="D127" s="833"/>
      <c r="E127" s="834" t="s">
        <v>19</v>
      </c>
      <c r="F127" s="833"/>
      <c r="G127" s="941"/>
      <c r="H127" s="169" t="s">
        <v>12</v>
      </c>
      <c r="I127" s="947"/>
      <c r="J127" s="947"/>
      <c r="K127" s="948"/>
      <c r="L127" s="837">
        <f ca="1">IFERROR(__xludf.DUMMYFUNCTION("IMPORTRANGE(""https://docs.google.com/spreadsheets/d/1MeEWN-I1oV_STSDYn1IFDPWt_1FKiwhDph83XaGc0o0/edit?usp=sharing"",""งบพรบ!BD16"")"),0)</f>
        <v>0</v>
      </c>
      <c r="M127" s="837">
        <f ca="1">IFERROR(__xludf.DUMMYFUNCTION("IMPORTRANGE(""https://docs.google.com/spreadsheets/d/1MeEWN-I1oV_STSDYn1IFDPWt_1FKiwhDph83XaGc0o0/edit?usp=sharing"",""งบพรบ!BG16"")"),0)</f>
        <v>0</v>
      </c>
      <c r="N127" s="837">
        <f ca="1">IFERROR(__xludf.DUMMYFUNCTION("IMPORTRANGE(""https://docs.google.com/spreadsheets/d/1MeEWN-I1oV_STSDYn1IFDPWt_1FKiwhDph83XaGc0o0/edit?usp=sharing"",""งบพรบ!BI16"")"),0)</f>
        <v>0</v>
      </c>
      <c r="O127" s="837">
        <f t="shared" ca="1" si="61"/>
        <v>0</v>
      </c>
      <c r="P127" s="837">
        <f t="shared" ca="1" si="62"/>
        <v>0</v>
      </c>
    </row>
    <row r="128" spans="1:16" ht="19.5" hidden="1">
      <c r="A128" s="917" t="s">
        <v>67</v>
      </c>
      <c r="B128" s="918"/>
      <c r="C128" s="969"/>
      <c r="D128" s="918"/>
      <c r="E128" s="918"/>
      <c r="F128" s="918"/>
      <c r="G128" s="918"/>
      <c r="H128" s="970"/>
      <c r="I128" s="971"/>
      <c r="J128" s="971"/>
      <c r="K128" s="972"/>
      <c r="L128" s="923"/>
      <c r="M128" s="923"/>
      <c r="N128" s="923"/>
      <c r="O128" s="923"/>
      <c r="P128" s="923"/>
    </row>
    <row r="129" spans="1:16" ht="19.5" hidden="1">
      <c r="A129" s="924"/>
      <c r="B129" s="925" t="s">
        <v>68</v>
      </c>
      <c r="C129" s="973"/>
      <c r="D129" s="927"/>
      <c r="E129" s="926"/>
      <c r="F129" s="926"/>
      <c r="G129" s="926"/>
      <c r="H129" s="207"/>
      <c r="I129" s="974"/>
      <c r="J129" s="974"/>
      <c r="K129" s="931"/>
      <c r="L129" s="931"/>
      <c r="M129" s="931"/>
      <c r="N129" s="931"/>
      <c r="O129" s="931"/>
      <c r="P129" s="931"/>
    </row>
    <row r="130" spans="1:16" ht="19.5" hidden="1">
      <c r="A130" s="924"/>
      <c r="B130" s="925"/>
      <c r="C130" s="975" t="s">
        <v>69</v>
      </c>
      <c r="D130" s="927"/>
      <c r="E130" s="926"/>
      <c r="F130" s="926"/>
      <c r="G130" s="928"/>
      <c r="H130" s="205" t="s">
        <v>66</v>
      </c>
      <c r="I130" s="929">
        <f t="shared" ref="I130:J130" ca="1" si="66">I146</f>
        <v>0</v>
      </c>
      <c r="J130" s="929">
        <f t="shared" si="66"/>
        <v>0</v>
      </c>
      <c r="K130" s="930">
        <f t="shared" ref="K130:K131" ca="1" si="67">IF(I130&gt;0,J130*100/I130,0)</f>
        <v>0</v>
      </c>
      <c r="L130" s="931"/>
      <c r="M130" s="931"/>
      <c r="N130" s="931"/>
      <c r="O130" s="931"/>
      <c r="P130" s="931"/>
    </row>
    <row r="131" spans="1:16" ht="19.5" hidden="1">
      <c r="A131" s="924"/>
      <c r="B131" s="925"/>
      <c r="C131" s="975" t="s">
        <v>70</v>
      </c>
      <c r="D131" s="927"/>
      <c r="E131" s="926"/>
      <c r="F131" s="926"/>
      <c r="G131" s="928"/>
      <c r="H131" s="205" t="s">
        <v>35</v>
      </c>
      <c r="I131" s="929">
        <f t="shared" ref="I131:J131" ca="1" si="68">I143</f>
        <v>0</v>
      </c>
      <c r="J131" s="929">
        <f t="shared" ca="1" si="68"/>
        <v>0</v>
      </c>
      <c r="K131" s="930">
        <f t="shared" ca="1" si="67"/>
        <v>0</v>
      </c>
      <c r="L131" s="931"/>
      <c r="M131" s="931"/>
      <c r="N131" s="931"/>
      <c r="O131" s="931"/>
      <c r="P131" s="931"/>
    </row>
    <row r="132" spans="1:16" ht="19.5" hidden="1">
      <c r="A132" s="932"/>
      <c r="B132" s="933"/>
      <c r="C132" s="934" t="s">
        <v>16</v>
      </c>
      <c r="D132" s="935" t="s">
        <v>17</v>
      </c>
      <c r="E132" s="933"/>
      <c r="F132" s="933"/>
      <c r="G132" s="936"/>
      <c r="H132" s="152" t="s">
        <v>12</v>
      </c>
      <c r="I132" s="937"/>
      <c r="J132" s="937"/>
      <c r="K132" s="938"/>
      <c r="L132" s="939">
        <f t="shared" ref="L132:N132" ca="1" si="69">L133+L134</f>
        <v>0</v>
      </c>
      <c r="M132" s="939">
        <f t="shared" ca="1" si="69"/>
        <v>0</v>
      </c>
      <c r="N132" s="939">
        <f t="shared" ca="1" si="69"/>
        <v>0</v>
      </c>
      <c r="O132" s="939">
        <f t="shared" ref="O132:O140" ca="1" si="70">IF(L132&gt;0,N132*100/L132,0)</f>
        <v>0</v>
      </c>
      <c r="P132" s="939">
        <f t="shared" ref="P132:P140" ca="1" si="71">IF(M132&gt;0,N132*100/M132,0)</f>
        <v>0</v>
      </c>
    </row>
    <row r="133" spans="1:16" ht="18.75" hidden="1">
      <c r="A133" s="940"/>
      <c r="B133" s="833"/>
      <c r="C133" s="833"/>
      <c r="D133" s="833"/>
      <c r="E133" s="834" t="s">
        <v>18</v>
      </c>
      <c r="F133" s="833"/>
      <c r="G133" s="941"/>
      <c r="H133" s="158" t="s">
        <v>12</v>
      </c>
      <c r="I133" s="836"/>
      <c r="J133" s="836"/>
      <c r="K133" s="837"/>
      <c r="L133" s="837">
        <f t="shared" ref="L133:N134" si="72">L136+L139</f>
        <v>0</v>
      </c>
      <c r="M133" s="837">
        <f t="shared" si="72"/>
        <v>0</v>
      </c>
      <c r="N133" s="837">
        <f t="shared" si="72"/>
        <v>0</v>
      </c>
      <c r="O133" s="837">
        <f t="shared" si="70"/>
        <v>0</v>
      </c>
      <c r="P133" s="837">
        <f t="shared" si="71"/>
        <v>0</v>
      </c>
    </row>
    <row r="134" spans="1:16" ht="18.75" hidden="1">
      <c r="A134" s="940"/>
      <c r="B134" s="833"/>
      <c r="C134" s="833"/>
      <c r="D134" s="833"/>
      <c r="E134" s="834" t="s">
        <v>19</v>
      </c>
      <c r="F134" s="833"/>
      <c r="G134" s="941"/>
      <c r="H134" s="158" t="s">
        <v>12</v>
      </c>
      <c r="I134" s="836"/>
      <c r="J134" s="836"/>
      <c r="K134" s="837"/>
      <c r="L134" s="837">
        <f t="shared" ca="1" si="72"/>
        <v>0</v>
      </c>
      <c r="M134" s="837">
        <f t="shared" ca="1" si="72"/>
        <v>0</v>
      </c>
      <c r="N134" s="837">
        <f t="shared" ca="1" si="72"/>
        <v>0</v>
      </c>
      <c r="O134" s="837">
        <f t="shared" ca="1" si="70"/>
        <v>0</v>
      </c>
      <c r="P134" s="837">
        <f t="shared" ca="1" si="71"/>
        <v>0</v>
      </c>
    </row>
    <row r="135" spans="1:16" ht="18.75" hidden="1">
      <c r="A135" s="942"/>
      <c r="B135" s="827"/>
      <c r="C135" s="943"/>
      <c r="D135" s="828" t="s">
        <v>20</v>
      </c>
      <c r="E135" s="827"/>
      <c r="F135" s="827"/>
      <c r="G135" s="829"/>
      <c r="H135" s="778" t="s">
        <v>12</v>
      </c>
      <c r="I135" s="944"/>
      <c r="J135" s="944"/>
      <c r="K135" s="945"/>
      <c r="L135" s="831">
        <f t="shared" ref="L135:N135" ca="1" si="73">L136+L137</f>
        <v>0</v>
      </c>
      <c r="M135" s="831">
        <f t="shared" ca="1" si="73"/>
        <v>0</v>
      </c>
      <c r="N135" s="831">
        <f t="shared" ca="1" si="73"/>
        <v>0</v>
      </c>
      <c r="O135" s="831">
        <f t="shared" ca="1" si="70"/>
        <v>0</v>
      </c>
      <c r="P135" s="831">
        <f t="shared" ca="1" si="71"/>
        <v>0</v>
      </c>
    </row>
    <row r="136" spans="1:16" ht="19.5" hidden="1">
      <c r="A136" s="940"/>
      <c r="B136" s="833"/>
      <c r="C136" s="946"/>
      <c r="D136" s="833"/>
      <c r="E136" s="834" t="s">
        <v>36</v>
      </c>
      <c r="F136" s="833"/>
      <c r="G136" s="941"/>
      <c r="H136" s="165" t="s">
        <v>12</v>
      </c>
      <c r="I136" s="947"/>
      <c r="J136" s="947"/>
      <c r="K136" s="948"/>
      <c r="L136" s="837">
        <v>0</v>
      </c>
      <c r="M136" s="837">
        <v>0</v>
      </c>
      <c r="N136" s="837">
        <v>0</v>
      </c>
      <c r="O136" s="837">
        <f t="shared" si="70"/>
        <v>0</v>
      </c>
      <c r="P136" s="837">
        <f t="shared" si="71"/>
        <v>0</v>
      </c>
    </row>
    <row r="137" spans="1:16" ht="19.5" hidden="1">
      <c r="A137" s="940"/>
      <c r="B137" s="833"/>
      <c r="C137" s="946"/>
      <c r="D137" s="833"/>
      <c r="E137" s="834" t="s">
        <v>37</v>
      </c>
      <c r="F137" s="833"/>
      <c r="G137" s="941"/>
      <c r="H137" s="165" t="s">
        <v>12</v>
      </c>
      <c r="I137" s="947"/>
      <c r="J137" s="947"/>
      <c r="K137" s="948"/>
      <c r="L137" s="837">
        <f ca="1">IFERROR(__xludf.DUMMYFUNCTION("IMPORTRANGE(""https://docs.google.com/spreadsheets/d/1MeEWN-I1oV_STSDYn1IFDPWt_1FKiwhDph83XaGc0o0/edit?usp=sharing"",""งบพรบ!BK16"")"),0)</f>
        <v>0</v>
      </c>
      <c r="M137" s="837">
        <f ca="1">IFERROR(__xludf.DUMMYFUNCTION("IMPORTRANGE(""https://docs.google.com/spreadsheets/d/1MeEWN-I1oV_STSDYn1IFDPWt_1FKiwhDph83XaGc0o0/edit?usp=sharing"",""งบพรบ!BP16"")"),0)</f>
        <v>0</v>
      </c>
      <c r="N137" s="837">
        <f ca="1">IFERROR(__xludf.DUMMYFUNCTION("IMPORTRANGE(""https://docs.google.com/spreadsheets/d/1MeEWN-I1oV_STSDYn1IFDPWt_1FKiwhDph83XaGc0o0/edit?usp=sharing"",""งบพรบ!BR16"")"),0)</f>
        <v>0</v>
      </c>
      <c r="O137" s="837">
        <f t="shared" ca="1" si="70"/>
        <v>0</v>
      </c>
      <c r="P137" s="837">
        <f t="shared" ca="1" si="71"/>
        <v>0</v>
      </c>
    </row>
    <row r="138" spans="1:16" ht="18.75" hidden="1">
      <c r="A138" s="942"/>
      <c r="B138" s="827"/>
      <c r="C138" s="943"/>
      <c r="D138" s="828" t="s">
        <v>21</v>
      </c>
      <c r="E138" s="827"/>
      <c r="F138" s="827"/>
      <c r="G138" s="829"/>
      <c r="H138" s="168" t="s">
        <v>12</v>
      </c>
      <c r="I138" s="944"/>
      <c r="J138" s="944"/>
      <c r="K138" s="945"/>
      <c r="L138" s="831">
        <f t="shared" ref="L138:N138" ca="1" si="74">L139+L140</f>
        <v>0</v>
      </c>
      <c r="M138" s="831">
        <f t="shared" ca="1" si="74"/>
        <v>0</v>
      </c>
      <c r="N138" s="831">
        <f t="shared" ca="1" si="74"/>
        <v>0</v>
      </c>
      <c r="O138" s="831">
        <f t="shared" ca="1" si="70"/>
        <v>0</v>
      </c>
      <c r="P138" s="831">
        <f t="shared" ca="1" si="71"/>
        <v>0</v>
      </c>
    </row>
    <row r="139" spans="1:16" ht="19.5" hidden="1">
      <c r="A139" s="940"/>
      <c r="B139" s="833"/>
      <c r="C139" s="946"/>
      <c r="D139" s="833"/>
      <c r="E139" s="834" t="s">
        <v>18</v>
      </c>
      <c r="F139" s="833"/>
      <c r="G139" s="941"/>
      <c r="H139" s="165" t="s">
        <v>12</v>
      </c>
      <c r="I139" s="947"/>
      <c r="J139" s="947"/>
      <c r="K139" s="948"/>
      <c r="L139" s="837">
        <v>0</v>
      </c>
      <c r="M139" s="837">
        <v>0</v>
      </c>
      <c r="N139" s="837">
        <v>0</v>
      </c>
      <c r="O139" s="837">
        <f t="shared" si="70"/>
        <v>0</v>
      </c>
      <c r="P139" s="837">
        <f t="shared" si="71"/>
        <v>0</v>
      </c>
    </row>
    <row r="140" spans="1:16" ht="19.5" hidden="1">
      <c r="A140" s="940"/>
      <c r="B140" s="833"/>
      <c r="C140" s="946"/>
      <c r="D140" s="833"/>
      <c r="E140" s="834" t="s">
        <v>19</v>
      </c>
      <c r="F140" s="833"/>
      <c r="G140" s="941"/>
      <c r="H140" s="169" t="s">
        <v>12</v>
      </c>
      <c r="I140" s="947"/>
      <c r="J140" s="947"/>
      <c r="K140" s="948"/>
      <c r="L140" s="837">
        <f ca="1">IFERROR(__xludf.DUMMYFUNCTION("IMPORTRANGE(""https://docs.google.com/spreadsheets/d/1MeEWN-I1oV_STSDYn1IFDPWt_1FKiwhDph83XaGc0o0/edit?usp=sharing"",""งบพรบ!BN16"")"),0)</f>
        <v>0</v>
      </c>
      <c r="M140" s="837">
        <f ca="1">IFERROR(__xludf.DUMMYFUNCTION("IMPORTRANGE(""https://docs.google.com/spreadsheets/d/1MeEWN-I1oV_STSDYn1IFDPWt_1FKiwhDph83XaGc0o0/edit?usp=sharing"",""งบพรบ!BQ16"")"),0)</f>
        <v>0</v>
      </c>
      <c r="N140" s="837">
        <f ca="1">IFERROR(__xludf.DUMMYFUNCTION("IMPORTRANGE(""https://docs.google.com/spreadsheets/d/1MeEWN-I1oV_STSDYn1IFDPWt_1FKiwhDph83XaGc0o0/edit?usp=sharing"",""งบพรบ!BS16"")"),0)</f>
        <v>0</v>
      </c>
      <c r="O140" s="837">
        <f t="shared" ca="1" si="70"/>
        <v>0</v>
      </c>
      <c r="P140" s="837">
        <f t="shared" ca="1" si="71"/>
        <v>0</v>
      </c>
    </row>
    <row r="141" spans="1:16" ht="19.5" hidden="1">
      <c r="A141" s="949"/>
      <c r="B141" s="950"/>
      <c r="C141" s="934" t="s">
        <v>16</v>
      </c>
      <c r="D141" s="951" t="s">
        <v>38</v>
      </c>
      <c r="E141" s="952"/>
      <c r="F141" s="952"/>
      <c r="G141" s="953"/>
      <c r="H141" s="168"/>
      <c r="I141" s="830"/>
      <c r="J141" s="830"/>
      <c r="K141" s="831"/>
      <c r="L141" s="831"/>
      <c r="M141" s="831"/>
      <c r="N141" s="831"/>
      <c r="O141" s="831"/>
      <c r="P141" s="831"/>
    </row>
    <row r="142" spans="1:16" ht="19.5" hidden="1">
      <c r="A142" s="942"/>
      <c r="B142" s="827"/>
      <c r="C142" s="976"/>
      <c r="D142" s="943" t="s">
        <v>71</v>
      </c>
      <c r="E142" s="828"/>
      <c r="F142" s="827"/>
      <c r="G142" s="977"/>
      <c r="H142" s="168"/>
      <c r="I142" s="830"/>
      <c r="J142" s="959">
        <v>0</v>
      </c>
      <c r="K142" s="831"/>
      <c r="L142" s="831"/>
      <c r="M142" s="831"/>
      <c r="N142" s="831"/>
      <c r="O142" s="831"/>
      <c r="P142" s="831"/>
    </row>
    <row r="143" spans="1:16" ht="19.5" hidden="1">
      <c r="A143" s="942"/>
      <c r="B143" s="827"/>
      <c r="C143" s="976"/>
      <c r="D143" s="943" t="s">
        <v>72</v>
      </c>
      <c r="E143" s="828"/>
      <c r="F143" s="827"/>
      <c r="G143" s="977"/>
      <c r="H143" s="168" t="s">
        <v>35</v>
      </c>
      <c r="I143" s="830">
        <f ca="1">I145</f>
        <v>0</v>
      </c>
      <c r="J143" s="830">
        <f ca="1">IF(AND(J144&gt;=I144,J145&gt;=I145),J145,0)</f>
        <v>0</v>
      </c>
      <c r="K143" s="831">
        <f t="shared" ref="K143:K146" ca="1" si="75">IF(I143&gt;0,J143*100/I143,0)</f>
        <v>0</v>
      </c>
      <c r="L143" s="831"/>
      <c r="M143" s="831"/>
      <c r="N143" s="831"/>
      <c r="O143" s="831"/>
      <c r="P143" s="831"/>
    </row>
    <row r="144" spans="1:16" ht="19.5" hidden="1">
      <c r="A144" s="942"/>
      <c r="B144" s="827"/>
      <c r="C144" s="976"/>
      <c r="D144" s="957"/>
      <c r="E144" s="943" t="s">
        <v>73</v>
      </c>
      <c r="F144" s="827"/>
      <c r="G144" s="977"/>
      <c r="H144" s="168" t="s">
        <v>35</v>
      </c>
      <c r="I144" s="830">
        <f ca="1">IFERROR(__xludf.DUMMYFUNCTION("IMPORTRANGE(""https://docs.google.com/spreadsheets/d/1QqKyyYR6Q21VydFLVH3TRQUabQu_ym0Zz7PgGX0-kHA/edit?usp=sharing"",""แผน!U16"")"),0)</f>
        <v>0</v>
      </c>
      <c r="J144" s="959">
        <v>0</v>
      </c>
      <c r="K144" s="831">
        <f t="shared" ca="1" si="75"/>
        <v>0</v>
      </c>
      <c r="L144" s="831"/>
      <c r="M144" s="831"/>
      <c r="N144" s="831"/>
      <c r="O144" s="831"/>
      <c r="P144" s="831"/>
    </row>
    <row r="145" spans="1:16" ht="19.5" hidden="1">
      <c r="A145" s="942"/>
      <c r="B145" s="827"/>
      <c r="C145" s="976"/>
      <c r="D145" s="957"/>
      <c r="E145" s="943" t="s">
        <v>74</v>
      </c>
      <c r="F145" s="827"/>
      <c r="G145" s="977"/>
      <c r="H145" s="168" t="s">
        <v>35</v>
      </c>
      <c r="I145" s="830">
        <f ca="1">IFERROR(__xludf.DUMMYFUNCTION("IMPORTRANGE(""https://docs.google.com/spreadsheets/d/1QqKyyYR6Q21VydFLVH3TRQUabQu_ym0Zz7PgGX0-kHA/edit?usp=sharing"",""แผน!V16"")"),0)</f>
        <v>0</v>
      </c>
      <c r="J145" s="959">
        <v>0</v>
      </c>
      <c r="K145" s="831">
        <f t="shared" ca="1" si="75"/>
        <v>0</v>
      </c>
      <c r="L145" s="831"/>
      <c r="M145" s="831"/>
      <c r="N145" s="831"/>
      <c r="O145" s="831"/>
      <c r="P145" s="831"/>
    </row>
    <row r="146" spans="1:16" ht="19.5" hidden="1">
      <c r="A146" s="942"/>
      <c r="B146" s="827"/>
      <c r="C146" s="976"/>
      <c r="D146" s="943" t="s">
        <v>75</v>
      </c>
      <c r="E146" s="828"/>
      <c r="F146" s="827"/>
      <c r="G146" s="977"/>
      <c r="H146" s="168" t="s">
        <v>66</v>
      </c>
      <c r="I146" s="830">
        <f ca="1">IFERROR(__xludf.DUMMYFUNCTION("IMPORTRANGE(""https://docs.google.com/spreadsheets/d/1QqKyyYR6Q21VydFLVH3TRQUabQu_ym0Zz7PgGX0-kHA/edit?usp=sharing"",""แผน!W16"")"),0)</f>
        <v>0</v>
      </c>
      <c r="J146" s="959">
        <v>0</v>
      </c>
      <c r="K146" s="831">
        <f t="shared" ca="1" si="75"/>
        <v>0</v>
      </c>
      <c r="L146" s="831"/>
      <c r="M146" s="831"/>
      <c r="N146" s="831"/>
      <c r="O146" s="831"/>
      <c r="P146" s="831"/>
    </row>
    <row r="147" spans="1:16" ht="19.5" hidden="1">
      <c r="A147" s="917" t="s">
        <v>76</v>
      </c>
      <c r="B147" s="918"/>
      <c r="C147" s="969"/>
      <c r="D147" s="918"/>
      <c r="E147" s="918"/>
      <c r="F147" s="918"/>
      <c r="G147" s="918"/>
      <c r="H147" s="970"/>
      <c r="I147" s="971"/>
      <c r="J147" s="971"/>
      <c r="K147" s="972"/>
      <c r="L147" s="923"/>
      <c r="M147" s="923"/>
      <c r="N147" s="923"/>
      <c r="O147" s="923"/>
      <c r="P147" s="923"/>
    </row>
    <row r="148" spans="1:16" ht="19.5" hidden="1">
      <c r="A148" s="978"/>
      <c r="B148" s="925" t="s">
        <v>77</v>
      </c>
      <c r="C148" s="925"/>
      <c r="D148" s="925"/>
      <c r="E148" s="979"/>
      <c r="F148" s="980"/>
      <c r="G148" s="981"/>
      <c r="H148" s="221" t="s">
        <v>35</v>
      </c>
      <c r="I148" s="929">
        <f t="shared" ref="I148:J148" ca="1" si="76">I159</f>
        <v>0</v>
      </c>
      <c r="J148" s="929">
        <f t="shared" si="76"/>
        <v>0</v>
      </c>
      <c r="K148" s="930">
        <f ca="1">IF(I148&gt;0,J148*100/I148,0)</f>
        <v>0</v>
      </c>
      <c r="L148" s="930"/>
      <c r="M148" s="930"/>
      <c r="N148" s="930"/>
      <c r="O148" s="930"/>
      <c r="P148" s="930"/>
    </row>
    <row r="149" spans="1:16" ht="19.5" hidden="1">
      <c r="A149" s="932"/>
      <c r="B149" s="933"/>
      <c r="C149" s="934" t="s">
        <v>16</v>
      </c>
      <c r="D149" s="935" t="s">
        <v>17</v>
      </c>
      <c r="E149" s="933"/>
      <c r="F149" s="933"/>
      <c r="G149" s="936"/>
      <c r="H149" s="152" t="s">
        <v>12</v>
      </c>
      <c r="I149" s="937"/>
      <c r="J149" s="937"/>
      <c r="K149" s="938"/>
      <c r="L149" s="939">
        <f t="shared" ref="L149:N149" ca="1" si="77">L150+L151</f>
        <v>0</v>
      </c>
      <c r="M149" s="939">
        <f t="shared" ca="1" si="77"/>
        <v>2000</v>
      </c>
      <c r="N149" s="939">
        <f t="shared" ca="1" si="77"/>
        <v>2000</v>
      </c>
      <c r="O149" s="939">
        <f t="shared" ref="O149:O157" ca="1" si="78">IF(L149&gt;0,N149*100/L149,0)</f>
        <v>0</v>
      </c>
      <c r="P149" s="939">
        <f t="shared" ref="P149:P157" ca="1" si="79">IF(M149&gt;0,N149*100/M149,0)</f>
        <v>100</v>
      </c>
    </row>
    <row r="150" spans="1:16" ht="18.75" hidden="1">
      <c r="A150" s="940"/>
      <c r="B150" s="833"/>
      <c r="C150" s="833"/>
      <c r="D150" s="833"/>
      <c r="E150" s="834" t="s">
        <v>18</v>
      </c>
      <c r="F150" s="833"/>
      <c r="G150" s="941"/>
      <c r="H150" s="158" t="s">
        <v>12</v>
      </c>
      <c r="I150" s="836"/>
      <c r="J150" s="836"/>
      <c r="K150" s="837"/>
      <c r="L150" s="837">
        <f t="shared" ref="L150:N151" si="80">L153+L156</f>
        <v>0</v>
      </c>
      <c r="M150" s="837">
        <f t="shared" si="80"/>
        <v>0</v>
      </c>
      <c r="N150" s="837">
        <f t="shared" si="80"/>
        <v>0</v>
      </c>
      <c r="O150" s="837">
        <f t="shared" si="78"/>
        <v>0</v>
      </c>
      <c r="P150" s="837">
        <f t="shared" si="79"/>
        <v>0</v>
      </c>
    </row>
    <row r="151" spans="1:16" ht="18.75" hidden="1">
      <c r="A151" s="940"/>
      <c r="B151" s="833"/>
      <c r="C151" s="833"/>
      <c r="D151" s="833"/>
      <c r="E151" s="834" t="s">
        <v>19</v>
      </c>
      <c r="F151" s="833"/>
      <c r="G151" s="941"/>
      <c r="H151" s="158" t="s">
        <v>12</v>
      </c>
      <c r="I151" s="836"/>
      <c r="J151" s="836"/>
      <c r="K151" s="837"/>
      <c r="L151" s="837">
        <f t="shared" ca="1" si="80"/>
        <v>0</v>
      </c>
      <c r="M151" s="837">
        <f t="shared" ca="1" si="80"/>
        <v>2000</v>
      </c>
      <c r="N151" s="837">
        <f t="shared" ca="1" si="80"/>
        <v>2000</v>
      </c>
      <c r="O151" s="837">
        <f t="shared" ca="1" si="78"/>
        <v>0</v>
      </c>
      <c r="P151" s="837">
        <f t="shared" ca="1" si="79"/>
        <v>100</v>
      </c>
    </row>
    <row r="152" spans="1:16" ht="18.75" hidden="1">
      <c r="A152" s="942"/>
      <c r="B152" s="827"/>
      <c r="C152" s="943"/>
      <c r="D152" s="828" t="s">
        <v>20</v>
      </c>
      <c r="E152" s="827"/>
      <c r="F152" s="827"/>
      <c r="G152" s="829"/>
      <c r="H152" s="778" t="s">
        <v>12</v>
      </c>
      <c r="I152" s="944"/>
      <c r="J152" s="944"/>
      <c r="K152" s="945"/>
      <c r="L152" s="831">
        <f t="shared" ref="L152:N152" ca="1" si="81">L153+L154</f>
        <v>0</v>
      </c>
      <c r="M152" s="831">
        <f t="shared" ca="1" si="81"/>
        <v>2000</v>
      </c>
      <c r="N152" s="831">
        <f t="shared" ca="1" si="81"/>
        <v>2000</v>
      </c>
      <c r="O152" s="831">
        <f t="shared" ca="1" si="78"/>
        <v>0</v>
      </c>
      <c r="P152" s="831">
        <f t="shared" ca="1" si="79"/>
        <v>100</v>
      </c>
    </row>
    <row r="153" spans="1:16" ht="19.5" hidden="1">
      <c r="A153" s="940"/>
      <c r="B153" s="833"/>
      <c r="C153" s="946"/>
      <c r="D153" s="833"/>
      <c r="E153" s="834" t="s">
        <v>36</v>
      </c>
      <c r="F153" s="833"/>
      <c r="G153" s="941"/>
      <c r="H153" s="165" t="s">
        <v>12</v>
      </c>
      <c r="I153" s="947"/>
      <c r="J153" s="947"/>
      <c r="K153" s="948"/>
      <c r="L153" s="837">
        <v>0</v>
      </c>
      <c r="M153" s="837">
        <v>0</v>
      </c>
      <c r="N153" s="837">
        <v>0</v>
      </c>
      <c r="O153" s="837">
        <f t="shared" si="78"/>
        <v>0</v>
      </c>
      <c r="P153" s="837">
        <f t="shared" si="79"/>
        <v>0</v>
      </c>
    </row>
    <row r="154" spans="1:16" ht="19.5" hidden="1">
      <c r="A154" s="940"/>
      <c r="B154" s="833"/>
      <c r="C154" s="946"/>
      <c r="D154" s="833"/>
      <c r="E154" s="834" t="s">
        <v>37</v>
      </c>
      <c r="F154" s="833"/>
      <c r="G154" s="941"/>
      <c r="H154" s="165" t="s">
        <v>12</v>
      </c>
      <c r="I154" s="947"/>
      <c r="J154" s="947"/>
      <c r="K154" s="948"/>
      <c r="L154" s="837">
        <f ca="1">IFERROR(__xludf.DUMMYFUNCTION("IMPORTRANGE(""https://docs.google.com/spreadsheets/d/1MeEWN-I1oV_STSDYn1IFDPWt_1FKiwhDph83XaGc0o0/edit?usp=sharing"",""งบพรบ!BU16"")"),0)</f>
        <v>0</v>
      </c>
      <c r="M154" s="837">
        <f ca="1">IFERROR(__xludf.DUMMYFUNCTION("IMPORTRANGE(""https://docs.google.com/spreadsheets/d/1MeEWN-I1oV_STSDYn1IFDPWt_1FKiwhDph83XaGc0o0/edit?usp=sharing"",""งบพรบ!BZ16"")"),2000)</f>
        <v>2000</v>
      </c>
      <c r="N154" s="837">
        <f ca="1">IFERROR(__xludf.DUMMYFUNCTION("IMPORTRANGE(""https://docs.google.com/spreadsheets/d/1MeEWN-I1oV_STSDYn1IFDPWt_1FKiwhDph83XaGc0o0/edit?usp=sharing"",""งบพรบ!CB16"")"),2000)</f>
        <v>2000</v>
      </c>
      <c r="O154" s="837">
        <f t="shared" ca="1" si="78"/>
        <v>0</v>
      </c>
      <c r="P154" s="837">
        <f t="shared" ca="1" si="79"/>
        <v>100</v>
      </c>
    </row>
    <row r="155" spans="1:16" ht="18.75" hidden="1">
      <c r="A155" s="942"/>
      <c r="B155" s="827"/>
      <c r="C155" s="943"/>
      <c r="D155" s="828" t="s">
        <v>21</v>
      </c>
      <c r="E155" s="827"/>
      <c r="F155" s="827"/>
      <c r="G155" s="829"/>
      <c r="H155" s="168" t="s">
        <v>12</v>
      </c>
      <c r="I155" s="944"/>
      <c r="J155" s="944"/>
      <c r="K155" s="945"/>
      <c r="L155" s="831">
        <f t="shared" ref="L155:N155" ca="1" si="82">L156+L157</f>
        <v>0</v>
      </c>
      <c r="M155" s="831">
        <f t="shared" ca="1" si="82"/>
        <v>0</v>
      </c>
      <c r="N155" s="831">
        <f t="shared" ca="1" si="82"/>
        <v>0</v>
      </c>
      <c r="O155" s="831">
        <f t="shared" ca="1" si="78"/>
        <v>0</v>
      </c>
      <c r="P155" s="831">
        <f t="shared" ca="1" si="79"/>
        <v>0</v>
      </c>
    </row>
    <row r="156" spans="1:16" ht="19.5" hidden="1">
      <c r="A156" s="940"/>
      <c r="B156" s="833"/>
      <c r="C156" s="946"/>
      <c r="D156" s="833"/>
      <c r="E156" s="834" t="s">
        <v>18</v>
      </c>
      <c r="F156" s="833"/>
      <c r="G156" s="941"/>
      <c r="H156" s="165" t="s">
        <v>12</v>
      </c>
      <c r="I156" s="947"/>
      <c r="J156" s="947"/>
      <c r="K156" s="948"/>
      <c r="L156" s="837">
        <v>0</v>
      </c>
      <c r="M156" s="837">
        <v>0</v>
      </c>
      <c r="N156" s="837">
        <v>0</v>
      </c>
      <c r="O156" s="837">
        <f t="shared" si="78"/>
        <v>0</v>
      </c>
      <c r="P156" s="837">
        <f t="shared" si="79"/>
        <v>0</v>
      </c>
    </row>
    <row r="157" spans="1:16" ht="19.5" hidden="1">
      <c r="A157" s="940"/>
      <c r="B157" s="833"/>
      <c r="C157" s="946"/>
      <c r="D157" s="833"/>
      <c r="E157" s="834" t="s">
        <v>19</v>
      </c>
      <c r="F157" s="833"/>
      <c r="G157" s="941"/>
      <c r="H157" s="169" t="s">
        <v>12</v>
      </c>
      <c r="I157" s="947"/>
      <c r="J157" s="947"/>
      <c r="K157" s="948"/>
      <c r="L157" s="837">
        <f ca="1">IFERROR(__xludf.DUMMYFUNCTION("IMPORTRANGE(""https://docs.google.com/spreadsheets/d/1MeEWN-I1oV_STSDYn1IFDPWt_1FKiwhDph83XaGc0o0/edit?usp=sharing"",""งบพรบ!BX16"")"),0)</f>
        <v>0</v>
      </c>
      <c r="M157" s="837">
        <f ca="1">IFERROR(__xludf.DUMMYFUNCTION("IMPORTRANGE(""https://docs.google.com/spreadsheets/d/1MeEWN-I1oV_STSDYn1IFDPWt_1FKiwhDph83XaGc0o0/edit?usp=sharing"",""งบพรบ!CA16"")"),0)</f>
        <v>0</v>
      </c>
      <c r="N157" s="837">
        <f ca="1">IFERROR(__xludf.DUMMYFUNCTION("IMPORTRANGE(""https://docs.google.com/spreadsheets/d/1MeEWN-I1oV_STSDYn1IFDPWt_1FKiwhDph83XaGc0o0/edit?usp=sharing"",""งบพรบ!CC16"")"),0)</f>
        <v>0</v>
      </c>
      <c r="O157" s="837">
        <f t="shared" ca="1" si="78"/>
        <v>0</v>
      </c>
      <c r="P157" s="837">
        <f t="shared" ca="1" si="79"/>
        <v>0</v>
      </c>
    </row>
    <row r="158" spans="1:16" ht="19.5" hidden="1">
      <c r="A158" s="949"/>
      <c r="B158" s="950"/>
      <c r="C158" s="946" t="s">
        <v>16</v>
      </c>
      <c r="D158" s="951" t="s">
        <v>38</v>
      </c>
      <c r="E158" s="952"/>
      <c r="F158" s="952"/>
      <c r="G158" s="953"/>
      <c r="H158" s="168"/>
      <c r="I158" s="830"/>
      <c r="J158" s="830"/>
      <c r="K158" s="831"/>
      <c r="L158" s="831"/>
      <c r="M158" s="831"/>
      <c r="N158" s="831"/>
      <c r="O158" s="831"/>
      <c r="P158" s="831"/>
    </row>
    <row r="159" spans="1:16" ht="19.5" hidden="1">
      <c r="A159" s="942"/>
      <c r="B159" s="827"/>
      <c r="C159" s="976"/>
      <c r="D159" s="943" t="s">
        <v>78</v>
      </c>
      <c r="E159" s="828"/>
      <c r="F159" s="827"/>
      <c r="G159" s="977"/>
      <c r="H159" s="168" t="s">
        <v>35</v>
      </c>
      <c r="I159" s="830">
        <f ca="1">IFERROR(__xludf.DUMMYFUNCTION("IMPORTRANGE(""https://docs.google.com/spreadsheets/d/1QqKyyYR6Q21VydFLVH3TRQUabQu_ym0Zz7PgGX0-kHA/edit?usp=sharing"",""แผน!X16"")"),0)</f>
        <v>0</v>
      </c>
      <c r="J159" s="959">
        <v>0</v>
      </c>
      <c r="K159" s="831">
        <f ca="1">IF(I159&gt;0,J159*100/I159,0)</f>
        <v>0</v>
      </c>
      <c r="L159" s="831"/>
      <c r="M159" s="831"/>
      <c r="N159" s="831"/>
      <c r="O159" s="831"/>
      <c r="P159" s="831"/>
    </row>
    <row r="160" spans="1:16" ht="19.5" hidden="1">
      <c r="A160" s="940"/>
      <c r="B160" s="833"/>
      <c r="C160" s="946"/>
      <c r="D160" s="834" t="s">
        <v>79</v>
      </c>
      <c r="E160" s="982"/>
      <c r="F160" s="833"/>
      <c r="G160" s="941"/>
      <c r="H160" s="169" t="s">
        <v>35</v>
      </c>
      <c r="I160" s="836"/>
      <c r="J160" s="836"/>
      <c r="K160" s="837"/>
      <c r="L160" s="837"/>
      <c r="M160" s="837"/>
      <c r="N160" s="837"/>
      <c r="O160" s="837"/>
      <c r="P160" s="837"/>
    </row>
    <row r="161" spans="1:16" ht="19.5" hidden="1">
      <c r="A161" s="983"/>
      <c r="B161" s="984"/>
      <c r="C161" s="985"/>
      <c r="D161" s="986" t="s">
        <v>80</v>
      </c>
      <c r="E161" s="987"/>
      <c r="F161" s="984"/>
      <c r="G161" s="988"/>
      <c r="H161" s="232" t="s">
        <v>35</v>
      </c>
      <c r="I161" s="989"/>
      <c r="J161" s="989"/>
      <c r="K161" s="990"/>
      <c r="L161" s="990"/>
      <c r="M161" s="990"/>
      <c r="N161" s="990"/>
      <c r="O161" s="990"/>
      <c r="P161" s="990"/>
    </row>
    <row r="162" spans="1:16" ht="19.5">
      <c r="A162" s="991" t="s">
        <v>81</v>
      </c>
      <c r="B162" s="992"/>
      <c r="C162" s="992"/>
      <c r="D162" s="992"/>
      <c r="E162" s="993"/>
      <c r="F162" s="993"/>
      <c r="G162" s="994"/>
      <c r="H162" s="995"/>
      <c r="I162" s="996"/>
      <c r="J162" s="996"/>
      <c r="K162" s="997"/>
      <c r="L162" s="997"/>
      <c r="M162" s="997"/>
      <c r="N162" s="997"/>
      <c r="O162" s="997"/>
      <c r="P162" s="997"/>
    </row>
    <row r="163" spans="1:16" ht="19.5">
      <c r="A163" s="998" t="s">
        <v>82</v>
      </c>
      <c r="B163" s="999"/>
      <c r="C163" s="999"/>
      <c r="D163" s="1000"/>
      <c r="E163" s="1000"/>
      <c r="F163" s="1000"/>
      <c r="G163" s="1001"/>
      <c r="H163" s="1002"/>
      <c r="I163" s="1003"/>
      <c r="J163" s="1003"/>
      <c r="K163" s="1004"/>
      <c r="L163" s="1004"/>
      <c r="M163" s="1004"/>
      <c r="N163" s="1004"/>
      <c r="O163" s="1004"/>
      <c r="P163" s="1004"/>
    </row>
    <row r="164" spans="1:16" ht="19.5">
      <c r="A164" s="1005"/>
      <c r="B164" s="1006" t="s">
        <v>83</v>
      </c>
      <c r="C164" s="1007"/>
      <c r="D164" s="952"/>
      <c r="E164" s="952"/>
      <c r="F164" s="952"/>
      <c r="G164" s="953"/>
      <c r="H164" s="252" t="s">
        <v>35</v>
      </c>
      <c r="I164" s="1008">
        <f t="shared" ref="I164:J164" ca="1" si="83">I174+I177</f>
        <v>11</v>
      </c>
      <c r="J164" s="1008">
        <f t="shared" si="83"/>
        <v>11</v>
      </c>
      <c r="K164" s="1009">
        <f ca="1">IF(I164&gt;0,J164*100/I164,0)</f>
        <v>100</v>
      </c>
      <c r="L164" s="1010"/>
      <c r="M164" s="1010"/>
      <c r="N164" s="1010"/>
      <c r="O164" s="1010"/>
      <c r="P164" s="1010"/>
    </row>
    <row r="165" spans="1:16" ht="19.5">
      <c r="A165" s="932"/>
      <c r="B165" s="933"/>
      <c r="C165" s="934" t="s">
        <v>16</v>
      </c>
      <c r="D165" s="935" t="s">
        <v>17</v>
      </c>
      <c r="E165" s="933"/>
      <c r="F165" s="933"/>
      <c r="G165" s="936"/>
      <c r="H165" s="152" t="s">
        <v>12</v>
      </c>
      <c r="I165" s="937"/>
      <c r="J165" s="937"/>
      <c r="K165" s="938"/>
      <c r="L165" s="939">
        <f t="shared" ref="L165:N165" ca="1" si="84">L166+L167</f>
        <v>22055</v>
      </c>
      <c r="M165" s="939">
        <f t="shared" ca="1" si="84"/>
        <v>38445</v>
      </c>
      <c r="N165" s="939">
        <f t="shared" ca="1" si="84"/>
        <v>37055</v>
      </c>
      <c r="O165" s="939">
        <f t="shared" ref="O165:O173" ca="1" si="85">IF(L165&gt;0,N165*100/L165,0)</f>
        <v>168.01178871004308</v>
      </c>
      <c r="P165" s="939">
        <f t="shared" ref="P165:P173" ca="1" si="86">IF(M165&gt;0,N165*100/M165,0)</f>
        <v>96.384445311483944</v>
      </c>
    </row>
    <row r="166" spans="1:16" ht="18.75" hidden="1">
      <c r="A166" s="940"/>
      <c r="B166" s="833"/>
      <c r="C166" s="833"/>
      <c r="D166" s="833"/>
      <c r="E166" s="834" t="s">
        <v>18</v>
      </c>
      <c r="F166" s="833"/>
      <c r="G166" s="941"/>
      <c r="H166" s="158" t="s">
        <v>12</v>
      </c>
      <c r="I166" s="836"/>
      <c r="J166" s="836"/>
      <c r="K166" s="837"/>
      <c r="L166" s="837">
        <f t="shared" ref="L166:N167" si="87">L169+L172</f>
        <v>0</v>
      </c>
      <c r="M166" s="837">
        <f t="shared" si="87"/>
        <v>0</v>
      </c>
      <c r="N166" s="837">
        <f t="shared" si="87"/>
        <v>0</v>
      </c>
      <c r="O166" s="837">
        <f t="shared" si="85"/>
        <v>0</v>
      </c>
      <c r="P166" s="837">
        <f t="shared" si="86"/>
        <v>0</v>
      </c>
    </row>
    <row r="167" spans="1:16" ht="18.75" hidden="1">
      <c r="A167" s="940"/>
      <c r="B167" s="833"/>
      <c r="C167" s="833"/>
      <c r="D167" s="833"/>
      <c r="E167" s="834" t="s">
        <v>19</v>
      </c>
      <c r="F167" s="833"/>
      <c r="G167" s="941"/>
      <c r="H167" s="158" t="s">
        <v>12</v>
      </c>
      <c r="I167" s="836"/>
      <c r="J167" s="836"/>
      <c r="K167" s="837"/>
      <c r="L167" s="837">
        <f t="shared" ca="1" si="87"/>
        <v>22055</v>
      </c>
      <c r="M167" s="837">
        <f t="shared" ca="1" si="87"/>
        <v>38445</v>
      </c>
      <c r="N167" s="837">
        <f t="shared" ca="1" si="87"/>
        <v>37055</v>
      </c>
      <c r="O167" s="837">
        <f t="shared" ca="1" si="85"/>
        <v>168.01178871004308</v>
      </c>
      <c r="P167" s="837">
        <f t="shared" ca="1" si="86"/>
        <v>96.384445311483944</v>
      </c>
    </row>
    <row r="168" spans="1:16" ht="18.75">
      <c r="A168" s="942"/>
      <c r="B168" s="827"/>
      <c r="C168" s="943"/>
      <c r="D168" s="828" t="s">
        <v>20</v>
      </c>
      <c r="E168" s="827"/>
      <c r="F168" s="827"/>
      <c r="G168" s="829"/>
      <c r="H168" s="778" t="s">
        <v>12</v>
      </c>
      <c r="I168" s="944"/>
      <c r="J168" s="944"/>
      <c r="K168" s="945"/>
      <c r="L168" s="831">
        <f t="shared" ref="L168:N168" ca="1" si="88">L169+L170</f>
        <v>22055</v>
      </c>
      <c r="M168" s="831">
        <f t="shared" ca="1" si="88"/>
        <v>38445</v>
      </c>
      <c r="N168" s="831">
        <f t="shared" ca="1" si="88"/>
        <v>37055</v>
      </c>
      <c r="O168" s="831">
        <f t="shared" ca="1" si="85"/>
        <v>168.01178871004308</v>
      </c>
      <c r="P168" s="831">
        <f t="shared" ca="1" si="86"/>
        <v>96.384445311483944</v>
      </c>
    </row>
    <row r="169" spans="1:16" ht="19.5" hidden="1">
      <c r="A169" s="940"/>
      <c r="B169" s="833"/>
      <c r="C169" s="946"/>
      <c r="D169" s="833"/>
      <c r="E169" s="834" t="s">
        <v>36</v>
      </c>
      <c r="F169" s="833"/>
      <c r="G169" s="941"/>
      <c r="H169" s="165" t="s">
        <v>12</v>
      </c>
      <c r="I169" s="947"/>
      <c r="J169" s="947"/>
      <c r="K169" s="948"/>
      <c r="L169" s="837">
        <v>0</v>
      </c>
      <c r="M169" s="837">
        <v>0</v>
      </c>
      <c r="N169" s="837">
        <v>0</v>
      </c>
      <c r="O169" s="837">
        <f t="shared" si="85"/>
        <v>0</v>
      </c>
      <c r="P169" s="837">
        <f t="shared" si="86"/>
        <v>0</v>
      </c>
    </row>
    <row r="170" spans="1:16" ht="19.5" hidden="1">
      <c r="A170" s="940"/>
      <c r="B170" s="833"/>
      <c r="C170" s="946"/>
      <c r="D170" s="833"/>
      <c r="E170" s="834" t="s">
        <v>37</v>
      </c>
      <c r="F170" s="833"/>
      <c r="G170" s="941"/>
      <c r="H170" s="165" t="s">
        <v>12</v>
      </c>
      <c r="I170" s="947"/>
      <c r="J170" s="947"/>
      <c r="K170" s="948"/>
      <c r="L170" s="837">
        <f ca="1">IFERROR(__xludf.DUMMYFUNCTION("IMPORTRANGE(""https://docs.google.com/spreadsheets/d/1MeEWN-I1oV_STSDYn1IFDPWt_1FKiwhDph83XaGc0o0/edit?usp=sharing"",""งบพรบ!CE16"")"),22055)</f>
        <v>22055</v>
      </c>
      <c r="M170" s="837">
        <f ca="1">IFERROR(__xludf.DUMMYFUNCTION("IMPORTRANGE(""https://docs.google.com/spreadsheets/d/1MeEWN-I1oV_STSDYn1IFDPWt_1FKiwhDph83XaGc0o0/edit?usp=sharing"",""งบพรบ!CJ16"")"),38445)</f>
        <v>38445</v>
      </c>
      <c r="N170" s="837">
        <f ca="1">IFERROR(__xludf.DUMMYFUNCTION("IMPORTRANGE(""https://docs.google.com/spreadsheets/d/1MeEWN-I1oV_STSDYn1IFDPWt_1FKiwhDph83XaGc0o0/edit?usp=sharing"",""งบพรบ!CL16"")"),37055)</f>
        <v>37055</v>
      </c>
      <c r="O170" s="837">
        <f t="shared" ca="1" si="85"/>
        <v>168.01178871004308</v>
      </c>
      <c r="P170" s="837">
        <f t="shared" ca="1" si="86"/>
        <v>96.384445311483944</v>
      </c>
    </row>
    <row r="171" spans="1:16" ht="18.75">
      <c r="A171" s="942"/>
      <c r="B171" s="827"/>
      <c r="C171" s="943"/>
      <c r="D171" s="828" t="s">
        <v>21</v>
      </c>
      <c r="E171" s="827"/>
      <c r="F171" s="827"/>
      <c r="G171" s="829"/>
      <c r="H171" s="168" t="s">
        <v>12</v>
      </c>
      <c r="I171" s="944"/>
      <c r="J171" s="944"/>
      <c r="K171" s="945"/>
      <c r="L171" s="831">
        <f t="shared" ref="L171:N171" ca="1" si="89">L172+L173</f>
        <v>0</v>
      </c>
      <c r="M171" s="831">
        <f t="shared" ca="1" si="89"/>
        <v>0</v>
      </c>
      <c r="N171" s="831">
        <f t="shared" ca="1" si="89"/>
        <v>0</v>
      </c>
      <c r="O171" s="831">
        <f t="shared" ca="1" si="85"/>
        <v>0</v>
      </c>
      <c r="P171" s="831">
        <f t="shared" ca="1" si="86"/>
        <v>0</v>
      </c>
    </row>
    <row r="172" spans="1:16" ht="19.5" hidden="1">
      <c r="A172" s="940"/>
      <c r="B172" s="833"/>
      <c r="C172" s="946"/>
      <c r="D172" s="833"/>
      <c r="E172" s="834" t="s">
        <v>18</v>
      </c>
      <c r="F172" s="833"/>
      <c r="G172" s="941"/>
      <c r="H172" s="165" t="s">
        <v>12</v>
      </c>
      <c r="I172" s="947"/>
      <c r="J172" s="947"/>
      <c r="K172" s="948"/>
      <c r="L172" s="837">
        <v>0</v>
      </c>
      <c r="M172" s="837">
        <v>0</v>
      </c>
      <c r="N172" s="837">
        <v>0</v>
      </c>
      <c r="O172" s="837">
        <f t="shared" si="85"/>
        <v>0</v>
      </c>
      <c r="P172" s="837">
        <f t="shared" si="86"/>
        <v>0</v>
      </c>
    </row>
    <row r="173" spans="1:16" ht="19.5" hidden="1">
      <c r="A173" s="940"/>
      <c r="B173" s="833"/>
      <c r="C173" s="946"/>
      <c r="D173" s="833"/>
      <c r="E173" s="834" t="s">
        <v>19</v>
      </c>
      <c r="F173" s="833"/>
      <c r="G173" s="941"/>
      <c r="H173" s="169" t="s">
        <v>12</v>
      </c>
      <c r="I173" s="947"/>
      <c r="J173" s="947"/>
      <c r="K173" s="948"/>
      <c r="L173" s="837">
        <f ca="1">IFERROR(__xludf.DUMMYFUNCTION("IMPORTRANGE(""https://docs.google.com/spreadsheets/d/1MeEWN-I1oV_STSDYn1IFDPWt_1FKiwhDph83XaGc0o0/edit?usp=sharing"",""งบพรบ!CH16"")"),0)</f>
        <v>0</v>
      </c>
      <c r="M173" s="837">
        <f ca="1">IFERROR(__xludf.DUMMYFUNCTION("IMPORTRANGE(""https://docs.google.com/spreadsheets/d/1MeEWN-I1oV_STSDYn1IFDPWt_1FKiwhDph83XaGc0o0/edit?usp=sharing"",""งบพรบ!CK16"")"),0)</f>
        <v>0</v>
      </c>
      <c r="N173" s="837">
        <f ca="1">IFERROR(__xludf.DUMMYFUNCTION("IMPORTRANGE(""https://docs.google.com/spreadsheets/d/1MeEWN-I1oV_STSDYn1IFDPWt_1FKiwhDph83XaGc0o0/edit?usp=sharing"",""งบพรบ!CM16"")"),0)</f>
        <v>0</v>
      </c>
      <c r="O173" s="837">
        <f t="shared" ca="1" si="85"/>
        <v>0</v>
      </c>
      <c r="P173" s="837">
        <f t="shared" ca="1" si="86"/>
        <v>0</v>
      </c>
    </row>
    <row r="174" spans="1:16" ht="19.5">
      <c r="A174" s="1011"/>
      <c r="B174" s="1012"/>
      <c r="C174" s="1013" t="s">
        <v>84</v>
      </c>
      <c r="D174" s="1012"/>
      <c r="E174" s="1012"/>
      <c r="F174" s="1012"/>
      <c r="G174" s="1014"/>
      <c r="H174" s="260" t="s">
        <v>35</v>
      </c>
      <c r="I174" s="1015">
        <f t="shared" ref="I174:J174" ca="1" si="90">I176</f>
        <v>11</v>
      </c>
      <c r="J174" s="1015">
        <f t="shared" si="90"/>
        <v>11</v>
      </c>
      <c r="K174" s="1016">
        <f ca="1">IF(I174&gt;0,J174*100/I174,0)</f>
        <v>100</v>
      </c>
      <c r="L174" s="1016"/>
      <c r="M174" s="1016"/>
      <c r="N174" s="1016"/>
      <c r="O174" s="1016"/>
      <c r="P174" s="1016"/>
    </row>
    <row r="175" spans="1:16" ht="19.5">
      <c r="A175" s="949"/>
      <c r="B175" s="950"/>
      <c r="C175" s="946" t="s">
        <v>16</v>
      </c>
      <c r="D175" s="951" t="s">
        <v>38</v>
      </c>
      <c r="E175" s="952"/>
      <c r="F175" s="952"/>
      <c r="G175" s="953"/>
      <c r="H175" s="954"/>
      <c r="I175" s="944"/>
      <c r="J175" s="944"/>
      <c r="K175" s="945"/>
      <c r="L175" s="945"/>
      <c r="M175" s="945"/>
      <c r="N175" s="945"/>
      <c r="O175" s="945"/>
      <c r="P175" s="945"/>
    </row>
    <row r="176" spans="1:16" ht="18.75">
      <c r="A176" s="949"/>
      <c r="B176" s="950"/>
      <c r="C176" s="950"/>
      <c r="D176" s="1017" t="s">
        <v>85</v>
      </c>
      <c r="E176" s="957"/>
      <c r="F176" s="957"/>
      <c r="G176" s="958"/>
      <c r="H176" s="590" t="s">
        <v>35</v>
      </c>
      <c r="I176" s="830">
        <f ca="1">IFERROR(__xludf.DUMMYFUNCTION("IMPORTRANGE(""https://docs.google.com/spreadsheets/d/1QqKyyYR6Q21VydFLVH3TRQUabQu_ym0Zz7PgGX0-kHA/edit?usp=sharing"",""แผน!Y16"")"),11)</f>
        <v>11</v>
      </c>
      <c r="J176" s="959">
        <v>11</v>
      </c>
      <c r="K176" s="945">
        <f ca="1">IF(I176&gt;0,J176*100/I176,0)</f>
        <v>100</v>
      </c>
      <c r="L176" s="945"/>
      <c r="M176" s="945"/>
      <c r="N176" s="945"/>
      <c r="O176" s="945"/>
      <c r="P176" s="945"/>
    </row>
    <row r="177" spans="1:16" ht="19.5" hidden="1">
      <c r="A177" s="1011"/>
      <c r="B177" s="1018"/>
      <c r="C177" s="1019" t="s">
        <v>86</v>
      </c>
      <c r="D177" s="1018"/>
      <c r="E177" s="1012"/>
      <c r="F177" s="1012"/>
      <c r="G177" s="1014"/>
      <c r="H177" s="266" t="s">
        <v>35</v>
      </c>
      <c r="I177" s="1015"/>
      <c r="J177" s="1015">
        <f>J179</f>
        <v>0</v>
      </c>
      <c r="K177" s="1016"/>
      <c r="L177" s="1016"/>
      <c r="M177" s="1016"/>
      <c r="N177" s="1016"/>
      <c r="O177" s="1016"/>
      <c r="P177" s="1016"/>
    </row>
    <row r="178" spans="1:16" ht="19.5" hidden="1">
      <c r="A178" s="949"/>
      <c r="B178" s="950"/>
      <c r="C178" s="946" t="s">
        <v>16</v>
      </c>
      <c r="D178" s="1020" t="s">
        <v>38</v>
      </c>
      <c r="E178" s="952"/>
      <c r="F178" s="952"/>
      <c r="G178" s="953"/>
      <c r="H178" s="954"/>
      <c r="I178" s="944"/>
      <c r="J178" s="944"/>
      <c r="K178" s="945"/>
      <c r="L178" s="945"/>
      <c r="M178" s="945"/>
      <c r="N178" s="945"/>
      <c r="O178" s="945"/>
      <c r="P178" s="945"/>
    </row>
    <row r="179" spans="1:16" ht="18.75" hidden="1">
      <c r="A179" s="949"/>
      <c r="B179" s="950"/>
      <c r="C179" s="950"/>
      <c r="D179" s="1021" t="s">
        <v>87</v>
      </c>
      <c r="E179" s="957"/>
      <c r="F179" s="1022"/>
      <c r="G179" s="958"/>
      <c r="H179" s="43" t="s">
        <v>35</v>
      </c>
      <c r="I179" s="830"/>
      <c r="J179" s="830"/>
      <c r="K179" s="945"/>
      <c r="L179" s="945"/>
      <c r="M179" s="945"/>
      <c r="N179" s="945"/>
      <c r="O179" s="945"/>
      <c r="P179" s="945"/>
    </row>
    <row r="180" spans="1:16" ht="19.5">
      <c r="A180" s="1005"/>
      <c r="B180" s="1006" t="s">
        <v>88</v>
      </c>
      <c r="C180" s="1007"/>
      <c r="D180" s="952"/>
      <c r="E180" s="952"/>
      <c r="F180" s="952"/>
      <c r="G180" s="953"/>
      <c r="H180" s="252" t="s">
        <v>35</v>
      </c>
      <c r="I180" s="1008">
        <f t="shared" ref="I180:J180" ca="1" si="91">I225+I226</f>
        <v>100</v>
      </c>
      <c r="J180" s="1008">
        <f t="shared" si="91"/>
        <v>100</v>
      </c>
      <c r="K180" s="1009">
        <f ca="1">IF(I180&gt;0,J180*100/I180,0)</f>
        <v>100</v>
      </c>
      <c r="L180" s="1010"/>
      <c r="M180" s="1010"/>
      <c r="N180" s="1010"/>
      <c r="O180" s="1010"/>
      <c r="P180" s="1010"/>
    </row>
    <row r="181" spans="1:16" ht="19.5">
      <c r="A181" s="932"/>
      <c r="B181" s="933"/>
      <c r="C181" s="934" t="s">
        <v>16</v>
      </c>
      <c r="D181" s="935" t="s">
        <v>17</v>
      </c>
      <c r="E181" s="933"/>
      <c r="F181" s="933"/>
      <c r="G181" s="936"/>
      <c r="H181" s="152" t="s">
        <v>12</v>
      </c>
      <c r="I181" s="937"/>
      <c r="J181" s="937"/>
      <c r="K181" s="938"/>
      <c r="L181" s="939">
        <f t="shared" ref="L181:N181" ca="1" si="92">L182+L183</f>
        <v>757600</v>
      </c>
      <c r="M181" s="939">
        <f t="shared" ca="1" si="92"/>
        <v>631225</v>
      </c>
      <c r="N181" s="939">
        <f t="shared" ca="1" si="92"/>
        <v>429950.21</v>
      </c>
      <c r="O181" s="939">
        <f t="shared" ref="O181:O189" ca="1" si="93">IF(L181&gt;0,N181*100/L181,0)</f>
        <v>56.751611668426612</v>
      </c>
      <c r="P181" s="939">
        <f t="shared" ref="P181:P189" ca="1" si="94">IF(M181&gt;0,N181*100/M181,0)</f>
        <v>68.113621925620819</v>
      </c>
    </row>
    <row r="182" spans="1:16" ht="18.75" hidden="1">
      <c r="A182" s="940"/>
      <c r="B182" s="833"/>
      <c r="C182" s="833"/>
      <c r="D182" s="833"/>
      <c r="E182" s="834" t="s">
        <v>18</v>
      </c>
      <c r="F182" s="833"/>
      <c r="G182" s="941"/>
      <c r="H182" s="158" t="s">
        <v>12</v>
      </c>
      <c r="I182" s="836"/>
      <c r="J182" s="836"/>
      <c r="K182" s="837"/>
      <c r="L182" s="837">
        <f t="shared" ref="L182:N183" si="95">L185+L188</f>
        <v>0</v>
      </c>
      <c r="M182" s="837">
        <f t="shared" si="95"/>
        <v>0</v>
      </c>
      <c r="N182" s="837">
        <f t="shared" si="95"/>
        <v>0</v>
      </c>
      <c r="O182" s="837">
        <f t="shared" si="93"/>
        <v>0</v>
      </c>
      <c r="P182" s="837">
        <f t="shared" si="94"/>
        <v>0</v>
      </c>
    </row>
    <row r="183" spans="1:16" ht="18.75" hidden="1">
      <c r="A183" s="940"/>
      <c r="B183" s="833"/>
      <c r="C183" s="833"/>
      <c r="D183" s="833"/>
      <c r="E183" s="834" t="s">
        <v>19</v>
      </c>
      <c r="F183" s="833"/>
      <c r="G183" s="941"/>
      <c r="H183" s="158" t="s">
        <v>12</v>
      </c>
      <c r="I183" s="836"/>
      <c r="J183" s="836"/>
      <c r="K183" s="837"/>
      <c r="L183" s="837">
        <f t="shared" ca="1" si="95"/>
        <v>757600</v>
      </c>
      <c r="M183" s="837">
        <f t="shared" ca="1" si="95"/>
        <v>631225</v>
      </c>
      <c r="N183" s="837">
        <f t="shared" ca="1" si="95"/>
        <v>429950.21</v>
      </c>
      <c r="O183" s="837">
        <f t="shared" ca="1" si="93"/>
        <v>56.751611668426612</v>
      </c>
      <c r="P183" s="837">
        <f t="shared" ca="1" si="94"/>
        <v>68.113621925620819</v>
      </c>
    </row>
    <row r="184" spans="1:16" ht="18.75">
      <c r="A184" s="942"/>
      <c r="B184" s="827"/>
      <c r="C184" s="943"/>
      <c r="D184" s="828" t="s">
        <v>20</v>
      </c>
      <c r="E184" s="827"/>
      <c r="F184" s="827"/>
      <c r="G184" s="829"/>
      <c r="H184" s="778" t="s">
        <v>12</v>
      </c>
      <c r="I184" s="944"/>
      <c r="J184" s="944"/>
      <c r="K184" s="945"/>
      <c r="L184" s="831">
        <f t="shared" ref="L184:N184" ca="1" si="96">L185+L186</f>
        <v>757600</v>
      </c>
      <c r="M184" s="831">
        <f t="shared" ca="1" si="96"/>
        <v>631225</v>
      </c>
      <c r="N184" s="831">
        <f t="shared" ca="1" si="96"/>
        <v>429950.21</v>
      </c>
      <c r="O184" s="831">
        <f t="shared" ca="1" si="93"/>
        <v>56.751611668426612</v>
      </c>
      <c r="P184" s="831">
        <f t="shared" ca="1" si="94"/>
        <v>68.113621925620819</v>
      </c>
    </row>
    <row r="185" spans="1:16" ht="19.5" hidden="1">
      <c r="A185" s="940"/>
      <c r="B185" s="833"/>
      <c r="C185" s="946"/>
      <c r="D185" s="833"/>
      <c r="E185" s="834" t="s">
        <v>36</v>
      </c>
      <c r="F185" s="833"/>
      <c r="G185" s="941"/>
      <c r="H185" s="165" t="s">
        <v>12</v>
      </c>
      <c r="I185" s="947"/>
      <c r="J185" s="947"/>
      <c r="K185" s="948"/>
      <c r="L185" s="837">
        <v>0</v>
      </c>
      <c r="M185" s="837">
        <v>0</v>
      </c>
      <c r="N185" s="837">
        <v>0</v>
      </c>
      <c r="O185" s="837">
        <f t="shared" si="93"/>
        <v>0</v>
      </c>
      <c r="P185" s="837">
        <f t="shared" si="94"/>
        <v>0</v>
      </c>
    </row>
    <row r="186" spans="1:16" ht="19.5" hidden="1">
      <c r="A186" s="940"/>
      <c r="B186" s="833"/>
      <c r="C186" s="946"/>
      <c r="D186" s="833"/>
      <c r="E186" s="834" t="s">
        <v>37</v>
      </c>
      <c r="F186" s="833"/>
      <c r="G186" s="941"/>
      <c r="H186" s="165" t="s">
        <v>12</v>
      </c>
      <c r="I186" s="947"/>
      <c r="J186" s="947"/>
      <c r="K186" s="948"/>
      <c r="L186" s="837">
        <f ca="1">IFERROR(__xludf.DUMMYFUNCTION("IMPORTRANGE(""https://docs.google.com/spreadsheets/d/1MeEWN-I1oV_STSDYn1IFDPWt_1FKiwhDph83XaGc0o0/edit?usp=sharing"",""งบพรบ!CO16"")"),757600)</f>
        <v>757600</v>
      </c>
      <c r="M186" s="837">
        <f ca="1">IFERROR(__xludf.DUMMYFUNCTION("IMPORTRANGE(""https://docs.google.com/spreadsheets/d/1MeEWN-I1oV_STSDYn1IFDPWt_1FKiwhDph83XaGc0o0/edit?usp=sharing"",""งบพรบ!CT16"")"),631225)</f>
        <v>631225</v>
      </c>
      <c r="N186" s="837">
        <f ca="1">IFERROR(__xludf.DUMMYFUNCTION("IMPORTRANGE(""https://docs.google.com/spreadsheets/d/1MeEWN-I1oV_STSDYn1IFDPWt_1FKiwhDph83XaGc0o0/edit?usp=sharing"",""งบพรบ!CV16"")"),429950.21)</f>
        <v>429950.21</v>
      </c>
      <c r="O186" s="837">
        <f t="shared" ca="1" si="93"/>
        <v>56.751611668426612</v>
      </c>
      <c r="P186" s="837">
        <f t="shared" ca="1" si="94"/>
        <v>68.113621925620819</v>
      </c>
    </row>
    <row r="187" spans="1:16" ht="18.75">
      <c r="A187" s="942"/>
      <c r="B187" s="827"/>
      <c r="C187" s="943"/>
      <c r="D187" s="828" t="s">
        <v>21</v>
      </c>
      <c r="E187" s="827"/>
      <c r="F187" s="827"/>
      <c r="G187" s="829"/>
      <c r="H187" s="168" t="s">
        <v>12</v>
      </c>
      <c r="I187" s="944"/>
      <c r="J187" s="944"/>
      <c r="K187" s="945"/>
      <c r="L187" s="831">
        <f t="shared" ref="L187:N187" ca="1" si="97">L188+L189</f>
        <v>0</v>
      </c>
      <c r="M187" s="831">
        <f t="shared" ca="1" si="97"/>
        <v>0</v>
      </c>
      <c r="N187" s="831">
        <f t="shared" ca="1" si="97"/>
        <v>0</v>
      </c>
      <c r="O187" s="831">
        <f t="shared" ca="1" si="93"/>
        <v>0</v>
      </c>
      <c r="P187" s="831">
        <f t="shared" ca="1" si="94"/>
        <v>0</v>
      </c>
    </row>
    <row r="188" spans="1:16" ht="19.5" hidden="1">
      <c r="A188" s="940"/>
      <c r="B188" s="833"/>
      <c r="C188" s="946"/>
      <c r="D188" s="833"/>
      <c r="E188" s="834" t="s">
        <v>18</v>
      </c>
      <c r="F188" s="833"/>
      <c r="G188" s="941"/>
      <c r="H188" s="165" t="s">
        <v>12</v>
      </c>
      <c r="I188" s="947"/>
      <c r="J188" s="947"/>
      <c r="K188" s="948"/>
      <c r="L188" s="837">
        <v>0</v>
      </c>
      <c r="M188" s="837">
        <v>0</v>
      </c>
      <c r="N188" s="837">
        <v>0</v>
      </c>
      <c r="O188" s="837">
        <f t="shared" si="93"/>
        <v>0</v>
      </c>
      <c r="P188" s="837">
        <f t="shared" si="94"/>
        <v>0</v>
      </c>
    </row>
    <row r="189" spans="1:16" ht="19.5" hidden="1">
      <c r="A189" s="940"/>
      <c r="B189" s="833"/>
      <c r="C189" s="946"/>
      <c r="D189" s="833"/>
      <c r="E189" s="834" t="s">
        <v>19</v>
      </c>
      <c r="F189" s="833"/>
      <c r="G189" s="941"/>
      <c r="H189" s="169" t="s">
        <v>12</v>
      </c>
      <c r="I189" s="947"/>
      <c r="J189" s="947"/>
      <c r="K189" s="948"/>
      <c r="L189" s="837">
        <f ca="1">IFERROR(__xludf.DUMMYFUNCTION("IMPORTRANGE(""https://docs.google.com/spreadsheets/d/1MeEWN-I1oV_STSDYn1IFDPWt_1FKiwhDph83XaGc0o0/edit?usp=sharing"",""งบพรบ!CR16"")"),0)</f>
        <v>0</v>
      </c>
      <c r="M189" s="837">
        <f ca="1">IFERROR(__xludf.DUMMYFUNCTION("IMPORTRANGE(""https://docs.google.com/spreadsheets/d/1MeEWN-I1oV_STSDYn1IFDPWt_1FKiwhDph83XaGc0o0/edit?usp=sharing"",""งบพรบ!CU16"")"),0)</f>
        <v>0</v>
      </c>
      <c r="N189" s="837">
        <f ca="1">IFERROR(__xludf.DUMMYFUNCTION("IMPORTRANGE(""https://docs.google.com/spreadsheets/d/1MeEWN-I1oV_STSDYn1IFDPWt_1FKiwhDph83XaGc0o0/edit?usp=sharing"",""งบพรบ!CW16"")"),0)</f>
        <v>0</v>
      </c>
      <c r="O189" s="837">
        <f t="shared" ca="1" si="93"/>
        <v>0</v>
      </c>
      <c r="P189" s="837">
        <f t="shared" ca="1" si="94"/>
        <v>0</v>
      </c>
    </row>
    <row r="190" spans="1:16" ht="19.5">
      <c r="A190" s="1011"/>
      <c r="B190" s="1018"/>
      <c r="C190" s="1023" t="s">
        <v>89</v>
      </c>
      <c r="D190" s="1012"/>
      <c r="E190" s="1012"/>
      <c r="F190" s="1012"/>
      <c r="G190" s="1014"/>
      <c r="H190" s="260" t="s">
        <v>90</v>
      </c>
      <c r="I190" s="1024">
        <f t="shared" ref="I190:J190" ca="1" si="98">I193</f>
        <v>4</v>
      </c>
      <c r="J190" s="1024">
        <f t="shared" si="98"/>
        <v>1</v>
      </c>
      <c r="K190" s="1025">
        <f ca="1">IF(I190&gt;0,J190*100/I190,0)</f>
        <v>25</v>
      </c>
      <c r="L190" s="1016"/>
      <c r="M190" s="1016"/>
      <c r="N190" s="1016"/>
      <c r="O190" s="1016"/>
      <c r="P190" s="1016"/>
    </row>
    <row r="191" spans="1:16" ht="19.5">
      <c r="A191" s="932"/>
      <c r="B191" s="933"/>
      <c r="C191" s="934" t="s">
        <v>16</v>
      </c>
      <c r="D191" s="1026" t="s">
        <v>17</v>
      </c>
      <c r="E191" s="933"/>
      <c r="F191" s="933"/>
      <c r="G191" s="936"/>
      <c r="H191" s="275" t="s">
        <v>12</v>
      </c>
      <c r="I191" s="937"/>
      <c r="J191" s="937"/>
      <c r="K191" s="938"/>
      <c r="L191" s="939">
        <f ca="1">IFERROR(__xludf.DUMMYFUNCTION("IMPORTRANGE(""https://docs.google.com/spreadsheets/d/1QqKyyYR6Q21VydFLVH3TRQUabQu_ym0Zz7PgGX0-kHA/edit?usp=sharing"",""แผน!Z16"")"),6000)</f>
        <v>6000</v>
      </c>
      <c r="M191" s="939"/>
      <c r="N191" s="1027">
        <v>1000</v>
      </c>
      <c r="O191" s="939">
        <f ca="1">IF(L191&gt;0,N191*100/L191,0)</f>
        <v>16.666666666666668</v>
      </c>
      <c r="P191" s="939">
        <f>IF(M191&gt;0,N191*100/M191,0)</f>
        <v>0</v>
      </c>
    </row>
    <row r="192" spans="1:16" ht="19.5">
      <c r="A192" s="949"/>
      <c r="B192" s="950"/>
      <c r="C192" s="976" t="s">
        <v>16</v>
      </c>
      <c r="D192" s="951" t="s">
        <v>38</v>
      </c>
      <c r="E192" s="952"/>
      <c r="F192" s="952"/>
      <c r="G192" s="953"/>
      <c r="H192" s="954"/>
      <c r="I192" s="830"/>
      <c r="J192" s="830"/>
      <c r="K192" s="831"/>
      <c r="L192" s="831"/>
      <c r="M192" s="831"/>
      <c r="N192" s="831"/>
      <c r="O192" s="831"/>
      <c r="P192" s="831"/>
    </row>
    <row r="193" spans="1:16" ht="18.75">
      <c r="A193" s="949"/>
      <c r="B193" s="950"/>
      <c r="C193" s="950"/>
      <c r="D193" s="956" t="s">
        <v>91</v>
      </c>
      <c r="E193" s="957"/>
      <c r="F193" s="957"/>
      <c r="G193" s="958"/>
      <c r="H193" s="730" t="s">
        <v>90</v>
      </c>
      <c r="I193" s="830">
        <f ca="1">IFERROR(__xludf.DUMMYFUNCTION("IMPORTRANGE(""https://docs.google.com/spreadsheets/d/1QqKyyYR6Q21VydFLVH3TRQUabQu_ym0Zz7PgGX0-kHA/edit?usp=sharing"",""แผน!AC16"")"),4)</f>
        <v>4</v>
      </c>
      <c r="J193" s="959">
        <v>1</v>
      </c>
      <c r="K193" s="831">
        <f ca="1">IF(I193&gt;0,J193*100/I193,0)</f>
        <v>25</v>
      </c>
      <c r="L193" s="831"/>
      <c r="M193" s="831"/>
      <c r="N193" s="831"/>
      <c r="O193" s="831"/>
      <c r="P193" s="831"/>
    </row>
    <row r="194" spans="1:16" ht="18.75">
      <c r="A194" s="949"/>
      <c r="B194" s="950"/>
      <c r="C194" s="950"/>
      <c r="D194" s="956" t="s">
        <v>92</v>
      </c>
      <c r="E194" s="957"/>
      <c r="F194" s="957"/>
      <c r="G194" s="958"/>
      <c r="H194" s="277" t="s">
        <v>35</v>
      </c>
      <c r="I194" s="830"/>
      <c r="J194" s="830">
        <f>J195+J196</f>
        <v>35</v>
      </c>
      <c r="K194" s="831"/>
      <c r="L194" s="831"/>
      <c r="M194" s="831"/>
      <c r="N194" s="831"/>
      <c r="O194" s="831"/>
      <c r="P194" s="831"/>
    </row>
    <row r="195" spans="1:16" ht="18.75">
      <c r="A195" s="949"/>
      <c r="B195" s="950"/>
      <c r="C195" s="950"/>
      <c r="D195" s="950"/>
      <c r="E195" s="956" t="s">
        <v>93</v>
      </c>
      <c r="F195" s="957"/>
      <c r="G195" s="958"/>
      <c r="H195" s="277" t="s">
        <v>35</v>
      </c>
      <c r="I195" s="830"/>
      <c r="J195" s="959">
        <v>35</v>
      </c>
      <c r="K195" s="831"/>
      <c r="L195" s="831"/>
      <c r="M195" s="831"/>
      <c r="N195" s="831"/>
      <c r="O195" s="831"/>
      <c r="P195" s="831"/>
    </row>
    <row r="196" spans="1:16" ht="18.75">
      <c r="A196" s="949"/>
      <c r="B196" s="950"/>
      <c r="C196" s="950"/>
      <c r="D196" s="950"/>
      <c r="E196" s="956" t="s">
        <v>94</v>
      </c>
      <c r="F196" s="957"/>
      <c r="G196" s="958"/>
      <c r="H196" s="277" t="s">
        <v>35</v>
      </c>
      <c r="I196" s="830"/>
      <c r="J196" s="959">
        <v>0</v>
      </c>
      <c r="K196" s="831"/>
      <c r="L196" s="831"/>
      <c r="M196" s="831"/>
      <c r="N196" s="831"/>
      <c r="O196" s="831"/>
      <c r="P196" s="831"/>
    </row>
    <row r="197" spans="1:16" ht="19.5">
      <c r="A197" s="1011"/>
      <c r="B197" s="1018"/>
      <c r="C197" s="1023" t="s">
        <v>95</v>
      </c>
      <c r="D197" s="1012"/>
      <c r="E197" s="1012"/>
      <c r="F197" s="1012"/>
      <c r="G197" s="1014"/>
      <c r="H197" s="278" t="s">
        <v>96</v>
      </c>
      <c r="I197" s="1024">
        <f t="shared" ref="I197:J197" ca="1" si="99">I204</f>
        <v>2</v>
      </c>
      <c r="J197" s="1024">
        <f t="shared" si="99"/>
        <v>2</v>
      </c>
      <c r="K197" s="1025">
        <f ca="1">IF(I197&gt;0,J197*100/I197,0)</f>
        <v>100</v>
      </c>
      <c r="L197" s="1016"/>
      <c r="M197" s="1016"/>
      <c r="N197" s="1016"/>
      <c r="O197" s="1016"/>
      <c r="P197" s="1016"/>
    </row>
    <row r="198" spans="1:16" ht="19.5">
      <c r="A198" s="932"/>
      <c r="B198" s="933"/>
      <c r="C198" s="934" t="s">
        <v>16</v>
      </c>
      <c r="D198" s="1026" t="s">
        <v>17</v>
      </c>
      <c r="E198" s="933"/>
      <c r="F198" s="933"/>
      <c r="G198" s="936"/>
      <c r="H198" s="275" t="s">
        <v>12</v>
      </c>
      <c r="I198" s="1028"/>
      <c r="J198" s="1028"/>
      <c r="K198" s="1029"/>
      <c r="L198" s="939">
        <f ca="1">L199+L200+L201+L202</f>
        <v>26000</v>
      </c>
      <c r="M198" s="939"/>
      <c r="N198" s="939">
        <f>N199+N200+N201+N202</f>
        <v>18000</v>
      </c>
      <c r="O198" s="939">
        <f ca="1">IF(L198&gt;0,N198*100/L198,0)</f>
        <v>69.230769230769226</v>
      </c>
      <c r="P198" s="939">
        <f>IF(M198&gt;0,N198*100/M198,0)</f>
        <v>0</v>
      </c>
    </row>
    <row r="199" spans="1:16" ht="18.75">
      <c r="A199" s="942"/>
      <c r="B199" s="1030"/>
      <c r="C199" s="827"/>
      <c r="D199" s="943" t="s">
        <v>97</v>
      </c>
      <c r="E199" s="827"/>
      <c r="F199" s="827"/>
      <c r="G199" s="829"/>
      <c r="H199" s="778" t="s">
        <v>12</v>
      </c>
      <c r="I199" s="944"/>
      <c r="J199" s="944"/>
      <c r="K199" s="945"/>
      <c r="L199" s="831">
        <f ca="1">IFERROR(__xludf.DUMMYFUNCTION("IMPORTRANGE(""https://docs.google.com/spreadsheets/d/1QqKyyYR6Q21VydFLVH3TRQUabQu_ym0Zz7PgGX0-kHA/edit?usp=sharing"",""แผน!AE16"")"),2000)</f>
        <v>2000</v>
      </c>
      <c r="M199" s="831"/>
      <c r="N199" s="1031">
        <v>2000</v>
      </c>
      <c r="O199" s="831"/>
      <c r="P199" s="831"/>
    </row>
    <row r="200" spans="1:16" ht="19.5">
      <c r="A200" s="1032"/>
      <c r="B200" s="1030"/>
      <c r="C200" s="976"/>
      <c r="D200" s="943" t="s">
        <v>98</v>
      </c>
      <c r="E200" s="827"/>
      <c r="F200" s="827"/>
      <c r="G200" s="829"/>
      <c r="H200" s="590" t="s">
        <v>12</v>
      </c>
      <c r="I200" s="830"/>
      <c r="J200" s="830"/>
      <c r="K200" s="831"/>
      <c r="L200" s="831">
        <f ca="1">IFERROR(__xludf.DUMMYFUNCTION("IMPORTRANGE(""https://docs.google.com/spreadsheets/d/1QqKyyYR6Q21VydFLVH3TRQUabQu_ym0Zz7PgGX0-kHA/edit?usp=sharing"",""แผน!AF16"")"),16000)</f>
        <v>16000</v>
      </c>
      <c r="M200" s="831"/>
      <c r="N200" s="1031">
        <v>16000</v>
      </c>
      <c r="O200" s="831"/>
      <c r="P200" s="831"/>
    </row>
    <row r="201" spans="1:16" ht="19.5">
      <c r="A201" s="1032"/>
      <c r="B201" s="1030"/>
      <c r="C201" s="976"/>
      <c r="D201" s="943" t="s">
        <v>99</v>
      </c>
      <c r="E201" s="827"/>
      <c r="F201" s="827"/>
      <c r="G201" s="829"/>
      <c r="H201" s="590" t="s">
        <v>12</v>
      </c>
      <c r="I201" s="830"/>
      <c r="J201" s="830"/>
      <c r="K201" s="831"/>
      <c r="L201" s="831">
        <f ca="1">IFERROR(__xludf.DUMMYFUNCTION("IMPORTRANGE(""https://docs.google.com/spreadsheets/d/1QqKyyYR6Q21VydFLVH3TRQUabQu_ym0Zz7PgGX0-kHA/edit?usp=sharing"",""แผน!AG16"")"),8000)</f>
        <v>8000</v>
      </c>
      <c r="M201" s="831"/>
      <c r="N201" s="1031">
        <v>0</v>
      </c>
      <c r="O201" s="831"/>
      <c r="P201" s="831"/>
    </row>
    <row r="202" spans="1:16" ht="19.5">
      <c r="A202" s="1032"/>
      <c r="B202" s="1030"/>
      <c r="C202" s="976"/>
      <c r="D202" s="943" t="s">
        <v>100</v>
      </c>
      <c r="E202" s="827"/>
      <c r="F202" s="827"/>
      <c r="G202" s="829"/>
      <c r="H202" s="590" t="s">
        <v>12</v>
      </c>
      <c r="I202" s="830"/>
      <c r="J202" s="830"/>
      <c r="K202" s="831"/>
      <c r="L202" s="831">
        <f ca="1">IFERROR(__xludf.DUMMYFUNCTION("IMPORTRANGE(""https://docs.google.com/spreadsheets/d/1QqKyyYR6Q21VydFLVH3TRQUabQu_ym0Zz7PgGX0-kHA/edit?usp=sharing"",""แผน!AH16"")"),0)</f>
        <v>0</v>
      </c>
      <c r="M202" s="831"/>
      <c r="N202" s="1031">
        <v>0</v>
      </c>
      <c r="O202" s="831"/>
      <c r="P202" s="831"/>
    </row>
    <row r="203" spans="1:16" ht="19.5">
      <c r="A203" s="949"/>
      <c r="B203" s="950"/>
      <c r="C203" s="976" t="s">
        <v>16</v>
      </c>
      <c r="D203" s="951" t="s">
        <v>38</v>
      </c>
      <c r="E203" s="952"/>
      <c r="F203" s="952"/>
      <c r="G203" s="953"/>
      <c r="H203" s="954"/>
      <c r="I203" s="944"/>
      <c r="J203" s="944"/>
      <c r="K203" s="945"/>
      <c r="L203" s="945"/>
      <c r="M203" s="945"/>
      <c r="N203" s="945"/>
      <c r="O203" s="945"/>
      <c r="P203" s="945"/>
    </row>
    <row r="204" spans="1:16" ht="18.75">
      <c r="A204" s="949"/>
      <c r="B204" s="950"/>
      <c r="C204" s="950"/>
      <c r="D204" s="955" t="s">
        <v>101</v>
      </c>
      <c r="E204" s="957"/>
      <c r="F204" s="957"/>
      <c r="G204" s="958"/>
      <c r="H204" s="954" t="s">
        <v>96</v>
      </c>
      <c r="I204" s="830">
        <f ca="1">IFERROR(__xludf.DUMMYFUNCTION("IMPORTRANGE(""https://docs.google.com/spreadsheets/d/1QqKyyYR6Q21VydFLVH3TRQUabQu_ym0Zz7PgGX0-kHA/edit?usp=sharing"",""แผน!AI16"")"),2)</f>
        <v>2</v>
      </c>
      <c r="J204" s="959">
        <v>2</v>
      </c>
      <c r="K204" s="945">
        <f ca="1">IF(I204&gt;0,J204*100/I204,0)</f>
        <v>100</v>
      </c>
      <c r="L204" s="831"/>
      <c r="M204" s="831"/>
      <c r="N204" s="831"/>
      <c r="O204" s="831"/>
      <c r="P204" s="831"/>
    </row>
    <row r="205" spans="1:16" ht="18.75">
      <c r="A205" s="949"/>
      <c r="B205" s="950"/>
      <c r="C205" s="950"/>
      <c r="D205" s="956" t="s">
        <v>59</v>
      </c>
      <c r="E205" s="957"/>
      <c r="F205" s="957"/>
      <c r="G205" s="958"/>
      <c r="H205" s="954"/>
      <c r="I205" s="830"/>
      <c r="J205" s="830"/>
      <c r="K205" s="945"/>
      <c r="L205" s="831"/>
      <c r="M205" s="831"/>
      <c r="N205" s="831"/>
      <c r="O205" s="831"/>
      <c r="P205" s="831"/>
    </row>
    <row r="206" spans="1:16" ht="18.75">
      <c r="A206" s="949"/>
      <c r="B206" s="950"/>
      <c r="C206" s="950"/>
      <c r="D206" s="957"/>
      <c r="E206" s="968" t="s">
        <v>102</v>
      </c>
      <c r="F206" s="1034"/>
      <c r="G206" s="1035"/>
      <c r="H206" s="1036" t="s">
        <v>96</v>
      </c>
      <c r="I206" s="830">
        <v>2</v>
      </c>
      <c r="J206" s="959">
        <v>2</v>
      </c>
      <c r="K206" s="945">
        <f t="shared" ref="K206:K208" si="100">IF(I206&gt;0,J206*100/I206,0)</f>
        <v>100</v>
      </c>
      <c r="L206" s="831"/>
      <c r="M206" s="831"/>
      <c r="N206" s="831"/>
      <c r="O206" s="831"/>
      <c r="P206" s="831"/>
    </row>
    <row r="207" spans="1:16" ht="18.75">
      <c r="A207" s="949"/>
      <c r="B207" s="950"/>
      <c r="C207" s="950"/>
      <c r="D207" s="956"/>
      <c r="E207" s="956" t="s">
        <v>103</v>
      </c>
      <c r="F207" s="957"/>
      <c r="G207" s="957"/>
      <c r="H207" s="290" t="s">
        <v>104</v>
      </c>
      <c r="I207" s="830">
        <v>0</v>
      </c>
      <c r="J207" s="959">
        <v>0</v>
      </c>
      <c r="K207" s="945">
        <f t="shared" si="100"/>
        <v>0</v>
      </c>
      <c r="L207" s="831"/>
      <c r="M207" s="831"/>
      <c r="N207" s="831"/>
      <c r="O207" s="831"/>
      <c r="P207" s="831"/>
    </row>
    <row r="208" spans="1:16" ht="19.5">
      <c r="A208" s="1011"/>
      <c r="B208" s="1018"/>
      <c r="C208" s="1023" t="s">
        <v>105</v>
      </c>
      <c r="D208" s="1012"/>
      <c r="E208" s="1012"/>
      <c r="F208" s="1037"/>
      <c r="G208" s="1014"/>
      <c r="H208" s="278" t="s">
        <v>96</v>
      </c>
      <c r="I208" s="1024">
        <f t="shared" ref="I208:J208" ca="1" si="101">I215</f>
        <v>1</v>
      </c>
      <c r="J208" s="1024">
        <f t="shared" si="101"/>
        <v>1</v>
      </c>
      <c r="K208" s="1025">
        <f t="shared" ca="1" si="100"/>
        <v>100</v>
      </c>
      <c r="L208" s="1016"/>
      <c r="M208" s="1016"/>
      <c r="N208" s="1016"/>
      <c r="O208" s="1016"/>
      <c r="P208" s="1016"/>
    </row>
    <row r="209" spans="1:16" ht="19.5">
      <c r="A209" s="932"/>
      <c r="B209" s="933"/>
      <c r="C209" s="934" t="s">
        <v>16</v>
      </c>
      <c r="D209" s="1026" t="s">
        <v>17</v>
      </c>
      <c r="E209" s="933"/>
      <c r="F209" s="933"/>
      <c r="G209" s="936"/>
      <c r="H209" s="275" t="s">
        <v>12</v>
      </c>
      <c r="I209" s="1028"/>
      <c r="J209" s="1028"/>
      <c r="K209" s="1029"/>
      <c r="L209" s="939">
        <f ca="1">L210+L211+L212</f>
        <v>14000</v>
      </c>
      <c r="M209" s="939"/>
      <c r="N209" s="939">
        <f>N210+N211+N212</f>
        <v>8000</v>
      </c>
      <c r="O209" s="939">
        <f ca="1">IF(L209&gt;0,N209*100/L209,0)</f>
        <v>57.142857142857146</v>
      </c>
      <c r="P209" s="939">
        <f>IF(M209&gt;0,N209*100/M209,0)</f>
        <v>0</v>
      </c>
    </row>
    <row r="210" spans="1:16" ht="18.75">
      <c r="A210" s="942"/>
      <c r="B210" s="1030"/>
      <c r="C210" s="827"/>
      <c r="D210" s="943" t="s">
        <v>97</v>
      </c>
      <c r="E210" s="827"/>
      <c r="F210" s="827"/>
      <c r="G210" s="829"/>
      <c r="H210" s="778" t="s">
        <v>12</v>
      </c>
      <c r="I210" s="944"/>
      <c r="J210" s="944"/>
      <c r="K210" s="945"/>
      <c r="L210" s="831">
        <f ca="1">IFERROR(__xludf.DUMMYFUNCTION("IMPORTRANGE(""https://docs.google.com/spreadsheets/d/1QqKyyYR6Q21VydFLVH3TRQUabQu_ym0Zz7PgGX0-kHA/edit?usp=sharing"",""แผน!AK16"")"),1000)</f>
        <v>1000</v>
      </c>
      <c r="M210" s="831"/>
      <c r="N210" s="1031">
        <v>0</v>
      </c>
      <c r="O210" s="831"/>
      <c r="P210" s="831"/>
    </row>
    <row r="211" spans="1:16" ht="19.5">
      <c r="A211" s="1032"/>
      <c r="B211" s="1030"/>
      <c r="C211" s="1038"/>
      <c r="D211" s="943" t="s">
        <v>99</v>
      </c>
      <c r="E211" s="827"/>
      <c r="F211" s="827"/>
      <c r="G211" s="829"/>
      <c r="H211" s="778" t="s">
        <v>12</v>
      </c>
      <c r="I211" s="830"/>
      <c r="J211" s="830"/>
      <c r="K211" s="831"/>
      <c r="L211" s="831">
        <f ca="1">IFERROR(__xludf.DUMMYFUNCTION("IMPORTRANGE(""https://docs.google.com/spreadsheets/d/1QqKyyYR6Q21VydFLVH3TRQUabQu_ym0Zz7PgGX0-kHA/edit?usp=sharing"",""แผน!AL16"")"),5000)</f>
        <v>5000</v>
      </c>
      <c r="M211" s="831"/>
      <c r="N211" s="1031">
        <v>0</v>
      </c>
      <c r="O211" s="831"/>
      <c r="P211" s="831"/>
    </row>
    <row r="212" spans="1:16" ht="19.5">
      <c r="A212" s="1032"/>
      <c r="B212" s="1030"/>
      <c r="C212" s="1038"/>
      <c r="D212" s="943" t="s">
        <v>98</v>
      </c>
      <c r="E212" s="827"/>
      <c r="F212" s="827"/>
      <c r="G212" s="829"/>
      <c r="H212" s="778" t="s">
        <v>12</v>
      </c>
      <c r="I212" s="830"/>
      <c r="J212" s="830"/>
      <c r="K212" s="831"/>
      <c r="L212" s="831">
        <f ca="1">IFERROR(__xludf.DUMMYFUNCTION("IMPORTRANGE(""https://docs.google.com/spreadsheets/d/1QqKyyYR6Q21VydFLVH3TRQUabQu_ym0Zz7PgGX0-kHA/edit?usp=sharing"",""แผน!AM16"")"),8000)</f>
        <v>8000</v>
      </c>
      <c r="M212" s="831"/>
      <c r="N212" s="1031">
        <v>8000</v>
      </c>
      <c r="O212" s="831"/>
      <c r="P212" s="831"/>
    </row>
    <row r="213" spans="1:16" ht="19.5">
      <c r="A213" s="949"/>
      <c r="B213" s="950"/>
      <c r="C213" s="1038" t="s">
        <v>16</v>
      </c>
      <c r="D213" s="951" t="s">
        <v>38</v>
      </c>
      <c r="E213" s="952"/>
      <c r="F213" s="952"/>
      <c r="G213" s="953"/>
      <c r="H213" s="954"/>
      <c r="I213" s="944"/>
      <c r="J213" s="830"/>
      <c r="K213" s="831"/>
      <c r="L213" s="831"/>
      <c r="M213" s="831"/>
      <c r="N213" s="831"/>
      <c r="O213" s="945"/>
      <c r="P213" s="945"/>
    </row>
    <row r="214" spans="1:16" ht="18.75">
      <c r="A214" s="949"/>
      <c r="B214" s="950"/>
      <c r="C214" s="950"/>
      <c r="D214" s="955" t="s">
        <v>106</v>
      </c>
      <c r="E214" s="957"/>
      <c r="F214" s="957"/>
      <c r="G214" s="958"/>
      <c r="H214" s="954" t="s">
        <v>96</v>
      </c>
      <c r="I214" s="830">
        <f ca="1">IFERROR(__xludf.DUMMYFUNCTION("IMPORTRANGE(""https://docs.google.com/spreadsheets/d/1QqKyyYR6Q21VydFLVH3TRQUabQu_ym0Zz7PgGX0-kHA/edit?usp=sharing"",""แผน!AN16"")"),1)</f>
        <v>1</v>
      </c>
      <c r="J214" s="959">
        <v>0</v>
      </c>
      <c r="K214" s="831">
        <f t="shared" ref="K214:K216" ca="1" si="102">IF(I214&gt;0,J214*100/I214,0)</f>
        <v>0</v>
      </c>
      <c r="L214" s="831"/>
      <c r="M214" s="831"/>
      <c r="N214" s="831"/>
      <c r="O214" s="831"/>
      <c r="P214" s="831"/>
    </row>
    <row r="215" spans="1:16" ht="18.75">
      <c r="A215" s="949"/>
      <c r="B215" s="950"/>
      <c r="C215" s="950"/>
      <c r="D215" s="955" t="s">
        <v>107</v>
      </c>
      <c r="E215" s="957"/>
      <c r="F215" s="957"/>
      <c r="G215" s="958"/>
      <c r="H215" s="954" t="s">
        <v>96</v>
      </c>
      <c r="I215" s="830">
        <f ca="1">IFERROR(__xludf.DUMMYFUNCTION("IMPORTRANGE(""https://docs.google.com/spreadsheets/d/1QqKyyYR6Q21VydFLVH3TRQUabQu_ym0Zz7PgGX0-kHA/edit?usp=sharing"",""แผน!AN16"")"),1)</f>
        <v>1</v>
      </c>
      <c r="J215" s="959">
        <v>1</v>
      </c>
      <c r="K215" s="831">
        <f t="shared" ca="1" si="102"/>
        <v>100</v>
      </c>
      <c r="L215" s="831"/>
      <c r="M215" s="831"/>
      <c r="N215" s="831"/>
      <c r="O215" s="831"/>
      <c r="P215" s="831"/>
    </row>
    <row r="216" spans="1:16" ht="19.5">
      <c r="A216" s="1011"/>
      <c r="B216" s="1018"/>
      <c r="C216" s="1023" t="s">
        <v>108</v>
      </c>
      <c r="D216" s="1012"/>
      <c r="E216" s="1012"/>
      <c r="F216" s="1037"/>
      <c r="G216" s="1014"/>
      <c r="H216" s="260" t="s">
        <v>109</v>
      </c>
      <c r="I216" s="1024">
        <f t="shared" ref="I216:J216" ca="1" si="103">I224</f>
        <v>13000</v>
      </c>
      <c r="J216" s="1024">
        <f t="shared" si="103"/>
        <v>0</v>
      </c>
      <c r="K216" s="1025">
        <f t="shared" ca="1" si="102"/>
        <v>0</v>
      </c>
      <c r="L216" s="1016"/>
      <c r="M216" s="1016"/>
      <c r="N216" s="1016"/>
      <c r="O216" s="1016"/>
      <c r="P216" s="1016"/>
    </row>
    <row r="217" spans="1:16" ht="19.5">
      <c r="A217" s="932"/>
      <c r="B217" s="933"/>
      <c r="C217" s="934" t="s">
        <v>16</v>
      </c>
      <c r="D217" s="1026" t="s">
        <v>17</v>
      </c>
      <c r="E217" s="933"/>
      <c r="F217" s="933"/>
      <c r="G217" s="936"/>
      <c r="H217" s="275" t="s">
        <v>12</v>
      </c>
      <c r="I217" s="1028"/>
      <c r="J217" s="1028"/>
      <c r="K217" s="1029"/>
      <c r="L217" s="939">
        <f ca="1">L218+L219+L220</f>
        <v>7100</v>
      </c>
      <c r="M217" s="939"/>
      <c r="N217" s="939">
        <f>N218+N219+N220</f>
        <v>0</v>
      </c>
      <c r="O217" s="939">
        <f ca="1">IF(L217&gt;0,N217*100/L217,0)</f>
        <v>0</v>
      </c>
      <c r="P217" s="939">
        <f>IF(M217&gt;0,N217*100/M217,0)</f>
        <v>0</v>
      </c>
    </row>
    <row r="218" spans="1:16" ht="18.75">
      <c r="A218" s="942"/>
      <c r="B218" s="1030"/>
      <c r="C218" s="827"/>
      <c r="D218" s="943" t="s">
        <v>97</v>
      </c>
      <c r="E218" s="827"/>
      <c r="F218" s="827"/>
      <c r="G218" s="829"/>
      <c r="H218" s="778" t="s">
        <v>12</v>
      </c>
      <c r="I218" s="944"/>
      <c r="J218" s="944"/>
      <c r="K218" s="945"/>
      <c r="L218" s="831">
        <f ca="1">IFERROR(__xludf.DUMMYFUNCTION("IMPORTRANGE(""https://docs.google.com/spreadsheets/d/1QqKyyYR6Q21VydFLVH3TRQUabQu_ym0Zz7PgGX0-kHA/edit?usp=sharing"",""แผน!AP16"")"),3000)</f>
        <v>3000</v>
      </c>
      <c r="M218" s="831"/>
      <c r="N218" s="1031">
        <v>0</v>
      </c>
      <c r="O218" s="831"/>
      <c r="P218" s="831"/>
    </row>
    <row r="219" spans="1:16" ht="19.5">
      <c r="A219" s="1032"/>
      <c r="B219" s="1030"/>
      <c r="C219" s="1038"/>
      <c r="D219" s="943" t="s">
        <v>110</v>
      </c>
      <c r="E219" s="827"/>
      <c r="F219" s="827"/>
      <c r="G219" s="829"/>
      <c r="H219" s="778" t="s">
        <v>12</v>
      </c>
      <c r="I219" s="830"/>
      <c r="J219" s="830"/>
      <c r="K219" s="831"/>
      <c r="L219" s="831">
        <f ca="1">IFERROR(__xludf.DUMMYFUNCTION("IMPORTRANGE(""https://docs.google.com/spreadsheets/d/1QqKyyYR6Q21VydFLVH3TRQUabQu_ym0Zz7PgGX0-kHA/edit?usp=sharing"",""แผน!AQ16"")"),4100)</f>
        <v>4100</v>
      </c>
      <c r="M219" s="831"/>
      <c r="N219" s="1031">
        <v>0</v>
      </c>
      <c r="O219" s="831"/>
      <c r="P219" s="831"/>
    </row>
    <row r="220" spans="1:16" ht="19.5">
      <c r="A220" s="1032"/>
      <c r="B220" s="1030"/>
      <c r="C220" s="1038"/>
      <c r="D220" s="943" t="s">
        <v>98</v>
      </c>
      <c r="E220" s="827"/>
      <c r="F220" s="827"/>
      <c r="G220" s="829"/>
      <c r="H220" s="778" t="s">
        <v>12</v>
      </c>
      <c r="I220" s="830"/>
      <c r="J220" s="830"/>
      <c r="K220" s="831"/>
      <c r="L220" s="831">
        <f ca="1">IFERROR(__xludf.DUMMYFUNCTION("IMPORTRANGE(""https://docs.google.com/spreadsheets/d/1QqKyyYR6Q21VydFLVH3TRQUabQu_ym0Zz7PgGX0-kHA/edit?usp=sharing"",""แผน!AR16"")"),0)</f>
        <v>0</v>
      </c>
      <c r="M220" s="831"/>
      <c r="N220" s="1031">
        <v>0</v>
      </c>
      <c r="O220" s="831"/>
      <c r="P220" s="831"/>
    </row>
    <row r="221" spans="1:16" ht="19.5">
      <c r="A221" s="949"/>
      <c r="B221" s="950"/>
      <c r="C221" s="1038" t="s">
        <v>16</v>
      </c>
      <c r="D221" s="951" t="s">
        <v>38</v>
      </c>
      <c r="E221" s="952"/>
      <c r="F221" s="952"/>
      <c r="G221" s="953"/>
      <c r="H221" s="954"/>
      <c r="I221" s="944"/>
      <c r="J221" s="944"/>
      <c r="K221" s="945"/>
      <c r="L221" s="945"/>
      <c r="M221" s="945"/>
      <c r="N221" s="945"/>
      <c r="O221" s="945"/>
      <c r="P221" s="945"/>
    </row>
    <row r="222" spans="1:16" ht="18.75">
      <c r="A222" s="949"/>
      <c r="B222" s="950"/>
      <c r="C222" s="950"/>
      <c r="D222" s="943" t="s">
        <v>111</v>
      </c>
      <c r="E222" s="957"/>
      <c r="F222" s="957"/>
      <c r="G222" s="958"/>
      <c r="H222" s="954"/>
      <c r="I222" s="830"/>
      <c r="J222" s="830"/>
      <c r="K222" s="945"/>
      <c r="L222" s="945"/>
      <c r="M222" s="945"/>
      <c r="N222" s="945"/>
      <c r="O222" s="945"/>
      <c r="P222" s="945"/>
    </row>
    <row r="223" spans="1:16" ht="18.75">
      <c r="A223" s="949"/>
      <c r="B223" s="950"/>
      <c r="C223" s="950"/>
      <c r="D223" s="950"/>
      <c r="E223" s="955" t="s">
        <v>112</v>
      </c>
      <c r="F223" s="957"/>
      <c r="G223" s="958"/>
      <c r="H223" s="730" t="s">
        <v>109</v>
      </c>
      <c r="I223" s="830">
        <f ca="1">IFERROR(__xludf.DUMMYFUNCTION("IMPORTRANGE(""https://docs.google.com/spreadsheets/d/1QqKyyYR6Q21VydFLVH3TRQUabQu_ym0Zz7PgGX0-kHA/edit?usp=sharing"",""แผน!AT16"")"),13000)</f>
        <v>13000</v>
      </c>
      <c r="J223" s="959">
        <v>0</v>
      </c>
      <c r="K223" s="945">
        <f t="shared" ref="K223:K226" ca="1" si="104">IF(I223&gt;0,J223*100/I223,0)</f>
        <v>0</v>
      </c>
      <c r="L223" s="945"/>
      <c r="M223" s="945"/>
      <c r="N223" s="945"/>
      <c r="O223" s="945"/>
      <c r="P223" s="945"/>
    </row>
    <row r="224" spans="1:16" ht="18.75">
      <c r="A224" s="949"/>
      <c r="B224" s="950"/>
      <c r="C224" s="950"/>
      <c r="D224" s="950"/>
      <c r="E224" s="955" t="s">
        <v>113</v>
      </c>
      <c r="F224" s="957"/>
      <c r="G224" s="958"/>
      <c r="H224" s="730" t="s">
        <v>109</v>
      </c>
      <c r="I224" s="830">
        <f ca="1">IFERROR(__xludf.DUMMYFUNCTION("IMPORTRANGE(""https://docs.google.com/spreadsheets/d/1QqKyyYR6Q21VydFLVH3TRQUabQu_ym0Zz7PgGX0-kHA/edit?usp=sharing"",""แผน!AT16"")"),13000)</f>
        <v>13000</v>
      </c>
      <c r="J224" s="959">
        <v>0</v>
      </c>
      <c r="K224" s="945">
        <f t="shared" ca="1" si="104"/>
        <v>0</v>
      </c>
      <c r="L224" s="831"/>
      <c r="M224" s="831"/>
      <c r="N224" s="831"/>
      <c r="O224" s="831"/>
      <c r="P224" s="831"/>
    </row>
    <row r="225" spans="1:16" ht="18.75">
      <c r="A225" s="949"/>
      <c r="B225" s="950"/>
      <c r="C225" s="950"/>
      <c r="D225" s="943" t="s">
        <v>114</v>
      </c>
      <c r="E225" s="957"/>
      <c r="F225" s="957"/>
      <c r="G225" s="958"/>
      <c r="H225" s="730" t="s">
        <v>35</v>
      </c>
      <c r="I225" s="830">
        <f ca="1">IFERROR(__xludf.DUMMYFUNCTION("IMPORTRANGE(""https://docs.google.com/spreadsheets/d/1QqKyyYR6Q21VydFLVH3TRQUabQu_ym0Zz7PgGX0-kHA/edit?usp=sharing"",""แผน!AS16"")"),0)</f>
        <v>0</v>
      </c>
      <c r="J225" s="959">
        <v>0</v>
      </c>
      <c r="K225" s="945">
        <f t="shared" ca="1" si="104"/>
        <v>0</v>
      </c>
      <c r="L225" s="831"/>
      <c r="M225" s="831"/>
      <c r="N225" s="831"/>
      <c r="O225" s="831"/>
      <c r="P225" s="831"/>
    </row>
    <row r="226" spans="1:16" ht="19.5" hidden="1">
      <c r="A226" s="1011"/>
      <c r="B226" s="1018"/>
      <c r="C226" s="1039" t="s">
        <v>115</v>
      </c>
      <c r="D226" s="1012"/>
      <c r="E226" s="1012"/>
      <c r="F226" s="1012"/>
      <c r="G226" s="1014"/>
      <c r="H226" s="266" t="s">
        <v>35</v>
      </c>
      <c r="I226" s="1040">
        <f t="shared" ref="I226:J226" ca="1" si="105">I237+I248</f>
        <v>100</v>
      </c>
      <c r="J226" s="1040">
        <f t="shared" si="105"/>
        <v>100</v>
      </c>
      <c r="K226" s="1041">
        <f t="shared" ca="1" si="104"/>
        <v>100</v>
      </c>
      <c r="L226" s="1016"/>
      <c r="M226" s="1016"/>
      <c r="N226" s="1016"/>
      <c r="O226" s="1016"/>
      <c r="P226" s="1016"/>
    </row>
    <row r="227" spans="1:16" ht="19.5" hidden="1">
      <c r="A227" s="1042"/>
      <c r="B227" s="1043"/>
      <c r="C227" s="1044" t="s">
        <v>16</v>
      </c>
      <c r="D227" s="1045" t="s">
        <v>17</v>
      </c>
      <c r="E227" s="1043"/>
      <c r="F227" s="1043"/>
      <c r="G227" s="1046"/>
      <c r="H227" s="1047" t="s">
        <v>12</v>
      </c>
      <c r="I227" s="1048"/>
      <c r="J227" s="1048"/>
      <c r="K227" s="1049"/>
      <c r="L227" s="1050">
        <f t="shared" ref="L227:L231" ca="1" si="106">L238+L249</f>
        <v>533800</v>
      </c>
      <c r="M227" s="1050"/>
      <c r="N227" s="1050">
        <f t="shared" ref="N227:N231" si="107">N238+N249</f>
        <v>295003</v>
      </c>
      <c r="O227" s="1051"/>
      <c r="P227" s="1051"/>
    </row>
    <row r="228" spans="1:16" ht="18.75" hidden="1">
      <c r="A228" s="940"/>
      <c r="B228" s="1052"/>
      <c r="C228" s="833"/>
      <c r="D228" s="834" t="s">
        <v>97</v>
      </c>
      <c r="E228" s="833"/>
      <c r="F228" s="833"/>
      <c r="G228" s="835"/>
      <c r="H228" s="165" t="s">
        <v>12</v>
      </c>
      <c r="I228" s="947"/>
      <c r="J228" s="947"/>
      <c r="K228" s="948"/>
      <c r="L228" s="837">
        <f t="shared" ca="1" si="106"/>
        <v>334200</v>
      </c>
      <c r="M228" s="837"/>
      <c r="N228" s="837">
        <f t="shared" si="107"/>
        <v>155403</v>
      </c>
      <c r="O228" s="837"/>
      <c r="P228" s="837"/>
    </row>
    <row r="229" spans="1:16" ht="19.5" hidden="1">
      <c r="A229" s="1053"/>
      <c r="B229" s="1052"/>
      <c r="C229" s="1054"/>
      <c r="D229" s="834" t="s">
        <v>98</v>
      </c>
      <c r="E229" s="833"/>
      <c r="F229" s="833"/>
      <c r="G229" s="835"/>
      <c r="H229" s="165" t="s">
        <v>12</v>
      </c>
      <c r="I229" s="836"/>
      <c r="J229" s="836"/>
      <c r="K229" s="837"/>
      <c r="L229" s="837">
        <f t="shared" ca="1" si="106"/>
        <v>139600</v>
      </c>
      <c r="M229" s="837"/>
      <c r="N229" s="837">
        <f t="shared" si="107"/>
        <v>139600</v>
      </c>
      <c r="O229" s="837"/>
      <c r="P229" s="837"/>
    </row>
    <row r="230" spans="1:16" ht="19.5" hidden="1">
      <c r="A230" s="1053"/>
      <c r="B230" s="1052"/>
      <c r="C230" s="1054"/>
      <c r="D230" s="834" t="s">
        <v>116</v>
      </c>
      <c r="E230" s="833"/>
      <c r="F230" s="833"/>
      <c r="G230" s="835"/>
      <c r="H230" s="165" t="s">
        <v>12</v>
      </c>
      <c r="I230" s="836"/>
      <c r="J230" s="836"/>
      <c r="K230" s="837"/>
      <c r="L230" s="837">
        <f t="shared" ca="1" si="106"/>
        <v>0</v>
      </c>
      <c r="M230" s="837"/>
      <c r="N230" s="837">
        <f t="shared" si="107"/>
        <v>0</v>
      </c>
      <c r="O230" s="837"/>
      <c r="P230" s="837"/>
    </row>
    <row r="231" spans="1:16" ht="19.5" hidden="1">
      <c r="A231" s="1053"/>
      <c r="B231" s="1052"/>
      <c r="C231" s="1054"/>
      <c r="D231" s="834" t="s">
        <v>100</v>
      </c>
      <c r="E231" s="833"/>
      <c r="F231" s="833"/>
      <c r="G231" s="835"/>
      <c r="H231" s="165" t="s">
        <v>12</v>
      </c>
      <c r="I231" s="836"/>
      <c r="J231" s="836"/>
      <c r="K231" s="837"/>
      <c r="L231" s="837">
        <f t="shared" ca="1" si="106"/>
        <v>60000</v>
      </c>
      <c r="M231" s="837"/>
      <c r="N231" s="837">
        <f t="shared" si="107"/>
        <v>0</v>
      </c>
      <c r="O231" s="837"/>
      <c r="P231" s="837"/>
    </row>
    <row r="232" spans="1:16" ht="19.5" hidden="1">
      <c r="A232" s="1056"/>
      <c r="B232" s="1057"/>
      <c r="C232" s="1054" t="s">
        <v>16</v>
      </c>
      <c r="D232" s="1020" t="s">
        <v>38</v>
      </c>
      <c r="E232" s="1058"/>
      <c r="F232" s="1058"/>
      <c r="G232" s="1059"/>
      <c r="H232" s="1060"/>
      <c r="I232" s="947"/>
      <c r="J232" s="836"/>
      <c r="K232" s="837"/>
      <c r="L232" s="837"/>
      <c r="M232" s="837"/>
      <c r="N232" s="837"/>
      <c r="O232" s="948"/>
      <c r="P232" s="948"/>
    </row>
    <row r="233" spans="1:16" ht="18.75" hidden="1">
      <c r="A233" s="1056"/>
      <c r="B233" s="1057"/>
      <c r="C233" s="1057"/>
      <c r="D233" s="1022" t="s">
        <v>117</v>
      </c>
      <c r="E233" s="1061"/>
      <c r="F233" s="1061"/>
      <c r="G233" s="1062"/>
      <c r="H233" s="583" t="s">
        <v>35</v>
      </c>
      <c r="I233" s="836">
        <f t="shared" ref="I233:J233" ca="1" si="108">I244+I255</f>
        <v>100</v>
      </c>
      <c r="J233" s="836">
        <f t="shared" si="108"/>
        <v>100</v>
      </c>
      <c r="K233" s="837">
        <f ca="1">IF(I233&gt;0,J233*100/I233,0)</f>
        <v>100</v>
      </c>
      <c r="L233" s="837"/>
      <c r="M233" s="837"/>
      <c r="N233" s="837"/>
      <c r="O233" s="837"/>
      <c r="P233" s="837"/>
    </row>
    <row r="234" spans="1:16" ht="18.75" hidden="1">
      <c r="A234" s="1056"/>
      <c r="B234" s="1057"/>
      <c r="C234" s="1057"/>
      <c r="D234" s="1063" t="s">
        <v>43</v>
      </c>
      <c r="E234" s="1061"/>
      <c r="F234" s="1061"/>
      <c r="G234" s="1062"/>
      <c r="H234" s="583"/>
      <c r="I234" s="836"/>
      <c r="J234" s="836"/>
      <c r="K234" s="837"/>
      <c r="L234" s="837"/>
      <c r="M234" s="837"/>
      <c r="N234" s="837"/>
      <c r="O234" s="948"/>
      <c r="P234" s="948"/>
    </row>
    <row r="235" spans="1:16" ht="18.75" hidden="1">
      <c r="A235" s="1056"/>
      <c r="B235" s="1057"/>
      <c r="C235" s="1057"/>
      <c r="D235" s="1057"/>
      <c r="E235" s="1021" t="s">
        <v>118</v>
      </c>
      <c r="F235" s="1061"/>
      <c r="G235" s="1062"/>
      <c r="H235" s="583" t="s">
        <v>35</v>
      </c>
      <c r="I235" s="836">
        <f t="shared" ref="I235:J236" si="109">I246+I257</f>
        <v>0</v>
      </c>
      <c r="J235" s="836">
        <f t="shared" si="109"/>
        <v>0</v>
      </c>
      <c r="K235" s="837">
        <f t="shared" ref="K235:K237" si="110">IF(I235&gt;0,J235*100/I235,0)</f>
        <v>0</v>
      </c>
      <c r="L235" s="837"/>
      <c r="M235" s="837"/>
      <c r="N235" s="837"/>
      <c r="O235" s="837"/>
      <c r="P235" s="837"/>
    </row>
    <row r="236" spans="1:16" ht="18.75" hidden="1">
      <c r="A236" s="1056"/>
      <c r="B236" s="1057"/>
      <c r="C236" s="1057"/>
      <c r="D236" s="1057"/>
      <c r="E236" s="1021" t="s">
        <v>119</v>
      </c>
      <c r="F236" s="1061"/>
      <c r="G236" s="1062"/>
      <c r="H236" s="583" t="s">
        <v>66</v>
      </c>
      <c r="I236" s="836">
        <f t="shared" si="109"/>
        <v>3</v>
      </c>
      <c r="J236" s="836">
        <f t="shared" si="109"/>
        <v>0</v>
      </c>
      <c r="K236" s="837">
        <f t="shared" si="110"/>
        <v>0</v>
      </c>
      <c r="L236" s="837"/>
      <c r="M236" s="837"/>
      <c r="N236" s="837"/>
      <c r="O236" s="837"/>
      <c r="P236" s="837"/>
    </row>
    <row r="237" spans="1:16" ht="19.5">
      <c r="A237" s="1011"/>
      <c r="B237" s="1018"/>
      <c r="C237" s="1023" t="s">
        <v>336</v>
      </c>
      <c r="D237" s="1012"/>
      <c r="E237" s="1012"/>
      <c r="F237" s="1012"/>
      <c r="G237" s="1014"/>
      <c r="H237" s="260" t="s">
        <v>35</v>
      </c>
      <c r="I237" s="1024">
        <f t="shared" ref="I237:J237" ca="1" si="111">I244</f>
        <v>100</v>
      </c>
      <c r="J237" s="1024">
        <f t="shared" si="111"/>
        <v>100</v>
      </c>
      <c r="K237" s="1025">
        <f t="shared" ca="1" si="110"/>
        <v>100</v>
      </c>
      <c r="L237" s="1016"/>
      <c r="M237" s="1016"/>
      <c r="N237" s="1016"/>
      <c r="O237" s="1016"/>
      <c r="P237" s="1016"/>
    </row>
    <row r="238" spans="1:16" ht="19.5">
      <c r="A238" s="932"/>
      <c r="B238" s="933"/>
      <c r="C238" s="934" t="s">
        <v>16</v>
      </c>
      <c r="D238" s="935" t="s">
        <v>17</v>
      </c>
      <c r="E238" s="933"/>
      <c r="F238" s="933"/>
      <c r="G238" s="936"/>
      <c r="H238" s="275" t="s">
        <v>12</v>
      </c>
      <c r="I238" s="1028"/>
      <c r="J238" s="1028"/>
      <c r="K238" s="1029"/>
      <c r="L238" s="939">
        <f ca="1">L239+L240+L241+L242</f>
        <v>533800</v>
      </c>
      <c r="M238" s="939"/>
      <c r="N238" s="939">
        <f>N239+N240+N241+N242</f>
        <v>295003</v>
      </c>
      <c r="O238" s="939">
        <f ca="1">IF(L238&gt;0,N238*100/L238,0)</f>
        <v>55.264705882352942</v>
      </c>
      <c r="P238" s="939">
        <f>IF(M238&gt;0,N238*100/M238,0)</f>
        <v>0</v>
      </c>
    </row>
    <row r="239" spans="1:16" ht="18.75">
      <c r="A239" s="1064"/>
      <c r="B239" s="1065"/>
      <c r="C239" s="1066"/>
      <c r="D239" s="1067" t="s">
        <v>97</v>
      </c>
      <c r="E239" s="1066"/>
      <c r="F239" s="1066"/>
      <c r="G239" s="1068"/>
      <c r="H239" s="319" t="s">
        <v>12</v>
      </c>
      <c r="I239" s="1069"/>
      <c r="J239" s="1069"/>
      <c r="K239" s="1070"/>
      <c r="L239" s="1071">
        <f ca="1">IFERROR(__xludf.DUMMYFUNCTION("IMPORTRANGE(""https://docs.google.com/spreadsheets/d/1QqKyyYR6Q21VydFLVH3TRQUabQu_ym0Zz7PgGX0-kHA/edit?usp=sharing"",""แผน!AV16"")"),334200)</f>
        <v>334200</v>
      </c>
      <c r="M239" s="1071"/>
      <c r="N239" s="1072">
        <v>155403</v>
      </c>
      <c r="O239" s="1071"/>
      <c r="P239" s="1071"/>
    </row>
    <row r="240" spans="1:16" ht="19.5">
      <c r="A240" s="1074"/>
      <c r="B240" s="1065"/>
      <c r="C240" s="1075"/>
      <c r="D240" s="1067" t="s">
        <v>98</v>
      </c>
      <c r="E240" s="1066"/>
      <c r="F240" s="1066"/>
      <c r="G240" s="1068"/>
      <c r="H240" s="319" t="s">
        <v>12</v>
      </c>
      <c r="I240" s="1076"/>
      <c r="J240" s="1076"/>
      <c r="K240" s="1071"/>
      <c r="L240" s="1071">
        <f ca="1">IFERROR(__xludf.DUMMYFUNCTION("IMPORTRANGE(""https://docs.google.com/spreadsheets/d/1QqKyyYR6Q21VydFLVH3TRQUabQu_ym0Zz7PgGX0-kHA/edit?usp=sharing"",""แผน!AW16"")"),139600)</f>
        <v>139600</v>
      </c>
      <c r="M240" s="1071"/>
      <c r="N240" s="1072">
        <v>139600</v>
      </c>
      <c r="O240" s="1071"/>
      <c r="P240" s="1071"/>
    </row>
    <row r="241" spans="1:16" ht="19.5">
      <c r="A241" s="1074"/>
      <c r="B241" s="1065"/>
      <c r="C241" s="1075"/>
      <c r="D241" s="1067" t="s">
        <v>116</v>
      </c>
      <c r="E241" s="1066"/>
      <c r="F241" s="1066"/>
      <c r="G241" s="1068"/>
      <c r="H241" s="319" t="s">
        <v>12</v>
      </c>
      <c r="I241" s="1076"/>
      <c r="J241" s="1076"/>
      <c r="K241" s="1071"/>
      <c r="L241" s="1071">
        <f ca="1">IFERROR(__xludf.DUMMYFUNCTION("IMPORTRANGE(""https://docs.google.com/spreadsheets/d/1QqKyyYR6Q21VydFLVH3TRQUabQu_ym0Zz7PgGX0-kHA/edit?usp=sharing"",""แผน!AX16"")"),0)</f>
        <v>0</v>
      </c>
      <c r="M241" s="1071"/>
      <c r="N241" s="1072">
        <v>0</v>
      </c>
      <c r="O241" s="1071"/>
      <c r="P241" s="1071"/>
    </row>
    <row r="242" spans="1:16" ht="19.5">
      <c r="A242" s="1074"/>
      <c r="B242" s="1065"/>
      <c r="C242" s="1075"/>
      <c r="D242" s="1067" t="s">
        <v>100</v>
      </c>
      <c r="E242" s="1066"/>
      <c r="F242" s="1066"/>
      <c r="G242" s="1068"/>
      <c r="H242" s="319" t="s">
        <v>12</v>
      </c>
      <c r="I242" s="1076"/>
      <c r="J242" s="1076"/>
      <c r="K242" s="1071"/>
      <c r="L242" s="1071">
        <f ca="1">IFERROR(__xludf.DUMMYFUNCTION("IMPORTRANGE(""https://docs.google.com/spreadsheets/d/1QqKyyYR6Q21VydFLVH3TRQUabQu_ym0Zz7PgGX0-kHA/edit?usp=sharing"",""แผน!AY16"")"),60000)</f>
        <v>60000</v>
      </c>
      <c r="M242" s="1071"/>
      <c r="N242" s="1072">
        <v>0</v>
      </c>
      <c r="O242" s="1071"/>
      <c r="P242" s="1071"/>
    </row>
    <row r="243" spans="1:16" ht="19.5">
      <c r="A243" s="949"/>
      <c r="B243" s="950"/>
      <c r="C243" s="1038" t="s">
        <v>16</v>
      </c>
      <c r="D243" s="951" t="s">
        <v>38</v>
      </c>
      <c r="E243" s="952"/>
      <c r="F243" s="952"/>
      <c r="G243" s="953"/>
      <c r="H243" s="954"/>
      <c r="I243" s="944"/>
      <c r="J243" s="830"/>
      <c r="K243" s="831"/>
      <c r="L243" s="831"/>
      <c r="M243" s="831"/>
      <c r="N243" s="831"/>
      <c r="O243" s="945"/>
      <c r="P243" s="945"/>
    </row>
    <row r="244" spans="1:16" ht="18.75">
      <c r="A244" s="949"/>
      <c r="B244" s="950"/>
      <c r="C244" s="950"/>
      <c r="D244" s="956" t="s">
        <v>117</v>
      </c>
      <c r="E244" s="957"/>
      <c r="F244" s="957"/>
      <c r="G244" s="958"/>
      <c r="H244" s="730" t="s">
        <v>35</v>
      </c>
      <c r="I244" s="830">
        <f ca="1">IFERROR(__xludf.DUMMYFUNCTION("IMPORTRANGE(""https://docs.google.com/spreadsheets/d/1QqKyyYR6Q21VydFLVH3TRQUabQu_ym0Zz7PgGX0-kHA/edit?usp=sharing"",""แผน!BE16"")"),100)</f>
        <v>100</v>
      </c>
      <c r="J244" s="959">
        <v>100</v>
      </c>
      <c r="K244" s="831">
        <f ca="1">IF(I244&gt;0,J244*100/I244,0)</f>
        <v>100</v>
      </c>
      <c r="L244" s="831"/>
      <c r="M244" s="831"/>
      <c r="N244" s="831"/>
      <c r="O244" s="831"/>
      <c r="P244" s="831"/>
    </row>
    <row r="245" spans="1:16" ht="18.75">
      <c r="A245" s="949"/>
      <c r="B245" s="950"/>
      <c r="C245" s="950"/>
      <c r="D245" s="1078" t="s">
        <v>43</v>
      </c>
      <c r="E245" s="957"/>
      <c r="F245" s="957"/>
      <c r="G245" s="958"/>
      <c r="H245" s="730"/>
      <c r="I245" s="830"/>
      <c r="J245" s="830"/>
      <c r="K245" s="831"/>
      <c r="L245" s="831"/>
      <c r="M245" s="831"/>
      <c r="N245" s="831"/>
      <c r="O245" s="945"/>
      <c r="P245" s="945"/>
    </row>
    <row r="246" spans="1:16" ht="18.75">
      <c r="A246" s="949"/>
      <c r="B246" s="950"/>
      <c r="C246" s="950"/>
      <c r="D246" s="950"/>
      <c r="E246" s="955" t="s">
        <v>118</v>
      </c>
      <c r="F246" s="957"/>
      <c r="G246" s="958"/>
      <c r="H246" s="730" t="s">
        <v>35</v>
      </c>
      <c r="I246" s="830">
        <v>0</v>
      </c>
      <c r="J246" s="959">
        <v>0</v>
      </c>
      <c r="K246" s="831">
        <f t="shared" ref="K246:K248" si="112">IF(I246&gt;0,J246*100/I246,0)</f>
        <v>0</v>
      </c>
      <c r="L246" s="831"/>
      <c r="M246" s="831"/>
      <c r="N246" s="831"/>
      <c r="O246" s="831"/>
      <c r="P246" s="831"/>
    </row>
    <row r="247" spans="1:16" ht="18.75">
      <c r="A247" s="949"/>
      <c r="B247" s="950"/>
      <c r="C247" s="950"/>
      <c r="D247" s="950"/>
      <c r="E247" s="955" t="s">
        <v>119</v>
      </c>
      <c r="F247" s="957"/>
      <c r="G247" s="958"/>
      <c r="H247" s="730" t="s">
        <v>66</v>
      </c>
      <c r="I247" s="830">
        <v>3</v>
      </c>
      <c r="J247" s="959">
        <v>0</v>
      </c>
      <c r="K247" s="831">
        <f t="shared" si="112"/>
        <v>0</v>
      </c>
      <c r="L247" s="831"/>
      <c r="M247" s="831"/>
      <c r="N247" s="831"/>
      <c r="O247" s="831"/>
      <c r="P247" s="831"/>
    </row>
    <row r="248" spans="1:16" ht="19.5" hidden="1">
      <c r="A248" s="1011"/>
      <c r="B248" s="1018"/>
      <c r="C248" s="1023" t="s">
        <v>332</v>
      </c>
      <c r="D248" s="1012"/>
      <c r="E248" s="1012"/>
      <c r="F248" s="1012"/>
      <c r="G248" s="1014"/>
      <c r="H248" s="260" t="s">
        <v>35</v>
      </c>
      <c r="I248" s="1024">
        <f t="shared" ref="I248:J248" ca="1" si="113">I255</f>
        <v>0</v>
      </c>
      <c r="J248" s="1024">
        <f t="shared" si="113"/>
        <v>0</v>
      </c>
      <c r="K248" s="1025">
        <f t="shared" ca="1" si="112"/>
        <v>0</v>
      </c>
      <c r="L248" s="1016"/>
      <c r="M248" s="1016"/>
      <c r="N248" s="1016"/>
      <c r="O248" s="1016"/>
      <c r="P248" s="1016"/>
    </row>
    <row r="249" spans="1:16" ht="19.5" hidden="1">
      <c r="A249" s="932"/>
      <c r="B249" s="933"/>
      <c r="C249" s="934" t="s">
        <v>16</v>
      </c>
      <c r="D249" s="1026" t="s">
        <v>17</v>
      </c>
      <c r="E249" s="933"/>
      <c r="F249" s="933"/>
      <c r="G249" s="936"/>
      <c r="H249" s="275" t="s">
        <v>12</v>
      </c>
      <c r="I249" s="1028"/>
      <c r="J249" s="1028"/>
      <c r="K249" s="1029"/>
      <c r="L249" s="939">
        <f ca="1">L250+L251+L252+L253</f>
        <v>0</v>
      </c>
      <c r="M249" s="939"/>
      <c r="N249" s="939">
        <f>N250+N251+N252+N253</f>
        <v>0</v>
      </c>
      <c r="O249" s="939">
        <f ca="1">IF(L249&gt;0,N249*100/L249,0)</f>
        <v>0</v>
      </c>
      <c r="P249" s="939">
        <f>IF(M249&gt;0,N249*100/M249,0)</f>
        <v>0</v>
      </c>
    </row>
    <row r="250" spans="1:16" ht="18.75" hidden="1">
      <c r="A250" s="1064"/>
      <c r="B250" s="1065"/>
      <c r="C250" s="1066"/>
      <c r="D250" s="1067" t="s">
        <v>97</v>
      </c>
      <c r="E250" s="1066"/>
      <c r="F250" s="1066"/>
      <c r="G250" s="1068"/>
      <c r="H250" s="319" t="s">
        <v>12</v>
      </c>
      <c r="I250" s="1069"/>
      <c r="J250" s="1069"/>
      <c r="K250" s="1070"/>
      <c r="L250" s="1071">
        <f ca="1">IFERROR(__xludf.DUMMYFUNCTION("IMPORTRANGE(""https://docs.google.com/spreadsheets/d/1QqKyyYR6Q21VydFLVH3TRQUabQu_ym0Zz7PgGX0-kHA/edit?usp=sharing"",""แผน!AZ16"")"),0)</f>
        <v>0</v>
      </c>
      <c r="M250" s="1071"/>
      <c r="N250" s="1072">
        <v>0</v>
      </c>
      <c r="O250" s="1071"/>
      <c r="P250" s="1071"/>
    </row>
    <row r="251" spans="1:16" ht="19.5" hidden="1">
      <c r="A251" s="1074"/>
      <c r="B251" s="1065"/>
      <c r="C251" s="1075"/>
      <c r="D251" s="1067" t="s">
        <v>98</v>
      </c>
      <c r="E251" s="1066"/>
      <c r="F251" s="1066"/>
      <c r="G251" s="1068"/>
      <c r="H251" s="319" t="s">
        <v>12</v>
      </c>
      <c r="I251" s="1076"/>
      <c r="J251" s="1076"/>
      <c r="K251" s="1071"/>
      <c r="L251" s="1071">
        <f ca="1">IFERROR(__xludf.DUMMYFUNCTION("IMPORTRANGE(""https://docs.google.com/spreadsheets/d/1QqKyyYR6Q21VydFLVH3TRQUabQu_ym0Zz7PgGX0-kHA/edit?usp=sharing"",""แผน!BA16"")"),0)</f>
        <v>0</v>
      </c>
      <c r="M251" s="1071"/>
      <c r="N251" s="1072">
        <v>0</v>
      </c>
      <c r="O251" s="1071"/>
      <c r="P251" s="1071"/>
    </row>
    <row r="252" spans="1:16" ht="19.5" hidden="1">
      <c r="A252" s="1074"/>
      <c r="B252" s="1065"/>
      <c r="C252" s="1075"/>
      <c r="D252" s="1067" t="s">
        <v>116</v>
      </c>
      <c r="E252" s="1066"/>
      <c r="F252" s="1066"/>
      <c r="G252" s="1068"/>
      <c r="H252" s="319" t="s">
        <v>12</v>
      </c>
      <c r="I252" s="1076"/>
      <c r="J252" s="1076"/>
      <c r="K252" s="1071"/>
      <c r="L252" s="1071">
        <f ca="1">IFERROR(__xludf.DUMMYFUNCTION("IMPORTRANGE(""https://docs.google.com/spreadsheets/d/1QqKyyYR6Q21VydFLVH3TRQUabQu_ym0Zz7PgGX0-kHA/edit?usp=sharing"",""แผน!BB16"")"),0)</f>
        <v>0</v>
      </c>
      <c r="M252" s="1071"/>
      <c r="N252" s="1072">
        <v>0</v>
      </c>
      <c r="O252" s="1071"/>
      <c r="P252" s="1071"/>
    </row>
    <row r="253" spans="1:16" ht="19.5" hidden="1">
      <c r="A253" s="1074"/>
      <c r="B253" s="1065"/>
      <c r="C253" s="1075"/>
      <c r="D253" s="1067" t="s">
        <v>100</v>
      </c>
      <c r="E253" s="1066"/>
      <c r="F253" s="1066"/>
      <c r="G253" s="1068"/>
      <c r="H253" s="319" t="s">
        <v>12</v>
      </c>
      <c r="I253" s="1076"/>
      <c r="J253" s="1076"/>
      <c r="K253" s="1071"/>
      <c r="L253" s="1071">
        <f ca="1">IFERROR(__xludf.DUMMYFUNCTION("IMPORTRANGE(""https://docs.google.com/spreadsheets/d/1QqKyyYR6Q21VydFLVH3TRQUabQu_ym0Zz7PgGX0-kHA/edit?usp=sharing"",""แผน!BC16"")"),0)</f>
        <v>0</v>
      </c>
      <c r="M253" s="1071"/>
      <c r="N253" s="1072">
        <v>0</v>
      </c>
      <c r="O253" s="1071"/>
      <c r="P253" s="1071"/>
    </row>
    <row r="254" spans="1:16" ht="19.5" hidden="1">
      <c r="A254" s="949"/>
      <c r="B254" s="950"/>
      <c r="C254" s="1038" t="s">
        <v>16</v>
      </c>
      <c r="D254" s="951" t="s">
        <v>38</v>
      </c>
      <c r="E254" s="952"/>
      <c r="F254" s="952"/>
      <c r="G254" s="953"/>
      <c r="H254" s="954"/>
      <c r="I254" s="944"/>
      <c r="J254" s="830"/>
      <c r="K254" s="831"/>
      <c r="L254" s="831"/>
      <c r="M254" s="831"/>
      <c r="N254" s="831"/>
      <c r="O254" s="945"/>
      <c r="P254" s="945"/>
    </row>
    <row r="255" spans="1:16" ht="18.75" hidden="1">
      <c r="A255" s="949"/>
      <c r="B255" s="950"/>
      <c r="C255" s="950"/>
      <c r="D255" s="956" t="s">
        <v>117</v>
      </c>
      <c r="E255" s="957"/>
      <c r="F255" s="957"/>
      <c r="G255" s="958"/>
      <c r="H255" s="730" t="s">
        <v>35</v>
      </c>
      <c r="I255" s="830">
        <f ca="1">IFERROR(__xludf.DUMMYFUNCTION("IMPORTRANGE(""https://docs.google.com/spreadsheets/d/1QqKyyYR6Q21VydFLVH3TRQUabQu_ym0Zz7PgGX0-kHA/edit?usp=sharing"",""แผน!BF16"")"),0)</f>
        <v>0</v>
      </c>
      <c r="J255" s="959">
        <v>0</v>
      </c>
      <c r="K255" s="831">
        <f ca="1">IF(I255&gt;0,J255*100/I255,0)</f>
        <v>0</v>
      </c>
      <c r="L255" s="831"/>
      <c r="M255" s="831"/>
      <c r="N255" s="831"/>
      <c r="O255" s="831"/>
      <c r="P255" s="831"/>
    </row>
    <row r="256" spans="1:16" ht="18.75" hidden="1">
      <c r="A256" s="949"/>
      <c r="B256" s="950"/>
      <c r="C256" s="950"/>
      <c r="D256" s="1078" t="s">
        <v>43</v>
      </c>
      <c r="E256" s="957"/>
      <c r="F256" s="957"/>
      <c r="G256" s="958"/>
      <c r="H256" s="730"/>
      <c r="I256" s="830"/>
      <c r="J256" s="830"/>
      <c r="K256" s="831"/>
      <c r="L256" s="831"/>
      <c r="M256" s="831"/>
      <c r="N256" s="831"/>
      <c r="O256" s="945"/>
      <c r="P256" s="945"/>
    </row>
    <row r="257" spans="1:16" ht="18.75" hidden="1">
      <c r="A257" s="949"/>
      <c r="B257" s="950"/>
      <c r="C257" s="950"/>
      <c r="D257" s="950"/>
      <c r="E257" s="955" t="s">
        <v>118</v>
      </c>
      <c r="F257" s="957"/>
      <c r="G257" s="958"/>
      <c r="H257" s="730" t="s">
        <v>35</v>
      </c>
      <c r="I257" s="830"/>
      <c r="J257" s="959">
        <v>0</v>
      </c>
      <c r="K257" s="831">
        <f t="shared" ref="K257:K258" si="114">IF(I257&gt;0,J257*100/I257,0)</f>
        <v>0</v>
      </c>
      <c r="L257" s="831"/>
      <c r="M257" s="831"/>
      <c r="N257" s="831"/>
      <c r="O257" s="831"/>
      <c r="P257" s="831"/>
    </row>
    <row r="258" spans="1:16" ht="18.75" hidden="1">
      <c r="A258" s="949"/>
      <c r="B258" s="950"/>
      <c r="C258" s="950"/>
      <c r="D258" s="950"/>
      <c r="E258" s="955" t="s">
        <v>119</v>
      </c>
      <c r="F258" s="957"/>
      <c r="G258" s="958"/>
      <c r="H258" s="730" t="s">
        <v>66</v>
      </c>
      <c r="I258" s="830"/>
      <c r="J258" s="959">
        <v>0</v>
      </c>
      <c r="K258" s="831">
        <f t="shared" si="114"/>
        <v>0</v>
      </c>
      <c r="L258" s="831"/>
      <c r="M258" s="831"/>
      <c r="N258" s="831"/>
      <c r="O258" s="831"/>
      <c r="P258" s="831"/>
    </row>
    <row r="259" spans="1:16" ht="19.5">
      <c r="A259" s="998" t="s">
        <v>122</v>
      </c>
      <c r="B259" s="999"/>
      <c r="C259" s="999"/>
      <c r="D259" s="1000"/>
      <c r="E259" s="1000"/>
      <c r="F259" s="1000"/>
      <c r="G259" s="1001"/>
      <c r="H259" s="1002"/>
      <c r="I259" s="1003"/>
      <c r="J259" s="1003"/>
      <c r="K259" s="1004"/>
      <c r="L259" s="1004"/>
      <c r="M259" s="1004"/>
      <c r="N259" s="1004"/>
      <c r="O259" s="1004"/>
      <c r="P259" s="1004"/>
    </row>
    <row r="260" spans="1:16" ht="19.5">
      <c r="A260" s="1005"/>
      <c r="B260" s="1006" t="s">
        <v>123</v>
      </c>
      <c r="C260" s="1007"/>
      <c r="D260" s="952"/>
      <c r="E260" s="952"/>
      <c r="F260" s="952"/>
      <c r="G260" s="953"/>
      <c r="H260" s="252" t="s">
        <v>35</v>
      </c>
      <c r="I260" s="1008">
        <f t="shared" ref="I260:J260" ca="1" si="115">I271</f>
        <v>26</v>
      </c>
      <c r="J260" s="1008">
        <f t="shared" si="115"/>
        <v>26</v>
      </c>
      <c r="K260" s="1009">
        <f ca="1">IF(I260&gt;0,J260*100/I260,0)</f>
        <v>100</v>
      </c>
      <c r="L260" s="1010"/>
      <c r="M260" s="1010"/>
      <c r="N260" s="1010"/>
      <c r="O260" s="1010"/>
      <c r="P260" s="1010"/>
    </row>
    <row r="261" spans="1:16" ht="19.5">
      <c r="A261" s="932"/>
      <c r="B261" s="933"/>
      <c r="C261" s="934" t="s">
        <v>16</v>
      </c>
      <c r="D261" s="935" t="s">
        <v>17</v>
      </c>
      <c r="E261" s="933"/>
      <c r="F261" s="933"/>
      <c r="G261" s="936"/>
      <c r="H261" s="152" t="s">
        <v>12</v>
      </c>
      <c r="I261" s="937"/>
      <c r="J261" s="937"/>
      <c r="K261" s="938"/>
      <c r="L261" s="939">
        <f t="shared" ref="L261:N261" ca="1" si="116">L262+L263</f>
        <v>30700</v>
      </c>
      <c r="M261" s="939">
        <f t="shared" ca="1" si="116"/>
        <v>27700</v>
      </c>
      <c r="N261" s="939">
        <f t="shared" ca="1" si="116"/>
        <v>27700</v>
      </c>
      <c r="O261" s="939">
        <f t="shared" ref="O261:O269" ca="1" si="117">IF(L261&gt;0,N261*100/L261,0)</f>
        <v>90.22801302931596</v>
      </c>
      <c r="P261" s="939">
        <f t="shared" ref="P261:P269" ca="1" si="118">IF(M261&gt;0,N261*100/M261,0)</f>
        <v>100</v>
      </c>
    </row>
    <row r="262" spans="1:16" ht="18.75" hidden="1">
      <c r="A262" s="940"/>
      <c r="B262" s="833"/>
      <c r="C262" s="833"/>
      <c r="D262" s="833"/>
      <c r="E262" s="834" t="s">
        <v>18</v>
      </c>
      <c r="F262" s="833"/>
      <c r="G262" s="941"/>
      <c r="H262" s="158" t="s">
        <v>12</v>
      </c>
      <c r="I262" s="836"/>
      <c r="J262" s="836"/>
      <c r="K262" s="837"/>
      <c r="L262" s="837">
        <f t="shared" ref="L262:N263" si="119">L265+L268</f>
        <v>0</v>
      </c>
      <c r="M262" s="837">
        <f t="shared" si="119"/>
        <v>0</v>
      </c>
      <c r="N262" s="837">
        <f t="shared" si="119"/>
        <v>0</v>
      </c>
      <c r="O262" s="837">
        <f t="shared" si="117"/>
        <v>0</v>
      </c>
      <c r="P262" s="837">
        <f t="shared" si="118"/>
        <v>0</v>
      </c>
    </row>
    <row r="263" spans="1:16" ht="18.75" hidden="1">
      <c r="A263" s="940"/>
      <c r="B263" s="833"/>
      <c r="C263" s="833"/>
      <c r="D263" s="833"/>
      <c r="E263" s="834" t="s">
        <v>19</v>
      </c>
      <c r="F263" s="833"/>
      <c r="G263" s="941"/>
      <c r="H263" s="158" t="s">
        <v>12</v>
      </c>
      <c r="I263" s="836"/>
      <c r="J263" s="836"/>
      <c r="K263" s="837"/>
      <c r="L263" s="837">
        <f t="shared" ca="1" si="119"/>
        <v>30700</v>
      </c>
      <c r="M263" s="837">
        <f t="shared" ca="1" si="119"/>
        <v>27700</v>
      </c>
      <c r="N263" s="837">
        <f t="shared" ca="1" si="119"/>
        <v>27700</v>
      </c>
      <c r="O263" s="837">
        <f t="shared" ca="1" si="117"/>
        <v>90.22801302931596</v>
      </c>
      <c r="P263" s="837">
        <f t="shared" ca="1" si="118"/>
        <v>100</v>
      </c>
    </row>
    <row r="264" spans="1:16" ht="18.75">
      <c r="A264" s="942"/>
      <c r="B264" s="827"/>
      <c r="C264" s="943"/>
      <c r="D264" s="828" t="s">
        <v>20</v>
      </c>
      <c r="E264" s="827"/>
      <c r="F264" s="827"/>
      <c r="G264" s="829"/>
      <c r="H264" s="778" t="s">
        <v>12</v>
      </c>
      <c r="I264" s="944"/>
      <c r="J264" s="944"/>
      <c r="K264" s="945"/>
      <c r="L264" s="831">
        <f t="shared" ref="L264:N264" ca="1" si="120">L265+L266</f>
        <v>30700</v>
      </c>
      <c r="M264" s="831">
        <f t="shared" ca="1" si="120"/>
        <v>27700</v>
      </c>
      <c r="N264" s="831">
        <f t="shared" ca="1" si="120"/>
        <v>27700</v>
      </c>
      <c r="O264" s="831">
        <f t="shared" ca="1" si="117"/>
        <v>90.22801302931596</v>
      </c>
      <c r="P264" s="831">
        <f t="shared" ca="1" si="118"/>
        <v>100</v>
      </c>
    </row>
    <row r="265" spans="1:16" ht="19.5" hidden="1">
      <c r="A265" s="940"/>
      <c r="B265" s="833"/>
      <c r="C265" s="946"/>
      <c r="D265" s="833"/>
      <c r="E265" s="834" t="s">
        <v>36</v>
      </c>
      <c r="F265" s="833"/>
      <c r="G265" s="941"/>
      <c r="H265" s="165" t="s">
        <v>12</v>
      </c>
      <c r="I265" s="947"/>
      <c r="J265" s="947"/>
      <c r="K265" s="948"/>
      <c r="L265" s="837">
        <v>0</v>
      </c>
      <c r="M265" s="837">
        <v>0</v>
      </c>
      <c r="N265" s="837">
        <v>0</v>
      </c>
      <c r="O265" s="837">
        <f t="shared" si="117"/>
        <v>0</v>
      </c>
      <c r="P265" s="837">
        <f t="shared" si="118"/>
        <v>0</v>
      </c>
    </row>
    <row r="266" spans="1:16" ht="19.5" hidden="1">
      <c r="A266" s="940"/>
      <c r="B266" s="833"/>
      <c r="C266" s="946"/>
      <c r="D266" s="833"/>
      <c r="E266" s="834" t="s">
        <v>37</v>
      </c>
      <c r="F266" s="833"/>
      <c r="G266" s="941"/>
      <c r="H266" s="165" t="s">
        <v>12</v>
      </c>
      <c r="I266" s="947"/>
      <c r="J266" s="947"/>
      <c r="K266" s="948"/>
      <c r="L266" s="837">
        <f ca="1">IFERROR(__xludf.DUMMYFUNCTION("IMPORTRANGE(""https://docs.google.com/spreadsheets/d/1MeEWN-I1oV_STSDYn1IFDPWt_1FKiwhDph83XaGc0o0/edit?usp=sharing"",""งบพรบ!CY16"")"),30700)</f>
        <v>30700</v>
      </c>
      <c r="M266" s="837">
        <f ca="1">IFERROR(__xludf.DUMMYFUNCTION("IMPORTRANGE(""https://docs.google.com/spreadsheets/d/1MeEWN-I1oV_STSDYn1IFDPWt_1FKiwhDph83XaGc0o0/edit?usp=sharing"",""งบพรบ!DD16"")"),27700)</f>
        <v>27700</v>
      </c>
      <c r="N266" s="837">
        <f ca="1">IFERROR(__xludf.DUMMYFUNCTION("IMPORTRANGE(""https://docs.google.com/spreadsheets/d/1MeEWN-I1oV_STSDYn1IFDPWt_1FKiwhDph83XaGc0o0/edit?usp=sharing"",""งบพรบ!DF16"")"),27700)</f>
        <v>27700</v>
      </c>
      <c r="O266" s="837">
        <f t="shared" ca="1" si="117"/>
        <v>90.22801302931596</v>
      </c>
      <c r="P266" s="837">
        <f t="shared" ca="1" si="118"/>
        <v>100</v>
      </c>
    </row>
    <row r="267" spans="1:16" ht="18.75">
      <c r="A267" s="942"/>
      <c r="B267" s="827"/>
      <c r="C267" s="943"/>
      <c r="D267" s="828" t="s">
        <v>21</v>
      </c>
      <c r="E267" s="827"/>
      <c r="F267" s="827"/>
      <c r="G267" s="829"/>
      <c r="H267" s="168" t="s">
        <v>12</v>
      </c>
      <c r="I267" s="944"/>
      <c r="J267" s="944"/>
      <c r="K267" s="945"/>
      <c r="L267" s="831">
        <f t="shared" ref="L267:N267" ca="1" si="121">L268+L269</f>
        <v>0</v>
      </c>
      <c r="M267" s="831">
        <f t="shared" ca="1" si="121"/>
        <v>0</v>
      </c>
      <c r="N267" s="831">
        <f t="shared" ca="1" si="121"/>
        <v>0</v>
      </c>
      <c r="O267" s="831">
        <f t="shared" ca="1" si="117"/>
        <v>0</v>
      </c>
      <c r="P267" s="831">
        <f t="shared" ca="1" si="118"/>
        <v>0</v>
      </c>
    </row>
    <row r="268" spans="1:16" ht="19.5" hidden="1">
      <c r="A268" s="940"/>
      <c r="B268" s="833"/>
      <c r="C268" s="946"/>
      <c r="D268" s="833"/>
      <c r="E268" s="834" t="s">
        <v>18</v>
      </c>
      <c r="F268" s="833"/>
      <c r="G268" s="941"/>
      <c r="H268" s="165" t="s">
        <v>12</v>
      </c>
      <c r="I268" s="947"/>
      <c r="J268" s="947"/>
      <c r="K268" s="948"/>
      <c r="L268" s="837">
        <v>0</v>
      </c>
      <c r="M268" s="837">
        <v>0</v>
      </c>
      <c r="N268" s="837">
        <v>0</v>
      </c>
      <c r="O268" s="837">
        <f t="shared" si="117"/>
        <v>0</v>
      </c>
      <c r="P268" s="837">
        <f t="shared" si="118"/>
        <v>0</v>
      </c>
    </row>
    <row r="269" spans="1:16" ht="19.5" hidden="1">
      <c r="A269" s="940"/>
      <c r="B269" s="833"/>
      <c r="C269" s="946"/>
      <c r="D269" s="833"/>
      <c r="E269" s="834" t="s">
        <v>19</v>
      </c>
      <c r="F269" s="833"/>
      <c r="G269" s="941"/>
      <c r="H269" s="169" t="s">
        <v>12</v>
      </c>
      <c r="I269" s="947"/>
      <c r="J269" s="947"/>
      <c r="K269" s="948"/>
      <c r="L269" s="837">
        <f ca="1">IFERROR(__xludf.DUMMYFUNCTION("IMPORTRANGE(""https://docs.google.com/spreadsheets/d/1MeEWN-I1oV_STSDYn1IFDPWt_1FKiwhDph83XaGc0o0/edit?usp=sharing"",""งบพรบ!DB16"")"),0)</f>
        <v>0</v>
      </c>
      <c r="M269" s="837">
        <f ca="1">IFERROR(__xludf.DUMMYFUNCTION("IMPORTRANGE(""https://docs.google.com/spreadsheets/d/1MeEWN-I1oV_STSDYn1IFDPWt_1FKiwhDph83XaGc0o0/edit?usp=sharing"",""งบพรบ!DE16"")"),0)</f>
        <v>0</v>
      </c>
      <c r="N269" s="837">
        <f ca="1">IFERROR(__xludf.DUMMYFUNCTION("IMPORTRANGE(""https://docs.google.com/spreadsheets/d/1MeEWN-I1oV_STSDYn1IFDPWt_1FKiwhDph83XaGc0o0/edit?usp=sharing"",""งบพรบ!DG16"")"),0)</f>
        <v>0</v>
      </c>
      <c r="O269" s="837">
        <f t="shared" ca="1" si="117"/>
        <v>0</v>
      </c>
      <c r="P269" s="837">
        <f t="shared" ca="1" si="118"/>
        <v>0</v>
      </c>
    </row>
    <row r="270" spans="1:16" ht="19.5">
      <c r="A270" s="949"/>
      <c r="B270" s="950"/>
      <c r="C270" s="943" t="s">
        <v>16</v>
      </c>
      <c r="D270" s="951" t="s">
        <v>38</v>
      </c>
      <c r="E270" s="952"/>
      <c r="F270" s="952"/>
      <c r="G270" s="953"/>
      <c r="H270" s="954"/>
      <c r="I270" s="944"/>
      <c r="J270" s="944"/>
      <c r="K270" s="945"/>
      <c r="L270" s="945"/>
      <c r="M270" s="945"/>
      <c r="N270" s="945"/>
      <c r="O270" s="945"/>
      <c r="P270" s="945"/>
    </row>
    <row r="271" spans="1:16" ht="18.75">
      <c r="A271" s="949"/>
      <c r="B271" s="950"/>
      <c r="C271" s="950"/>
      <c r="D271" s="1079" t="s">
        <v>124</v>
      </c>
      <c r="E271" s="957"/>
      <c r="F271" s="1022"/>
      <c r="G271" s="958"/>
      <c r="H271" s="346" t="s">
        <v>35</v>
      </c>
      <c r="I271" s="830">
        <f ca="1">IFERROR(__xludf.DUMMYFUNCTION("IMPORTRANGE(""https://docs.google.com/spreadsheets/d/1QqKyyYR6Q21VydFLVH3TRQUabQu_ym0Zz7PgGX0-kHA/edit?usp=sharing"",""แผน!EA16"")"),26)</f>
        <v>26</v>
      </c>
      <c r="J271" s="959">
        <v>26</v>
      </c>
      <c r="K271" s="945">
        <f ca="1">IF(I271&gt;0,J271*100/I271,0)</f>
        <v>100</v>
      </c>
      <c r="L271" s="945"/>
      <c r="M271" s="945"/>
      <c r="N271" s="945"/>
      <c r="O271" s="945"/>
      <c r="P271" s="945"/>
    </row>
    <row r="272" spans="1:16" ht="18.75" hidden="1">
      <c r="A272" s="1080"/>
      <c r="B272" s="1081"/>
      <c r="C272" s="1081"/>
      <c r="D272" s="1082" t="s">
        <v>125</v>
      </c>
      <c r="E272" s="1083"/>
      <c r="F272" s="1083"/>
      <c r="G272" s="1084"/>
      <c r="H272" s="50" t="s">
        <v>35</v>
      </c>
      <c r="I272" s="1085">
        <v>0</v>
      </c>
      <c r="J272" s="1085">
        <v>0</v>
      </c>
      <c r="K272" s="1086">
        <v>0</v>
      </c>
      <c r="L272" s="1086"/>
      <c r="M272" s="1086"/>
      <c r="N272" s="1086"/>
      <c r="O272" s="1086"/>
      <c r="P272" s="1086"/>
    </row>
    <row r="273" spans="1:16" ht="19.5">
      <c r="A273" s="1087" t="s">
        <v>126</v>
      </c>
      <c r="B273" s="1088"/>
      <c r="C273" s="1088"/>
      <c r="D273" s="1088"/>
      <c r="E273" s="1089"/>
      <c r="F273" s="1089"/>
      <c r="G273" s="1090"/>
      <c r="H273" s="1091"/>
      <c r="I273" s="1092"/>
      <c r="J273" s="1092"/>
      <c r="K273" s="1093"/>
      <c r="L273" s="1093"/>
      <c r="M273" s="1093"/>
      <c r="N273" s="1093"/>
      <c r="O273" s="1093"/>
      <c r="P273" s="1093"/>
    </row>
    <row r="274" spans="1:16" ht="19.5">
      <c r="A274" s="1094" t="s">
        <v>127</v>
      </c>
      <c r="B274" s="1095"/>
      <c r="C274" s="1096"/>
      <c r="D274" s="1095"/>
      <c r="E274" s="1095"/>
      <c r="F274" s="1095"/>
      <c r="G274" s="1095"/>
      <c r="H274" s="1097"/>
      <c r="I274" s="1098"/>
      <c r="J274" s="1099"/>
      <c r="K274" s="1100"/>
      <c r="L274" s="1100"/>
      <c r="M274" s="1100"/>
      <c r="N274" s="1100"/>
      <c r="O274" s="1100"/>
      <c r="P274" s="1100"/>
    </row>
    <row r="275" spans="1:16" ht="19.5">
      <c r="A275" s="1101"/>
      <c r="B275" s="1102" t="s">
        <v>128</v>
      </c>
      <c r="C275" s="1103"/>
      <c r="D275" s="1104"/>
      <c r="E275" s="1103"/>
      <c r="F275" s="1103"/>
      <c r="G275" s="1105"/>
      <c r="H275" s="374" t="s">
        <v>35</v>
      </c>
      <c r="I275" s="1106">
        <f t="shared" ref="I275:J275" ca="1" si="122">I288</f>
        <v>30</v>
      </c>
      <c r="J275" s="1106">
        <f t="shared" ca="1" si="122"/>
        <v>0</v>
      </c>
      <c r="K275" s="1107">
        <f t="shared" ref="K275:K276" ca="1" si="123">IF(I275&gt;0,J275*100/I275,0)</f>
        <v>0</v>
      </c>
      <c r="L275" s="1108"/>
      <c r="M275" s="1108"/>
      <c r="N275" s="1108"/>
      <c r="O275" s="1108"/>
      <c r="P275" s="1108"/>
    </row>
    <row r="276" spans="1:16" ht="19.5">
      <c r="A276" s="1101"/>
      <c r="B276" s="1102"/>
      <c r="C276" s="1103"/>
      <c r="D276" s="1104"/>
      <c r="E276" s="1103"/>
      <c r="F276" s="1103"/>
      <c r="G276" s="1105"/>
      <c r="H276" s="374" t="s">
        <v>46</v>
      </c>
      <c r="I276" s="1106">
        <f t="shared" ref="I276:J276" ca="1" si="124">I287</f>
        <v>300</v>
      </c>
      <c r="J276" s="1106">
        <f t="shared" si="124"/>
        <v>0</v>
      </c>
      <c r="K276" s="1107">
        <f t="shared" ca="1" si="123"/>
        <v>0</v>
      </c>
      <c r="L276" s="1108"/>
      <c r="M276" s="1108"/>
      <c r="N276" s="1108"/>
      <c r="O276" s="1108"/>
      <c r="P276" s="1108"/>
    </row>
    <row r="277" spans="1:16" ht="19.5">
      <c r="A277" s="932"/>
      <c r="B277" s="933"/>
      <c r="C277" s="934" t="s">
        <v>16</v>
      </c>
      <c r="D277" s="935" t="s">
        <v>17</v>
      </c>
      <c r="E277" s="933"/>
      <c r="F277" s="933"/>
      <c r="G277" s="936"/>
      <c r="H277" s="152" t="s">
        <v>12</v>
      </c>
      <c r="I277" s="937"/>
      <c r="J277" s="937"/>
      <c r="K277" s="938"/>
      <c r="L277" s="939">
        <f t="shared" ref="L277:N277" ca="1" si="125">L278+L279</f>
        <v>111710</v>
      </c>
      <c r="M277" s="939">
        <f t="shared" ca="1" si="125"/>
        <v>111710</v>
      </c>
      <c r="N277" s="939">
        <f t="shared" ca="1" si="125"/>
        <v>52482</v>
      </c>
      <c r="O277" s="939">
        <f t="shared" ref="O277:O285" ca="1" si="126">IF(L277&gt;0,N277*100/L277,0)</f>
        <v>46.980574702354311</v>
      </c>
      <c r="P277" s="939">
        <f t="shared" ref="P277:P285" ca="1" si="127">IF(M277&gt;0,N277*100/M277,0)</f>
        <v>46.980574702354311</v>
      </c>
    </row>
    <row r="278" spans="1:16" ht="18.75" hidden="1">
      <c r="A278" s="940"/>
      <c r="B278" s="833"/>
      <c r="C278" s="833"/>
      <c r="D278" s="833"/>
      <c r="E278" s="834" t="s">
        <v>18</v>
      </c>
      <c r="F278" s="833"/>
      <c r="G278" s="941"/>
      <c r="H278" s="158" t="s">
        <v>12</v>
      </c>
      <c r="I278" s="836"/>
      <c r="J278" s="836"/>
      <c r="K278" s="837"/>
      <c r="L278" s="837">
        <f t="shared" ref="L278:N279" si="128">L281+L284</f>
        <v>0</v>
      </c>
      <c r="M278" s="837">
        <f t="shared" si="128"/>
        <v>0</v>
      </c>
      <c r="N278" s="837">
        <f t="shared" si="128"/>
        <v>0</v>
      </c>
      <c r="O278" s="837">
        <f t="shared" si="126"/>
        <v>0</v>
      </c>
      <c r="P278" s="837">
        <f t="shared" si="127"/>
        <v>0</v>
      </c>
    </row>
    <row r="279" spans="1:16" ht="18.75" hidden="1">
      <c r="A279" s="940"/>
      <c r="B279" s="833"/>
      <c r="C279" s="833"/>
      <c r="D279" s="833"/>
      <c r="E279" s="834" t="s">
        <v>19</v>
      </c>
      <c r="F279" s="833"/>
      <c r="G279" s="941"/>
      <c r="H279" s="158" t="s">
        <v>12</v>
      </c>
      <c r="I279" s="836"/>
      <c r="J279" s="836"/>
      <c r="K279" s="837"/>
      <c r="L279" s="837">
        <f t="shared" ca="1" si="128"/>
        <v>111710</v>
      </c>
      <c r="M279" s="837">
        <f t="shared" ca="1" si="128"/>
        <v>111710</v>
      </c>
      <c r="N279" s="837">
        <f t="shared" ca="1" si="128"/>
        <v>52482</v>
      </c>
      <c r="O279" s="837">
        <f t="shared" ca="1" si="126"/>
        <v>46.980574702354311</v>
      </c>
      <c r="P279" s="837">
        <f t="shared" ca="1" si="127"/>
        <v>46.980574702354311</v>
      </c>
    </row>
    <row r="280" spans="1:16" ht="18.75">
      <c r="A280" s="942"/>
      <c r="B280" s="827"/>
      <c r="C280" s="943"/>
      <c r="D280" s="828" t="s">
        <v>20</v>
      </c>
      <c r="E280" s="827"/>
      <c r="F280" s="827"/>
      <c r="G280" s="829"/>
      <c r="H280" s="778" t="s">
        <v>12</v>
      </c>
      <c r="I280" s="944"/>
      <c r="J280" s="944"/>
      <c r="K280" s="945"/>
      <c r="L280" s="831">
        <f t="shared" ref="L280:N280" ca="1" si="129">L281+L282</f>
        <v>111710</v>
      </c>
      <c r="M280" s="831">
        <f t="shared" ca="1" si="129"/>
        <v>111710</v>
      </c>
      <c r="N280" s="831">
        <f t="shared" ca="1" si="129"/>
        <v>52482</v>
      </c>
      <c r="O280" s="831">
        <f t="shared" ca="1" si="126"/>
        <v>46.980574702354311</v>
      </c>
      <c r="P280" s="831">
        <f t="shared" ca="1" si="127"/>
        <v>46.980574702354311</v>
      </c>
    </row>
    <row r="281" spans="1:16" ht="19.5" hidden="1">
      <c r="A281" s="940"/>
      <c r="B281" s="833"/>
      <c r="C281" s="946"/>
      <c r="D281" s="833"/>
      <c r="E281" s="834" t="s">
        <v>36</v>
      </c>
      <c r="F281" s="833"/>
      <c r="G281" s="941"/>
      <c r="H281" s="165" t="s">
        <v>12</v>
      </c>
      <c r="I281" s="947"/>
      <c r="J281" s="947"/>
      <c r="K281" s="948"/>
      <c r="L281" s="837">
        <v>0</v>
      </c>
      <c r="M281" s="837">
        <v>0</v>
      </c>
      <c r="N281" s="837">
        <v>0</v>
      </c>
      <c r="O281" s="837">
        <f t="shared" si="126"/>
        <v>0</v>
      </c>
      <c r="P281" s="837">
        <f t="shared" si="127"/>
        <v>0</v>
      </c>
    </row>
    <row r="282" spans="1:16" ht="19.5" hidden="1">
      <c r="A282" s="940"/>
      <c r="B282" s="833"/>
      <c r="C282" s="946"/>
      <c r="D282" s="833"/>
      <c r="E282" s="834" t="s">
        <v>37</v>
      </c>
      <c r="F282" s="833"/>
      <c r="G282" s="941"/>
      <c r="H282" s="165" t="s">
        <v>12</v>
      </c>
      <c r="I282" s="947"/>
      <c r="J282" s="947"/>
      <c r="K282" s="948"/>
      <c r="L282" s="837">
        <f ca="1">IFERROR(__xludf.DUMMYFUNCTION("IMPORTRANGE(""https://docs.google.com/spreadsheets/d/1MeEWN-I1oV_STSDYn1IFDPWt_1FKiwhDph83XaGc0o0/edit?usp=sharing"",""งบพรบ!DI16"")"),111710)</f>
        <v>111710</v>
      </c>
      <c r="M282" s="837">
        <f ca="1">IFERROR(__xludf.DUMMYFUNCTION("IMPORTRANGE(""https://docs.google.com/spreadsheets/d/1MeEWN-I1oV_STSDYn1IFDPWt_1FKiwhDph83XaGc0o0/edit?usp=sharing"",""งบพรบ!DN16"")"),111710)</f>
        <v>111710</v>
      </c>
      <c r="N282" s="837">
        <f ca="1">IFERROR(__xludf.DUMMYFUNCTION("IMPORTRANGE(""https://docs.google.com/spreadsheets/d/1MeEWN-I1oV_STSDYn1IFDPWt_1FKiwhDph83XaGc0o0/edit?usp=sharing"",""งบพรบ!DP16"")"),52482)</f>
        <v>52482</v>
      </c>
      <c r="O282" s="837">
        <f t="shared" ca="1" si="126"/>
        <v>46.980574702354311</v>
      </c>
      <c r="P282" s="837">
        <f t="shared" ca="1" si="127"/>
        <v>46.980574702354311</v>
      </c>
    </row>
    <row r="283" spans="1:16" ht="18.75">
      <c r="A283" s="942"/>
      <c r="B283" s="827"/>
      <c r="C283" s="943"/>
      <c r="D283" s="828" t="s">
        <v>21</v>
      </c>
      <c r="E283" s="827"/>
      <c r="F283" s="827"/>
      <c r="G283" s="829"/>
      <c r="H283" s="168" t="s">
        <v>12</v>
      </c>
      <c r="I283" s="944"/>
      <c r="J283" s="944"/>
      <c r="K283" s="945"/>
      <c r="L283" s="831">
        <f t="shared" ref="L283:N283" ca="1" si="130">L284+L285</f>
        <v>0</v>
      </c>
      <c r="M283" s="831">
        <f t="shared" ca="1" si="130"/>
        <v>0</v>
      </c>
      <c r="N283" s="831">
        <f t="shared" ca="1" si="130"/>
        <v>0</v>
      </c>
      <c r="O283" s="831">
        <f t="shared" ca="1" si="126"/>
        <v>0</v>
      </c>
      <c r="P283" s="831">
        <f t="shared" ca="1" si="127"/>
        <v>0</v>
      </c>
    </row>
    <row r="284" spans="1:16" ht="19.5" hidden="1">
      <c r="A284" s="940"/>
      <c r="B284" s="833"/>
      <c r="C284" s="946"/>
      <c r="D284" s="833"/>
      <c r="E284" s="834" t="s">
        <v>18</v>
      </c>
      <c r="F284" s="833"/>
      <c r="G284" s="941"/>
      <c r="H284" s="165" t="s">
        <v>12</v>
      </c>
      <c r="I284" s="947"/>
      <c r="J284" s="947"/>
      <c r="K284" s="948"/>
      <c r="L284" s="837">
        <v>0</v>
      </c>
      <c r="M284" s="837">
        <v>0</v>
      </c>
      <c r="N284" s="837">
        <v>0</v>
      </c>
      <c r="O284" s="837">
        <f t="shared" si="126"/>
        <v>0</v>
      </c>
      <c r="P284" s="837">
        <f t="shared" si="127"/>
        <v>0</v>
      </c>
    </row>
    <row r="285" spans="1:16" ht="19.5" hidden="1">
      <c r="A285" s="940"/>
      <c r="B285" s="833"/>
      <c r="C285" s="946"/>
      <c r="D285" s="833"/>
      <c r="E285" s="834" t="s">
        <v>19</v>
      </c>
      <c r="F285" s="833"/>
      <c r="G285" s="941"/>
      <c r="H285" s="169" t="s">
        <v>12</v>
      </c>
      <c r="I285" s="947"/>
      <c r="J285" s="947"/>
      <c r="K285" s="948"/>
      <c r="L285" s="837">
        <f ca="1">IFERROR(__xludf.DUMMYFUNCTION("IMPORTRANGE(""https://docs.google.com/spreadsheets/d/1MeEWN-I1oV_STSDYn1IFDPWt_1FKiwhDph83XaGc0o0/edit?usp=sharing"",""งบพรบ!DL16"")"),0)</f>
        <v>0</v>
      </c>
      <c r="M285" s="837">
        <f ca="1">IFERROR(__xludf.DUMMYFUNCTION("IMPORTRANGE(""https://docs.google.com/spreadsheets/d/1MeEWN-I1oV_STSDYn1IFDPWt_1FKiwhDph83XaGc0o0/edit?usp=sharing"",""งบพรบ!DO16"")"),0)</f>
        <v>0</v>
      </c>
      <c r="N285" s="837">
        <f ca="1">IFERROR(__xludf.DUMMYFUNCTION("IMPORTRANGE(""https://docs.google.com/spreadsheets/d/1MeEWN-I1oV_STSDYn1IFDPWt_1FKiwhDph83XaGc0o0/edit?usp=sharing"",""งบพรบ!DQ16"")"),0)</f>
        <v>0</v>
      </c>
      <c r="O285" s="837">
        <f t="shared" ca="1" si="126"/>
        <v>0</v>
      </c>
      <c r="P285" s="837">
        <f t="shared" ca="1" si="127"/>
        <v>0</v>
      </c>
    </row>
    <row r="286" spans="1:16" ht="19.5">
      <c r="A286" s="949"/>
      <c r="B286" s="950"/>
      <c r="C286" s="946" t="s">
        <v>16</v>
      </c>
      <c r="D286" s="951" t="s">
        <v>38</v>
      </c>
      <c r="E286" s="952"/>
      <c r="F286" s="952"/>
      <c r="G286" s="953"/>
      <c r="H286" s="954"/>
      <c r="I286" s="944"/>
      <c r="J286" s="944"/>
      <c r="K286" s="945"/>
      <c r="L286" s="945"/>
      <c r="M286" s="945"/>
      <c r="N286" s="945"/>
      <c r="O286" s="945"/>
      <c r="P286" s="945"/>
    </row>
    <row r="287" spans="1:16" ht="18.75">
      <c r="A287" s="949"/>
      <c r="B287" s="950"/>
      <c r="C287" s="950"/>
      <c r="D287" s="961" t="s">
        <v>129</v>
      </c>
      <c r="E287" s="950"/>
      <c r="F287" s="957"/>
      <c r="G287" s="958"/>
      <c r="H287" s="777" t="s">
        <v>46</v>
      </c>
      <c r="I287" s="830">
        <f ca="1">IFERROR(__xludf.DUMMYFUNCTION("IMPORTRANGE(""https://docs.google.com/spreadsheets/d/1QqKyyYR6Q21VydFLVH3TRQUabQu_ym0Zz7PgGX0-kHA/edit?usp=sharing"",""แผน!EC16"")"),300)</f>
        <v>300</v>
      </c>
      <c r="J287" s="959"/>
      <c r="K287" s="945">
        <f t="shared" ref="K287:K288" ca="1" si="131">IF(I287&gt;0,J287*100/I287,0)</f>
        <v>0</v>
      </c>
      <c r="L287" s="945"/>
      <c r="M287" s="945"/>
      <c r="N287" s="945"/>
      <c r="O287" s="945"/>
      <c r="P287" s="945"/>
    </row>
    <row r="288" spans="1:16" ht="19.5">
      <c r="A288" s="949"/>
      <c r="B288" s="950"/>
      <c r="C288" s="950"/>
      <c r="D288" s="961" t="s">
        <v>130</v>
      </c>
      <c r="E288" s="950"/>
      <c r="F288" s="957"/>
      <c r="G288" s="958"/>
      <c r="H288" s="180" t="s">
        <v>35</v>
      </c>
      <c r="I288" s="966">
        <f ca="1">IFERROR(__xludf.DUMMYFUNCTION("IMPORTRANGE(""https://docs.google.com/spreadsheets/d/1QqKyyYR6Q21VydFLVH3TRQUabQu_ym0Zz7PgGX0-kHA/edit?usp=sharing"",""แผน!EB16"")"),30)</f>
        <v>30</v>
      </c>
      <c r="J288" s="966">
        <f ca="1">IF(AND(J291&gt;=I288,J294&gt;=I288),J294,0)</f>
        <v>0</v>
      </c>
      <c r="K288" s="1109">
        <f t="shared" ca="1" si="131"/>
        <v>0</v>
      </c>
      <c r="L288" s="945"/>
      <c r="M288" s="945"/>
      <c r="N288" s="945"/>
      <c r="O288" s="945"/>
      <c r="P288" s="945"/>
    </row>
    <row r="289" spans="1:16" ht="19.5">
      <c r="A289" s="949"/>
      <c r="B289" s="950"/>
      <c r="C289" s="950"/>
      <c r="D289" s="1110"/>
      <c r="E289" s="1111" t="s">
        <v>131</v>
      </c>
      <c r="F289" s="957"/>
      <c r="G289" s="958"/>
      <c r="H289" s="730"/>
      <c r="I289" s="944"/>
      <c r="J289" s="830"/>
      <c r="K289" s="945"/>
      <c r="L289" s="945"/>
      <c r="M289" s="945"/>
      <c r="N289" s="945"/>
      <c r="O289" s="945"/>
      <c r="P289" s="945"/>
    </row>
    <row r="290" spans="1:16" ht="19.5">
      <c r="A290" s="949"/>
      <c r="B290" s="950"/>
      <c r="C290" s="950"/>
      <c r="D290" s="1110"/>
      <c r="E290" s="961" t="s">
        <v>132</v>
      </c>
      <c r="F290" s="957"/>
      <c r="G290" s="958"/>
      <c r="H290" s="730" t="s">
        <v>35</v>
      </c>
      <c r="I290" s="944">
        <f ca="1">IFERROR(__xludf.DUMMYFUNCTION("IMPORTRANGE(""https://docs.google.com/spreadsheets/d/1QqKyyYR6Q21VydFLVH3TRQUabQu_ym0Zz7PgGX0-kHA/edit?usp=sharing"",""แผน!EB16"")"),30)</f>
        <v>30</v>
      </c>
      <c r="J290" s="959">
        <v>30</v>
      </c>
      <c r="K290" s="945">
        <f t="shared" ref="K290:K291" ca="1" si="132">IF(I290&gt;0,J290*100/I290,0)</f>
        <v>100</v>
      </c>
      <c r="L290" s="945"/>
      <c r="M290" s="945"/>
      <c r="N290" s="945"/>
      <c r="O290" s="945"/>
      <c r="P290" s="945"/>
    </row>
    <row r="291" spans="1:16" ht="19.5">
      <c r="A291" s="949"/>
      <c r="B291" s="950"/>
      <c r="C291" s="950"/>
      <c r="D291" s="957"/>
      <c r="E291" s="961" t="s">
        <v>133</v>
      </c>
      <c r="F291" s="957"/>
      <c r="G291" s="958"/>
      <c r="H291" s="730" t="s">
        <v>35</v>
      </c>
      <c r="I291" s="944">
        <f ca="1">IFERROR(__xludf.DUMMYFUNCTION("IMPORTRANGE(""https://docs.google.com/spreadsheets/d/1QqKyyYR6Q21VydFLVH3TRQUabQu_ym0Zz7PgGX0-kHA/edit?usp=sharing"",""แผน!EB16"")"),30)</f>
        <v>30</v>
      </c>
      <c r="J291" s="959">
        <v>30</v>
      </c>
      <c r="K291" s="945">
        <f t="shared" ca="1" si="132"/>
        <v>100</v>
      </c>
      <c r="L291" s="945"/>
      <c r="M291" s="945"/>
      <c r="N291" s="945"/>
      <c r="O291" s="945"/>
      <c r="P291" s="945"/>
    </row>
    <row r="292" spans="1:16" ht="19.5">
      <c r="A292" s="1112"/>
      <c r="B292" s="1113"/>
      <c r="C292" s="1113"/>
      <c r="D292" s="1114"/>
      <c r="E292" s="1115" t="s">
        <v>134</v>
      </c>
      <c r="F292" s="1034"/>
      <c r="G292" s="1035"/>
      <c r="H292" s="387"/>
      <c r="I292" s="1028"/>
      <c r="J292" s="937"/>
      <c r="K292" s="1029"/>
      <c r="L292" s="1029"/>
      <c r="M292" s="1029"/>
      <c r="N292" s="1029"/>
      <c r="O292" s="1029"/>
      <c r="P292" s="1029"/>
    </row>
    <row r="293" spans="1:16" ht="19.5">
      <c r="A293" s="949"/>
      <c r="B293" s="950"/>
      <c r="C293" s="950"/>
      <c r="D293" s="1110"/>
      <c r="E293" s="961" t="s">
        <v>132</v>
      </c>
      <c r="F293" s="957"/>
      <c r="G293" s="958"/>
      <c r="H293" s="730" t="s">
        <v>35</v>
      </c>
      <c r="I293" s="944">
        <f ca="1">IFERROR(__xludf.DUMMYFUNCTION("IMPORTRANGE(""https://docs.google.com/spreadsheets/d/1QqKyyYR6Q21VydFLVH3TRQUabQu_ym0Zz7PgGX0-kHA/edit?usp=sharing"",""แผน!EB16"")"),30)</f>
        <v>30</v>
      </c>
      <c r="J293" s="959">
        <v>0</v>
      </c>
      <c r="K293" s="945">
        <f t="shared" ref="K293:K294" ca="1" si="133">IF(I293&gt;0,J293*100/I293,0)</f>
        <v>0</v>
      </c>
      <c r="L293" s="945"/>
      <c r="M293" s="945"/>
      <c r="N293" s="945"/>
      <c r="O293" s="945"/>
      <c r="P293" s="945"/>
    </row>
    <row r="294" spans="1:16" ht="19.5">
      <c r="A294" s="1080"/>
      <c r="B294" s="1081"/>
      <c r="C294" s="1081"/>
      <c r="D294" s="1083"/>
      <c r="E294" s="1116" t="s">
        <v>136</v>
      </c>
      <c r="F294" s="1083"/>
      <c r="G294" s="1084"/>
      <c r="H294" s="391" t="s">
        <v>35</v>
      </c>
      <c r="I294" s="1117">
        <f ca="1">IFERROR(__xludf.DUMMYFUNCTION("IMPORTRANGE(""https://docs.google.com/spreadsheets/d/1QqKyyYR6Q21VydFLVH3TRQUabQu_ym0Zz7PgGX0-kHA/edit?usp=sharing"",""แผน!EB16"")"),30)</f>
        <v>30</v>
      </c>
      <c r="J294" s="1118">
        <v>0</v>
      </c>
      <c r="K294" s="1086">
        <f t="shared" ca="1" si="133"/>
        <v>0</v>
      </c>
      <c r="L294" s="1086"/>
      <c r="M294" s="1086"/>
      <c r="N294" s="1086"/>
      <c r="O294" s="1086"/>
      <c r="P294" s="1086"/>
    </row>
    <row r="295" spans="1:16" ht="19.5">
      <c r="A295" s="1119" t="s">
        <v>137</v>
      </c>
      <c r="B295" s="1120"/>
      <c r="C295" s="1120"/>
      <c r="D295" s="1120"/>
      <c r="E295" s="1121"/>
      <c r="F295" s="1121"/>
      <c r="G295" s="1122"/>
      <c r="H295" s="1123"/>
      <c r="I295" s="1124"/>
      <c r="J295" s="1124"/>
      <c r="K295" s="1125"/>
      <c r="L295" s="1125"/>
      <c r="M295" s="1125"/>
      <c r="N295" s="1125"/>
      <c r="O295" s="1125"/>
      <c r="P295" s="1125"/>
    </row>
    <row r="296" spans="1:16" ht="19.5">
      <c r="A296" s="1126" t="s">
        <v>138</v>
      </c>
      <c r="B296" s="1127"/>
      <c r="C296" s="1127"/>
      <c r="D296" s="1128"/>
      <c r="E296" s="1128"/>
      <c r="F296" s="1128"/>
      <c r="G296" s="1129"/>
      <c r="H296" s="1130"/>
      <c r="I296" s="1131"/>
      <c r="J296" s="1131"/>
      <c r="K296" s="1132"/>
      <c r="L296" s="1132"/>
      <c r="M296" s="1132"/>
      <c r="N296" s="1132"/>
      <c r="O296" s="1132"/>
      <c r="P296" s="1132"/>
    </row>
    <row r="297" spans="1:16" ht="19.5">
      <c r="A297" s="1133"/>
      <c r="B297" s="1134" t="s">
        <v>139</v>
      </c>
      <c r="C297" s="1135"/>
      <c r="D297" s="1135"/>
      <c r="E297" s="1135"/>
      <c r="F297" s="1135"/>
      <c r="G297" s="1136"/>
      <c r="H297" s="412" t="s">
        <v>35</v>
      </c>
      <c r="I297" s="1137">
        <f t="shared" ref="I297:J297" ca="1" si="134">I309</f>
        <v>20</v>
      </c>
      <c r="J297" s="1137">
        <f t="shared" si="134"/>
        <v>20</v>
      </c>
      <c r="K297" s="1138">
        <f ca="1">IF(I297&gt;0,J297*100/I297,0)</f>
        <v>100</v>
      </c>
      <c r="L297" s="1139"/>
      <c r="M297" s="1139"/>
      <c r="N297" s="1139"/>
      <c r="O297" s="1139"/>
      <c r="P297" s="1139"/>
    </row>
    <row r="298" spans="1:16" ht="19.5">
      <c r="A298" s="932"/>
      <c r="B298" s="933"/>
      <c r="C298" s="934" t="s">
        <v>16</v>
      </c>
      <c r="D298" s="935" t="s">
        <v>17</v>
      </c>
      <c r="E298" s="933"/>
      <c r="F298" s="933"/>
      <c r="G298" s="936"/>
      <c r="H298" s="152" t="s">
        <v>12</v>
      </c>
      <c r="I298" s="937"/>
      <c r="J298" s="937"/>
      <c r="K298" s="938"/>
      <c r="L298" s="939">
        <f t="shared" ref="L298:N298" ca="1" si="135">L299+L300</f>
        <v>225400</v>
      </c>
      <c r="M298" s="939">
        <f t="shared" ca="1" si="135"/>
        <v>168400</v>
      </c>
      <c r="N298" s="939">
        <f t="shared" ca="1" si="135"/>
        <v>111442.45</v>
      </c>
      <c r="O298" s="939">
        <f t="shared" ref="O298:O306" ca="1" si="136">IF(L298&gt;0,N298*100/L298,0)</f>
        <v>49.442080745341613</v>
      </c>
      <c r="P298" s="939">
        <f t="shared" ref="P298:P306" ca="1" si="137">IF(M298&gt;0,N298*100/M298,0)</f>
        <v>66.177226840855113</v>
      </c>
    </row>
    <row r="299" spans="1:16" ht="18.75" hidden="1">
      <c r="A299" s="940"/>
      <c r="B299" s="833"/>
      <c r="C299" s="833"/>
      <c r="D299" s="833"/>
      <c r="E299" s="834" t="s">
        <v>18</v>
      </c>
      <c r="F299" s="833"/>
      <c r="G299" s="941"/>
      <c r="H299" s="158" t="s">
        <v>12</v>
      </c>
      <c r="I299" s="836"/>
      <c r="J299" s="836"/>
      <c r="K299" s="837"/>
      <c r="L299" s="837">
        <f t="shared" ref="L299:N300" si="138">L302+L305</f>
        <v>0</v>
      </c>
      <c r="M299" s="837">
        <f t="shared" si="138"/>
        <v>0</v>
      </c>
      <c r="N299" s="837">
        <f t="shared" si="138"/>
        <v>0</v>
      </c>
      <c r="O299" s="837">
        <f t="shared" si="136"/>
        <v>0</v>
      </c>
      <c r="P299" s="837">
        <f t="shared" si="137"/>
        <v>0</v>
      </c>
    </row>
    <row r="300" spans="1:16" ht="18.75" hidden="1">
      <c r="A300" s="940"/>
      <c r="B300" s="833"/>
      <c r="C300" s="833"/>
      <c r="D300" s="833"/>
      <c r="E300" s="834" t="s">
        <v>19</v>
      </c>
      <c r="F300" s="833"/>
      <c r="G300" s="941"/>
      <c r="H300" s="158" t="s">
        <v>12</v>
      </c>
      <c r="I300" s="836"/>
      <c r="J300" s="836"/>
      <c r="K300" s="837"/>
      <c r="L300" s="837">
        <f t="shared" ca="1" si="138"/>
        <v>225400</v>
      </c>
      <c r="M300" s="837">
        <f t="shared" ca="1" si="138"/>
        <v>168400</v>
      </c>
      <c r="N300" s="837">
        <f t="shared" ca="1" si="138"/>
        <v>111442.45</v>
      </c>
      <c r="O300" s="837">
        <f t="shared" ca="1" si="136"/>
        <v>49.442080745341613</v>
      </c>
      <c r="P300" s="837">
        <f t="shared" ca="1" si="137"/>
        <v>66.177226840855113</v>
      </c>
    </row>
    <row r="301" spans="1:16" ht="18.75">
      <c r="A301" s="942"/>
      <c r="B301" s="827"/>
      <c r="C301" s="943"/>
      <c r="D301" s="828" t="s">
        <v>20</v>
      </c>
      <c r="E301" s="827"/>
      <c r="F301" s="827"/>
      <c r="G301" s="829"/>
      <c r="H301" s="778" t="s">
        <v>12</v>
      </c>
      <c r="I301" s="944"/>
      <c r="J301" s="944"/>
      <c r="K301" s="945"/>
      <c r="L301" s="831">
        <f t="shared" ref="L301:N301" ca="1" si="139">L302+L303</f>
        <v>225400</v>
      </c>
      <c r="M301" s="831">
        <f t="shared" ca="1" si="139"/>
        <v>168400</v>
      </c>
      <c r="N301" s="831">
        <f t="shared" ca="1" si="139"/>
        <v>111442.45</v>
      </c>
      <c r="O301" s="831">
        <f t="shared" ca="1" si="136"/>
        <v>49.442080745341613</v>
      </c>
      <c r="P301" s="831">
        <f t="shared" ca="1" si="137"/>
        <v>66.177226840855113</v>
      </c>
    </row>
    <row r="302" spans="1:16" ht="19.5" hidden="1">
      <c r="A302" s="940"/>
      <c r="B302" s="833"/>
      <c r="C302" s="946"/>
      <c r="D302" s="833"/>
      <c r="E302" s="834" t="s">
        <v>36</v>
      </c>
      <c r="F302" s="833"/>
      <c r="G302" s="941"/>
      <c r="H302" s="165" t="s">
        <v>12</v>
      </c>
      <c r="I302" s="947"/>
      <c r="J302" s="947"/>
      <c r="K302" s="948"/>
      <c r="L302" s="837">
        <v>0</v>
      </c>
      <c r="M302" s="837">
        <v>0</v>
      </c>
      <c r="N302" s="837">
        <v>0</v>
      </c>
      <c r="O302" s="837">
        <f t="shared" si="136"/>
        <v>0</v>
      </c>
      <c r="P302" s="837">
        <f t="shared" si="137"/>
        <v>0</v>
      </c>
    </row>
    <row r="303" spans="1:16" ht="19.5" hidden="1">
      <c r="A303" s="940"/>
      <c r="B303" s="833"/>
      <c r="C303" s="946"/>
      <c r="D303" s="833"/>
      <c r="E303" s="834" t="s">
        <v>37</v>
      </c>
      <c r="F303" s="833"/>
      <c r="G303" s="941"/>
      <c r="H303" s="165" t="s">
        <v>12</v>
      </c>
      <c r="I303" s="947"/>
      <c r="J303" s="947"/>
      <c r="K303" s="948"/>
      <c r="L303" s="837">
        <f ca="1">IFERROR(__xludf.DUMMYFUNCTION("IMPORTRANGE(""https://docs.google.com/spreadsheets/d/1MeEWN-I1oV_STSDYn1IFDPWt_1FKiwhDph83XaGc0o0/edit?usp=sharing"",""งบพรบ!DS16"")"),225400)</f>
        <v>225400</v>
      </c>
      <c r="M303" s="837">
        <f ca="1">IFERROR(__xludf.DUMMYFUNCTION("IMPORTRANGE(""https://docs.google.com/spreadsheets/d/1MeEWN-I1oV_STSDYn1IFDPWt_1FKiwhDph83XaGc0o0/edit?usp=sharing"",""งบพรบ!DX16"")"),168400)</f>
        <v>168400</v>
      </c>
      <c r="N303" s="837">
        <f ca="1">IFERROR(__xludf.DUMMYFUNCTION("IMPORTRANGE(""https://docs.google.com/spreadsheets/d/1MeEWN-I1oV_STSDYn1IFDPWt_1FKiwhDph83XaGc0o0/edit?usp=sharing"",""งบพรบ!DZ16"")"),111442.45)</f>
        <v>111442.45</v>
      </c>
      <c r="O303" s="837">
        <f t="shared" ca="1" si="136"/>
        <v>49.442080745341613</v>
      </c>
      <c r="P303" s="837">
        <f t="shared" ca="1" si="137"/>
        <v>66.177226840855113</v>
      </c>
    </row>
    <row r="304" spans="1:16" ht="18.75">
      <c r="A304" s="942"/>
      <c r="B304" s="827"/>
      <c r="C304" s="943"/>
      <c r="D304" s="828" t="s">
        <v>21</v>
      </c>
      <c r="E304" s="827"/>
      <c r="F304" s="827"/>
      <c r="G304" s="829"/>
      <c r="H304" s="168" t="s">
        <v>12</v>
      </c>
      <c r="I304" s="944"/>
      <c r="J304" s="944"/>
      <c r="K304" s="945"/>
      <c r="L304" s="831">
        <f t="shared" ref="L304:N304" ca="1" si="140">L305+L306</f>
        <v>0</v>
      </c>
      <c r="M304" s="831">
        <f t="shared" ca="1" si="140"/>
        <v>0</v>
      </c>
      <c r="N304" s="831">
        <f t="shared" ca="1" si="140"/>
        <v>0</v>
      </c>
      <c r="O304" s="831">
        <f t="shared" ca="1" si="136"/>
        <v>0</v>
      </c>
      <c r="P304" s="831">
        <f t="shared" ca="1" si="137"/>
        <v>0</v>
      </c>
    </row>
    <row r="305" spans="1:16" ht="19.5" hidden="1">
      <c r="A305" s="940"/>
      <c r="B305" s="833"/>
      <c r="C305" s="946"/>
      <c r="D305" s="833"/>
      <c r="E305" s="834" t="s">
        <v>18</v>
      </c>
      <c r="F305" s="833"/>
      <c r="G305" s="941"/>
      <c r="H305" s="165" t="s">
        <v>12</v>
      </c>
      <c r="I305" s="947"/>
      <c r="J305" s="947"/>
      <c r="K305" s="948"/>
      <c r="L305" s="837">
        <v>0</v>
      </c>
      <c r="M305" s="837">
        <v>0</v>
      </c>
      <c r="N305" s="837">
        <v>0</v>
      </c>
      <c r="O305" s="837">
        <f t="shared" si="136"/>
        <v>0</v>
      </c>
      <c r="P305" s="837">
        <f t="shared" si="137"/>
        <v>0</v>
      </c>
    </row>
    <row r="306" spans="1:16" ht="19.5" hidden="1">
      <c r="A306" s="940"/>
      <c r="B306" s="833"/>
      <c r="C306" s="946"/>
      <c r="D306" s="833"/>
      <c r="E306" s="834" t="s">
        <v>19</v>
      </c>
      <c r="F306" s="833"/>
      <c r="G306" s="941"/>
      <c r="H306" s="169" t="s">
        <v>12</v>
      </c>
      <c r="I306" s="947"/>
      <c r="J306" s="947"/>
      <c r="K306" s="948"/>
      <c r="L306" s="837">
        <f ca="1">IFERROR(__xludf.DUMMYFUNCTION("IMPORTRANGE(""https://docs.google.com/spreadsheets/d/1MeEWN-I1oV_STSDYn1IFDPWt_1FKiwhDph83XaGc0o0/edit?usp=sharing"",""งบพรบ!DV16"")"),0)</f>
        <v>0</v>
      </c>
      <c r="M306" s="837">
        <f ca="1">IFERROR(__xludf.DUMMYFUNCTION("IMPORTRANGE(""https://docs.google.com/spreadsheets/d/1MeEWN-I1oV_STSDYn1IFDPWt_1FKiwhDph83XaGc0o0/edit?usp=sharing"",""งบพรบ!DY16"")"),0)</f>
        <v>0</v>
      </c>
      <c r="N306" s="837">
        <f ca="1">IFERROR(__xludf.DUMMYFUNCTION("IMPORTRANGE(""https://docs.google.com/spreadsheets/d/1MeEWN-I1oV_STSDYn1IFDPWt_1FKiwhDph83XaGc0o0/edit?usp=sharing"",""งบพรบ!EA16"")"),0)</f>
        <v>0</v>
      </c>
      <c r="O306" s="837">
        <f t="shared" ca="1" si="136"/>
        <v>0</v>
      </c>
      <c r="P306" s="837">
        <f t="shared" ca="1" si="137"/>
        <v>0</v>
      </c>
    </row>
    <row r="307" spans="1:16" ht="19.5">
      <c r="A307" s="949"/>
      <c r="B307" s="950"/>
      <c r="C307" s="946" t="s">
        <v>16</v>
      </c>
      <c r="D307" s="951" t="s">
        <v>38</v>
      </c>
      <c r="E307" s="952"/>
      <c r="F307" s="952"/>
      <c r="G307" s="953"/>
      <c r="H307" s="954"/>
      <c r="I307" s="830"/>
      <c r="J307" s="830"/>
      <c r="K307" s="831"/>
      <c r="L307" s="831"/>
      <c r="M307" s="831"/>
      <c r="N307" s="831"/>
      <c r="O307" s="831"/>
      <c r="P307" s="831"/>
    </row>
    <row r="308" spans="1:16" ht="18.75">
      <c r="A308" s="949"/>
      <c r="B308" s="950"/>
      <c r="C308" s="950"/>
      <c r="D308" s="956" t="s">
        <v>140</v>
      </c>
      <c r="E308" s="956"/>
      <c r="F308" s="956"/>
      <c r="G308" s="958"/>
      <c r="H308" s="730"/>
      <c r="I308" s="830"/>
      <c r="J308" s="959">
        <v>1</v>
      </c>
      <c r="K308" s="831"/>
      <c r="L308" s="831"/>
      <c r="M308" s="831"/>
      <c r="N308" s="831"/>
      <c r="O308" s="831"/>
      <c r="P308" s="831"/>
    </row>
    <row r="309" spans="1:16" ht="18.75">
      <c r="A309" s="949"/>
      <c r="B309" s="950"/>
      <c r="C309" s="950"/>
      <c r="D309" s="956" t="s">
        <v>141</v>
      </c>
      <c r="E309" s="956"/>
      <c r="F309" s="956"/>
      <c r="G309" s="958"/>
      <c r="H309" s="730" t="s">
        <v>35</v>
      </c>
      <c r="I309" s="830">
        <f ca="1">IFERROR(__xludf.DUMMYFUNCTION("IMPORTRANGE(""https://docs.google.com/spreadsheets/d/1QqKyyYR6Q21VydFLVH3TRQUabQu_ym0Zz7PgGX0-kHA/edit?usp=sharing"",""แผน!ED16"")"),20)</f>
        <v>20</v>
      </c>
      <c r="J309" s="959">
        <v>20</v>
      </c>
      <c r="K309" s="831">
        <f t="shared" ref="K309:K312" ca="1" si="141">IF(I309&gt;0,J309*100/I309,0)</f>
        <v>100</v>
      </c>
      <c r="L309" s="831"/>
      <c r="M309" s="831"/>
      <c r="N309" s="831"/>
      <c r="O309" s="831"/>
      <c r="P309" s="831"/>
    </row>
    <row r="310" spans="1:16" ht="18.75">
      <c r="A310" s="949"/>
      <c r="B310" s="950"/>
      <c r="C310" s="950"/>
      <c r="D310" s="956" t="s">
        <v>142</v>
      </c>
      <c r="E310" s="956"/>
      <c r="F310" s="956"/>
      <c r="G310" s="958"/>
      <c r="H310" s="730" t="s">
        <v>35</v>
      </c>
      <c r="I310" s="830">
        <f ca="1">IFERROR(__xludf.DUMMYFUNCTION("IMPORTRANGE(""https://docs.google.com/spreadsheets/d/1QqKyyYR6Q21VydFLVH3TRQUabQu_ym0Zz7PgGX0-kHA/edit?usp=sharing"",""แผน!ED16"")"),20)</f>
        <v>20</v>
      </c>
      <c r="J310" s="959">
        <v>20</v>
      </c>
      <c r="K310" s="831">
        <f t="shared" ca="1" si="141"/>
        <v>100</v>
      </c>
      <c r="L310" s="831"/>
      <c r="M310" s="831"/>
      <c r="N310" s="831"/>
      <c r="O310" s="831"/>
      <c r="P310" s="831"/>
    </row>
    <row r="311" spans="1:16" ht="18.75">
      <c r="A311" s="949"/>
      <c r="B311" s="950"/>
      <c r="C311" s="950"/>
      <c r="D311" s="956" t="s">
        <v>59</v>
      </c>
      <c r="E311" s="956"/>
      <c r="F311" s="956"/>
      <c r="G311" s="958"/>
      <c r="H311" s="730" t="s">
        <v>35</v>
      </c>
      <c r="I311" s="830">
        <f ca="1">IFERROR(__xludf.DUMMYFUNCTION("IMPORTRANGE(""https://docs.google.com/spreadsheets/d/1QqKyyYR6Q21VydFLVH3TRQUabQu_ym0Zz7PgGX0-kHA/edit?usp=sharing"",""แผน!ED16"")"),20)</f>
        <v>20</v>
      </c>
      <c r="J311" s="959">
        <v>0</v>
      </c>
      <c r="K311" s="831">
        <f t="shared" ca="1" si="141"/>
        <v>0</v>
      </c>
      <c r="L311" s="831"/>
      <c r="M311" s="831"/>
      <c r="N311" s="831"/>
      <c r="O311" s="831"/>
      <c r="P311" s="831"/>
    </row>
    <row r="312" spans="1:16" ht="18.75">
      <c r="A312" s="949"/>
      <c r="B312" s="950"/>
      <c r="C312" s="950"/>
      <c r="D312" s="956" t="s">
        <v>143</v>
      </c>
      <c r="E312" s="956"/>
      <c r="F312" s="956"/>
      <c r="G312" s="958"/>
      <c r="H312" s="730" t="s">
        <v>35</v>
      </c>
      <c r="I312" s="830">
        <f ca="1">IFERROR(__xludf.DUMMYFUNCTION("IMPORTRANGE(""https://docs.google.com/spreadsheets/d/1QqKyyYR6Q21VydFLVH3TRQUabQu_ym0Zz7PgGX0-kHA/edit?usp=sharing"",""แผน!EE16"")"),4)</f>
        <v>4</v>
      </c>
      <c r="J312" s="959">
        <v>0</v>
      </c>
      <c r="K312" s="831">
        <f t="shared" ca="1" si="141"/>
        <v>0</v>
      </c>
      <c r="L312" s="831"/>
      <c r="M312" s="831"/>
      <c r="N312" s="831"/>
      <c r="O312" s="831"/>
      <c r="P312" s="831"/>
    </row>
    <row r="313" spans="1:16" ht="19.5">
      <c r="A313" s="1126" t="s">
        <v>144</v>
      </c>
      <c r="B313" s="1127"/>
      <c r="C313" s="1127"/>
      <c r="D313" s="1128"/>
      <c r="E313" s="1127"/>
      <c r="F313" s="1127"/>
      <c r="G313" s="1127"/>
      <c r="H313" s="1140"/>
      <c r="I313" s="1131"/>
      <c r="J313" s="1131"/>
      <c r="K313" s="1132"/>
      <c r="L313" s="1132"/>
      <c r="M313" s="1132"/>
      <c r="N313" s="1132"/>
      <c r="O313" s="1132"/>
      <c r="P313" s="1132"/>
    </row>
    <row r="314" spans="1:16" ht="19.5">
      <c r="A314" s="1141"/>
      <c r="B314" s="1134" t="s">
        <v>145</v>
      </c>
      <c r="C314" s="1142"/>
      <c r="D314" s="1143"/>
      <c r="E314" s="1135"/>
      <c r="F314" s="1135"/>
      <c r="G314" s="1136"/>
      <c r="H314" s="412" t="s">
        <v>146</v>
      </c>
      <c r="I314" s="1137">
        <f t="shared" ref="I314:J314" ca="1" si="142">I325</f>
        <v>1</v>
      </c>
      <c r="J314" s="1137">
        <f t="shared" si="142"/>
        <v>0</v>
      </c>
      <c r="K314" s="1138">
        <f ca="1">IF(I314&gt;0,J314*100/I314,0)</f>
        <v>0</v>
      </c>
      <c r="L314" s="1139"/>
      <c r="M314" s="1139"/>
      <c r="N314" s="1139"/>
      <c r="O314" s="1139"/>
      <c r="P314" s="1139"/>
    </row>
    <row r="315" spans="1:16" ht="19.5">
      <c r="A315" s="932"/>
      <c r="B315" s="933"/>
      <c r="C315" s="934" t="s">
        <v>16</v>
      </c>
      <c r="D315" s="935" t="s">
        <v>17</v>
      </c>
      <c r="E315" s="933"/>
      <c r="F315" s="933"/>
      <c r="G315" s="936"/>
      <c r="H315" s="152" t="s">
        <v>12</v>
      </c>
      <c r="I315" s="937"/>
      <c r="J315" s="937"/>
      <c r="K315" s="938"/>
      <c r="L315" s="939">
        <f t="shared" ref="L315:N315" ca="1" si="143">L316+L317</f>
        <v>10000</v>
      </c>
      <c r="M315" s="939">
        <f t="shared" ca="1" si="143"/>
        <v>10000</v>
      </c>
      <c r="N315" s="939">
        <f t="shared" ca="1" si="143"/>
        <v>7340</v>
      </c>
      <c r="O315" s="939">
        <f t="shared" ref="O315:O323" ca="1" si="144">IF(L315&gt;0,N315*100/L315,0)</f>
        <v>73.400000000000006</v>
      </c>
      <c r="P315" s="939">
        <f t="shared" ref="P315:P323" ca="1" si="145">IF(M315&gt;0,N315*100/M315,0)</f>
        <v>73.400000000000006</v>
      </c>
    </row>
    <row r="316" spans="1:16" ht="18.75" hidden="1">
      <c r="A316" s="940"/>
      <c r="B316" s="833"/>
      <c r="C316" s="833"/>
      <c r="D316" s="833"/>
      <c r="E316" s="834" t="s">
        <v>18</v>
      </c>
      <c r="F316" s="833"/>
      <c r="G316" s="941"/>
      <c r="H316" s="158" t="s">
        <v>12</v>
      </c>
      <c r="I316" s="836"/>
      <c r="J316" s="836"/>
      <c r="K316" s="837"/>
      <c r="L316" s="837">
        <f t="shared" ref="L316:N317" si="146">L319+L322</f>
        <v>0</v>
      </c>
      <c r="M316" s="837">
        <f t="shared" si="146"/>
        <v>0</v>
      </c>
      <c r="N316" s="837">
        <f t="shared" si="146"/>
        <v>0</v>
      </c>
      <c r="O316" s="837">
        <f t="shared" si="144"/>
        <v>0</v>
      </c>
      <c r="P316" s="837">
        <f t="shared" si="145"/>
        <v>0</v>
      </c>
    </row>
    <row r="317" spans="1:16" ht="18.75" hidden="1">
      <c r="A317" s="940"/>
      <c r="B317" s="833"/>
      <c r="C317" s="833"/>
      <c r="D317" s="833"/>
      <c r="E317" s="834" t="s">
        <v>19</v>
      </c>
      <c r="F317" s="833"/>
      <c r="G317" s="941"/>
      <c r="H317" s="158" t="s">
        <v>12</v>
      </c>
      <c r="I317" s="836"/>
      <c r="J317" s="836"/>
      <c r="K317" s="837"/>
      <c r="L317" s="837">
        <f t="shared" ca="1" si="146"/>
        <v>10000</v>
      </c>
      <c r="M317" s="837">
        <f t="shared" ca="1" si="146"/>
        <v>10000</v>
      </c>
      <c r="N317" s="837">
        <f t="shared" ca="1" si="146"/>
        <v>7340</v>
      </c>
      <c r="O317" s="837">
        <f t="shared" ca="1" si="144"/>
        <v>73.400000000000006</v>
      </c>
      <c r="P317" s="837">
        <f t="shared" ca="1" si="145"/>
        <v>73.400000000000006</v>
      </c>
    </row>
    <row r="318" spans="1:16" ht="18.75">
      <c r="A318" s="942"/>
      <c r="B318" s="827"/>
      <c r="C318" s="943"/>
      <c r="D318" s="828" t="s">
        <v>20</v>
      </c>
      <c r="E318" s="827"/>
      <c r="F318" s="827"/>
      <c r="G318" s="829"/>
      <c r="H318" s="778" t="s">
        <v>12</v>
      </c>
      <c r="I318" s="944"/>
      <c r="J318" s="944"/>
      <c r="K318" s="945"/>
      <c r="L318" s="831">
        <f t="shared" ref="L318:N318" ca="1" si="147">L319+L320</f>
        <v>10000</v>
      </c>
      <c r="M318" s="831">
        <f t="shared" ca="1" si="147"/>
        <v>10000</v>
      </c>
      <c r="N318" s="831">
        <f t="shared" ca="1" si="147"/>
        <v>7340</v>
      </c>
      <c r="O318" s="831">
        <f t="shared" ca="1" si="144"/>
        <v>73.400000000000006</v>
      </c>
      <c r="P318" s="831">
        <f t="shared" ca="1" si="145"/>
        <v>73.400000000000006</v>
      </c>
    </row>
    <row r="319" spans="1:16" ht="19.5" hidden="1">
      <c r="A319" s="940"/>
      <c r="B319" s="833"/>
      <c r="C319" s="946"/>
      <c r="D319" s="833"/>
      <c r="E319" s="834" t="s">
        <v>36</v>
      </c>
      <c r="F319" s="833"/>
      <c r="G319" s="941"/>
      <c r="H319" s="165" t="s">
        <v>12</v>
      </c>
      <c r="I319" s="947"/>
      <c r="J319" s="947"/>
      <c r="K319" s="948"/>
      <c r="L319" s="837">
        <v>0</v>
      </c>
      <c r="M319" s="837">
        <v>0</v>
      </c>
      <c r="N319" s="837">
        <v>0</v>
      </c>
      <c r="O319" s="837">
        <f t="shared" si="144"/>
        <v>0</v>
      </c>
      <c r="P319" s="837">
        <f t="shared" si="145"/>
        <v>0</v>
      </c>
    </row>
    <row r="320" spans="1:16" ht="19.5" hidden="1">
      <c r="A320" s="940"/>
      <c r="B320" s="833"/>
      <c r="C320" s="946"/>
      <c r="D320" s="833"/>
      <c r="E320" s="834" t="s">
        <v>37</v>
      </c>
      <c r="F320" s="833"/>
      <c r="G320" s="941"/>
      <c r="H320" s="165" t="s">
        <v>12</v>
      </c>
      <c r="I320" s="947"/>
      <c r="J320" s="947"/>
      <c r="K320" s="948"/>
      <c r="L320" s="837">
        <f ca="1">IFERROR(__xludf.DUMMYFUNCTION("IMPORTRANGE(""https://docs.google.com/spreadsheets/d/1MeEWN-I1oV_STSDYn1IFDPWt_1FKiwhDph83XaGc0o0/edit?usp=sharing"",""งบพรบ!EC16"")"),10000)</f>
        <v>10000</v>
      </c>
      <c r="M320" s="837">
        <f ca="1">IFERROR(__xludf.DUMMYFUNCTION("IMPORTRANGE(""https://docs.google.com/spreadsheets/d/1MeEWN-I1oV_STSDYn1IFDPWt_1FKiwhDph83XaGc0o0/edit?usp=sharing"",""งบพรบ!EH16"")"),10000)</f>
        <v>10000</v>
      </c>
      <c r="N320" s="837">
        <f ca="1">IFERROR(__xludf.DUMMYFUNCTION("IMPORTRANGE(""https://docs.google.com/spreadsheets/d/1MeEWN-I1oV_STSDYn1IFDPWt_1FKiwhDph83XaGc0o0/edit?usp=sharing"",""งบพรบ!EJ16"")"),7340)</f>
        <v>7340</v>
      </c>
      <c r="O320" s="837">
        <f t="shared" ca="1" si="144"/>
        <v>73.400000000000006</v>
      </c>
      <c r="P320" s="837">
        <f t="shared" ca="1" si="145"/>
        <v>73.400000000000006</v>
      </c>
    </row>
    <row r="321" spans="1:16" ht="18.75">
      <c r="A321" s="942"/>
      <c r="B321" s="827"/>
      <c r="C321" s="943"/>
      <c r="D321" s="828" t="s">
        <v>21</v>
      </c>
      <c r="E321" s="827"/>
      <c r="F321" s="827"/>
      <c r="G321" s="829"/>
      <c r="H321" s="168" t="s">
        <v>12</v>
      </c>
      <c r="I321" s="944"/>
      <c r="J321" s="944"/>
      <c r="K321" s="945"/>
      <c r="L321" s="831">
        <f t="shared" ref="L321:N321" ca="1" si="148">L322+L323</f>
        <v>0</v>
      </c>
      <c r="M321" s="831">
        <f t="shared" ca="1" si="148"/>
        <v>0</v>
      </c>
      <c r="N321" s="831">
        <f t="shared" ca="1" si="148"/>
        <v>0</v>
      </c>
      <c r="O321" s="831">
        <f t="shared" ca="1" si="144"/>
        <v>0</v>
      </c>
      <c r="P321" s="831">
        <f t="shared" ca="1" si="145"/>
        <v>0</v>
      </c>
    </row>
    <row r="322" spans="1:16" ht="19.5" hidden="1">
      <c r="A322" s="940"/>
      <c r="B322" s="833"/>
      <c r="C322" s="946"/>
      <c r="D322" s="833"/>
      <c r="E322" s="834" t="s">
        <v>18</v>
      </c>
      <c r="F322" s="833"/>
      <c r="G322" s="941"/>
      <c r="H322" s="165" t="s">
        <v>12</v>
      </c>
      <c r="I322" s="947"/>
      <c r="J322" s="947"/>
      <c r="K322" s="948"/>
      <c r="L322" s="837">
        <v>0</v>
      </c>
      <c r="M322" s="837">
        <v>0</v>
      </c>
      <c r="N322" s="837">
        <v>0</v>
      </c>
      <c r="O322" s="837">
        <f t="shared" si="144"/>
        <v>0</v>
      </c>
      <c r="P322" s="837">
        <f t="shared" si="145"/>
        <v>0</v>
      </c>
    </row>
    <row r="323" spans="1:16" ht="19.5" hidden="1">
      <c r="A323" s="940"/>
      <c r="B323" s="833"/>
      <c r="C323" s="946"/>
      <c r="D323" s="833"/>
      <c r="E323" s="834" t="s">
        <v>19</v>
      </c>
      <c r="F323" s="833"/>
      <c r="G323" s="941"/>
      <c r="H323" s="169" t="s">
        <v>12</v>
      </c>
      <c r="I323" s="947"/>
      <c r="J323" s="947"/>
      <c r="K323" s="948"/>
      <c r="L323" s="837">
        <f ca="1">IFERROR(__xludf.DUMMYFUNCTION("IMPORTRANGE(""https://docs.google.com/spreadsheets/d/1MeEWN-I1oV_STSDYn1IFDPWt_1FKiwhDph83XaGc0o0/edit?usp=sharing"",""งบพรบ!EF16"")"),0)</f>
        <v>0</v>
      </c>
      <c r="M323" s="837">
        <f ca="1">IFERROR(__xludf.DUMMYFUNCTION("IMPORTRANGE(""https://docs.google.com/spreadsheets/d/1MeEWN-I1oV_STSDYn1IFDPWt_1FKiwhDph83XaGc0o0/edit?usp=sharing"",""งบพรบ!EI16"")"),0)</f>
        <v>0</v>
      </c>
      <c r="N323" s="837">
        <f ca="1">IFERROR(__xludf.DUMMYFUNCTION("IMPORTRANGE(""https://docs.google.com/spreadsheets/d/1MeEWN-I1oV_STSDYn1IFDPWt_1FKiwhDph83XaGc0o0/edit?usp=sharing"",""งบพรบ!EK16"")"),0)</f>
        <v>0</v>
      </c>
      <c r="O323" s="837">
        <f t="shared" ca="1" si="144"/>
        <v>0</v>
      </c>
      <c r="P323" s="837">
        <f t="shared" ca="1" si="145"/>
        <v>0</v>
      </c>
    </row>
    <row r="324" spans="1:16" ht="19.5">
      <c r="A324" s="949"/>
      <c r="B324" s="950"/>
      <c r="C324" s="946" t="s">
        <v>16</v>
      </c>
      <c r="D324" s="951" t="s">
        <v>38</v>
      </c>
      <c r="E324" s="952"/>
      <c r="F324" s="952"/>
      <c r="G324" s="953"/>
      <c r="H324" s="954"/>
      <c r="I324" s="944"/>
      <c r="J324" s="830"/>
      <c r="K324" s="831"/>
      <c r="L324" s="831"/>
      <c r="M324" s="831"/>
      <c r="N324" s="831"/>
      <c r="O324" s="945"/>
      <c r="P324" s="945"/>
    </row>
    <row r="325" spans="1:16" ht="18.75">
      <c r="A325" s="949"/>
      <c r="B325" s="950"/>
      <c r="C325" s="950"/>
      <c r="D325" s="955" t="s">
        <v>147</v>
      </c>
      <c r="E325" s="957"/>
      <c r="F325" s="956"/>
      <c r="G325" s="958"/>
      <c r="H325" s="590" t="s">
        <v>146</v>
      </c>
      <c r="I325" s="830">
        <f ca="1">IFERROR(__xludf.DUMMYFUNCTION("IMPORTRANGE(""https://docs.google.com/spreadsheets/d/1QqKyyYR6Q21VydFLVH3TRQUabQu_ym0Zz7PgGX0-kHA/edit?usp=sharing"",""แผน!EF16"")"),1)</f>
        <v>1</v>
      </c>
      <c r="J325" s="959">
        <v>0</v>
      </c>
      <c r="K325" s="831">
        <f ca="1">IF(I325&gt;0,J325*100/I325,0)</f>
        <v>0</v>
      </c>
      <c r="L325" s="831"/>
      <c r="M325" s="831"/>
      <c r="N325" s="831"/>
      <c r="O325" s="945"/>
      <c r="P325" s="945"/>
    </row>
    <row r="326" spans="1:16" ht="19.5">
      <c r="A326" s="1126" t="s">
        <v>148</v>
      </c>
      <c r="B326" s="1127"/>
      <c r="C326" s="1127"/>
      <c r="D326" s="1128"/>
      <c r="E326" s="1127"/>
      <c r="F326" s="1127"/>
      <c r="G326" s="1127"/>
      <c r="H326" s="1140"/>
      <c r="I326" s="1131"/>
      <c r="J326" s="1131"/>
      <c r="K326" s="1132"/>
      <c r="L326" s="1132"/>
      <c r="M326" s="1132"/>
      <c r="N326" s="1132"/>
      <c r="O326" s="1132"/>
      <c r="P326" s="1132"/>
    </row>
    <row r="327" spans="1:16" ht="19.5">
      <c r="A327" s="1133"/>
      <c r="B327" s="1134" t="s">
        <v>149</v>
      </c>
      <c r="C327" s="1143"/>
      <c r="D327" s="1135"/>
      <c r="E327" s="1135"/>
      <c r="F327" s="1135"/>
      <c r="G327" s="1136"/>
      <c r="H327" s="412" t="s">
        <v>35</v>
      </c>
      <c r="I327" s="1137">
        <f ca="1">IFERROR(__xludf.DUMMYFUNCTION("IMPORTRANGE(""https://docs.google.com/spreadsheets/d/1QqKyyYR6Q21VydFLVH3TRQUabQu_ym0Zz7PgGX0-kHA/edit?usp=sharing"",""แผน!EG16"")"),900)</f>
        <v>900</v>
      </c>
      <c r="J327" s="1137">
        <f ca="1">J338+J341+J342+J343</f>
        <v>974</v>
      </c>
      <c r="K327" s="1138">
        <f ca="1">IF(I327&gt;0,J327*100/I327,0)</f>
        <v>108.22222222222223</v>
      </c>
      <c r="L327" s="1139"/>
      <c r="M327" s="1139"/>
      <c r="N327" s="1139"/>
      <c r="O327" s="1139"/>
      <c r="P327" s="1139"/>
    </row>
    <row r="328" spans="1:16" ht="19.5">
      <c r="A328" s="932"/>
      <c r="B328" s="933"/>
      <c r="C328" s="934" t="s">
        <v>16</v>
      </c>
      <c r="D328" s="935" t="s">
        <v>17</v>
      </c>
      <c r="E328" s="933"/>
      <c r="F328" s="933"/>
      <c r="G328" s="936"/>
      <c r="H328" s="152" t="s">
        <v>12</v>
      </c>
      <c r="I328" s="937"/>
      <c r="J328" s="937"/>
      <c r="K328" s="938"/>
      <c r="L328" s="939">
        <f t="shared" ref="L328:N328" ca="1" si="149">L329+L330</f>
        <v>651800</v>
      </c>
      <c r="M328" s="939">
        <f t="shared" ca="1" si="149"/>
        <v>491350</v>
      </c>
      <c r="N328" s="939">
        <f t="shared" ca="1" si="149"/>
        <v>227990.65</v>
      </c>
      <c r="O328" s="939">
        <f t="shared" ref="O328:O336" ca="1" si="150">IF(L328&gt;0,N328*100/L328,0)</f>
        <v>34.978620742559066</v>
      </c>
      <c r="P328" s="939">
        <f t="shared" ref="P328:P336" ca="1" si="151">IF(M328&gt;0,N328*100/M328,0)</f>
        <v>46.400864963875037</v>
      </c>
    </row>
    <row r="329" spans="1:16" ht="18.75" hidden="1">
      <c r="A329" s="940"/>
      <c r="B329" s="833"/>
      <c r="C329" s="833"/>
      <c r="D329" s="833"/>
      <c r="E329" s="834" t="s">
        <v>18</v>
      </c>
      <c r="F329" s="833"/>
      <c r="G329" s="941"/>
      <c r="H329" s="158" t="s">
        <v>12</v>
      </c>
      <c r="I329" s="836"/>
      <c r="J329" s="836"/>
      <c r="K329" s="837"/>
      <c r="L329" s="837">
        <f t="shared" ref="L329:N330" si="152">L332+L335</f>
        <v>0</v>
      </c>
      <c r="M329" s="837">
        <f t="shared" si="152"/>
        <v>0</v>
      </c>
      <c r="N329" s="837">
        <f t="shared" si="152"/>
        <v>0</v>
      </c>
      <c r="O329" s="837">
        <f t="shared" si="150"/>
        <v>0</v>
      </c>
      <c r="P329" s="837">
        <f t="shared" si="151"/>
        <v>0</v>
      </c>
    </row>
    <row r="330" spans="1:16" ht="18.75" hidden="1">
      <c r="A330" s="940"/>
      <c r="B330" s="833"/>
      <c r="C330" s="833"/>
      <c r="D330" s="833"/>
      <c r="E330" s="834" t="s">
        <v>19</v>
      </c>
      <c r="F330" s="833"/>
      <c r="G330" s="941"/>
      <c r="H330" s="158" t="s">
        <v>12</v>
      </c>
      <c r="I330" s="836"/>
      <c r="J330" s="836"/>
      <c r="K330" s="837"/>
      <c r="L330" s="837">
        <f t="shared" ca="1" si="152"/>
        <v>651800</v>
      </c>
      <c r="M330" s="837">
        <f t="shared" ca="1" si="152"/>
        <v>491350</v>
      </c>
      <c r="N330" s="837">
        <f t="shared" ca="1" si="152"/>
        <v>227990.65</v>
      </c>
      <c r="O330" s="837">
        <f t="shared" ca="1" si="150"/>
        <v>34.978620742559066</v>
      </c>
      <c r="P330" s="837">
        <f t="shared" ca="1" si="151"/>
        <v>46.400864963875037</v>
      </c>
    </row>
    <row r="331" spans="1:16" ht="18.75">
      <c r="A331" s="942"/>
      <c r="B331" s="827"/>
      <c r="C331" s="943"/>
      <c r="D331" s="828" t="s">
        <v>20</v>
      </c>
      <c r="E331" s="827"/>
      <c r="F331" s="827"/>
      <c r="G331" s="829"/>
      <c r="H331" s="778" t="s">
        <v>12</v>
      </c>
      <c r="I331" s="944"/>
      <c r="J331" s="944"/>
      <c r="K331" s="945"/>
      <c r="L331" s="831">
        <f t="shared" ref="L331:N331" ca="1" si="153">L332+L333</f>
        <v>651800</v>
      </c>
      <c r="M331" s="831">
        <f t="shared" ca="1" si="153"/>
        <v>491350</v>
      </c>
      <c r="N331" s="831">
        <f t="shared" ca="1" si="153"/>
        <v>227990.65</v>
      </c>
      <c r="O331" s="831">
        <f t="shared" ca="1" si="150"/>
        <v>34.978620742559066</v>
      </c>
      <c r="P331" s="831">
        <f t="shared" ca="1" si="151"/>
        <v>46.400864963875037</v>
      </c>
    </row>
    <row r="332" spans="1:16" ht="19.5" hidden="1">
      <c r="A332" s="940"/>
      <c r="B332" s="833"/>
      <c r="C332" s="946"/>
      <c r="D332" s="833"/>
      <c r="E332" s="834" t="s">
        <v>36</v>
      </c>
      <c r="F332" s="833"/>
      <c r="G332" s="941"/>
      <c r="H332" s="165" t="s">
        <v>12</v>
      </c>
      <c r="I332" s="947"/>
      <c r="J332" s="947"/>
      <c r="K332" s="948"/>
      <c r="L332" s="837">
        <v>0</v>
      </c>
      <c r="M332" s="837">
        <v>0</v>
      </c>
      <c r="N332" s="837">
        <v>0</v>
      </c>
      <c r="O332" s="837">
        <f t="shared" si="150"/>
        <v>0</v>
      </c>
      <c r="P332" s="837">
        <f t="shared" si="151"/>
        <v>0</v>
      </c>
    </row>
    <row r="333" spans="1:16" ht="19.5" hidden="1">
      <c r="A333" s="940"/>
      <c r="B333" s="833"/>
      <c r="C333" s="946"/>
      <c r="D333" s="833"/>
      <c r="E333" s="834" t="s">
        <v>37</v>
      </c>
      <c r="F333" s="833"/>
      <c r="G333" s="941"/>
      <c r="H333" s="165" t="s">
        <v>12</v>
      </c>
      <c r="I333" s="947"/>
      <c r="J333" s="947"/>
      <c r="K333" s="948"/>
      <c r="L333" s="837">
        <f ca="1">IFERROR(__xludf.DUMMYFUNCTION("IMPORTRANGE(""https://docs.google.com/spreadsheets/d/1MeEWN-I1oV_STSDYn1IFDPWt_1FKiwhDph83XaGc0o0/edit?usp=sharing"",""งบพรบ!EM16"")"),651800)</f>
        <v>651800</v>
      </c>
      <c r="M333" s="837">
        <f ca="1">IFERROR(__xludf.DUMMYFUNCTION("IMPORTRANGE(""https://docs.google.com/spreadsheets/d/1MeEWN-I1oV_STSDYn1IFDPWt_1FKiwhDph83XaGc0o0/edit?usp=sharing"",""งบพรบ!ER16"")"),491350)</f>
        <v>491350</v>
      </c>
      <c r="N333" s="837">
        <f ca="1">IFERROR(__xludf.DUMMYFUNCTION("IMPORTRANGE(""https://docs.google.com/spreadsheets/d/1MeEWN-I1oV_STSDYn1IFDPWt_1FKiwhDph83XaGc0o0/edit?usp=sharing"",""งบพรบ!ET16"")"),227990.65)</f>
        <v>227990.65</v>
      </c>
      <c r="O333" s="837">
        <f t="shared" ca="1" si="150"/>
        <v>34.978620742559066</v>
      </c>
      <c r="P333" s="837">
        <f t="shared" ca="1" si="151"/>
        <v>46.400864963875037</v>
      </c>
    </row>
    <row r="334" spans="1:16" ht="18.75">
      <c r="A334" s="942"/>
      <c r="B334" s="827"/>
      <c r="C334" s="943"/>
      <c r="D334" s="828" t="s">
        <v>21</v>
      </c>
      <c r="E334" s="827"/>
      <c r="F334" s="827"/>
      <c r="G334" s="829"/>
      <c r="H334" s="168" t="s">
        <v>12</v>
      </c>
      <c r="I334" s="944"/>
      <c r="J334" s="944"/>
      <c r="K334" s="945"/>
      <c r="L334" s="831">
        <f t="shared" ref="L334:N334" ca="1" si="154">L335+L336</f>
        <v>0</v>
      </c>
      <c r="M334" s="831">
        <f t="shared" ca="1" si="154"/>
        <v>0</v>
      </c>
      <c r="N334" s="831">
        <f t="shared" ca="1" si="154"/>
        <v>0</v>
      </c>
      <c r="O334" s="831">
        <f t="shared" ca="1" si="150"/>
        <v>0</v>
      </c>
      <c r="P334" s="831">
        <f t="shared" ca="1" si="151"/>
        <v>0</v>
      </c>
    </row>
    <row r="335" spans="1:16" ht="19.5" hidden="1">
      <c r="A335" s="940"/>
      <c r="B335" s="833"/>
      <c r="C335" s="946"/>
      <c r="D335" s="833"/>
      <c r="E335" s="834" t="s">
        <v>18</v>
      </c>
      <c r="F335" s="833"/>
      <c r="G335" s="941"/>
      <c r="H335" s="165" t="s">
        <v>12</v>
      </c>
      <c r="I335" s="947"/>
      <c r="J335" s="947"/>
      <c r="K335" s="948"/>
      <c r="L335" s="837">
        <v>0</v>
      </c>
      <c r="M335" s="837">
        <v>0</v>
      </c>
      <c r="N335" s="837">
        <v>0</v>
      </c>
      <c r="O335" s="837">
        <f t="shared" si="150"/>
        <v>0</v>
      </c>
      <c r="P335" s="837">
        <f t="shared" si="151"/>
        <v>0</v>
      </c>
    </row>
    <row r="336" spans="1:16" ht="19.5" hidden="1">
      <c r="A336" s="940"/>
      <c r="B336" s="833"/>
      <c r="C336" s="946"/>
      <c r="D336" s="833"/>
      <c r="E336" s="834" t="s">
        <v>19</v>
      </c>
      <c r="F336" s="833"/>
      <c r="G336" s="941"/>
      <c r="H336" s="169" t="s">
        <v>12</v>
      </c>
      <c r="I336" s="947"/>
      <c r="J336" s="947"/>
      <c r="K336" s="948"/>
      <c r="L336" s="837">
        <f ca="1">IFERROR(__xludf.DUMMYFUNCTION("IMPORTRANGE(""https://docs.google.com/spreadsheets/d/1MeEWN-I1oV_STSDYn1IFDPWt_1FKiwhDph83XaGc0o0/edit?usp=sharing"",""งบพรบ!EP16"")"),0)</f>
        <v>0</v>
      </c>
      <c r="M336" s="837">
        <f ca="1">IFERROR(__xludf.DUMMYFUNCTION("IMPORTRANGE(""https://docs.google.com/spreadsheets/d/1MeEWN-I1oV_STSDYn1IFDPWt_1FKiwhDph83XaGc0o0/edit?usp=sharing"",""งบพรบ!ES16"")"),0)</f>
        <v>0</v>
      </c>
      <c r="N336" s="837">
        <f ca="1">IFERROR(__xludf.DUMMYFUNCTION("IMPORTRANGE(""https://docs.google.com/spreadsheets/d/1MeEWN-I1oV_STSDYn1IFDPWt_1FKiwhDph83XaGc0o0/edit?usp=sharing"",""งบพรบ!EU16"")"),0)</f>
        <v>0</v>
      </c>
      <c r="O336" s="837">
        <f t="shared" ca="1" si="150"/>
        <v>0</v>
      </c>
      <c r="P336" s="837">
        <f t="shared" ca="1" si="151"/>
        <v>0</v>
      </c>
    </row>
    <row r="337" spans="1:16" ht="19.5">
      <c r="A337" s="949"/>
      <c r="B337" s="950"/>
      <c r="C337" s="946" t="s">
        <v>16</v>
      </c>
      <c r="D337" s="951" t="s">
        <v>38</v>
      </c>
      <c r="E337" s="952"/>
      <c r="F337" s="952"/>
      <c r="G337" s="953"/>
      <c r="H337" s="954"/>
      <c r="I337" s="944"/>
      <c r="J337" s="830"/>
      <c r="K337" s="831"/>
      <c r="L337" s="831"/>
      <c r="M337" s="831"/>
      <c r="N337" s="831"/>
      <c r="O337" s="945"/>
      <c r="P337" s="945"/>
    </row>
    <row r="338" spans="1:16" ht="18.75">
      <c r="A338" s="1032"/>
      <c r="B338" s="827"/>
      <c r="C338" s="1030"/>
      <c r="D338" s="956" t="s">
        <v>150</v>
      </c>
      <c r="E338" s="950"/>
      <c r="F338" s="827"/>
      <c r="G338" s="829"/>
      <c r="H338" s="277" t="s">
        <v>35</v>
      </c>
      <c r="I338" s="830">
        <f ca="1">IFERROR(__xludf.DUMMYFUNCTION("IMPORTRANGE(""https://docs.google.com/spreadsheets/d/1QqKyyYR6Q21VydFLVH3TRQUabQu_ym0Zz7PgGX0-kHA/edit?usp=sharing"",""แผน!EG16"")"),900)</f>
        <v>900</v>
      </c>
      <c r="J338" s="830">
        <f ca="1">IFERROR(__xludf.DUMMYFUNCTION("IMPORTRANGE(""https://docs.google.com/spreadsheets/d/1kVcqe37tkHyjCSG3S0O1AXqVkqjo8mSIZil3BcpIysc/edit?usp=sharing"",""ศูนย์!D16"")"),798)</f>
        <v>798</v>
      </c>
      <c r="K338" s="831">
        <f ca="1">IF(I338&gt;0,J338*100/I338,0)</f>
        <v>88.666666666666671</v>
      </c>
      <c r="L338" s="831"/>
      <c r="M338" s="831"/>
      <c r="N338" s="831"/>
      <c r="O338" s="831"/>
      <c r="P338" s="831"/>
    </row>
    <row r="339" spans="1:16" ht="18.75">
      <c r="A339" s="1032"/>
      <c r="B339" s="827"/>
      <c r="C339" s="1030"/>
      <c r="D339" s="956" t="s">
        <v>151</v>
      </c>
      <c r="E339" s="950"/>
      <c r="F339" s="827"/>
      <c r="G339" s="829"/>
      <c r="H339" s="277"/>
      <c r="I339" s="830"/>
      <c r="J339" s="830"/>
      <c r="K339" s="831"/>
      <c r="L339" s="831"/>
      <c r="M339" s="831"/>
      <c r="N339" s="831"/>
      <c r="O339" s="831"/>
      <c r="P339" s="831"/>
    </row>
    <row r="340" spans="1:16" ht="18.75">
      <c r="A340" s="1032"/>
      <c r="B340" s="827"/>
      <c r="C340" s="1030"/>
      <c r="D340" s="957"/>
      <c r="E340" s="956" t="s">
        <v>152</v>
      </c>
      <c r="F340" s="827"/>
      <c r="G340" s="829"/>
      <c r="H340" s="277" t="s">
        <v>153</v>
      </c>
      <c r="I340" s="830">
        <f ca="1">IFERROR(__xludf.DUMMYFUNCTION("IMPORTRANGE(""https://docs.google.com/spreadsheets/d/1QqKyyYR6Q21VydFLVH3TRQUabQu_ym0Zz7PgGX0-kHA/edit?usp=sharing"",""แผน!EH16"")"),4)</f>
        <v>4</v>
      </c>
      <c r="J340" s="830">
        <f ca="1">IFERROR(__xludf.DUMMYFUNCTION("IMPORTRANGE(""https://docs.google.com/spreadsheets/d/1kVcqe37tkHyjCSG3S0O1AXqVkqjo8mSIZil3BcpIysc/edit?usp=sharing"",""ศูนย์!E16"")"),2)</f>
        <v>2</v>
      </c>
      <c r="K340" s="831">
        <f ca="1">IF(I340&gt;0,J340*100/I340,0)</f>
        <v>50</v>
      </c>
      <c r="L340" s="831"/>
      <c r="M340" s="831"/>
      <c r="N340" s="831"/>
      <c r="O340" s="831"/>
      <c r="P340" s="831"/>
    </row>
    <row r="341" spans="1:16" ht="18.75">
      <c r="A341" s="1032"/>
      <c r="B341" s="827"/>
      <c r="C341" s="1030"/>
      <c r="D341" s="957"/>
      <c r="E341" s="956" t="s">
        <v>154</v>
      </c>
      <c r="F341" s="827"/>
      <c r="G341" s="829"/>
      <c r="H341" s="277" t="s">
        <v>35</v>
      </c>
      <c r="I341" s="830"/>
      <c r="J341" s="830">
        <f ca="1">IFERROR(__xludf.DUMMYFUNCTION("IMPORTRANGE(""https://docs.google.com/spreadsheets/d/1kVcqe37tkHyjCSG3S0O1AXqVkqjo8mSIZil3BcpIysc/edit?usp=sharing"",""ศูนย์!F16"")"),144)</f>
        <v>144</v>
      </c>
      <c r="K341" s="831"/>
      <c r="L341" s="831"/>
      <c r="M341" s="831"/>
      <c r="N341" s="831"/>
      <c r="O341" s="831"/>
      <c r="P341" s="831"/>
    </row>
    <row r="342" spans="1:16" ht="18.75">
      <c r="A342" s="1032"/>
      <c r="B342" s="827"/>
      <c r="C342" s="1030"/>
      <c r="D342" s="956" t="s">
        <v>155</v>
      </c>
      <c r="E342" s="957"/>
      <c r="F342" s="957"/>
      <c r="G342" s="829"/>
      <c r="H342" s="277" t="s">
        <v>35</v>
      </c>
      <c r="I342" s="830"/>
      <c r="J342" s="830">
        <f ca="1">IFERROR(__xludf.DUMMYFUNCTION("IMPORTRANGE(""https://docs.google.com/spreadsheets/d/1kVcqe37tkHyjCSG3S0O1AXqVkqjo8mSIZil3BcpIysc/edit?usp=sharing"",""ศูนย์!G16"")"),0)</f>
        <v>0</v>
      </c>
      <c r="K342" s="831"/>
      <c r="L342" s="831"/>
      <c r="M342" s="831"/>
      <c r="N342" s="831"/>
      <c r="O342" s="831"/>
      <c r="P342" s="831"/>
    </row>
    <row r="343" spans="1:16" ht="18.75">
      <c r="A343" s="1032"/>
      <c r="B343" s="827"/>
      <c r="C343" s="1030"/>
      <c r="D343" s="956" t="s">
        <v>156</v>
      </c>
      <c r="E343" s="957"/>
      <c r="F343" s="957"/>
      <c r="G343" s="829"/>
      <c r="H343" s="277" t="s">
        <v>35</v>
      </c>
      <c r="I343" s="830"/>
      <c r="J343" s="830">
        <f ca="1">IFERROR(__xludf.DUMMYFUNCTION("IMPORTRANGE(""https://docs.google.com/spreadsheets/d/1kVcqe37tkHyjCSG3S0O1AXqVkqjo8mSIZil3BcpIysc/edit?usp=sharing"",""ศูนย์!H16"")"),32)</f>
        <v>32</v>
      </c>
      <c r="K343" s="831"/>
      <c r="L343" s="831"/>
      <c r="M343" s="831"/>
      <c r="N343" s="831"/>
      <c r="O343" s="831"/>
      <c r="P343" s="831"/>
    </row>
    <row r="344" spans="1:16" ht="19.5">
      <c r="A344" s="1133"/>
      <c r="B344" s="1134" t="s">
        <v>157</v>
      </c>
      <c r="C344" s="1143"/>
      <c r="D344" s="1135"/>
      <c r="E344" s="1135"/>
      <c r="F344" s="1135"/>
      <c r="G344" s="1136"/>
      <c r="H344" s="412"/>
      <c r="I344" s="1144"/>
      <c r="J344" s="1144"/>
      <c r="K344" s="1139"/>
      <c r="L344" s="1139"/>
      <c r="M344" s="1139"/>
      <c r="N344" s="1139"/>
      <c r="O344" s="1139"/>
      <c r="P344" s="1139"/>
    </row>
    <row r="345" spans="1:16" ht="19.5">
      <c r="A345" s="932"/>
      <c r="B345" s="933"/>
      <c r="C345" s="934" t="s">
        <v>16</v>
      </c>
      <c r="D345" s="935" t="s">
        <v>17</v>
      </c>
      <c r="E345" s="933"/>
      <c r="F345" s="933"/>
      <c r="G345" s="936"/>
      <c r="H345" s="152" t="s">
        <v>12</v>
      </c>
      <c r="I345" s="937"/>
      <c r="J345" s="937"/>
      <c r="K345" s="938"/>
      <c r="L345" s="939">
        <f t="shared" ref="L345:N345" ca="1" si="155">L346+L347</f>
        <v>422030</v>
      </c>
      <c r="M345" s="939">
        <f t="shared" ca="1" si="155"/>
        <v>341380</v>
      </c>
      <c r="N345" s="939">
        <f t="shared" ca="1" si="155"/>
        <v>160300</v>
      </c>
      <c r="O345" s="939">
        <f t="shared" ref="O345:O353" ca="1" si="156">IF(L345&gt;0,N345*100/L345,0)</f>
        <v>37.983081771438052</v>
      </c>
      <c r="P345" s="939">
        <f t="shared" ref="P345:P353" ca="1" si="157">IF(M345&gt;0,N345*100/M345,0)</f>
        <v>46.956470795008492</v>
      </c>
    </row>
    <row r="346" spans="1:16" ht="18.75" hidden="1">
      <c r="A346" s="940"/>
      <c r="B346" s="833"/>
      <c r="C346" s="833"/>
      <c r="D346" s="833"/>
      <c r="E346" s="834" t="s">
        <v>18</v>
      </c>
      <c r="F346" s="833"/>
      <c r="G346" s="941"/>
      <c r="H346" s="158" t="s">
        <v>12</v>
      </c>
      <c r="I346" s="836"/>
      <c r="J346" s="836"/>
      <c r="K346" s="837"/>
      <c r="L346" s="837">
        <f t="shared" ref="L346:N347" si="158">L349+L352</f>
        <v>0</v>
      </c>
      <c r="M346" s="837">
        <f t="shared" si="158"/>
        <v>0</v>
      </c>
      <c r="N346" s="837">
        <f t="shared" si="158"/>
        <v>0</v>
      </c>
      <c r="O346" s="837">
        <f t="shared" si="156"/>
        <v>0</v>
      </c>
      <c r="P346" s="837">
        <f t="shared" si="157"/>
        <v>0</v>
      </c>
    </row>
    <row r="347" spans="1:16" ht="18.75" hidden="1">
      <c r="A347" s="940"/>
      <c r="B347" s="833"/>
      <c r="C347" s="833"/>
      <c r="D347" s="833"/>
      <c r="E347" s="834" t="s">
        <v>19</v>
      </c>
      <c r="F347" s="833"/>
      <c r="G347" s="941"/>
      <c r="H347" s="158" t="s">
        <v>12</v>
      </c>
      <c r="I347" s="836"/>
      <c r="J347" s="836"/>
      <c r="K347" s="837"/>
      <c r="L347" s="837">
        <f t="shared" ca="1" si="158"/>
        <v>422030</v>
      </c>
      <c r="M347" s="837">
        <f t="shared" ca="1" si="158"/>
        <v>341380</v>
      </c>
      <c r="N347" s="837">
        <f t="shared" ca="1" si="158"/>
        <v>160300</v>
      </c>
      <c r="O347" s="837">
        <f t="shared" ca="1" si="156"/>
        <v>37.983081771438052</v>
      </c>
      <c r="P347" s="837">
        <f t="shared" ca="1" si="157"/>
        <v>46.956470795008492</v>
      </c>
    </row>
    <row r="348" spans="1:16" ht="18.75">
      <c r="A348" s="942"/>
      <c r="B348" s="827"/>
      <c r="C348" s="943"/>
      <c r="D348" s="828" t="s">
        <v>20</v>
      </c>
      <c r="E348" s="827"/>
      <c r="F348" s="827"/>
      <c r="G348" s="829"/>
      <c r="H348" s="778" t="s">
        <v>12</v>
      </c>
      <c r="I348" s="944"/>
      <c r="J348" s="944"/>
      <c r="K348" s="945"/>
      <c r="L348" s="831">
        <f t="shared" ref="L348:N348" ca="1" si="159">L349+L350</f>
        <v>338230</v>
      </c>
      <c r="M348" s="831">
        <f t="shared" ca="1" si="159"/>
        <v>257580</v>
      </c>
      <c r="N348" s="831">
        <f t="shared" ca="1" si="159"/>
        <v>76500</v>
      </c>
      <c r="O348" s="831">
        <f t="shared" ca="1" si="156"/>
        <v>22.617745321231116</v>
      </c>
      <c r="P348" s="831">
        <f t="shared" ca="1" si="157"/>
        <v>29.699510831586302</v>
      </c>
    </row>
    <row r="349" spans="1:16" ht="19.5" hidden="1">
      <c r="A349" s="940"/>
      <c r="B349" s="833"/>
      <c r="C349" s="946"/>
      <c r="D349" s="833"/>
      <c r="E349" s="834" t="s">
        <v>36</v>
      </c>
      <c r="F349" s="833"/>
      <c r="G349" s="941"/>
      <c r="H349" s="165" t="s">
        <v>12</v>
      </c>
      <c r="I349" s="947"/>
      <c r="J349" s="947"/>
      <c r="K349" s="948"/>
      <c r="L349" s="837">
        <v>0</v>
      </c>
      <c r="M349" s="837">
        <v>0</v>
      </c>
      <c r="N349" s="837">
        <v>0</v>
      </c>
      <c r="O349" s="837">
        <f t="shared" si="156"/>
        <v>0</v>
      </c>
      <c r="P349" s="837">
        <f t="shared" si="157"/>
        <v>0</v>
      </c>
    </row>
    <row r="350" spans="1:16" ht="19.5" hidden="1">
      <c r="A350" s="940"/>
      <c r="B350" s="833"/>
      <c r="C350" s="946"/>
      <c r="D350" s="833"/>
      <c r="E350" s="834" t="s">
        <v>37</v>
      </c>
      <c r="F350" s="833"/>
      <c r="G350" s="941"/>
      <c r="H350" s="165" t="s">
        <v>12</v>
      </c>
      <c r="I350" s="947"/>
      <c r="J350" s="947"/>
      <c r="K350" s="948"/>
      <c r="L350" s="837">
        <f ca="1">IFERROR(__xludf.DUMMYFUNCTION("IMPORTRANGE(""https://docs.google.com/spreadsheets/d/1MeEWN-I1oV_STSDYn1IFDPWt_1FKiwhDph83XaGc0o0/edit?usp=sharing"",""งบพรบ!EW16"")"),338230)</f>
        <v>338230</v>
      </c>
      <c r="M350" s="837">
        <f ca="1">IFERROR(__xludf.DUMMYFUNCTION("IMPORTRANGE(""https://docs.google.com/spreadsheets/d/1MeEWN-I1oV_STSDYn1IFDPWt_1FKiwhDph83XaGc0o0/edit?usp=sharing"",""งบพรบ!FB16"")"),257580)</f>
        <v>257580</v>
      </c>
      <c r="N350" s="837">
        <f ca="1">IFERROR(__xludf.DUMMYFUNCTION("IMPORTRANGE(""https://docs.google.com/spreadsheets/d/1MeEWN-I1oV_STSDYn1IFDPWt_1FKiwhDph83XaGc0o0/edit?usp=sharing"",""งบพรบ!FD16"")"),76500)</f>
        <v>76500</v>
      </c>
      <c r="O350" s="837">
        <f t="shared" ca="1" si="156"/>
        <v>22.617745321231116</v>
      </c>
      <c r="P350" s="837">
        <f t="shared" ca="1" si="157"/>
        <v>29.699510831586302</v>
      </c>
    </row>
    <row r="351" spans="1:16" ht="18.75">
      <c r="A351" s="942"/>
      <c r="B351" s="827"/>
      <c r="C351" s="943"/>
      <c r="D351" s="828" t="s">
        <v>21</v>
      </c>
      <c r="E351" s="827"/>
      <c r="F351" s="827"/>
      <c r="G351" s="829"/>
      <c r="H351" s="168" t="s">
        <v>12</v>
      </c>
      <c r="I351" s="944"/>
      <c r="J351" s="944"/>
      <c r="K351" s="945"/>
      <c r="L351" s="831">
        <f t="shared" ref="L351:N351" ca="1" si="160">L352+L353</f>
        <v>83800</v>
      </c>
      <c r="M351" s="831">
        <f t="shared" ca="1" si="160"/>
        <v>83800</v>
      </c>
      <c r="N351" s="831">
        <f t="shared" ca="1" si="160"/>
        <v>83800</v>
      </c>
      <c r="O351" s="831">
        <f t="shared" ca="1" si="156"/>
        <v>100</v>
      </c>
      <c r="P351" s="831">
        <f t="shared" ca="1" si="157"/>
        <v>100</v>
      </c>
    </row>
    <row r="352" spans="1:16" ht="19.5" hidden="1">
      <c r="A352" s="940"/>
      <c r="B352" s="833"/>
      <c r="C352" s="946"/>
      <c r="D352" s="833"/>
      <c r="E352" s="834" t="s">
        <v>18</v>
      </c>
      <c r="F352" s="833"/>
      <c r="G352" s="941"/>
      <c r="H352" s="165" t="s">
        <v>12</v>
      </c>
      <c r="I352" s="947"/>
      <c r="J352" s="947"/>
      <c r="K352" s="948"/>
      <c r="L352" s="837">
        <v>0</v>
      </c>
      <c r="M352" s="837">
        <v>0</v>
      </c>
      <c r="N352" s="837">
        <v>0</v>
      </c>
      <c r="O352" s="837">
        <f t="shared" si="156"/>
        <v>0</v>
      </c>
      <c r="P352" s="837">
        <f t="shared" si="157"/>
        <v>0</v>
      </c>
    </row>
    <row r="353" spans="1:16" ht="19.5" hidden="1">
      <c r="A353" s="940"/>
      <c r="B353" s="833"/>
      <c r="C353" s="946"/>
      <c r="D353" s="833"/>
      <c r="E353" s="834" t="s">
        <v>19</v>
      </c>
      <c r="F353" s="833"/>
      <c r="G353" s="941"/>
      <c r="H353" s="169" t="s">
        <v>12</v>
      </c>
      <c r="I353" s="947"/>
      <c r="J353" s="947"/>
      <c r="K353" s="948"/>
      <c r="L353" s="837">
        <f ca="1">IFERROR(__xludf.DUMMYFUNCTION("IMPORTRANGE(""https://docs.google.com/spreadsheets/d/1MeEWN-I1oV_STSDYn1IFDPWt_1FKiwhDph83XaGc0o0/edit?usp=sharing"",""งบพรบ!EZ16"")"),83800)</f>
        <v>83800</v>
      </c>
      <c r="M353" s="837">
        <f ca="1">IFERROR(__xludf.DUMMYFUNCTION("IMPORTRANGE(""https://docs.google.com/spreadsheets/d/1MeEWN-I1oV_STSDYn1IFDPWt_1FKiwhDph83XaGc0o0/edit?usp=sharing"",""งบพรบ!FC16"")"),83800)</f>
        <v>83800</v>
      </c>
      <c r="N353" s="837">
        <f ca="1">IFERROR(__xludf.DUMMYFUNCTION("IMPORTRANGE(""https://docs.google.com/spreadsheets/d/1MeEWN-I1oV_STSDYn1IFDPWt_1FKiwhDph83XaGc0o0/edit?usp=sharing"",""งบพรบ!FE16"")"),83800)</f>
        <v>83800</v>
      </c>
      <c r="O353" s="837">
        <f t="shared" ca="1" si="156"/>
        <v>100</v>
      </c>
      <c r="P353" s="837">
        <f t="shared" ca="1" si="157"/>
        <v>100</v>
      </c>
    </row>
    <row r="354" spans="1:16" ht="19.5">
      <c r="A354" s="1011"/>
      <c r="B354" s="1018"/>
      <c r="C354" s="1012"/>
      <c r="D354" s="1145" t="s">
        <v>158</v>
      </c>
      <c r="E354" s="1012"/>
      <c r="F354" s="1012"/>
      <c r="G354" s="1014"/>
      <c r="H354" s="1146"/>
      <c r="I354" s="1015"/>
      <c r="J354" s="1015"/>
      <c r="K354" s="1016"/>
      <c r="L354" s="1016"/>
      <c r="M354" s="1016"/>
      <c r="N354" s="1016"/>
      <c r="O354" s="1016"/>
      <c r="P354" s="1016"/>
    </row>
    <row r="355" spans="1:16" ht="19.5">
      <c r="A355" s="1147"/>
      <c r="B355" s="1148"/>
      <c r="C355" s="1149"/>
      <c r="D355" s="1150" t="s">
        <v>159</v>
      </c>
      <c r="E355" s="1151"/>
      <c r="F355" s="1151"/>
      <c r="G355" s="1152"/>
      <c r="H355" s="431" t="s">
        <v>35</v>
      </c>
      <c r="I355" s="1153">
        <f ca="1">IFERROR(__xludf.DUMMYFUNCTION("IMPORTRANGE(""https://docs.google.com/spreadsheets/d/1QqKyyYR6Q21VydFLVH3TRQUabQu_ym0Zz7PgGX0-kHA/edit?usp=sharing"",""แผน!EP16"")"),110)</f>
        <v>110</v>
      </c>
      <c r="J355" s="1153">
        <f ca="1">J362</f>
        <v>0</v>
      </c>
      <c r="K355" s="1154">
        <f ca="1">IF(I355&gt;0,J355*100/I355,0)</f>
        <v>0</v>
      </c>
      <c r="L355" s="1155"/>
      <c r="M355" s="1155"/>
      <c r="N355" s="1155"/>
      <c r="O355" s="1155"/>
      <c r="P355" s="1155"/>
    </row>
    <row r="356" spans="1:16" ht="19.5">
      <c r="A356" s="1147"/>
      <c r="B356" s="1148"/>
      <c r="C356" s="1149"/>
      <c r="D356" s="1156" t="s">
        <v>160</v>
      </c>
      <c r="E356" s="1151"/>
      <c r="F356" s="1151"/>
      <c r="G356" s="1152"/>
      <c r="H356" s="1157"/>
      <c r="I356" s="1158"/>
      <c r="J356" s="1158"/>
      <c r="K356" s="1155"/>
      <c r="L356" s="1155"/>
      <c r="M356" s="1155"/>
      <c r="N356" s="1155"/>
      <c r="O356" s="1155"/>
      <c r="P356" s="1155"/>
    </row>
    <row r="357" spans="1:16" ht="19.5">
      <c r="A357" s="949"/>
      <c r="B357" s="950"/>
      <c r="C357" s="946" t="s">
        <v>16</v>
      </c>
      <c r="D357" s="951" t="s">
        <v>38</v>
      </c>
      <c r="E357" s="952"/>
      <c r="F357" s="952"/>
      <c r="G357" s="953"/>
      <c r="H357" s="954"/>
      <c r="I357" s="830"/>
      <c r="J357" s="830"/>
      <c r="K357" s="831"/>
      <c r="L357" s="945"/>
      <c r="M357" s="945"/>
      <c r="N357" s="945"/>
      <c r="O357" s="945"/>
      <c r="P357" s="945"/>
    </row>
    <row r="358" spans="1:16" ht="18.75">
      <c r="A358" s="949"/>
      <c r="B358" s="957"/>
      <c r="C358" s="950"/>
      <c r="D358" s="957"/>
      <c r="E358" s="955" t="s">
        <v>161</v>
      </c>
      <c r="F358" s="957"/>
      <c r="G358" s="958"/>
      <c r="H358" s="777" t="s">
        <v>35</v>
      </c>
      <c r="I358" s="830">
        <v>0</v>
      </c>
      <c r="J358" s="830">
        <f ca="1">IFERROR(__xludf.DUMMYFUNCTION("IMPORTRANGE(""https://docs.google.com/spreadsheets/d/1XWAQStnk-4SwqDmLtmXYiTMKHgktTP8We1SCoS47DrQ/edit?usp=sharing"",""จัดที่ดิน!W16"")"),34)</f>
        <v>34</v>
      </c>
      <c r="K358" s="831">
        <f t="shared" ref="K358:K365" si="161">IF(I358&gt;0,J358*100/I358,0)</f>
        <v>0</v>
      </c>
      <c r="L358" s="945"/>
      <c r="M358" s="945"/>
      <c r="N358" s="945"/>
      <c r="O358" s="945"/>
      <c r="P358" s="945"/>
    </row>
    <row r="359" spans="1:16" ht="18.75">
      <c r="A359" s="949"/>
      <c r="B359" s="957"/>
      <c r="C359" s="950"/>
      <c r="D359" s="957"/>
      <c r="E359" s="957"/>
      <c r="F359" s="957"/>
      <c r="G359" s="958"/>
      <c r="H359" s="777" t="s">
        <v>46</v>
      </c>
      <c r="I359" s="830">
        <f ca="1">IFERROR(__xludf.DUMMYFUNCTION("IMPORTRANGE(""https://docs.google.com/spreadsheets/d/1QqKyyYR6Q21VydFLVH3TRQUabQu_ym0Zz7PgGX0-kHA/edit?usp=sharing"",""แผน!EO16"")"),1100)</f>
        <v>1100</v>
      </c>
      <c r="J359" s="830">
        <f ca="1">IFERROR(__xludf.DUMMYFUNCTION("IMPORTRANGE(""https://docs.google.com/spreadsheets/d/1XWAQStnk-4SwqDmLtmXYiTMKHgktTP8We1SCoS47DrQ/edit?usp=sharing"",""จัดที่ดิน!X16"")"),266.92)</f>
        <v>266.92</v>
      </c>
      <c r="K359" s="831">
        <f t="shared" ca="1" si="161"/>
        <v>24.265454545454546</v>
      </c>
      <c r="L359" s="945"/>
      <c r="M359" s="945"/>
      <c r="N359" s="945"/>
      <c r="O359" s="945"/>
      <c r="P359" s="945"/>
    </row>
    <row r="360" spans="1:16" ht="18.75">
      <c r="A360" s="949"/>
      <c r="B360" s="957"/>
      <c r="C360" s="950"/>
      <c r="D360" s="957"/>
      <c r="E360" s="955" t="s">
        <v>162</v>
      </c>
      <c r="F360" s="957"/>
      <c r="G360" s="958"/>
      <c r="H360" s="730" t="s">
        <v>35</v>
      </c>
      <c r="I360" s="830">
        <f ca="1">IFERROR(__xludf.DUMMYFUNCTION("IMPORTRANGE(""https://docs.google.com/spreadsheets/d/1QqKyyYR6Q21VydFLVH3TRQUabQu_ym0Zz7PgGX0-kHA/edit?usp=sharing"",""แผน!EP16"")"),110)</f>
        <v>110</v>
      </c>
      <c r="J360" s="830">
        <f ca="1">IFERROR(__xludf.DUMMYFUNCTION("IMPORTRANGE(""https://docs.google.com/spreadsheets/d/1XWAQStnk-4SwqDmLtmXYiTMKHgktTP8We1SCoS47DrQ/edit?usp=sharing"",""จัดที่ดิน!Y16"")"),20)</f>
        <v>20</v>
      </c>
      <c r="K360" s="831">
        <f t="shared" ca="1" si="161"/>
        <v>18.181818181818183</v>
      </c>
      <c r="L360" s="945"/>
      <c r="M360" s="945"/>
      <c r="N360" s="945"/>
      <c r="O360" s="945"/>
      <c r="P360" s="945"/>
    </row>
    <row r="361" spans="1:16" ht="18.75">
      <c r="A361" s="949"/>
      <c r="B361" s="957"/>
      <c r="C361" s="950"/>
      <c r="D361" s="957"/>
      <c r="E361" s="957"/>
      <c r="F361" s="957"/>
      <c r="G361" s="958"/>
      <c r="H361" s="730" t="s">
        <v>46</v>
      </c>
      <c r="I361" s="830">
        <v>0</v>
      </c>
      <c r="J361" s="830">
        <f ca="1">IFERROR(__xludf.DUMMYFUNCTION("IMPORTRANGE(""https://docs.google.com/spreadsheets/d/1XWAQStnk-4SwqDmLtmXYiTMKHgktTP8We1SCoS47DrQ/edit?usp=sharing"",""จัดที่ดิน!Z16"")"),206.99)</f>
        <v>206.99</v>
      </c>
      <c r="K361" s="831">
        <f t="shared" si="161"/>
        <v>0</v>
      </c>
      <c r="L361" s="945"/>
      <c r="M361" s="945"/>
      <c r="N361" s="945"/>
      <c r="O361" s="945"/>
      <c r="P361" s="945"/>
    </row>
    <row r="362" spans="1:16" ht="18.75">
      <c r="A362" s="949"/>
      <c r="B362" s="957"/>
      <c r="C362" s="950"/>
      <c r="D362" s="957"/>
      <c r="E362" s="955" t="s">
        <v>163</v>
      </c>
      <c r="F362" s="957"/>
      <c r="G362" s="958"/>
      <c r="H362" s="730" t="s">
        <v>35</v>
      </c>
      <c r="I362" s="830">
        <f ca="1">IFERROR(__xludf.DUMMYFUNCTION("IMPORTRANGE(""https://docs.google.com/spreadsheets/d/1QqKyyYR6Q21VydFLVH3TRQUabQu_ym0Zz7PgGX0-kHA/edit?usp=sharing"",""แผน!EP16"")"),110)</f>
        <v>110</v>
      </c>
      <c r="J362" s="830">
        <f ca="1">IFERROR(__xludf.DUMMYFUNCTION("IMPORTRANGE(""https://docs.google.com/spreadsheets/d/1XWAQStnk-4SwqDmLtmXYiTMKHgktTP8We1SCoS47DrQ/edit?usp=sharing"",""จัดที่ดิน!AA16"")"),0)</f>
        <v>0</v>
      </c>
      <c r="K362" s="831">
        <f t="shared" ca="1" si="161"/>
        <v>0</v>
      </c>
      <c r="L362" s="945"/>
      <c r="M362" s="945"/>
      <c r="N362" s="945"/>
      <c r="O362" s="945"/>
      <c r="P362" s="945"/>
    </row>
    <row r="363" spans="1:16" ht="18.75">
      <c r="A363" s="1159" t="s">
        <v>164</v>
      </c>
      <c r="B363" s="957"/>
      <c r="C363" s="950"/>
      <c r="D363" s="957"/>
      <c r="E363" s="956"/>
      <c r="F363" s="957"/>
      <c r="G363" s="958"/>
      <c r="H363" s="730" t="s">
        <v>46</v>
      </c>
      <c r="I363" s="830">
        <v>0</v>
      </c>
      <c r="J363" s="830">
        <f ca="1">IFERROR(__xludf.DUMMYFUNCTION("IMPORTRANGE(""https://docs.google.com/spreadsheets/d/1XWAQStnk-4SwqDmLtmXYiTMKHgktTP8We1SCoS47DrQ/edit?usp=sharing"",""จัดที่ดิน!AB16"")"),0)</f>
        <v>0</v>
      </c>
      <c r="K363" s="831">
        <f t="shared" si="161"/>
        <v>0</v>
      </c>
      <c r="L363" s="945"/>
      <c r="M363" s="945"/>
      <c r="N363" s="945"/>
      <c r="O363" s="945"/>
      <c r="P363" s="945"/>
    </row>
    <row r="364" spans="1:16" ht="19.5">
      <c r="A364" s="1160"/>
      <c r="B364" s="1161"/>
      <c r="C364" s="1162"/>
      <c r="D364" s="1163" t="s">
        <v>165</v>
      </c>
      <c r="E364" s="1164"/>
      <c r="F364" s="1164"/>
      <c r="G364" s="1165"/>
      <c r="H364" s="446" t="s">
        <v>35</v>
      </c>
      <c r="I364" s="1166">
        <f t="shared" ref="I364:J364" ca="1" si="162">I365+I374</f>
        <v>270</v>
      </c>
      <c r="J364" s="1166">
        <f t="shared" ca="1" si="162"/>
        <v>28</v>
      </c>
      <c r="K364" s="1167">
        <f t="shared" ca="1" si="161"/>
        <v>10.37037037037037</v>
      </c>
      <c r="L364" s="1168"/>
      <c r="M364" s="1168"/>
      <c r="N364" s="1168"/>
      <c r="O364" s="1168"/>
      <c r="P364" s="1168"/>
    </row>
    <row r="365" spans="1:16" ht="19.5">
      <c r="A365" s="1169"/>
      <c r="B365" s="1170"/>
      <c r="C365" s="1171"/>
      <c r="D365" s="1171" t="s">
        <v>166</v>
      </c>
      <c r="E365" s="1172"/>
      <c r="F365" s="1172"/>
      <c r="G365" s="1173"/>
      <c r="H365" s="457" t="s">
        <v>35</v>
      </c>
      <c r="I365" s="1174">
        <f ca="1">IFERROR(__xludf.DUMMYFUNCTION("IMPORTRANGE(""https://docs.google.com/spreadsheets/d/1QqKyyYR6Q21VydFLVH3TRQUabQu_ym0Zz7PgGX0-kHA/edit?usp=sharing"",""แผน!EJ16"")"),80)</f>
        <v>80</v>
      </c>
      <c r="J365" s="1174">
        <f ca="1">J372</f>
        <v>0</v>
      </c>
      <c r="K365" s="1175">
        <f t="shared" ca="1" si="161"/>
        <v>0</v>
      </c>
      <c r="L365" s="1176"/>
      <c r="M365" s="1176"/>
      <c r="N365" s="1176"/>
      <c r="O365" s="1176"/>
      <c r="P365" s="1176"/>
    </row>
    <row r="366" spans="1:16" ht="19.5">
      <c r="A366" s="1169"/>
      <c r="B366" s="1170"/>
      <c r="C366" s="1171"/>
      <c r="D366" s="1177" t="s">
        <v>167</v>
      </c>
      <c r="E366" s="1172"/>
      <c r="F366" s="1172"/>
      <c r="G366" s="1173"/>
      <c r="H366" s="1178"/>
      <c r="I366" s="1179"/>
      <c r="J366" s="1179"/>
      <c r="K366" s="1176"/>
      <c r="L366" s="1176"/>
      <c r="M366" s="1176"/>
      <c r="N366" s="1176"/>
      <c r="O366" s="1176"/>
      <c r="P366" s="1176"/>
    </row>
    <row r="367" spans="1:16" ht="19.5">
      <c r="A367" s="949"/>
      <c r="B367" s="950"/>
      <c r="C367" s="946" t="s">
        <v>16</v>
      </c>
      <c r="D367" s="951" t="s">
        <v>38</v>
      </c>
      <c r="E367" s="952"/>
      <c r="F367" s="952"/>
      <c r="G367" s="953"/>
      <c r="H367" s="954"/>
      <c r="I367" s="830"/>
      <c r="J367" s="830"/>
      <c r="K367" s="831"/>
      <c r="L367" s="945"/>
      <c r="M367" s="945"/>
      <c r="N367" s="945"/>
      <c r="O367" s="945"/>
      <c r="P367" s="945"/>
    </row>
    <row r="368" spans="1:16" ht="18.75">
      <c r="A368" s="949"/>
      <c r="B368" s="957"/>
      <c r="C368" s="950"/>
      <c r="D368" s="957"/>
      <c r="E368" s="955" t="s">
        <v>161</v>
      </c>
      <c r="F368" s="957"/>
      <c r="G368" s="958"/>
      <c r="H368" s="777" t="s">
        <v>35</v>
      </c>
      <c r="I368" s="830">
        <v>0</v>
      </c>
      <c r="J368" s="830">
        <f ca="1">IFERROR(__xludf.DUMMYFUNCTION("IMPORTRANGE(""https://docs.google.com/spreadsheets/d/1XWAQStnk-4SwqDmLtmXYiTMKHgktTP8We1SCoS47DrQ/edit?usp=sharing"",""จัดที่ดิน!E16"")"),34)</f>
        <v>34</v>
      </c>
      <c r="K368" s="831">
        <f t="shared" ref="K368:K374" si="163">IF(I368&gt;0,J368*100/I368,0)</f>
        <v>0</v>
      </c>
      <c r="L368" s="945"/>
      <c r="M368" s="945"/>
      <c r="N368" s="945"/>
      <c r="O368" s="945"/>
      <c r="P368" s="945"/>
    </row>
    <row r="369" spans="1:16" ht="18.75">
      <c r="A369" s="949"/>
      <c r="B369" s="957"/>
      <c r="C369" s="950"/>
      <c r="D369" s="957"/>
      <c r="E369" s="957"/>
      <c r="F369" s="957"/>
      <c r="G369" s="958"/>
      <c r="H369" s="777" t="s">
        <v>46</v>
      </c>
      <c r="I369" s="830">
        <f ca="1">IFERROR(__xludf.DUMMYFUNCTION("IMPORTRANGE(""https://docs.google.com/spreadsheets/d/1QqKyyYR6Q21VydFLVH3TRQUabQu_ym0Zz7PgGX0-kHA/edit?usp=sharing"",""แผน!EI16"")"),800)</f>
        <v>800</v>
      </c>
      <c r="J369" s="830">
        <f ca="1">IFERROR(__xludf.DUMMYFUNCTION("IMPORTRANGE(""https://docs.google.com/spreadsheets/d/1XWAQStnk-4SwqDmLtmXYiTMKHgktTP8We1SCoS47DrQ/edit?usp=sharing"",""จัดที่ดิน!F16"")"),266.92)</f>
        <v>266.92</v>
      </c>
      <c r="K369" s="831">
        <f t="shared" ca="1" si="163"/>
        <v>33.365000000000002</v>
      </c>
      <c r="L369" s="945"/>
      <c r="M369" s="945"/>
      <c r="N369" s="945"/>
      <c r="O369" s="945"/>
      <c r="P369" s="945"/>
    </row>
    <row r="370" spans="1:16" ht="18.75">
      <c r="A370" s="949"/>
      <c r="B370" s="957"/>
      <c r="C370" s="950"/>
      <c r="D370" s="957"/>
      <c r="E370" s="955" t="s">
        <v>162</v>
      </c>
      <c r="F370" s="957"/>
      <c r="G370" s="958"/>
      <c r="H370" s="730" t="s">
        <v>35</v>
      </c>
      <c r="I370" s="830">
        <f ca="1">IFERROR(__xludf.DUMMYFUNCTION("IMPORTRANGE(""https://docs.google.com/spreadsheets/d/1QqKyyYR6Q21VydFLVH3TRQUabQu_ym0Zz7PgGX0-kHA/edit?usp=sharing"",""แผน!EJ16"")"),80)</f>
        <v>80</v>
      </c>
      <c r="J370" s="830">
        <f ca="1">IFERROR(__xludf.DUMMYFUNCTION("IMPORTRANGE(""https://docs.google.com/spreadsheets/d/1XWAQStnk-4SwqDmLtmXYiTMKHgktTP8We1SCoS47DrQ/edit?usp=sharing"",""จัดที่ดิน!G16"")"),20)</f>
        <v>20</v>
      </c>
      <c r="K370" s="831">
        <f t="shared" ca="1" si="163"/>
        <v>25</v>
      </c>
      <c r="L370" s="945"/>
      <c r="M370" s="945"/>
      <c r="N370" s="945"/>
      <c r="O370" s="945"/>
      <c r="P370" s="945"/>
    </row>
    <row r="371" spans="1:16" ht="18.75">
      <c r="A371" s="949"/>
      <c r="B371" s="957"/>
      <c r="C371" s="950"/>
      <c r="D371" s="957"/>
      <c r="E371" s="957"/>
      <c r="F371" s="957"/>
      <c r="G371" s="958"/>
      <c r="H371" s="730" t="s">
        <v>46</v>
      </c>
      <c r="I371" s="830">
        <v>0</v>
      </c>
      <c r="J371" s="830">
        <f ca="1">IFERROR(__xludf.DUMMYFUNCTION("IMPORTRANGE(""https://docs.google.com/spreadsheets/d/1XWAQStnk-4SwqDmLtmXYiTMKHgktTP8We1SCoS47DrQ/edit?usp=sharing"",""จัดที่ดิน!H16"")"),206.99)</f>
        <v>206.99</v>
      </c>
      <c r="K371" s="831">
        <f t="shared" si="163"/>
        <v>0</v>
      </c>
      <c r="L371" s="945"/>
      <c r="M371" s="945"/>
      <c r="N371" s="945"/>
      <c r="O371" s="945"/>
      <c r="P371" s="945"/>
    </row>
    <row r="372" spans="1:16" ht="18.75">
      <c r="A372" s="949"/>
      <c r="B372" s="957"/>
      <c r="C372" s="950"/>
      <c r="D372" s="957"/>
      <c r="E372" s="955" t="s">
        <v>163</v>
      </c>
      <c r="F372" s="957"/>
      <c r="G372" s="958"/>
      <c r="H372" s="730" t="s">
        <v>35</v>
      </c>
      <c r="I372" s="830">
        <f ca="1">IFERROR(__xludf.DUMMYFUNCTION("IMPORTRANGE(""https://docs.google.com/spreadsheets/d/1QqKyyYR6Q21VydFLVH3TRQUabQu_ym0Zz7PgGX0-kHA/edit?usp=sharing"",""แผน!EJ16"")"),80)</f>
        <v>80</v>
      </c>
      <c r="J372" s="830">
        <f ca="1">IFERROR(__xludf.DUMMYFUNCTION("IMPORTRANGE(""https://docs.google.com/spreadsheets/d/1XWAQStnk-4SwqDmLtmXYiTMKHgktTP8We1SCoS47DrQ/edit?usp=sharing"",""จัดที่ดิน!I16"")"),0)</f>
        <v>0</v>
      </c>
      <c r="K372" s="831">
        <f t="shared" ca="1" si="163"/>
        <v>0</v>
      </c>
      <c r="L372" s="945"/>
      <c r="M372" s="945"/>
      <c r="N372" s="945"/>
      <c r="O372" s="945"/>
      <c r="P372" s="945"/>
    </row>
    <row r="373" spans="1:16" ht="18.75">
      <c r="A373" s="1159" t="s">
        <v>164</v>
      </c>
      <c r="B373" s="957"/>
      <c r="C373" s="950"/>
      <c r="D373" s="957"/>
      <c r="E373" s="956"/>
      <c r="F373" s="957"/>
      <c r="G373" s="958"/>
      <c r="H373" s="730" t="s">
        <v>46</v>
      </c>
      <c r="I373" s="830">
        <v>0</v>
      </c>
      <c r="J373" s="830">
        <f ca="1">IFERROR(__xludf.DUMMYFUNCTION("IMPORTRANGE(""https://docs.google.com/spreadsheets/d/1XWAQStnk-4SwqDmLtmXYiTMKHgktTP8We1SCoS47DrQ/edit?usp=sharing"",""จัดที่ดิน!J16"")"),0)</f>
        <v>0</v>
      </c>
      <c r="K373" s="831">
        <f t="shared" si="163"/>
        <v>0</v>
      </c>
      <c r="L373" s="945"/>
      <c r="M373" s="945"/>
      <c r="N373" s="945"/>
      <c r="O373" s="945"/>
      <c r="P373" s="945"/>
    </row>
    <row r="374" spans="1:16" ht="19.5">
      <c r="A374" s="1169"/>
      <c r="B374" s="1170"/>
      <c r="C374" s="1171"/>
      <c r="D374" s="1171" t="s">
        <v>168</v>
      </c>
      <c r="E374" s="1172"/>
      <c r="F374" s="1172"/>
      <c r="G374" s="1173"/>
      <c r="H374" s="457" t="s">
        <v>35</v>
      </c>
      <c r="I374" s="1180">
        <f ca="1">IFERROR(__xludf.DUMMYFUNCTION("IMPORTRANGE(""https://docs.google.com/spreadsheets/d/1QqKyyYR6Q21VydFLVH3TRQUabQu_ym0Zz7PgGX0-kHA/edit?usp=sharing"",""แผน!EU16"")"),190)</f>
        <v>190</v>
      </c>
      <c r="J374" s="1174">
        <f ca="1">J381</f>
        <v>28</v>
      </c>
      <c r="K374" s="1175">
        <f t="shared" ca="1" si="163"/>
        <v>14.736842105263158</v>
      </c>
      <c r="L374" s="1176"/>
      <c r="M374" s="1176"/>
      <c r="N374" s="1176"/>
      <c r="O374" s="1176"/>
      <c r="P374" s="1176"/>
    </row>
    <row r="375" spans="1:16" ht="19.5">
      <c r="A375" s="1169"/>
      <c r="B375" s="1170"/>
      <c r="C375" s="1171"/>
      <c r="D375" s="1177" t="s">
        <v>169</v>
      </c>
      <c r="E375" s="1172"/>
      <c r="F375" s="1172"/>
      <c r="G375" s="1173"/>
      <c r="H375" s="1178"/>
      <c r="I375" s="1179"/>
      <c r="J375" s="1179"/>
      <c r="K375" s="1176"/>
      <c r="L375" s="1176"/>
      <c r="M375" s="1176"/>
      <c r="N375" s="1176"/>
      <c r="O375" s="1176"/>
      <c r="P375" s="1176"/>
    </row>
    <row r="376" spans="1:16" ht="19.5">
      <c r="A376" s="949"/>
      <c r="B376" s="950"/>
      <c r="C376" s="946" t="s">
        <v>16</v>
      </c>
      <c r="D376" s="951" t="s">
        <v>38</v>
      </c>
      <c r="E376" s="952"/>
      <c r="F376" s="952"/>
      <c r="G376" s="953"/>
      <c r="H376" s="954"/>
      <c r="I376" s="830"/>
      <c r="J376" s="830"/>
      <c r="K376" s="831"/>
      <c r="L376" s="945"/>
      <c r="M376" s="945"/>
      <c r="N376" s="945"/>
      <c r="O376" s="945"/>
      <c r="P376" s="945"/>
    </row>
    <row r="377" spans="1:16" ht="18.75">
      <c r="A377" s="949"/>
      <c r="B377" s="957"/>
      <c r="C377" s="950"/>
      <c r="D377" s="957"/>
      <c r="E377" s="955" t="s">
        <v>161</v>
      </c>
      <c r="F377" s="957"/>
      <c r="G377" s="958"/>
      <c r="H377" s="777" t="s">
        <v>35</v>
      </c>
      <c r="I377" s="830">
        <v>0</v>
      </c>
      <c r="J377" s="830">
        <f ca="1">IFERROR(__xludf.DUMMYFUNCTION("IMPORTRANGE(""https://docs.google.com/spreadsheets/d/1XWAQStnk-4SwqDmLtmXYiTMKHgktTP8We1SCoS47DrQ/edit?usp=sharing"",""จัดที่ดิน!AH16"")"),0)</f>
        <v>0</v>
      </c>
      <c r="K377" s="831">
        <f t="shared" ref="K377:K382" si="164">IF(I377&gt;0,J377*100/I377,0)</f>
        <v>0</v>
      </c>
      <c r="L377" s="945"/>
      <c r="M377" s="945"/>
      <c r="N377" s="945"/>
      <c r="O377" s="945"/>
      <c r="P377" s="945"/>
    </row>
    <row r="378" spans="1:16" ht="18.75">
      <c r="A378" s="949"/>
      <c r="B378" s="957"/>
      <c r="C378" s="950"/>
      <c r="D378" s="957"/>
      <c r="E378" s="957"/>
      <c r="F378" s="957"/>
      <c r="G378" s="958"/>
      <c r="H378" s="777" t="s">
        <v>46</v>
      </c>
      <c r="I378" s="830">
        <f ca="1">IFERROR(__xludf.DUMMYFUNCTION("IMPORTRANGE(""https://docs.google.com/spreadsheets/d/1QqKyyYR6Q21VydFLVH3TRQUabQu_ym0Zz7PgGX0-kHA/edit?usp=sharing"",""แผน!ET16"")"),300)</f>
        <v>300</v>
      </c>
      <c r="J378" s="830">
        <f ca="1">IFERROR(__xludf.DUMMYFUNCTION("IMPORTRANGE(""https://docs.google.com/spreadsheets/d/1XWAQStnk-4SwqDmLtmXYiTMKHgktTP8We1SCoS47DrQ/edit?usp=sharing"",""จัดที่ดิน!AI16"")"),0)</f>
        <v>0</v>
      </c>
      <c r="K378" s="831">
        <f t="shared" ca="1" si="164"/>
        <v>0</v>
      </c>
      <c r="L378" s="945"/>
      <c r="M378" s="945"/>
      <c r="N378" s="945"/>
      <c r="O378" s="945"/>
      <c r="P378" s="945"/>
    </row>
    <row r="379" spans="1:16" ht="18.75">
      <c r="A379" s="949"/>
      <c r="B379" s="957"/>
      <c r="C379" s="950"/>
      <c r="D379" s="957"/>
      <c r="E379" s="955" t="s">
        <v>162</v>
      </c>
      <c r="F379" s="957"/>
      <c r="G379" s="958"/>
      <c r="H379" s="730" t="s">
        <v>35</v>
      </c>
      <c r="I379" s="830">
        <f ca="1">IFERROR(__xludf.DUMMYFUNCTION("IMPORTRANGE(""https://docs.google.com/spreadsheets/d/1QqKyyYR6Q21VydFLVH3TRQUabQu_ym0Zz7PgGX0-kHA/edit?usp=sharing"",""แผน!EU16"")"),190)</f>
        <v>190</v>
      </c>
      <c r="J379" s="830">
        <f ca="1">IFERROR(__xludf.DUMMYFUNCTION("IMPORTRANGE(""https://docs.google.com/spreadsheets/d/1XWAQStnk-4SwqDmLtmXYiTMKHgktTP8We1SCoS47DrQ/edit?usp=sharing"",""จัดที่ดิน!AJ16"")"),49)</f>
        <v>49</v>
      </c>
      <c r="K379" s="831">
        <f t="shared" ca="1" si="164"/>
        <v>25.789473684210527</v>
      </c>
      <c r="L379" s="945"/>
      <c r="M379" s="945"/>
      <c r="N379" s="945"/>
      <c r="O379" s="945"/>
      <c r="P379" s="945"/>
    </row>
    <row r="380" spans="1:16" ht="18.75">
      <c r="A380" s="949"/>
      <c r="B380" s="957"/>
      <c r="C380" s="950"/>
      <c r="D380" s="957"/>
      <c r="E380" s="957"/>
      <c r="F380" s="957"/>
      <c r="G380" s="958"/>
      <c r="H380" s="730" t="s">
        <v>46</v>
      </c>
      <c r="I380" s="830">
        <v>0</v>
      </c>
      <c r="J380" s="830">
        <f ca="1">IFERROR(__xludf.DUMMYFUNCTION("IMPORTRANGE(""https://docs.google.com/spreadsheets/d/1XWAQStnk-4SwqDmLtmXYiTMKHgktTP8We1SCoS47DrQ/edit?usp=sharing"",""จัดที่ดิน!AK16"")"),308.37)</f>
        <v>308.37</v>
      </c>
      <c r="K380" s="831">
        <f t="shared" si="164"/>
        <v>0</v>
      </c>
      <c r="L380" s="945"/>
      <c r="M380" s="945"/>
      <c r="N380" s="945"/>
      <c r="O380" s="945"/>
      <c r="P380" s="945"/>
    </row>
    <row r="381" spans="1:16" ht="18.75">
      <c r="A381" s="949"/>
      <c r="B381" s="957"/>
      <c r="C381" s="950"/>
      <c r="D381" s="957"/>
      <c r="E381" s="955" t="s">
        <v>163</v>
      </c>
      <c r="F381" s="957"/>
      <c r="G381" s="958"/>
      <c r="H381" s="730" t="s">
        <v>35</v>
      </c>
      <c r="I381" s="830">
        <f ca="1">IFERROR(__xludf.DUMMYFUNCTION("IMPORTRANGE(""https://docs.google.com/spreadsheets/d/1QqKyyYR6Q21VydFLVH3TRQUabQu_ym0Zz7PgGX0-kHA/edit?usp=sharing"",""แผน!EU16"")"),190)</f>
        <v>190</v>
      </c>
      <c r="J381" s="830">
        <f ca="1">IFERROR(__xludf.DUMMYFUNCTION("IMPORTRANGE(""https://docs.google.com/spreadsheets/d/1XWAQStnk-4SwqDmLtmXYiTMKHgktTP8We1SCoS47DrQ/edit?usp=sharing"",""จัดที่ดิน!AL16"")"),28)</f>
        <v>28</v>
      </c>
      <c r="K381" s="831">
        <f t="shared" ca="1" si="164"/>
        <v>14.736842105263158</v>
      </c>
      <c r="L381" s="945"/>
      <c r="M381" s="945"/>
      <c r="N381" s="945"/>
      <c r="O381" s="945"/>
      <c r="P381" s="945"/>
    </row>
    <row r="382" spans="1:16" ht="18.75">
      <c r="A382" s="1159" t="s">
        <v>164</v>
      </c>
      <c r="B382" s="957"/>
      <c r="C382" s="950"/>
      <c r="D382" s="957"/>
      <c r="E382" s="956"/>
      <c r="F382" s="957"/>
      <c r="G382" s="958"/>
      <c r="H382" s="730" t="s">
        <v>46</v>
      </c>
      <c r="I382" s="830">
        <v>0</v>
      </c>
      <c r="J382" s="830">
        <f ca="1">IFERROR(__xludf.DUMMYFUNCTION("IMPORTRANGE(""https://docs.google.com/spreadsheets/d/1XWAQStnk-4SwqDmLtmXYiTMKHgktTP8We1SCoS47DrQ/edit?usp=sharing"",""จัดที่ดิน!AM16"")"),155.28)</f>
        <v>155.28</v>
      </c>
      <c r="K382" s="831">
        <f t="shared" si="164"/>
        <v>0</v>
      </c>
      <c r="L382" s="945"/>
      <c r="M382" s="945"/>
      <c r="N382" s="945"/>
      <c r="O382" s="945"/>
      <c r="P382" s="945"/>
    </row>
    <row r="383" spans="1:16" ht="19.5">
      <c r="A383" s="1011"/>
      <c r="B383" s="1018"/>
      <c r="C383" s="1012"/>
      <c r="D383" s="1145" t="s">
        <v>170</v>
      </c>
      <c r="E383" s="1012"/>
      <c r="F383" s="1012"/>
      <c r="G383" s="1014"/>
      <c r="H383" s="1146"/>
      <c r="I383" s="1015"/>
      <c r="J383" s="1015"/>
      <c r="K383" s="1016"/>
      <c r="L383" s="1016"/>
      <c r="M383" s="1016"/>
      <c r="N383" s="1016"/>
      <c r="O383" s="1016"/>
      <c r="P383" s="1016"/>
    </row>
    <row r="384" spans="1:16" ht="19.5">
      <c r="A384" s="949"/>
      <c r="B384" s="950"/>
      <c r="C384" s="827" t="s">
        <v>16</v>
      </c>
      <c r="D384" s="951" t="s">
        <v>38</v>
      </c>
      <c r="E384" s="952"/>
      <c r="F384" s="952"/>
      <c r="G384" s="953"/>
      <c r="H384" s="954"/>
      <c r="I384" s="830"/>
      <c r="J384" s="830"/>
      <c r="K384" s="831"/>
      <c r="L384" s="945"/>
      <c r="M384" s="945"/>
      <c r="N384" s="945"/>
      <c r="O384" s="945"/>
      <c r="P384" s="945"/>
    </row>
    <row r="385" spans="1:16" ht="18.75">
      <c r="A385" s="1080"/>
      <c r="B385" s="1083"/>
      <c r="C385" s="1081"/>
      <c r="D385" s="1083"/>
      <c r="E385" s="1181" t="s">
        <v>163</v>
      </c>
      <c r="F385" s="1083"/>
      <c r="G385" s="1084"/>
      <c r="H385" s="468" t="s">
        <v>35</v>
      </c>
      <c r="I385" s="1085">
        <f ca="1">IFERROR(__xludf.DUMMYFUNCTION("IMPORTRANGE(""https://docs.google.com/spreadsheets/d/1QqKyyYR6Q21VydFLVH3TRQUabQu_ym0Zz7PgGX0-kHA/edit?usp=sharing"",""แผน!EW16"")"),10)</f>
        <v>10</v>
      </c>
      <c r="J385" s="1085">
        <f ca="1">IFERROR(__xludf.DUMMYFUNCTION("IMPORTRANGE(""https://docs.google.com/spreadsheets/d/1XWAQStnk-4SwqDmLtmXYiTMKHgktTP8We1SCoS47DrQ/edit?usp=sharing"",""จัดที่ดิน!AP16"")"),0)</f>
        <v>0</v>
      </c>
      <c r="K385" s="1182">
        <f ca="1">IF(I385&gt;0,J385*100/I385,0)</f>
        <v>0</v>
      </c>
      <c r="L385" s="1086"/>
      <c r="M385" s="1086"/>
      <c r="N385" s="1086"/>
      <c r="O385" s="1086"/>
      <c r="P385" s="1086"/>
    </row>
    <row r="386" spans="1:16" ht="19.5" hidden="1">
      <c r="A386" s="1183" t="s">
        <v>171</v>
      </c>
      <c r="B386" s="1184"/>
      <c r="C386" s="1184"/>
      <c r="D386" s="1184"/>
      <c r="E386" s="1185"/>
      <c r="F386" s="1185"/>
      <c r="G386" s="1186"/>
      <c r="H386" s="1187"/>
      <c r="I386" s="1188"/>
      <c r="J386" s="1188"/>
      <c r="K386" s="1189"/>
      <c r="L386" s="1189"/>
      <c r="M386" s="1189"/>
      <c r="N386" s="1189"/>
      <c r="O386" s="1189"/>
      <c r="P386" s="1189"/>
    </row>
    <row r="387" spans="1:16" ht="19.5" hidden="1">
      <c r="A387" s="1190" t="s">
        <v>172</v>
      </c>
      <c r="B387" s="1191"/>
      <c r="C387" s="1191"/>
      <c r="D387" s="1192"/>
      <c r="E387" s="1191"/>
      <c r="F387" s="1191"/>
      <c r="G387" s="1191"/>
      <c r="H387" s="1193"/>
      <c r="I387" s="1194"/>
      <c r="J387" s="1194"/>
      <c r="K387" s="1195"/>
      <c r="L387" s="1195"/>
      <c r="M387" s="1195"/>
      <c r="N387" s="1195"/>
      <c r="O387" s="1195"/>
      <c r="P387" s="1195"/>
    </row>
    <row r="388" spans="1:16" ht="19.5" hidden="1">
      <c r="A388" s="1196"/>
      <c r="B388" s="1197" t="s">
        <v>173</v>
      </c>
      <c r="C388" s="1198"/>
      <c r="D388" s="1199"/>
      <c r="E388" s="1199"/>
      <c r="F388" s="1199"/>
      <c r="G388" s="1200"/>
      <c r="H388" s="489" t="s">
        <v>66</v>
      </c>
      <c r="I388" s="1201">
        <f t="shared" ref="I388:J388" si="165">I400</f>
        <v>0</v>
      </c>
      <c r="J388" s="1201">
        <f t="shared" si="165"/>
        <v>0</v>
      </c>
      <c r="K388" s="1202">
        <f>IF(I388&gt;0,J388*100/I388,0)</f>
        <v>0</v>
      </c>
      <c r="L388" s="1203"/>
      <c r="M388" s="1203"/>
      <c r="N388" s="1203"/>
      <c r="O388" s="1203"/>
      <c r="P388" s="1203"/>
    </row>
    <row r="389" spans="1:16" ht="19.5" hidden="1">
      <c r="A389" s="932"/>
      <c r="B389" s="933"/>
      <c r="C389" s="934" t="s">
        <v>16</v>
      </c>
      <c r="D389" s="935" t="s">
        <v>17</v>
      </c>
      <c r="E389" s="933"/>
      <c r="F389" s="933"/>
      <c r="G389" s="936"/>
      <c r="H389" s="152" t="s">
        <v>12</v>
      </c>
      <c r="I389" s="937"/>
      <c r="J389" s="937"/>
      <c r="K389" s="938"/>
      <c r="L389" s="939">
        <f t="shared" ref="L389:N389" ca="1" si="166">L390+L391</f>
        <v>0</v>
      </c>
      <c r="M389" s="939">
        <f t="shared" ca="1" si="166"/>
        <v>0</v>
      </c>
      <c r="N389" s="939">
        <f t="shared" ca="1" si="166"/>
        <v>0</v>
      </c>
      <c r="O389" s="939">
        <f t="shared" ref="O389:O397" ca="1" si="167">IF(L389&gt;0,N389*100/L389,0)</f>
        <v>0</v>
      </c>
      <c r="P389" s="939">
        <f t="shared" ref="P389:P397" ca="1" si="168">IF(M389&gt;0,N389*100/M389,0)</f>
        <v>0</v>
      </c>
    </row>
    <row r="390" spans="1:16" ht="18.75" hidden="1">
      <c r="A390" s="940"/>
      <c r="B390" s="833"/>
      <c r="C390" s="833"/>
      <c r="D390" s="833"/>
      <c r="E390" s="834" t="s">
        <v>18</v>
      </c>
      <c r="F390" s="833"/>
      <c r="G390" s="941"/>
      <c r="H390" s="158" t="s">
        <v>12</v>
      </c>
      <c r="I390" s="836"/>
      <c r="J390" s="836"/>
      <c r="K390" s="837"/>
      <c r="L390" s="837">
        <f t="shared" ref="L390:N391" si="169">L393+L396</f>
        <v>0</v>
      </c>
      <c r="M390" s="837">
        <f t="shared" si="169"/>
        <v>0</v>
      </c>
      <c r="N390" s="837">
        <f t="shared" si="169"/>
        <v>0</v>
      </c>
      <c r="O390" s="837">
        <f t="shared" si="167"/>
        <v>0</v>
      </c>
      <c r="P390" s="837">
        <f t="shared" si="168"/>
        <v>0</v>
      </c>
    </row>
    <row r="391" spans="1:16" ht="18.75" hidden="1">
      <c r="A391" s="940"/>
      <c r="B391" s="833"/>
      <c r="C391" s="833"/>
      <c r="D391" s="833"/>
      <c r="E391" s="834" t="s">
        <v>19</v>
      </c>
      <c r="F391" s="833"/>
      <c r="G391" s="941"/>
      <c r="H391" s="158" t="s">
        <v>12</v>
      </c>
      <c r="I391" s="836"/>
      <c r="J391" s="836"/>
      <c r="K391" s="837"/>
      <c r="L391" s="837">
        <f t="shared" ca="1" si="169"/>
        <v>0</v>
      </c>
      <c r="M391" s="837">
        <f t="shared" ca="1" si="169"/>
        <v>0</v>
      </c>
      <c r="N391" s="837">
        <f t="shared" ca="1" si="169"/>
        <v>0</v>
      </c>
      <c r="O391" s="837">
        <f t="shared" ca="1" si="167"/>
        <v>0</v>
      </c>
      <c r="P391" s="837">
        <f t="shared" ca="1" si="168"/>
        <v>0</v>
      </c>
    </row>
    <row r="392" spans="1:16" ht="18.75" hidden="1">
      <c r="A392" s="942"/>
      <c r="B392" s="827"/>
      <c r="C392" s="943"/>
      <c r="D392" s="828" t="s">
        <v>20</v>
      </c>
      <c r="E392" s="827"/>
      <c r="F392" s="827"/>
      <c r="G392" s="829"/>
      <c r="H392" s="778" t="s">
        <v>12</v>
      </c>
      <c r="I392" s="944"/>
      <c r="J392" s="944"/>
      <c r="K392" s="945"/>
      <c r="L392" s="831">
        <f t="shared" ref="L392:N392" ca="1" si="170">L393+L394</f>
        <v>0</v>
      </c>
      <c r="M392" s="831">
        <f t="shared" ca="1" si="170"/>
        <v>0</v>
      </c>
      <c r="N392" s="831">
        <f t="shared" ca="1" si="170"/>
        <v>0</v>
      </c>
      <c r="O392" s="831">
        <f t="shared" ca="1" si="167"/>
        <v>0</v>
      </c>
      <c r="P392" s="831">
        <f t="shared" ca="1" si="168"/>
        <v>0</v>
      </c>
    </row>
    <row r="393" spans="1:16" ht="19.5" hidden="1">
      <c r="A393" s="940"/>
      <c r="B393" s="833"/>
      <c r="C393" s="946"/>
      <c r="D393" s="833"/>
      <c r="E393" s="834" t="s">
        <v>36</v>
      </c>
      <c r="F393" s="833"/>
      <c r="G393" s="941"/>
      <c r="H393" s="165" t="s">
        <v>12</v>
      </c>
      <c r="I393" s="947"/>
      <c r="J393" s="947"/>
      <c r="K393" s="948"/>
      <c r="L393" s="837">
        <v>0</v>
      </c>
      <c r="M393" s="837">
        <v>0</v>
      </c>
      <c r="N393" s="837">
        <v>0</v>
      </c>
      <c r="O393" s="837">
        <f t="shared" si="167"/>
        <v>0</v>
      </c>
      <c r="P393" s="837">
        <f t="shared" si="168"/>
        <v>0</v>
      </c>
    </row>
    <row r="394" spans="1:16" ht="19.5" hidden="1">
      <c r="A394" s="940"/>
      <c r="B394" s="833"/>
      <c r="C394" s="946"/>
      <c r="D394" s="833"/>
      <c r="E394" s="834" t="s">
        <v>37</v>
      </c>
      <c r="F394" s="833"/>
      <c r="G394" s="941"/>
      <c r="H394" s="165" t="s">
        <v>12</v>
      </c>
      <c r="I394" s="947"/>
      <c r="J394" s="947"/>
      <c r="K394" s="948"/>
      <c r="L394" s="837">
        <f ca="1">IFERROR(__xludf.DUMMYFUNCTION("IMPORTRANGE(""https://docs.google.com/spreadsheets/d/1MeEWN-I1oV_STSDYn1IFDPWt_1FKiwhDph83XaGc0o0/edit?usp=sharing"",""งบพรบ!FG16"")"),0)</f>
        <v>0</v>
      </c>
      <c r="M394" s="837">
        <f ca="1">IFERROR(__xludf.DUMMYFUNCTION("IMPORTRANGE(""https://docs.google.com/spreadsheets/d/1MeEWN-I1oV_STSDYn1IFDPWt_1FKiwhDph83XaGc0o0/edit?usp=sharing"",""งบพรบ!FL16"")"),0)</f>
        <v>0</v>
      </c>
      <c r="N394" s="837">
        <f ca="1">IFERROR(__xludf.DUMMYFUNCTION("IMPORTRANGE(""https://docs.google.com/spreadsheets/d/1MeEWN-I1oV_STSDYn1IFDPWt_1FKiwhDph83XaGc0o0/edit?usp=sharing"",""งบพรบ!FN16"")"),0)</f>
        <v>0</v>
      </c>
      <c r="O394" s="837">
        <f t="shared" ca="1" si="167"/>
        <v>0</v>
      </c>
      <c r="P394" s="837">
        <f t="shared" ca="1" si="168"/>
        <v>0</v>
      </c>
    </row>
    <row r="395" spans="1:16" ht="18.75" hidden="1">
      <c r="A395" s="942"/>
      <c r="B395" s="827"/>
      <c r="C395" s="943"/>
      <c r="D395" s="828" t="s">
        <v>21</v>
      </c>
      <c r="E395" s="827"/>
      <c r="F395" s="827"/>
      <c r="G395" s="829"/>
      <c r="H395" s="168" t="s">
        <v>12</v>
      </c>
      <c r="I395" s="944"/>
      <c r="J395" s="944"/>
      <c r="K395" s="945"/>
      <c r="L395" s="831">
        <f t="shared" ref="L395:N395" ca="1" si="171">L396+L397</f>
        <v>0</v>
      </c>
      <c r="M395" s="831">
        <f t="shared" ca="1" si="171"/>
        <v>0</v>
      </c>
      <c r="N395" s="831">
        <f t="shared" ca="1" si="171"/>
        <v>0</v>
      </c>
      <c r="O395" s="831">
        <f t="shared" ca="1" si="167"/>
        <v>0</v>
      </c>
      <c r="P395" s="831">
        <f t="shared" ca="1" si="168"/>
        <v>0</v>
      </c>
    </row>
    <row r="396" spans="1:16" ht="19.5" hidden="1">
      <c r="A396" s="940"/>
      <c r="B396" s="833"/>
      <c r="C396" s="946"/>
      <c r="D396" s="833"/>
      <c r="E396" s="834" t="s">
        <v>18</v>
      </c>
      <c r="F396" s="833"/>
      <c r="G396" s="941"/>
      <c r="H396" s="165" t="s">
        <v>12</v>
      </c>
      <c r="I396" s="947"/>
      <c r="J396" s="947"/>
      <c r="K396" s="948"/>
      <c r="L396" s="837">
        <v>0</v>
      </c>
      <c r="M396" s="837">
        <v>0</v>
      </c>
      <c r="N396" s="837">
        <v>0</v>
      </c>
      <c r="O396" s="837">
        <f t="shared" si="167"/>
        <v>0</v>
      </c>
      <c r="P396" s="837">
        <f t="shared" si="168"/>
        <v>0</v>
      </c>
    </row>
    <row r="397" spans="1:16" ht="19.5" hidden="1">
      <c r="A397" s="940"/>
      <c r="B397" s="833"/>
      <c r="C397" s="946"/>
      <c r="D397" s="833"/>
      <c r="E397" s="834" t="s">
        <v>19</v>
      </c>
      <c r="F397" s="833"/>
      <c r="G397" s="941"/>
      <c r="H397" s="169" t="s">
        <v>12</v>
      </c>
      <c r="I397" s="947"/>
      <c r="J397" s="947"/>
      <c r="K397" s="948"/>
      <c r="L397" s="837">
        <f ca="1">IFERROR(__xludf.DUMMYFUNCTION("IMPORTRANGE(""https://docs.google.com/spreadsheets/d/1MeEWN-I1oV_STSDYn1IFDPWt_1FKiwhDph83XaGc0o0/edit?usp=sharing"",""งบพรบ!FJ16"")"),0)</f>
        <v>0</v>
      </c>
      <c r="M397" s="837">
        <f ca="1">IFERROR(__xludf.DUMMYFUNCTION("IMPORTRANGE(""https://docs.google.com/spreadsheets/d/1MeEWN-I1oV_STSDYn1IFDPWt_1FKiwhDph83XaGc0o0/edit?usp=sharing"",""งบพรบ!FM16"")"),0)</f>
        <v>0</v>
      </c>
      <c r="N397" s="837">
        <f ca="1">IFERROR(__xludf.DUMMYFUNCTION("IMPORTRANGE(""https://docs.google.com/spreadsheets/d/1MeEWN-I1oV_STSDYn1IFDPWt_1FKiwhDph83XaGc0o0/edit?usp=sharing"",""งบพรบ!FO16"")"),0)</f>
        <v>0</v>
      </c>
      <c r="O397" s="837">
        <f t="shared" ca="1" si="167"/>
        <v>0</v>
      </c>
      <c r="P397" s="837">
        <f t="shared" ca="1" si="168"/>
        <v>0</v>
      </c>
    </row>
    <row r="398" spans="1:16" ht="19.5" hidden="1">
      <c r="A398" s="949"/>
      <c r="B398" s="950"/>
      <c r="C398" s="946" t="s">
        <v>16</v>
      </c>
      <c r="D398" s="951" t="s">
        <v>38</v>
      </c>
      <c r="E398" s="952"/>
      <c r="F398" s="952"/>
      <c r="G398" s="953"/>
      <c r="H398" s="954"/>
      <c r="I398" s="944"/>
      <c r="J398" s="830"/>
      <c r="K398" s="831"/>
      <c r="L398" s="831"/>
      <c r="M398" s="831"/>
      <c r="N398" s="831"/>
      <c r="O398" s="945"/>
      <c r="P398" s="945"/>
    </row>
    <row r="399" spans="1:16" ht="18.75" hidden="1">
      <c r="A399" s="1204"/>
      <c r="B399" s="933"/>
      <c r="C399" s="1205"/>
      <c r="D399" s="968" t="s">
        <v>174</v>
      </c>
      <c r="E399" s="1113"/>
      <c r="F399" s="933"/>
      <c r="G399" s="936"/>
      <c r="H399" s="496" t="s">
        <v>9</v>
      </c>
      <c r="I399" s="830">
        <v>0</v>
      </c>
      <c r="J399" s="959">
        <v>0</v>
      </c>
      <c r="K399" s="831">
        <f t="shared" ref="K399:K401" si="172">IF(I399&gt;0,J399*100/I399,0)</f>
        <v>0</v>
      </c>
      <c r="L399" s="1206"/>
      <c r="M399" s="1206"/>
      <c r="N399" s="1206"/>
      <c r="O399" s="1206"/>
      <c r="P399" s="1206"/>
    </row>
    <row r="400" spans="1:16" ht="18.75" hidden="1">
      <c r="A400" s="1032"/>
      <c r="B400" s="827"/>
      <c r="C400" s="1030"/>
      <c r="D400" s="956" t="s">
        <v>175</v>
      </c>
      <c r="E400" s="950"/>
      <c r="F400" s="827"/>
      <c r="G400" s="829"/>
      <c r="H400" s="277" t="s">
        <v>66</v>
      </c>
      <c r="I400" s="830">
        <v>0</v>
      </c>
      <c r="J400" s="959">
        <v>0</v>
      </c>
      <c r="K400" s="831">
        <f t="shared" si="172"/>
        <v>0</v>
      </c>
      <c r="L400" s="831"/>
      <c r="M400" s="831"/>
      <c r="N400" s="831"/>
      <c r="O400" s="831"/>
      <c r="P400" s="831"/>
    </row>
    <row r="401" spans="1:16" ht="19.5" hidden="1">
      <c r="A401" s="1196"/>
      <c r="B401" s="1197" t="s">
        <v>176</v>
      </c>
      <c r="C401" s="1198"/>
      <c r="D401" s="1199"/>
      <c r="E401" s="1199"/>
      <c r="F401" s="1199"/>
      <c r="G401" s="1200"/>
      <c r="H401" s="489" t="s">
        <v>66</v>
      </c>
      <c r="I401" s="1201">
        <f t="shared" ref="I401:J401" si="173">I412</f>
        <v>0</v>
      </c>
      <c r="J401" s="1201">
        <f t="shared" si="173"/>
        <v>0</v>
      </c>
      <c r="K401" s="1202">
        <f t="shared" si="172"/>
        <v>0</v>
      </c>
      <c r="L401" s="1203"/>
      <c r="M401" s="1203"/>
      <c r="N401" s="1203"/>
      <c r="O401" s="1203"/>
      <c r="P401" s="1203"/>
    </row>
    <row r="402" spans="1:16" ht="19.5" hidden="1">
      <c r="A402" s="932"/>
      <c r="B402" s="933"/>
      <c r="C402" s="934" t="s">
        <v>16</v>
      </c>
      <c r="D402" s="935" t="s">
        <v>17</v>
      </c>
      <c r="E402" s="933"/>
      <c r="F402" s="933"/>
      <c r="G402" s="936"/>
      <c r="H402" s="152" t="s">
        <v>12</v>
      </c>
      <c r="I402" s="937"/>
      <c r="J402" s="937"/>
      <c r="K402" s="938"/>
      <c r="L402" s="939">
        <f t="shared" ref="L402:N402" ca="1" si="174">L403+L404</f>
        <v>0</v>
      </c>
      <c r="M402" s="939">
        <f t="shared" ca="1" si="174"/>
        <v>0</v>
      </c>
      <c r="N402" s="939">
        <f t="shared" ca="1" si="174"/>
        <v>0</v>
      </c>
      <c r="O402" s="939">
        <f t="shared" ref="O402:O410" ca="1" si="175">IF(L402&gt;0,N402*100/L402,0)</f>
        <v>0</v>
      </c>
      <c r="P402" s="939">
        <f t="shared" ref="P402:P410" ca="1" si="176">IF(M402&gt;0,N402*100/M402,0)</f>
        <v>0</v>
      </c>
    </row>
    <row r="403" spans="1:16" ht="18.75" hidden="1">
      <c r="A403" s="940"/>
      <c r="B403" s="833"/>
      <c r="C403" s="833"/>
      <c r="D403" s="833"/>
      <c r="E403" s="834" t="s">
        <v>18</v>
      </c>
      <c r="F403" s="833"/>
      <c r="G403" s="941"/>
      <c r="H403" s="158" t="s">
        <v>12</v>
      </c>
      <c r="I403" s="836"/>
      <c r="J403" s="836"/>
      <c r="K403" s="837"/>
      <c r="L403" s="837">
        <f t="shared" ref="L403:N404" si="177">L406+L409</f>
        <v>0</v>
      </c>
      <c r="M403" s="837">
        <f t="shared" si="177"/>
        <v>0</v>
      </c>
      <c r="N403" s="837">
        <f t="shared" si="177"/>
        <v>0</v>
      </c>
      <c r="O403" s="837">
        <f t="shared" si="175"/>
        <v>0</v>
      </c>
      <c r="P403" s="837">
        <f t="shared" si="176"/>
        <v>0</v>
      </c>
    </row>
    <row r="404" spans="1:16" ht="18.75" hidden="1">
      <c r="A404" s="940"/>
      <c r="B404" s="833"/>
      <c r="C404" s="833"/>
      <c r="D404" s="833"/>
      <c r="E404" s="834" t="s">
        <v>19</v>
      </c>
      <c r="F404" s="833"/>
      <c r="G404" s="941"/>
      <c r="H404" s="158" t="s">
        <v>12</v>
      </c>
      <c r="I404" s="836"/>
      <c r="J404" s="836"/>
      <c r="K404" s="837"/>
      <c r="L404" s="837">
        <f t="shared" ca="1" si="177"/>
        <v>0</v>
      </c>
      <c r="M404" s="837">
        <f t="shared" ca="1" si="177"/>
        <v>0</v>
      </c>
      <c r="N404" s="837">
        <f t="shared" ca="1" si="177"/>
        <v>0</v>
      </c>
      <c r="O404" s="837">
        <f t="shared" ca="1" si="175"/>
        <v>0</v>
      </c>
      <c r="P404" s="837">
        <f t="shared" ca="1" si="176"/>
        <v>0</v>
      </c>
    </row>
    <row r="405" spans="1:16" ht="18.75" hidden="1">
      <c r="A405" s="942"/>
      <c r="B405" s="827"/>
      <c r="C405" s="943"/>
      <c r="D405" s="828" t="s">
        <v>20</v>
      </c>
      <c r="E405" s="827"/>
      <c r="F405" s="827"/>
      <c r="G405" s="829"/>
      <c r="H405" s="778" t="s">
        <v>12</v>
      </c>
      <c r="I405" s="944"/>
      <c r="J405" s="944"/>
      <c r="K405" s="945"/>
      <c r="L405" s="831">
        <f t="shared" ref="L405:N405" ca="1" si="178">L406+L407</f>
        <v>0</v>
      </c>
      <c r="M405" s="831">
        <f t="shared" ca="1" si="178"/>
        <v>0</v>
      </c>
      <c r="N405" s="831">
        <f t="shared" ca="1" si="178"/>
        <v>0</v>
      </c>
      <c r="O405" s="831">
        <f t="shared" ca="1" si="175"/>
        <v>0</v>
      </c>
      <c r="P405" s="831">
        <f t="shared" ca="1" si="176"/>
        <v>0</v>
      </c>
    </row>
    <row r="406" spans="1:16" ht="19.5" hidden="1">
      <c r="A406" s="940"/>
      <c r="B406" s="833"/>
      <c r="C406" s="946"/>
      <c r="D406" s="833"/>
      <c r="E406" s="834" t="s">
        <v>36</v>
      </c>
      <c r="F406" s="833"/>
      <c r="G406" s="941"/>
      <c r="H406" s="165" t="s">
        <v>12</v>
      </c>
      <c r="I406" s="947"/>
      <c r="J406" s="947"/>
      <c r="K406" s="948"/>
      <c r="L406" s="837">
        <v>0</v>
      </c>
      <c r="M406" s="837">
        <v>0</v>
      </c>
      <c r="N406" s="837">
        <v>0</v>
      </c>
      <c r="O406" s="837">
        <f t="shared" si="175"/>
        <v>0</v>
      </c>
      <c r="P406" s="837">
        <f t="shared" si="176"/>
        <v>0</v>
      </c>
    </row>
    <row r="407" spans="1:16" ht="19.5" hidden="1">
      <c r="A407" s="940"/>
      <c r="B407" s="833"/>
      <c r="C407" s="946"/>
      <c r="D407" s="833"/>
      <c r="E407" s="834" t="s">
        <v>37</v>
      </c>
      <c r="F407" s="833"/>
      <c r="G407" s="941"/>
      <c r="H407" s="165" t="s">
        <v>12</v>
      </c>
      <c r="I407" s="947"/>
      <c r="J407" s="947"/>
      <c r="K407" s="948"/>
      <c r="L407" s="837">
        <f ca="1">IFERROR(__xludf.DUMMYFUNCTION("IMPORTRANGE(""https://docs.google.com/spreadsheets/d/1MeEWN-I1oV_STSDYn1IFDPWt_1FKiwhDph83XaGc0o0/edit?usp=sharing"",""งบพรบ!FQ16"")"),0)</f>
        <v>0</v>
      </c>
      <c r="M407" s="837">
        <f ca="1">IFERROR(__xludf.DUMMYFUNCTION("IMPORTRANGE(""https://docs.google.com/spreadsheets/d/1MeEWN-I1oV_STSDYn1IFDPWt_1FKiwhDph83XaGc0o0/edit?usp=sharing"",""งบพรบ!FV16"")"),0)</f>
        <v>0</v>
      </c>
      <c r="N407" s="837">
        <f ca="1">IFERROR(__xludf.DUMMYFUNCTION("IMPORTRANGE(""https://docs.google.com/spreadsheets/d/1MeEWN-I1oV_STSDYn1IFDPWt_1FKiwhDph83XaGc0o0/edit?usp=sharing"",""งบพรบ!FX16"")"),0)</f>
        <v>0</v>
      </c>
      <c r="O407" s="837">
        <f t="shared" ca="1" si="175"/>
        <v>0</v>
      </c>
      <c r="P407" s="837">
        <f t="shared" ca="1" si="176"/>
        <v>0</v>
      </c>
    </row>
    <row r="408" spans="1:16" ht="18.75" hidden="1">
      <c r="A408" s="942"/>
      <c r="B408" s="827"/>
      <c r="C408" s="943"/>
      <c r="D408" s="828" t="s">
        <v>21</v>
      </c>
      <c r="E408" s="827"/>
      <c r="F408" s="827"/>
      <c r="G408" s="829"/>
      <c r="H408" s="168" t="s">
        <v>12</v>
      </c>
      <c r="I408" s="944"/>
      <c r="J408" s="944"/>
      <c r="K408" s="945"/>
      <c r="L408" s="831">
        <f t="shared" ref="L408:N408" ca="1" si="179">L409+L410</f>
        <v>0</v>
      </c>
      <c r="M408" s="831">
        <f t="shared" ca="1" si="179"/>
        <v>0</v>
      </c>
      <c r="N408" s="831">
        <f t="shared" ca="1" si="179"/>
        <v>0</v>
      </c>
      <c r="O408" s="831">
        <f t="shared" ca="1" si="175"/>
        <v>0</v>
      </c>
      <c r="P408" s="831">
        <f t="shared" ca="1" si="176"/>
        <v>0</v>
      </c>
    </row>
    <row r="409" spans="1:16" ht="19.5" hidden="1">
      <c r="A409" s="940"/>
      <c r="B409" s="833"/>
      <c r="C409" s="946"/>
      <c r="D409" s="833"/>
      <c r="E409" s="834" t="s">
        <v>18</v>
      </c>
      <c r="F409" s="833"/>
      <c r="G409" s="941"/>
      <c r="H409" s="165" t="s">
        <v>12</v>
      </c>
      <c r="I409" s="947"/>
      <c r="J409" s="947"/>
      <c r="K409" s="948"/>
      <c r="L409" s="837">
        <v>0</v>
      </c>
      <c r="M409" s="837">
        <v>0</v>
      </c>
      <c r="N409" s="837">
        <v>0</v>
      </c>
      <c r="O409" s="837">
        <f t="shared" si="175"/>
        <v>0</v>
      </c>
      <c r="P409" s="837">
        <f t="shared" si="176"/>
        <v>0</v>
      </c>
    </row>
    <row r="410" spans="1:16" ht="19.5" hidden="1">
      <c r="A410" s="940"/>
      <c r="B410" s="833"/>
      <c r="C410" s="946"/>
      <c r="D410" s="833"/>
      <c r="E410" s="834" t="s">
        <v>19</v>
      </c>
      <c r="F410" s="833"/>
      <c r="G410" s="941"/>
      <c r="H410" s="169" t="s">
        <v>12</v>
      </c>
      <c r="I410" s="947"/>
      <c r="J410" s="947"/>
      <c r="K410" s="948"/>
      <c r="L410" s="837">
        <f ca="1">IFERROR(__xludf.DUMMYFUNCTION("IMPORTRANGE(""https://docs.google.com/spreadsheets/d/1MeEWN-I1oV_STSDYn1IFDPWt_1FKiwhDph83XaGc0o0/edit?usp=sharing"",""งบพรบ!FT16"")"),0)</f>
        <v>0</v>
      </c>
      <c r="M410" s="837">
        <f ca="1">IFERROR(__xludf.DUMMYFUNCTION("IMPORTRANGE(""https://docs.google.com/spreadsheets/d/1MeEWN-I1oV_STSDYn1IFDPWt_1FKiwhDph83XaGc0o0/edit?usp=sharing"",""งบพรบ!FW16"")"),0)</f>
        <v>0</v>
      </c>
      <c r="N410" s="837">
        <f ca="1">IFERROR(__xludf.DUMMYFUNCTION("IMPORTRANGE(""https://docs.google.com/spreadsheets/d/1MeEWN-I1oV_STSDYn1IFDPWt_1FKiwhDph83XaGc0o0/edit?usp=sharing"",""งบพรบ!FY16"")"),0)</f>
        <v>0</v>
      </c>
      <c r="O410" s="837">
        <f t="shared" ca="1" si="175"/>
        <v>0</v>
      </c>
      <c r="P410" s="837">
        <f t="shared" ca="1" si="176"/>
        <v>0</v>
      </c>
    </row>
    <row r="411" spans="1:16" ht="19.5" hidden="1">
      <c r="A411" s="949"/>
      <c r="B411" s="950"/>
      <c r="C411" s="946" t="s">
        <v>16</v>
      </c>
      <c r="D411" s="1207" t="s">
        <v>38</v>
      </c>
      <c r="E411" s="1208"/>
      <c r="F411" s="1208"/>
      <c r="G411" s="1209"/>
      <c r="H411" s="954"/>
      <c r="I411" s="830"/>
      <c r="J411" s="830"/>
      <c r="K411" s="831"/>
      <c r="L411" s="945"/>
      <c r="M411" s="945"/>
      <c r="N411" s="945"/>
      <c r="O411" s="945"/>
      <c r="P411" s="945"/>
    </row>
    <row r="412" spans="1:16" ht="18.75" hidden="1">
      <c r="A412" s="949"/>
      <c r="B412" s="957"/>
      <c r="C412" s="957"/>
      <c r="D412" s="956" t="s">
        <v>177</v>
      </c>
      <c r="E412" s="957"/>
      <c r="F412" s="957"/>
      <c r="G412" s="958"/>
      <c r="H412" s="501" t="s">
        <v>66</v>
      </c>
      <c r="I412" s="830">
        <v>0</v>
      </c>
      <c r="J412" s="959">
        <v>0</v>
      </c>
      <c r="K412" s="831">
        <f t="shared" ref="K412:K413" si="180">IF(I412&gt;0,J412*100/I412,0)</f>
        <v>0</v>
      </c>
      <c r="L412" s="945"/>
      <c r="M412" s="945"/>
      <c r="N412" s="945"/>
      <c r="O412" s="945"/>
      <c r="P412" s="945"/>
    </row>
    <row r="413" spans="1:16" ht="19.5" hidden="1" thickBot="1">
      <c r="A413" s="1210"/>
      <c r="B413" s="1211"/>
      <c r="C413" s="1211"/>
      <c r="D413" s="1212" t="s">
        <v>178</v>
      </c>
      <c r="E413" s="1211"/>
      <c r="F413" s="1211"/>
      <c r="G413" s="1213"/>
      <c r="H413" s="506" t="s">
        <v>179</v>
      </c>
      <c r="I413" s="1214">
        <v>0</v>
      </c>
      <c r="J413" s="1215">
        <v>0</v>
      </c>
      <c r="K413" s="1216">
        <f t="shared" si="180"/>
        <v>0</v>
      </c>
      <c r="L413" s="1217"/>
      <c r="M413" s="1217"/>
      <c r="N413" s="1217"/>
      <c r="O413" s="1217"/>
      <c r="P413" s="1217"/>
    </row>
    <row r="414" spans="1:16" ht="19.5">
      <c r="A414" s="1218" t="s">
        <v>180</v>
      </c>
      <c r="B414" s="1219"/>
      <c r="C414" s="1219"/>
      <c r="D414" s="1219"/>
      <c r="E414" s="1219"/>
      <c r="F414" s="1219"/>
      <c r="G414" s="1220"/>
      <c r="H414" s="1221"/>
      <c r="I414" s="1222"/>
      <c r="J414" s="1222"/>
      <c r="K414" s="1223"/>
      <c r="L414" s="1224">
        <f t="shared" ref="L414:N414" ca="1" si="181">L419+L444+L467+L502+L523+L544+L629+L655+L685+L737+L754+L770+L786+L805</f>
        <v>2653920</v>
      </c>
      <c r="M414" s="1224">
        <f t="shared" si="181"/>
        <v>0</v>
      </c>
      <c r="N414" s="1224">
        <f t="shared" si="181"/>
        <v>530314.35</v>
      </c>
      <c r="O414" s="1224">
        <f ca="1">IF(L414&gt;0,N414*100/L414,0)</f>
        <v>19.982303535901611</v>
      </c>
      <c r="P414" s="1224">
        <f>IF(M414&gt;0,N414*100/M414,0)</f>
        <v>0</v>
      </c>
    </row>
    <row r="415" spans="1:16" ht="19.5">
      <c r="A415" s="1225" t="s">
        <v>181</v>
      </c>
      <c r="B415" s="1226"/>
      <c r="C415" s="1226"/>
      <c r="D415" s="1226"/>
      <c r="E415" s="1226"/>
      <c r="F415" s="1226"/>
      <c r="G415" s="1226"/>
      <c r="H415" s="1227"/>
      <c r="I415" s="1228"/>
      <c r="J415" s="1228"/>
      <c r="K415" s="1229"/>
      <c r="L415" s="1230"/>
      <c r="M415" s="1230"/>
      <c r="N415" s="1230"/>
      <c r="O415" s="1230"/>
      <c r="P415" s="1230"/>
    </row>
    <row r="416" spans="1:16" ht="19.5">
      <c r="A416" s="1225" t="s">
        <v>182</v>
      </c>
      <c r="B416" s="1226"/>
      <c r="C416" s="1226"/>
      <c r="D416" s="1226"/>
      <c r="E416" s="1226"/>
      <c r="F416" s="1226"/>
      <c r="G416" s="1231"/>
      <c r="H416" s="1232"/>
      <c r="I416" s="1233"/>
      <c r="J416" s="1233"/>
      <c r="K416" s="1230"/>
      <c r="L416" s="1230"/>
      <c r="M416" s="1230"/>
      <c r="N416" s="1230"/>
      <c r="O416" s="1230"/>
      <c r="P416" s="1230"/>
    </row>
    <row r="417" spans="1:16" ht="39">
      <c r="A417" s="527">
        <v>1</v>
      </c>
      <c r="B417" s="1234" t="s">
        <v>183</v>
      </c>
      <c r="C417" s="1234"/>
      <c r="D417" s="1235"/>
      <c r="E417" s="1235"/>
      <c r="F417" s="1235"/>
      <c r="G417" s="1236"/>
      <c r="H417" s="532" t="s">
        <v>35</v>
      </c>
      <c r="I417" s="1237">
        <f t="shared" ref="I417:J418" ca="1" si="182">I433</f>
        <v>20</v>
      </c>
      <c r="J417" s="1237">
        <f t="shared" ca="1" si="182"/>
        <v>20</v>
      </c>
      <c r="K417" s="1238">
        <f t="shared" ref="K417:K418" ca="1" si="183">IF(I417&gt;0,J417*100/I417,0)</f>
        <v>100</v>
      </c>
      <c r="L417" s="1239"/>
      <c r="M417" s="1239"/>
      <c r="N417" s="1239"/>
      <c r="O417" s="1239"/>
      <c r="P417" s="1239"/>
    </row>
    <row r="418" spans="1:16" ht="19.5">
      <c r="A418" s="1240"/>
      <c r="B418" s="527"/>
      <c r="C418" s="1234"/>
      <c r="D418" s="1235"/>
      <c r="E418" s="1235"/>
      <c r="F418" s="1235"/>
      <c r="G418" s="1236"/>
      <c r="H418" s="532" t="s">
        <v>49</v>
      </c>
      <c r="I418" s="1237">
        <f t="shared" ca="1" si="182"/>
        <v>1</v>
      </c>
      <c r="J418" s="1237">
        <f t="shared" si="182"/>
        <v>1</v>
      </c>
      <c r="K418" s="1238">
        <f t="shared" ca="1" si="183"/>
        <v>100</v>
      </c>
      <c r="L418" s="1239"/>
      <c r="M418" s="1239"/>
      <c r="N418" s="1239"/>
      <c r="O418" s="1239"/>
      <c r="P418" s="1239"/>
    </row>
    <row r="419" spans="1:16" ht="19.5">
      <c r="A419" s="932"/>
      <c r="B419" s="933"/>
      <c r="C419" s="933" t="s">
        <v>16</v>
      </c>
      <c r="D419" s="1510" t="s">
        <v>17</v>
      </c>
      <c r="E419" s="1487"/>
      <c r="F419" s="1487"/>
      <c r="G419" s="936"/>
      <c r="H419" s="275" t="s">
        <v>12</v>
      </c>
      <c r="I419" s="937"/>
      <c r="J419" s="937"/>
      <c r="K419" s="938"/>
      <c r="L419" s="939">
        <f t="shared" ref="L419:N419" ca="1" si="184">L420+L421</f>
        <v>78660</v>
      </c>
      <c r="M419" s="939">
        <f t="shared" si="184"/>
        <v>0</v>
      </c>
      <c r="N419" s="939">
        <f t="shared" si="184"/>
        <v>60463</v>
      </c>
      <c r="O419" s="939">
        <f t="shared" ref="O419:O424" ca="1" si="185">IF(L419&gt;0,N419*100/L419,0)</f>
        <v>76.866259852529879</v>
      </c>
      <c r="P419" s="939">
        <f t="shared" ref="P419:P424" si="186">IF(M419&gt;0,N419*100/M419,0)</f>
        <v>0</v>
      </c>
    </row>
    <row r="420" spans="1:16" ht="18.75" hidden="1">
      <c r="A420" s="940"/>
      <c r="B420" s="833"/>
      <c r="C420" s="833"/>
      <c r="D420" s="1061"/>
      <c r="E420" s="834" t="s">
        <v>184</v>
      </c>
      <c r="F420" s="833"/>
      <c r="G420" s="941"/>
      <c r="H420" s="165" t="s">
        <v>12</v>
      </c>
      <c r="I420" s="836"/>
      <c r="J420" s="836"/>
      <c r="K420" s="837"/>
      <c r="L420" s="837">
        <f t="shared" ref="L420:N421" si="187">L423+L430</f>
        <v>0</v>
      </c>
      <c r="M420" s="837">
        <f t="shared" si="187"/>
        <v>0</v>
      </c>
      <c r="N420" s="837">
        <f t="shared" si="187"/>
        <v>0</v>
      </c>
      <c r="O420" s="837">
        <f t="shared" si="185"/>
        <v>0</v>
      </c>
      <c r="P420" s="837">
        <f t="shared" si="186"/>
        <v>0</v>
      </c>
    </row>
    <row r="421" spans="1:16" ht="18.75" hidden="1">
      <c r="A421" s="940"/>
      <c r="B421" s="833"/>
      <c r="C421" s="833"/>
      <c r="D421" s="1061"/>
      <c r="E421" s="834" t="s">
        <v>185</v>
      </c>
      <c r="F421" s="833"/>
      <c r="G421" s="941"/>
      <c r="H421" s="165" t="s">
        <v>12</v>
      </c>
      <c r="I421" s="836"/>
      <c r="J421" s="836"/>
      <c r="K421" s="837"/>
      <c r="L421" s="837">
        <f t="shared" ca="1" si="187"/>
        <v>78660</v>
      </c>
      <c r="M421" s="837">
        <f t="shared" si="187"/>
        <v>0</v>
      </c>
      <c r="N421" s="837">
        <f t="shared" si="187"/>
        <v>60463</v>
      </c>
      <c r="O421" s="837">
        <f t="shared" ca="1" si="185"/>
        <v>76.866259852529879</v>
      </c>
      <c r="P421" s="837">
        <f t="shared" si="186"/>
        <v>0</v>
      </c>
    </row>
    <row r="422" spans="1:16" ht="18.75">
      <c r="A422" s="942"/>
      <c r="B422" s="1030"/>
      <c r="C422" s="827"/>
      <c r="D422" s="828" t="s">
        <v>20</v>
      </c>
      <c r="E422" s="827"/>
      <c r="F422" s="827"/>
      <c r="G422" s="829"/>
      <c r="H422" s="778" t="s">
        <v>12</v>
      </c>
      <c r="I422" s="944"/>
      <c r="J422" s="944"/>
      <c r="K422" s="945"/>
      <c r="L422" s="831">
        <f t="shared" ref="L422:N422" ca="1" si="188">L423+L424</f>
        <v>78660</v>
      </c>
      <c r="M422" s="831">
        <f t="shared" si="188"/>
        <v>0</v>
      </c>
      <c r="N422" s="831">
        <f t="shared" si="188"/>
        <v>60463</v>
      </c>
      <c r="O422" s="831">
        <f t="shared" ca="1" si="185"/>
        <v>76.866259852529879</v>
      </c>
      <c r="P422" s="831">
        <f t="shared" si="186"/>
        <v>0</v>
      </c>
    </row>
    <row r="423" spans="1:16" ht="18.75" hidden="1">
      <c r="A423" s="940"/>
      <c r="B423" s="833"/>
      <c r="C423" s="833"/>
      <c r="D423" s="1061"/>
      <c r="E423" s="834" t="s">
        <v>184</v>
      </c>
      <c r="F423" s="833"/>
      <c r="G423" s="941"/>
      <c r="H423" s="165" t="s">
        <v>12</v>
      </c>
      <c r="I423" s="836"/>
      <c r="J423" s="836"/>
      <c r="K423" s="837"/>
      <c r="L423" s="837">
        <v>0</v>
      </c>
      <c r="M423" s="837">
        <v>0</v>
      </c>
      <c r="N423" s="837">
        <v>0</v>
      </c>
      <c r="O423" s="837">
        <f t="shared" si="185"/>
        <v>0</v>
      </c>
      <c r="P423" s="837">
        <f t="shared" si="186"/>
        <v>0</v>
      </c>
    </row>
    <row r="424" spans="1:16" ht="18.75" hidden="1">
      <c r="A424" s="940"/>
      <c r="B424" s="833"/>
      <c r="C424" s="833"/>
      <c r="D424" s="1061"/>
      <c r="E424" s="834" t="s">
        <v>185</v>
      </c>
      <c r="F424" s="833"/>
      <c r="G424" s="941"/>
      <c r="H424" s="165" t="s">
        <v>12</v>
      </c>
      <c r="I424" s="836"/>
      <c r="J424" s="836"/>
      <c r="K424" s="837"/>
      <c r="L424" s="837">
        <f ca="1">IFERROR(__xludf.DUMMYFUNCTION("IMPORTRANGE(""https://docs.google.com/spreadsheets/d/1QqKyyYR6Q21VydFLVH3TRQUabQu_ym0Zz7PgGX0-kHA/edit?usp=sharing"",""แผน!EY16"")"),78660)</f>
        <v>78660</v>
      </c>
      <c r="M424" s="837">
        <v>0</v>
      </c>
      <c r="N424" s="837">
        <f>N425+N426+N427+N428</f>
        <v>60463</v>
      </c>
      <c r="O424" s="837">
        <f t="shared" ca="1" si="185"/>
        <v>76.866259852529879</v>
      </c>
      <c r="P424" s="837">
        <f t="shared" si="186"/>
        <v>0</v>
      </c>
    </row>
    <row r="425" spans="1:16" ht="18.75">
      <c r="A425" s="1241"/>
      <c r="B425" s="1242"/>
      <c r="C425" s="1243"/>
      <c r="D425" s="1243"/>
      <c r="E425" s="1243"/>
      <c r="F425" s="1243" t="s">
        <v>186</v>
      </c>
      <c r="G425" s="963"/>
      <c r="H425" s="778" t="s">
        <v>12</v>
      </c>
      <c r="I425" s="830"/>
      <c r="J425" s="830"/>
      <c r="K425" s="831"/>
      <c r="L425" s="831"/>
      <c r="M425" s="831"/>
      <c r="N425" s="1031">
        <f>17080+28960+300+2060</f>
        <v>48400</v>
      </c>
      <c r="O425" s="831"/>
      <c r="P425" s="831"/>
    </row>
    <row r="426" spans="1:16" ht="18.75">
      <c r="A426" s="1241"/>
      <c r="B426" s="1242"/>
      <c r="C426" s="1243"/>
      <c r="D426" s="1243"/>
      <c r="E426" s="1243"/>
      <c r="F426" s="1243" t="s">
        <v>187</v>
      </c>
      <c r="G426" s="963"/>
      <c r="H426" s="778" t="s">
        <v>12</v>
      </c>
      <c r="I426" s="830"/>
      <c r="J426" s="830"/>
      <c r="K426" s="831"/>
      <c r="L426" s="831"/>
      <c r="M426" s="831"/>
      <c r="N426" s="1031">
        <v>0</v>
      </c>
      <c r="O426" s="831"/>
      <c r="P426" s="831"/>
    </row>
    <row r="427" spans="1:16" ht="18.75">
      <c r="A427" s="1241"/>
      <c r="B427" s="1242"/>
      <c r="C427" s="1243"/>
      <c r="D427" s="1243"/>
      <c r="E427" s="1243"/>
      <c r="F427" s="1243" t="s">
        <v>188</v>
      </c>
      <c r="G427" s="963"/>
      <c r="H427" s="778" t="s">
        <v>12</v>
      </c>
      <c r="I427" s="830"/>
      <c r="J427" s="830"/>
      <c r="K427" s="831"/>
      <c r="L427" s="831"/>
      <c r="M427" s="831"/>
      <c r="N427" s="1031">
        <v>0</v>
      </c>
      <c r="O427" s="831"/>
      <c r="P427" s="831"/>
    </row>
    <row r="428" spans="1:16" ht="18.75">
      <c r="A428" s="1032"/>
      <c r="B428" s="1030"/>
      <c r="C428" s="827"/>
      <c r="D428" s="827"/>
      <c r="E428" s="827"/>
      <c r="F428" s="943" t="s">
        <v>189</v>
      </c>
      <c r="G428" s="977"/>
      <c r="H428" s="778" t="s">
        <v>12</v>
      </c>
      <c r="I428" s="830"/>
      <c r="J428" s="830"/>
      <c r="K428" s="831"/>
      <c r="L428" s="831"/>
      <c r="M428" s="831"/>
      <c r="N428" s="1031">
        <f>8183+1440+1240+480+720</f>
        <v>12063</v>
      </c>
      <c r="O428" s="831"/>
      <c r="P428" s="831"/>
    </row>
    <row r="429" spans="1:16" ht="18.75">
      <c r="A429" s="942"/>
      <c r="B429" s="1030"/>
      <c r="C429" s="827"/>
      <c r="D429" s="828" t="s">
        <v>21</v>
      </c>
      <c r="E429" s="827"/>
      <c r="F429" s="827"/>
      <c r="G429" s="829"/>
      <c r="H429" s="168" t="s">
        <v>12</v>
      </c>
      <c r="I429" s="944"/>
      <c r="J429" s="944"/>
      <c r="K429" s="945"/>
      <c r="L429" s="831">
        <f t="shared" ref="L429:N429" ca="1" si="189">L430+L431</f>
        <v>0</v>
      </c>
      <c r="M429" s="831">
        <f t="shared" si="189"/>
        <v>0</v>
      </c>
      <c r="N429" s="831">
        <f t="shared" si="189"/>
        <v>0</v>
      </c>
      <c r="O429" s="831">
        <f t="shared" ref="O429:O431" ca="1" si="190">IF(L429&gt;0,N429*100/L429,0)</f>
        <v>0</v>
      </c>
      <c r="P429" s="831">
        <f t="shared" ref="P429:P431" si="191">IF(M429&gt;0,N429*100/M429,0)</f>
        <v>0</v>
      </c>
    </row>
    <row r="430" spans="1:16" ht="18.75" hidden="1">
      <c r="A430" s="940"/>
      <c r="B430" s="1052"/>
      <c r="C430" s="833"/>
      <c r="D430" s="833"/>
      <c r="E430" s="834" t="s">
        <v>18</v>
      </c>
      <c r="F430" s="833"/>
      <c r="G430" s="835"/>
      <c r="H430" s="165" t="s">
        <v>12</v>
      </c>
      <c r="I430" s="947"/>
      <c r="J430" s="947"/>
      <c r="K430" s="948"/>
      <c r="L430" s="837">
        <v>0</v>
      </c>
      <c r="M430" s="837">
        <v>0</v>
      </c>
      <c r="N430" s="837">
        <v>0</v>
      </c>
      <c r="O430" s="837">
        <f t="shared" si="190"/>
        <v>0</v>
      </c>
      <c r="P430" s="837">
        <f t="shared" si="191"/>
        <v>0</v>
      </c>
    </row>
    <row r="431" spans="1:16" ht="18.75" hidden="1">
      <c r="A431" s="940"/>
      <c r="B431" s="1052"/>
      <c r="C431" s="833"/>
      <c r="D431" s="833"/>
      <c r="E431" s="834" t="s">
        <v>19</v>
      </c>
      <c r="F431" s="833"/>
      <c r="G431" s="835"/>
      <c r="H431" s="169" t="s">
        <v>12</v>
      </c>
      <c r="I431" s="947"/>
      <c r="J431" s="947"/>
      <c r="K431" s="948"/>
      <c r="L431" s="837">
        <f ca="1">IFERROR(__xludf.DUMMYFUNCTION("IMPORTRANGE(""https://docs.google.com/spreadsheets/d/1QqKyyYR6Q21VydFLVH3TRQUabQu_ym0Zz7PgGX0-kHA/edit?usp=sharing"",""แผน!FB16"")"),0)</f>
        <v>0</v>
      </c>
      <c r="M431" s="837">
        <v>0</v>
      </c>
      <c r="N431" s="837">
        <v>0</v>
      </c>
      <c r="O431" s="837">
        <f t="shared" ca="1" si="190"/>
        <v>0</v>
      </c>
      <c r="P431" s="837">
        <f t="shared" si="191"/>
        <v>0</v>
      </c>
    </row>
    <row r="432" spans="1:16" ht="19.5">
      <c r="A432" s="1112"/>
      <c r="B432" s="1113"/>
      <c r="C432" s="933" t="s">
        <v>16</v>
      </c>
      <c r="D432" s="1245" t="s">
        <v>38</v>
      </c>
      <c r="E432" s="1246"/>
      <c r="F432" s="1246"/>
      <c r="G432" s="1247"/>
      <c r="H432" s="1248"/>
      <c r="I432" s="937"/>
      <c r="J432" s="937"/>
      <c r="K432" s="938"/>
      <c r="L432" s="938"/>
      <c r="M432" s="938"/>
      <c r="N432" s="938"/>
      <c r="O432" s="938"/>
      <c r="P432" s="938"/>
    </row>
    <row r="433" spans="1:16" ht="19.5">
      <c r="A433" s="949"/>
      <c r="B433" s="950"/>
      <c r="C433" s="950"/>
      <c r="D433" s="960" t="s">
        <v>190</v>
      </c>
      <c r="E433" s="957"/>
      <c r="F433" s="957"/>
      <c r="G433" s="958"/>
      <c r="H433" s="196" t="s">
        <v>35</v>
      </c>
      <c r="I433" s="966">
        <f ca="1">I435</f>
        <v>20</v>
      </c>
      <c r="J433" s="966">
        <f ca="1">IF(AND(J435=I435,J437=I437,J439=I439),I437+I439,IF(AND(J435=I437,J437=I437),I437,IF(AND(J435=I439,J439=I439),I439,0)))</f>
        <v>20</v>
      </c>
      <c r="K433" s="967">
        <f t="shared" ref="K433:K435" ca="1" si="192">IF(I433&gt;0,J433*100/I433,0)</f>
        <v>100</v>
      </c>
      <c r="L433" s="831"/>
      <c r="M433" s="831"/>
      <c r="N433" s="831"/>
      <c r="O433" s="831"/>
      <c r="P433" s="831"/>
    </row>
    <row r="434" spans="1:16" ht="19.5">
      <c r="A434" s="949"/>
      <c r="B434" s="950"/>
      <c r="C434" s="950"/>
      <c r="D434" s="960" t="s">
        <v>191</v>
      </c>
      <c r="E434" s="957"/>
      <c r="F434" s="957"/>
      <c r="G434" s="958"/>
      <c r="H434" s="196" t="s">
        <v>49</v>
      </c>
      <c r="I434" s="966">
        <f t="shared" ref="I434:J434" ca="1" si="193">I438+I440</f>
        <v>1</v>
      </c>
      <c r="J434" s="966">
        <f t="shared" si="193"/>
        <v>1</v>
      </c>
      <c r="K434" s="967">
        <f t="shared" ca="1" si="192"/>
        <v>100</v>
      </c>
      <c r="L434" s="831"/>
      <c r="M434" s="831"/>
      <c r="N434" s="831"/>
      <c r="O434" s="831"/>
      <c r="P434" s="831"/>
    </row>
    <row r="435" spans="1:16" ht="18.75">
      <c r="A435" s="949"/>
      <c r="B435" s="950"/>
      <c r="C435" s="950"/>
      <c r="D435" s="956" t="s">
        <v>192</v>
      </c>
      <c r="E435" s="957"/>
      <c r="F435" s="957"/>
      <c r="G435" s="958"/>
      <c r="H435" s="590" t="s">
        <v>35</v>
      </c>
      <c r="I435" s="548">
        <f ca="1">IFERROR(__xludf.DUMMYFUNCTION("IMPORTRANGE(""https://docs.google.com/spreadsheets/d/1QqKyyYR6Q21VydFLVH3TRQUabQu_ym0Zz7PgGX0-kHA/edit?usp=sharing"",""แผน!FC16"")"),20)</f>
        <v>20</v>
      </c>
      <c r="J435" s="549">
        <v>20</v>
      </c>
      <c r="K435" s="831">
        <f t="shared" ca="1" si="192"/>
        <v>100</v>
      </c>
      <c r="L435" s="831"/>
      <c r="M435" s="831"/>
      <c r="N435" s="831"/>
      <c r="O435" s="831"/>
      <c r="P435" s="831"/>
    </row>
    <row r="436" spans="1:16" ht="18.75">
      <c r="A436" s="949"/>
      <c r="B436" s="950"/>
      <c r="C436" s="950"/>
      <c r="D436" s="956" t="s">
        <v>193</v>
      </c>
      <c r="E436" s="957"/>
      <c r="F436" s="957"/>
      <c r="G436" s="958"/>
      <c r="H436" s="590"/>
      <c r="I436" s="830"/>
      <c r="J436" s="830"/>
      <c r="K436" s="831"/>
      <c r="L436" s="831"/>
      <c r="M436" s="831"/>
      <c r="N436" s="831"/>
      <c r="O436" s="831"/>
      <c r="P436" s="831"/>
    </row>
    <row r="437" spans="1:16" ht="18.75">
      <c r="A437" s="949"/>
      <c r="B437" s="950"/>
      <c r="C437" s="950"/>
      <c r="D437" s="956" t="s">
        <v>194</v>
      </c>
      <c r="E437" s="957"/>
      <c r="F437" s="957"/>
      <c r="G437" s="958"/>
      <c r="H437" s="590" t="s">
        <v>35</v>
      </c>
      <c r="I437" s="548">
        <f ca="1">IFERROR(__xludf.DUMMYFUNCTION("IMPORTRANGE(""https://docs.google.com/spreadsheets/d/1QqKyyYR6Q21VydFLVH3TRQUabQu_ym0Zz7PgGX0-kHA/edit?usp=sharing"",""แผน!FD16"")"),0)</f>
        <v>0</v>
      </c>
      <c r="J437" s="549">
        <v>0</v>
      </c>
      <c r="K437" s="831">
        <f t="shared" ref="K437:K443" ca="1" si="194">IF(I437&gt;0,J437*100/I437,0)</f>
        <v>0</v>
      </c>
      <c r="L437" s="831"/>
      <c r="M437" s="831"/>
      <c r="N437" s="831"/>
      <c r="O437" s="831"/>
      <c r="P437" s="831"/>
    </row>
    <row r="438" spans="1:16" ht="18.75">
      <c r="A438" s="949"/>
      <c r="B438" s="950"/>
      <c r="C438" s="950"/>
      <c r="D438" s="956" t="s">
        <v>195</v>
      </c>
      <c r="E438" s="957"/>
      <c r="F438" s="957"/>
      <c r="G438" s="958"/>
      <c r="H438" s="590" t="s">
        <v>49</v>
      </c>
      <c r="I438" s="830">
        <f ca="1">IFERROR(__xludf.DUMMYFUNCTION("IMPORTRANGE(""https://docs.google.com/spreadsheets/d/1QqKyyYR6Q21VydFLVH3TRQUabQu_ym0Zz7PgGX0-kHA/edit?usp=sharing"",""แผน!FE16"")"),0)</f>
        <v>0</v>
      </c>
      <c r="J438" s="959">
        <v>0</v>
      </c>
      <c r="K438" s="831">
        <f t="shared" ca="1" si="194"/>
        <v>0</v>
      </c>
      <c r="L438" s="831"/>
      <c r="M438" s="831"/>
      <c r="N438" s="831"/>
      <c r="O438" s="831"/>
      <c r="P438" s="831"/>
    </row>
    <row r="439" spans="1:16" ht="18.75">
      <c r="A439" s="949"/>
      <c r="B439" s="950"/>
      <c r="C439" s="950"/>
      <c r="D439" s="956" t="s">
        <v>196</v>
      </c>
      <c r="E439" s="957"/>
      <c r="F439" s="957"/>
      <c r="G439" s="958"/>
      <c r="H439" s="590" t="s">
        <v>35</v>
      </c>
      <c r="I439" s="548">
        <f ca="1">IFERROR(__xludf.DUMMYFUNCTION("IMPORTRANGE(""https://docs.google.com/spreadsheets/d/1QqKyyYR6Q21VydFLVH3TRQUabQu_ym0Zz7PgGX0-kHA/edit?usp=sharing"",""แผน!FF16"")"),20)</f>
        <v>20</v>
      </c>
      <c r="J439" s="549">
        <v>20</v>
      </c>
      <c r="K439" s="831">
        <f t="shared" ca="1" si="194"/>
        <v>100</v>
      </c>
      <c r="L439" s="831"/>
      <c r="M439" s="831"/>
      <c r="N439" s="831"/>
      <c r="O439" s="831"/>
      <c r="P439" s="831"/>
    </row>
    <row r="440" spans="1:16" ht="18.75">
      <c r="A440" s="949"/>
      <c r="B440" s="950"/>
      <c r="C440" s="950"/>
      <c r="D440" s="956" t="s">
        <v>197</v>
      </c>
      <c r="E440" s="957"/>
      <c r="F440" s="957"/>
      <c r="G440" s="958"/>
      <c r="H440" s="590" t="s">
        <v>49</v>
      </c>
      <c r="I440" s="830">
        <f ca="1">IFERROR(__xludf.DUMMYFUNCTION("IMPORTRANGE(""https://docs.google.com/spreadsheets/d/1QqKyyYR6Q21VydFLVH3TRQUabQu_ym0Zz7PgGX0-kHA/edit?usp=sharing"",""แผน!FG16"")"),1)</f>
        <v>1</v>
      </c>
      <c r="J440" s="959">
        <v>1</v>
      </c>
      <c r="K440" s="831">
        <f t="shared" ca="1" si="194"/>
        <v>100</v>
      </c>
      <c r="L440" s="831"/>
      <c r="M440" s="831"/>
      <c r="N440" s="831"/>
      <c r="O440" s="831"/>
      <c r="P440" s="831"/>
    </row>
    <row r="441" spans="1:16" ht="18.75" hidden="1">
      <c r="A441" s="949"/>
      <c r="B441" s="950"/>
      <c r="C441" s="950"/>
      <c r="D441" s="956" t="s">
        <v>198</v>
      </c>
      <c r="E441" s="957"/>
      <c r="F441" s="957"/>
      <c r="G441" s="958"/>
      <c r="H441" s="590" t="s">
        <v>35</v>
      </c>
      <c r="I441" s="830">
        <f ca="1">IFERROR(__xludf.DUMMYFUNCTION("IMPORTRANGE(""https://docs.google.com/spreadsheets/d/1QqKyyYR6Q21VydFLVH3TRQUabQu_ym0Zz7PgGX0-kHA/edit?usp=sharing"",""แผน!FH16"")"),0)</f>
        <v>0</v>
      </c>
      <c r="J441" s="830">
        <v>0</v>
      </c>
      <c r="K441" s="831">
        <f t="shared" ca="1" si="194"/>
        <v>0</v>
      </c>
      <c r="L441" s="831"/>
      <c r="M441" s="831"/>
      <c r="N441" s="831"/>
      <c r="O441" s="831"/>
      <c r="P441" s="831"/>
    </row>
    <row r="442" spans="1:16" ht="19.5">
      <c r="A442" s="550">
        <v>2</v>
      </c>
      <c r="B442" s="1249" t="s">
        <v>199</v>
      </c>
      <c r="C442" s="1250"/>
      <c r="D442" s="1250"/>
      <c r="E442" s="1250"/>
      <c r="F442" s="1250"/>
      <c r="G442" s="1251"/>
      <c r="H442" s="554" t="s">
        <v>35</v>
      </c>
      <c r="I442" s="1252">
        <f t="shared" ref="I442:J442" ca="1" si="195">I460</f>
        <v>40</v>
      </c>
      <c r="J442" s="1252">
        <f t="shared" si="195"/>
        <v>20</v>
      </c>
      <c r="K442" s="1253">
        <f t="shared" ca="1" si="194"/>
        <v>50</v>
      </c>
      <c r="L442" s="1254"/>
      <c r="M442" s="1254"/>
      <c r="N442" s="1254"/>
      <c r="O442" s="1254"/>
      <c r="P442" s="1254"/>
    </row>
    <row r="443" spans="1:16" ht="19.5">
      <c r="A443" s="1255"/>
      <c r="B443" s="1256"/>
      <c r="C443" s="1257"/>
      <c r="D443" s="1257"/>
      <c r="E443" s="1257"/>
      <c r="F443" s="1257"/>
      <c r="G443" s="1258"/>
      <c r="H443" s="532" t="s">
        <v>46</v>
      </c>
      <c r="I443" s="1237">
        <f t="shared" ref="I443:J443" ca="1" si="196">I462</f>
        <v>80</v>
      </c>
      <c r="J443" s="1237">
        <f t="shared" si="196"/>
        <v>32</v>
      </c>
      <c r="K443" s="1238">
        <f t="shared" ca="1" si="194"/>
        <v>40</v>
      </c>
      <c r="L443" s="1239"/>
      <c r="M443" s="1239"/>
      <c r="N443" s="1239"/>
      <c r="O443" s="1239"/>
      <c r="P443" s="1239"/>
    </row>
    <row r="444" spans="1:16" ht="19.5">
      <c r="A444" s="1259"/>
      <c r="B444" s="1243"/>
      <c r="C444" s="1243" t="s">
        <v>16</v>
      </c>
      <c r="D444" s="1507" t="s">
        <v>17</v>
      </c>
      <c r="E444" s="1485"/>
      <c r="F444" s="1485"/>
      <c r="G444" s="963"/>
      <c r="H444" s="563" t="s">
        <v>12</v>
      </c>
      <c r="I444" s="830"/>
      <c r="J444" s="830"/>
      <c r="K444" s="831"/>
      <c r="L444" s="967">
        <f t="shared" ref="L444:N444" ca="1" si="197">L445+L446</f>
        <v>319880</v>
      </c>
      <c r="M444" s="967">
        <f t="shared" si="197"/>
        <v>0</v>
      </c>
      <c r="N444" s="967">
        <f t="shared" si="197"/>
        <v>85070</v>
      </c>
      <c r="O444" s="967">
        <f t="shared" ref="O444:O449" ca="1" si="198">IF(L444&gt;0,N444*100/L444,0)</f>
        <v>26.594347880455171</v>
      </c>
      <c r="P444" s="967">
        <f t="shared" ref="P444:P449" si="199">IF(M444&gt;0,N444*100/M444,0)</f>
        <v>0</v>
      </c>
    </row>
    <row r="445" spans="1:16" ht="18.75" hidden="1">
      <c r="A445" s="1260"/>
      <c r="B445" s="1261"/>
      <c r="C445" s="1261"/>
      <c r="D445" s="1262"/>
      <c r="E445" s="1261" t="s">
        <v>184</v>
      </c>
      <c r="F445" s="1261"/>
      <c r="G445" s="1263"/>
      <c r="H445" s="165" t="s">
        <v>12</v>
      </c>
      <c r="I445" s="836"/>
      <c r="J445" s="836"/>
      <c r="K445" s="837"/>
      <c r="L445" s="837">
        <f t="shared" ref="L445:N446" si="200">L448+L455</f>
        <v>0</v>
      </c>
      <c r="M445" s="837">
        <f t="shared" si="200"/>
        <v>0</v>
      </c>
      <c r="N445" s="837">
        <f t="shared" si="200"/>
        <v>0</v>
      </c>
      <c r="O445" s="837">
        <f t="shared" si="198"/>
        <v>0</v>
      </c>
      <c r="P445" s="837">
        <f t="shared" si="199"/>
        <v>0</v>
      </c>
    </row>
    <row r="446" spans="1:16" ht="18.75" hidden="1">
      <c r="A446" s="1260"/>
      <c r="B446" s="1265"/>
      <c r="C446" s="1261"/>
      <c r="D446" s="1262"/>
      <c r="E446" s="1261" t="s">
        <v>185</v>
      </c>
      <c r="F446" s="1261"/>
      <c r="G446" s="1263"/>
      <c r="H446" s="165" t="s">
        <v>12</v>
      </c>
      <c r="I446" s="836"/>
      <c r="J446" s="836"/>
      <c r="K446" s="837"/>
      <c r="L446" s="837">
        <f t="shared" ca="1" si="200"/>
        <v>319880</v>
      </c>
      <c r="M446" s="837">
        <f t="shared" si="200"/>
        <v>0</v>
      </c>
      <c r="N446" s="837">
        <f t="shared" si="200"/>
        <v>85070</v>
      </c>
      <c r="O446" s="837">
        <f t="shared" ca="1" si="198"/>
        <v>26.594347880455171</v>
      </c>
      <c r="P446" s="837">
        <f t="shared" si="199"/>
        <v>0</v>
      </c>
    </row>
    <row r="447" spans="1:16" ht="18.75">
      <c r="A447" s="1259"/>
      <c r="B447" s="1242"/>
      <c r="C447" s="1243"/>
      <c r="D447" s="1266" t="s">
        <v>20</v>
      </c>
      <c r="E447" s="1243"/>
      <c r="F447" s="1243"/>
      <c r="G447" s="963"/>
      <c r="H447" s="778" t="s">
        <v>12</v>
      </c>
      <c r="I447" s="944"/>
      <c r="J447" s="944"/>
      <c r="K447" s="945"/>
      <c r="L447" s="831">
        <f t="shared" ref="L447:N447" ca="1" si="201">L448+L449</f>
        <v>319880</v>
      </c>
      <c r="M447" s="831">
        <f t="shared" si="201"/>
        <v>0</v>
      </c>
      <c r="N447" s="831">
        <f t="shared" si="201"/>
        <v>85070</v>
      </c>
      <c r="O447" s="831">
        <f t="shared" ca="1" si="198"/>
        <v>26.594347880455171</v>
      </c>
      <c r="P447" s="831">
        <f t="shared" si="199"/>
        <v>0</v>
      </c>
    </row>
    <row r="448" spans="1:16" ht="18.75" hidden="1">
      <c r="A448" s="1260"/>
      <c r="B448" s="1265"/>
      <c r="C448" s="1261"/>
      <c r="D448" s="1262"/>
      <c r="E448" s="1261" t="s">
        <v>184</v>
      </c>
      <c r="F448" s="1261"/>
      <c r="G448" s="1263"/>
      <c r="H448" s="165" t="s">
        <v>12</v>
      </c>
      <c r="I448" s="836"/>
      <c r="J448" s="836"/>
      <c r="K448" s="837"/>
      <c r="L448" s="837">
        <v>0</v>
      </c>
      <c r="M448" s="837">
        <v>0</v>
      </c>
      <c r="N448" s="837">
        <v>0</v>
      </c>
      <c r="O448" s="837">
        <f t="shared" si="198"/>
        <v>0</v>
      </c>
      <c r="P448" s="837">
        <f t="shared" si="199"/>
        <v>0</v>
      </c>
    </row>
    <row r="449" spans="1:16" ht="18.75" hidden="1">
      <c r="A449" s="1260"/>
      <c r="B449" s="1265"/>
      <c r="C449" s="1261"/>
      <c r="D449" s="1262"/>
      <c r="E449" s="1261" t="s">
        <v>185</v>
      </c>
      <c r="F449" s="1261"/>
      <c r="G449" s="1263"/>
      <c r="H449" s="165" t="s">
        <v>12</v>
      </c>
      <c r="I449" s="836"/>
      <c r="J449" s="836"/>
      <c r="K449" s="837"/>
      <c r="L449" s="837">
        <f ca="1">IFERROR(__xludf.DUMMYFUNCTION("IMPORTRANGE(""https://docs.google.com/spreadsheets/d/1QqKyyYR6Q21VydFLVH3TRQUabQu_ym0Zz7PgGX0-kHA/edit?usp=sharing"",""แผน!FJ16"")"),319880)</f>
        <v>319880</v>
      </c>
      <c r="M449" s="837">
        <v>0</v>
      </c>
      <c r="N449" s="837">
        <f>N450+N451+N452+N453</f>
        <v>85070</v>
      </c>
      <c r="O449" s="837">
        <f t="shared" ca="1" si="198"/>
        <v>26.594347880455171</v>
      </c>
      <c r="P449" s="837">
        <f t="shared" si="199"/>
        <v>0</v>
      </c>
    </row>
    <row r="450" spans="1:16" ht="18.75">
      <c r="A450" s="1241"/>
      <c r="B450" s="1242"/>
      <c r="C450" s="1243"/>
      <c r="D450" s="1243"/>
      <c r="E450" s="1243"/>
      <c r="F450" s="1243" t="s">
        <v>186</v>
      </c>
      <c r="G450" s="963"/>
      <c r="H450" s="778" t="s">
        <v>12</v>
      </c>
      <c r="I450" s="830"/>
      <c r="J450" s="830"/>
      <c r="K450" s="831"/>
      <c r="L450" s="831"/>
      <c r="M450" s="831"/>
      <c r="N450" s="1031">
        <f>22120+300+4780</f>
        <v>27200</v>
      </c>
      <c r="O450" s="831"/>
      <c r="P450" s="831"/>
    </row>
    <row r="451" spans="1:16" ht="18.75">
      <c r="A451" s="1241"/>
      <c r="B451" s="1242"/>
      <c r="C451" s="1243"/>
      <c r="D451" s="1243"/>
      <c r="E451" s="1243"/>
      <c r="F451" s="1243" t="s">
        <v>187</v>
      </c>
      <c r="G451" s="963"/>
      <c r="H451" s="778" t="s">
        <v>12</v>
      </c>
      <c r="I451" s="830"/>
      <c r="J451" s="830"/>
      <c r="K451" s="831"/>
      <c r="L451" s="831"/>
      <c r="M451" s="831"/>
      <c r="N451" s="1031">
        <v>0</v>
      </c>
      <c r="O451" s="831"/>
      <c r="P451" s="831"/>
    </row>
    <row r="452" spans="1:16" ht="18.75">
      <c r="A452" s="1241"/>
      <c r="B452" s="1242"/>
      <c r="C452" s="1242"/>
      <c r="D452" s="1242"/>
      <c r="E452" s="1242"/>
      <c r="F452" s="1243" t="s">
        <v>188</v>
      </c>
      <c r="G452" s="963"/>
      <c r="H452" s="778" t="s">
        <v>12</v>
      </c>
      <c r="I452" s="830"/>
      <c r="J452" s="830"/>
      <c r="K452" s="831"/>
      <c r="L452" s="831"/>
      <c r="M452" s="831"/>
      <c r="N452" s="1031">
        <f>26000+13000+13000</f>
        <v>52000</v>
      </c>
      <c r="O452" s="831"/>
      <c r="P452" s="831"/>
    </row>
    <row r="453" spans="1:16" ht="18.75">
      <c r="A453" s="1241"/>
      <c r="B453" s="1242"/>
      <c r="C453" s="1242"/>
      <c r="D453" s="1242"/>
      <c r="E453" s="1242"/>
      <c r="F453" s="1243" t="s">
        <v>189</v>
      </c>
      <c r="G453" s="963"/>
      <c r="H453" s="778" t="s">
        <v>12</v>
      </c>
      <c r="I453" s="830"/>
      <c r="J453" s="830"/>
      <c r="K453" s="831"/>
      <c r="L453" s="831"/>
      <c r="M453" s="831"/>
      <c r="N453" s="1031">
        <f>2150+1480+1240+1000</f>
        <v>5870</v>
      </c>
      <c r="O453" s="831"/>
      <c r="P453" s="831"/>
    </row>
    <row r="454" spans="1:16" ht="18.75">
      <c r="A454" s="1259"/>
      <c r="B454" s="1242"/>
      <c r="C454" s="1242"/>
      <c r="D454" s="1266" t="s">
        <v>21</v>
      </c>
      <c r="E454" s="1242"/>
      <c r="F454" s="1243"/>
      <c r="G454" s="963"/>
      <c r="H454" s="168" t="s">
        <v>12</v>
      </c>
      <c r="I454" s="944"/>
      <c r="J454" s="944"/>
      <c r="K454" s="945"/>
      <c r="L454" s="831">
        <f t="shared" ref="L454:N454" ca="1" si="202">L455+L456</f>
        <v>0</v>
      </c>
      <c r="M454" s="831">
        <f t="shared" si="202"/>
        <v>0</v>
      </c>
      <c r="N454" s="831">
        <f t="shared" si="202"/>
        <v>0</v>
      </c>
      <c r="O454" s="831">
        <f t="shared" ref="O454:O456" ca="1" si="203">IF(L454&gt;0,N454*100/L454,0)</f>
        <v>0</v>
      </c>
      <c r="P454" s="831">
        <f t="shared" ref="P454:P456" si="204">IF(M454&gt;0,N454*100/M454,0)</f>
        <v>0</v>
      </c>
    </row>
    <row r="455" spans="1:16" ht="18.75" hidden="1">
      <c r="A455" s="1260"/>
      <c r="B455" s="1265"/>
      <c r="C455" s="1265"/>
      <c r="D455" s="1265"/>
      <c r="E455" s="1265" t="s">
        <v>18</v>
      </c>
      <c r="F455" s="1261"/>
      <c r="G455" s="1263"/>
      <c r="H455" s="165" t="s">
        <v>12</v>
      </c>
      <c r="I455" s="947"/>
      <c r="J455" s="947"/>
      <c r="K455" s="948"/>
      <c r="L455" s="837">
        <v>0</v>
      </c>
      <c r="M455" s="837">
        <v>0</v>
      </c>
      <c r="N455" s="837">
        <v>0</v>
      </c>
      <c r="O455" s="837">
        <f t="shared" si="203"/>
        <v>0</v>
      </c>
      <c r="P455" s="837">
        <f t="shared" si="204"/>
        <v>0</v>
      </c>
    </row>
    <row r="456" spans="1:16" ht="18.75" hidden="1">
      <c r="A456" s="1260"/>
      <c r="B456" s="1265"/>
      <c r="C456" s="1265"/>
      <c r="D456" s="1265"/>
      <c r="E456" s="1265" t="s">
        <v>19</v>
      </c>
      <c r="F456" s="1261"/>
      <c r="G456" s="1263"/>
      <c r="H456" s="169" t="s">
        <v>12</v>
      </c>
      <c r="I456" s="947"/>
      <c r="J456" s="947"/>
      <c r="K456" s="948"/>
      <c r="L456" s="837">
        <f ca="1">IFERROR(__xludf.DUMMYFUNCTION("IMPORTRANGE(""https://docs.google.com/spreadsheets/d/1QqKyyYR6Q21VydFLVH3TRQUabQu_ym0Zz7PgGX0-kHA/edit?usp=sharing"",""แผน!FM16"")"),0)</f>
        <v>0</v>
      </c>
      <c r="M456" s="837">
        <v>0</v>
      </c>
      <c r="N456" s="837">
        <v>0</v>
      </c>
      <c r="O456" s="837">
        <f t="shared" ca="1" si="203"/>
        <v>0</v>
      </c>
      <c r="P456" s="837">
        <f t="shared" si="204"/>
        <v>0</v>
      </c>
    </row>
    <row r="457" spans="1:16" ht="19.5">
      <c r="A457" s="1267"/>
      <c r="B457" s="1268"/>
      <c r="C457" s="1242" t="s">
        <v>16</v>
      </c>
      <c r="D457" s="1269" t="s">
        <v>38</v>
      </c>
      <c r="E457" s="1270"/>
      <c r="F457" s="1271"/>
      <c r="G457" s="1272"/>
      <c r="H457" s="954"/>
      <c r="I457" s="830"/>
      <c r="J457" s="830"/>
      <c r="K457" s="831"/>
      <c r="L457" s="831"/>
      <c r="M457" s="831"/>
      <c r="N457" s="831"/>
      <c r="O457" s="831"/>
      <c r="P457" s="831"/>
    </row>
    <row r="458" spans="1:16" ht="18.75" hidden="1">
      <c r="A458" s="1273"/>
      <c r="B458" s="1274"/>
      <c r="C458" s="1274"/>
      <c r="D458" s="1274" t="s">
        <v>200</v>
      </c>
      <c r="E458" s="1274"/>
      <c r="F458" s="1262"/>
      <c r="G458" s="1060"/>
      <c r="H458" s="583" t="s">
        <v>35</v>
      </c>
      <c r="I458" s="836">
        <v>0</v>
      </c>
      <c r="J458" s="836">
        <v>0</v>
      </c>
      <c r="K458" s="837">
        <f>IF(I458&gt;0,J458*100/I458,0)</f>
        <v>0</v>
      </c>
      <c r="L458" s="837"/>
      <c r="M458" s="837"/>
      <c r="N458" s="837"/>
      <c r="O458" s="837"/>
      <c r="P458" s="837"/>
    </row>
    <row r="459" spans="1:16" ht="18.75" hidden="1">
      <c r="A459" s="1273"/>
      <c r="B459" s="1274"/>
      <c r="C459" s="1274"/>
      <c r="D459" s="1274" t="s">
        <v>201</v>
      </c>
      <c r="E459" s="1274"/>
      <c r="F459" s="1262"/>
      <c r="G459" s="1060"/>
      <c r="H459" s="583"/>
      <c r="I459" s="836"/>
      <c r="J459" s="836"/>
      <c r="K459" s="837"/>
      <c r="L459" s="837"/>
      <c r="M459" s="837"/>
      <c r="N459" s="837"/>
      <c r="O459" s="837"/>
      <c r="P459" s="837"/>
    </row>
    <row r="460" spans="1:16" ht="18.75">
      <c r="A460" s="1267"/>
      <c r="B460" s="1268"/>
      <c r="C460" s="1268"/>
      <c r="D460" s="1268" t="s">
        <v>202</v>
      </c>
      <c r="E460" s="1268"/>
      <c r="F460" s="961"/>
      <c r="G460" s="954"/>
      <c r="H460" s="730" t="s">
        <v>35</v>
      </c>
      <c r="I460" s="830">
        <f ca="1">IFERROR(__xludf.DUMMYFUNCTION("IMPORTRANGE(""https://docs.google.com/spreadsheets/d/1QqKyyYR6Q21VydFLVH3TRQUabQu_ym0Zz7PgGX0-kHA/edit?usp=sharing"",""แผน!FN16"")"),40)</f>
        <v>40</v>
      </c>
      <c r="J460" s="959">
        <v>20</v>
      </c>
      <c r="K460" s="831">
        <f ca="1">IF(I460&gt;0,J460*100/I460,0)</f>
        <v>50</v>
      </c>
      <c r="L460" s="831"/>
      <c r="M460" s="831"/>
      <c r="N460" s="831"/>
      <c r="O460" s="831"/>
      <c r="P460" s="831"/>
    </row>
    <row r="461" spans="1:16" ht="18.75">
      <c r="A461" s="1267"/>
      <c r="B461" s="1268"/>
      <c r="C461" s="1268"/>
      <c r="D461" s="1268" t="s">
        <v>203</v>
      </c>
      <c r="E461" s="961"/>
      <c r="F461" s="961"/>
      <c r="G461" s="954"/>
      <c r="H461" s="730"/>
      <c r="I461" s="830"/>
      <c r="J461" s="830"/>
      <c r="K461" s="831"/>
      <c r="L461" s="831"/>
      <c r="M461" s="831"/>
      <c r="N461" s="831"/>
      <c r="O461" s="831"/>
      <c r="P461" s="831"/>
    </row>
    <row r="462" spans="1:16" ht="18.75">
      <c r="A462" s="1267"/>
      <c r="B462" s="1268"/>
      <c r="C462" s="1268"/>
      <c r="D462" s="1268" t="s">
        <v>204</v>
      </c>
      <c r="E462" s="961"/>
      <c r="F462" s="961"/>
      <c r="G462" s="954"/>
      <c r="H462" s="730" t="s">
        <v>46</v>
      </c>
      <c r="I462" s="830">
        <f ca="1">IFERROR(__xludf.DUMMYFUNCTION("IMPORTRANGE(""https://docs.google.com/spreadsheets/d/1QqKyyYR6Q21VydFLVH3TRQUabQu_ym0Zz7PgGX0-kHA/edit?usp=sharing"",""แผน!FO16"")"),80)</f>
        <v>80</v>
      </c>
      <c r="J462" s="959">
        <v>32</v>
      </c>
      <c r="K462" s="831">
        <f ca="1">IF(I462&gt;0,J462*100/I462,0)</f>
        <v>40</v>
      </c>
      <c r="L462" s="831"/>
      <c r="M462" s="831"/>
      <c r="N462" s="831"/>
      <c r="O462" s="831"/>
      <c r="P462" s="831"/>
    </row>
    <row r="463" spans="1:16" ht="18.75">
      <c r="A463" s="1267"/>
      <c r="B463" s="1268"/>
      <c r="C463" s="1268"/>
      <c r="D463" s="1268" t="s">
        <v>59</v>
      </c>
      <c r="E463" s="961"/>
      <c r="F463" s="1243"/>
      <c r="G463" s="963"/>
      <c r="H463" s="730" t="s">
        <v>46</v>
      </c>
      <c r="I463" s="830">
        <f ca="1">IFERROR(__xludf.DUMMYFUNCTION("IMPORTRANGE(""https://docs.google.com/spreadsheets/d/1QqKyyYR6Q21VydFLVH3TRQUabQu_ym0Zz7PgGX0-kHA/edit?usp=sharing"",""แผน!FO16"")"),80)</f>
        <v>80</v>
      </c>
      <c r="J463" s="959">
        <v>0</v>
      </c>
      <c r="K463" s="831"/>
      <c r="L463" s="831"/>
      <c r="M463" s="831"/>
      <c r="N463" s="831"/>
      <c r="O463" s="831"/>
      <c r="P463" s="831"/>
    </row>
    <row r="464" spans="1:16" ht="19.5">
      <c r="A464" s="1267"/>
      <c r="B464" s="1268"/>
      <c r="C464" s="1268"/>
      <c r="D464" s="1268"/>
      <c r="E464" s="961"/>
      <c r="F464" s="961"/>
      <c r="G464" s="1275"/>
      <c r="H464" s="730" t="s">
        <v>35</v>
      </c>
      <c r="I464" s="830">
        <f ca="1">IFERROR(__xludf.DUMMYFUNCTION("IMPORTRANGE(""https://docs.google.com/spreadsheets/d/1QqKyyYR6Q21VydFLVH3TRQUabQu_ym0Zz7PgGX0-kHA/edit?usp=sharing"",""แผน!FN16"")"),40)</f>
        <v>40</v>
      </c>
      <c r="J464" s="959">
        <v>0</v>
      </c>
      <c r="K464" s="831"/>
      <c r="L464" s="831"/>
      <c r="M464" s="831"/>
      <c r="N464" s="831"/>
      <c r="O464" s="831"/>
      <c r="P464" s="831"/>
    </row>
    <row r="465" spans="1:16" ht="19.5">
      <c r="A465" s="550">
        <v>3</v>
      </c>
      <c r="B465" s="1249" t="s">
        <v>205</v>
      </c>
      <c r="C465" s="1250"/>
      <c r="D465" s="1250"/>
      <c r="E465" s="1250"/>
      <c r="F465" s="1250"/>
      <c r="G465" s="1251"/>
      <c r="H465" s="554" t="s">
        <v>35</v>
      </c>
      <c r="I465" s="1252">
        <f ca="1">IFERROR(__xludf.DUMMYFUNCTION("IMPORTRANGE(""https://docs.google.com/spreadsheets/d/1QqKyyYR6Q21VydFLVH3TRQUabQu_ym0Zz7PgGX0-kHA/edit?usp=sharing"",""แผน!FX16"")"),131)</f>
        <v>131</v>
      </c>
      <c r="J465" s="1252">
        <f>J485+J489+J492</f>
        <v>131</v>
      </c>
      <c r="K465" s="1253">
        <f t="shared" ref="K465:K466" ca="1" si="205">IF(I465&gt;0,J465*100/I465,0)</f>
        <v>100</v>
      </c>
      <c r="L465" s="1254"/>
      <c r="M465" s="1254"/>
      <c r="N465" s="1254"/>
      <c r="O465" s="1254"/>
      <c r="P465" s="1254"/>
    </row>
    <row r="466" spans="1:16" ht="19.5">
      <c r="A466" s="1255"/>
      <c r="B466" s="1256"/>
      <c r="C466" s="1257"/>
      <c r="D466" s="1257"/>
      <c r="E466" s="1257"/>
      <c r="F466" s="1257"/>
      <c r="G466" s="1258"/>
      <c r="H466" s="532" t="s">
        <v>46</v>
      </c>
      <c r="I466" s="1237">
        <f ca="1">IFERROR(__xludf.DUMMYFUNCTION("IMPORTRANGE(""https://docs.google.com/spreadsheets/d/1QqKyyYR6Q21VydFLVH3TRQUabQu_ym0Zz7PgGX0-kHA/edit?usp=sharing"",""แผน!FW16"")"),1300)</f>
        <v>1300</v>
      </c>
      <c r="J466" s="1237">
        <f>J495+J498</f>
        <v>0</v>
      </c>
      <c r="K466" s="1238">
        <f t="shared" ca="1" si="205"/>
        <v>0</v>
      </c>
      <c r="L466" s="1239"/>
      <c r="M466" s="1239"/>
      <c r="N466" s="1239"/>
      <c r="O466" s="1239"/>
      <c r="P466" s="1239"/>
    </row>
    <row r="467" spans="1:16" ht="19.5">
      <c r="A467" s="1259"/>
      <c r="B467" s="1243"/>
      <c r="C467" s="1243" t="s">
        <v>16</v>
      </c>
      <c r="D467" s="1507" t="s">
        <v>17</v>
      </c>
      <c r="E467" s="1485"/>
      <c r="F467" s="1485"/>
      <c r="G467" s="963"/>
      <c r="H467" s="563" t="s">
        <v>12</v>
      </c>
      <c r="I467" s="830"/>
      <c r="J467" s="830"/>
      <c r="K467" s="831"/>
      <c r="L467" s="967">
        <f t="shared" ref="L467:N467" ca="1" si="206">L468+L469</f>
        <v>1171728</v>
      </c>
      <c r="M467" s="967">
        <f t="shared" si="206"/>
        <v>0</v>
      </c>
      <c r="N467" s="967">
        <f t="shared" si="206"/>
        <v>217143</v>
      </c>
      <c r="O467" s="967">
        <f t="shared" ref="O467:O472" ca="1" si="207">IF(L467&gt;0,N467*100/L467,0)</f>
        <v>18.531860636598253</v>
      </c>
      <c r="P467" s="967">
        <f t="shared" ref="P467:P472" si="208">IF(M467&gt;0,N467*100/M467,0)</f>
        <v>0</v>
      </c>
    </row>
    <row r="468" spans="1:16" ht="18.75" hidden="1">
      <c r="A468" s="1260"/>
      <c r="B468" s="1261"/>
      <c r="C468" s="1261"/>
      <c r="D468" s="1262"/>
      <c r="E468" s="1261" t="s">
        <v>184</v>
      </c>
      <c r="F468" s="1261"/>
      <c r="G468" s="1263"/>
      <c r="H468" s="165" t="s">
        <v>12</v>
      </c>
      <c r="I468" s="836"/>
      <c r="J468" s="836"/>
      <c r="K468" s="837"/>
      <c r="L468" s="837">
        <f t="shared" ref="L468:N469" si="209">L471+L478</f>
        <v>0</v>
      </c>
      <c r="M468" s="837">
        <f t="shared" si="209"/>
        <v>0</v>
      </c>
      <c r="N468" s="837">
        <f t="shared" si="209"/>
        <v>0</v>
      </c>
      <c r="O468" s="837">
        <f t="shared" si="207"/>
        <v>0</v>
      </c>
      <c r="P468" s="837">
        <f t="shared" si="208"/>
        <v>0</v>
      </c>
    </row>
    <row r="469" spans="1:16" ht="18.75" hidden="1">
      <c r="A469" s="1260"/>
      <c r="B469" s="1265"/>
      <c r="C469" s="1261"/>
      <c r="D469" s="1262"/>
      <c r="E469" s="1261" t="s">
        <v>185</v>
      </c>
      <c r="F469" s="1261"/>
      <c r="G469" s="1263"/>
      <c r="H469" s="165" t="s">
        <v>12</v>
      </c>
      <c r="I469" s="836"/>
      <c r="J469" s="836"/>
      <c r="K469" s="837"/>
      <c r="L469" s="837">
        <f t="shared" ca="1" si="209"/>
        <v>1171728</v>
      </c>
      <c r="M469" s="837">
        <f t="shared" si="209"/>
        <v>0</v>
      </c>
      <c r="N469" s="837">
        <f t="shared" si="209"/>
        <v>217143</v>
      </c>
      <c r="O469" s="837">
        <f t="shared" ca="1" si="207"/>
        <v>18.531860636598253</v>
      </c>
      <c r="P469" s="837">
        <f t="shared" si="208"/>
        <v>0</v>
      </c>
    </row>
    <row r="470" spans="1:16" ht="18.75">
      <c r="A470" s="1259"/>
      <c r="B470" s="1242"/>
      <c r="C470" s="1243"/>
      <c r="D470" s="1266" t="s">
        <v>20</v>
      </c>
      <c r="E470" s="1243"/>
      <c r="F470" s="1243"/>
      <c r="G470" s="963"/>
      <c r="H470" s="778" t="s">
        <v>12</v>
      </c>
      <c r="I470" s="944"/>
      <c r="J470" s="944"/>
      <c r="K470" s="945"/>
      <c r="L470" s="831">
        <f t="shared" ref="L470:N470" ca="1" si="210">L471+L472</f>
        <v>1171728</v>
      </c>
      <c r="M470" s="831">
        <f t="shared" si="210"/>
        <v>0</v>
      </c>
      <c r="N470" s="831">
        <f t="shared" si="210"/>
        <v>217143</v>
      </c>
      <c r="O470" s="831">
        <f t="shared" ca="1" si="207"/>
        <v>18.531860636598253</v>
      </c>
      <c r="P470" s="831">
        <f t="shared" si="208"/>
        <v>0</v>
      </c>
    </row>
    <row r="471" spans="1:16" ht="18.75" hidden="1">
      <c r="A471" s="1260"/>
      <c r="B471" s="1265"/>
      <c r="C471" s="1261"/>
      <c r="D471" s="1262"/>
      <c r="E471" s="1261" t="s">
        <v>184</v>
      </c>
      <c r="F471" s="1261"/>
      <c r="G471" s="1263"/>
      <c r="H471" s="165" t="s">
        <v>12</v>
      </c>
      <c r="I471" s="836"/>
      <c r="J471" s="836"/>
      <c r="K471" s="837"/>
      <c r="L471" s="837">
        <v>0</v>
      </c>
      <c r="M471" s="837">
        <v>0</v>
      </c>
      <c r="N471" s="837">
        <v>0</v>
      </c>
      <c r="O471" s="837">
        <f t="shared" si="207"/>
        <v>0</v>
      </c>
      <c r="P471" s="837">
        <f t="shared" si="208"/>
        <v>0</v>
      </c>
    </row>
    <row r="472" spans="1:16" ht="18.75" hidden="1">
      <c r="A472" s="1260"/>
      <c r="B472" s="1265"/>
      <c r="C472" s="1261"/>
      <c r="D472" s="1262"/>
      <c r="E472" s="1261" t="s">
        <v>185</v>
      </c>
      <c r="F472" s="1261"/>
      <c r="G472" s="1263"/>
      <c r="H472" s="165" t="s">
        <v>12</v>
      </c>
      <c r="I472" s="836"/>
      <c r="J472" s="836"/>
      <c r="K472" s="837"/>
      <c r="L472" s="837">
        <f ca="1">IFERROR(__xludf.DUMMYFUNCTION("IMPORTRANGE(""https://docs.google.com/spreadsheets/d/1QqKyyYR6Q21VydFLVH3TRQUabQu_ym0Zz7PgGX0-kHA/edit?usp=sharing"",""แผน!FS16"")"),1171728)</f>
        <v>1171728</v>
      </c>
      <c r="M472" s="837">
        <v>0</v>
      </c>
      <c r="N472" s="837">
        <f>N473+N474+N475+N476</f>
        <v>217143</v>
      </c>
      <c r="O472" s="837">
        <f t="shared" ca="1" si="207"/>
        <v>18.531860636598253</v>
      </c>
      <c r="P472" s="837">
        <f t="shared" si="208"/>
        <v>0</v>
      </c>
    </row>
    <row r="473" spans="1:16" ht="18.75">
      <c r="A473" s="1241"/>
      <c r="B473" s="1242"/>
      <c r="C473" s="1243"/>
      <c r="D473" s="1243"/>
      <c r="E473" s="1243"/>
      <c r="F473" s="1243" t="s">
        <v>186</v>
      </c>
      <c r="G473" s="963"/>
      <c r="H473" s="778" t="s">
        <v>12</v>
      </c>
      <c r="I473" s="830"/>
      <c r="J473" s="830"/>
      <c r="K473" s="831"/>
      <c r="L473" s="831"/>
      <c r="M473" s="831"/>
      <c r="N473" s="1031">
        <f>69014+7020+1080+8248+3981+34700+2250+15210</f>
        <v>141503</v>
      </c>
      <c r="O473" s="831"/>
      <c r="P473" s="831"/>
    </row>
    <row r="474" spans="1:16" ht="18.75">
      <c r="A474" s="1241"/>
      <c r="B474" s="1242"/>
      <c r="C474" s="1243"/>
      <c r="D474" s="1243"/>
      <c r="E474" s="1243"/>
      <c r="F474" s="1243" t="s">
        <v>187</v>
      </c>
      <c r="G474" s="963"/>
      <c r="H474" s="778" t="s">
        <v>12</v>
      </c>
      <c r="I474" s="830"/>
      <c r="J474" s="830"/>
      <c r="K474" s="831"/>
      <c r="L474" s="831"/>
      <c r="M474" s="831"/>
      <c r="N474" s="1031">
        <v>0</v>
      </c>
      <c r="O474" s="831"/>
      <c r="P474" s="831"/>
    </row>
    <row r="475" spans="1:16" ht="18.75">
      <c r="A475" s="1241"/>
      <c r="B475" s="1242"/>
      <c r="C475" s="1242"/>
      <c r="D475" s="1242"/>
      <c r="E475" s="1242"/>
      <c r="F475" s="1243" t="s">
        <v>188</v>
      </c>
      <c r="G475" s="963"/>
      <c r="H475" s="778" t="s">
        <v>12</v>
      </c>
      <c r="I475" s="830"/>
      <c r="J475" s="830"/>
      <c r="K475" s="831"/>
      <c r="L475" s="831"/>
      <c r="M475" s="831"/>
      <c r="N475" s="1031">
        <f>39000+13000</f>
        <v>52000</v>
      </c>
      <c r="O475" s="831"/>
      <c r="P475" s="831"/>
    </row>
    <row r="476" spans="1:16" ht="18.75">
      <c r="A476" s="1241"/>
      <c r="B476" s="1242"/>
      <c r="C476" s="1242"/>
      <c r="D476" s="1242"/>
      <c r="E476" s="1242"/>
      <c r="F476" s="1243" t="s">
        <v>189</v>
      </c>
      <c r="G476" s="963"/>
      <c r="H476" s="778" t="s">
        <v>12</v>
      </c>
      <c r="I476" s="830"/>
      <c r="J476" s="830"/>
      <c r="K476" s="831"/>
      <c r="L476" s="831"/>
      <c r="M476" s="831"/>
      <c r="N476" s="1031">
        <f>19220+5060+160-800</f>
        <v>23640</v>
      </c>
      <c r="O476" s="831"/>
      <c r="P476" s="831"/>
    </row>
    <row r="477" spans="1:16" ht="18.75">
      <c r="A477" s="1259"/>
      <c r="B477" s="1242"/>
      <c r="C477" s="1242"/>
      <c r="D477" s="1266" t="s">
        <v>21</v>
      </c>
      <c r="E477" s="1242"/>
      <c r="F477" s="1242"/>
      <c r="G477" s="963"/>
      <c r="H477" s="168" t="s">
        <v>12</v>
      </c>
      <c r="I477" s="944"/>
      <c r="J477" s="944"/>
      <c r="K477" s="945"/>
      <c r="L477" s="831">
        <f t="shared" ref="L477:N477" ca="1" si="211">L478+L479</f>
        <v>0</v>
      </c>
      <c r="M477" s="831">
        <f t="shared" si="211"/>
        <v>0</v>
      </c>
      <c r="N477" s="831">
        <f t="shared" si="211"/>
        <v>0</v>
      </c>
      <c r="O477" s="831">
        <f t="shared" ref="O477:O479" ca="1" si="212">IF(L477&gt;0,N477*100/L477,0)</f>
        <v>0</v>
      </c>
      <c r="P477" s="831">
        <f t="shared" ref="P477:P479" si="213">IF(M477&gt;0,N477*100/M477,0)</f>
        <v>0</v>
      </c>
    </row>
    <row r="478" spans="1:16" ht="18.75" hidden="1">
      <c r="A478" s="1260"/>
      <c r="B478" s="1265"/>
      <c r="C478" s="1265"/>
      <c r="D478" s="1265"/>
      <c r="E478" s="1265" t="s">
        <v>18</v>
      </c>
      <c r="F478" s="1265"/>
      <c r="G478" s="1263"/>
      <c r="H478" s="165" t="s">
        <v>12</v>
      </c>
      <c r="I478" s="947"/>
      <c r="J478" s="947"/>
      <c r="K478" s="948"/>
      <c r="L478" s="837">
        <v>0</v>
      </c>
      <c r="M478" s="837">
        <v>0</v>
      </c>
      <c r="N478" s="837">
        <v>0</v>
      </c>
      <c r="O478" s="837">
        <f t="shared" si="212"/>
        <v>0</v>
      </c>
      <c r="P478" s="837">
        <f t="shared" si="213"/>
        <v>0</v>
      </c>
    </row>
    <row r="479" spans="1:16" ht="18.75" hidden="1">
      <c r="A479" s="1260"/>
      <c r="B479" s="1265"/>
      <c r="C479" s="1265"/>
      <c r="D479" s="1265"/>
      <c r="E479" s="1265" t="s">
        <v>19</v>
      </c>
      <c r="F479" s="1265"/>
      <c r="G479" s="1263"/>
      <c r="H479" s="169" t="s">
        <v>12</v>
      </c>
      <c r="I479" s="947"/>
      <c r="J479" s="947"/>
      <c r="K479" s="948"/>
      <c r="L479" s="837">
        <f ca="1">IFERROR(__xludf.DUMMYFUNCTION("IMPORTRANGE(""https://docs.google.com/spreadsheets/d/1QqKyyYR6Q21VydFLVH3TRQUabQu_ym0Zz7PgGX0-kHA/edit?usp=sharing"",""แผน!FV16"")"),0)</f>
        <v>0</v>
      </c>
      <c r="M479" s="837">
        <v>0</v>
      </c>
      <c r="N479" s="837">
        <v>0</v>
      </c>
      <c r="O479" s="837">
        <f t="shared" ca="1" si="212"/>
        <v>0</v>
      </c>
      <c r="P479" s="837">
        <f t="shared" si="213"/>
        <v>0</v>
      </c>
    </row>
    <row r="480" spans="1:16" ht="19.5">
      <c r="A480" s="1267"/>
      <c r="B480" s="1268"/>
      <c r="C480" s="1242" t="s">
        <v>16</v>
      </c>
      <c r="D480" s="1276" t="s">
        <v>38</v>
      </c>
      <c r="E480" s="1270"/>
      <c r="F480" s="1271"/>
      <c r="G480" s="1272"/>
      <c r="H480" s="954"/>
      <c r="I480" s="830"/>
      <c r="J480" s="830"/>
      <c r="K480" s="831"/>
      <c r="L480" s="831"/>
      <c r="M480" s="831"/>
      <c r="N480" s="831"/>
      <c r="O480" s="831"/>
      <c r="P480" s="831"/>
    </row>
    <row r="481" spans="1:16" ht="19.5">
      <c r="A481" s="1267"/>
      <c r="B481" s="1268"/>
      <c r="C481" s="1268"/>
      <c r="D481" s="1277" t="s">
        <v>206</v>
      </c>
      <c r="E481" s="1268"/>
      <c r="F481" s="1268"/>
      <c r="G481" s="954"/>
      <c r="H481" s="963"/>
      <c r="I481" s="830"/>
      <c r="J481" s="830"/>
      <c r="K481" s="831"/>
      <c r="L481" s="831"/>
      <c r="M481" s="831"/>
      <c r="N481" s="831"/>
      <c r="O481" s="831"/>
      <c r="P481" s="831"/>
    </row>
    <row r="482" spans="1:16" ht="18.75">
      <c r="A482" s="1267"/>
      <c r="B482" s="1268"/>
      <c r="C482" s="1268"/>
      <c r="D482" s="1268"/>
      <c r="E482" s="1268" t="s">
        <v>207</v>
      </c>
      <c r="F482" s="1268"/>
      <c r="G482" s="954"/>
      <c r="H482" s="963"/>
      <c r="I482" s="830"/>
      <c r="J482" s="830"/>
      <c r="K482" s="831"/>
      <c r="L482" s="831"/>
      <c r="M482" s="831"/>
      <c r="N482" s="831"/>
      <c r="O482" s="831"/>
      <c r="P482" s="831"/>
    </row>
    <row r="483" spans="1:16" ht="18.75">
      <c r="A483" s="1267"/>
      <c r="B483" s="1268"/>
      <c r="C483" s="1268"/>
      <c r="D483" s="1268"/>
      <c r="E483" s="1268"/>
      <c r="F483" s="1268" t="s">
        <v>208</v>
      </c>
      <c r="G483" s="954"/>
      <c r="H483" s="590" t="s">
        <v>46</v>
      </c>
      <c r="I483" s="830">
        <f ca="1">IFERROR(__xludf.DUMMYFUNCTION("IMPORTRANGE(""https://docs.google.com/spreadsheets/d/1QqKyyYR6Q21VydFLVH3TRQUabQu_ym0Zz7PgGX0-kHA/edit?usp=sharing"",""แผน!FY16"")"),1170)</f>
        <v>1170</v>
      </c>
      <c r="J483" s="959">
        <v>1170</v>
      </c>
      <c r="K483" s="831">
        <f ca="1">IF(I483&gt;0,J483*100/I483,0)</f>
        <v>100</v>
      </c>
      <c r="L483" s="831"/>
      <c r="M483" s="831"/>
      <c r="N483" s="831"/>
      <c r="O483" s="831"/>
      <c r="P483" s="831"/>
    </row>
    <row r="484" spans="1:16" ht="18.75">
      <c r="A484" s="1267"/>
      <c r="B484" s="1268"/>
      <c r="C484" s="1268"/>
      <c r="D484" s="1268"/>
      <c r="E484" s="1268"/>
      <c r="F484" s="1268" t="s">
        <v>209</v>
      </c>
      <c r="G484" s="954"/>
      <c r="H484" s="590" t="s">
        <v>35</v>
      </c>
      <c r="I484" s="830"/>
      <c r="J484" s="959">
        <v>125</v>
      </c>
      <c r="K484" s="831"/>
      <c r="L484" s="831"/>
      <c r="M484" s="831"/>
      <c r="N484" s="831"/>
      <c r="O484" s="831"/>
      <c r="P484" s="831"/>
    </row>
    <row r="485" spans="1:16" ht="18.75">
      <c r="A485" s="1267"/>
      <c r="B485" s="1268"/>
      <c r="C485" s="1268"/>
      <c r="D485" s="1268"/>
      <c r="E485" s="1268"/>
      <c r="F485" s="1268" t="s">
        <v>210</v>
      </c>
      <c r="G485" s="954"/>
      <c r="H485" s="590" t="s">
        <v>35</v>
      </c>
      <c r="I485" s="830">
        <f ca="1">IFERROR(__xludf.DUMMYFUNCTION("IMPORTRANGE(""https://docs.google.com/spreadsheets/d/1QqKyyYR6Q21VydFLVH3TRQUabQu_ym0Zz7PgGX0-kHA/edit?usp=sharing"",""แผน!FZ16"")"),117)</f>
        <v>117</v>
      </c>
      <c r="J485" s="959">
        <v>117</v>
      </c>
      <c r="K485" s="831">
        <f ca="1">IF(I485&gt;0,J485*100/I485,0)</f>
        <v>100</v>
      </c>
      <c r="L485" s="831"/>
      <c r="M485" s="831"/>
      <c r="N485" s="831"/>
      <c r="O485" s="831"/>
      <c r="P485" s="831"/>
    </row>
    <row r="486" spans="1:16" ht="18.75">
      <c r="A486" s="1267"/>
      <c r="B486" s="1268"/>
      <c r="C486" s="1268"/>
      <c r="D486" s="1268"/>
      <c r="E486" s="1268" t="s">
        <v>62</v>
      </c>
      <c r="F486" s="1268"/>
      <c r="G486" s="954"/>
      <c r="H486" s="590"/>
      <c r="I486" s="830"/>
      <c r="J486" s="830"/>
      <c r="K486" s="831"/>
      <c r="L486" s="831"/>
      <c r="M486" s="831"/>
      <c r="N486" s="831"/>
      <c r="O486" s="831"/>
      <c r="P486" s="831"/>
    </row>
    <row r="487" spans="1:16" ht="18.75">
      <c r="A487" s="1267"/>
      <c r="B487" s="1268"/>
      <c r="C487" s="1268"/>
      <c r="D487" s="1268"/>
      <c r="E487" s="1268"/>
      <c r="F487" s="1268" t="s">
        <v>208</v>
      </c>
      <c r="G487" s="954"/>
      <c r="H487" s="590" t="s">
        <v>46</v>
      </c>
      <c r="I487" s="830">
        <f ca="1">IFERROR(__xludf.DUMMYFUNCTION("IMPORTRANGE(""https://docs.google.com/spreadsheets/d/1QqKyyYR6Q21VydFLVH3TRQUabQu_ym0Zz7PgGX0-kHA/edit?usp=sharing"",""แผน!GA16"")"),130)</f>
        <v>130</v>
      </c>
      <c r="J487" s="959">
        <v>130</v>
      </c>
      <c r="K487" s="831">
        <f ca="1">IF(I487&gt;0,J487*100/I487,0)</f>
        <v>100</v>
      </c>
      <c r="L487" s="831"/>
      <c r="M487" s="831"/>
      <c r="N487" s="831"/>
      <c r="O487" s="831"/>
      <c r="P487" s="831"/>
    </row>
    <row r="488" spans="1:16" ht="18.75">
      <c r="A488" s="1267"/>
      <c r="B488" s="1268"/>
      <c r="C488" s="1268"/>
      <c r="D488" s="1268"/>
      <c r="E488" s="1268"/>
      <c r="F488" s="1268" t="s">
        <v>211</v>
      </c>
      <c r="G488" s="954"/>
      <c r="H488" s="590" t="s">
        <v>35</v>
      </c>
      <c r="I488" s="830"/>
      <c r="J488" s="959">
        <v>25</v>
      </c>
      <c r="K488" s="831"/>
      <c r="L488" s="831"/>
      <c r="M488" s="831"/>
      <c r="N488" s="831"/>
      <c r="O488" s="831"/>
      <c r="P488" s="831"/>
    </row>
    <row r="489" spans="1:16" ht="18.75">
      <c r="A489" s="1267"/>
      <c r="B489" s="1268"/>
      <c r="C489" s="1268"/>
      <c r="D489" s="1268"/>
      <c r="E489" s="1268"/>
      <c r="F489" s="1268" t="s">
        <v>212</v>
      </c>
      <c r="G489" s="954"/>
      <c r="H489" s="590" t="s">
        <v>35</v>
      </c>
      <c r="I489" s="830">
        <f ca="1">IFERROR(__xludf.DUMMYFUNCTION("IMPORTRANGE(""https://docs.google.com/spreadsheets/d/1QqKyyYR6Q21VydFLVH3TRQUabQu_ym0Zz7PgGX0-kHA/edit?usp=sharing"",""แผน!GB16"")"),13)</f>
        <v>13</v>
      </c>
      <c r="J489" s="959">
        <v>13</v>
      </c>
      <c r="K489" s="831">
        <f ca="1">IF(I489&gt;0,J489*100/I489,0)</f>
        <v>100</v>
      </c>
      <c r="L489" s="831"/>
      <c r="M489" s="831"/>
      <c r="N489" s="831"/>
      <c r="O489" s="831"/>
      <c r="P489" s="831"/>
    </row>
    <row r="490" spans="1:16" ht="18.75">
      <c r="A490" s="1267"/>
      <c r="B490" s="1268"/>
      <c r="C490" s="1268"/>
      <c r="D490" s="1268"/>
      <c r="E490" s="1268" t="s">
        <v>63</v>
      </c>
      <c r="F490" s="961"/>
      <c r="G490" s="954"/>
      <c r="H490" s="590"/>
      <c r="I490" s="830"/>
      <c r="J490" s="830"/>
      <c r="K490" s="831"/>
      <c r="L490" s="831"/>
      <c r="M490" s="831"/>
      <c r="N490" s="831"/>
      <c r="O490" s="831"/>
      <c r="P490" s="831"/>
    </row>
    <row r="491" spans="1:16" ht="18.75">
      <c r="A491" s="1267"/>
      <c r="B491" s="1268"/>
      <c r="C491" s="1268"/>
      <c r="D491" s="1268"/>
      <c r="E491" s="1268"/>
      <c r="F491" s="1268" t="s">
        <v>213</v>
      </c>
      <c r="G491" s="954"/>
      <c r="H491" s="590" t="s">
        <v>35</v>
      </c>
      <c r="I491" s="830"/>
      <c r="J491" s="959">
        <v>1</v>
      </c>
      <c r="K491" s="831"/>
      <c r="L491" s="831"/>
      <c r="M491" s="831"/>
      <c r="N491" s="831"/>
      <c r="O491" s="831"/>
      <c r="P491" s="831"/>
    </row>
    <row r="492" spans="1:16" ht="18.75">
      <c r="A492" s="1267"/>
      <c r="B492" s="1268"/>
      <c r="C492" s="1268"/>
      <c r="D492" s="1268"/>
      <c r="E492" s="1268"/>
      <c r="F492" s="1268" t="s">
        <v>214</v>
      </c>
      <c r="G492" s="954"/>
      <c r="H492" s="590" t="s">
        <v>35</v>
      </c>
      <c r="I492" s="830">
        <f ca="1">IFERROR(__xludf.DUMMYFUNCTION("IMPORTRANGE(""https://docs.google.com/spreadsheets/d/1QqKyyYR6Q21VydFLVH3TRQUabQu_ym0Zz7PgGX0-kHA/edit?usp=sharing"",""แผน!GC16"")"),1)</f>
        <v>1</v>
      </c>
      <c r="J492" s="959">
        <v>1</v>
      </c>
      <c r="K492" s="831">
        <f ca="1">IF(I492&gt;0,J492*100/I492,0)</f>
        <v>100</v>
      </c>
      <c r="L492" s="831"/>
      <c r="M492" s="831"/>
      <c r="N492" s="831"/>
      <c r="O492" s="831"/>
      <c r="P492" s="831"/>
    </row>
    <row r="493" spans="1:16" ht="19.5">
      <c r="A493" s="1267"/>
      <c r="B493" s="1268"/>
      <c r="C493" s="1268"/>
      <c r="D493" s="1277" t="s">
        <v>59</v>
      </c>
      <c r="E493" s="1268"/>
      <c r="F493" s="961"/>
      <c r="G493" s="954"/>
      <c r="H493" s="963"/>
      <c r="I493" s="830"/>
      <c r="J493" s="830"/>
      <c r="K493" s="831"/>
      <c r="L493" s="831"/>
      <c r="M493" s="831"/>
      <c r="N493" s="831"/>
      <c r="O493" s="831"/>
      <c r="P493" s="831"/>
    </row>
    <row r="494" spans="1:16" ht="18.75">
      <c r="A494" s="1267"/>
      <c r="B494" s="1268"/>
      <c r="C494" s="1268"/>
      <c r="D494" s="1268"/>
      <c r="E494" s="1268" t="s">
        <v>207</v>
      </c>
      <c r="F494" s="961"/>
      <c r="G494" s="954"/>
      <c r="H494" s="963"/>
      <c r="I494" s="830"/>
      <c r="J494" s="830"/>
      <c r="K494" s="831"/>
      <c r="L494" s="831"/>
      <c r="M494" s="831"/>
      <c r="N494" s="831"/>
      <c r="O494" s="831"/>
      <c r="P494" s="831"/>
    </row>
    <row r="495" spans="1:16" ht="18.75">
      <c r="A495" s="1267"/>
      <c r="B495" s="1268"/>
      <c r="C495" s="1268"/>
      <c r="D495" s="1268"/>
      <c r="E495" s="1268"/>
      <c r="F495" s="961" t="s">
        <v>215</v>
      </c>
      <c r="G495" s="954"/>
      <c r="H495" s="590" t="s">
        <v>46</v>
      </c>
      <c r="I495" s="830">
        <f ca="1">IFERROR(__xludf.DUMMYFUNCTION("IMPORTRANGE(""https://docs.google.com/spreadsheets/d/1QqKyyYR6Q21VydFLVH3TRQUabQu_ym0Zz7PgGX0-kHA/edit?usp=sharing"",""แผน!FY16"")"),1170)</f>
        <v>1170</v>
      </c>
      <c r="J495" s="959">
        <v>0</v>
      </c>
      <c r="K495" s="831">
        <f ca="1">IF(I495&gt;0,J495*100/I495,0)</f>
        <v>0</v>
      </c>
      <c r="L495" s="831"/>
      <c r="M495" s="831"/>
      <c r="N495" s="831"/>
      <c r="O495" s="831"/>
      <c r="P495" s="831"/>
    </row>
    <row r="496" spans="1:16" ht="18.75">
      <c r="A496" s="1267"/>
      <c r="B496" s="1268"/>
      <c r="C496" s="1268"/>
      <c r="D496" s="1268"/>
      <c r="E496" s="1268"/>
      <c r="F496" s="961" t="s">
        <v>216</v>
      </c>
      <c r="G496" s="954"/>
      <c r="H496" s="590" t="s">
        <v>46</v>
      </c>
      <c r="I496" s="830"/>
      <c r="J496" s="959">
        <v>0</v>
      </c>
      <c r="K496" s="831"/>
      <c r="L496" s="831"/>
      <c r="M496" s="831"/>
      <c r="N496" s="831"/>
      <c r="O496" s="831"/>
      <c r="P496" s="831"/>
    </row>
    <row r="497" spans="1:16" ht="18.75">
      <c r="A497" s="1267"/>
      <c r="B497" s="1268"/>
      <c r="C497" s="1268"/>
      <c r="D497" s="1268"/>
      <c r="E497" s="1268" t="s">
        <v>62</v>
      </c>
      <c r="F497" s="961"/>
      <c r="G497" s="954"/>
      <c r="H497" s="963"/>
      <c r="I497" s="830"/>
      <c r="J497" s="830"/>
      <c r="K497" s="831"/>
      <c r="L497" s="831"/>
      <c r="M497" s="831"/>
      <c r="N497" s="831"/>
      <c r="O497" s="831"/>
      <c r="P497" s="831"/>
    </row>
    <row r="498" spans="1:16" ht="18.75">
      <c r="A498" s="1267"/>
      <c r="B498" s="1268"/>
      <c r="C498" s="1268"/>
      <c r="D498" s="1268"/>
      <c r="E498" s="961"/>
      <c r="F498" s="961" t="s">
        <v>217</v>
      </c>
      <c r="G498" s="954"/>
      <c r="H498" s="590" t="s">
        <v>46</v>
      </c>
      <c r="I498" s="830">
        <f ca="1">IFERROR(__xludf.DUMMYFUNCTION("IMPORTRANGE(""https://docs.google.com/spreadsheets/d/1QqKyyYR6Q21VydFLVH3TRQUabQu_ym0Zz7PgGX0-kHA/edit?usp=sharing"",""แผน!GA16"")"),130)</f>
        <v>130</v>
      </c>
      <c r="J498" s="959">
        <v>0</v>
      </c>
      <c r="K498" s="831">
        <f ca="1">IF(I498&gt;0,J498*100/I498,0)</f>
        <v>0</v>
      </c>
      <c r="L498" s="831"/>
      <c r="M498" s="831"/>
      <c r="N498" s="831"/>
      <c r="O498" s="831"/>
      <c r="P498" s="831"/>
    </row>
    <row r="499" spans="1:16" ht="18.75">
      <c r="A499" s="1267"/>
      <c r="B499" s="1268"/>
      <c r="C499" s="1268"/>
      <c r="D499" s="1268"/>
      <c r="E499" s="961"/>
      <c r="F499" s="961" t="s">
        <v>218</v>
      </c>
      <c r="G499" s="954"/>
      <c r="H499" s="590" t="s">
        <v>46</v>
      </c>
      <c r="I499" s="830"/>
      <c r="J499" s="959">
        <v>0</v>
      </c>
      <c r="K499" s="831"/>
      <c r="L499" s="831"/>
      <c r="M499" s="831"/>
      <c r="N499" s="831"/>
      <c r="O499" s="831"/>
      <c r="P499" s="831"/>
    </row>
    <row r="500" spans="1:16" ht="19.5" hidden="1">
      <c r="A500" s="594">
        <v>4</v>
      </c>
      <c r="B500" s="1278" t="s">
        <v>219</v>
      </c>
      <c r="C500" s="1279"/>
      <c r="D500" s="1280"/>
      <c r="E500" s="1280"/>
      <c r="F500" s="1280"/>
      <c r="G500" s="1281"/>
      <c r="H500" s="599" t="s">
        <v>109</v>
      </c>
      <c r="I500" s="1282"/>
      <c r="J500" s="1282">
        <f t="shared" ref="J500:J501" si="214">J516</f>
        <v>0</v>
      </c>
      <c r="K500" s="1283">
        <f t="shared" ref="K500:K501" si="215">IF(I500&gt;0,J500*100/I500,0)</f>
        <v>0</v>
      </c>
      <c r="L500" s="1284"/>
      <c r="M500" s="1284"/>
      <c r="N500" s="1284"/>
      <c r="O500" s="1284"/>
      <c r="P500" s="1284"/>
    </row>
    <row r="501" spans="1:16" ht="19.5" hidden="1">
      <c r="A501" s="1285"/>
      <c r="B501" s="1286" t="s">
        <v>220</v>
      </c>
      <c r="C501" s="1286"/>
      <c r="D501" s="1287"/>
      <c r="E501" s="1287"/>
      <c r="F501" s="1287"/>
      <c r="G501" s="1288"/>
      <c r="H501" s="608" t="s">
        <v>35</v>
      </c>
      <c r="I501" s="1289"/>
      <c r="J501" s="1289">
        <f t="shared" si="214"/>
        <v>0</v>
      </c>
      <c r="K501" s="1290">
        <f t="shared" si="215"/>
        <v>0</v>
      </c>
      <c r="L501" s="1291"/>
      <c r="M501" s="1291"/>
      <c r="N501" s="1291"/>
      <c r="O501" s="1291"/>
      <c r="P501" s="1291"/>
    </row>
    <row r="502" spans="1:16" ht="19.5" hidden="1">
      <c r="A502" s="1260"/>
      <c r="B502" s="1261"/>
      <c r="C502" s="1261" t="s">
        <v>16</v>
      </c>
      <c r="D502" s="1508" t="s">
        <v>17</v>
      </c>
      <c r="E502" s="1485"/>
      <c r="F502" s="1485"/>
      <c r="G502" s="1263"/>
      <c r="H502" s="612" t="s">
        <v>12</v>
      </c>
      <c r="I502" s="836"/>
      <c r="J502" s="836"/>
      <c r="K502" s="837"/>
      <c r="L502" s="1292">
        <f t="shared" ref="L502:N502" si="216">L503+L504</f>
        <v>0</v>
      </c>
      <c r="M502" s="1292">
        <f t="shared" si="216"/>
        <v>0</v>
      </c>
      <c r="N502" s="1292">
        <f t="shared" si="216"/>
        <v>0</v>
      </c>
      <c r="O502" s="1292">
        <f t="shared" ref="O502:O507" si="217">IF(L502&gt;0,N502*100/L502,0)</f>
        <v>0</v>
      </c>
      <c r="P502" s="1292">
        <f t="shared" ref="P502:P507" si="218">IF(M502&gt;0,N502*100/M502,0)</f>
        <v>0</v>
      </c>
    </row>
    <row r="503" spans="1:16" ht="18.75" hidden="1">
      <c r="A503" s="1260"/>
      <c r="B503" s="1261"/>
      <c r="C503" s="1261"/>
      <c r="D503" s="1262"/>
      <c r="E503" s="1261" t="s">
        <v>184</v>
      </c>
      <c r="F503" s="1261"/>
      <c r="G503" s="1263"/>
      <c r="H503" s="165" t="s">
        <v>12</v>
      </c>
      <c r="I503" s="836"/>
      <c r="J503" s="836"/>
      <c r="K503" s="837"/>
      <c r="L503" s="837">
        <f t="shared" ref="L503:N504" si="219">L506+L513</f>
        <v>0</v>
      </c>
      <c r="M503" s="837">
        <f t="shared" si="219"/>
        <v>0</v>
      </c>
      <c r="N503" s="837">
        <f t="shared" si="219"/>
        <v>0</v>
      </c>
      <c r="O503" s="837">
        <f t="shared" si="217"/>
        <v>0</v>
      </c>
      <c r="P503" s="837">
        <f t="shared" si="218"/>
        <v>0</v>
      </c>
    </row>
    <row r="504" spans="1:16" ht="18.75" hidden="1">
      <c r="A504" s="1260"/>
      <c r="B504" s="1265"/>
      <c r="C504" s="1261"/>
      <c r="D504" s="1262"/>
      <c r="E504" s="1261" t="s">
        <v>185</v>
      </c>
      <c r="F504" s="1261"/>
      <c r="G504" s="1263"/>
      <c r="H504" s="165" t="s">
        <v>12</v>
      </c>
      <c r="I504" s="836"/>
      <c r="J504" s="836"/>
      <c r="K504" s="837"/>
      <c r="L504" s="837">
        <f t="shared" si="219"/>
        <v>0</v>
      </c>
      <c r="M504" s="837">
        <f t="shared" si="219"/>
        <v>0</v>
      </c>
      <c r="N504" s="837">
        <f t="shared" si="219"/>
        <v>0</v>
      </c>
      <c r="O504" s="837">
        <f t="shared" si="217"/>
        <v>0</v>
      </c>
      <c r="P504" s="837">
        <f t="shared" si="218"/>
        <v>0</v>
      </c>
    </row>
    <row r="505" spans="1:16" ht="18.75" hidden="1">
      <c r="A505" s="1260"/>
      <c r="B505" s="1265"/>
      <c r="C505" s="1261"/>
      <c r="D505" s="1293" t="s">
        <v>20</v>
      </c>
      <c r="E505" s="1261"/>
      <c r="F505" s="1261"/>
      <c r="G505" s="1263"/>
      <c r="H505" s="165" t="s">
        <v>12</v>
      </c>
      <c r="I505" s="947"/>
      <c r="J505" s="947"/>
      <c r="K505" s="948"/>
      <c r="L505" s="837">
        <f t="shared" ref="L505:N505" si="220">L506+L507</f>
        <v>0</v>
      </c>
      <c r="M505" s="837">
        <f t="shared" si="220"/>
        <v>0</v>
      </c>
      <c r="N505" s="837">
        <f t="shared" si="220"/>
        <v>0</v>
      </c>
      <c r="O505" s="837">
        <f t="shared" si="217"/>
        <v>0</v>
      </c>
      <c r="P505" s="837">
        <f t="shared" si="218"/>
        <v>0</v>
      </c>
    </row>
    <row r="506" spans="1:16" ht="18.75" hidden="1">
      <c r="A506" s="1260"/>
      <c r="B506" s="1265"/>
      <c r="C506" s="1261"/>
      <c r="D506" s="1262"/>
      <c r="E506" s="1261" t="s">
        <v>184</v>
      </c>
      <c r="F506" s="1261"/>
      <c r="G506" s="1263"/>
      <c r="H506" s="165" t="s">
        <v>12</v>
      </c>
      <c r="I506" s="836"/>
      <c r="J506" s="836"/>
      <c r="K506" s="837"/>
      <c r="L506" s="837">
        <v>0</v>
      </c>
      <c r="M506" s="837">
        <v>0</v>
      </c>
      <c r="N506" s="837">
        <v>0</v>
      </c>
      <c r="O506" s="837">
        <f t="shared" si="217"/>
        <v>0</v>
      </c>
      <c r="P506" s="837">
        <f t="shared" si="218"/>
        <v>0</v>
      </c>
    </row>
    <row r="507" spans="1:16" ht="18.75" hidden="1">
      <c r="A507" s="1260"/>
      <c r="B507" s="1265"/>
      <c r="C507" s="1261"/>
      <c r="D507" s="1262"/>
      <c r="E507" s="1261" t="s">
        <v>185</v>
      </c>
      <c r="F507" s="1261"/>
      <c r="G507" s="1263"/>
      <c r="H507" s="165" t="s">
        <v>12</v>
      </c>
      <c r="I507" s="836"/>
      <c r="J507" s="836"/>
      <c r="K507" s="837"/>
      <c r="L507" s="837">
        <v>0</v>
      </c>
      <c r="M507" s="837">
        <v>0</v>
      </c>
      <c r="N507" s="837">
        <f>N508+N509+N510+N511</f>
        <v>0</v>
      </c>
      <c r="O507" s="837">
        <f t="shared" si="217"/>
        <v>0</v>
      </c>
      <c r="P507" s="837">
        <f t="shared" si="218"/>
        <v>0</v>
      </c>
    </row>
    <row r="508" spans="1:16" ht="18.75" hidden="1">
      <c r="A508" s="1294"/>
      <c r="B508" s="1265"/>
      <c r="C508" s="1261"/>
      <c r="D508" s="1261"/>
      <c r="E508" s="1261"/>
      <c r="F508" s="1261" t="s">
        <v>186</v>
      </c>
      <c r="G508" s="1263"/>
      <c r="H508" s="165" t="s">
        <v>12</v>
      </c>
      <c r="I508" s="836"/>
      <c r="J508" s="836"/>
      <c r="K508" s="837"/>
      <c r="L508" s="837"/>
      <c r="M508" s="837"/>
      <c r="N508" s="837">
        <v>0</v>
      </c>
      <c r="O508" s="837"/>
      <c r="P508" s="837"/>
    </row>
    <row r="509" spans="1:16" ht="18.75" hidden="1">
      <c r="A509" s="1294"/>
      <c r="B509" s="1265"/>
      <c r="C509" s="1261"/>
      <c r="D509" s="1261"/>
      <c r="E509" s="1261"/>
      <c r="F509" s="1261" t="s">
        <v>187</v>
      </c>
      <c r="G509" s="1263"/>
      <c r="H509" s="165" t="s">
        <v>12</v>
      </c>
      <c r="I509" s="836"/>
      <c r="J509" s="836"/>
      <c r="K509" s="837"/>
      <c r="L509" s="837"/>
      <c r="M509" s="837"/>
      <c r="N509" s="837">
        <v>0</v>
      </c>
      <c r="O509" s="837"/>
      <c r="P509" s="837"/>
    </row>
    <row r="510" spans="1:16" ht="18.75" hidden="1">
      <c r="A510" s="1294"/>
      <c r="B510" s="1265"/>
      <c r="C510" s="1265"/>
      <c r="D510" s="1265"/>
      <c r="E510" s="1261"/>
      <c r="F510" s="1261" t="s">
        <v>188</v>
      </c>
      <c r="G510" s="1263"/>
      <c r="H510" s="165" t="s">
        <v>12</v>
      </c>
      <c r="I510" s="836"/>
      <c r="J510" s="836"/>
      <c r="K510" s="837"/>
      <c r="L510" s="837"/>
      <c r="M510" s="837"/>
      <c r="N510" s="837">
        <v>0</v>
      </c>
      <c r="O510" s="837"/>
      <c r="P510" s="837"/>
    </row>
    <row r="511" spans="1:16" ht="18.75" hidden="1">
      <c r="A511" s="1294"/>
      <c r="B511" s="1265"/>
      <c r="C511" s="1265"/>
      <c r="D511" s="1265"/>
      <c r="E511" s="1261"/>
      <c r="F511" s="1261" t="s">
        <v>189</v>
      </c>
      <c r="G511" s="1263"/>
      <c r="H511" s="165" t="s">
        <v>12</v>
      </c>
      <c r="I511" s="836"/>
      <c r="J511" s="836"/>
      <c r="K511" s="837"/>
      <c r="L511" s="837"/>
      <c r="M511" s="837"/>
      <c r="N511" s="837">
        <v>0</v>
      </c>
      <c r="O511" s="837"/>
      <c r="P511" s="837"/>
    </row>
    <row r="512" spans="1:16" ht="18.75" hidden="1">
      <c r="A512" s="1260"/>
      <c r="B512" s="1265"/>
      <c r="C512" s="1265"/>
      <c r="D512" s="1293" t="s">
        <v>21</v>
      </c>
      <c r="E512" s="1265"/>
      <c r="F512" s="1261"/>
      <c r="G512" s="1263"/>
      <c r="H512" s="169" t="s">
        <v>12</v>
      </c>
      <c r="I512" s="947"/>
      <c r="J512" s="947"/>
      <c r="K512" s="948"/>
      <c r="L512" s="837">
        <f t="shared" ref="L512:N512" si="221">L513+L514</f>
        <v>0</v>
      </c>
      <c r="M512" s="837">
        <f t="shared" si="221"/>
        <v>0</v>
      </c>
      <c r="N512" s="837">
        <f t="shared" si="221"/>
        <v>0</v>
      </c>
      <c r="O512" s="837">
        <f t="shared" ref="O512:O514" si="222">IF(L512&gt;0,N512*100/L512,0)</f>
        <v>0</v>
      </c>
      <c r="P512" s="837">
        <f t="shared" ref="P512:P514" si="223">IF(M512&gt;0,N512*100/M512,0)</f>
        <v>0</v>
      </c>
    </row>
    <row r="513" spans="1:16" ht="18.75" hidden="1">
      <c r="A513" s="1260"/>
      <c r="B513" s="1265"/>
      <c r="C513" s="1265"/>
      <c r="D513" s="1265"/>
      <c r="E513" s="1265" t="s">
        <v>18</v>
      </c>
      <c r="F513" s="1261"/>
      <c r="G513" s="1263"/>
      <c r="H513" s="165" t="s">
        <v>12</v>
      </c>
      <c r="I513" s="947"/>
      <c r="J513" s="947"/>
      <c r="K513" s="948"/>
      <c r="L513" s="837">
        <v>0</v>
      </c>
      <c r="M513" s="837">
        <v>0</v>
      </c>
      <c r="N513" s="837">
        <v>0</v>
      </c>
      <c r="O513" s="837">
        <f t="shared" si="222"/>
        <v>0</v>
      </c>
      <c r="P513" s="837">
        <f t="shared" si="223"/>
        <v>0</v>
      </c>
    </row>
    <row r="514" spans="1:16" ht="18.75" hidden="1">
      <c r="A514" s="1260"/>
      <c r="B514" s="1265"/>
      <c r="C514" s="1265"/>
      <c r="D514" s="1261"/>
      <c r="E514" s="1265" t="s">
        <v>19</v>
      </c>
      <c r="F514" s="1261"/>
      <c r="G514" s="1263"/>
      <c r="H514" s="169" t="s">
        <v>12</v>
      </c>
      <c r="I514" s="947"/>
      <c r="J514" s="947"/>
      <c r="K514" s="948"/>
      <c r="L514" s="837">
        <v>0</v>
      </c>
      <c r="M514" s="837">
        <v>0</v>
      </c>
      <c r="N514" s="837">
        <v>0</v>
      </c>
      <c r="O514" s="837">
        <f t="shared" si="222"/>
        <v>0</v>
      </c>
      <c r="P514" s="837">
        <f t="shared" si="223"/>
        <v>0</v>
      </c>
    </row>
    <row r="515" spans="1:16" ht="19.5" hidden="1">
      <c r="A515" s="1273"/>
      <c r="B515" s="1274"/>
      <c r="C515" s="1265" t="s">
        <v>16</v>
      </c>
      <c r="D515" s="1295" t="s">
        <v>38</v>
      </c>
      <c r="E515" s="1296"/>
      <c r="F515" s="1296"/>
      <c r="G515" s="1297"/>
      <c r="H515" s="1060"/>
      <c r="I515" s="947"/>
      <c r="J515" s="947"/>
      <c r="K515" s="948"/>
      <c r="L515" s="948"/>
      <c r="M515" s="948"/>
      <c r="N515" s="948"/>
      <c r="O515" s="948"/>
      <c r="P515" s="948"/>
    </row>
    <row r="516" spans="1:16" ht="18.75" hidden="1">
      <c r="A516" s="1273"/>
      <c r="B516" s="1274"/>
      <c r="C516" s="1274"/>
      <c r="D516" s="1274" t="s">
        <v>221</v>
      </c>
      <c r="E516" s="1262"/>
      <c r="F516" s="1262"/>
      <c r="G516" s="1060"/>
      <c r="H516" s="619" t="s">
        <v>109</v>
      </c>
      <c r="I516" s="836"/>
      <c r="J516" s="836">
        <v>0</v>
      </c>
      <c r="K516" s="948">
        <f t="shared" ref="K516:K517" si="224">IF(I516&gt;0,J516*100/I516,0)</f>
        <v>0</v>
      </c>
      <c r="L516" s="948"/>
      <c r="M516" s="948"/>
      <c r="N516" s="948"/>
      <c r="O516" s="948"/>
      <c r="P516" s="948"/>
    </row>
    <row r="517" spans="1:16" ht="19.5" hidden="1">
      <c r="A517" s="1273"/>
      <c r="B517" s="1274"/>
      <c r="C517" s="1274"/>
      <c r="D517" s="1274" t="s">
        <v>222</v>
      </c>
      <c r="E517" s="1262"/>
      <c r="F517" s="1262"/>
      <c r="G517" s="1060"/>
      <c r="H517" s="620" t="s">
        <v>35</v>
      </c>
      <c r="I517" s="1298"/>
      <c r="J517" s="1298">
        <f>J518+J519</f>
        <v>0</v>
      </c>
      <c r="K517" s="1299">
        <f t="shared" si="224"/>
        <v>0</v>
      </c>
      <c r="L517" s="948"/>
      <c r="M517" s="948"/>
      <c r="N517" s="948"/>
      <c r="O517" s="948"/>
      <c r="P517" s="948"/>
    </row>
    <row r="518" spans="1:16" ht="18.75" hidden="1">
      <c r="A518" s="1273"/>
      <c r="B518" s="1274"/>
      <c r="C518" s="1274"/>
      <c r="D518" s="1274"/>
      <c r="E518" s="1274" t="s">
        <v>223</v>
      </c>
      <c r="F518" s="1262"/>
      <c r="G518" s="1060"/>
      <c r="H518" s="583" t="s">
        <v>35</v>
      </c>
      <c r="I518" s="836"/>
      <c r="J518" s="836"/>
      <c r="K518" s="948"/>
      <c r="L518" s="948"/>
      <c r="M518" s="948"/>
      <c r="N518" s="948"/>
      <c r="O518" s="948"/>
      <c r="P518" s="948"/>
    </row>
    <row r="519" spans="1:16" ht="18.75" hidden="1">
      <c r="A519" s="1273"/>
      <c r="B519" s="1274"/>
      <c r="C519" s="1274"/>
      <c r="D519" s="1274"/>
      <c r="E519" s="1274" t="s">
        <v>224</v>
      </c>
      <c r="F519" s="1262"/>
      <c r="G519" s="1060"/>
      <c r="H519" s="619" t="s">
        <v>35</v>
      </c>
      <c r="I519" s="836"/>
      <c r="J519" s="836"/>
      <c r="K519" s="948"/>
      <c r="L519" s="948"/>
      <c r="M519" s="948"/>
      <c r="N519" s="948"/>
      <c r="O519" s="948"/>
      <c r="P519" s="948"/>
    </row>
    <row r="520" spans="1:16" ht="19.5">
      <c r="A520" s="1300" t="s">
        <v>137</v>
      </c>
      <c r="B520" s="1301"/>
      <c r="C520" s="1301"/>
      <c r="D520" s="1302"/>
      <c r="E520" s="1302"/>
      <c r="F520" s="1302"/>
      <c r="G520" s="1303"/>
      <c r="H520" s="1304"/>
      <c r="I520" s="1305"/>
      <c r="J520" s="1305"/>
      <c r="K520" s="1306"/>
      <c r="L520" s="1306"/>
      <c r="M520" s="1306"/>
      <c r="N520" s="1306"/>
      <c r="O520" s="1306"/>
      <c r="P520" s="1306"/>
    </row>
    <row r="521" spans="1:16" ht="19.5" hidden="1">
      <c r="A521" s="630">
        <v>5</v>
      </c>
      <c r="B521" s="1307" t="s">
        <v>225</v>
      </c>
      <c r="C521" s="1308"/>
      <c r="D521" s="1309"/>
      <c r="E521" s="1309"/>
      <c r="F521" s="1309"/>
      <c r="G521" s="1309"/>
      <c r="H521" s="1310"/>
      <c r="I521" s="1311"/>
      <c r="J521" s="1311"/>
      <c r="K521" s="1312"/>
      <c r="L521" s="1312"/>
      <c r="M521" s="1312"/>
      <c r="N521" s="1312"/>
      <c r="O521" s="1312"/>
      <c r="P521" s="1312"/>
    </row>
    <row r="522" spans="1:16" ht="19.5" hidden="1">
      <c r="A522" s="1313"/>
      <c r="B522" s="1314" t="s">
        <v>226</v>
      </c>
      <c r="C522" s="1315"/>
      <c r="D522" s="1315"/>
      <c r="E522" s="1315"/>
      <c r="F522" s="1315"/>
      <c r="G522" s="1316"/>
      <c r="H522" s="641" t="s">
        <v>35</v>
      </c>
      <c r="I522" s="1317">
        <f t="shared" ref="I522:J522" ca="1" si="225">I537</f>
        <v>0</v>
      </c>
      <c r="J522" s="1317">
        <f t="shared" ca="1" si="225"/>
        <v>0</v>
      </c>
      <c r="K522" s="1318">
        <f ca="1">IF(I522&gt;0,J522*100/I522,0)</f>
        <v>0</v>
      </c>
      <c r="L522" s="1319"/>
      <c r="M522" s="1319"/>
      <c r="N522" s="1319"/>
      <c r="O522" s="1319"/>
      <c r="P522" s="1319"/>
    </row>
    <row r="523" spans="1:16" ht="19.5" hidden="1">
      <c r="A523" s="1259"/>
      <c r="B523" s="1243"/>
      <c r="C523" s="1243" t="s">
        <v>16</v>
      </c>
      <c r="D523" s="1507" t="s">
        <v>17</v>
      </c>
      <c r="E523" s="1485"/>
      <c r="F523" s="1485"/>
      <c r="G523" s="963"/>
      <c r="H523" s="563" t="s">
        <v>12</v>
      </c>
      <c r="I523" s="830"/>
      <c r="J523" s="830"/>
      <c r="K523" s="831"/>
      <c r="L523" s="967">
        <f t="shared" ref="L523:N523" ca="1" si="226">L524+L525</f>
        <v>0</v>
      </c>
      <c r="M523" s="967">
        <f t="shared" si="226"/>
        <v>0</v>
      </c>
      <c r="N523" s="967">
        <f t="shared" si="226"/>
        <v>0</v>
      </c>
      <c r="O523" s="967">
        <f t="shared" ref="O523:O528" ca="1" si="227">IF(L523&gt;0,N523*100/L523,0)</f>
        <v>0</v>
      </c>
      <c r="P523" s="967">
        <f t="shared" ref="P523:P528" si="228">IF(M523&gt;0,N523*100/M523,0)</f>
        <v>0</v>
      </c>
    </row>
    <row r="524" spans="1:16" ht="18.75" hidden="1">
      <c r="A524" s="1260"/>
      <c r="B524" s="1261"/>
      <c r="C524" s="1261"/>
      <c r="D524" s="1262"/>
      <c r="E524" s="1261" t="s">
        <v>184</v>
      </c>
      <c r="F524" s="1261"/>
      <c r="G524" s="1263"/>
      <c r="H524" s="165" t="s">
        <v>12</v>
      </c>
      <c r="I524" s="836"/>
      <c r="J524" s="836"/>
      <c r="K524" s="837"/>
      <c r="L524" s="837">
        <f t="shared" ref="L524:N525" si="229">L527+L534</f>
        <v>0</v>
      </c>
      <c r="M524" s="837">
        <f t="shared" si="229"/>
        <v>0</v>
      </c>
      <c r="N524" s="837">
        <f t="shared" si="229"/>
        <v>0</v>
      </c>
      <c r="O524" s="837">
        <f t="shared" si="227"/>
        <v>0</v>
      </c>
      <c r="P524" s="837">
        <f t="shared" si="228"/>
        <v>0</v>
      </c>
    </row>
    <row r="525" spans="1:16" ht="18.75" hidden="1">
      <c r="A525" s="1260"/>
      <c r="B525" s="1265"/>
      <c r="C525" s="1261"/>
      <c r="D525" s="1262"/>
      <c r="E525" s="1261" t="s">
        <v>185</v>
      </c>
      <c r="F525" s="1261"/>
      <c r="G525" s="1263"/>
      <c r="H525" s="165" t="s">
        <v>12</v>
      </c>
      <c r="I525" s="836"/>
      <c r="J525" s="836"/>
      <c r="K525" s="837"/>
      <c r="L525" s="837">
        <f t="shared" ca="1" si="229"/>
        <v>0</v>
      </c>
      <c r="M525" s="837">
        <f t="shared" si="229"/>
        <v>0</v>
      </c>
      <c r="N525" s="837">
        <f t="shared" si="229"/>
        <v>0</v>
      </c>
      <c r="O525" s="837">
        <f t="shared" ca="1" si="227"/>
        <v>0</v>
      </c>
      <c r="P525" s="837">
        <f t="shared" si="228"/>
        <v>0</v>
      </c>
    </row>
    <row r="526" spans="1:16" ht="18.75" hidden="1">
      <c r="A526" s="1259"/>
      <c r="B526" s="1242"/>
      <c r="C526" s="1243"/>
      <c r="D526" s="1266" t="s">
        <v>20</v>
      </c>
      <c r="E526" s="1243"/>
      <c r="F526" s="1243"/>
      <c r="G526" s="963"/>
      <c r="H526" s="778" t="s">
        <v>12</v>
      </c>
      <c r="I526" s="944"/>
      <c r="J526" s="944"/>
      <c r="K526" s="945"/>
      <c r="L526" s="831">
        <f t="shared" ref="L526:N526" ca="1" si="230">L527+L528</f>
        <v>0</v>
      </c>
      <c r="M526" s="831">
        <f t="shared" si="230"/>
        <v>0</v>
      </c>
      <c r="N526" s="831">
        <f t="shared" si="230"/>
        <v>0</v>
      </c>
      <c r="O526" s="831">
        <f t="shared" ca="1" si="227"/>
        <v>0</v>
      </c>
      <c r="P526" s="831">
        <f t="shared" si="228"/>
        <v>0</v>
      </c>
    </row>
    <row r="527" spans="1:16" ht="18.75" hidden="1">
      <c r="A527" s="1260"/>
      <c r="B527" s="1265"/>
      <c r="C527" s="1261"/>
      <c r="D527" s="1262"/>
      <c r="E527" s="1261" t="s">
        <v>184</v>
      </c>
      <c r="F527" s="1261"/>
      <c r="G527" s="1263"/>
      <c r="H527" s="165" t="s">
        <v>12</v>
      </c>
      <c r="I527" s="836"/>
      <c r="J527" s="836"/>
      <c r="K527" s="837"/>
      <c r="L527" s="837">
        <v>0</v>
      </c>
      <c r="M527" s="837">
        <v>0</v>
      </c>
      <c r="N527" s="837">
        <v>0</v>
      </c>
      <c r="O527" s="837">
        <f t="shared" si="227"/>
        <v>0</v>
      </c>
      <c r="P527" s="837">
        <f t="shared" si="228"/>
        <v>0</v>
      </c>
    </row>
    <row r="528" spans="1:16" ht="18.75" hidden="1">
      <c r="A528" s="1260"/>
      <c r="B528" s="1265"/>
      <c r="C528" s="1261"/>
      <c r="D528" s="1262"/>
      <c r="E528" s="1261" t="s">
        <v>185</v>
      </c>
      <c r="F528" s="1261"/>
      <c r="G528" s="1263"/>
      <c r="H528" s="165" t="s">
        <v>12</v>
      </c>
      <c r="I528" s="836"/>
      <c r="J528" s="836"/>
      <c r="K528" s="837"/>
      <c r="L528" s="837">
        <f ca="1">IFERROR(__xludf.DUMMYFUNCTION("IMPORTRANGE(""https://docs.google.com/spreadsheets/d/1QqKyyYR6Q21VydFLVH3TRQUabQu_ym0Zz7PgGX0-kHA/edit?usp=sharing"",""แผน!GQ16"")"),0)</f>
        <v>0</v>
      </c>
      <c r="M528" s="837">
        <v>0</v>
      </c>
      <c r="N528" s="837">
        <f>N529+N530+N531+N532</f>
        <v>0</v>
      </c>
      <c r="O528" s="837">
        <f t="shared" ca="1" si="227"/>
        <v>0</v>
      </c>
      <c r="P528" s="837">
        <f t="shared" si="228"/>
        <v>0</v>
      </c>
    </row>
    <row r="529" spans="1:16" ht="18.75" hidden="1">
      <c r="A529" s="1241"/>
      <c r="B529" s="1242"/>
      <c r="C529" s="1243"/>
      <c r="D529" s="1243"/>
      <c r="E529" s="1243"/>
      <c r="F529" s="1243" t="s">
        <v>186</v>
      </c>
      <c r="G529" s="963"/>
      <c r="H529" s="778" t="s">
        <v>12</v>
      </c>
      <c r="I529" s="830"/>
      <c r="J529" s="830"/>
      <c r="K529" s="831"/>
      <c r="L529" s="831"/>
      <c r="M529" s="831"/>
      <c r="N529" s="1031">
        <v>0</v>
      </c>
      <c r="O529" s="831"/>
      <c r="P529" s="831"/>
    </row>
    <row r="530" spans="1:16" ht="18.75" hidden="1">
      <c r="A530" s="1241"/>
      <c r="B530" s="1242"/>
      <c r="C530" s="1243"/>
      <c r="D530" s="1243"/>
      <c r="E530" s="1243"/>
      <c r="F530" s="1243" t="s">
        <v>187</v>
      </c>
      <c r="G530" s="963"/>
      <c r="H530" s="778" t="s">
        <v>12</v>
      </c>
      <c r="I530" s="830"/>
      <c r="J530" s="830"/>
      <c r="K530" s="831"/>
      <c r="L530" s="831"/>
      <c r="M530" s="831"/>
      <c r="N530" s="1031">
        <v>0</v>
      </c>
      <c r="O530" s="831"/>
      <c r="P530" s="831"/>
    </row>
    <row r="531" spans="1:16" ht="18.75" hidden="1">
      <c r="A531" s="1241"/>
      <c r="B531" s="1242"/>
      <c r="C531" s="1243"/>
      <c r="D531" s="1243"/>
      <c r="E531" s="1243"/>
      <c r="F531" s="1243" t="s">
        <v>188</v>
      </c>
      <c r="G531" s="963"/>
      <c r="H531" s="778" t="s">
        <v>12</v>
      </c>
      <c r="I531" s="830"/>
      <c r="J531" s="830"/>
      <c r="K531" s="831"/>
      <c r="L531" s="831"/>
      <c r="M531" s="831"/>
      <c r="N531" s="1031">
        <v>0</v>
      </c>
      <c r="O531" s="831"/>
      <c r="P531" s="831"/>
    </row>
    <row r="532" spans="1:16" ht="18.75" hidden="1">
      <c r="A532" s="1241"/>
      <c r="B532" s="1242"/>
      <c r="C532" s="1243"/>
      <c r="D532" s="1243"/>
      <c r="E532" s="1243"/>
      <c r="F532" s="1243" t="s">
        <v>189</v>
      </c>
      <c r="G532" s="963"/>
      <c r="H532" s="778" t="s">
        <v>12</v>
      </c>
      <c r="I532" s="830"/>
      <c r="J532" s="830"/>
      <c r="K532" s="831"/>
      <c r="L532" s="831"/>
      <c r="M532" s="831"/>
      <c r="N532" s="1031">
        <v>0</v>
      </c>
      <c r="O532" s="831"/>
      <c r="P532" s="831"/>
    </row>
    <row r="533" spans="1:16" ht="18.75" hidden="1">
      <c r="A533" s="1259"/>
      <c r="B533" s="1242"/>
      <c r="C533" s="1243"/>
      <c r="D533" s="1266" t="s">
        <v>21</v>
      </c>
      <c r="E533" s="1243"/>
      <c r="F533" s="1243"/>
      <c r="G533" s="963"/>
      <c r="H533" s="168" t="s">
        <v>12</v>
      </c>
      <c r="I533" s="944"/>
      <c r="J533" s="944"/>
      <c r="K533" s="945"/>
      <c r="L533" s="831">
        <f t="shared" ref="L533:N533" ca="1" si="231">L534+L535</f>
        <v>0</v>
      </c>
      <c r="M533" s="831">
        <f t="shared" si="231"/>
        <v>0</v>
      </c>
      <c r="N533" s="831">
        <f t="shared" si="231"/>
        <v>0</v>
      </c>
      <c r="O533" s="831">
        <f t="shared" ref="O533:O535" ca="1" si="232">IF(L533&gt;0,N533*100/L533,0)</f>
        <v>0</v>
      </c>
      <c r="P533" s="831">
        <f t="shared" ref="P533:P535" si="233">IF(M533&gt;0,N533*100/M533,0)</f>
        <v>0</v>
      </c>
    </row>
    <row r="534" spans="1:16" ht="18.75" hidden="1">
      <c r="A534" s="1260"/>
      <c r="B534" s="1265"/>
      <c r="C534" s="1261"/>
      <c r="D534" s="1261"/>
      <c r="E534" s="1261" t="s">
        <v>18</v>
      </c>
      <c r="F534" s="1261"/>
      <c r="G534" s="1263"/>
      <c r="H534" s="165" t="s">
        <v>12</v>
      </c>
      <c r="I534" s="947"/>
      <c r="J534" s="947"/>
      <c r="K534" s="948"/>
      <c r="L534" s="837">
        <v>0</v>
      </c>
      <c r="M534" s="837">
        <v>0</v>
      </c>
      <c r="N534" s="837">
        <v>0</v>
      </c>
      <c r="O534" s="837">
        <f t="shared" si="232"/>
        <v>0</v>
      </c>
      <c r="P534" s="837">
        <f t="shared" si="233"/>
        <v>0</v>
      </c>
    </row>
    <row r="535" spans="1:16" ht="18.75" hidden="1">
      <c r="A535" s="1260"/>
      <c r="B535" s="1265"/>
      <c r="C535" s="1261"/>
      <c r="D535" s="1261"/>
      <c r="E535" s="1261" t="s">
        <v>19</v>
      </c>
      <c r="F535" s="1261"/>
      <c r="G535" s="1263"/>
      <c r="H535" s="169" t="s">
        <v>12</v>
      </c>
      <c r="I535" s="947"/>
      <c r="J535" s="947"/>
      <c r="K535" s="948"/>
      <c r="L535" s="837">
        <f ca="1">IFERROR(__xludf.DUMMYFUNCTION("IMPORTRANGE(""https://docs.google.com/spreadsheets/d/1QqKyyYR6Q21VydFLVH3TRQUabQu_ym0Zz7PgGX0-kHA/edit?usp=sharing"",""แผน!GT16"")"),0)</f>
        <v>0</v>
      </c>
      <c r="M535" s="837">
        <v>0</v>
      </c>
      <c r="N535" s="837">
        <v>0</v>
      </c>
      <c r="O535" s="837">
        <f t="shared" ca="1" si="232"/>
        <v>0</v>
      </c>
      <c r="P535" s="837">
        <f t="shared" si="233"/>
        <v>0</v>
      </c>
    </row>
    <row r="536" spans="1:16" ht="19.5" hidden="1">
      <c r="A536" s="1267"/>
      <c r="B536" s="1268"/>
      <c r="C536" s="1243" t="s">
        <v>16</v>
      </c>
      <c r="D536" s="1320" t="s">
        <v>38</v>
      </c>
      <c r="E536" s="1271"/>
      <c r="F536" s="1271"/>
      <c r="G536" s="1272"/>
      <c r="H536" s="954"/>
      <c r="I536" s="944"/>
      <c r="J536" s="944"/>
      <c r="K536" s="945"/>
      <c r="L536" s="945"/>
      <c r="M536" s="945"/>
      <c r="N536" s="945"/>
      <c r="O536" s="945"/>
      <c r="P536" s="945"/>
    </row>
    <row r="537" spans="1:16" ht="19.5" hidden="1">
      <c r="A537" s="1241"/>
      <c r="B537" s="1242"/>
      <c r="C537" s="1243"/>
      <c r="D537" s="1243" t="s">
        <v>227</v>
      </c>
      <c r="E537" s="1243"/>
      <c r="F537" s="1243"/>
      <c r="G537" s="963"/>
      <c r="H537" s="590" t="s">
        <v>35</v>
      </c>
      <c r="I537" s="966">
        <f ca="1">IFERROR(__xludf.DUMMYFUNCTION("IMPORTRANGE(""https://docs.google.com/spreadsheets/d/1QqKyyYR6Q21VydFLVH3TRQUabQu_ym0Zz7PgGX0-kHA/edit?usp=sharing"",""แผน!GU16"")"),0)</f>
        <v>0</v>
      </c>
      <c r="J537" s="966">
        <f ca="1">IF(AND(J538=I538,J539=I539,J540=I540,J541=I541),I537,0)</f>
        <v>0</v>
      </c>
      <c r="K537" s="831">
        <f t="shared" ref="K537:K543" ca="1" si="234">IF(I537&gt;0,J537*100/I537,0)</f>
        <v>0</v>
      </c>
      <c r="L537" s="831"/>
      <c r="M537" s="831"/>
      <c r="N537" s="831"/>
      <c r="O537" s="831"/>
      <c r="P537" s="831"/>
    </row>
    <row r="538" spans="1:16" ht="18.75" hidden="1">
      <c r="A538" s="1241"/>
      <c r="B538" s="1242"/>
      <c r="C538" s="1243"/>
      <c r="D538" s="1243"/>
      <c r="E538" s="1243" t="s">
        <v>228</v>
      </c>
      <c r="F538" s="1243"/>
      <c r="G538" s="963"/>
      <c r="H538" s="590" t="s">
        <v>35</v>
      </c>
      <c r="I538" s="830">
        <f ca="1">IFERROR(__xludf.DUMMYFUNCTION("IMPORTRANGE(""https://docs.google.com/spreadsheets/d/1QqKyyYR6Q21VydFLVH3TRQUabQu_ym0Zz7PgGX0-kHA/edit?usp=sharing"",""แผน!GV16"")"),0)</f>
        <v>0</v>
      </c>
      <c r="J538" s="959">
        <v>0</v>
      </c>
      <c r="K538" s="831">
        <f t="shared" ca="1" si="234"/>
        <v>0</v>
      </c>
      <c r="L538" s="831"/>
      <c r="M538" s="831"/>
      <c r="N538" s="831"/>
      <c r="O538" s="831"/>
      <c r="P538" s="831"/>
    </row>
    <row r="539" spans="1:16" ht="18.75" hidden="1">
      <c r="A539" s="1241"/>
      <c r="B539" s="1242"/>
      <c r="C539" s="1243"/>
      <c r="D539" s="1243"/>
      <c r="E539" s="1243" t="s">
        <v>229</v>
      </c>
      <c r="F539" s="1243"/>
      <c r="G539" s="963"/>
      <c r="H539" s="590" t="s">
        <v>35</v>
      </c>
      <c r="I539" s="830">
        <f ca="1">IFERROR(__xludf.DUMMYFUNCTION("IMPORTRANGE(""https://docs.google.com/spreadsheets/d/1QqKyyYR6Q21VydFLVH3TRQUabQu_ym0Zz7PgGX0-kHA/edit?usp=sharing"",""แผน!GW16"")"),0)</f>
        <v>0</v>
      </c>
      <c r="J539" s="959">
        <v>0</v>
      </c>
      <c r="K539" s="831">
        <f t="shared" ca="1" si="234"/>
        <v>0</v>
      </c>
      <c r="L539" s="831"/>
      <c r="M539" s="831"/>
      <c r="N539" s="831"/>
      <c r="O539" s="831"/>
      <c r="P539" s="831"/>
    </row>
    <row r="540" spans="1:16" ht="18.75" hidden="1">
      <c r="A540" s="1241"/>
      <c r="B540" s="1242"/>
      <c r="C540" s="1243"/>
      <c r="D540" s="1243"/>
      <c r="E540" s="1243" t="s">
        <v>230</v>
      </c>
      <c r="F540" s="1243"/>
      <c r="G540" s="963"/>
      <c r="H540" s="590" t="s">
        <v>35</v>
      </c>
      <c r="I540" s="830">
        <f ca="1">IFERROR(__xludf.DUMMYFUNCTION("IMPORTRANGE(""https://docs.google.com/spreadsheets/d/1QqKyyYR6Q21VydFLVH3TRQUabQu_ym0Zz7PgGX0-kHA/edit?usp=sharing"",""แผน!GX16"")"),0)</f>
        <v>0</v>
      </c>
      <c r="J540" s="959">
        <v>0</v>
      </c>
      <c r="K540" s="831">
        <f t="shared" ca="1" si="234"/>
        <v>0</v>
      </c>
      <c r="L540" s="831"/>
      <c r="M540" s="831"/>
      <c r="N540" s="831"/>
      <c r="O540" s="831"/>
      <c r="P540" s="831"/>
    </row>
    <row r="541" spans="1:16" ht="18.75" hidden="1">
      <c r="A541" s="1241"/>
      <c r="B541" s="1242"/>
      <c r="C541" s="1243"/>
      <c r="D541" s="1243"/>
      <c r="E541" s="1322" t="s">
        <v>231</v>
      </c>
      <c r="F541" s="1243"/>
      <c r="G541" s="963"/>
      <c r="H541" s="590" t="s">
        <v>35</v>
      </c>
      <c r="I541" s="830">
        <f ca="1">IFERROR(__xludf.DUMMYFUNCTION("IMPORTRANGE(""https://docs.google.com/spreadsheets/d/1QqKyyYR6Q21VydFLVH3TRQUabQu_ym0Zz7PgGX0-kHA/edit?usp=sharing"",""แผน!GY16"")"),0)</f>
        <v>0</v>
      </c>
      <c r="J541" s="959">
        <v>0</v>
      </c>
      <c r="K541" s="831">
        <f t="shared" ca="1" si="234"/>
        <v>0</v>
      </c>
      <c r="L541" s="831"/>
      <c r="M541" s="831"/>
      <c r="N541" s="831"/>
      <c r="O541" s="831"/>
      <c r="P541" s="831"/>
    </row>
    <row r="542" spans="1:16" ht="18.75" hidden="1">
      <c r="A542" s="1241"/>
      <c r="B542" s="1242"/>
      <c r="C542" s="1243"/>
      <c r="D542" s="1243" t="s">
        <v>59</v>
      </c>
      <c r="E542" s="1243"/>
      <c r="F542" s="1243"/>
      <c r="G542" s="963"/>
      <c r="H542" s="590" t="s">
        <v>35</v>
      </c>
      <c r="I542" s="830">
        <f ca="1">IFERROR(__xludf.DUMMYFUNCTION("IMPORTRANGE(""https://docs.google.com/spreadsheets/d/1QqKyyYR6Q21VydFLVH3TRQUabQu_ym0Zz7PgGX0-kHA/edit?usp=sharing"",""แผน!GZ16"")"),0)</f>
        <v>0</v>
      </c>
      <c r="J542" s="959">
        <v>0</v>
      </c>
      <c r="K542" s="831">
        <f t="shared" ca="1" si="234"/>
        <v>0</v>
      </c>
      <c r="L542" s="831"/>
      <c r="M542" s="831"/>
      <c r="N542" s="831"/>
      <c r="O542" s="831"/>
      <c r="P542" s="831"/>
    </row>
    <row r="543" spans="1:16" ht="19.5">
      <c r="A543" s="630">
        <v>6</v>
      </c>
      <c r="B543" s="1323" t="s">
        <v>232</v>
      </c>
      <c r="C543" s="1309"/>
      <c r="D543" s="1309"/>
      <c r="E543" s="1309"/>
      <c r="F543" s="1309"/>
      <c r="G543" s="1310"/>
      <c r="H543" s="652" t="s">
        <v>46</v>
      </c>
      <c r="I543" s="1324">
        <f t="shared" ref="I543:J543" ca="1" si="235">I559</f>
        <v>7071</v>
      </c>
      <c r="J543" s="1324">
        <f t="shared" si="235"/>
        <v>6342.8</v>
      </c>
      <c r="K543" s="1325">
        <f t="shared" ca="1" si="234"/>
        <v>89.701598076651109</v>
      </c>
      <c r="L543" s="1312"/>
      <c r="M543" s="1312"/>
      <c r="N543" s="1312"/>
      <c r="O543" s="1312"/>
      <c r="P543" s="1312"/>
    </row>
    <row r="544" spans="1:16" ht="19.5">
      <c r="A544" s="1326"/>
      <c r="B544" s="1327"/>
      <c r="C544" s="1327" t="s">
        <v>16</v>
      </c>
      <c r="D544" s="1511" t="s">
        <v>17</v>
      </c>
      <c r="E544" s="1487"/>
      <c r="F544" s="1487"/>
      <c r="G544" s="1328"/>
      <c r="H544" s="275" t="s">
        <v>12</v>
      </c>
      <c r="I544" s="937"/>
      <c r="J544" s="937"/>
      <c r="K544" s="938"/>
      <c r="L544" s="939">
        <f t="shared" ref="L544:N544" ca="1" si="236">L545+L546</f>
        <v>695417</v>
      </c>
      <c r="M544" s="939">
        <f t="shared" si="236"/>
        <v>0</v>
      </c>
      <c r="N544" s="939">
        <f t="shared" si="236"/>
        <v>139116.04999999999</v>
      </c>
      <c r="O544" s="939">
        <f t="shared" ref="O544:O549" ca="1" si="237">IF(L544&gt;0,N544*100/L544,0)</f>
        <v>20.00469502471179</v>
      </c>
      <c r="P544" s="939">
        <f t="shared" ref="P544:P549" si="238">IF(M544&gt;0,N544*100/M544,0)</f>
        <v>0</v>
      </c>
    </row>
    <row r="545" spans="1:16" ht="18.75" hidden="1">
      <c r="A545" s="1260"/>
      <c r="B545" s="1261"/>
      <c r="C545" s="1261"/>
      <c r="D545" s="1261"/>
      <c r="E545" s="1261" t="s">
        <v>184</v>
      </c>
      <c r="F545" s="1261"/>
      <c r="G545" s="1263"/>
      <c r="H545" s="165" t="s">
        <v>12</v>
      </c>
      <c r="I545" s="836"/>
      <c r="J545" s="836"/>
      <c r="K545" s="837"/>
      <c r="L545" s="837">
        <f t="shared" ref="L545:L546" si="239">L548+L556</f>
        <v>0</v>
      </c>
      <c r="M545" s="837">
        <f t="shared" ref="M545:N546" si="240">M548+M555</f>
        <v>0</v>
      </c>
      <c r="N545" s="837">
        <f t="shared" si="240"/>
        <v>0</v>
      </c>
      <c r="O545" s="837">
        <f t="shared" si="237"/>
        <v>0</v>
      </c>
      <c r="P545" s="837">
        <f t="shared" si="238"/>
        <v>0</v>
      </c>
    </row>
    <row r="546" spans="1:16" ht="18.75" hidden="1">
      <c r="A546" s="1260"/>
      <c r="B546" s="1265"/>
      <c r="C546" s="1261"/>
      <c r="D546" s="1261"/>
      <c r="E546" s="1261" t="s">
        <v>185</v>
      </c>
      <c r="F546" s="1261"/>
      <c r="G546" s="1263"/>
      <c r="H546" s="165" t="s">
        <v>12</v>
      </c>
      <c r="I546" s="836"/>
      <c r="J546" s="836"/>
      <c r="K546" s="837"/>
      <c r="L546" s="837">
        <f t="shared" ca="1" si="239"/>
        <v>695417</v>
      </c>
      <c r="M546" s="837">
        <f t="shared" si="240"/>
        <v>0</v>
      </c>
      <c r="N546" s="837">
        <f t="shared" si="240"/>
        <v>139116.04999999999</v>
      </c>
      <c r="O546" s="837">
        <f t="shared" ca="1" si="237"/>
        <v>20.00469502471179</v>
      </c>
      <c r="P546" s="837">
        <f t="shared" si="238"/>
        <v>0</v>
      </c>
    </row>
    <row r="547" spans="1:16" ht="18.75">
      <c r="A547" s="1259"/>
      <c r="B547" s="1242"/>
      <c r="C547" s="1243"/>
      <c r="D547" s="1266" t="s">
        <v>20</v>
      </c>
      <c r="E547" s="1243"/>
      <c r="F547" s="1243"/>
      <c r="G547" s="963"/>
      <c r="H547" s="778" t="s">
        <v>12</v>
      </c>
      <c r="I547" s="944"/>
      <c r="J547" s="944"/>
      <c r="K547" s="945"/>
      <c r="L547" s="831">
        <f t="shared" ref="L547:N547" ca="1" si="241">L548+L549</f>
        <v>695417</v>
      </c>
      <c r="M547" s="831">
        <f t="shared" si="241"/>
        <v>0</v>
      </c>
      <c r="N547" s="831">
        <f t="shared" si="241"/>
        <v>139116.04999999999</v>
      </c>
      <c r="O547" s="831">
        <f t="shared" ca="1" si="237"/>
        <v>20.00469502471179</v>
      </c>
      <c r="P547" s="831">
        <f t="shared" si="238"/>
        <v>0</v>
      </c>
    </row>
    <row r="548" spans="1:16" ht="18.75" hidden="1">
      <c r="A548" s="1260"/>
      <c r="B548" s="1265"/>
      <c r="C548" s="1261"/>
      <c r="D548" s="1262"/>
      <c r="E548" s="1261" t="s">
        <v>184</v>
      </c>
      <c r="F548" s="1261"/>
      <c r="G548" s="1263"/>
      <c r="H548" s="165" t="s">
        <v>12</v>
      </c>
      <c r="I548" s="836"/>
      <c r="J548" s="836"/>
      <c r="K548" s="837"/>
      <c r="L548" s="837">
        <v>0</v>
      </c>
      <c r="M548" s="837">
        <v>0</v>
      </c>
      <c r="N548" s="837">
        <v>0</v>
      </c>
      <c r="O548" s="837">
        <f t="shared" si="237"/>
        <v>0</v>
      </c>
      <c r="P548" s="837">
        <f t="shared" si="238"/>
        <v>0</v>
      </c>
    </row>
    <row r="549" spans="1:16" ht="18.75" hidden="1">
      <c r="A549" s="1260"/>
      <c r="B549" s="1265"/>
      <c r="C549" s="1261"/>
      <c r="D549" s="1262"/>
      <c r="E549" s="1261" t="s">
        <v>185</v>
      </c>
      <c r="F549" s="1261"/>
      <c r="G549" s="1263"/>
      <c r="H549" s="165" t="s">
        <v>12</v>
      </c>
      <c r="I549" s="836"/>
      <c r="J549" s="836"/>
      <c r="K549" s="837"/>
      <c r="L549" s="837">
        <f ca="1">IFERROR(__xludf.DUMMYFUNCTION("IMPORTRANGE(""https://docs.google.com/spreadsheets/d/1QqKyyYR6Q21VydFLVH3TRQUabQu_ym0Zz7PgGX0-kHA/edit?usp=sharing"",""แผน!HB16"")"),695417)</f>
        <v>695417</v>
      </c>
      <c r="M549" s="837">
        <v>0</v>
      </c>
      <c r="N549" s="837">
        <f>N550+N551+N552+N553+N554</f>
        <v>139116.04999999999</v>
      </c>
      <c r="O549" s="837">
        <f t="shared" ca="1" si="237"/>
        <v>20.00469502471179</v>
      </c>
      <c r="P549" s="837">
        <f t="shared" si="238"/>
        <v>0</v>
      </c>
    </row>
    <row r="550" spans="1:16" ht="18.75">
      <c r="A550" s="1241"/>
      <c r="B550" s="1242"/>
      <c r="C550" s="1243"/>
      <c r="D550" s="1243"/>
      <c r="E550" s="1243"/>
      <c r="F550" s="1243" t="s">
        <v>186</v>
      </c>
      <c r="G550" s="963"/>
      <c r="H550" s="778" t="s">
        <v>12</v>
      </c>
      <c r="I550" s="830"/>
      <c r="J550" s="830"/>
      <c r="K550" s="831"/>
      <c r="L550" s="831"/>
      <c r="M550" s="831"/>
      <c r="N550" s="1031">
        <v>0</v>
      </c>
      <c r="O550" s="831"/>
      <c r="P550" s="831"/>
    </row>
    <row r="551" spans="1:16" ht="18.75">
      <c r="A551" s="1241"/>
      <c r="B551" s="1242"/>
      <c r="C551" s="1242"/>
      <c r="D551" s="1242"/>
      <c r="E551" s="1243"/>
      <c r="F551" s="1243" t="s">
        <v>187</v>
      </c>
      <c r="G551" s="963"/>
      <c r="H551" s="778" t="s">
        <v>12</v>
      </c>
      <c r="I551" s="830"/>
      <c r="J551" s="830"/>
      <c r="K551" s="831"/>
      <c r="L551" s="831"/>
      <c r="M551" s="831"/>
      <c r="N551" s="1031">
        <v>0</v>
      </c>
      <c r="O551" s="831"/>
      <c r="P551" s="831"/>
    </row>
    <row r="552" spans="1:16" ht="18.75">
      <c r="A552" s="1241"/>
      <c r="B552" s="1242"/>
      <c r="C552" s="1243"/>
      <c r="D552" s="1243"/>
      <c r="E552" s="1243"/>
      <c r="F552" s="1243" t="s">
        <v>188</v>
      </c>
      <c r="G552" s="963"/>
      <c r="H552" s="778" t="s">
        <v>12</v>
      </c>
      <c r="I552" s="830"/>
      <c r="J552" s="830"/>
      <c r="K552" s="831"/>
      <c r="L552" s="831"/>
      <c r="M552" s="831"/>
      <c r="N552" s="1031">
        <f>26000+9645.05+13000</f>
        <v>48645.05</v>
      </c>
      <c r="O552" s="831"/>
      <c r="P552" s="831"/>
    </row>
    <row r="553" spans="1:16" ht="18.75">
      <c r="A553" s="1241"/>
      <c r="B553" s="1242"/>
      <c r="C553" s="1242"/>
      <c r="D553" s="1242"/>
      <c r="E553" s="1243"/>
      <c r="F553" s="1243" t="s">
        <v>189</v>
      </c>
      <c r="G553" s="963"/>
      <c r="H553" s="778" t="s">
        <v>12</v>
      </c>
      <c r="I553" s="830"/>
      <c r="J553" s="830"/>
      <c r="K553" s="831"/>
      <c r="L553" s="831"/>
      <c r="M553" s="831"/>
      <c r="N553" s="1031">
        <f>46018+4405+1000+18440+9220+9888-2000+3500</f>
        <v>90471</v>
      </c>
      <c r="O553" s="831"/>
      <c r="P553" s="831"/>
    </row>
    <row r="554" spans="1:16" ht="18.75">
      <c r="A554" s="1241"/>
      <c r="B554" s="1242"/>
      <c r="C554" s="1242"/>
      <c r="D554" s="1242"/>
      <c r="E554" s="1243"/>
      <c r="F554" s="1243" t="s">
        <v>233</v>
      </c>
      <c r="G554" s="963"/>
      <c r="H554" s="778" t="s">
        <v>12</v>
      </c>
      <c r="I554" s="830"/>
      <c r="J554" s="830"/>
      <c r="K554" s="831"/>
      <c r="L554" s="831"/>
      <c r="M554" s="831"/>
      <c r="N554" s="1031">
        <v>0</v>
      </c>
      <c r="O554" s="831"/>
      <c r="P554" s="831"/>
    </row>
    <row r="555" spans="1:16" ht="18.75">
      <c r="A555" s="1259"/>
      <c r="B555" s="1242"/>
      <c r="C555" s="1242"/>
      <c r="D555" s="1266" t="s">
        <v>21</v>
      </c>
      <c r="E555" s="1243"/>
      <c r="F555" s="1243"/>
      <c r="G555" s="963"/>
      <c r="H555" s="168" t="s">
        <v>12</v>
      </c>
      <c r="I555" s="944"/>
      <c r="J555" s="944"/>
      <c r="K555" s="945"/>
      <c r="L555" s="831">
        <f t="shared" ref="L555:N555" ca="1" si="242">L556+L557</f>
        <v>0</v>
      </c>
      <c r="M555" s="831">
        <f t="shared" si="242"/>
        <v>0</v>
      </c>
      <c r="N555" s="831">
        <f t="shared" si="242"/>
        <v>0</v>
      </c>
      <c r="O555" s="831">
        <f t="shared" ref="O555:O557" ca="1" si="243">IF(L555&gt;0,N555*100/L555,0)</f>
        <v>0</v>
      </c>
      <c r="P555" s="831">
        <f t="shared" ref="P555:P557" si="244">IF(M555&gt;0,N555*100/M555,0)</f>
        <v>0</v>
      </c>
    </row>
    <row r="556" spans="1:16" ht="18.75" hidden="1">
      <c r="A556" s="1260"/>
      <c r="B556" s="1265"/>
      <c r="C556" s="1265"/>
      <c r="D556" s="1261"/>
      <c r="E556" s="1261" t="s">
        <v>18</v>
      </c>
      <c r="F556" s="1261"/>
      <c r="G556" s="1263"/>
      <c r="H556" s="165" t="s">
        <v>12</v>
      </c>
      <c r="I556" s="947"/>
      <c r="J556" s="947"/>
      <c r="K556" s="948"/>
      <c r="L556" s="837">
        <v>0</v>
      </c>
      <c r="M556" s="837">
        <v>0</v>
      </c>
      <c r="N556" s="837">
        <v>0</v>
      </c>
      <c r="O556" s="837">
        <f t="shared" si="243"/>
        <v>0</v>
      </c>
      <c r="P556" s="837">
        <f t="shared" si="244"/>
        <v>0</v>
      </c>
    </row>
    <row r="557" spans="1:16" ht="18.75" hidden="1">
      <c r="A557" s="1260"/>
      <c r="B557" s="1265"/>
      <c r="C557" s="1265"/>
      <c r="D557" s="1261"/>
      <c r="E557" s="1261" t="s">
        <v>19</v>
      </c>
      <c r="F557" s="1261"/>
      <c r="G557" s="1263"/>
      <c r="H557" s="169" t="s">
        <v>12</v>
      </c>
      <c r="I557" s="947"/>
      <c r="J557" s="947"/>
      <c r="K557" s="948"/>
      <c r="L557" s="837">
        <f ca="1">IFERROR(__xludf.DUMMYFUNCTION("IMPORTRANGE(""https://docs.google.com/spreadsheets/d/1QqKyyYR6Q21VydFLVH3TRQUabQu_ym0Zz7PgGX0-kHA/edit?usp=sharing"",""แผน!HF16"")"),0)</f>
        <v>0</v>
      </c>
      <c r="M557" s="837">
        <v>0</v>
      </c>
      <c r="N557" s="837">
        <v>0</v>
      </c>
      <c r="O557" s="837">
        <f t="shared" ca="1" si="243"/>
        <v>0</v>
      </c>
      <c r="P557" s="837">
        <f t="shared" si="244"/>
        <v>0</v>
      </c>
    </row>
    <row r="558" spans="1:16" ht="19.5">
      <c r="A558" s="1267"/>
      <c r="B558" s="1268"/>
      <c r="C558" s="1242" t="s">
        <v>16</v>
      </c>
      <c r="D558" s="1320" t="s">
        <v>38</v>
      </c>
      <c r="E558" s="1271"/>
      <c r="F558" s="1271"/>
      <c r="G558" s="1272"/>
      <c r="H558" s="954"/>
      <c r="I558" s="944"/>
      <c r="J558" s="944"/>
      <c r="K558" s="945"/>
      <c r="L558" s="945"/>
      <c r="M558" s="945"/>
      <c r="N558" s="945"/>
      <c r="O558" s="945"/>
      <c r="P558" s="945"/>
    </row>
    <row r="559" spans="1:16" ht="19.5">
      <c r="A559" s="1329"/>
      <c r="B559" s="1330" t="s">
        <v>234</v>
      </c>
      <c r="C559" s="1331"/>
      <c r="D559" s="1331"/>
      <c r="E559" s="1315"/>
      <c r="F559" s="1315"/>
      <c r="G559" s="1316"/>
      <c r="H559" s="661" t="s">
        <v>46</v>
      </c>
      <c r="I559" s="1317">
        <f t="shared" ref="I559:J559" ca="1" si="245">I576</f>
        <v>7071</v>
      </c>
      <c r="J559" s="1317">
        <f t="shared" si="245"/>
        <v>6342.8</v>
      </c>
      <c r="K559" s="1318">
        <f t="shared" ref="K559:K561" ca="1" si="246">IF(I559&gt;0,J559*100/I559,0)</f>
        <v>89.701598076651109</v>
      </c>
      <c r="L559" s="1319"/>
      <c r="M559" s="1319"/>
      <c r="N559" s="1319"/>
      <c r="O559" s="1319"/>
      <c r="P559" s="1319"/>
    </row>
    <row r="560" spans="1:16" ht="19.5">
      <c r="A560" s="1267"/>
      <c r="B560" s="1268"/>
      <c r="C560" s="1277" t="s">
        <v>235</v>
      </c>
      <c r="D560" s="1268"/>
      <c r="E560" s="961"/>
      <c r="F560" s="961"/>
      <c r="G560" s="954"/>
      <c r="H560" s="733" t="s">
        <v>46</v>
      </c>
      <c r="I560" s="965">
        <f ca="1">IFERROR(__xludf.DUMMYFUNCTION("IMPORTRANGE(""https://docs.google.com/spreadsheets/d/1QqKyyYR6Q21VydFLVH3TRQUabQu_ym0Zz7PgGX0-kHA/edit?usp=sharing"",""แผน!HH16"")"),7071)</f>
        <v>7071</v>
      </c>
      <c r="J560" s="965">
        <f t="shared" ref="J560:J561" si="247">J562+J564+J566</f>
        <v>7260.24</v>
      </c>
      <c r="K560" s="1109">
        <f t="shared" ca="1" si="246"/>
        <v>102.67628341111582</v>
      </c>
      <c r="L560" s="945"/>
      <c r="M560" s="945"/>
      <c r="N560" s="945"/>
      <c r="O560" s="945"/>
      <c r="P560" s="945"/>
    </row>
    <row r="561" spans="1:16" ht="19.5">
      <c r="A561" s="1267"/>
      <c r="B561" s="1268"/>
      <c r="C561" s="1268"/>
      <c r="D561" s="961"/>
      <c r="E561" s="961"/>
      <c r="F561" s="961"/>
      <c r="G561" s="954"/>
      <c r="H561" s="733" t="s">
        <v>34</v>
      </c>
      <c r="I561" s="965">
        <f ca="1">IFERROR(__xludf.DUMMYFUNCTION("IMPORTRANGE(""https://docs.google.com/spreadsheets/d/1QqKyyYR6Q21VydFLVH3TRQUabQu_ym0Zz7PgGX0-kHA/edit?usp=sharing"",""แผน!HG16"")"),1982)</f>
        <v>1982</v>
      </c>
      <c r="J561" s="965">
        <f t="shared" si="247"/>
        <v>1982</v>
      </c>
      <c r="K561" s="1109">
        <f t="shared" ca="1" si="246"/>
        <v>100</v>
      </c>
      <c r="L561" s="945"/>
      <c r="M561" s="945"/>
      <c r="N561" s="945"/>
      <c r="O561" s="945"/>
      <c r="P561" s="945"/>
    </row>
    <row r="562" spans="1:16" ht="18.75">
      <c r="A562" s="1267"/>
      <c r="B562" s="1268"/>
      <c r="C562" s="1268"/>
      <c r="D562" s="961" t="s">
        <v>236</v>
      </c>
      <c r="E562" s="961"/>
      <c r="F562" s="961"/>
      <c r="G562" s="954"/>
      <c r="H562" s="730" t="s">
        <v>46</v>
      </c>
      <c r="I562" s="944"/>
      <c r="J562" s="959">
        <v>5930.36</v>
      </c>
      <c r="K562" s="945"/>
      <c r="L562" s="945"/>
      <c r="M562" s="945"/>
      <c r="N562" s="945"/>
      <c r="O562" s="945"/>
      <c r="P562" s="945"/>
    </row>
    <row r="563" spans="1:16" ht="18.75">
      <c r="A563" s="1267"/>
      <c r="B563" s="1268"/>
      <c r="C563" s="1268"/>
      <c r="D563" s="1268"/>
      <c r="E563" s="961"/>
      <c r="F563" s="961"/>
      <c r="G563" s="954"/>
      <c r="H563" s="730" t="s">
        <v>34</v>
      </c>
      <c r="I563" s="944"/>
      <c r="J563" s="959">
        <v>1657</v>
      </c>
      <c r="K563" s="945"/>
      <c r="L563" s="945"/>
      <c r="M563" s="945"/>
      <c r="N563" s="945"/>
      <c r="O563" s="945"/>
      <c r="P563" s="945"/>
    </row>
    <row r="564" spans="1:16" ht="18.75">
      <c r="A564" s="1267"/>
      <c r="B564" s="1268"/>
      <c r="C564" s="1268"/>
      <c r="D564" s="961" t="s">
        <v>237</v>
      </c>
      <c r="E564" s="961"/>
      <c r="F564" s="961"/>
      <c r="G564" s="954"/>
      <c r="H564" s="730" t="s">
        <v>46</v>
      </c>
      <c r="I564" s="944"/>
      <c r="J564" s="959">
        <v>930.34</v>
      </c>
      <c r="K564" s="945"/>
      <c r="L564" s="945"/>
      <c r="M564" s="945"/>
      <c r="N564" s="945"/>
      <c r="O564" s="945"/>
      <c r="P564" s="945"/>
    </row>
    <row r="565" spans="1:16" ht="18.75">
      <c r="A565" s="1267"/>
      <c r="B565" s="1268"/>
      <c r="C565" s="1268"/>
      <c r="D565" s="961"/>
      <c r="E565" s="961"/>
      <c r="F565" s="961"/>
      <c r="G565" s="954"/>
      <c r="H565" s="730" t="s">
        <v>34</v>
      </c>
      <c r="I565" s="944"/>
      <c r="J565" s="959">
        <v>218</v>
      </c>
      <c r="K565" s="945"/>
      <c r="L565" s="945"/>
      <c r="M565" s="945"/>
      <c r="N565" s="945"/>
      <c r="O565" s="945"/>
      <c r="P565" s="945"/>
    </row>
    <row r="566" spans="1:16" ht="18.75">
      <c r="A566" s="1267"/>
      <c r="B566" s="1268"/>
      <c r="C566" s="1268"/>
      <c r="D566" s="961" t="s">
        <v>238</v>
      </c>
      <c r="E566" s="961"/>
      <c r="F566" s="961"/>
      <c r="G566" s="954"/>
      <c r="H566" s="730" t="s">
        <v>46</v>
      </c>
      <c r="I566" s="944"/>
      <c r="J566" s="959">
        <v>399.54</v>
      </c>
      <c r="K566" s="945"/>
      <c r="L566" s="945"/>
      <c r="M566" s="945"/>
      <c r="N566" s="945"/>
      <c r="O566" s="945"/>
      <c r="P566" s="945"/>
    </row>
    <row r="567" spans="1:16" ht="18.75">
      <c r="A567" s="1267"/>
      <c r="B567" s="1268"/>
      <c r="C567" s="1268"/>
      <c r="D567" s="961"/>
      <c r="E567" s="961"/>
      <c r="F567" s="961"/>
      <c r="G567" s="954"/>
      <c r="H567" s="730" t="s">
        <v>34</v>
      </c>
      <c r="I567" s="944"/>
      <c r="J567" s="959">
        <v>107</v>
      </c>
      <c r="K567" s="945"/>
      <c r="L567" s="945"/>
      <c r="M567" s="945"/>
      <c r="N567" s="945"/>
      <c r="O567" s="945"/>
      <c r="P567" s="945"/>
    </row>
    <row r="568" spans="1:16" ht="19.5">
      <c r="A568" s="1267"/>
      <c r="B568" s="1268"/>
      <c r="C568" s="1277" t="s">
        <v>239</v>
      </c>
      <c r="D568" s="961"/>
      <c r="E568" s="961"/>
      <c r="F568" s="961"/>
      <c r="G568" s="954"/>
      <c r="H568" s="733" t="s">
        <v>46</v>
      </c>
      <c r="I568" s="965">
        <f ca="1">IFERROR(__xludf.DUMMYFUNCTION("IMPORTRANGE(""https://docs.google.com/spreadsheets/d/1QqKyyYR6Q21VydFLVH3TRQUabQu_ym0Zz7PgGX0-kHA/edit?usp=sharing"",""แผน!HH16"")"),7071)</f>
        <v>7071</v>
      </c>
      <c r="J568" s="966">
        <f t="shared" ref="J568:J569" si="248">J570+J572+J574</f>
        <v>7260.4</v>
      </c>
      <c r="K568" s="1109">
        <f t="shared" ref="K568:K569" ca="1" si="249">IF(I568&gt;0,J568*100/I568,0)</f>
        <v>102.67854617451563</v>
      </c>
      <c r="L568" s="945"/>
      <c r="M568" s="945"/>
      <c r="N568" s="945"/>
      <c r="O568" s="945"/>
      <c r="P568" s="945"/>
    </row>
    <row r="569" spans="1:16" ht="19.5">
      <c r="A569" s="1267"/>
      <c r="B569" s="1268"/>
      <c r="C569" s="1268"/>
      <c r="D569" s="1268"/>
      <c r="E569" s="961"/>
      <c r="F569" s="961"/>
      <c r="G569" s="954"/>
      <c r="H569" s="733" t="s">
        <v>34</v>
      </c>
      <c r="I569" s="965">
        <f ca="1">IFERROR(__xludf.DUMMYFUNCTION("IMPORTRANGE(""https://docs.google.com/spreadsheets/d/1QqKyyYR6Q21VydFLVH3TRQUabQu_ym0Zz7PgGX0-kHA/edit?usp=sharing"",""แผน!HG16"")"),1982)</f>
        <v>1982</v>
      </c>
      <c r="J569" s="966">
        <f t="shared" si="248"/>
        <v>1982</v>
      </c>
      <c r="K569" s="1109">
        <f t="shared" ca="1" si="249"/>
        <v>100</v>
      </c>
      <c r="L569" s="945"/>
      <c r="M569" s="945"/>
      <c r="N569" s="945"/>
      <c r="O569" s="945"/>
      <c r="P569" s="945"/>
    </row>
    <row r="570" spans="1:16" ht="18.75">
      <c r="A570" s="1267"/>
      <c r="B570" s="1268"/>
      <c r="C570" s="1268"/>
      <c r="D570" s="961" t="s">
        <v>240</v>
      </c>
      <c r="E570" s="1268"/>
      <c r="F570" s="961"/>
      <c r="G570" s="954"/>
      <c r="H570" s="730" t="s">
        <v>46</v>
      </c>
      <c r="I570" s="944"/>
      <c r="J570" s="959">
        <v>6098.4</v>
      </c>
      <c r="K570" s="945"/>
      <c r="L570" s="945"/>
      <c r="M570" s="945"/>
      <c r="N570" s="945"/>
      <c r="O570" s="945"/>
      <c r="P570" s="945"/>
    </row>
    <row r="571" spans="1:16" ht="18.75">
      <c r="A571" s="1267"/>
      <c r="B571" s="1268"/>
      <c r="C571" s="1268"/>
      <c r="D571" s="1268"/>
      <c r="E571" s="961"/>
      <c r="F571" s="961"/>
      <c r="G571" s="954"/>
      <c r="H571" s="730" t="s">
        <v>34</v>
      </c>
      <c r="I571" s="944"/>
      <c r="J571" s="959">
        <v>1698</v>
      </c>
      <c r="K571" s="945"/>
      <c r="L571" s="945"/>
      <c r="M571" s="945"/>
      <c r="N571" s="945"/>
      <c r="O571" s="945"/>
      <c r="P571" s="945"/>
    </row>
    <row r="572" spans="1:16" ht="18.75">
      <c r="A572" s="1267"/>
      <c r="B572" s="1268"/>
      <c r="C572" s="1268"/>
      <c r="D572" s="961" t="s">
        <v>241</v>
      </c>
      <c r="E572" s="961"/>
      <c r="F572" s="961"/>
      <c r="G572" s="954"/>
      <c r="H572" s="730" t="s">
        <v>46</v>
      </c>
      <c r="I572" s="944"/>
      <c r="J572" s="959">
        <v>917.2</v>
      </c>
      <c r="K572" s="945"/>
      <c r="L572" s="945"/>
      <c r="M572" s="945"/>
      <c r="N572" s="945"/>
      <c r="O572" s="945"/>
      <c r="P572" s="945"/>
    </row>
    <row r="573" spans="1:16" ht="18.75">
      <c r="A573" s="1267"/>
      <c r="B573" s="1268"/>
      <c r="C573" s="1268"/>
      <c r="D573" s="961"/>
      <c r="E573" s="961"/>
      <c r="F573" s="961"/>
      <c r="G573" s="954"/>
      <c r="H573" s="730" t="s">
        <v>34</v>
      </c>
      <c r="I573" s="944"/>
      <c r="J573" s="959">
        <v>217</v>
      </c>
      <c r="K573" s="945"/>
      <c r="L573" s="945"/>
      <c r="M573" s="945"/>
      <c r="N573" s="945"/>
      <c r="O573" s="945"/>
      <c r="P573" s="945"/>
    </row>
    <row r="574" spans="1:16" ht="18.75">
      <c r="A574" s="1267"/>
      <c r="B574" s="1268"/>
      <c r="C574" s="1268"/>
      <c r="D574" s="961" t="s">
        <v>242</v>
      </c>
      <c r="E574" s="961"/>
      <c r="F574" s="961"/>
      <c r="G574" s="954"/>
      <c r="H574" s="730" t="s">
        <v>46</v>
      </c>
      <c r="I574" s="944"/>
      <c r="J574" s="959">
        <v>244.8</v>
      </c>
      <c r="K574" s="945"/>
      <c r="L574" s="945"/>
      <c r="M574" s="945"/>
      <c r="N574" s="945"/>
      <c r="O574" s="945"/>
      <c r="P574" s="945"/>
    </row>
    <row r="575" spans="1:16" ht="18.75">
      <c r="A575" s="1267"/>
      <c r="B575" s="1268"/>
      <c r="C575" s="1268"/>
      <c r="D575" s="1268"/>
      <c r="E575" s="961"/>
      <c r="F575" s="961"/>
      <c r="G575" s="954"/>
      <c r="H575" s="730" t="s">
        <v>34</v>
      </c>
      <c r="I575" s="944"/>
      <c r="J575" s="959">
        <v>67</v>
      </c>
      <c r="K575" s="945"/>
      <c r="L575" s="945"/>
      <c r="M575" s="945"/>
      <c r="N575" s="945"/>
      <c r="O575" s="945"/>
      <c r="P575" s="945"/>
    </row>
    <row r="576" spans="1:16" ht="19.5">
      <c r="A576" s="1267"/>
      <c r="B576" s="1268"/>
      <c r="C576" s="1277" t="s">
        <v>243</v>
      </c>
      <c r="D576" s="1268"/>
      <c r="E576" s="1268"/>
      <c r="F576" s="961"/>
      <c r="G576" s="954"/>
      <c r="H576" s="733" t="s">
        <v>46</v>
      </c>
      <c r="I576" s="965">
        <f ca="1">IFERROR(__xludf.DUMMYFUNCTION("IMPORTRANGE(""https://docs.google.com/spreadsheets/d/1QqKyyYR6Q21VydFLVH3TRQUabQu_ym0Zz7PgGX0-kHA/edit?usp=sharing"",""แผน!HH16"")"),7071)</f>
        <v>7071</v>
      </c>
      <c r="J576" s="966">
        <f t="shared" ref="J576:J577" si="250">J578+J580+J582+J588+J590</f>
        <v>6342.8</v>
      </c>
      <c r="K576" s="1109">
        <f t="shared" ref="K576:K577" ca="1" si="251">IF(I576&gt;0,J576*100/I576,0)</f>
        <v>89.701598076651109</v>
      </c>
      <c r="L576" s="945"/>
      <c r="M576" s="945"/>
      <c r="N576" s="945"/>
      <c r="O576" s="945"/>
      <c r="P576" s="945"/>
    </row>
    <row r="577" spans="1:16" ht="19.5">
      <c r="A577" s="1267"/>
      <c r="B577" s="1268"/>
      <c r="C577" s="1268"/>
      <c r="D577" s="1268"/>
      <c r="E577" s="961"/>
      <c r="F577" s="961"/>
      <c r="G577" s="954"/>
      <c r="H577" s="733" t="s">
        <v>34</v>
      </c>
      <c r="I577" s="965">
        <f ca="1">IFERROR(__xludf.DUMMYFUNCTION("IMPORTRANGE(""https://docs.google.com/spreadsheets/d/1QqKyyYR6Q21VydFLVH3TRQUabQu_ym0Zz7PgGX0-kHA/edit?usp=sharing"",""แผน!HG16"")"),1982)</f>
        <v>1982</v>
      </c>
      <c r="J577" s="966">
        <f t="shared" si="250"/>
        <v>1765</v>
      </c>
      <c r="K577" s="1109">
        <f t="shared" ca="1" si="251"/>
        <v>89.051463168516648</v>
      </c>
      <c r="L577" s="945"/>
      <c r="M577" s="945"/>
      <c r="N577" s="945"/>
      <c r="O577" s="945"/>
      <c r="P577" s="945"/>
    </row>
    <row r="578" spans="1:16" ht="18.75">
      <c r="A578" s="1267"/>
      <c r="B578" s="1268"/>
      <c r="C578" s="1268"/>
      <c r="D578" s="961" t="s">
        <v>244</v>
      </c>
      <c r="E578" s="961"/>
      <c r="F578" s="961"/>
      <c r="G578" s="954"/>
      <c r="H578" s="730" t="s">
        <v>46</v>
      </c>
      <c r="I578" s="944"/>
      <c r="J578" s="959">
        <v>6098</v>
      </c>
      <c r="K578" s="945"/>
      <c r="L578" s="945"/>
      <c r="M578" s="945"/>
      <c r="N578" s="945"/>
      <c r="O578" s="945"/>
      <c r="P578" s="945"/>
    </row>
    <row r="579" spans="1:16" ht="18.75">
      <c r="A579" s="1267"/>
      <c r="B579" s="1268"/>
      <c r="C579" s="1268"/>
      <c r="D579" s="1268"/>
      <c r="E579" s="961"/>
      <c r="F579" s="961"/>
      <c r="G579" s="954"/>
      <c r="H579" s="730" t="s">
        <v>34</v>
      </c>
      <c r="I579" s="944"/>
      <c r="J579" s="959">
        <v>1698</v>
      </c>
      <c r="K579" s="945"/>
      <c r="L579" s="945"/>
      <c r="M579" s="945"/>
      <c r="N579" s="945"/>
      <c r="O579" s="945"/>
      <c r="P579" s="945"/>
    </row>
    <row r="580" spans="1:16" ht="18.75">
      <c r="A580" s="1267"/>
      <c r="B580" s="1268"/>
      <c r="C580" s="1268"/>
      <c r="D580" s="961" t="s">
        <v>245</v>
      </c>
      <c r="E580" s="961"/>
      <c r="F580" s="961"/>
      <c r="G580" s="954"/>
      <c r="H580" s="730" t="s">
        <v>46</v>
      </c>
      <c r="I580" s="944"/>
      <c r="J580" s="959">
        <v>0</v>
      </c>
      <c r="K580" s="945"/>
      <c r="L580" s="945"/>
      <c r="M580" s="945"/>
      <c r="N580" s="945"/>
      <c r="O580" s="945"/>
      <c r="P580" s="945"/>
    </row>
    <row r="581" spans="1:16" ht="18.75">
      <c r="A581" s="1267"/>
      <c r="B581" s="1268"/>
      <c r="C581" s="1268"/>
      <c r="D581" s="1268"/>
      <c r="E581" s="961"/>
      <c r="F581" s="961"/>
      <c r="G581" s="954"/>
      <c r="H581" s="730" t="s">
        <v>34</v>
      </c>
      <c r="I581" s="944"/>
      <c r="J581" s="959">
        <v>0</v>
      </c>
      <c r="K581" s="945"/>
      <c r="L581" s="945"/>
      <c r="M581" s="945"/>
      <c r="N581" s="945"/>
      <c r="O581" s="945"/>
      <c r="P581" s="945"/>
    </row>
    <row r="582" spans="1:16" ht="19.5">
      <c r="A582" s="1267"/>
      <c r="B582" s="1268"/>
      <c r="C582" s="1268"/>
      <c r="D582" s="961" t="s">
        <v>246</v>
      </c>
      <c r="E582" s="961"/>
      <c r="F582" s="961"/>
      <c r="G582" s="954"/>
      <c r="H582" s="730" t="s">
        <v>46</v>
      </c>
      <c r="I582" s="944"/>
      <c r="J582" s="966">
        <f t="shared" ref="J582:J583" si="252">J584+J586</f>
        <v>244.79999999999998</v>
      </c>
      <c r="K582" s="1109"/>
      <c r="L582" s="945"/>
      <c r="M582" s="945"/>
      <c r="N582" s="945"/>
      <c r="O582" s="945"/>
      <c r="P582" s="945"/>
    </row>
    <row r="583" spans="1:16" ht="19.5">
      <c r="A583" s="1267"/>
      <c r="B583" s="1268"/>
      <c r="C583" s="1268"/>
      <c r="D583" s="1268"/>
      <c r="E583" s="961"/>
      <c r="F583" s="961"/>
      <c r="G583" s="954"/>
      <c r="H583" s="730" t="s">
        <v>34</v>
      </c>
      <c r="I583" s="944"/>
      <c r="J583" s="966">
        <f t="shared" si="252"/>
        <v>67</v>
      </c>
      <c r="K583" s="1109"/>
      <c r="L583" s="945"/>
      <c r="M583" s="945"/>
      <c r="N583" s="945"/>
      <c r="O583" s="945"/>
      <c r="P583" s="945"/>
    </row>
    <row r="584" spans="1:16" ht="18.75">
      <c r="A584" s="1267"/>
      <c r="B584" s="1268"/>
      <c r="C584" s="1268"/>
      <c r="D584" s="1268"/>
      <c r="E584" s="961" t="s">
        <v>247</v>
      </c>
      <c r="F584" s="961"/>
      <c r="G584" s="954"/>
      <c r="H584" s="730" t="s">
        <v>46</v>
      </c>
      <c r="I584" s="944"/>
      <c r="J584" s="959">
        <v>243.7</v>
      </c>
      <c r="K584" s="945"/>
      <c r="L584" s="945"/>
      <c r="M584" s="945"/>
      <c r="N584" s="945"/>
      <c r="O584" s="945"/>
      <c r="P584" s="945"/>
    </row>
    <row r="585" spans="1:16" ht="18.75">
      <c r="A585" s="1267"/>
      <c r="B585" s="1268"/>
      <c r="C585" s="1268"/>
      <c r="D585" s="1268"/>
      <c r="E585" s="961"/>
      <c r="F585" s="961"/>
      <c r="G585" s="954"/>
      <c r="H585" s="730" t="s">
        <v>34</v>
      </c>
      <c r="I585" s="944"/>
      <c r="J585" s="959">
        <v>66</v>
      </c>
      <c r="K585" s="945"/>
      <c r="L585" s="945"/>
      <c r="M585" s="945"/>
      <c r="N585" s="945"/>
      <c r="O585" s="945"/>
      <c r="P585" s="945"/>
    </row>
    <row r="586" spans="1:16" ht="18.75">
      <c r="A586" s="1267"/>
      <c r="B586" s="1268"/>
      <c r="C586" s="1268"/>
      <c r="D586" s="1268"/>
      <c r="E586" s="961" t="s">
        <v>248</v>
      </c>
      <c r="F586" s="961"/>
      <c r="G586" s="954"/>
      <c r="H586" s="730" t="s">
        <v>46</v>
      </c>
      <c r="I586" s="944"/>
      <c r="J586" s="959">
        <v>1.1000000000000001</v>
      </c>
      <c r="K586" s="945"/>
      <c r="L586" s="945"/>
      <c r="M586" s="945"/>
      <c r="N586" s="945"/>
      <c r="O586" s="945"/>
      <c r="P586" s="945"/>
    </row>
    <row r="587" spans="1:16" ht="18.75">
      <c r="A587" s="1267"/>
      <c r="B587" s="1268"/>
      <c r="C587" s="1268"/>
      <c r="D587" s="1268"/>
      <c r="E587" s="1268"/>
      <c r="F587" s="961"/>
      <c r="G587" s="954"/>
      <c r="H587" s="730" t="s">
        <v>34</v>
      </c>
      <c r="I587" s="944"/>
      <c r="J587" s="959">
        <v>1</v>
      </c>
      <c r="K587" s="945"/>
      <c r="L587" s="945"/>
      <c r="M587" s="945"/>
      <c r="N587" s="945"/>
      <c r="O587" s="945"/>
      <c r="P587" s="945"/>
    </row>
    <row r="588" spans="1:16" ht="18.75">
      <c r="A588" s="1267"/>
      <c r="B588" s="1268"/>
      <c r="C588" s="1268"/>
      <c r="D588" s="961" t="s">
        <v>249</v>
      </c>
      <c r="E588" s="961"/>
      <c r="F588" s="961"/>
      <c r="G588" s="954"/>
      <c r="H588" s="730" t="s">
        <v>46</v>
      </c>
      <c r="I588" s="944"/>
      <c r="J588" s="959">
        <v>0</v>
      </c>
      <c r="K588" s="945"/>
      <c r="L588" s="945"/>
      <c r="M588" s="945"/>
      <c r="N588" s="945"/>
      <c r="O588" s="945"/>
      <c r="P588" s="945"/>
    </row>
    <row r="589" spans="1:16" ht="18.75">
      <c r="A589" s="1267"/>
      <c r="B589" s="1268"/>
      <c r="C589" s="1268"/>
      <c r="D589" s="1268"/>
      <c r="E589" s="1268"/>
      <c r="F589" s="961"/>
      <c r="G589" s="954"/>
      <c r="H589" s="730" t="s">
        <v>34</v>
      </c>
      <c r="I589" s="944"/>
      <c r="J589" s="959">
        <v>0</v>
      </c>
      <c r="K589" s="945"/>
      <c r="L589" s="945"/>
      <c r="M589" s="945"/>
      <c r="N589" s="945"/>
      <c r="O589" s="945"/>
      <c r="P589" s="945"/>
    </row>
    <row r="590" spans="1:16" ht="18.75">
      <c r="A590" s="1267"/>
      <c r="B590" s="1268"/>
      <c r="C590" s="1268"/>
      <c r="D590" s="961" t="s">
        <v>250</v>
      </c>
      <c r="E590" s="961"/>
      <c r="F590" s="961"/>
      <c r="G590" s="954"/>
      <c r="H590" s="730" t="s">
        <v>46</v>
      </c>
      <c r="I590" s="944"/>
      <c r="J590" s="959">
        <v>0</v>
      </c>
      <c r="K590" s="945"/>
      <c r="L590" s="945"/>
      <c r="M590" s="945"/>
      <c r="N590" s="945"/>
      <c r="O590" s="945"/>
      <c r="P590" s="945"/>
    </row>
    <row r="591" spans="1:16" ht="18.75">
      <c r="A591" s="1332"/>
      <c r="B591" s="1333"/>
      <c r="C591" s="1333"/>
      <c r="D591" s="1333"/>
      <c r="E591" s="1244"/>
      <c r="F591" s="1244"/>
      <c r="G591" s="1334"/>
      <c r="H591" s="665" t="s">
        <v>34</v>
      </c>
      <c r="I591" s="1335"/>
      <c r="J591" s="1336">
        <v>0</v>
      </c>
      <c r="K591" s="1337"/>
      <c r="L591" s="1337"/>
      <c r="M591" s="1337"/>
      <c r="N591" s="1337"/>
      <c r="O591" s="1337"/>
      <c r="P591" s="1337"/>
    </row>
    <row r="592" spans="1:16" ht="19.5">
      <c r="A592" s="1329"/>
      <c r="B592" s="1330" t="s">
        <v>251</v>
      </c>
      <c r="C592" s="1331"/>
      <c r="D592" s="1331"/>
      <c r="E592" s="1315"/>
      <c r="F592" s="1315"/>
      <c r="G592" s="1316"/>
      <c r="H592" s="661" t="s">
        <v>46</v>
      </c>
      <c r="I592" s="1338">
        <f t="shared" ref="I592:J592" ca="1" si="253">I593</f>
        <v>6733.58</v>
      </c>
      <c r="J592" s="1317">
        <f t="shared" si="253"/>
        <v>0</v>
      </c>
      <c r="K592" s="1318">
        <f t="shared" ref="K592:K594" ca="1" si="254">IF(I592&gt;0,J592*100/I592,0)</f>
        <v>0</v>
      </c>
      <c r="L592" s="1319"/>
      <c r="M592" s="1319"/>
      <c r="N592" s="1319"/>
      <c r="O592" s="1319"/>
      <c r="P592" s="1319"/>
    </row>
    <row r="593" spans="1:16" ht="19.5">
      <c r="A593" s="1267"/>
      <c r="B593" s="1268"/>
      <c r="C593" s="1277" t="s">
        <v>252</v>
      </c>
      <c r="D593" s="1268"/>
      <c r="E593" s="1268"/>
      <c r="F593" s="961"/>
      <c r="G593" s="954"/>
      <c r="H593" s="733" t="s">
        <v>46</v>
      </c>
      <c r="I593" s="1339">
        <f ca="1">IFERROR(__xludf.DUMMYFUNCTION("IMPORTRANGE(""https://docs.google.com/spreadsheets/d/1QqKyyYR6Q21VydFLVH3TRQUabQu_ym0Zz7PgGX0-kHA/edit?usp=sharing"",""แผน!HJ16"")"),6733.58)</f>
        <v>6733.58</v>
      </c>
      <c r="J593" s="965">
        <f t="shared" ref="J593:J594" si="255">J595+J603+J609</f>
        <v>0</v>
      </c>
      <c r="K593" s="1109">
        <f t="shared" ca="1" si="254"/>
        <v>0</v>
      </c>
      <c r="L593" s="945"/>
      <c r="M593" s="945"/>
      <c r="N593" s="945"/>
      <c r="O593" s="945"/>
      <c r="P593" s="945"/>
    </row>
    <row r="594" spans="1:16" ht="19.5">
      <c r="A594" s="1267"/>
      <c r="B594" s="1268"/>
      <c r="C594" s="1268"/>
      <c r="D594" s="1268"/>
      <c r="E594" s="961"/>
      <c r="F594" s="961"/>
      <c r="G594" s="954"/>
      <c r="H594" s="733" t="s">
        <v>34</v>
      </c>
      <c r="I594" s="965">
        <f ca="1">IFERROR(__xludf.DUMMYFUNCTION("IMPORTRANGE(""https://docs.google.com/spreadsheets/d/1QqKyyYR6Q21VydFLVH3TRQUabQu_ym0Zz7PgGX0-kHA/edit?usp=sharing"",""แผน!HI16"")"),1350)</f>
        <v>1350</v>
      </c>
      <c r="J594" s="965">
        <f t="shared" si="255"/>
        <v>0</v>
      </c>
      <c r="K594" s="1109">
        <f t="shared" ca="1" si="254"/>
        <v>0</v>
      </c>
      <c r="L594" s="945"/>
      <c r="M594" s="945"/>
      <c r="N594" s="945"/>
      <c r="O594" s="945"/>
      <c r="P594" s="945"/>
    </row>
    <row r="595" spans="1:16" ht="18.75">
      <c r="A595" s="1267"/>
      <c r="B595" s="1268"/>
      <c r="C595" s="1268" t="s">
        <v>253</v>
      </c>
      <c r="D595" s="1268"/>
      <c r="E595" s="1268"/>
      <c r="F595" s="961"/>
      <c r="G595" s="954"/>
      <c r="H595" s="730" t="s">
        <v>46</v>
      </c>
      <c r="I595" s="944"/>
      <c r="J595" s="944">
        <f t="shared" ref="J595:J596" si="256">J597+J599</f>
        <v>0</v>
      </c>
      <c r="K595" s="945"/>
      <c r="L595" s="945"/>
      <c r="M595" s="945"/>
      <c r="N595" s="945"/>
      <c r="O595" s="945"/>
      <c r="P595" s="945"/>
    </row>
    <row r="596" spans="1:16" ht="18.75">
      <c r="A596" s="1267"/>
      <c r="B596" s="1268"/>
      <c r="C596" s="1268"/>
      <c r="D596" s="1268"/>
      <c r="E596" s="961"/>
      <c r="F596" s="961"/>
      <c r="G596" s="954"/>
      <c r="H596" s="730" t="s">
        <v>34</v>
      </c>
      <c r="I596" s="944"/>
      <c r="J596" s="944">
        <f t="shared" si="256"/>
        <v>0</v>
      </c>
      <c r="K596" s="945"/>
      <c r="L596" s="945"/>
      <c r="M596" s="945"/>
      <c r="N596" s="945"/>
      <c r="O596" s="945"/>
      <c r="P596" s="945"/>
    </row>
    <row r="597" spans="1:16" ht="18.75">
      <c r="A597" s="1267"/>
      <c r="B597" s="1268"/>
      <c r="C597" s="1268"/>
      <c r="D597" s="1017" t="s">
        <v>254</v>
      </c>
      <c r="E597" s="961"/>
      <c r="F597" s="961"/>
      <c r="G597" s="954"/>
      <c r="H597" s="730" t="s">
        <v>46</v>
      </c>
      <c r="I597" s="944"/>
      <c r="J597" s="959">
        <v>0</v>
      </c>
      <c r="K597" s="945"/>
      <c r="L597" s="945"/>
      <c r="M597" s="945"/>
      <c r="N597" s="945"/>
      <c r="O597" s="945"/>
      <c r="P597" s="945"/>
    </row>
    <row r="598" spans="1:16" ht="18.75">
      <c r="A598" s="1267"/>
      <c r="B598" s="1268"/>
      <c r="C598" s="1268"/>
      <c r="D598" s="1268"/>
      <c r="E598" s="961"/>
      <c r="F598" s="961"/>
      <c r="G598" s="954"/>
      <c r="H598" s="730" t="s">
        <v>34</v>
      </c>
      <c r="I598" s="830"/>
      <c r="J598" s="959">
        <v>0</v>
      </c>
      <c r="K598" s="945"/>
      <c r="L598" s="945"/>
      <c r="M598" s="945"/>
      <c r="N598" s="945"/>
      <c r="O598" s="945"/>
      <c r="P598" s="945"/>
    </row>
    <row r="599" spans="1:16" ht="18.75">
      <c r="A599" s="1267"/>
      <c r="B599" s="1268"/>
      <c r="C599" s="1268"/>
      <c r="D599" s="1017" t="s">
        <v>255</v>
      </c>
      <c r="E599" s="961"/>
      <c r="F599" s="961"/>
      <c r="G599" s="954"/>
      <c r="H599" s="730" t="s">
        <v>46</v>
      </c>
      <c r="I599" s="830"/>
      <c r="J599" s="959">
        <v>0</v>
      </c>
      <c r="K599" s="945"/>
      <c r="L599" s="945"/>
      <c r="M599" s="945"/>
      <c r="N599" s="945"/>
      <c r="O599" s="945"/>
      <c r="P599" s="945"/>
    </row>
    <row r="600" spans="1:16" ht="18.75">
      <c r="A600" s="1267"/>
      <c r="B600" s="1268"/>
      <c r="C600" s="1268"/>
      <c r="D600" s="1268"/>
      <c r="E600" s="961"/>
      <c r="F600" s="961"/>
      <c r="G600" s="954"/>
      <c r="H600" s="730" t="s">
        <v>34</v>
      </c>
      <c r="I600" s="830"/>
      <c r="J600" s="959">
        <v>0</v>
      </c>
      <c r="K600" s="945"/>
      <c r="L600" s="945"/>
      <c r="M600" s="945"/>
      <c r="N600" s="945"/>
      <c r="O600" s="945"/>
      <c r="P600" s="945"/>
    </row>
    <row r="601" spans="1:16" ht="18.75">
      <c r="A601" s="1267"/>
      <c r="B601" s="1268"/>
      <c r="C601" s="1268"/>
      <c r="D601" s="1017" t="s">
        <v>256</v>
      </c>
      <c r="E601" s="961"/>
      <c r="F601" s="961"/>
      <c r="G601" s="954"/>
      <c r="H601" s="730" t="s">
        <v>46</v>
      </c>
      <c r="I601" s="830"/>
      <c r="J601" s="959">
        <v>0</v>
      </c>
      <c r="K601" s="945"/>
      <c r="L601" s="945"/>
      <c r="M601" s="945"/>
      <c r="N601" s="945"/>
      <c r="O601" s="945"/>
      <c r="P601" s="945"/>
    </row>
    <row r="602" spans="1:16" ht="18.75">
      <c r="A602" s="1267"/>
      <c r="B602" s="1268"/>
      <c r="C602" s="1268"/>
      <c r="D602" s="1268"/>
      <c r="E602" s="961"/>
      <c r="F602" s="961"/>
      <c r="G602" s="954"/>
      <c r="H602" s="730" t="s">
        <v>34</v>
      </c>
      <c r="I602" s="830"/>
      <c r="J602" s="959">
        <v>0</v>
      </c>
      <c r="K602" s="945"/>
      <c r="L602" s="945"/>
      <c r="M602" s="945"/>
      <c r="N602" s="945"/>
      <c r="O602" s="945"/>
      <c r="P602" s="945"/>
    </row>
    <row r="603" spans="1:16" ht="18.75">
      <c r="A603" s="1267"/>
      <c r="B603" s="1268"/>
      <c r="C603" s="1340" t="s">
        <v>257</v>
      </c>
      <c r="D603" s="1268"/>
      <c r="E603" s="1268"/>
      <c r="F603" s="961"/>
      <c r="G603" s="954"/>
      <c r="H603" s="730" t="s">
        <v>46</v>
      </c>
      <c r="I603" s="830"/>
      <c r="J603" s="830">
        <f t="shared" ref="J603:J604" si="257">J605+J607</f>
        <v>0</v>
      </c>
      <c r="K603" s="945"/>
      <c r="L603" s="945"/>
      <c r="M603" s="945"/>
      <c r="N603" s="945"/>
      <c r="O603" s="945"/>
      <c r="P603" s="945"/>
    </row>
    <row r="604" spans="1:16" ht="18.75">
      <c r="A604" s="1267"/>
      <c r="B604" s="1268"/>
      <c r="C604" s="1268"/>
      <c r="D604" s="1268"/>
      <c r="E604" s="961"/>
      <c r="F604" s="961"/>
      <c r="G604" s="954"/>
      <c r="H604" s="730" t="s">
        <v>34</v>
      </c>
      <c r="I604" s="830"/>
      <c r="J604" s="830">
        <f t="shared" si="257"/>
        <v>0</v>
      </c>
      <c r="K604" s="945"/>
      <c r="L604" s="945"/>
      <c r="M604" s="945"/>
      <c r="N604" s="945"/>
      <c r="O604" s="945"/>
      <c r="P604" s="945"/>
    </row>
    <row r="605" spans="1:16" ht="18.75">
      <c r="A605" s="1267"/>
      <c r="B605" s="1268"/>
      <c r="C605" s="1268"/>
      <c r="D605" s="1340" t="s">
        <v>258</v>
      </c>
      <c r="E605" s="961"/>
      <c r="F605" s="961"/>
      <c r="G605" s="954"/>
      <c r="H605" s="730" t="s">
        <v>46</v>
      </c>
      <c r="I605" s="830"/>
      <c r="J605" s="959">
        <v>0</v>
      </c>
      <c r="K605" s="945"/>
      <c r="L605" s="945"/>
      <c r="M605" s="945"/>
      <c r="N605" s="945"/>
      <c r="O605" s="945"/>
      <c r="P605" s="945"/>
    </row>
    <row r="606" spans="1:16" ht="18.75">
      <c r="A606" s="1267"/>
      <c r="B606" s="1268"/>
      <c r="C606" s="1268"/>
      <c r="D606" s="1268"/>
      <c r="E606" s="1268"/>
      <c r="F606" s="961"/>
      <c r="G606" s="954"/>
      <c r="H606" s="730" t="s">
        <v>34</v>
      </c>
      <c r="I606" s="830"/>
      <c r="J606" s="959">
        <v>0</v>
      </c>
      <c r="K606" s="945"/>
      <c r="L606" s="945"/>
      <c r="M606" s="945"/>
      <c r="N606" s="945"/>
      <c r="O606" s="945"/>
      <c r="P606" s="945"/>
    </row>
    <row r="607" spans="1:16" ht="18.75">
      <c r="A607" s="1267"/>
      <c r="B607" s="1268"/>
      <c r="C607" s="1268"/>
      <c r="D607" s="1340" t="s">
        <v>259</v>
      </c>
      <c r="E607" s="1268"/>
      <c r="F607" s="961"/>
      <c r="G607" s="954"/>
      <c r="H607" s="730" t="s">
        <v>46</v>
      </c>
      <c r="I607" s="830"/>
      <c r="J607" s="959">
        <v>0</v>
      </c>
      <c r="K607" s="945"/>
      <c r="L607" s="945"/>
      <c r="M607" s="945"/>
      <c r="N607" s="945"/>
      <c r="O607" s="945"/>
      <c r="P607" s="945"/>
    </row>
    <row r="608" spans="1:16" ht="18.75">
      <c r="A608" s="1267"/>
      <c r="B608" s="1268"/>
      <c r="C608" s="1268"/>
      <c r="D608" s="1268"/>
      <c r="E608" s="961"/>
      <c r="F608" s="961"/>
      <c r="G608" s="954"/>
      <c r="H608" s="730" t="s">
        <v>34</v>
      </c>
      <c r="I608" s="830"/>
      <c r="J608" s="959">
        <v>0</v>
      </c>
      <c r="K608" s="945"/>
      <c r="L608" s="945"/>
      <c r="M608" s="945"/>
      <c r="N608" s="945"/>
      <c r="O608" s="945"/>
      <c r="P608" s="945"/>
    </row>
    <row r="609" spans="1:16" ht="18.75">
      <c r="A609" s="1267"/>
      <c r="B609" s="1268"/>
      <c r="C609" s="1268" t="s">
        <v>260</v>
      </c>
      <c r="D609" s="1268"/>
      <c r="E609" s="1268"/>
      <c r="F609" s="961"/>
      <c r="G609" s="954"/>
      <c r="H609" s="730" t="s">
        <v>46</v>
      </c>
      <c r="I609" s="830"/>
      <c r="J609" s="959">
        <v>0</v>
      </c>
      <c r="K609" s="945"/>
      <c r="L609" s="945"/>
      <c r="M609" s="945"/>
      <c r="N609" s="945"/>
      <c r="O609" s="945"/>
      <c r="P609" s="945"/>
    </row>
    <row r="610" spans="1:16" ht="18.75">
      <c r="A610" s="1267"/>
      <c r="B610" s="1268"/>
      <c r="C610" s="1268"/>
      <c r="D610" s="1268"/>
      <c r="E610" s="961"/>
      <c r="F610" s="961"/>
      <c r="G610" s="954"/>
      <c r="H610" s="730" t="s">
        <v>34</v>
      </c>
      <c r="I610" s="830"/>
      <c r="J610" s="959">
        <v>0</v>
      </c>
      <c r="K610" s="945"/>
      <c r="L610" s="945"/>
      <c r="M610" s="945"/>
      <c r="N610" s="945"/>
      <c r="O610" s="945"/>
      <c r="P610" s="945"/>
    </row>
    <row r="611" spans="1:16" ht="19.5">
      <c r="A611" s="1329"/>
      <c r="B611" s="1341" t="s">
        <v>261</v>
      </c>
      <c r="C611" s="1331"/>
      <c r="D611" s="1331"/>
      <c r="E611" s="1315"/>
      <c r="F611" s="1315"/>
      <c r="G611" s="1316"/>
      <c r="H611" s="673" t="s">
        <v>46</v>
      </c>
      <c r="I611" s="1317">
        <v>0</v>
      </c>
      <c r="J611" s="1317">
        <f>J614+J616</f>
        <v>0</v>
      </c>
      <c r="K611" s="1318">
        <f t="shared" ref="K611:K613" si="258">IF(I611&gt;0,J611*100/I611,0)</f>
        <v>0</v>
      </c>
      <c r="L611" s="1319"/>
      <c r="M611" s="1319"/>
      <c r="N611" s="1319"/>
      <c r="O611" s="1319"/>
      <c r="P611" s="1319"/>
    </row>
    <row r="612" spans="1:16" ht="19.5" hidden="1">
      <c r="A612" s="1342"/>
      <c r="B612" s="1343"/>
      <c r="C612" s="1344" t="s">
        <v>262</v>
      </c>
      <c r="D612" s="1343"/>
      <c r="E612" s="1343"/>
      <c r="F612" s="1345"/>
      <c r="G612" s="1346"/>
      <c r="H612" s="680" t="s">
        <v>46</v>
      </c>
      <c r="I612" s="1347">
        <v>0</v>
      </c>
      <c r="J612" s="1347">
        <f t="shared" ref="J612:J613" si="259">J614+J616</f>
        <v>0</v>
      </c>
      <c r="K612" s="1348">
        <f t="shared" si="258"/>
        <v>0</v>
      </c>
      <c r="L612" s="1349"/>
      <c r="M612" s="1349"/>
      <c r="N612" s="1349"/>
      <c r="O612" s="1349"/>
      <c r="P612" s="1349"/>
    </row>
    <row r="613" spans="1:16" ht="19.5" hidden="1">
      <c r="A613" s="1342"/>
      <c r="B613" s="1343"/>
      <c r="C613" s="1343" t="s">
        <v>263</v>
      </c>
      <c r="D613" s="1343"/>
      <c r="E613" s="1343"/>
      <c r="F613" s="1345"/>
      <c r="G613" s="1346"/>
      <c r="H613" s="680" t="s">
        <v>34</v>
      </c>
      <c r="I613" s="1347">
        <v>0</v>
      </c>
      <c r="J613" s="1347">
        <f t="shared" si="259"/>
        <v>0</v>
      </c>
      <c r="K613" s="1348">
        <f t="shared" si="258"/>
        <v>0</v>
      </c>
      <c r="L613" s="1349"/>
      <c r="M613" s="1349"/>
      <c r="N613" s="1349"/>
      <c r="O613" s="1349"/>
      <c r="P613" s="1349"/>
    </row>
    <row r="614" spans="1:16" ht="18.75" hidden="1">
      <c r="A614" s="1273"/>
      <c r="B614" s="1274"/>
      <c r="C614" s="1274"/>
      <c r="D614" s="1262" t="s">
        <v>264</v>
      </c>
      <c r="E614" s="1274"/>
      <c r="F614" s="1262"/>
      <c r="G614" s="1060"/>
      <c r="H614" s="583" t="s">
        <v>46</v>
      </c>
      <c r="I614" s="836"/>
      <c r="J614" s="836">
        <v>0</v>
      </c>
      <c r="K614" s="948"/>
      <c r="L614" s="948"/>
      <c r="M614" s="948"/>
      <c r="N614" s="948"/>
      <c r="O614" s="948"/>
      <c r="P614" s="948"/>
    </row>
    <row r="615" spans="1:16" ht="18.75" hidden="1">
      <c r="A615" s="1273"/>
      <c r="B615" s="1274"/>
      <c r="C615" s="1274"/>
      <c r="D615" s="1274"/>
      <c r="E615" s="1274"/>
      <c r="F615" s="1262"/>
      <c r="G615" s="1060"/>
      <c r="H615" s="583" t="s">
        <v>34</v>
      </c>
      <c r="I615" s="836"/>
      <c r="J615" s="836">
        <v>0</v>
      </c>
      <c r="K615" s="948"/>
      <c r="L615" s="948"/>
      <c r="M615" s="948"/>
      <c r="N615" s="948"/>
      <c r="O615" s="948"/>
      <c r="P615" s="948"/>
    </row>
    <row r="616" spans="1:16" ht="18.75" hidden="1">
      <c r="A616" s="1273"/>
      <c r="B616" s="1274"/>
      <c r="C616" s="1274"/>
      <c r="D616" s="1350" t="s">
        <v>264</v>
      </c>
      <c r="E616" s="1262"/>
      <c r="F616" s="1262"/>
      <c r="G616" s="1060"/>
      <c r="H616" s="583" t="s">
        <v>46</v>
      </c>
      <c r="I616" s="836"/>
      <c r="J616" s="836">
        <v>0</v>
      </c>
      <c r="K616" s="948"/>
      <c r="L616" s="948"/>
      <c r="M616" s="948"/>
      <c r="N616" s="948"/>
      <c r="O616" s="948"/>
      <c r="P616" s="948"/>
    </row>
    <row r="617" spans="1:16" ht="18.75" hidden="1">
      <c r="A617" s="1273"/>
      <c r="B617" s="1274"/>
      <c r="C617" s="1274"/>
      <c r="D617" s="1274"/>
      <c r="E617" s="1262"/>
      <c r="F617" s="1262"/>
      <c r="G617" s="1060"/>
      <c r="H617" s="583" t="s">
        <v>34</v>
      </c>
      <c r="I617" s="836"/>
      <c r="J617" s="836">
        <v>0</v>
      </c>
      <c r="K617" s="948"/>
      <c r="L617" s="948"/>
      <c r="M617" s="948"/>
      <c r="N617" s="948"/>
      <c r="O617" s="948"/>
      <c r="P617" s="948"/>
    </row>
    <row r="618" spans="1:16" ht="18.75" hidden="1">
      <c r="A618" s="1273"/>
      <c r="B618" s="1274"/>
      <c r="C618" s="1274"/>
      <c r="D618" s="1350" t="s">
        <v>265</v>
      </c>
      <c r="E618" s="1262"/>
      <c r="F618" s="1262"/>
      <c r="G618" s="1060"/>
      <c r="H618" s="583" t="s">
        <v>46</v>
      </c>
      <c r="I618" s="836"/>
      <c r="J618" s="836">
        <v>0</v>
      </c>
      <c r="K618" s="948"/>
      <c r="L618" s="948"/>
      <c r="M618" s="948"/>
      <c r="N618" s="948"/>
      <c r="O618" s="948"/>
      <c r="P618" s="948"/>
    </row>
    <row r="619" spans="1:16" ht="18.75" hidden="1">
      <c r="A619" s="1273"/>
      <c r="B619" s="1274"/>
      <c r="C619" s="1274"/>
      <c r="D619" s="1274"/>
      <c r="E619" s="1262"/>
      <c r="F619" s="1262"/>
      <c r="G619" s="1060"/>
      <c r="H619" s="583" t="s">
        <v>34</v>
      </c>
      <c r="I619" s="836"/>
      <c r="J619" s="836">
        <v>0</v>
      </c>
      <c r="K619" s="948"/>
      <c r="L619" s="948"/>
      <c r="M619" s="948"/>
      <c r="N619" s="948"/>
      <c r="O619" s="948"/>
      <c r="P619" s="948"/>
    </row>
    <row r="620" spans="1:16" ht="19.5">
      <c r="A620" s="1351"/>
      <c r="B620" s="1352"/>
      <c r="C620" s="1353" t="s">
        <v>266</v>
      </c>
      <c r="D620" s="1352"/>
      <c r="E620" s="1352"/>
      <c r="F620" s="1354"/>
      <c r="G620" s="1355"/>
      <c r="H620" s="693" t="s">
        <v>46</v>
      </c>
      <c r="I620" s="1356">
        <f ca="1">IFERROR(__xludf.DUMMYFUNCTION("IMPORTRANGE(""https://docs.google.com/spreadsheets/d/1QqKyyYR6Q21VydFLVH3TRQUabQu_ym0Zz7PgGX0-kHA/edit?usp=sharing"",""แผน!HL16"")"),13)</f>
        <v>13</v>
      </c>
      <c r="J620" s="1356">
        <f t="shared" ref="J620:J621" si="260">J622+J624+J626</f>
        <v>0</v>
      </c>
      <c r="K620" s="1357">
        <f t="shared" ref="K620:K621" ca="1" si="261">IF(I620&gt;0,J620*100/I620,0)</f>
        <v>0</v>
      </c>
      <c r="L620" s="1358"/>
      <c r="M620" s="1358"/>
      <c r="N620" s="1358"/>
      <c r="O620" s="1358"/>
      <c r="P620" s="1358"/>
    </row>
    <row r="621" spans="1:16" ht="19.5">
      <c r="A621" s="1351"/>
      <c r="B621" s="1352"/>
      <c r="C621" s="1352" t="s">
        <v>267</v>
      </c>
      <c r="D621" s="1352"/>
      <c r="E621" s="1352"/>
      <c r="F621" s="1354"/>
      <c r="G621" s="1355"/>
      <c r="H621" s="693" t="s">
        <v>34</v>
      </c>
      <c r="I621" s="1356">
        <f ca="1">IFERROR(__xludf.DUMMYFUNCTION("IMPORTRANGE(""https://docs.google.com/spreadsheets/d/1QqKyyYR6Q21VydFLVH3TRQUabQu_ym0Zz7PgGX0-kHA/edit?usp=sharing"",""แผน!HK16"")"),2)</f>
        <v>2</v>
      </c>
      <c r="J621" s="1356">
        <f t="shared" si="260"/>
        <v>0</v>
      </c>
      <c r="K621" s="1357">
        <f t="shared" ca="1" si="261"/>
        <v>0</v>
      </c>
      <c r="L621" s="1358"/>
      <c r="M621" s="1358"/>
      <c r="N621" s="1358"/>
      <c r="O621" s="1358"/>
      <c r="P621" s="1358"/>
    </row>
    <row r="622" spans="1:16" ht="18.75">
      <c r="A622" s="1267"/>
      <c r="B622" s="1268"/>
      <c r="C622" s="1268"/>
      <c r="D622" s="1017" t="s">
        <v>268</v>
      </c>
      <c r="E622" s="961"/>
      <c r="F622" s="961"/>
      <c r="G622" s="954"/>
      <c r="H622" s="730" t="s">
        <v>46</v>
      </c>
      <c r="I622" s="830"/>
      <c r="J622" s="959">
        <v>0</v>
      </c>
      <c r="K622" s="945"/>
      <c r="L622" s="945"/>
      <c r="M622" s="945"/>
      <c r="N622" s="945"/>
      <c r="O622" s="945"/>
      <c r="P622" s="945"/>
    </row>
    <row r="623" spans="1:16" ht="18.75">
      <c r="A623" s="1267"/>
      <c r="B623" s="1268"/>
      <c r="C623" s="1268"/>
      <c r="D623" s="1268"/>
      <c r="E623" s="961"/>
      <c r="F623" s="961"/>
      <c r="G623" s="954"/>
      <c r="H623" s="730" t="s">
        <v>34</v>
      </c>
      <c r="I623" s="830"/>
      <c r="J623" s="959">
        <v>0</v>
      </c>
      <c r="K623" s="945"/>
      <c r="L623" s="945"/>
      <c r="M623" s="945"/>
      <c r="N623" s="945"/>
      <c r="O623" s="945"/>
      <c r="P623" s="945"/>
    </row>
    <row r="624" spans="1:16" ht="18.75">
      <c r="A624" s="1267"/>
      <c r="B624" s="1268"/>
      <c r="C624" s="1268"/>
      <c r="D624" s="1017" t="s">
        <v>264</v>
      </c>
      <c r="E624" s="961"/>
      <c r="F624" s="961"/>
      <c r="G624" s="954"/>
      <c r="H624" s="730" t="s">
        <v>46</v>
      </c>
      <c r="I624" s="830"/>
      <c r="J624" s="959">
        <v>0</v>
      </c>
      <c r="K624" s="945"/>
      <c r="L624" s="945"/>
      <c r="M624" s="945"/>
      <c r="N624" s="945"/>
      <c r="O624" s="945"/>
      <c r="P624" s="945"/>
    </row>
    <row r="625" spans="1:16" ht="18.75">
      <c r="A625" s="1267"/>
      <c r="B625" s="1268"/>
      <c r="C625" s="1268"/>
      <c r="D625" s="1268"/>
      <c r="E625" s="961"/>
      <c r="F625" s="961"/>
      <c r="G625" s="954"/>
      <c r="H625" s="730" t="s">
        <v>34</v>
      </c>
      <c r="I625" s="830"/>
      <c r="J625" s="959">
        <v>0</v>
      </c>
      <c r="K625" s="945"/>
      <c r="L625" s="945"/>
      <c r="M625" s="945"/>
      <c r="N625" s="945"/>
      <c r="O625" s="945"/>
      <c r="P625" s="945"/>
    </row>
    <row r="626" spans="1:16" ht="18.75">
      <c r="A626" s="1267"/>
      <c r="B626" s="1268"/>
      <c r="C626" s="1268"/>
      <c r="D626" s="1017" t="s">
        <v>269</v>
      </c>
      <c r="E626" s="961"/>
      <c r="F626" s="961"/>
      <c r="G626" s="954"/>
      <c r="H626" s="730" t="s">
        <v>46</v>
      </c>
      <c r="I626" s="830"/>
      <c r="J626" s="959">
        <v>0</v>
      </c>
      <c r="K626" s="945"/>
      <c r="L626" s="945"/>
      <c r="M626" s="945"/>
      <c r="N626" s="945"/>
      <c r="O626" s="945"/>
      <c r="P626" s="945"/>
    </row>
    <row r="627" spans="1:16" ht="18.75">
      <c r="A627" s="1359"/>
      <c r="B627" s="1360"/>
      <c r="C627" s="1360"/>
      <c r="D627" s="1360"/>
      <c r="E627" s="1116"/>
      <c r="F627" s="1116"/>
      <c r="G627" s="1361"/>
      <c r="H627" s="391" t="s">
        <v>34</v>
      </c>
      <c r="I627" s="1085"/>
      <c r="J627" s="1118">
        <v>0</v>
      </c>
      <c r="K627" s="1086"/>
      <c r="L627" s="1086"/>
      <c r="M627" s="1086"/>
      <c r="N627" s="1086"/>
      <c r="O627" s="1086"/>
      <c r="P627" s="1086"/>
    </row>
    <row r="628" spans="1:16" ht="19.5">
      <c r="A628" s="702">
        <v>7</v>
      </c>
      <c r="B628" s="1362" t="s">
        <v>270</v>
      </c>
      <c r="C628" s="1363"/>
      <c r="D628" s="1363"/>
      <c r="E628" s="1363"/>
      <c r="F628" s="1363"/>
      <c r="G628" s="1364"/>
      <c r="H628" s="706" t="s">
        <v>35</v>
      </c>
      <c r="I628" s="1365">
        <f t="shared" ref="I628:J628" ca="1" si="262">I651</f>
        <v>21</v>
      </c>
      <c r="J628" s="1365">
        <f t="shared" ca="1" si="262"/>
        <v>0</v>
      </c>
      <c r="K628" s="1366">
        <f ca="1">IF(I628&gt;0,J628*100/I628,0)</f>
        <v>0</v>
      </c>
      <c r="L628" s="1367"/>
      <c r="M628" s="1367"/>
      <c r="N628" s="1367"/>
      <c r="O628" s="1367"/>
      <c r="P628" s="1367"/>
    </row>
    <row r="629" spans="1:16" ht="19.5">
      <c r="A629" s="1259"/>
      <c r="B629" s="1243"/>
      <c r="C629" s="1243" t="s">
        <v>16</v>
      </c>
      <c r="D629" s="1507" t="s">
        <v>17</v>
      </c>
      <c r="E629" s="1485"/>
      <c r="F629" s="1485"/>
      <c r="G629" s="963"/>
      <c r="H629" s="563" t="s">
        <v>12</v>
      </c>
      <c r="I629" s="830"/>
      <c r="J629" s="830"/>
      <c r="K629" s="831"/>
      <c r="L629" s="967">
        <f t="shared" ref="L629:N629" ca="1" si="263">L630+L631</f>
        <v>233605</v>
      </c>
      <c r="M629" s="967">
        <f t="shared" si="263"/>
        <v>0</v>
      </c>
      <c r="N629" s="967">
        <f t="shared" si="263"/>
        <v>0</v>
      </c>
      <c r="O629" s="967">
        <f t="shared" ref="O629:O634" ca="1" si="264">IF(L629&gt;0,N629*100/L629,0)</f>
        <v>0</v>
      </c>
      <c r="P629" s="967">
        <f t="shared" ref="P629:P634" si="265">IF(M629&gt;0,N629*100/M629,0)</f>
        <v>0</v>
      </c>
    </row>
    <row r="630" spans="1:16" ht="18.75" hidden="1">
      <c r="A630" s="1260"/>
      <c r="B630" s="1261"/>
      <c r="C630" s="1261"/>
      <c r="D630" s="1262"/>
      <c r="E630" s="1261" t="s">
        <v>184</v>
      </c>
      <c r="F630" s="1261"/>
      <c r="G630" s="1263"/>
      <c r="H630" s="165" t="s">
        <v>12</v>
      </c>
      <c r="I630" s="836"/>
      <c r="J630" s="836"/>
      <c r="K630" s="837"/>
      <c r="L630" s="837">
        <f t="shared" ref="L630:N631" si="266">L633+L640</f>
        <v>0</v>
      </c>
      <c r="M630" s="837">
        <f t="shared" si="266"/>
        <v>0</v>
      </c>
      <c r="N630" s="837">
        <f t="shared" si="266"/>
        <v>0</v>
      </c>
      <c r="O630" s="837">
        <f t="shared" si="264"/>
        <v>0</v>
      </c>
      <c r="P630" s="837">
        <f t="shared" si="265"/>
        <v>0</v>
      </c>
    </row>
    <row r="631" spans="1:16" ht="18.75" hidden="1">
      <c r="A631" s="1260"/>
      <c r="B631" s="1265"/>
      <c r="C631" s="1261"/>
      <c r="D631" s="1262"/>
      <c r="E631" s="1261" t="s">
        <v>185</v>
      </c>
      <c r="F631" s="1261"/>
      <c r="G631" s="1263"/>
      <c r="H631" s="165" t="s">
        <v>12</v>
      </c>
      <c r="I631" s="836"/>
      <c r="J631" s="836"/>
      <c r="K631" s="837"/>
      <c r="L631" s="837">
        <f t="shared" ca="1" si="266"/>
        <v>233605</v>
      </c>
      <c r="M631" s="837">
        <f t="shared" si="266"/>
        <v>0</v>
      </c>
      <c r="N631" s="837">
        <f t="shared" si="266"/>
        <v>0</v>
      </c>
      <c r="O631" s="837">
        <f t="shared" ca="1" si="264"/>
        <v>0</v>
      </c>
      <c r="P631" s="837">
        <f t="shared" si="265"/>
        <v>0</v>
      </c>
    </row>
    <row r="632" spans="1:16" ht="18.75">
      <c r="A632" s="1259"/>
      <c r="B632" s="1242"/>
      <c r="C632" s="1243"/>
      <c r="D632" s="1266" t="s">
        <v>20</v>
      </c>
      <c r="E632" s="1243"/>
      <c r="F632" s="1243"/>
      <c r="G632" s="963"/>
      <c r="H632" s="778" t="s">
        <v>12</v>
      </c>
      <c r="I632" s="944"/>
      <c r="J632" s="944"/>
      <c r="K632" s="945"/>
      <c r="L632" s="831">
        <f t="shared" ref="L632:N632" ca="1" si="267">L633+L634</f>
        <v>233605</v>
      </c>
      <c r="M632" s="831">
        <f t="shared" si="267"/>
        <v>0</v>
      </c>
      <c r="N632" s="831">
        <f t="shared" si="267"/>
        <v>0</v>
      </c>
      <c r="O632" s="831">
        <f t="shared" ca="1" si="264"/>
        <v>0</v>
      </c>
      <c r="P632" s="831">
        <f t="shared" si="265"/>
        <v>0</v>
      </c>
    </row>
    <row r="633" spans="1:16" ht="18.75" hidden="1">
      <c r="A633" s="1260"/>
      <c r="B633" s="1265"/>
      <c r="C633" s="1261"/>
      <c r="D633" s="1262"/>
      <c r="E633" s="1261" t="s">
        <v>184</v>
      </c>
      <c r="F633" s="1261"/>
      <c r="G633" s="1263"/>
      <c r="H633" s="165" t="s">
        <v>12</v>
      </c>
      <c r="I633" s="836"/>
      <c r="J633" s="836"/>
      <c r="K633" s="837"/>
      <c r="L633" s="837">
        <v>0</v>
      </c>
      <c r="M633" s="837">
        <v>0</v>
      </c>
      <c r="N633" s="837">
        <v>0</v>
      </c>
      <c r="O633" s="837">
        <f t="shared" si="264"/>
        <v>0</v>
      </c>
      <c r="P633" s="837">
        <f t="shared" si="265"/>
        <v>0</v>
      </c>
    </row>
    <row r="634" spans="1:16" ht="18.75" hidden="1">
      <c r="A634" s="1260"/>
      <c r="B634" s="1265"/>
      <c r="C634" s="1261"/>
      <c r="D634" s="1262"/>
      <c r="E634" s="1261" t="s">
        <v>185</v>
      </c>
      <c r="F634" s="1261"/>
      <c r="G634" s="1263"/>
      <c r="H634" s="165" t="s">
        <v>12</v>
      </c>
      <c r="I634" s="836"/>
      <c r="J634" s="836"/>
      <c r="K634" s="837"/>
      <c r="L634" s="837">
        <f ca="1">IFERROR(__xludf.DUMMYFUNCTION("IMPORTRANGE(""https://docs.google.com/spreadsheets/d/1QqKyyYR6Q21VydFLVH3TRQUabQu_ym0Zz7PgGX0-kHA/edit?usp=sharing"",""แผน!HN16"")"),233605)</f>
        <v>233605</v>
      </c>
      <c r="M634" s="837">
        <v>0</v>
      </c>
      <c r="N634" s="837">
        <f>N635+N636+N637+N638</f>
        <v>0</v>
      </c>
      <c r="O634" s="837">
        <f t="shared" ca="1" si="264"/>
        <v>0</v>
      </c>
      <c r="P634" s="837">
        <f t="shared" si="265"/>
        <v>0</v>
      </c>
    </row>
    <row r="635" spans="1:16" ht="18.75">
      <c r="A635" s="1241"/>
      <c r="B635" s="1242"/>
      <c r="C635" s="1243"/>
      <c r="D635" s="1243"/>
      <c r="E635" s="1243"/>
      <c r="F635" s="1243" t="s">
        <v>186</v>
      </c>
      <c r="G635" s="963"/>
      <c r="H635" s="778" t="s">
        <v>12</v>
      </c>
      <c r="I635" s="830"/>
      <c r="J635" s="830"/>
      <c r="K635" s="831"/>
      <c r="L635" s="831"/>
      <c r="M635" s="831"/>
      <c r="N635" s="1031">
        <v>0</v>
      </c>
      <c r="O635" s="831"/>
      <c r="P635" s="831"/>
    </row>
    <row r="636" spans="1:16" ht="18.75">
      <c r="A636" s="1241"/>
      <c r="B636" s="1242"/>
      <c r="C636" s="1243"/>
      <c r="D636" s="1243"/>
      <c r="E636" s="1243"/>
      <c r="F636" s="1243" t="s">
        <v>187</v>
      </c>
      <c r="G636" s="963"/>
      <c r="H636" s="778" t="s">
        <v>12</v>
      </c>
      <c r="I636" s="830"/>
      <c r="J636" s="830"/>
      <c r="K636" s="831"/>
      <c r="L636" s="831"/>
      <c r="M636" s="831"/>
      <c r="N636" s="1031">
        <v>0</v>
      </c>
      <c r="O636" s="831"/>
      <c r="P636" s="831"/>
    </row>
    <row r="637" spans="1:16" ht="18.75">
      <c r="A637" s="1241"/>
      <c r="B637" s="1242"/>
      <c r="C637" s="1243"/>
      <c r="D637" s="1243"/>
      <c r="E637" s="1243"/>
      <c r="F637" s="1243" t="s">
        <v>188</v>
      </c>
      <c r="G637" s="963"/>
      <c r="H637" s="778" t="s">
        <v>12</v>
      </c>
      <c r="I637" s="830"/>
      <c r="J637" s="830"/>
      <c r="K637" s="831"/>
      <c r="L637" s="831"/>
      <c r="M637" s="831"/>
      <c r="N637" s="1031">
        <v>0</v>
      </c>
      <c r="O637" s="831"/>
      <c r="P637" s="831"/>
    </row>
    <row r="638" spans="1:16" ht="18.75">
      <c r="A638" s="1241"/>
      <c r="B638" s="1242"/>
      <c r="C638" s="1243"/>
      <c r="D638" s="1243"/>
      <c r="E638" s="1243"/>
      <c r="F638" s="1243" t="s">
        <v>189</v>
      </c>
      <c r="G638" s="963"/>
      <c r="H638" s="778" t="s">
        <v>12</v>
      </c>
      <c r="I638" s="830"/>
      <c r="J638" s="830"/>
      <c r="K638" s="831"/>
      <c r="L638" s="831"/>
      <c r="M638" s="831"/>
      <c r="N638" s="1031">
        <v>0</v>
      </c>
      <c r="O638" s="831"/>
      <c r="P638" s="831"/>
    </row>
    <row r="639" spans="1:16" ht="18.75">
      <c r="A639" s="1259"/>
      <c r="B639" s="1242"/>
      <c r="C639" s="1243"/>
      <c r="D639" s="1266" t="s">
        <v>21</v>
      </c>
      <c r="E639" s="1243"/>
      <c r="F639" s="1243"/>
      <c r="G639" s="963"/>
      <c r="H639" s="168" t="s">
        <v>12</v>
      </c>
      <c r="I639" s="944"/>
      <c r="J639" s="944"/>
      <c r="K639" s="945"/>
      <c r="L639" s="831">
        <f t="shared" ref="L639:N639" ca="1" si="268">L640+L641</f>
        <v>0</v>
      </c>
      <c r="M639" s="831">
        <f t="shared" si="268"/>
        <v>0</v>
      </c>
      <c r="N639" s="831">
        <f t="shared" si="268"/>
        <v>0</v>
      </c>
      <c r="O639" s="831">
        <f t="shared" ref="O639:O641" ca="1" si="269">IF(L639&gt;0,N639*100/L639,0)</f>
        <v>0</v>
      </c>
      <c r="P639" s="831">
        <f t="shared" ref="P639:P641" si="270">IF(M639&gt;0,N639*100/M639,0)</f>
        <v>0</v>
      </c>
    </row>
    <row r="640" spans="1:16" ht="18.75" hidden="1">
      <c r="A640" s="1260"/>
      <c r="B640" s="1265"/>
      <c r="C640" s="1261"/>
      <c r="D640" s="1261"/>
      <c r="E640" s="1261" t="s">
        <v>18</v>
      </c>
      <c r="F640" s="1261"/>
      <c r="G640" s="1263"/>
      <c r="H640" s="165" t="s">
        <v>12</v>
      </c>
      <c r="I640" s="947"/>
      <c r="J640" s="947"/>
      <c r="K640" s="948"/>
      <c r="L640" s="837">
        <v>0</v>
      </c>
      <c r="M640" s="837">
        <v>0</v>
      </c>
      <c r="N640" s="837">
        <v>0</v>
      </c>
      <c r="O640" s="837">
        <f t="shared" si="269"/>
        <v>0</v>
      </c>
      <c r="P640" s="837">
        <f t="shared" si="270"/>
        <v>0</v>
      </c>
    </row>
    <row r="641" spans="1:16" ht="18.75" hidden="1">
      <c r="A641" s="1260"/>
      <c r="B641" s="1265"/>
      <c r="C641" s="1261"/>
      <c r="D641" s="1261"/>
      <c r="E641" s="1261" t="s">
        <v>19</v>
      </c>
      <c r="F641" s="1261"/>
      <c r="G641" s="1263"/>
      <c r="H641" s="169" t="s">
        <v>12</v>
      </c>
      <c r="I641" s="947"/>
      <c r="J641" s="947"/>
      <c r="K641" s="948"/>
      <c r="L641" s="837">
        <f ca="1">IFERROR(__xludf.DUMMYFUNCTION("IMPORTRANGE(""https://docs.google.com/spreadsheets/d/1QqKyyYR6Q21VydFLVH3TRQUabQu_ym0Zz7PgGX0-kHA/edit?usp=sharing"",""แผน!HQ16"")"),0)</f>
        <v>0</v>
      </c>
      <c r="M641" s="837">
        <v>0</v>
      </c>
      <c r="N641" s="837">
        <v>0</v>
      </c>
      <c r="O641" s="837">
        <f t="shared" ca="1" si="269"/>
        <v>0</v>
      </c>
      <c r="P641" s="837">
        <f t="shared" si="270"/>
        <v>0</v>
      </c>
    </row>
    <row r="642" spans="1:16" ht="19.5">
      <c r="A642" s="1267"/>
      <c r="B642" s="1268"/>
      <c r="C642" s="1243" t="s">
        <v>16</v>
      </c>
      <c r="D642" s="1320" t="s">
        <v>38</v>
      </c>
      <c r="E642" s="1271"/>
      <c r="F642" s="1271"/>
      <c r="G642" s="1272"/>
      <c r="H642" s="954"/>
      <c r="I642" s="944"/>
      <c r="J642" s="944"/>
      <c r="K642" s="945"/>
      <c r="L642" s="945"/>
      <c r="M642" s="945"/>
      <c r="N642" s="945"/>
      <c r="O642" s="945"/>
      <c r="P642" s="945"/>
    </row>
    <row r="643" spans="1:16" ht="18.75">
      <c r="A643" s="1368"/>
      <c r="B643" s="1242"/>
      <c r="C643" s="1243"/>
      <c r="D643" s="961"/>
      <c r="E643" s="1017" t="s">
        <v>271</v>
      </c>
      <c r="F643" s="961"/>
      <c r="G643" s="954"/>
      <c r="H643" s="730" t="s">
        <v>272</v>
      </c>
      <c r="I643" s="830">
        <f ca="1">IFERROR(__xludf.DUMMYFUNCTION("IMPORTRANGE(""https://docs.google.com/spreadsheets/d/1QqKyyYR6Q21VydFLVH3TRQUabQu_ym0Zz7PgGX0-kHA/edit?usp=sharing"",""แผน!HR16"")"),2)</f>
        <v>2</v>
      </c>
      <c r="J643" s="959">
        <v>0</v>
      </c>
      <c r="K643" s="945">
        <f t="shared" ref="K643:K652" ca="1" si="271">IF(I643&gt;0,J643*100/I643,0)</f>
        <v>0</v>
      </c>
      <c r="L643" s="945"/>
      <c r="M643" s="945"/>
      <c r="N643" s="831"/>
      <c r="O643" s="945"/>
      <c r="P643" s="945"/>
    </row>
    <row r="644" spans="1:16" ht="18.75">
      <c r="A644" s="1368"/>
      <c r="B644" s="1242"/>
      <c r="C644" s="1243"/>
      <c r="D644" s="961"/>
      <c r="E644" s="1017" t="s">
        <v>273</v>
      </c>
      <c r="F644" s="961"/>
      <c r="G644" s="954"/>
      <c r="H644" s="730" t="s">
        <v>274</v>
      </c>
      <c r="I644" s="830">
        <f ca="1">IFERROR(__xludf.DUMMYFUNCTION("IMPORTRANGE(""https://docs.google.com/spreadsheets/d/1QqKyyYR6Q21VydFLVH3TRQUabQu_ym0Zz7PgGX0-kHA/edit?usp=sharing"",""แผน!HR16"")"),2)</f>
        <v>2</v>
      </c>
      <c r="J644" s="959">
        <v>0</v>
      </c>
      <c r="K644" s="945">
        <f t="shared" ca="1" si="271"/>
        <v>0</v>
      </c>
      <c r="L644" s="945"/>
      <c r="M644" s="945"/>
      <c r="N644" s="831"/>
      <c r="O644" s="945"/>
      <c r="P644" s="945"/>
    </row>
    <row r="645" spans="1:16" ht="18.75">
      <c r="A645" s="1368"/>
      <c r="B645" s="1242"/>
      <c r="C645" s="1243"/>
      <c r="D645" s="961"/>
      <c r="E645" s="1017" t="s">
        <v>275</v>
      </c>
      <c r="F645" s="961"/>
      <c r="G645" s="954"/>
      <c r="H645" s="730" t="s">
        <v>34</v>
      </c>
      <c r="I645" s="830">
        <v>0</v>
      </c>
      <c r="J645" s="830">
        <f ca="1">IFERROR(__xludf.DUMMYFUNCTION("IMPORTRANGE(""https://docs.google.com/spreadsheets/d/1XWAQStnk-4SwqDmLtmXYiTMKHgktTP8We1SCoS47DrQ/edit?usp=sharing"",""จัดที่ดิน!AS16"")"),0)</f>
        <v>0</v>
      </c>
      <c r="K645" s="945">
        <f t="shared" si="271"/>
        <v>0</v>
      </c>
      <c r="L645" s="945"/>
      <c r="M645" s="945"/>
      <c r="N645" s="831"/>
      <c r="O645" s="945"/>
      <c r="P645" s="945"/>
    </row>
    <row r="646" spans="1:16" ht="18.75">
      <c r="A646" s="1368"/>
      <c r="B646" s="1242"/>
      <c r="C646" s="1243"/>
      <c r="D646" s="961"/>
      <c r="E646" s="961"/>
      <c r="F646" s="961"/>
      <c r="G646" s="954"/>
      <c r="H646" s="730" t="s">
        <v>46</v>
      </c>
      <c r="I646" s="830">
        <v>0</v>
      </c>
      <c r="J646" s="830">
        <f ca="1">IFERROR(__xludf.DUMMYFUNCTION("IMPORTRANGE(""https://docs.google.com/spreadsheets/d/1XWAQStnk-4SwqDmLtmXYiTMKHgktTP8We1SCoS47DrQ/edit?usp=sharing"",""จัดที่ดิน!AT16"")"),0)</f>
        <v>0</v>
      </c>
      <c r="K646" s="831">
        <f t="shared" si="271"/>
        <v>0</v>
      </c>
      <c r="L646" s="945"/>
      <c r="M646" s="945"/>
      <c r="N646" s="831"/>
      <c r="O646" s="945"/>
      <c r="P646" s="945"/>
    </row>
    <row r="647" spans="1:16" ht="18.75">
      <c r="A647" s="1368"/>
      <c r="B647" s="1242"/>
      <c r="C647" s="1243"/>
      <c r="D647" s="961"/>
      <c r="E647" s="1017" t="s">
        <v>162</v>
      </c>
      <c r="F647" s="961"/>
      <c r="G647" s="954"/>
      <c r="H647" s="730" t="s">
        <v>35</v>
      </c>
      <c r="I647" s="830">
        <f ca="1">IFERROR(__xludf.DUMMYFUNCTION("IMPORTRANGE(""https://docs.google.com/spreadsheets/d/1QqKyyYR6Q21VydFLVH3TRQUabQu_ym0Zz7PgGX0-kHA/edit?usp=sharing"",""แผน!HS16"")"),21)</f>
        <v>21</v>
      </c>
      <c r="J647" s="830">
        <f ca="1">IFERROR(__xludf.DUMMYFUNCTION("IMPORTRANGE(""https://docs.google.com/spreadsheets/d/1XWAQStnk-4SwqDmLtmXYiTMKHgktTP8We1SCoS47DrQ/edit?usp=sharing"",""จัดที่ดิน!AU16"")"),0)</f>
        <v>0</v>
      </c>
      <c r="K647" s="945">
        <f t="shared" ca="1" si="271"/>
        <v>0</v>
      </c>
      <c r="L647" s="945"/>
      <c r="M647" s="945"/>
      <c r="N647" s="945"/>
      <c r="O647" s="945"/>
      <c r="P647" s="945"/>
    </row>
    <row r="648" spans="1:16" ht="18.75">
      <c r="A648" s="1368"/>
      <c r="B648" s="1242"/>
      <c r="C648" s="1243"/>
      <c r="D648" s="961"/>
      <c r="E648" s="961"/>
      <c r="F648" s="961"/>
      <c r="G648" s="954"/>
      <c r="H648" s="730" t="s">
        <v>46</v>
      </c>
      <c r="I648" s="830">
        <v>0</v>
      </c>
      <c r="J648" s="830">
        <f ca="1">IFERROR(__xludf.DUMMYFUNCTION("IMPORTRANGE(""https://docs.google.com/spreadsheets/d/1XWAQStnk-4SwqDmLtmXYiTMKHgktTP8We1SCoS47DrQ/edit?usp=sharing"",""จัดที่ดิน!AV16"")"),0)</f>
        <v>0</v>
      </c>
      <c r="K648" s="831">
        <f t="shared" si="271"/>
        <v>0</v>
      </c>
      <c r="L648" s="945"/>
      <c r="M648" s="945"/>
      <c r="N648" s="945"/>
      <c r="O648" s="945"/>
      <c r="P648" s="945"/>
    </row>
    <row r="649" spans="1:16" ht="18.75">
      <c r="A649" s="1368"/>
      <c r="B649" s="1242"/>
      <c r="C649" s="1243"/>
      <c r="D649" s="961"/>
      <c r="E649" s="1017" t="s">
        <v>276</v>
      </c>
      <c r="F649" s="961"/>
      <c r="G649" s="954"/>
      <c r="H649" s="730" t="s">
        <v>35</v>
      </c>
      <c r="I649" s="830">
        <f ca="1">IFERROR(__xludf.DUMMYFUNCTION("IMPORTRANGE(""https://docs.google.com/spreadsheets/d/1QqKyyYR6Q21VydFLVH3TRQUabQu_ym0Zz7PgGX0-kHA/edit?usp=sharing"",""แผน!HS16"")"),21)</f>
        <v>21</v>
      </c>
      <c r="J649" s="830">
        <f ca="1">IFERROR(__xludf.DUMMYFUNCTION("IMPORTRANGE(""https://docs.google.com/spreadsheets/d/1XWAQStnk-4SwqDmLtmXYiTMKHgktTP8We1SCoS47DrQ/edit?usp=sharing"",""จัดที่ดิน!AW16"")"),0)</f>
        <v>0</v>
      </c>
      <c r="K649" s="945">
        <f t="shared" ca="1" si="271"/>
        <v>0</v>
      </c>
      <c r="L649" s="945"/>
      <c r="M649" s="945"/>
      <c r="N649" s="945"/>
      <c r="O649" s="945"/>
      <c r="P649" s="945"/>
    </row>
    <row r="650" spans="1:16" ht="18.75">
      <c r="A650" s="1368"/>
      <c r="B650" s="1242"/>
      <c r="C650" s="1243"/>
      <c r="D650" s="961"/>
      <c r="E650" s="961"/>
      <c r="F650" s="961"/>
      <c r="G650" s="954"/>
      <c r="H650" s="730" t="s">
        <v>46</v>
      </c>
      <c r="I650" s="830">
        <v>0</v>
      </c>
      <c r="J650" s="830">
        <f ca="1">IFERROR(__xludf.DUMMYFUNCTION("IMPORTRANGE(""https://docs.google.com/spreadsheets/d/1XWAQStnk-4SwqDmLtmXYiTMKHgktTP8We1SCoS47DrQ/edit?usp=sharing"",""จัดที่ดิน!AX16"")"),0)</f>
        <v>0</v>
      </c>
      <c r="K650" s="831">
        <f t="shared" si="271"/>
        <v>0</v>
      </c>
      <c r="L650" s="945"/>
      <c r="M650" s="945"/>
      <c r="N650" s="945"/>
      <c r="O650" s="945"/>
      <c r="P650" s="945"/>
    </row>
    <row r="651" spans="1:16" ht="18.75">
      <c r="A651" s="1368"/>
      <c r="B651" s="1242"/>
      <c r="C651" s="1243"/>
      <c r="D651" s="961"/>
      <c r="E651" s="1017" t="s">
        <v>277</v>
      </c>
      <c r="F651" s="961"/>
      <c r="G651" s="954"/>
      <c r="H651" s="730" t="s">
        <v>35</v>
      </c>
      <c r="I651" s="830">
        <f ca="1">IFERROR(__xludf.DUMMYFUNCTION("IMPORTRANGE(""https://docs.google.com/spreadsheets/d/1QqKyyYR6Q21VydFLVH3TRQUabQu_ym0Zz7PgGX0-kHA/edit?usp=sharing"",""แผน!HS16"")"),21)</f>
        <v>21</v>
      </c>
      <c r="J651" s="830">
        <f ca="1">IFERROR(__xludf.DUMMYFUNCTION("IMPORTRANGE(""https://docs.google.com/spreadsheets/d/1XWAQStnk-4SwqDmLtmXYiTMKHgktTP8We1SCoS47DrQ/edit?usp=sharing"",""จัดที่ดิน!AY16"")"),0)</f>
        <v>0</v>
      </c>
      <c r="K651" s="945">
        <f t="shared" ca="1" si="271"/>
        <v>0</v>
      </c>
      <c r="L651" s="945"/>
      <c r="M651" s="945"/>
      <c r="N651" s="945"/>
      <c r="O651" s="945"/>
      <c r="P651" s="945"/>
    </row>
    <row r="652" spans="1:16" ht="18.75">
      <c r="A652" s="1369"/>
      <c r="B652" s="1370"/>
      <c r="C652" s="1371"/>
      <c r="D652" s="1116"/>
      <c r="E652" s="1116"/>
      <c r="F652" s="1116"/>
      <c r="G652" s="1361"/>
      <c r="H652" s="468" t="s">
        <v>46</v>
      </c>
      <c r="I652" s="1085">
        <v>0</v>
      </c>
      <c r="J652" s="1085">
        <f ca="1">IFERROR(__xludf.DUMMYFUNCTION("IMPORTRANGE(""https://docs.google.com/spreadsheets/d/1XWAQStnk-4SwqDmLtmXYiTMKHgktTP8We1SCoS47DrQ/edit?usp=sharing"",""จัดที่ดิน!AZ16"")"),0)</f>
        <v>0</v>
      </c>
      <c r="K652" s="1182">
        <f t="shared" si="271"/>
        <v>0</v>
      </c>
      <c r="L652" s="1086"/>
      <c r="M652" s="1086"/>
      <c r="N652" s="1086"/>
      <c r="O652" s="1086"/>
      <c r="P652" s="1086"/>
    </row>
    <row r="653" spans="1:16" ht="19.5">
      <c r="A653" s="716">
        <v>8</v>
      </c>
      <c r="B653" s="1362" t="s">
        <v>278</v>
      </c>
      <c r="C653" s="1363"/>
      <c r="D653" s="1363"/>
      <c r="E653" s="1363"/>
      <c r="F653" s="1363"/>
      <c r="G653" s="1364"/>
      <c r="H653" s="1364"/>
      <c r="I653" s="1372"/>
      <c r="J653" s="1372"/>
      <c r="K653" s="1367"/>
      <c r="L653" s="1367"/>
      <c r="M653" s="1367"/>
      <c r="N653" s="1367"/>
      <c r="O653" s="1367"/>
      <c r="P653" s="1367"/>
    </row>
    <row r="654" spans="1:16" ht="19.5">
      <c r="A654" s="1315"/>
      <c r="B654" s="1314" t="s">
        <v>279</v>
      </c>
      <c r="C654" s="1315"/>
      <c r="D654" s="1315"/>
      <c r="E654" s="1315"/>
      <c r="F654" s="1315"/>
      <c r="G654" s="1316"/>
      <c r="H654" s="673" t="s">
        <v>46</v>
      </c>
      <c r="I654" s="1317">
        <f t="shared" ref="I654:J654" ca="1" si="272">I669</f>
        <v>100</v>
      </c>
      <c r="J654" s="1317">
        <f t="shared" si="272"/>
        <v>0</v>
      </c>
      <c r="K654" s="1318">
        <f ca="1">IF(I654&gt;0,J654*100/I654,0)</f>
        <v>0</v>
      </c>
      <c r="L654" s="1319"/>
      <c r="M654" s="1319"/>
      <c r="N654" s="1319"/>
      <c r="O654" s="1319"/>
      <c r="P654" s="1319"/>
    </row>
    <row r="655" spans="1:16" ht="19.5">
      <c r="A655" s="1259"/>
      <c r="B655" s="1243"/>
      <c r="C655" s="1243" t="s">
        <v>16</v>
      </c>
      <c r="D655" s="1507" t="s">
        <v>17</v>
      </c>
      <c r="E655" s="1485"/>
      <c r="F655" s="1485"/>
      <c r="G655" s="963"/>
      <c r="H655" s="563" t="s">
        <v>12</v>
      </c>
      <c r="I655" s="830"/>
      <c r="J655" s="830"/>
      <c r="K655" s="831"/>
      <c r="L655" s="967">
        <f t="shared" ref="L655:N655" ca="1" si="273">L656+L657</f>
        <v>15600</v>
      </c>
      <c r="M655" s="967">
        <f t="shared" si="273"/>
        <v>0</v>
      </c>
      <c r="N655" s="967">
        <f t="shared" si="273"/>
        <v>3403</v>
      </c>
      <c r="O655" s="967">
        <f t="shared" ref="O655:O660" ca="1" si="274">IF(L655&gt;0,N655*100/L655,0)</f>
        <v>21.814102564102566</v>
      </c>
      <c r="P655" s="967">
        <f t="shared" ref="P655:P660" si="275">IF(M655&gt;0,N655*100/M655,0)</f>
        <v>0</v>
      </c>
    </row>
    <row r="656" spans="1:16" ht="18.75" hidden="1">
      <c r="A656" s="1260"/>
      <c r="B656" s="1261"/>
      <c r="C656" s="1261"/>
      <c r="D656" s="1262"/>
      <c r="E656" s="1261" t="s">
        <v>184</v>
      </c>
      <c r="F656" s="1261"/>
      <c r="G656" s="1263"/>
      <c r="H656" s="165" t="s">
        <v>12</v>
      </c>
      <c r="I656" s="836"/>
      <c r="J656" s="836"/>
      <c r="K656" s="837"/>
      <c r="L656" s="837">
        <f t="shared" ref="L656:N657" si="276">L659+L666</f>
        <v>0</v>
      </c>
      <c r="M656" s="837">
        <f t="shared" si="276"/>
        <v>0</v>
      </c>
      <c r="N656" s="837">
        <f t="shared" si="276"/>
        <v>0</v>
      </c>
      <c r="O656" s="837">
        <f t="shared" si="274"/>
        <v>0</v>
      </c>
      <c r="P656" s="837">
        <f t="shared" si="275"/>
        <v>0</v>
      </c>
    </row>
    <row r="657" spans="1:16" ht="18.75" hidden="1">
      <c r="A657" s="1260"/>
      <c r="B657" s="1265"/>
      <c r="C657" s="1261"/>
      <c r="D657" s="1262"/>
      <c r="E657" s="1261" t="s">
        <v>185</v>
      </c>
      <c r="F657" s="1261"/>
      <c r="G657" s="1263"/>
      <c r="H657" s="165" t="s">
        <v>12</v>
      </c>
      <c r="I657" s="836"/>
      <c r="J657" s="836"/>
      <c r="K657" s="837"/>
      <c r="L657" s="837">
        <f t="shared" ca="1" si="276"/>
        <v>15600</v>
      </c>
      <c r="M657" s="837">
        <f t="shared" si="276"/>
        <v>0</v>
      </c>
      <c r="N657" s="837">
        <f t="shared" si="276"/>
        <v>3403</v>
      </c>
      <c r="O657" s="837">
        <f t="shared" ca="1" si="274"/>
        <v>21.814102564102566</v>
      </c>
      <c r="P657" s="837">
        <f t="shared" si="275"/>
        <v>0</v>
      </c>
    </row>
    <row r="658" spans="1:16" ht="18.75">
      <c r="A658" s="1259"/>
      <c r="B658" s="1242"/>
      <c r="C658" s="1243"/>
      <c r="D658" s="1266" t="s">
        <v>20</v>
      </c>
      <c r="E658" s="1243"/>
      <c r="F658" s="1243"/>
      <c r="G658" s="963"/>
      <c r="H658" s="778" t="s">
        <v>12</v>
      </c>
      <c r="I658" s="944"/>
      <c r="J658" s="944"/>
      <c r="K658" s="945"/>
      <c r="L658" s="831">
        <f t="shared" ref="L658:N658" ca="1" si="277">L659+L660</f>
        <v>15600</v>
      </c>
      <c r="M658" s="831">
        <f t="shared" si="277"/>
        <v>0</v>
      </c>
      <c r="N658" s="831">
        <f t="shared" si="277"/>
        <v>3403</v>
      </c>
      <c r="O658" s="831">
        <f t="shared" ca="1" si="274"/>
        <v>21.814102564102566</v>
      </c>
      <c r="P658" s="831">
        <f t="shared" si="275"/>
        <v>0</v>
      </c>
    </row>
    <row r="659" spans="1:16" ht="18.75" hidden="1">
      <c r="A659" s="1260"/>
      <c r="B659" s="1265"/>
      <c r="C659" s="1261"/>
      <c r="D659" s="1262"/>
      <c r="E659" s="1261" t="s">
        <v>184</v>
      </c>
      <c r="F659" s="1261"/>
      <c r="G659" s="1263"/>
      <c r="H659" s="165" t="s">
        <v>12</v>
      </c>
      <c r="I659" s="836"/>
      <c r="J659" s="836"/>
      <c r="K659" s="837"/>
      <c r="L659" s="837">
        <v>0</v>
      </c>
      <c r="M659" s="837">
        <v>0</v>
      </c>
      <c r="N659" s="837">
        <v>0</v>
      </c>
      <c r="O659" s="837">
        <f t="shared" si="274"/>
        <v>0</v>
      </c>
      <c r="P659" s="837">
        <f t="shared" si="275"/>
        <v>0</v>
      </c>
    </row>
    <row r="660" spans="1:16" ht="18.75" hidden="1">
      <c r="A660" s="1260"/>
      <c r="B660" s="1265"/>
      <c r="C660" s="1261"/>
      <c r="D660" s="1262"/>
      <c r="E660" s="1261" t="s">
        <v>185</v>
      </c>
      <c r="F660" s="1261"/>
      <c r="G660" s="1263"/>
      <c r="H660" s="165" t="s">
        <v>12</v>
      </c>
      <c r="I660" s="836"/>
      <c r="J660" s="836"/>
      <c r="K660" s="837"/>
      <c r="L660" s="837">
        <f ca="1">IFERROR(__xludf.DUMMYFUNCTION("IMPORTRANGE(""https://docs.google.com/spreadsheets/d/1QqKyyYR6Q21VydFLVH3TRQUabQu_ym0Zz7PgGX0-kHA/edit?usp=sharing"",""แผน!HV16"")"),15600)</f>
        <v>15600</v>
      </c>
      <c r="M660" s="837">
        <v>0</v>
      </c>
      <c r="N660" s="837">
        <f>N661+N662+N663+N664</f>
        <v>3403</v>
      </c>
      <c r="O660" s="837">
        <f t="shared" ca="1" si="274"/>
        <v>21.814102564102566</v>
      </c>
      <c r="P660" s="837">
        <f t="shared" si="275"/>
        <v>0</v>
      </c>
    </row>
    <row r="661" spans="1:16" ht="18.75">
      <c r="A661" s="1241"/>
      <c r="B661" s="1242"/>
      <c r="C661" s="1243"/>
      <c r="D661" s="1243"/>
      <c r="E661" s="1243"/>
      <c r="F661" s="1243" t="s">
        <v>186</v>
      </c>
      <c r="G661" s="963"/>
      <c r="H661" s="778" t="s">
        <v>12</v>
      </c>
      <c r="I661" s="830"/>
      <c r="J661" s="830"/>
      <c r="K661" s="831"/>
      <c r="L661" s="831"/>
      <c r="M661" s="831"/>
      <c r="N661" s="1031">
        <v>0</v>
      </c>
      <c r="O661" s="831"/>
      <c r="P661" s="831"/>
    </row>
    <row r="662" spans="1:16" ht="18.75">
      <c r="A662" s="1241"/>
      <c r="B662" s="1242"/>
      <c r="C662" s="1243"/>
      <c r="D662" s="1243"/>
      <c r="E662" s="1243"/>
      <c r="F662" s="1243" t="s">
        <v>187</v>
      </c>
      <c r="G662" s="963"/>
      <c r="H662" s="778" t="s">
        <v>12</v>
      </c>
      <c r="I662" s="830"/>
      <c r="J662" s="830"/>
      <c r="K662" s="831"/>
      <c r="L662" s="831"/>
      <c r="M662" s="831"/>
      <c r="N662" s="1031">
        <v>0</v>
      </c>
      <c r="O662" s="831"/>
      <c r="P662" s="831"/>
    </row>
    <row r="663" spans="1:16" ht="18.75">
      <c r="A663" s="1241"/>
      <c r="B663" s="1242"/>
      <c r="C663" s="1242"/>
      <c r="D663" s="1243"/>
      <c r="E663" s="1243"/>
      <c r="F663" s="1243" t="s">
        <v>188</v>
      </c>
      <c r="G663" s="963"/>
      <c r="H663" s="778" t="s">
        <v>12</v>
      </c>
      <c r="I663" s="830"/>
      <c r="J663" s="830"/>
      <c r="K663" s="831"/>
      <c r="L663" s="831"/>
      <c r="M663" s="831"/>
      <c r="N663" s="1031">
        <v>0</v>
      </c>
      <c r="O663" s="831"/>
      <c r="P663" s="831"/>
    </row>
    <row r="664" spans="1:16" ht="18.75">
      <c r="A664" s="1241"/>
      <c r="B664" s="1242"/>
      <c r="C664" s="1242"/>
      <c r="D664" s="1242"/>
      <c r="E664" s="1243"/>
      <c r="F664" s="1243" t="s">
        <v>189</v>
      </c>
      <c r="G664" s="963"/>
      <c r="H664" s="778" t="s">
        <v>12</v>
      </c>
      <c r="I664" s="830"/>
      <c r="J664" s="830"/>
      <c r="K664" s="831"/>
      <c r="L664" s="831"/>
      <c r="M664" s="831"/>
      <c r="N664" s="1031">
        <f>1400+2003</f>
        <v>3403</v>
      </c>
      <c r="O664" s="831"/>
      <c r="P664" s="831"/>
    </row>
    <row r="665" spans="1:16" ht="18.75">
      <c r="A665" s="1259"/>
      <c r="B665" s="1242"/>
      <c r="C665" s="1242"/>
      <c r="D665" s="1266" t="s">
        <v>21</v>
      </c>
      <c r="E665" s="1243"/>
      <c r="F665" s="1243"/>
      <c r="G665" s="963"/>
      <c r="H665" s="168" t="s">
        <v>12</v>
      </c>
      <c r="I665" s="944"/>
      <c r="J665" s="944"/>
      <c r="K665" s="945"/>
      <c r="L665" s="831">
        <f t="shared" ref="L665:N665" si="278">L666+L667</f>
        <v>0</v>
      </c>
      <c r="M665" s="831">
        <f t="shared" si="278"/>
        <v>0</v>
      </c>
      <c r="N665" s="831">
        <f t="shared" si="278"/>
        <v>0</v>
      </c>
      <c r="O665" s="831">
        <f t="shared" ref="O665:O667" si="279">IF(L665&gt;0,N665*100/L665,0)</f>
        <v>0</v>
      </c>
      <c r="P665" s="831">
        <f t="shared" ref="P665:P667" si="280">IF(M665&gt;0,N665*100/M665,0)</f>
        <v>0</v>
      </c>
    </row>
    <row r="666" spans="1:16" ht="18.75" hidden="1">
      <c r="A666" s="1260"/>
      <c r="B666" s="1265"/>
      <c r="C666" s="1265"/>
      <c r="D666" s="1265"/>
      <c r="E666" s="1261" t="s">
        <v>18</v>
      </c>
      <c r="F666" s="1261"/>
      <c r="G666" s="1263"/>
      <c r="H666" s="165" t="s">
        <v>12</v>
      </c>
      <c r="I666" s="947"/>
      <c r="J666" s="947"/>
      <c r="K666" s="948"/>
      <c r="L666" s="837">
        <v>0</v>
      </c>
      <c r="M666" s="837">
        <v>0</v>
      </c>
      <c r="N666" s="837">
        <v>0</v>
      </c>
      <c r="O666" s="837">
        <f t="shared" si="279"/>
        <v>0</v>
      </c>
      <c r="P666" s="837">
        <f t="shared" si="280"/>
        <v>0</v>
      </c>
    </row>
    <row r="667" spans="1:16" ht="18.75" hidden="1">
      <c r="A667" s="1260"/>
      <c r="B667" s="1265"/>
      <c r="C667" s="1265"/>
      <c r="D667" s="1265"/>
      <c r="E667" s="1261" t="s">
        <v>19</v>
      </c>
      <c r="F667" s="1261"/>
      <c r="G667" s="1263"/>
      <c r="H667" s="169" t="s">
        <v>12</v>
      </c>
      <c r="I667" s="947"/>
      <c r="J667" s="947"/>
      <c r="K667" s="948"/>
      <c r="L667" s="837">
        <v>0</v>
      </c>
      <c r="M667" s="837">
        <v>0</v>
      </c>
      <c r="N667" s="837">
        <v>0</v>
      </c>
      <c r="O667" s="837">
        <f t="shared" si="279"/>
        <v>0</v>
      </c>
      <c r="P667" s="837">
        <f t="shared" si="280"/>
        <v>0</v>
      </c>
    </row>
    <row r="668" spans="1:16" ht="19.5">
      <c r="A668" s="1267"/>
      <c r="B668" s="1268"/>
      <c r="C668" s="1242" t="s">
        <v>16</v>
      </c>
      <c r="D668" s="1269" t="s">
        <v>38</v>
      </c>
      <c r="E668" s="1271"/>
      <c r="F668" s="1271"/>
      <c r="G668" s="1272"/>
      <c r="H668" s="954"/>
      <c r="I668" s="944"/>
      <c r="J668" s="944"/>
      <c r="K668" s="945"/>
      <c r="L668" s="945"/>
      <c r="M668" s="945"/>
      <c r="N668" s="945"/>
      <c r="O668" s="945"/>
      <c r="P668" s="945"/>
    </row>
    <row r="669" spans="1:16" ht="19.5">
      <c r="A669" s="1267"/>
      <c r="B669" s="1268"/>
      <c r="C669" s="1268"/>
      <c r="D669" s="1268" t="s">
        <v>280</v>
      </c>
      <c r="E669" s="961"/>
      <c r="F669" s="961"/>
      <c r="G669" s="954"/>
      <c r="H669" s="733" t="s">
        <v>46</v>
      </c>
      <c r="I669" s="966">
        <f ca="1">IFERROR(__xludf.DUMMYFUNCTION("IMPORTRANGE(""https://docs.google.com/spreadsheets/d/1QqKyyYR6Q21VydFLVH3TRQUabQu_ym0Zz7PgGX0-kHA/edit?usp=sharing"",""แผน!IA16"")"),100)</f>
        <v>100</v>
      </c>
      <c r="J669" s="966">
        <f>J675</f>
        <v>0</v>
      </c>
      <c r="K669" s="967">
        <f ca="1">IF(I669&gt;0,J669*100/I669,0)</f>
        <v>0</v>
      </c>
      <c r="L669" s="945"/>
      <c r="M669" s="945"/>
      <c r="N669" s="945"/>
      <c r="O669" s="945"/>
      <c r="P669" s="945"/>
    </row>
    <row r="670" spans="1:16" ht="18.75">
      <c r="A670" s="1267"/>
      <c r="B670" s="1268"/>
      <c r="C670" s="1268"/>
      <c r="D670" s="1268"/>
      <c r="E670" s="961" t="s">
        <v>281</v>
      </c>
      <c r="F670" s="961"/>
      <c r="G670" s="954"/>
      <c r="H670" s="730" t="s">
        <v>66</v>
      </c>
      <c r="I670" s="830">
        <f ca="1">IFERROR(__xludf.DUMMYFUNCTION("IMPORTRANGE(""https://docs.google.com/spreadsheets/d/1QqKyyYR6Q21VydFLVH3TRQUabQu_ym0Zz7PgGX0-kHA/edit?usp=sharing"",""แผน!HZ16"")"),6)</f>
        <v>6</v>
      </c>
      <c r="J670" s="959">
        <v>6</v>
      </c>
      <c r="K670" s="831">
        <f ca="1">IF(I670&gt;0,(J670*100)/I670,0)</f>
        <v>100</v>
      </c>
      <c r="L670" s="945"/>
      <c r="M670" s="945"/>
      <c r="N670" s="945"/>
      <c r="O670" s="945"/>
      <c r="P670" s="945"/>
    </row>
    <row r="671" spans="1:16" ht="18.75">
      <c r="A671" s="1267"/>
      <c r="B671" s="1268"/>
      <c r="C671" s="1268"/>
      <c r="D671" s="1268"/>
      <c r="E671" s="961" t="s">
        <v>282</v>
      </c>
      <c r="F671" s="961"/>
      <c r="G671" s="954"/>
      <c r="H671" s="730" t="s">
        <v>66</v>
      </c>
      <c r="I671" s="830">
        <f ca="1">IFERROR(__xludf.DUMMYFUNCTION("IMPORTRANGE(""https://docs.google.com/spreadsheets/d/1QqKyyYR6Q21VydFLVH3TRQUabQu_ym0Zz7PgGX0-kHA/edit?usp=sharing"",""แผน!HZ16"")"),6)</f>
        <v>6</v>
      </c>
      <c r="J671" s="959">
        <v>6</v>
      </c>
      <c r="K671" s="831">
        <f ca="1">IF(I$671&gt;0,J671*100/I$671,0)</f>
        <v>100</v>
      </c>
      <c r="L671" s="945"/>
      <c r="M671" s="945"/>
      <c r="N671" s="945"/>
      <c r="O671" s="945"/>
      <c r="P671" s="945"/>
    </row>
    <row r="672" spans="1:16" ht="18.75">
      <c r="A672" s="1267"/>
      <c r="B672" s="1268"/>
      <c r="C672" s="1268"/>
      <c r="D672" s="1268"/>
      <c r="E672" s="961" t="s">
        <v>283</v>
      </c>
      <c r="F672" s="961"/>
      <c r="G672" s="954"/>
      <c r="H672" s="730" t="s">
        <v>46</v>
      </c>
      <c r="I672" s="830"/>
      <c r="J672" s="959">
        <v>0</v>
      </c>
      <c r="K672" s="831">
        <f t="shared" ref="K672:K675" ca="1" si="281">IF(I$669&gt;0,J672*100/I$669,0)</f>
        <v>0</v>
      </c>
      <c r="L672" s="945"/>
      <c r="M672" s="945"/>
      <c r="N672" s="945"/>
      <c r="O672" s="945"/>
      <c r="P672" s="945"/>
    </row>
    <row r="673" spans="1:16" ht="18.75">
      <c r="A673" s="1267"/>
      <c r="B673" s="1268"/>
      <c r="C673" s="1268"/>
      <c r="D673" s="1268"/>
      <c r="E673" s="961" t="s">
        <v>284</v>
      </c>
      <c r="F673" s="961"/>
      <c r="G673" s="954"/>
      <c r="H673" s="730" t="s">
        <v>46</v>
      </c>
      <c r="I673" s="830"/>
      <c r="J673" s="959">
        <v>0</v>
      </c>
      <c r="K673" s="831">
        <f t="shared" ca="1" si="281"/>
        <v>0</v>
      </c>
      <c r="L673" s="945"/>
      <c r="M673" s="945"/>
      <c r="N673" s="945"/>
      <c r="O673" s="945"/>
      <c r="P673" s="945"/>
    </row>
    <row r="674" spans="1:16" ht="18.75">
      <c r="A674" s="1267"/>
      <c r="B674" s="1268"/>
      <c r="C674" s="1268"/>
      <c r="D674" s="1268"/>
      <c r="E674" s="961" t="s">
        <v>285</v>
      </c>
      <c r="F674" s="961"/>
      <c r="G674" s="954"/>
      <c r="H674" s="730" t="s">
        <v>46</v>
      </c>
      <c r="I674" s="830"/>
      <c r="J674" s="959">
        <v>0</v>
      </c>
      <c r="K674" s="831">
        <f t="shared" ca="1" si="281"/>
        <v>0</v>
      </c>
      <c r="L674" s="945"/>
      <c r="M674" s="945"/>
      <c r="N674" s="945"/>
      <c r="O674" s="945"/>
      <c r="P674" s="945"/>
    </row>
    <row r="675" spans="1:16" ht="19.5">
      <c r="A675" s="1267"/>
      <c r="B675" s="1268"/>
      <c r="C675" s="1268"/>
      <c r="D675" s="1268"/>
      <c r="E675" s="961" t="s">
        <v>286</v>
      </c>
      <c r="F675" s="961"/>
      <c r="G675" s="954"/>
      <c r="H675" s="730" t="s">
        <v>46</v>
      </c>
      <c r="I675" s="830"/>
      <c r="J675" s="966">
        <f>J676+J677</f>
        <v>0</v>
      </c>
      <c r="K675" s="967">
        <f t="shared" ca="1" si="281"/>
        <v>0</v>
      </c>
      <c r="L675" s="945"/>
      <c r="M675" s="945"/>
      <c r="N675" s="945"/>
      <c r="O675" s="945"/>
      <c r="P675" s="945"/>
    </row>
    <row r="676" spans="1:16" ht="18.75">
      <c r="A676" s="1267"/>
      <c r="B676" s="1268"/>
      <c r="C676" s="1268"/>
      <c r="D676" s="1268"/>
      <c r="E676" s="961"/>
      <c r="F676" s="961" t="s">
        <v>287</v>
      </c>
      <c r="G676" s="954"/>
      <c r="H676" s="730" t="s">
        <v>46</v>
      </c>
      <c r="I676" s="830"/>
      <c r="J676" s="959">
        <v>0</v>
      </c>
      <c r="K676" s="831"/>
      <c r="L676" s="945"/>
      <c r="M676" s="945"/>
      <c r="N676" s="945"/>
      <c r="O676" s="945"/>
      <c r="P676" s="945"/>
    </row>
    <row r="677" spans="1:16" ht="18.75">
      <c r="A677" s="1267"/>
      <c r="B677" s="1268"/>
      <c r="C677" s="1268"/>
      <c r="D677" s="1268"/>
      <c r="E677" s="961"/>
      <c r="F677" s="961" t="s">
        <v>288</v>
      </c>
      <c r="G677" s="954"/>
      <c r="H677" s="730" t="s">
        <v>46</v>
      </c>
      <c r="I677" s="830"/>
      <c r="J677" s="959">
        <v>0</v>
      </c>
      <c r="K677" s="831"/>
      <c r="L677" s="945"/>
      <c r="M677" s="945"/>
      <c r="N677" s="945"/>
      <c r="O677" s="945"/>
      <c r="P677" s="945"/>
    </row>
    <row r="678" spans="1:16" ht="19.5">
      <c r="A678" s="1267"/>
      <c r="B678" s="1268"/>
      <c r="C678" s="1268"/>
      <c r="D678" s="1268" t="s">
        <v>289</v>
      </c>
      <c r="E678" s="961"/>
      <c r="F678" s="961"/>
      <c r="G678" s="954"/>
      <c r="H678" s="730" t="s">
        <v>46</v>
      </c>
      <c r="I678" s="966">
        <f ca="1">IFERROR(__xludf.DUMMYFUNCTION("IMPORTRANGE(""https://docs.google.com/spreadsheets/d/1QqKyyYR6Q21VydFLVH3TRQUabQu_ym0Zz7PgGX0-kHA/edit?usp=sharing"",""แผน!IB16"")"),0)</f>
        <v>0</v>
      </c>
      <c r="J678" s="966">
        <f>J679</f>
        <v>0</v>
      </c>
      <c r="K678" s="967">
        <f ca="1">IF(I678&gt;0,J678*100/I678,0)</f>
        <v>0</v>
      </c>
      <c r="L678" s="945"/>
      <c r="M678" s="945"/>
      <c r="N678" s="945"/>
      <c r="O678" s="945"/>
      <c r="P678" s="945"/>
    </row>
    <row r="679" spans="1:16" ht="18.75">
      <c r="A679" s="1267"/>
      <c r="B679" s="1268"/>
      <c r="C679" s="1268"/>
      <c r="D679" s="1268"/>
      <c r="E679" s="961" t="s">
        <v>290</v>
      </c>
      <c r="F679" s="961"/>
      <c r="G679" s="954"/>
      <c r="H679" s="730" t="s">
        <v>46</v>
      </c>
      <c r="I679" s="830"/>
      <c r="J679" s="830">
        <f>J680+J681</f>
        <v>0</v>
      </c>
      <c r="K679" s="831"/>
      <c r="L679" s="945"/>
      <c r="M679" s="945"/>
      <c r="N679" s="945"/>
      <c r="O679" s="945"/>
      <c r="P679" s="945"/>
    </row>
    <row r="680" spans="1:16" ht="18.75">
      <c r="A680" s="1267"/>
      <c r="B680" s="1268"/>
      <c r="C680" s="1268"/>
      <c r="D680" s="1268"/>
      <c r="E680" s="961"/>
      <c r="F680" s="961" t="s">
        <v>287</v>
      </c>
      <c r="G680" s="954"/>
      <c r="H680" s="730" t="s">
        <v>46</v>
      </c>
      <c r="I680" s="830"/>
      <c r="J680" s="959">
        <v>0</v>
      </c>
      <c r="K680" s="831"/>
      <c r="L680" s="945"/>
      <c r="M680" s="945"/>
      <c r="N680" s="945"/>
      <c r="O680" s="945"/>
      <c r="P680" s="945"/>
    </row>
    <row r="681" spans="1:16" ht="18.75">
      <c r="A681" s="1267"/>
      <c r="B681" s="1268"/>
      <c r="C681" s="1268"/>
      <c r="D681" s="1268"/>
      <c r="E681" s="961"/>
      <c r="F681" s="961" t="s">
        <v>288</v>
      </c>
      <c r="G681" s="954"/>
      <c r="H681" s="730" t="s">
        <v>46</v>
      </c>
      <c r="I681" s="830"/>
      <c r="J681" s="959">
        <v>0</v>
      </c>
      <c r="K681" s="831"/>
      <c r="L681" s="945"/>
      <c r="M681" s="945"/>
      <c r="N681" s="945"/>
      <c r="O681" s="945"/>
      <c r="P681" s="945"/>
    </row>
    <row r="682" spans="1:16" ht="18.75">
      <c r="A682" s="1267"/>
      <c r="B682" s="1268"/>
      <c r="C682" s="1268"/>
      <c r="D682" s="1268"/>
      <c r="E682" s="961" t="s">
        <v>291</v>
      </c>
      <c r="F682" s="961"/>
      <c r="G682" s="954"/>
      <c r="H682" s="730" t="s">
        <v>46</v>
      </c>
      <c r="I682" s="830"/>
      <c r="J682" s="959">
        <v>0</v>
      </c>
      <c r="K682" s="831"/>
      <c r="L682" s="945"/>
      <c r="M682" s="945"/>
      <c r="N682" s="945"/>
      <c r="O682" s="945"/>
      <c r="P682" s="945"/>
    </row>
    <row r="683" spans="1:16" ht="18.75">
      <c r="A683" s="1267"/>
      <c r="B683" s="1268"/>
      <c r="C683" s="1268"/>
      <c r="D683" s="1268"/>
      <c r="E683" s="961"/>
      <c r="F683" s="961" t="s">
        <v>292</v>
      </c>
      <c r="G683" s="954"/>
      <c r="H683" s="730" t="s">
        <v>46</v>
      </c>
      <c r="I683" s="830"/>
      <c r="J683" s="959">
        <v>0</v>
      </c>
      <c r="K683" s="831"/>
      <c r="L683" s="945"/>
      <c r="M683" s="945"/>
      <c r="N683" s="945"/>
      <c r="O683" s="945"/>
      <c r="P683" s="945"/>
    </row>
    <row r="684" spans="1:16" ht="19.5">
      <c r="A684" s="1373"/>
      <c r="B684" s="1374" t="s">
        <v>293</v>
      </c>
      <c r="C684" s="1373"/>
      <c r="D684" s="1373"/>
      <c r="E684" s="1373"/>
      <c r="F684" s="1373"/>
      <c r="G684" s="1375"/>
      <c r="H684" s="1375"/>
      <c r="I684" s="1376"/>
      <c r="J684" s="1376"/>
      <c r="K684" s="1377"/>
      <c r="L684" s="1377"/>
      <c r="M684" s="1377"/>
      <c r="N684" s="1377"/>
      <c r="O684" s="1377"/>
      <c r="P684" s="1377"/>
    </row>
    <row r="685" spans="1:16" ht="19.5">
      <c r="A685" s="1259"/>
      <c r="B685" s="1243"/>
      <c r="C685" s="1243" t="s">
        <v>16</v>
      </c>
      <c r="D685" s="1507" t="s">
        <v>17</v>
      </c>
      <c r="E685" s="1485"/>
      <c r="F685" s="1485"/>
      <c r="G685" s="963"/>
      <c r="H685" s="563" t="s">
        <v>12</v>
      </c>
      <c r="I685" s="830"/>
      <c r="J685" s="830"/>
      <c r="K685" s="831"/>
      <c r="L685" s="967">
        <f t="shared" ref="L685:N685" ca="1" si="282">L686+L687</f>
        <v>1750</v>
      </c>
      <c r="M685" s="967">
        <f t="shared" si="282"/>
        <v>0</v>
      </c>
      <c r="N685" s="967">
        <f t="shared" si="282"/>
        <v>0</v>
      </c>
      <c r="O685" s="967">
        <f t="shared" ref="O685:O688" ca="1" si="283">IF(L685&gt;0,N685*100/L685,0)</f>
        <v>0</v>
      </c>
      <c r="P685" s="967">
        <f t="shared" ref="P685:P688" si="284">IF(M685&gt;0,N685*100/M685,0)</f>
        <v>0</v>
      </c>
    </row>
    <row r="686" spans="1:16" ht="18.75" hidden="1">
      <c r="A686" s="1260"/>
      <c r="B686" s="1261"/>
      <c r="C686" s="1261"/>
      <c r="D686" s="1262"/>
      <c r="E686" s="1261" t="s">
        <v>184</v>
      </c>
      <c r="F686" s="1261"/>
      <c r="G686" s="1263"/>
      <c r="H686" s="165" t="s">
        <v>12</v>
      </c>
      <c r="I686" s="836"/>
      <c r="J686" s="836"/>
      <c r="K686" s="837"/>
      <c r="L686" s="837">
        <f t="shared" ref="L686:N687" si="285">L689+L696</f>
        <v>0</v>
      </c>
      <c r="M686" s="837">
        <f t="shared" si="285"/>
        <v>0</v>
      </c>
      <c r="N686" s="837">
        <f t="shared" si="285"/>
        <v>0</v>
      </c>
      <c r="O686" s="837">
        <f t="shared" si="283"/>
        <v>0</v>
      </c>
      <c r="P686" s="837">
        <f t="shared" si="284"/>
        <v>0</v>
      </c>
    </row>
    <row r="687" spans="1:16" ht="18.75" hidden="1">
      <c r="A687" s="1260"/>
      <c r="B687" s="1265"/>
      <c r="C687" s="1261"/>
      <c r="D687" s="1262"/>
      <c r="E687" s="1261" t="s">
        <v>185</v>
      </c>
      <c r="F687" s="1261"/>
      <c r="G687" s="1263"/>
      <c r="H687" s="165" t="s">
        <v>12</v>
      </c>
      <c r="I687" s="836"/>
      <c r="J687" s="836"/>
      <c r="K687" s="837"/>
      <c r="L687" s="837">
        <f t="shared" ca="1" si="285"/>
        <v>1750</v>
      </c>
      <c r="M687" s="837">
        <f t="shared" si="285"/>
        <v>0</v>
      </c>
      <c r="N687" s="837">
        <f t="shared" si="285"/>
        <v>0</v>
      </c>
      <c r="O687" s="837">
        <f t="shared" ca="1" si="283"/>
        <v>0</v>
      </c>
      <c r="P687" s="837">
        <f t="shared" si="284"/>
        <v>0</v>
      </c>
    </row>
    <row r="688" spans="1:16" ht="18.75">
      <c r="A688" s="1259"/>
      <c r="B688" s="1242"/>
      <c r="C688" s="1243"/>
      <c r="D688" s="1266" t="s">
        <v>20</v>
      </c>
      <c r="E688" s="1243"/>
      <c r="F688" s="1243"/>
      <c r="G688" s="963"/>
      <c r="H688" s="778" t="s">
        <v>12</v>
      </c>
      <c r="I688" s="944"/>
      <c r="J688" s="944"/>
      <c r="K688" s="945"/>
      <c r="L688" s="831">
        <f t="shared" ref="L688:N688" ca="1" si="286">L689+L690</f>
        <v>1750</v>
      </c>
      <c r="M688" s="831">
        <f t="shared" si="286"/>
        <v>0</v>
      </c>
      <c r="N688" s="831">
        <f t="shared" si="286"/>
        <v>0</v>
      </c>
      <c r="O688" s="831">
        <f t="shared" ca="1" si="283"/>
        <v>0</v>
      </c>
      <c r="P688" s="831">
        <f t="shared" si="284"/>
        <v>0</v>
      </c>
    </row>
    <row r="689" spans="1:16" ht="18.75" hidden="1">
      <c r="A689" s="1260"/>
      <c r="B689" s="1265"/>
      <c r="C689" s="1261"/>
      <c r="D689" s="1262"/>
      <c r="E689" s="1261" t="s">
        <v>184</v>
      </c>
      <c r="F689" s="1261"/>
      <c r="G689" s="1263"/>
      <c r="H689" s="165" t="s">
        <v>12</v>
      </c>
      <c r="I689" s="836"/>
      <c r="J689" s="836"/>
      <c r="K689" s="837"/>
      <c r="L689" s="837">
        <v>0</v>
      </c>
      <c r="M689" s="837">
        <v>0</v>
      </c>
      <c r="N689" s="837">
        <v>0</v>
      </c>
      <c r="O689" s="837"/>
      <c r="P689" s="837"/>
    </row>
    <row r="690" spans="1:16" ht="18.75" hidden="1">
      <c r="A690" s="1260"/>
      <c r="B690" s="1265"/>
      <c r="C690" s="1261"/>
      <c r="D690" s="1262"/>
      <c r="E690" s="1261" t="s">
        <v>185</v>
      </c>
      <c r="F690" s="1261"/>
      <c r="G690" s="1263"/>
      <c r="H690" s="165" t="s">
        <v>12</v>
      </c>
      <c r="I690" s="836"/>
      <c r="J690" s="836"/>
      <c r="K690" s="837"/>
      <c r="L690" s="837">
        <f ca="1">IFERROR(__xludf.DUMMYFUNCTION("IMPORTRANGE(""https://docs.google.com/spreadsheets/d/1QqKyyYR6Q21VydFLVH3TRQUabQu_ym0Zz7PgGX0-kHA/edit?usp=sharing"",""แผน!HW16"")"),1750)</f>
        <v>1750</v>
      </c>
      <c r="M690" s="837">
        <v>0</v>
      </c>
      <c r="N690" s="837">
        <f>N691+N692+N693+N694</f>
        <v>0</v>
      </c>
      <c r="O690" s="837">
        <f ca="1">IF(L690&gt;0,N690*100/L690,0)</f>
        <v>0</v>
      </c>
      <c r="P690" s="837">
        <f>IF(M690&gt;0,N690*100/M690,0)</f>
        <v>0</v>
      </c>
    </row>
    <row r="691" spans="1:16" ht="18.75">
      <c r="A691" s="1241"/>
      <c r="B691" s="1242"/>
      <c r="C691" s="1243"/>
      <c r="D691" s="1243"/>
      <c r="E691" s="1243"/>
      <c r="F691" s="1243" t="s">
        <v>186</v>
      </c>
      <c r="G691" s="963"/>
      <c r="H691" s="778" t="s">
        <v>12</v>
      </c>
      <c r="I691" s="830"/>
      <c r="J691" s="830"/>
      <c r="K691" s="831"/>
      <c r="L691" s="831"/>
      <c r="M691" s="831"/>
      <c r="N691" s="1031">
        <v>0</v>
      </c>
      <c r="O691" s="831"/>
      <c r="P691" s="831"/>
    </row>
    <row r="692" spans="1:16" ht="18.75">
      <c r="A692" s="1241"/>
      <c r="B692" s="1242"/>
      <c r="C692" s="1243"/>
      <c r="D692" s="1243"/>
      <c r="E692" s="1243"/>
      <c r="F692" s="1243" t="s">
        <v>187</v>
      </c>
      <c r="G692" s="963"/>
      <c r="H692" s="778" t="s">
        <v>12</v>
      </c>
      <c r="I692" s="830"/>
      <c r="J692" s="830"/>
      <c r="K692" s="831"/>
      <c r="L692" s="831"/>
      <c r="M692" s="831"/>
      <c r="N692" s="1031">
        <v>0</v>
      </c>
      <c r="O692" s="831"/>
      <c r="P692" s="831"/>
    </row>
    <row r="693" spans="1:16" ht="18.75">
      <c r="A693" s="1241"/>
      <c r="B693" s="1242"/>
      <c r="C693" s="1243"/>
      <c r="D693" s="1243"/>
      <c r="E693" s="1243"/>
      <c r="F693" s="1243" t="s">
        <v>188</v>
      </c>
      <c r="G693" s="963"/>
      <c r="H693" s="778" t="s">
        <v>12</v>
      </c>
      <c r="I693" s="830"/>
      <c r="J693" s="830"/>
      <c r="K693" s="831"/>
      <c r="L693" s="831"/>
      <c r="M693" s="831"/>
      <c r="N693" s="1031">
        <v>0</v>
      </c>
      <c r="O693" s="831"/>
      <c r="P693" s="831"/>
    </row>
    <row r="694" spans="1:16" ht="18.75">
      <c r="A694" s="1241"/>
      <c r="B694" s="1242"/>
      <c r="C694" s="1243"/>
      <c r="D694" s="1243"/>
      <c r="E694" s="1243"/>
      <c r="F694" s="1243" t="s">
        <v>189</v>
      </c>
      <c r="G694" s="963"/>
      <c r="H694" s="778" t="s">
        <v>12</v>
      </c>
      <c r="I694" s="830"/>
      <c r="J694" s="830"/>
      <c r="K694" s="831"/>
      <c r="L694" s="831"/>
      <c r="M694" s="831"/>
      <c r="N694" s="1031">
        <v>0</v>
      </c>
      <c r="O694" s="831"/>
      <c r="P694" s="831"/>
    </row>
    <row r="695" spans="1:16" ht="18.75">
      <c r="A695" s="1259"/>
      <c r="B695" s="1242"/>
      <c r="C695" s="1243"/>
      <c r="D695" s="1266" t="s">
        <v>21</v>
      </c>
      <c r="E695" s="1243"/>
      <c r="F695" s="1243"/>
      <c r="G695" s="963"/>
      <c r="H695" s="168" t="s">
        <v>12</v>
      </c>
      <c r="I695" s="944"/>
      <c r="J695" s="944"/>
      <c r="K695" s="945"/>
      <c r="L695" s="831">
        <f t="shared" ref="L695:N695" si="287">L696+L697</f>
        <v>0</v>
      </c>
      <c r="M695" s="831">
        <f t="shared" si="287"/>
        <v>0</v>
      </c>
      <c r="N695" s="831">
        <f t="shared" si="287"/>
        <v>0</v>
      </c>
      <c r="O695" s="831">
        <f t="shared" ref="O695:O697" si="288">IF(L695&gt;0,N695*100/L695,0)</f>
        <v>0</v>
      </c>
      <c r="P695" s="831">
        <f t="shared" ref="P695:P697" si="289">IF(M695&gt;0,N695*100/M695,0)</f>
        <v>0</v>
      </c>
    </row>
    <row r="696" spans="1:16" ht="18.75" hidden="1">
      <c r="A696" s="1260"/>
      <c r="B696" s="1265"/>
      <c r="C696" s="1261"/>
      <c r="D696" s="1261"/>
      <c r="E696" s="1261" t="s">
        <v>18</v>
      </c>
      <c r="F696" s="1261"/>
      <c r="G696" s="1263"/>
      <c r="H696" s="165" t="s">
        <v>12</v>
      </c>
      <c r="I696" s="947"/>
      <c r="J696" s="947"/>
      <c r="K696" s="948"/>
      <c r="L696" s="837">
        <v>0</v>
      </c>
      <c r="M696" s="837">
        <v>0</v>
      </c>
      <c r="N696" s="837">
        <v>0</v>
      </c>
      <c r="O696" s="837">
        <f t="shared" si="288"/>
        <v>0</v>
      </c>
      <c r="P696" s="837">
        <f t="shared" si="289"/>
        <v>0</v>
      </c>
    </row>
    <row r="697" spans="1:16" ht="18.75" hidden="1">
      <c r="A697" s="1260"/>
      <c r="B697" s="1265"/>
      <c r="C697" s="1261"/>
      <c r="D697" s="1261"/>
      <c r="E697" s="1261" t="s">
        <v>19</v>
      </c>
      <c r="F697" s="1261"/>
      <c r="G697" s="1263"/>
      <c r="H697" s="169" t="s">
        <v>12</v>
      </c>
      <c r="I697" s="947"/>
      <c r="J697" s="947"/>
      <c r="K697" s="948"/>
      <c r="L697" s="837">
        <v>0</v>
      </c>
      <c r="M697" s="837">
        <v>0</v>
      </c>
      <c r="N697" s="837">
        <v>0</v>
      </c>
      <c r="O697" s="837">
        <f t="shared" si="288"/>
        <v>0</v>
      </c>
      <c r="P697" s="837">
        <f t="shared" si="289"/>
        <v>0</v>
      </c>
    </row>
    <row r="698" spans="1:16" ht="19.5">
      <c r="A698" s="1267"/>
      <c r="B698" s="1268"/>
      <c r="C698" s="1243" t="s">
        <v>16</v>
      </c>
      <c r="D698" s="1378" t="s">
        <v>38</v>
      </c>
      <c r="E698" s="1271"/>
      <c r="F698" s="1271"/>
      <c r="G698" s="1272"/>
      <c r="H698" s="954"/>
      <c r="I698" s="944"/>
      <c r="J698" s="944"/>
      <c r="K698" s="945"/>
      <c r="L698" s="945"/>
      <c r="M698" s="945"/>
      <c r="N698" s="945"/>
      <c r="O698" s="945"/>
      <c r="P698" s="945"/>
    </row>
    <row r="699" spans="1:16" ht="18.75">
      <c r="A699" s="1368"/>
      <c r="B699" s="1243"/>
      <c r="C699" s="1243"/>
      <c r="D699" s="1243" t="s">
        <v>294</v>
      </c>
      <c r="E699" s="1243"/>
      <c r="F699" s="1243"/>
      <c r="G699" s="963"/>
      <c r="H699" s="730" t="s">
        <v>46</v>
      </c>
      <c r="I699" s="1379">
        <f ca="1">IFERROR(__xludf.DUMMYFUNCTION("IMPORTRANGE(""https://docs.google.com/spreadsheets/d/1QqKyyYR6Q21VydFLVH3TRQUabQu_ym0Zz7PgGX0-kHA/edit?usp=sharing"",""แผน!IC16"")"),0)</f>
        <v>0</v>
      </c>
      <c r="J699" s="830">
        <f ca="1">IFERROR(__xludf.DUMMYFUNCTION("IMPORTRANGE(""https://docs.google.com/spreadsheets/d/1XWAQStnk-4SwqDmLtmXYiTMKHgktTP8We1SCoS47DrQ/edit?usp=sharing"",""จัดที่ดิน!BB16"")"),0)</f>
        <v>0</v>
      </c>
      <c r="K699" s="831">
        <f t="shared" ref="K699:K701" ca="1" si="290">IF(I699&gt;0,J699*100/I699,0)</f>
        <v>0</v>
      </c>
      <c r="L699" s="831"/>
      <c r="M699" s="963"/>
      <c r="N699" s="1380"/>
      <c r="O699" s="831"/>
      <c r="P699" s="831"/>
    </row>
    <row r="700" spans="1:16" ht="18.75">
      <c r="A700" s="1368"/>
      <c r="B700" s="1243"/>
      <c r="C700" s="1243"/>
      <c r="D700" s="1243" t="s">
        <v>295</v>
      </c>
      <c r="E700" s="1243"/>
      <c r="F700" s="1243"/>
      <c r="G700" s="963"/>
      <c r="H700" s="730" t="s">
        <v>35</v>
      </c>
      <c r="I700" s="1379">
        <f ca="1">IFERROR(__xludf.DUMMYFUNCTION("IMPORTRANGE(""https://docs.google.com/spreadsheets/d/1QqKyyYR6Q21VydFLVH3TRQUabQu_ym0Zz7PgGX0-kHA/edit?usp=sharing"",""แผน!ID16"")"),4)</f>
        <v>4</v>
      </c>
      <c r="J700" s="830">
        <f ca="1">IFERROR(__xludf.DUMMYFUNCTION("IMPORTRANGE(""https://docs.google.com/spreadsheets/d/1XWAQStnk-4SwqDmLtmXYiTMKHgktTP8We1SCoS47DrQ/edit?usp=sharing"",""จัดที่ดิน!BD16"")"),0)</f>
        <v>0</v>
      </c>
      <c r="K700" s="831">
        <f t="shared" ca="1" si="290"/>
        <v>0</v>
      </c>
      <c r="L700" s="831"/>
      <c r="M700" s="963"/>
      <c r="N700" s="1380"/>
      <c r="O700" s="831"/>
      <c r="P700" s="831"/>
    </row>
    <row r="701" spans="1:16" ht="19.5">
      <c r="A701" s="1368"/>
      <c r="B701" s="1243"/>
      <c r="C701" s="1243"/>
      <c r="D701" s="1243" t="s">
        <v>296</v>
      </c>
      <c r="E701" s="1243"/>
      <c r="F701" s="1243"/>
      <c r="G701" s="963"/>
      <c r="H701" s="733" t="s">
        <v>46</v>
      </c>
      <c r="I701" s="1381">
        <f ca="1">IFERROR(__xludf.DUMMYFUNCTION("IMPORTRANGE(""https://docs.google.com/spreadsheets/d/1QqKyyYR6Q21VydFLVH3TRQUabQu_ym0Zz7PgGX0-kHA/edit?usp=sharing"",""แผน!IE16"")"),0)</f>
        <v>0</v>
      </c>
      <c r="J701" s="966">
        <f>J704+J707</f>
        <v>0</v>
      </c>
      <c r="K701" s="967">
        <f t="shared" ca="1" si="290"/>
        <v>0</v>
      </c>
      <c r="L701" s="831"/>
      <c r="M701" s="963"/>
      <c r="N701" s="1380"/>
      <c r="O701" s="831"/>
      <c r="P701" s="831"/>
    </row>
    <row r="702" spans="1:16" ht="18.75">
      <c r="A702" s="1368"/>
      <c r="B702" s="1243"/>
      <c r="C702" s="1243"/>
      <c r="D702" s="1243"/>
      <c r="E702" s="1243" t="s">
        <v>297</v>
      </c>
      <c r="F702" s="1243"/>
      <c r="G702" s="963"/>
      <c r="H702" s="730" t="s">
        <v>35</v>
      </c>
      <c r="I702" s="1379"/>
      <c r="J702" s="959">
        <v>0</v>
      </c>
      <c r="K702" s="831"/>
      <c r="L702" s="831"/>
      <c r="M702" s="963"/>
      <c r="N702" s="1380"/>
      <c r="O702" s="831"/>
      <c r="P702" s="831"/>
    </row>
    <row r="703" spans="1:16" ht="18.75">
      <c r="A703" s="1368"/>
      <c r="B703" s="1243"/>
      <c r="C703" s="1243"/>
      <c r="D703" s="1243"/>
      <c r="E703" s="1243"/>
      <c r="F703" s="1243"/>
      <c r="G703" s="963"/>
      <c r="H703" s="730" t="s">
        <v>34</v>
      </c>
      <c r="I703" s="1379"/>
      <c r="J703" s="959">
        <v>0</v>
      </c>
      <c r="K703" s="831"/>
      <c r="L703" s="831"/>
      <c r="M703" s="963"/>
      <c r="N703" s="1380"/>
      <c r="O703" s="831"/>
      <c r="P703" s="831"/>
    </row>
    <row r="704" spans="1:16" ht="18.75">
      <c r="A704" s="1368"/>
      <c r="B704" s="1243"/>
      <c r="C704" s="1243"/>
      <c r="D704" s="1243"/>
      <c r="E704" s="1243"/>
      <c r="F704" s="1243"/>
      <c r="G704" s="963"/>
      <c r="H704" s="730" t="s">
        <v>46</v>
      </c>
      <c r="I704" s="1379">
        <f ca="1">IFERROR(__xludf.DUMMYFUNCTION("IMPORTRANGE(""https://docs.google.com/spreadsheets/d/1QqKyyYR6Q21VydFLVH3TRQUabQu_ym0Zz7PgGX0-kHA/edit?usp=sharing"",""แผน!IF16"")"),0)</f>
        <v>0</v>
      </c>
      <c r="J704" s="959">
        <v>0</v>
      </c>
      <c r="K704" s="831"/>
      <c r="L704" s="831"/>
      <c r="M704" s="963"/>
      <c r="N704" s="1380"/>
      <c r="O704" s="831"/>
      <c r="P704" s="831"/>
    </row>
    <row r="705" spans="1:16" ht="18.75">
      <c r="A705" s="1368"/>
      <c r="B705" s="1243"/>
      <c r="C705" s="1243"/>
      <c r="D705" s="1243"/>
      <c r="E705" s="1243" t="s">
        <v>298</v>
      </c>
      <c r="F705" s="1243"/>
      <c r="G705" s="963"/>
      <c r="H705" s="730" t="s">
        <v>35</v>
      </c>
      <c r="I705" s="1379"/>
      <c r="J705" s="959">
        <v>0</v>
      </c>
      <c r="K705" s="831"/>
      <c r="L705" s="831"/>
      <c r="M705" s="963"/>
      <c r="N705" s="1380"/>
      <c r="O705" s="831"/>
      <c r="P705" s="831"/>
    </row>
    <row r="706" spans="1:16" ht="18.75">
      <c r="A706" s="1368"/>
      <c r="B706" s="1243"/>
      <c r="C706" s="1243"/>
      <c r="D706" s="1243"/>
      <c r="E706" s="1243"/>
      <c r="F706" s="1243"/>
      <c r="G706" s="963"/>
      <c r="H706" s="730" t="s">
        <v>34</v>
      </c>
      <c r="I706" s="1379"/>
      <c r="J706" s="959">
        <v>0</v>
      </c>
      <c r="K706" s="831"/>
      <c r="L706" s="831"/>
      <c r="M706" s="963"/>
      <c r="N706" s="1380"/>
      <c r="O706" s="831"/>
      <c r="P706" s="831"/>
    </row>
    <row r="707" spans="1:16" ht="18.75">
      <c r="A707" s="1368"/>
      <c r="B707" s="1243"/>
      <c r="C707" s="1243"/>
      <c r="D707" s="1243"/>
      <c r="E707" s="1243"/>
      <c r="F707" s="1243"/>
      <c r="G707" s="963"/>
      <c r="H707" s="730" t="s">
        <v>46</v>
      </c>
      <c r="I707" s="1379">
        <f ca="1">IFERROR(__xludf.DUMMYFUNCTION("IMPORTRANGE(""https://docs.google.com/spreadsheets/d/1QqKyyYR6Q21VydFLVH3TRQUabQu_ym0Zz7PgGX0-kHA/edit?usp=sharing"",""แผน!IG16"")"),0)</f>
        <v>0</v>
      </c>
      <c r="J707" s="959">
        <v>0</v>
      </c>
      <c r="K707" s="831"/>
      <c r="L707" s="831"/>
      <c r="M707" s="963"/>
      <c r="N707" s="1380"/>
      <c r="O707" s="831"/>
      <c r="P707" s="831"/>
    </row>
    <row r="708" spans="1:16" ht="19.5">
      <c r="A708" s="1368"/>
      <c r="B708" s="1243"/>
      <c r="C708" s="1243"/>
      <c r="D708" s="1322" t="s">
        <v>299</v>
      </c>
      <c r="E708" s="1243"/>
      <c r="F708" s="1243"/>
      <c r="G708" s="963"/>
      <c r="H708" s="733" t="s">
        <v>46</v>
      </c>
      <c r="I708" s="1381">
        <f ca="1">IFERROR(__xludf.DUMMYFUNCTION("IMPORTRANGE(""https://docs.google.com/spreadsheets/d/1QqKyyYR6Q21VydFLVH3TRQUabQu_ym0Zz7PgGX0-kHA/edit?usp=sharing"",""แผน!IH16"")"),0)</f>
        <v>0</v>
      </c>
      <c r="J708" s="966">
        <f>J714+J717</f>
        <v>0</v>
      </c>
      <c r="K708" s="967">
        <f ca="1">IF(I708&gt;0,J708*100/I708,0)</f>
        <v>0</v>
      </c>
      <c r="L708" s="831"/>
      <c r="M708" s="963"/>
      <c r="N708" s="1380"/>
      <c r="O708" s="831"/>
      <c r="P708" s="831"/>
    </row>
    <row r="709" spans="1:16" ht="18.75">
      <c r="A709" s="1368"/>
      <c r="B709" s="1243"/>
      <c r="C709" s="1243"/>
      <c r="D709" s="1243"/>
      <c r="E709" s="1243" t="s">
        <v>300</v>
      </c>
      <c r="F709" s="1243"/>
      <c r="G709" s="963"/>
      <c r="H709" s="730" t="s">
        <v>34</v>
      </c>
      <c r="I709" s="1379"/>
      <c r="J709" s="959">
        <v>0</v>
      </c>
      <c r="K709" s="831"/>
      <c r="L709" s="1380"/>
      <c r="M709" s="963"/>
      <c r="N709" s="1380"/>
      <c r="O709" s="831"/>
      <c r="P709" s="831"/>
    </row>
    <row r="710" spans="1:16" ht="18.75">
      <c r="A710" s="1368"/>
      <c r="B710" s="1243"/>
      <c r="C710" s="1243"/>
      <c r="D710" s="1243"/>
      <c r="E710" s="1243"/>
      <c r="F710" s="1243"/>
      <c r="G710" s="963"/>
      <c r="H710" s="730" t="s">
        <v>46</v>
      </c>
      <c r="I710" s="1379"/>
      <c r="J710" s="959">
        <v>0</v>
      </c>
      <c r="K710" s="831"/>
      <c r="L710" s="1380"/>
      <c r="M710" s="963"/>
      <c r="N710" s="1380"/>
      <c r="O710" s="831"/>
      <c r="P710" s="831"/>
    </row>
    <row r="711" spans="1:16" ht="18.75">
      <c r="A711" s="1368"/>
      <c r="B711" s="1243"/>
      <c r="C711" s="1243"/>
      <c r="D711" s="1243"/>
      <c r="E711" s="1243" t="s">
        <v>301</v>
      </c>
      <c r="F711" s="1243"/>
      <c r="G711" s="963"/>
      <c r="H711" s="954"/>
      <c r="I711" s="1379"/>
      <c r="J711" s="830"/>
      <c r="K711" s="831"/>
      <c r="L711" s="1380"/>
      <c r="M711" s="963"/>
      <c r="N711" s="1380"/>
      <c r="O711" s="831"/>
      <c r="P711" s="831"/>
    </row>
    <row r="712" spans="1:16" ht="18.75">
      <c r="A712" s="1368"/>
      <c r="B712" s="1243"/>
      <c r="C712" s="1243"/>
      <c r="D712" s="1243"/>
      <c r="E712" s="1243"/>
      <c r="F712" s="1243" t="s">
        <v>302</v>
      </c>
      <c r="G712" s="963"/>
      <c r="H712" s="730" t="s">
        <v>35</v>
      </c>
      <c r="I712" s="1379"/>
      <c r="J712" s="959">
        <v>0</v>
      </c>
      <c r="K712" s="831"/>
      <c r="L712" s="1380"/>
      <c r="M712" s="963"/>
      <c r="N712" s="1380"/>
      <c r="O712" s="831"/>
      <c r="P712" s="831"/>
    </row>
    <row r="713" spans="1:16" ht="18.75">
      <c r="A713" s="1368"/>
      <c r="B713" s="1243"/>
      <c r="C713" s="1243"/>
      <c r="D713" s="1243"/>
      <c r="E713" s="1243"/>
      <c r="F713" s="1243"/>
      <c r="G713" s="963"/>
      <c r="H713" s="730" t="s">
        <v>34</v>
      </c>
      <c r="I713" s="1379"/>
      <c r="J713" s="959">
        <v>0</v>
      </c>
      <c r="K713" s="831"/>
      <c r="L713" s="1380"/>
      <c r="M713" s="963"/>
      <c r="N713" s="1380"/>
      <c r="O713" s="831"/>
      <c r="P713" s="831"/>
    </row>
    <row r="714" spans="1:16" ht="18.75">
      <c r="A714" s="1368"/>
      <c r="B714" s="1243"/>
      <c r="C714" s="1243"/>
      <c r="D714" s="1243"/>
      <c r="E714" s="1243"/>
      <c r="F714" s="1243"/>
      <c r="G714" s="963"/>
      <c r="H714" s="730" t="s">
        <v>46</v>
      </c>
      <c r="I714" s="1379"/>
      <c r="J714" s="959">
        <v>0</v>
      </c>
      <c r="K714" s="831"/>
      <c r="L714" s="1380"/>
      <c r="M714" s="963"/>
      <c r="N714" s="1380"/>
      <c r="O714" s="831"/>
      <c r="P714" s="831"/>
    </row>
    <row r="715" spans="1:16" ht="18.75">
      <c r="A715" s="1368"/>
      <c r="B715" s="1243"/>
      <c r="C715" s="1243"/>
      <c r="D715" s="1243"/>
      <c r="E715" s="1243"/>
      <c r="F715" s="1243" t="s">
        <v>303</v>
      </c>
      <c r="G715" s="963"/>
      <c r="H715" s="730" t="s">
        <v>35</v>
      </c>
      <c r="I715" s="1379"/>
      <c r="J715" s="959">
        <v>0</v>
      </c>
      <c r="K715" s="831"/>
      <c r="L715" s="1380"/>
      <c r="M715" s="963"/>
      <c r="N715" s="1380"/>
      <c r="O715" s="831"/>
      <c r="P715" s="831"/>
    </row>
    <row r="716" spans="1:16" ht="18.75">
      <c r="A716" s="1368"/>
      <c r="B716" s="1243"/>
      <c r="C716" s="1243"/>
      <c r="D716" s="1243"/>
      <c r="E716" s="1243"/>
      <c r="F716" s="1243"/>
      <c r="G716" s="963"/>
      <c r="H716" s="730" t="s">
        <v>34</v>
      </c>
      <c r="I716" s="1379"/>
      <c r="J716" s="959">
        <v>0</v>
      </c>
      <c r="K716" s="831"/>
      <c r="L716" s="1380"/>
      <c r="M716" s="963"/>
      <c r="N716" s="1380"/>
      <c r="O716" s="831"/>
      <c r="P716" s="831"/>
    </row>
    <row r="717" spans="1:16" ht="18.75">
      <c r="A717" s="1368"/>
      <c r="B717" s="1243"/>
      <c r="C717" s="1243"/>
      <c r="D717" s="1243"/>
      <c r="E717" s="1243"/>
      <c r="F717" s="1243"/>
      <c r="G717" s="963"/>
      <c r="H717" s="730" t="s">
        <v>46</v>
      </c>
      <c r="I717" s="1379"/>
      <c r="J717" s="959">
        <v>0</v>
      </c>
      <c r="K717" s="831"/>
      <c r="L717" s="1380"/>
      <c r="M717" s="963"/>
      <c r="N717" s="1380"/>
      <c r="O717" s="831"/>
      <c r="P717" s="831"/>
    </row>
    <row r="718" spans="1:16" ht="18.75">
      <c r="A718" s="1368"/>
      <c r="B718" s="1243"/>
      <c r="C718" s="1243"/>
      <c r="D718" s="1243" t="s">
        <v>304</v>
      </c>
      <c r="E718" s="1243"/>
      <c r="F718" s="1243"/>
      <c r="G718" s="963"/>
      <c r="H718" s="730" t="s">
        <v>35</v>
      </c>
      <c r="I718" s="1379"/>
      <c r="J718" s="830">
        <f ca="1">IFERROR(__xludf.DUMMYFUNCTION("IMPORTRANGE(""https://docs.google.com/spreadsheets/d/1XWAQStnk-4SwqDmLtmXYiTMKHgktTP8We1SCoS47DrQ/edit?usp=sharing"",""จัดที่ดิน!BF16"")"),0)</f>
        <v>0</v>
      </c>
      <c r="K718" s="831"/>
      <c r="L718" s="831"/>
      <c r="M718" s="963"/>
      <c r="N718" s="1380"/>
      <c r="O718" s="831"/>
      <c r="P718" s="831"/>
    </row>
    <row r="719" spans="1:16" ht="18.75">
      <c r="A719" s="1368"/>
      <c r="B719" s="1243"/>
      <c r="C719" s="1243"/>
      <c r="D719" s="1243"/>
      <c r="E719" s="1243"/>
      <c r="F719" s="1243"/>
      <c r="G719" s="963"/>
      <c r="H719" s="730" t="s">
        <v>34</v>
      </c>
      <c r="I719" s="1379"/>
      <c r="J719" s="830">
        <f ca="1">IFERROR(__xludf.DUMMYFUNCTION("IMPORTRANGE(""https://docs.google.com/spreadsheets/d/1XWAQStnk-4SwqDmLtmXYiTMKHgktTP8We1SCoS47DrQ/edit?usp=sharing"",""จัดที่ดิน!BG16"")"),0)</f>
        <v>0</v>
      </c>
      <c r="K719" s="831"/>
      <c r="L719" s="1380"/>
      <c r="M719" s="963"/>
      <c r="N719" s="1380"/>
      <c r="O719" s="831"/>
      <c r="P719" s="831"/>
    </row>
    <row r="720" spans="1:16" ht="18.75">
      <c r="A720" s="1368"/>
      <c r="B720" s="1243"/>
      <c r="C720" s="1243"/>
      <c r="D720" s="1243"/>
      <c r="E720" s="1243"/>
      <c r="F720" s="1243"/>
      <c r="G720" s="963"/>
      <c r="H720" s="730" t="s">
        <v>46</v>
      </c>
      <c r="I720" s="1379">
        <f ca="1">IFERROR(__xludf.DUMMYFUNCTION("IMPORTRANGE(""https://docs.google.com/spreadsheets/d/1QqKyyYR6Q21VydFLVH3TRQUabQu_ym0Zz7PgGX0-kHA/edit?usp=sharing"",""แผน!II16"")"),9)</f>
        <v>9</v>
      </c>
      <c r="J720" s="830">
        <f ca="1">IFERROR(__xludf.DUMMYFUNCTION("IMPORTRANGE(""https://docs.google.com/spreadsheets/d/1XWAQStnk-4SwqDmLtmXYiTMKHgktTP8We1SCoS47DrQ/edit?usp=sharing"",""จัดที่ดิน!BH16"")"),0)</f>
        <v>0</v>
      </c>
      <c r="K720" s="831">
        <f t="shared" ref="K720:K723" ca="1" si="291">IF(I720&gt;0,J720*100/I720,0)</f>
        <v>0</v>
      </c>
      <c r="L720" s="1380"/>
      <c r="M720" s="963"/>
      <c r="N720" s="1380"/>
      <c r="O720" s="831"/>
      <c r="P720" s="831"/>
    </row>
    <row r="721" spans="1:16" ht="19.5">
      <c r="A721" s="1368"/>
      <c r="B721" s="1243"/>
      <c r="C721" s="1243"/>
      <c r="D721" s="1243" t="s">
        <v>305</v>
      </c>
      <c r="E721" s="1243"/>
      <c r="F721" s="1243"/>
      <c r="G721" s="963"/>
      <c r="H721" s="733" t="s">
        <v>35</v>
      </c>
      <c r="I721" s="1381">
        <f ca="1">IFERROR(__xludf.DUMMYFUNCTION("IMPORTRANGE(""https://docs.google.com/spreadsheets/d/1QqKyyYR6Q21VydFLVH3TRQUabQu_ym0Zz7PgGX0-kHA/edit?usp=sharing"",""แผน!IJ16"")"),0)</f>
        <v>0</v>
      </c>
      <c r="J721" s="966">
        <f ca="1">J723+J726</f>
        <v>0</v>
      </c>
      <c r="K721" s="967">
        <f t="shared" ca="1" si="291"/>
        <v>0</v>
      </c>
      <c r="L721" s="1380"/>
      <c r="M721" s="963"/>
      <c r="N721" s="1380"/>
      <c r="O721" s="831"/>
      <c r="P721" s="831"/>
    </row>
    <row r="722" spans="1:16" ht="19.5">
      <c r="A722" s="1368"/>
      <c r="B722" s="1243"/>
      <c r="C722" s="1243"/>
      <c r="D722" s="1243"/>
      <c r="E722" s="1243"/>
      <c r="F722" s="1243"/>
      <c r="G722" s="963"/>
      <c r="H722" s="733" t="s">
        <v>46</v>
      </c>
      <c r="I722" s="1381">
        <f ca="1">IFERROR(__xludf.DUMMYFUNCTION("IMPORTRANGE(""https://docs.google.com/spreadsheets/d/1QqKyyYR6Q21VydFLVH3TRQUabQu_ym0Zz7PgGX0-kHA/edit?usp=sharing"",""แผน!IK16"")"),0)</f>
        <v>0</v>
      </c>
      <c r="J722" s="966">
        <f ca="1">J725+J728</f>
        <v>0</v>
      </c>
      <c r="K722" s="967">
        <f t="shared" ca="1" si="291"/>
        <v>0</v>
      </c>
      <c r="L722" s="831"/>
      <c r="M722" s="963"/>
      <c r="N722" s="1380"/>
      <c r="O722" s="831"/>
      <c r="P722" s="831"/>
    </row>
    <row r="723" spans="1:16" ht="18.75">
      <c r="A723" s="1368"/>
      <c r="B723" s="1243"/>
      <c r="C723" s="1243"/>
      <c r="D723" s="1243"/>
      <c r="E723" s="1243" t="s">
        <v>306</v>
      </c>
      <c r="F723" s="1243"/>
      <c r="G723" s="963"/>
      <c r="H723" s="730" t="s">
        <v>35</v>
      </c>
      <c r="I723" s="1379">
        <f ca="1">IFERROR(__xludf.DUMMYFUNCTION("IMPORTRANGE(""https://docs.google.com/spreadsheets/d/1QqKyyYR6Q21VydFLVH3TRQUabQu_ym0Zz7PgGX0-kHA/edit?usp=sharing"",""แผน!IL16"")"),0)</f>
        <v>0</v>
      </c>
      <c r="J723" s="830">
        <f ca="1">IFERROR(__xludf.DUMMYFUNCTION("IMPORTRANGE(""https://docs.google.com/spreadsheets/d/1XWAQStnk-4SwqDmLtmXYiTMKHgktTP8We1SCoS47DrQ/edit?usp=sharing"",""จัดที่ดิน!BM16"")"),0)</f>
        <v>0</v>
      </c>
      <c r="K723" s="831">
        <f t="shared" ca="1" si="291"/>
        <v>0</v>
      </c>
      <c r="L723" s="831"/>
      <c r="M723" s="963"/>
      <c r="N723" s="1380"/>
      <c r="O723" s="831"/>
      <c r="P723" s="831"/>
    </row>
    <row r="724" spans="1:16" ht="18.75">
      <c r="A724" s="1368"/>
      <c r="B724" s="1243"/>
      <c r="C724" s="1243"/>
      <c r="D724" s="1243"/>
      <c r="E724" s="1243"/>
      <c r="F724" s="1243"/>
      <c r="G724" s="963"/>
      <c r="H724" s="730" t="s">
        <v>34</v>
      </c>
      <c r="I724" s="1379"/>
      <c r="J724" s="830">
        <f ca="1">IFERROR(__xludf.DUMMYFUNCTION("IMPORTRANGE(""https://docs.google.com/spreadsheets/d/1XWAQStnk-4SwqDmLtmXYiTMKHgktTP8We1SCoS47DrQ/edit?usp=sharing"",""จัดที่ดิน!BN16"")"),0)</f>
        <v>0</v>
      </c>
      <c r="K724" s="831"/>
      <c r="L724" s="1380"/>
      <c r="M724" s="963"/>
      <c r="N724" s="1380"/>
      <c r="O724" s="831"/>
      <c r="P724" s="831"/>
    </row>
    <row r="725" spans="1:16" ht="18.75">
      <c r="A725" s="1368"/>
      <c r="B725" s="1243"/>
      <c r="C725" s="1243"/>
      <c r="D725" s="1243"/>
      <c r="E725" s="1243"/>
      <c r="F725" s="1243"/>
      <c r="G725" s="963"/>
      <c r="H725" s="730" t="s">
        <v>46</v>
      </c>
      <c r="I725" s="1379">
        <f ca="1">IFERROR(__xludf.DUMMYFUNCTION("IMPORTRANGE(""https://docs.google.com/spreadsheets/d/1QqKyyYR6Q21VydFLVH3TRQUabQu_ym0Zz7PgGX0-kHA/edit?usp=sharing"",""แผน!IM16"")"),0)</f>
        <v>0</v>
      </c>
      <c r="J725" s="830">
        <f ca="1">IFERROR(__xludf.DUMMYFUNCTION("IMPORTRANGE(""https://docs.google.com/spreadsheets/d/1XWAQStnk-4SwqDmLtmXYiTMKHgktTP8We1SCoS47DrQ/edit?usp=sharing"",""จัดที่ดิน!BO16"")"),0)</f>
        <v>0</v>
      </c>
      <c r="K725" s="831">
        <f t="shared" ref="K725:K726" ca="1" si="292">IF(I725&gt;0,J725*100/I725,0)</f>
        <v>0</v>
      </c>
      <c r="L725" s="1380"/>
      <c r="M725" s="963"/>
      <c r="N725" s="1380"/>
      <c r="O725" s="831"/>
      <c r="P725" s="831"/>
    </row>
    <row r="726" spans="1:16" ht="18.75">
      <c r="A726" s="1368"/>
      <c r="B726" s="1243"/>
      <c r="C726" s="1243"/>
      <c r="D726" s="1243"/>
      <c r="E726" s="1243" t="s">
        <v>307</v>
      </c>
      <c r="F726" s="1243"/>
      <c r="G726" s="963"/>
      <c r="H726" s="730" t="s">
        <v>35</v>
      </c>
      <c r="I726" s="1379">
        <f ca="1">IFERROR(__xludf.DUMMYFUNCTION("IMPORTRANGE(""https://docs.google.com/spreadsheets/d/1QqKyyYR6Q21VydFLVH3TRQUabQu_ym0Zz7PgGX0-kHA/edit?usp=sharing"",""แผน!IN16"")"),0)</f>
        <v>0</v>
      </c>
      <c r="J726" s="830">
        <f ca="1">IFERROR(__xludf.DUMMYFUNCTION("IMPORTRANGE(""https://docs.google.com/spreadsheets/d/1XWAQStnk-4SwqDmLtmXYiTMKHgktTP8We1SCoS47DrQ/edit?usp=sharing"",""จัดที่ดิน!BR16"")"),0)</f>
        <v>0</v>
      </c>
      <c r="K726" s="831">
        <f t="shared" ca="1" si="292"/>
        <v>0</v>
      </c>
      <c r="L726" s="831"/>
      <c r="M726" s="963"/>
      <c r="N726" s="1380"/>
      <c r="O726" s="831"/>
      <c r="P726" s="831"/>
    </row>
    <row r="727" spans="1:16" ht="18.75">
      <c r="A727" s="1368"/>
      <c r="B727" s="1243"/>
      <c r="C727" s="1243"/>
      <c r="D727" s="1243"/>
      <c r="E727" s="1243"/>
      <c r="F727" s="1243"/>
      <c r="G727" s="963"/>
      <c r="H727" s="730" t="s">
        <v>34</v>
      </c>
      <c r="I727" s="1379"/>
      <c r="J727" s="830">
        <f ca="1">IFERROR(__xludf.DUMMYFUNCTION("IMPORTRANGE(""https://docs.google.com/spreadsheets/d/1XWAQStnk-4SwqDmLtmXYiTMKHgktTP8We1SCoS47DrQ/edit?usp=sharing"",""จัดที่ดิน!BS16"")"),0)</f>
        <v>0</v>
      </c>
      <c r="K727" s="831"/>
      <c r="L727" s="1380"/>
      <c r="M727" s="963"/>
      <c r="N727" s="1380"/>
      <c r="O727" s="831"/>
      <c r="P727" s="831"/>
    </row>
    <row r="728" spans="1:16" ht="18.75">
      <c r="A728" s="1368"/>
      <c r="B728" s="1243"/>
      <c r="C728" s="1243"/>
      <c r="D728" s="1243"/>
      <c r="E728" s="1243"/>
      <c r="F728" s="1243"/>
      <c r="G728" s="963"/>
      <c r="H728" s="730" t="s">
        <v>46</v>
      </c>
      <c r="I728" s="1379">
        <f ca="1">IFERROR(__xludf.DUMMYFUNCTION("IMPORTRANGE(""https://docs.google.com/spreadsheets/d/1QqKyyYR6Q21VydFLVH3TRQUabQu_ym0Zz7PgGX0-kHA/edit?usp=sharing"",""แผน!IO16"")"),0)</f>
        <v>0</v>
      </c>
      <c r="J728" s="830">
        <f ca="1">IFERROR(__xludf.DUMMYFUNCTION("IMPORTRANGE(""https://docs.google.com/spreadsheets/d/1XWAQStnk-4SwqDmLtmXYiTMKHgktTP8We1SCoS47DrQ/edit?usp=sharing"",""จัดที่ดิน!BT16"")"),0)</f>
        <v>0</v>
      </c>
      <c r="K728" s="831">
        <f t="shared" ref="K728:K729" ca="1" si="293">IF(I728&gt;0,J728*100/I728,0)</f>
        <v>0</v>
      </c>
      <c r="L728" s="1380"/>
      <c r="M728" s="963"/>
      <c r="N728" s="1380"/>
      <c r="O728" s="831"/>
      <c r="P728" s="831"/>
    </row>
    <row r="729" spans="1:16" ht="19.5">
      <c r="A729" s="1368"/>
      <c r="B729" s="1243"/>
      <c r="C729" s="1243"/>
      <c r="D729" s="1243" t="s">
        <v>308</v>
      </c>
      <c r="E729" s="1243"/>
      <c r="F729" s="1243"/>
      <c r="G729" s="963"/>
      <c r="H729" s="733" t="s">
        <v>46</v>
      </c>
      <c r="I729" s="1381">
        <f ca="1">IFERROR(__xludf.DUMMYFUNCTION("IMPORTRANGE(""https://docs.google.com/spreadsheets/d/1QqKyyYR6Q21VydFLVH3TRQUabQu_ym0Zz7PgGX0-kHA/edit?usp=sharing"",""แผน!IP16"")"),0)</f>
        <v>0</v>
      </c>
      <c r="J729" s="966">
        <f>J732+J735</f>
        <v>0</v>
      </c>
      <c r="K729" s="967">
        <f t="shared" ca="1" si="293"/>
        <v>0</v>
      </c>
      <c r="L729" s="831"/>
      <c r="M729" s="963"/>
      <c r="N729" s="1380"/>
      <c r="O729" s="831"/>
      <c r="P729" s="831"/>
    </row>
    <row r="730" spans="1:16" ht="18.75">
      <c r="A730" s="1368"/>
      <c r="B730" s="1243"/>
      <c r="C730" s="1243"/>
      <c r="D730" s="1243"/>
      <c r="E730" s="1243" t="s">
        <v>309</v>
      </c>
      <c r="F730" s="1243"/>
      <c r="G730" s="963"/>
      <c r="H730" s="730" t="s">
        <v>35</v>
      </c>
      <c r="I730" s="1379"/>
      <c r="J730" s="959">
        <v>0</v>
      </c>
      <c r="K730" s="831"/>
      <c r="L730" s="1380"/>
      <c r="M730" s="831"/>
      <c r="N730" s="1380"/>
      <c r="O730" s="831"/>
      <c r="P730" s="831"/>
    </row>
    <row r="731" spans="1:16" ht="18.75">
      <c r="A731" s="1368"/>
      <c r="B731" s="1243"/>
      <c r="C731" s="1243"/>
      <c r="D731" s="1243"/>
      <c r="E731" s="1243"/>
      <c r="F731" s="1243"/>
      <c r="G731" s="963"/>
      <c r="H731" s="730" t="s">
        <v>34</v>
      </c>
      <c r="I731" s="1379"/>
      <c r="J731" s="959">
        <v>0</v>
      </c>
      <c r="K731" s="831"/>
      <c r="L731" s="1380"/>
      <c r="M731" s="831"/>
      <c r="N731" s="1380"/>
      <c r="O731" s="831"/>
      <c r="P731" s="831"/>
    </row>
    <row r="732" spans="1:16" ht="18.75">
      <c r="A732" s="1368"/>
      <c r="B732" s="1243"/>
      <c r="C732" s="1243"/>
      <c r="D732" s="1243"/>
      <c r="E732" s="1243"/>
      <c r="F732" s="1243"/>
      <c r="G732" s="963"/>
      <c r="H732" s="730" t="s">
        <v>46</v>
      </c>
      <c r="I732" s="1379"/>
      <c r="J732" s="959">
        <v>0</v>
      </c>
      <c r="K732" s="831"/>
      <c r="L732" s="1380"/>
      <c r="M732" s="831"/>
      <c r="N732" s="1380"/>
      <c r="O732" s="831"/>
      <c r="P732" s="831"/>
    </row>
    <row r="733" spans="1:16" ht="18.75">
      <c r="A733" s="1368"/>
      <c r="B733" s="1243"/>
      <c r="C733" s="1243"/>
      <c r="D733" s="1243"/>
      <c r="E733" s="1243" t="s">
        <v>310</v>
      </c>
      <c r="F733" s="1243"/>
      <c r="G733" s="963"/>
      <c r="H733" s="730" t="s">
        <v>35</v>
      </c>
      <c r="I733" s="1379"/>
      <c r="J733" s="959">
        <v>0</v>
      </c>
      <c r="K733" s="831"/>
      <c r="L733" s="1380"/>
      <c r="M733" s="831"/>
      <c r="N733" s="1380"/>
      <c r="O733" s="831"/>
      <c r="P733" s="831"/>
    </row>
    <row r="734" spans="1:16" ht="18.75">
      <c r="A734" s="1368"/>
      <c r="B734" s="1243"/>
      <c r="C734" s="1243"/>
      <c r="D734" s="1243"/>
      <c r="E734" s="1243"/>
      <c r="F734" s="1243"/>
      <c r="G734" s="963"/>
      <c r="H734" s="730" t="s">
        <v>34</v>
      </c>
      <c r="I734" s="1379"/>
      <c r="J734" s="959">
        <v>0</v>
      </c>
      <c r="K734" s="831"/>
      <c r="L734" s="1380"/>
      <c r="M734" s="831"/>
      <c r="N734" s="1380"/>
      <c r="O734" s="831"/>
      <c r="P734" s="831"/>
    </row>
    <row r="735" spans="1:16" ht="19.5">
      <c r="A735" s="1382"/>
      <c r="B735" s="1383" t="s">
        <v>311</v>
      </c>
      <c r="C735" s="1116"/>
      <c r="D735" s="1116"/>
      <c r="E735" s="1116"/>
      <c r="F735" s="1116"/>
      <c r="G735" s="1361"/>
      <c r="H735" s="391" t="s">
        <v>46</v>
      </c>
      <c r="I735" s="1384"/>
      <c r="J735" s="1118">
        <v>0</v>
      </c>
      <c r="K735" s="1182"/>
      <c r="L735" s="1385"/>
      <c r="M735" s="1182"/>
      <c r="N735" s="1385"/>
      <c r="O735" s="1182"/>
      <c r="P735" s="1182"/>
    </row>
    <row r="736" spans="1:16" ht="19.5" hidden="1">
      <c r="A736" s="740">
        <v>9</v>
      </c>
      <c r="B736" s="1386" t="s">
        <v>312</v>
      </c>
      <c r="C736" s="1387"/>
      <c r="D736" s="1387"/>
      <c r="E736" s="1387"/>
      <c r="F736" s="1387"/>
      <c r="G736" s="1388"/>
      <c r="H736" s="744" t="s">
        <v>46</v>
      </c>
      <c r="I736" s="1389"/>
      <c r="J736" s="1389">
        <f>J751</f>
        <v>0</v>
      </c>
      <c r="K736" s="1390">
        <f>IF(I736&gt;0,J736*100/I736,0)</f>
        <v>0</v>
      </c>
      <c r="L736" s="1391"/>
      <c r="M736" s="1391"/>
      <c r="N736" s="1391"/>
      <c r="O736" s="1391"/>
      <c r="P736" s="1391"/>
    </row>
    <row r="737" spans="1:16" ht="19.5" hidden="1">
      <c r="A737" s="1260"/>
      <c r="B737" s="1261"/>
      <c r="C737" s="1261" t="s">
        <v>16</v>
      </c>
      <c r="D737" s="1508" t="s">
        <v>17</v>
      </c>
      <c r="E737" s="1485"/>
      <c r="F737" s="1485"/>
      <c r="G737" s="1263"/>
      <c r="H737" s="612" t="s">
        <v>12</v>
      </c>
      <c r="I737" s="836"/>
      <c r="J737" s="836"/>
      <c r="K737" s="837"/>
      <c r="L737" s="1292">
        <f t="shared" ref="L737:N737" si="294">L738+L739</f>
        <v>0</v>
      </c>
      <c r="M737" s="1292">
        <f t="shared" si="294"/>
        <v>0</v>
      </c>
      <c r="N737" s="1292">
        <f t="shared" si="294"/>
        <v>0</v>
      </c>
      <c r="O737" s="1292">
        <f t="shared" ref="O737:O742" si="295">IF(L737&gt;0,N737*100/L737,0)</f>
        <v>0</v>
      </c>
      <c r="P737" s="1292">
        <f t="shared" ref="P737:P742" si="296">IF(M737&gt;0,N737*100/M737,0)</f>
        <v>0</v>
      </c>
    </row>
    <row r="738" spans="1:16" ht="18.75" hidden="1">
      <c r="A738" s="1260"/>
      <c r="B738" s="1261"/>
      <c r="C738" s="1261"/>
      <c r="D738" s="1262"/>
      <c r="E738" s="1261" t="s">
        <v>184</v>
      </c>
      <c r="F738" s="1261"/>
      <c r="G738" s="1263"/>
      <c r="H738" s="165" t="s">
        <v>12</v>
      </c>
      <c r="I738" s="836"/>
      <c r="J738" s="836"/>
      <c r="K738" s="837"/>
      <c r="L738" s="837">
        <f t="shared" ref="L738:N739" si="297">L741+L748</f>
        <v>0</v>
      </c>
      <c r="M738" s="837">
        <f t="shared" si="297"/>
        <v>0</v>
      </c>
      <c r="N738" s="837">
        <f t="shared" si="297"/>
        <v>0</v>
      </c>
      <c r="O738" s="837">
        <f t="shared" si="295"/>
        <v>0</v>
      </c>
      <c r="P738" s="837">
        <f t="shared" si="296"/>
        <v>0</v>
      </c>
    </row>
    <row r="739" spans="1:16" ht="18.75" hidden="1">
      <c r="A739" s="1260"/>
      <c r="B739" s="1265"/>
      <c r="C739" s="1261"/>
      <c r="D739" s="1262"/>
      <c r="E739" s="1261" t="s">
        <v>185</v>
      </c>
      <c r="F739" s="1261"/>
      <c r="G739" s="1263"/>
      <c r="H739" s="165" t="s">
        <v>12</v>
      </c>
      <c r="I739" s="836"/>
      <c r="J739" s="836"/>
      <c r="K739" s="837"/>
      <c r="L739" s="837">
        <f t="shared" si="297"/>
        <v>0</v>
      </c>
      <c r="M739" s="837">
        <f t="shared" si="297"/>
        <v>0</v>
      </c>
      <c r="N739" s="837">
        <f t="shared" si="297"/>
        <v>0</v>
      </c>
      <c r="O739" s="837">
        <f t="shared" si="295"/>
        <v>0</v>
      </c>
      <c r="P739" s="837">
        <f t="shared" si="296"/>
        <v>0</v>
      </c>
    </row>
    <row r="740" spans="1:16" ht="19.5" hidden="1">
      <c r="A740" s="1260"/>
      <c r="B740" s="1265"/>
      <c r="C740" s="1261"/>
      <c r="D740" s="1392" t="s">
        <v>20</v>
      </c>
      <c r="E740" s="1261"/>
      <c r="F740" s="1261"/>
      <c r="G740" s="1263"/>
      <c r="H740" s="612" t="s">
        <v>12</v>
      </c>
      <c r="I740" s="947"/>
      <c r="J740" s="947"/>
      <c r="K740" s="948"/>
      <c r="L740" s="1292">
        <f t="shared" ref="L740:N740" si="298">L741+L742</f>
        <v>0</v>
      </c>
      <c r="M740" s="1292">
        <f t="shared" si="298"/>
        <v>0</v>
      </c>
      <c r="N740" s="1292">
        <f t="shared" si="298"/>
        <v>0</v>
      </c>
      <c r="O740" s="1292">
        <f t="shared" si="295"/>
        <v>0</v>
      </c>
      <c r="P740" s="1292">
        <f t="shared" si="296"/>
        <v>0</v>
      </c>
    </row>
    <row r="741" spans="1:16" ht="18.75" hidden="1">
      <c r="A741" s="1260"/>
      <c r="B741" s="1265"/>
      <c r="C741" s="1261"/>
      <c r="D741" s="1262"/>
      <c r="E741" s="1261" t="s">
        <v>184</v>
      </c>
      <c r="F741" s="1261"/>
      <c r="G741" s="1263"/>
      <c r="H741" s="165" t="s">
        <v>12</v>
      </c>
      <c r="I741" s="836"/>
      <c r="J741" s="836"/>
      <c r="K741" s="837"/>
      <c r="L741" s="837">
        <v>0</v>
      </c>
      <c r="M741" s="837">
        <v>0</v>
      </c>
      <c r="N741" s="837">
        <v>0</v>
      </c>
      <c r="O741" s="837">
        <f t="shared" si="295"/>
        <v>0</v>
      </c>
      <c r="P741" s="837">
        <f t="shared" si="296"/>
        <v>0</v>
      </c>
    </row>
    <row r="742" spans="1:16" ht="18.75" hidden="1">
      <c r="A742" s="1260"/>
      <c r="B742" s="1265"/>
      <c r="C742" s="1261"/>
      <c r="D742" s="1262"/>
      <c r="E742" s="1261" t="s">
        <v>185</v>
      </c>
      <c r="F742" s="1261"/>
      <c r="G742" s="1263"/>
      <c r="H742" s="165" t="s">
        <v>12</v>
      </c>
      <c r="I742" s="836"/>
      <c r="J742" s="836"/>
      <c r="K742" s="837"/>
      <c r="L742" s="837">
        <v>0</v>
      </c>
      <c r="M742" s="837">
        <v>0</v>
      </c>
      <c r="N742" s="837">
        <f>N743+N744+N745+N746</f>
        <v>0</v>
      </c>
      <c r="O742" s="837">
        <f t="shared" si="295"/>
        <v>0</v>
      </c>
      <c r="P742" s="837">
        <f t="shared" si="296"/>
        <v>0</v>
      </c>
    </row>
    <row r="743" spans="1:16" ht="18.75" hidden="1">
      <c r="A743" s="1294"/>
      <c r="B743" s="1265"/>
      <c r="C743" s="1261"/>
      <c r="D743" s="1261"/>
      <c r="E743" s="1261"/>
      <c r="F743" s="1261" t="s">
        <v>186</v>
      </c>
      <c r="G743" s="1263"/>
      <c r="H743" s="165" t="s">
        <v>12</v>
      </c>
      <c r="I743" s="836"/>
      <c r="J743" s="836"/>
      <c r="K743" s="837"/>
      <c r="L743" s="837"/>
      <c r="M743" s="837"/>
      <c r="N743" s="837"/>
      <c r="O743" s="837"/>
      <c r="P743" s="837"/>
    </row>
    <row r="744" spans="1:16" ht="18.75" hidden="1">
      <c r="A744" s="1294"/>
      <c r="B744" s="1265"/>
      <c r="C744" s="1261"/>
      <c r="D744" s="1261"/>
      <c r="E744" s="1261"/>
      <c r="F744" s="1261" t="s">
        <v>187</v>
      </c>
      <c r="G744" s="1263"/>
      <c r="H744" s="165" t="s">
        <v>12</v>
      </c>
      <c r="I744" s="836"/>
      <c r="J744" s="836"/>
      <c r="K744" s="837"/>
      <c r="L744" s="837"/>
      <c r="M744" s="837"/>
      <c r="N744" s="837"/>
      <c r="O744" s="837"/>
      <c r="P744" s="837"/>
    </row>
    <row r="745" spans="1:16" ht="18.75" hidden="1">
      <c r="A745" s="1294"/>
      <c r="B745" s="1265"/>
      <c r="C745" s="1261"/>
      <c r="D745" s="1261"/>
      <c r="E745" s="1261"/>
      <c r="F745" s="1261" t="s">
        <v>188</v>
      </c>
      <c r="G745" s="1263"/>
      <c r="H745" s="165" t="s">
        <v>12</v>
      </c>
      <c r="I745" s="836"/>
      <c r="J745" s="836"/>
      <c r="K745" s="837"/>
      <c r="L745" s="837"/>
      <c r="M745" s="837"/>
      <c r="N745" s="837"/>
      <c r="O745" s="837"/>
      <c r="P745" s="837"/>
    </row>
    <row r="746" spans="1:16" ht="18.75" hidden="1">
      <c r="A746" s="1294"/>
      <c r="B746" s="1265"/>
      <c r="C746" s="1261"/>
      <c r="D746" s="1261"/>
      <c r="E746" s="1261"/>
      <c r="F746" s="1261" t="s">
        <v>189</v>
      </c>
      <c r="G746" s="1263"/>
      <c r="H746" s="165" t="s">
        <v>12</v>
      </c>
      <c r="I746" s="836"/>
      <c r="J746" s="836"/>
      <c r="K746" s="837"/>
      <c r="L746" s="837"/>
      <c r="M746" s="837"/>
      <c r="N746" s="837"/>
      <c r="O746" s="837"/>
      <c r="P746" s="837"/>
    </row>
    <row r="747" spans="1:16" ht="19.5" hidden="1">
      <c r="A747" s="1260"/>
      <c r="B747" s="1265"/>
      <c r="C747" s="1261"/>
      <c r="D747" s="1392" t="s">
        <v>21</v>
      </c>
      <c r="E747" s="1261"/>
      <c r="F747" s="1261"/>
      <c r="G747" s="1263"/>
      <c r="H747" s="749" t="s">
        <v>12</v>
      </c>
      <c r="I747" s="947"/>
      <c r="J747" s="947"/>
      <c r="K747" s="948"/>
      <c r="L747" s="1292">
        <f t="shared" ref="L747:N747" si="299">L748+L749</f>
        <v>0</v>
      </c>
      <c r="M747" s="1292">
        <f t="shared" si="299"/>
        <v>0</v>
      </c>
      <c r="N747" s="1292">
        <f t="shared" si="299"/>
        <v>0</v>
      </c>
      <c r="O747" s="1292">
        <f t="shared" ref="O747:O749" si="300">IF(L747&gt;0,N747*100/L747,0)</f>
        <v>0</v>
      </c>
      <c r="P747" s="1292">
        <f t="shared" ref="P747:P749" si="301">IF(M747&gt;0,N747*100/M747,0)</f>
        <v>0</v>
      </c>
    </row>
    <row r="748" spans="1:16" ht="18.75" hidden="1">
      <c r="A748" s="1260"/>
      <c r="B748" s="1265"/>
      <c r="C748" s="1261"/>
      <c r="D748" s="1261"/>
      <c r="E748" s="1261" t="s">
        <v>18</v>
      </c>
      <c r="F748" s="1261"/>
      <c r="G748" s="1263"/>
      <c r="H748" s="165" t="s">
        <v>12</v>
      </c>
      <c r="I748" s="947"/>
      <c r="J748" s="947"/>
      <c r="K748" s="948"/>
      <c r="L748" s="837">
        <v>0</v>
      </c>
      <c r="M748" s="837">
        <v>0</v>
      </c>
      <c r="N748" s="837">
        <v>0</v>
      </c>
      <c r="O748" s="837">
        <f t="shared" si="300"/>
        <v>0</v>
      </c>
      <c r="P748" s="837">
        <f t="shared" si="301"/>
        <v>0</v>
      </c>
    </row>
    <row r="749" spans="1:16" ht="18.75" hidden="1">
      <c r="A749" s="1260"/>
      <c r="B749" s="1265"/>
      <c r="C749" s="1261"/>
      <c r="D749" s="1261"/>
      <c r="E749" s="1261" t="s">
        <v>19</v>
      </c>
      <c r="F749" s="1261"/>
      <c r="G749" s="1263"/>
      <c r="H749" s="169" t="s">
        <v>12</v>
      </c>
      <c r="I749" s="947"/>
      <c r="J749" s="947"/>
      <c r="K749" s="948"/>
      <c r="L749" s="837">
        <v>0</v>
      </c>
      <c r="M749" s="837">
        <v>0</v>
      </c>
      <c r="N749" s="837">
        <v>0</v>
      </c>
      <c r="O749" s="837">
        <f t="shared" si="300"/>
        <v>0</v>
      </c>
      <c r="P749" s="837">
        <f t="shared" si="301"/>
        <v>0</v>
      </c>
    </row>
    <row r="750" spans="1:16" ht="19.5" hidden="1">
      <c r="A750" s="1273"/>
      <c r="B750" s="1274"/>
      <c r="C750" s="1261" t="s">
        <v>16</v>
      </c>
      <c r="D750" s="1393" t="s">
        <v>38</v>
      </c>
      <c r="E750" s="1296"/>
      <c r="F750" s="1296"/>
      <c r="G750" s="1297"/>
      <c r="H750" s="1060"/>
      <c r="I750" s="947"/>
      <c r="J750" s="947"/>
      <c r="K750" s="948"/>
      <c r="L750" s="948"/>
      <c r="M750" s="948"/>
      <c r="N750" s="948"/>
      <c r="O750" s="948"/>
      <c r="P750" s="948"/>
    </row>
    <row r="751" spans="1:16" ht="18.75" hidden="1">
      <c r="A751" s="1294"/>
      <c r="B751" s="1265"/>
      <c r="C751" s="1261"/>
      <c r="D751" s="1261"/>
      <c r="E751" s="1261" t="s">
        <v>313</v>
      </c>
      <c r="F751" s="1261"/>
      <c r="G751" s="1263"/>
      <c r="H751" s="165" t="s">
        <v>46</v>
      </c>
      <c r="I751" s="836"/>
      <c r="J751" s="836"/>
      <c r="K751" s="837"/>
      <c r="L751" s="837"/>
      <c r="M751" s="837"/>
      <c r="N751" s="837"/>
      <c r="O751" s="837"/>
      <c r="P751" s="837"/>
    </row>
    <row r="752" spans="1:16" ht="18.75" hidden="1">
      <c r="A752" s="1294"/>
      <c r="B752" s="1265"/>
      <c r="C752" s="1261"/>
      <c r="D752" s="1261"/>
      <c r="E752" s="1261"/>
      <c r="F752" s="1261"/>
      <c r="G752" s="1263"/>
      <c r="H752" s="165" t="s">
        <v>314</v>
      </c>
      <c r="I752" s="836"/>
      <c r="J752" s="836"/>
      <c r="K752" s="837"/>
      <c r="L752" s="837"/>
      <c r="M752" s="837"/>
      <c r="N752" s="837"/>
      <c r="O752" s="837"/>
      <c r="P752" s="837"/>
    </row>
    <row r="753" spans="1:16" ht="19.5" hidden="1">
      <c r="A753" s="751">
        <v>10</v>
      </c>
      <c r="B753" s="1394" t="s">
        <v>315</v>
      </c>
      <c r="C753" s="1395"/>
      <c r="D753" s="1395"/>
      <c r="E753" s="1395"/>
      <c r="F753" s="1395"/>
      <c r="G753" s="1396"/>
      <c r="H753" s="755" t="s">
        <v>46</v>
      </c>
      <c r="I753" s="1397"/>
      <c r="J753" s="1397">
        <f>J768</f>
        <v>0</v>
      </c>
      <c r="K753" s="1398">
        <f>IF(I753&gt;0,J753*100/I753,0)</f>
        <v>0</v>
      </c>
      <c r="L753" s="1399"/>
      <c r="M753" s="1399"/>
      <c r="N753" s="1399"/>
      <c r="O753" s="1399"/>
      <c r="P753" s="1399"/>
    </row>
    <row r="754" spans="1:16" ht="19.5" hidden="1">
      <c r="A754" s="1260"/>
      <c r="B754" s="1261"/>
      <c r="C754" s="1261" t="s">
        <v>16</v>
      </c>
      <c r="D754" s="1508" t="s">
        <v>17</v>
      </c>
      <c r="E754" s="1485"/>
      <c r="F754" s="1485"/>
      <c r="G754" s="1263"/>
      <c r="H754" s="612" t="s">
        <v>12</v>
      </c>
      <c r="I754" s="836"/>
      <c r="J754" s="836"/>
      <c r="K754" s="837"/>
      <c r="L754" s="1292">
        <f t="shared" ref="L754:N754" si="302">L755+L756</f>
        <v>0</v>
      </c>
      <c r="M754" s="1292">
        <f t="shared" si="302"/>
        <v>0</v>
      </c>
      <c r="N754" s="1292">
        <f t="shared" si="302"/>
        <v>0</v>
      </c>
      <c r="O754" s="1292">
        <f t="shared" ref="O754:O759" si="303">IF(L754&gt;0,N754*100/L754,0)</f>
        <v>0</v>
      </c>
      <c r="P754" s="1292">
        <f t="shared" ref="P754:P759" si="304">IF(M754&gt;0,N754*100/M754,0)</f>
        <v>0</v>
      </c>
    </row>
    <row r="755" spans="1:16" ht="18.75" hidden="1">
      <c r="A755" s="1260"/>
      <c r="B755" s="1261"/>
      <c r="C755" s="1261"/>
      <c r="D755" s="1262"/>
      <c r="E755" s="1261" t="s">
        <v>184</v>
      </c>
      <c r="F755" s="1261"/>
      <c r="G755" s="1263"/>
      <c r="H755" s="165" t="s">
        <v>12</v>
      </c>
      <c r="I755" s="836"/>
      <c r="J755" s="836"/>
      <c r="K755" s="837"/>
      <c r="L755" s="837">
        <f t="shared" ref="L755:N756" si="305">L758+L765</f>
        <v>0</v>
      </c>
      <c r="M755" s="837">
        <f t="shared" si="305"/>
        <v>0</v>
      </c>
      <c r="N755" s="837">
        <f t="shared" si="305"/>
        <v>0</v>
      </c>
      <c r="O755" s="837">
        <f t="shared" si="303"/>
        <v>0</v>
      </c>
      <c r="P755" s="837">
        <f t="shared" si="304"/>
        <v>0</v>
      </c>
    </row>
    <row r="756" spans="1:16" ht="18.75" hidden="1">
      <c r="A756" s="1260"/>
      <c r="B756" s="1265"/>
      <c r="C756" s="1261"/>
      <c r="D756" s="1262"/>
      <c r="E756" s="1261" t="s">
        <v>185</v>
      </c>
      <c r="F756" s="1261"/>
      <c r="G756" s="1263"/>
      <c r="H756" s="165" t="s">
        <v>12</v>
      </c>
      <c r="I756" s="836"/>
      <c r="J756" s="836"/>
      <c r="K756" s="837"/>
      <c r="L756" s="837">
        <f t="shared" si="305"/>
        <v>0</v>
      </c>
      <c r="M756" s="837">
        <f t="shared" si="305"/>
        <v>0</v>
      </c>
      <c r="N756" s="837">
        <f t="shared" si="305"/>
        <v>0</v>
      </c>
      <c r="O756" s="837">
        <f t="shared" si="303"/>
        <v>0</v>
      </c>
      <c r="P756" s="837">
        <f t="shared" si="304"/>
        <v>0</v>
      </c>
    </row>
    <row r="757" spans="1:16" ht="19.5" hidden="1">
      <c r="A757" s="1260"/>
      <c r="B757" s="1265"/>
      <c r="C757" s="1261"/>
      <c r="D757" s="1392" t="s">
        <v>20</v>
      </c>
      <c r="E757" s="1261"/>
      <c r="F757" s="1261"/>
      <c r="G757" s="1263"/>
      <c r="H757" s="612" t="s">
        <v>12</v>
      </c>
      <c r="I757" s="947"/>
      <c r="J757" s="947"/>
      <c r="K757" s="948"/>
      <c r="L757" s="1292">
        <f t="shared" ref="L757:N757" si="306">L758+L759</f>
        <v>0</v>
      </c>
      <c r="M757" s="1292">
        <f t="shared" si="306"/>
        <v>0</v>
      </c>
      <c r="N757" s="1292">
        <f t="shared" si="306"/>
        <v>0</v>
      </c>
      <c r="O757" s="1292">
        <f t="shared" si="303"/>
        <v>0</v>
      </c>
      <c r="P757" s="1292">
        <f t="shared" si="304"/>
        <v>0</v>
      </c>
    </row>
    <row r="758" spans="1:16" ht="18.75" hidden="1">
      <c r="A758" s="1260"/>
      <c r="B758" s="1265"/>
      <c r="C758" s="1261"/>
      <c r="D758" s="1262"/>
      <c r="E758" s="1261" t="s">
        <v>184</v>
      </c>
      <c r="F758" s="1261"/>
      <c r="G758" s="1263"/>
      <c r="H758" s="165" t="s">
        <v>12</v>
      </c>
      <c r="I758" s="836"/>
      <c r="J758" s="836"/>
      <c r="K758" s="837"/>
      <c r="L758" s="837">
        <v>0</v>
      </c>
      <c r="M758" s="837">
        <v>0</v>
      </c>
      <c r="N758" s="837">
        <v>0</v>
      </c>
      <c r="O758" s="837">
        <f t="shared" si="303"/>
        <v>0</v>
      </c>
      <c r="P758" s="837">
        <f t="shared" si="304"/>
        <v>0</v>
      </c>
    </row>
    <row r="759" spans="1:16" ht="18.75" hidden="1">
      <c r="A759" s="1260"/>
      <c r="B759" s="1265"/>
      <c r="C759" s="1261"/>
      <c r="D759" s="1262"/>
      <c r="E759" s="1261" t="s">
        <v>185</v>
      </c>
      <c r="F759" s="1261"/>
      <c r="G759" s="1263"/>
      <c r="H759" s="165" t="s">
        <v>12</v>
      </c>
      <c r="I759" s="836"/>
      <c r="J759" s="836"/>
      <c r="K759" s="837"/>
      <c r="L759" s="837">
        <v>0</v>
      </c>
      <c r="M759" s="837">
        <v>0</v>
      </c>
      <c r="N759" s="837">
        <f>N760+N761+N762+N763</f>
        <v>0</v>
      </c>
      <c r="O759" s="837">
        <f t="shared" si="303"/>
        <v>0</v>
      </c>
      <c r="P759" s="837">
        <f t="shared" si="304"/>
        <v>0</v>
      </c>
    </row>
    <row r="760" spans="1:16" ht="18.75" hidden="1">
      <c r="A760" s="1294"/>
      <c r="B760" s="1265"/>
      <c r="C760" s="1261"/>
      <c r="D760" s="1261"/>
      <c r="E760" s="1261"/>
      <c r="F760" s="1261" t="s">
        <v>186</v>
      </c>
      <c r="G760" s="1263"/>
      <c r="H760" s="165" t="s">
        <v>12</v>
      </c>
      <c r="I760" s="836"/>
      <c r="J760" s="836"/>
      <c r="K760" s="837"/>
      <c r="L760" s="837"/>
      <c r="M760" s="837"/>
      <c r="N760" s="837"/>
      <c r="O760" s="837"/>
      <c r="P760" s="837"/>
    </row>
    <row r="761" spans="1:16" ht="18.75" hidden="1">
      <c r="A761" s="1294"/>
      <c r="B761" s="1265"/>
      <c r="C761" s="1261"/>
      <c r="D761" s="1261"/>
      <c r="E761" s="1261"/>
      <c r="F761" s="1261" t="s">
        <v>187</v>
      </c>
      <c r="G761" s="1263"/>
      <c r="H761" s="165" t="s">
        <v>12</v>
      </c>
      <c r="I761" s="836"/>
      <c r="J761" s="836"/>
      <c r="K761" s="837"/>
      <c r="L761" s="837"/>
      <c r="M761" s="837"/>
      <c r="N761" s="837"/>
      <c r="O761" s="837"/>
      <c r="P761" s="837"/>
    </row>
    <row r="762" spans="1:16" ht="18.75" hidden="1">
      <c r="A762" s="1294"/>
      <c r="B762" s="1265"/>
      <c r="C762" s="1261"/>
      <c r="D762" s="1261"/>
      <c r="E762" s="1261"/>
      <c r="F762" s="1261" t="s">
        <v>188</v>
      </c>
      <c r="G762" s="1263"/>
      <c r="H762" s="165" t="s">
        <v>12</v>
      </c>
      <c r="I762" s="836"/>
      <c r="J762" s="836"/>
      <c r="K762" s="837"/>
      <c r="L762" s="837"/>
      <c r="M762" s="837"/>
      <c r="N762" s="837"/>
      <c r="O762" s="837"/>
      <c r="P762" s="837"/>
    </row>
    <row r="763" spans="1:16" ht="18.75" hidden="1">
      <c r="A763" s="1294"/>
      <c r="B763" s="1265"/>
      <c r="C763" s="1261"/>
      <c r="D763" s="1261"/>
      <c r="E763" s="1261"/>
      <c r="F763" s="1261" t="s">
        <v>189</v>
      </c>
      <c r="G763" s="1263"/>
      <c r="H763" s="165" t="s">
        <v>12</v>
      </c>
      <c r="I763" s="836"/>
      <c r="J763" s="836"/>
      <c r="K763" s="837"/>
      <c r="L763" s="837"/>
      <c r="M763" s="837"/>
      <c r="N763" s="837"/>
      <c r="O763" s="837"/>
      <c r="P763" s="837"/>
    </row>
    <row r="764" spans="1:16" ht="19.5" hidden="1">
      <c r="A764" s="1260"/>
      <c r="B764" s="1265"/>
      <c r="C764" s="1261"/>
      <c r="D764" s="1392" t="s">
        <v>21</v>
      </c>
      <c r="E764" s="1261"/>
      <c r="F764" s="1261"/>
      <c r="G764" s="1263"/>
      <c r="H764" s="749" t="s">
        <v>12</v>
      </c>
      <c r="I764" s="947"/>
      <c r="J764" s="947"/>
      <c r="K764" s="948"/>
      <c r="L764" s="1292">
        <f t="shared" ref="L764:N764" si="307">L765+L766</f>
        <v>0</v>
      </c>
      <c r="M764" s="1292">
        <f t="shared" si="307"/>
        <v>0</v>
      </c>
      <c r="N764" s="1292">
        <f t="shared" si="307"/>
        <v>0</v>
      </c>
      <c r="O764" s="1292">
        <f t="shared" ref="O764:O766" si="308">IF(L764&gt;0,N764*100/L764,0)</f>
        <v>0</v>
      </c>
      <c r="P764" s="1292">
        <f t="shared" ref="P764:P766" si="309">IF(M764&gt;0,N764*100/M764,0)</f>
        <v>0</v>
      </c>
    </row>
    <row r="765" spans="1:16" ht="18.75" hidden="1">
      <c r="A765" s="1260"/>
      <c r="B765" s="1265"/>
      <c r="C765" s="1261"/>
      <c r="D765" s="1261"/>
      <c r="E765" s="1261" t="s">
        <v>18</v>
      </c>
      <c r="F765" s="1261"/>
      <c r="G765" s="1263"/>
      <c r="H765" s="165" t="s">
        <v>12</v>
      </c>
      <c r="I765" s="947"/>
      <c r="J765" s="947"/>
      <c r="K765" s="948"/>
      <c r="L765" s="837">
        <v>0</v>
      </c>
      <c r="M765" s="837">
        <v>0</v>
      </c>
      <c r="N765" s="837">
        <v>0</v>
      </c>
      <c r="O765" s="837">
        <f t="shared" si="308"/>
        <v>0</v>
      </c>
      <c r="P765" s="837">
        <f t="shared" si="309"/>
        <v>0</v>
      </c>
    </row>
    <row r="766" spans="1:16" ht="18.75" hidden="1">
      <c r="A766" s="1260"/>
      <c r="B766" s="1265"/>
      <c r="C766" s="1261"/>
      <c r="D766" s="1261"/>
      <c r="E766" s="1261" t="s">
        <v>19</v>
      </c>
      <c r="F766" s="1261"/>
      <c r="G766" s="1263"/>
      <c r="H766" s="169" t="s">
        <v>12</v>
      </c>
      <c r="I766" s="947"/>
      <c r="J766" s="947"/>
      <c r="K766" s="948"/>
      <c r="L766" s="837">
        <v>0</v>
      </c>
      <c r="M766" s="837">
        <v>0</v>
      </c>
      <c r="N766" s="837">
        <v>0</v>
      </c>
      <c r="O766" s="837">
        <f t="shared" si="308"/>
        <v>0</v>
      </c>
      <c r="P766" s="837">
        <f t="shared" si="309"/>
        <v>0</v>
      </c>
    </row>
    <row r="767" spans="1:16" ht="19.5" hidden="1">
      <c r="A767" s="1273"/>
      <c r="B767" s="1274"/>
      <c r="C767" s="1261" t="s">
        <v>16</v>
      </c>
      <c r="D767" s="1393" t="s">
        <v>38</v>
      </c>
      <c r="E767" s="1296"/>
      <c r="F767" s="1296"/>
      <c r="G767" s="1297"/>
      <c r="H767" s="1060"/>
      <c r="I767" s="947"/>
      <c r="J767" s="947"/>
      <c r="K767" s="948"/>
      <c r="L767" s="948"/>
      <c r="M767" s="948"/>
      <c r="N767" s="948"/>
      <c r="O767" s="948"/>
      <c r="P767" s="948"/>
    </row>
    <row r="768" spans="1:16" ht="18.75" hidden="1">
      <c r="A768" s="1294"/>
      <c r="B768" s="1265"/>
      <c r="C768" s="1261"/>
      <c r="D768" s="1261"/>
      <c r="E768" s="1261" t="s">
        <v>316</v>
      </c>
      <c r="F768" s="1261"/>
      <c r="G768" s="1263"/>
      <c r="H768" s="165" t="s">
        <v>46</v>
      </c>
      <c r="I768" s="836"/>
      <c r="J768" s="836"/>
      <c r="K768" s="837"/>
      <c r="L768" s="837"/>
      <c r="M768" s="837"/>
      <c r="N768" s="837"/>
      <c r="O768" s="837"/>
      <c r="P768" s="837"/>
    </row>
    <row r="769" spans="1:16" ht="19.5" hidden="1">
      <c r="A769" s="759">
        <v>11</v>
      </c>
      <c r="B769" s="1400" t="s">
        <v>317</v>
      </c>
      <c r="C769" s="1401"/>
      <c r="D769" s="1401"/>
      <c r="E769" s="1401"/>
      <c r="F769" s="1401"/>
      <c r="G769" s="1402"/>
      <c r="H769" s="763" t="s">
        <v>46</v>
      </c>
      <c r="I769" s="1403"/>
      <c r="J769" s="1403">
        <f>J784</f>
        <v>0</v>
      </c>
      <c r="K769" s="1404">
        <f>IF(I769&gt;0,J769*100/I769,0)</f>
        <v>0</v>
      </c>
      <c r="L769" s="1405"/>
      <c r="M769" s="1405"/>
      <c r="N769" s="1405"/>
      <c r="O769" s="1405"/>
      <c r="P769" s="1405"/>
    </row>
    <row r="770" spans="1:16" ht="19.5" hidden="1">
      <c r="A770" s="1260"/>
      <c r="B770" s="1261"/>
      <c r="C770" s="1261" t="s">
        <v>16</v>
      </c>
      <c r="D770" s="1508" t="s">
        <v>17</v>
      </c>
      <c r="E770" s="1485"/>
      <c r="F770" s="1485"/>
      <c r="G770" s="1263"/>
      <c r="H770" s="612" t="s">
        <v>12</v>
      </c>
      <c r="I770" s="836"/>
      <c r="J770" s="836"/>
      <c r="K770" s="837"/>
      <c r="L770" s="1292">
        <f t="shared" ref="L770:N770" si="310">L771+L772</f>
        <v>0</v>
      </c>
      <c r="M770" s="1292">
        <f t="shared" si="310"/>
        <v>0</v>
      </c>
      <c r="N770" s="1292">
        <f t="shared" si="310"/>
        <v>0</v>
      </c>
      <c r="O770" s="1292">
        <f t="shared" ref="O770:O775" si="311">IF(L770&gt;0,N770*100/L770,0)</f>
        <v>0</v>
      </c>
      <c r="P770" s="1292">
        <f t="shared" ref="P770:P775" si="312">IF(M770&gt;0,N770*100/M770,0)</f>
        <v>0</v>
      </c>
    </row>
    <row r="771" spans="1:16" ht="18.75" hidden="1">
      <c r="A771" s="1260"/>
      <c r="B771" s="1261"/>
      <c r="C771" s="1261"/>
      <c r="D771" s="1262"/>
      <c r="E771" s="1261" t="s">
        <v>184</v>
      </c>
      <c r="F771" s="1261"/>
      <c r="G771" s="1263"/>
      <c r="H771" s="165" t="s">
        <v>12</v>
      </c>
      <c r="I771" s="836"/>
      <c r="J771" s="836"/>
      <c r="K771" s="837"/>
      <c r="L771" s="837">
        <f t="shared" ref="L771:N772" si="313">L774+L781</f>
        <v>0</v>
      </c>
      <c r="M771" s="837">
        <f t="shared" si="313"/>
        <v>0</v>
      </c>
      <c r="N771" s="837">
        <f t="shared" si="313"/>
        <v>0</v>
      </c>
      <c r="O771" s="837">
        <f t="shared" si="311"/>
        <v>0</v>
      </c>
      <c r="P771" s="837">
        <f t="shared" si="312"/>
        <v>0</v>
      </c>
    </row>
    <row r="772" spans="1:16" ht="18.75" hidden="1">
      <c r="A772" s="1260"/>
      <c r="B772" s="1265"/>
      <c r="C772" s="1261"/>
      <c r="D772" s="1262"/>
      <c r="E772" s="1261" t="s">
        <v>185</v>
      </c>
      <c r="F772" s="1261"/>
      <c r="G772" s="1263"/>
      <c r="H772" s="165" t="s">
        <v>12</v>
      </c>
      <c r="I772" s="836"/>
      <c r="J772" s="836"/>
      <c r="K772" s="837"/>
      <c r="L772" s="837">
        <f t="shared" si="313"/>
        <v>0</v>
      </c>
      <c r="M772" s="837">
        <f t="shared" si="313"/>
        <v>0</v>
      </c>
      <c r="N772" s="837">
        <f t="shared" si="313"/>
        <v>0</v>
      </c>
      <c r="O772" s="837">
        <f t="shared" si="311"/>
        <v>0</v>
      </c>
      <c r="P772" s="837">
        <f t="shared" si="312"/>
        <v>0</v>
      </c>
    </row>
    <row r="773" spans="1:16" ht="19.5" hidden="1">
      <c r="A773" s="1260"/>
      <c r="B773" s="1265"/>
      <c r="C773" s="1261"/>
      <c r="D773" s="1392" t="s">
        <v>20</v>
      </c>
      <c r="E773" s="1261"/>
      <c r="F773" s="1261"/>
      <c r="G773" s="1263"/>
      <c r="H773" s="612" t="s">
        <v>12</v>
      </c>
      <c r="I773" s="947"/>
      <c r="J773" s="947"/>
      <c r="K773" s="948"/>
      <c r="L773" s="1292">
        <f t="shared" ref="L773:N773" si="314">L774+L775</f>
        <v>0</v>
      </c>
      <c r="M773" s="1292">
        <f t="shared" si="314"/>
        <v>0</v>
      </c>
      <c r="N773" s="1292">
        <f t="shared" si="314"/>
        <v>0</v>
      </c>
      <c r="O773" s="1292">
        <f t="shared" si="311"/>
        <v>0</v>
      </c>
      <c r="P773" s="1292">
        <f t="shared" si="312"/>
        <v>0</v>
      </c>
    </row>
    <row r="774" spans="1:16" ht="18.75" hidden="1">
      <c r="A774" s="1260"/>
      <c r="B774" s="1265"/>
      <c r="C774" s="1261"/>
      <c r="D774" s="1262"/>
      <c r="E774" s="1261" t="s">
        <v>184</v>
      </c>
      <c r="F774" s="1261"/>
      <c r="G774" s="1263"/>
      <c r="H774" s="165" t="s">
        <v>12</v>
      </c>
      <c r="I774" s="836"/>
      <c r="J774" s="836"/>
      <c r="K774" s="837"/>
      <c r="L774" s="837">
        <v>0</v>
      </c>
      <c r="M774" s="837">
        <v>0</v>
      </c>
      <c r="N774" s="837">
        <v>0</v>
      </c>
      <c r="O774" s="837">
        <f t="shared" si="311"/>
        <v>0</v>
      </c>
      <c r="P774" s="837">
        <f t="shared" si="312"/>
        <v>0</v>
      </c>
    </row>
    <row r="775" spans="1:16" ht="18.75" hidden="1">
      <c r="A775" s="1260"/>
      <c r="B775" s="1265"/>
      <c r="C775" s="1261"/>
      <c r="D775" s="1262"/>
      <c r="E775" s="1261" t="s">
        <v>185</v>
      </c>
      <c r="F775" s="1261"/>
      <c r="G775" s="1263"/>
      <c r="H775" s="165" t="s">
        <v>12</v>
      </c>
      <c r="I775" s="836"/>
      <c r="J775" s="836"/>
      <c r="K775" s="837"/>
      <c r="L775" s="837">
        <v>0</v>
      </c>
      <c r="M775" s="837">
        <v>0</v>
      </c>
      <c r="N775" s="837">
        <f>N776+N777+N778+N779</f>
        <v>0</v>
      </c>
      <c r="O775" s="837">
        <f t="shared" si="311"/>
        <v>0</v>
      </c>
      <c r="P775" s="837">
        <f t="shared" si="312"/>
        <v>0</v>
      </c>
    </row>
    <row r="776" spans="1:16" ht="18.75" hidden="1">
      <c r="A776" s="1294"/>
      <c r="B776" s="1265"/>
      <c r="C776" s="1261"/>
      <c r="D776" s="1261"/>
      <c r="E776" s="1261"/>
      <c r="F776" s="1261" t="s">
        <v>186</v>
      </c>
      <c r="G776" s="1263"/>
      <c r="H776" s="165" t="s">
        <v>12</v>
      </c>
      <c r="I776" s="836"/>
      <c r="J776" s="836"/>
      <c r="K776" s="837"/>
      <c r="L776" s="837"/>
      <c r="M776" s="837"/>
      <c r="N776" s="837"/>
      <c r="O776" s="837"/>
      <c r="P776" s="837"/>
    </row>
    <row r="777" spans="1:16" ht="18.75" hidden="1">
      <c r="A777" s="1294"/>
      <c r="B777" s="1265"/>
      <c r="C777" s="1261"/>
      <c r="D777" s="1261"/>
      <c r="E777" s="1261"/>
      <c r="F777" s="1261" t="s">
        <v>187</v>
      </c>
      <c r="G777" s="1263"/>
      <c r="H777" s="165" t="s">
        <v>12</v>
      </c>
      <c r="I777" s="836"/>
      <c r="J777" s="836"/>
      <c r="K777" s="837"/>
      <c r="L777" s="837"/>
      <c r="M777" s="837"/>
      <c r="N777" s="837"/>
      <c r="O777" s="837"/>
      <c r="P777" s="837"/>
    </row>
    <row r="778" spans="1:16" ht="18.75" hidden="1">
      <c r="A778" s="1294"/>
      <c r="B778" s="1265"/>
      <c r="C778" s="1261"/>
      <c r="D778" s="1261"/>
      <c r="E778" s="1261"/>
      <c r="F778" s="1261" t="s">
        <v>188</v>
      </c>
      <c r="G778" s="1263"/>
      <c r="H778" s="165" t="s">
        <v>12</v>
      </c>
      <c r="I778" s="836"/>
      <c r="J778" s="836"/>
      <c r="K778" s="837"/>
      <c r="L778" s="837"/>
      <c r="M778" s="837"/>
      <c r="N778" s="837"/>
      <c r="O778" s="837"/>
      <c r="P778" s="837"/>
    </row>
    <row r="779" spans="1:16" ht="18.75" hidden="1">
      <c r="A779" s="1294"/>
      <c r="B779" s="1265"/>
      <c r="C779" s="1261"/>
      <c r="D779" s="1261"/>
      <c r="E779" s="1261"/>
      <c r="F779" s="1261" t="s">
        <v>189</v>
      </c>
      <c r="G779" s="1263"/>
      <c r="H779" s="165" t="s">
        <v>12</v>
      </c>
      <c r="I779" s="836"/>
      <c r="J779" s="836"/>
      <c r="K779" s="837"/>
      <c r="L779" s="837"/>
      <c r="M779" s="837"/>
      <c r="N779" s="837"/>
      <c r="O779" s="837"/>
      <c r="P779" s="837"/>
    </row>
    <row r="780" spans="1:16" ht="19.5" hidden="1">
      <c r="A780" s="1260"/>
      <c r="B780" s="1265"/>
      <c r="C780" s="1261"/>
      <c r="D780" s="1392" t="s">
        <v>21</v>
      </c>
      <c r="E780" s="1261"/>
      <c r="F780" s="1261"/>
      <c r="G780" s="1263"/>
      <c r="H780" s="749" t="s">
        <v>12</v>
      </c>
      <c r="I780" s="947"/>
      <c r="J780" s="947"/>
      <c r="K780" s="948"/>
      <c r="L780" s="1292">
        <f t="shared" ref="L780:N780" si="315">L781+L782</f>
        <v>0</v>
      </c>
      <c r="M780" s="1292">
        <f t="shared" si="315"/>
        <v>0</v>
      </c>
      <c r="N780" s="1292">
        <f t="shared" si="315"/>
        <v>0</v>
      </c>
      <c r="O780" s="1292">
        <f t="shared" ref="O780:O782" si="316">IF(L780&gt;0,N780*100/L780,0)</f>
        <v>0</v>
      </c>
      <c r="P780" s="1292">
        <f t="shared" ref="P780:P782" si="317">IF(M780&gt;0,N780*100/M780,0)</f>
        <v>0</v>
      </c>
    </row>
    <row r="781" spans="1:16" ht="18.75" hidden="1">
      <c r="A781" s="1260"/>
      <c r="B781" s="1265"/>
      <c r="C781" s="1261"/>
      <c r="D781" s="1261"/>
      <c r="E781" s="1261" t="s">
        <v>18</v>
      </c>
      <c r="F781" s="1261"/>
      <c r="G781" s="1263"/>
      <c r="H781" s="165" t="s">
        <v>12</v>
      </c>
      <c r="I781" s="947"/>
      <c r="J781" s="947"/>
      <c r="K781" s="948"/>
      <c r="L781" s="837">
        <v>0</v>
      </c>
      <c r="M781" s="837">
        <v>0</v>
      </c>
      <c r="N781" s="837">
        <v>0</v>
      </c>
      <c r="O781" s="837">
        <f t="shared" si="316"/>
        <v>0</v>
      </c>
      <c r="P781" s="837">
        <f t="shared" si="317"/>
        <v>0</v>
      </c>
    </row>
    <row r="782" spans="1:16" ht="18.75" hidden="1">
      <c r="A782" s="1260"/>
      <c r="B782" s="1265"/>
      <c r="C782" s="1261"/>
      <c r="D782" s="1261"/>
      <c r="E782" s="1261" t="s">
        <v>19</v>
      </c>
      <c r="F782" s="1261"/>
      <c r="G782" s="1263"/>
      <c r="H782" s="169" t="s">
        <v>12</v>
      </c>
      <c r="I782" s="947"/>
      <c r="J782" s="947"/>
      <c r="K782" s="948"/>
      <c r="L782" s="837">
        <v>0</v>
      </c>
      <c r="M782" s="837">
        <v>0</v>
      </c>
      <c r="N782" s="837">
        <v>0</v>
      </c>
      <c r="O782" s="837">
        <f t="shared" si="316"/>
        <v>0</v>
      </c>
      <c r="P782" s="837">
        <f t="shared" si="317"/>
        <v>0</v>
      </c>
    </row>
    <row r="783" spans="1:16" ht="19.5" hidden="1">
      <c r="A783" s="1273"/>
      <c r="B783" s="1274"/>
      <c r="C783" s="1261" t="s">
        <v>16</v>
      </c>
      <c r="D783" s="1393" t="s">
        <v>38</v>
      </c>
      <c r="E783" s="1296"/>
      <c r="F783" s="1296"/>
      <c r="G783" s="1297"/>
      <c r="H783" s="1406"/>
      <c r="I783" s="947"/>
      <c r="J783" s="947"/>
      <c r="K783" s="948"/>
      <c r="L783" s="948"/>
      <c r="M783" s="948"/>
      <c r="N783" s="948"/>
      <c r="O783" s="948"/>
      <c r="P783" s="948"/>
    </row>
    <row r="784" spans="1:16" ht="18.75" hidden="1">
      <c r="A784" s="1294"/>
      <c r="B784" s="1265"/>
      <c r="C784" s="1261"/>
      <c r="D784" s="1261"/>
      <c r="E784" s="1261" t="s">
        <v>318</v>
      </c>
      <c r="F784" s="1261"/>
      <c r="G784" s="1263"/>
      <c r="H784" s="165" t="s">
        <v>46</v>
      </c>
      <c r="I784" s="836"/>
      <c r="J784" s="836"/>
      <c r="K784" s="837"/>
      <c r="L784" s="837"/>
      <c r="M784" s="837"/>
      <c r="N784" s="837"/>
      <c r="O784" s="837"/>
      <c r="P784" s="837"/>
    </row>
    <row r="785" spans="1:16" ht="19.5">
      <c r="A785" s="768">
        <v>12</v>
      </c>
      <c r="B785" s="1407" t="s">
        <v>319</v>
      </c>
      <c r="C785" s="1408"/>
      <c r="D785" s="1408"/>
      <c r="E785" s="1408"/>
      <c r="F785" s="1408"/>
      <c r="G785" s="1409"/>
      <c r="H785" s="1444" t="s">
        <v>46</v>
      </c>
      <c r="I785" s="1445">
        <f t="shared" ref="I785:J785" ca="1" si="318">I801+I803</f>
        <v>2000</v>
      </c>
      <c r="J785" s="1445">
        <f t="shared" ca="1" si="318"/>
        <v>0</v>
      </c>
      <c r="K785" s="1446">
        <f ca="1">IF(I785&gt;0,J785*100/I785,0)</f>
        <v>0</v>
      </c>
      <c r="L785" s="1412"/>
      <c r="M785" s="1412"/>
      <c r="N785" s="1412"/>
      <c r="O785" s="1412"/>
      <c r="P785" s="1412"/>
    </row>
    <row r="786" spans="1:16" ht="19.5">
      <c r="A786" s="1259"/>
      <c r="B786" s="1242"/>
      <c r="C786" s="1243" t="s">
        <v>16</v>
      </c>
      <c r="D786" s="1507" t="s">
        <v>17</v>
      </c>
      <c r="E786" s="1485"/>
      <c r="F786" s="1485"/>
      <c r="G786" s="963"/>
      <c r="H786" s="1447" t="s">
        <v>12</v>
      </c>
      <c r="I786" s="1448"/>
      <c r="J786" s="1448"/>
      <c r="K786" s="1449"/>
      <c r="L786" s="967">
        <f t="shared" ref="L786:N786" ca="1" si="319">L787+L788</f>
        <v>137280</v>
      </c>
      <c r="M786" s="967">
        <f t="shared" si="319"/>
        <v>0</v>
      </c>
      <c r="N786" s="967">
        <f t="shared" si="319"/>
        <v>25119.3</v>
      </c>
      <c r="O786" s="967">
        <f t="shared" ref="O786:O791" ca="1" si="320">IF(L786&gt;0,N786*100/L786,0)</f>
        <v>18.29785839160839</v>
      </c>
      <c r="P786" s="967">
        <f t="shared" ref="P786:P791" si="321">IF(M786&gt;0,N786*100/M786,0)</f>
        <v>0</v>
      </c>
    </row>
    <row r="787" spans="1:16" ht="18.75" hidden="1">
      <c r="A787" s="1260"/>
      <c r="B787" s="1265"/>
      <c r="C787" s="1261"/>
      <c r="D787" s="1262"/>
      <c r="E787" s="1261" t="s">
        <v>184</v>
      </c>
      <c r="F787" s="1261"/>
      <c r="G787" s="1263"/>
      <c r="H787" s="1450" t="s">
        <v>12</v>
      </c>
      <c r="I787" s="1448"/>
      <c r="J787" s="1448"/>
      <c r="K787" s="1449"/>
      <c r="L787" s="837">
        <f t="shared" ref="L787:N788" si="322">L790+L797</f>
        <v>0</v>
      </c>
      <c r="M787" s="837">
        <f t="shared" si="322"/>
        <v>0</v>
      </c>
      <c r="N787" s="837">
        <f t="shared" si="322"/>
        <v>0</v>
      </c>
      <c r="O787" s="837">
        <f t="shared" si="320"/>
        <v>0</v>
      </c>
      <c r="P787" s="837">
        <f t="shared" si="321"/>
        <v>0</v>
      </c>
    </row>
    <row r="788" spans="1:16" ht="18.75" hidden="1">
      <c r="A788" s="1260"/>
      <c r="B788" s="1265"/>
      <c r="C788" s="1265"/>
      <c r="D788" s="1274"/>
      <c r="E788" s="1261" t="s">
        <v>185</v>
      </c>
      <c r="F788" s="1261"/>
      <c r="G788" s="1263"/>
      <c r="H788" s="1450" t="s">
        <v>12</v>
      </c>
      <c r="I788" s="1448"/>
      <c r="J788" s="1448"/>
      <c r="K788" s="1449"/>
      <c r="L788" s="837">
        <f t="shared" ca="1" si="322"/>
        <v>137280</v>
      </c>
      <c r="M788" s="837">
        <f t="shared" si="322"/>
        <v>0</v>
      </c>
      <c r="N788" s="837">
        <f t="shared" si="322"/>
        <v>25119.3</v>
      </c>
      <c r="O788" s="837">
        <f t="shared" ca="1" si="320"/>
        <v>18.29785839160839</v>
      </c>
      <c r="P788" s="837">
        <f t="shared" si="321"/>
        <v>0</v>
      </c>
    </row>
    <row r="789" spans="1:16" ht="18.75">
      <c r="A789" s="1259"/>
      <c r="B789" s="1242"/>
      <c r="C789" s="1242"/>
      <c r="D789" s="1266" t="s">
        <v>20</v>
      </c>
      <c r="E789" s="1243"/>
      <c r="F789" s="1243"/>
      <c r="G789" s="963"/>
      <c r="H789" s="1451" t="s">
        <v>12</v>
      </c>
      <c r="I789" s="1452"/>
      <c r="J789" s="1452"/>
      <c r="K789" s="1453"/>
      <c r="L789" s="831">
        <f t="shared" ref="L789:N789" ca="1" si="323">L790+L791</f>
        <v>137280</v>
      </c>
      <c r="M789" s="831">
        <f t="shared" si="323"/>
        <v>0</v>
      </c>
      <c r="N789" s="831">
        <f t="shared" si="323"/>
        <v>25119.3</v>
      </c>
      <c r="O789" s="831">
        <f t="shared" ca="1" si="320"/>
        <v>18.29785839160839</v>
      </c>
      <c r="P789" s="831">
        <f t="shared" si="321"/>
        <v>0</v>
      </c>
    </row>
    <row r="790" spans="1:16" ht="18.75" hidden="1">
      <c r="A790" s="1260"/>
      <c r="B790" s="1265"/>
      <c r="C790" s="1265"/>
      <c r="D790" s="1274"/>
      <c r="E790" s="1261" t="s">
        <v>184</v>
      </c>
      <c r="F790" s="1261"/>
      <c r="G790" s="1263"/>
      <c r="H790" s="1450" t="s">
        <v>12</v>
      </c>
      <c r="I790" s="1448"/>
      <c r="J790" s="1448"/>
      <c r="K790" s="1449"/>
      <c r="L790" s="837">
        <v>0</v>
      </c>
      <c r="M790" s="837">
        <v>0</v>
      </c>
      <c r="N790" s="837">
        <v>0</v>
      </c>
      <c r="O790" s="837">
        <f t="shared" si="320"/>
        <v>0</v>
      </c>
      <c r="P790" s="837">
        <f t="shared" si="321"/>
        <v>0</v>
      </c>
    </row>
    <row r="791" spans="1:16" ht="18.75" hidden="1">
      <c r="A791" s="1260"/>
      <c r="B791" s="1265"/>
      <c r="C791" s="1265"/>
      <c r="D791" s="1274"/>
      <c r="E791" s="1261" t="s">
        <v>185</v>
      </c>
      <c r="F791" s="1261"/>
      <c r="G791" s="1263"/>
      <c r="H791" s="1450" t="s">
        <v>12</v>
      </c>
      <c r="I791" s="1448"/>
      <c r="J791" s="1448"/>
      <c r="K791" s="1449"/>
      <c r="L791" s="837">
        <f ca="1">IFERROR(__xludf.DUMMYFUNCTION("IMPORTRANGE(""https://docs.google.com/spreadsheets/d/1QqKyyYR6Q21VydFLVH3TRQUabQu_ym0Zz7PgGX0-kHA/edit?usp=sharing"",""แผน!JJ16"")"),137280)</f>
        <v>137280</v>
      </c>
      <c r="M791" s="837">
        <v>0</v>
      </c>
      <c r="N791" s="837">
        <f>N792+N793+N794+N795</f>
        <v>25119.3</v>
      </c>
      <c r="O791" s="837">
        <f t="shared" ca="1" si="320"/>
        <v>18.29785839160839</v>
      </c>
      <c r="P791" s="837">
        <f t="shared" si="321"/>
        <v>0</v>
      </c>
    </row>
    <row r="792" spans="1:16" ht="18.75">
      <c r="A792" s="1241"/>
      <c r="B792" s="1242"/>
      <c r="C792" s="1243"/>
      <c r="D792" s="1243"/>
      <c r="E792" s="1243"/>
      <c r="F792" s="1243" t="s">
        <v>186</v>
      </c>
      <c r="G792" s="963"/>
      <c r="H792" s="1451" t="s">
        <v>12</v>
      </c>
      <c r="I792" s="1448"/>
      <c r="J792" s="1448"/>
      <c r="K792" s="1449"/>
      <c r="L792" s="831"/>
      <c r="M792" s="831"/>
      <c r="N792" s="1031">
        <v>0</v>
      </c>
      <c r="O792" s="831"/>
      <c r="P792" s="831"/>
    </row>
    <row r="793" spans="1:16" ht="18.75">
      <c r="A793" s="1241"/>
      <c r="B793" s="1242"/>
      <c r="C793" s="1243"/>
      <c r="D793" s="1243"/>
      <c r="E793" s="1243"/>
      <c r="F793" s="1243" t="s">
        <v>187</v>
      </c>
      <c r="G793" s="963"/>
      <c r="H793" s="1451" t="s">
        <v>12</v>
      </c>
      <c r="I793" s="1448"/>
      <c r="J793" s="1448"/>
      <c r="K793" s="1449"/>
      <c r="L793" s="831"/>
      <c r="M793" s="831"/>
      <c r="N793" s="1031">
        <v>0</v>
      </c>
      <c r="O793" s="831"/>
      <c r="P793" s="831"/>
    </row>
    <row r="794" spans="1:16" ht="18.75">
      <c r="A794" s="1241"/>
      <c r="B794" s="1242"/>
      <c r="C794" s="1243"/>
      <c r="D794" s="1243"/>
      <c r="E794" s="1243"/>
      <c r="F794" s="1243" t="s">
        <v>188</v>
      </c>
      <c r="G794" s="963"/>
      <c r="H794" s="1451" t="s">
        <v>12</v>
      </c>
      <c r="I794" s="1448"/>
      <c r="J794" s="1448"/>
      <c r="K794" s="1449"/>
      <c r="L794" s="831"/>
      <c r="M794" s="831"/>
      <c r="N794" s="1031">
        <f>4080+6800</f>
        <v>10880</v>
      </c>
      <c r="O794" s="831"/>
      <c r="P794" s="831"/>
    </row>
    <row r="795" spans="1:16" ht="18.75">
      <c r="A795" s="1241"/>
      <c r="B795" s="1242"/>
      <c r="C795" s="1243"/>
      <c r="D795" s="1243"/>
      <c r="E795" s="1243"/>
      <c r="F795" s="1243" t="s">
        <v>189</v>
      </c>
      <c r="G795" s="963"/>
      <c r="H795" s="1451" t="s">
        <v>12</v>
      </c>
      <c r="I795" s="1448"/>
      <c r="J795" s="1448"/>
      <c r="K795" s="1449"/>
      <c r="L795" s="831"/>
      <c r="M795" s="831"/>
      <c r="N795" s="1031">
        <v>14239.3</v>
      </c>
      <c r="O795" s="831"/>
      <c r="P795" s="831"/>
    </row>
    <row r="796" spans="1:16" ht="18.75">
      <c r="A796" s="1259"/>
      <c r="B796" s="1242"/>
      <c r="C796" s="1243"/>
      <c r="D796" s="1266" t="s">
        <v>21</v>
      </c>
      <c r="E796" s="1243"/>
      <c r="F796" s="1243"/>
      <c r="G796" s="963"/>
      <c r="H796" s="1454" t="s">
        <v>12</v>
      </c>
      <c r="I796" s="1452"/>
      <c r="J796" s="1452"/>
      <c r="K796" s="1453"/>
      <c r="L796" s="831">
        <f t="shared" ref="L796:N796" si="324">L797+L798</f>
        <v>0</v>
      </c>
      <c r="M796" s="831">
        <f t="shared" si="324"/>
        <v>0</v>
      </c>
      <c r="N796" s="831">
        <f t="shared" si="324"/>
        <v>0</v>
      </c>
      <c r="O796" s="831">
        <f t="shared" ref="O796:O798" si="325">IF(L796&gt;0,N796*100/L796,0)</f>
        <v>0</v>
      </c>
      <c r="P796" s="831">
        <f t="shared" ref="P796:P798" si="326">IF(M796&gt;0,N796*100/M796,0)</f>
        <v>0</v>
      </c>
    </row>
    <row r="797" spans="1:16" ht="18.75" hidden="1">
      <c r="A797" s="1260"/>
      <c r="B797" s="1265"/>
      <c r="C797" s="1261"/>
      <c r="D797" s="1261"/>
      <c r="E797" s="1261" t="s">
        <v>18</v>
      </c>
      <c r="F797" s="1261"/>
      <c r="G797" s="1263"/>
      <c r="H797" s="1450" t="s">
        <v>12</v>
      </c>
      <c r="I797" s="1452"/>
      <c r="J797" s="1452"/>
      <c r="K797" s="1453"/>
      <c r="L797" s="837">
        <v>0</v>
      </c>
      <c r="M797" s="837">
        <v>0</v>
      </c>
      <c r="N797" s="837">
        <v>0</v>
      </c>
      <c r="O797" s="837">
        <f t="shared" si="325"/>
        <v>0</v>
      </c>
      <c r="P797" s="837">
        <f t="shared" si="326"/>
        <v>0</v>
      </c>
    </row>
    <row r="798" spans="1:16" ht="18.75" hidden="1">
      <c r="A798" s="1260"/>
      <c r="B798" s="1265"/>
      <c r="C798" s="1261"/>
      <c r="D798" s="1261"/>
      <c r="E798" s="1261" t="s">
        <v>19</v>
      </c>
      <c r="F798" s="1261"/>
      <c r="G798" s="1263"/>
      <c r="H798" s="1455" t="s">
        <v>12</v>
      </c>
      <c r="I798" s="1452"/>
      <c r="J798" s="1452"/>
      <c r="K798" s="1453"/>
      <c r="L798" s="837">
        <v>0</v>
      </c>
      <c r="M798" s="837">
        <v>0</v>
      </c>
      <c r="N798" s="837">
        <v>0</v>
      </c>
      <c r="O798" s="837">
        <f t="shared" si="325"/>
        <v>0</v>
      </c>
      <c r="P798" s="837">
        <f t="shared" si="326"/>
        <v>0</v>
      </c>
    </row>
    <row r="799" spans="1:16" ht="19.5">
      <c r="A799" s="1267"/>
      <c r="B799" s="1268"/>
      <c r="C799" s="1243" t="s">
        <v>16</v>
      </c>
      <c r="D799" s="1378" t="s">
        <v>38</v>
      </c>
      <c r="E799" s="1271"/>
      <c r="F799" s="1271"/>
      <c r="G799" s="1272"/>
      <c r="H799" s="1456"/>
      <c r="I799" s="1452"/>
      <c r="J799" s="1452"/>
      <c r="K799" s="1453"/>
      <c r="L799" s="945"/>
      <c r="M799" s="945"/>
      <c r="N799" s="945"/>
      <c r="O799" s="945"/>
      <c r="P799" s="945"/>
    </row>
    <row r="800" spans="1:16" ht="18.75">
      <c r="A800" s="1267"/>
      <c r="B800" s="1268"/>
      <c r="C800" s="1268"/>
      <c r="D800" s="1268"/>
      <c r="E800" s="961"/>
      <c r="F800" s="961" t="s">
        <v>320</v>
      </c>
      <c r="G800" s="954"/>
      <c r="H800" s="1457" t="s">
        <v>34</v>
      </c>
      <c r="I800" s="1452"/>
      <c r="J800" s="1458">
        <f ca="1">IFERROR(__xludf.DUMMYFUNCTION("IMPORTRANGE(""https://docs.google.com/spreadsheets/d/1MaWodYyGHDf7siQLGxnXhG4mBNTNIuy296niS2xXulU/edit?usp=sharing"",""RTK!H16"")"),0)</f>
        <v>0</v>
      </c>
      <c r="K800" s="1449"/>
      <c r="L800" s="831"/>
      <c r="M800" s="831"/>
      <c r="N800" s="831"/>
      <c r="O800" s="945"/>
      <c r="P800" s="945"/>
    </row>
    <row r="801" spans="1:16" ht="18.75">
      <c r="A801" s="1267"/>
      <c r="B801" s="1268"/>
      <c r="C801" s="1268"/>
      <c r="D801" s="1268"/>
      <c r="E801" s="961"/>
      <c r="F801" s="961"/>
      <c r="G801" s="954"/>
      <c r="H801" s="1451" t="s">
        <v>46</v>
      </c>
      <c r="I801" s="1458">
        <f ca="1">IFERROR(__xludf.DUMMYFUNCTION("IMPORTRANGE(""https://docs.google.com/spreadsheets/d/1MaWodYyGHDf7siQLGxnXhG4mBNTNIuy296niS2xXulU/edit?usp=sharing"",""RTK!G16"")"),2000)</f>
        <v>2000</v>
      </c>
      <c r="J801" s="1459">
        <f ca="1">IFERROR(__xludf.DUMMYFUNCTION("IMPORTRANGE(""https://docs.google.com/spreadsheets/d/1MaWodYyGHDf7siQLGxnXhG4mBNTNIuy296niS2xXulU/edit?usp=sharing"",""RTK!I16"")"),0)</f>
        <v>0</v>
      </c>
      <c r="K801" s="1460">
        <f ca="1">IF(I801&gt;0,J801*100/I801,0)</f>
        <v>0</v>
      </c>
      <c r="L801" s="831"/>
      <c r="M801" s="831"/>
      <c r="N801" s="831"/>
      <c r="O801" s="945"/>
      <c r="P801" s="945"/>
    </row>
    <row r="802" spans="1:16" ht="18.75">
      <c r="A802" s="1414"/>
      <c r="B802" s="1415"/>
      <c r="C802" s="1415"/>
      <c r="D802" s="1415"/>
      <c r="E802" s="1416"/>
      <c r="F802" s="1416" t="s">
        <v>321</v>
      </c>
      <c r="G802" s="1417"/>
      <c r="H802" s="1461" t="s">
        <v>34</v>
      </c>
      <c r="I802" s="1462"/>
      <c r="J802" s="1463">
        <f ca="1">IFERROR(__xludf.DUMMYFUNCTION("IMPORTRANGE(""https://docs.google.com/spreadsheets/d/1MaWodYyGHDf7siQLGxnXhG4mBNTNIuy296niS2xXulU/edit?usp=sharing"",""RTK!L16"")"),0)</f>
        <v>0</v>
      </c>
      <c r="K802" s="1464"/>
      <c r="L802" s="1070"/>
      <c r="M802" s="1070"/>
      <c r="N802" s="1070"/>
      <c r="O802" s="1070"/>
      <c r="P802" s="1070"/>
    </row>
    <row r="803" spans="1:16" ht="18.75">
      <c r="A803" s="1414"/>
      <c r="B803" s="1415"/>
      <c r="C803" s="1415"/>
      <c r="D803" s="1415"/>
      <c r="E803" s="1416"/>
      <c r="F803" s="1416"/>
      <c r="G803" s="1417"/>
      <c r="H803" s="1461" t="s">
        <v>46</v>
      </c>
      <c r="I803" s="1463">
        <f ca="1">IFERROR(__xludf.DUMMYFUNCTION("IMPORTRANGE(""https://docs.google.com/spreadsheets/d/1MaWodYyGHDf7siQLGxnXhG4mBNTNIuy296niS2xXulU/edit?usp=sharing"",""RTK!K16"")"),0)</f>
        <v>0</v>
      </c>
      <c r="J803" s="1465">
        <f ca="1">IFERROR(__xludf.DUMMYFUNCTION("IMPORTRANGE(""https://docs.google.com/spreadsheets/d/1MaWodYyGHDf7siQLGxnXhG4mBNTNIuy296niS2xXulU/edit?usp=sharing"",""RTK!M16"")"),0)</f>
        <v>0</v>
      </c>
      <c r="K803" s="1466">
        <f t="shared" ref="K803:K804" ca="1" si="327">IF(I803&gt;0,J803*100/I803,0)</f>
        <v>0</v>
      </c>
      <c r="L803" s="1070"/>
      <c r="M803" s="1070"/>
      <c r="N803" s="1070"/>
      <c r="O803" s="1070"/>
      <c r="P803" s="1070"/>
    </row>
    <row r="804" spans="1:16" ht="19.5" hidden="1">
      <c r="A804" s="759">
        <v>13</v>
      </c>
      <c r="B804" s="1400" t="s">
        <v>322</v>
      </c>
      <c r="C804" s="1401"/>
      <c r="D804" s="1419"/>
      <c r="E804" s="1401"/>
      <c r="F804" s="1401"/>
      <c r="G804" s="1402"/>
      <c r="H804" s="763" t="s">
        <v>46</v>
      </c>
      <c r="I804" s="1403"/>
      <c r="J804" s="1403">
        <f>J819</f>
        <v>0</v>
      </c>
      <c r="K804" s="1404">
        <f t="shared" si="327"/>
        <v>0</v>
      </c>
      <c r="L804" s="1405"/>
      <c r="M804" s="1405"/>
      <c r="N804" s="1405"/>
      <c r="O804" s="1405"/>
      <c r="P804" s="1405"/>
    </row>
    <row r="805" spans="1:16" ht="19.5" hidden="1">
      <c r="A805" s="1260"/>
      <c r="B805" s="1261"/>
      <c r="C805" s="1261" t="s">
        <v>16</v>
      </c>
      <c r="D805" s="1508" t="s">
        <v>17</v>
      </c>
      <c r="E805" s="1485"/>
      <c r="F805" s="1485"/>
      <c r="G805" s="1263"/>
      <c r="H805" s="612" t="s">
        <v>12</v>
      </c>
      <c r="I805" s="836"/>
      <c r="J805" s="836"/>
      <c r="K805" s="837"/>
      <c r="L805" s="1292">
        <f t="shared" ref="L805:N805" si="328">L806+L807</f>
        <v>0</v>
      </c>
      <c r="M805" s="1292">
        <f t="shared" si="328"/>
        <v>0</v>
      </c>
      <c r="N805" s="1292">
        <f t="shared" si="328"/>
        <v>0</v>
      </c>
      <c r="O805" s="1292">
        <f t="shared" ref="O805:O810" si="329">IF(L805&gt;0,N805*100/L805,0)</f>
        <v>0</v>
      </c>
      <c r="P805" s="1292">
        <f t="shared" ref="P805:P810" si="330">IF(M805&gt;0,N805*100/M805,0)</f>
        <v>0</v>
      </c>
    </row>
    <row r="806" spans="1:16" ht="18.75" hidden="1">
      <c r="A806" s="1260"/>
      <c r="B806" s="1261"/>
      <c r="C806" s="1261"/>
      <c r="D806" s="1274"/>
      <c r="E806" s="1261" t="s">
        <v>184</v>
      </c>
      <c r="F806" s="1261"/>
      <c r="G806" s="1263"/>
      <c r="H806" s="165" t="s">
        <v>12</v>
      </c>
      <c r="I806" s="836"/>
      <c r="J806" s="836"/>
      <c r="K806" s="837"/>
      <c r="L806" s="837">
        <f t="shared" ref="L806:N807" si="331">L809+L816</f>
        <v>0</v>
      </c>
      <c r="M806" s="837">
        <f t="shared" si="331"/>
        <v>0</v>
      </c>
      <c r="N806" s="837">
        <f t="shared" si="331"/>
        <v>0</v>
      </c>
      <c r="O806" s="837">
        <f t="shared" si="329"/>
        <v>0</v>
      </c>
      <c r="P806" s="837">
        <f t="shared" si="330"/>
        <v>0</v>
      </c>
    </row>
    <row r="807" spans="1:16" ht="18.75" hidden="1">
      <c r="A807" s="1260"/>
      <c r="B807" s="1261"/>
      <c r="C807" s="1261"/>
      <c r="D807" s="1274"/>
      <c r="E807" s="1261" t="s">
        <v>185</v>
      </c>
      <c r="F807" s="1261"/>
      <c r="G807" s="1263"/>
      <c r="H807" s="165" t="s">
        <v>12</v>
      </c>
      <c r="I807" s="836"/>
      <c r="J807" s="836"/>
      <c r="K807" s="837"/>
      <c r="L807" s="837">
        <f t="shared" si="331"/>
        <v>0</v>
      </c>
      <c r="M807" s="837">
        <f t="shared" si="331"/>
        <v>0</v>
      </c>
      <c r="N807" s="837">
        <f t="shared" si="331"/>
        <v>0</v>
      </c>
      <c r="O807" s="837">
        <f t="shared" si="329"/>
        <v>0</v>
      </c>
      <c r="P807" s="837">
        <f t="shared" si="330"/>
        <v>0</v>
      </c>
    </row>
    <row r="808" spans="1:16" ht="19.5" hidden="1">
      <c r="A808" s="1260"/>
      <c r="B808" s="1265"/>
      <c r="C808" s="1261"/>
      <c r="D808" s="1509" t="s">
        <v>20</v>
      </c>
      <c r="E808" s="1485"/>
      <c r="F808" s="1485"/>
      <c r="G808" s="1263"/>
      <c r="H808" s="612" t="s">
        <v>12</v>
      </c>
      <c r="I808" s="947"/>
      <c r="J808" s="947"/>
      <c r="K808" s="948"/>
      <c r="L808" s="1292">
        <f t="shared" ref="L808:N808" si="332">L809+L810</f>
        <v>0</v>
      </c>
      <c r="M808" s="1292">
        <f t="shared" si="332"/>
        <v>0</v>
      </c>
      <c r="N808" s="1292">
        <f t="shared" si="332"/>
        <v>0</v>
      </c>
      <c r="O808" s="1292">
        <f t="shared" si="329"/>
        <v>0</v>
      </c>
      <c r="P808" s="1292">
        <f t="shared" si="330"/>
        <v>0</v>
      </c>
    </row>
    <row r="809" spans="1:16" ht="18.75" hidden="1">
      <c r="A809" s="1260"/>
      <c r="B809" s="1261"/>
      <c r="C809" s="1261"/>
      <c r="D809" s="1274"/>
      <c r="E809" s="1261" t="s">
        <v>184</v>
      </c>
      <c r="F809" s="1261"/>
      <c r="G809" s="1263"/>
      <c r="H809" s="165" t="s">
        <v>12</v>
      </c>
      <c r="I809" s="836"/>
      <c r="J809" s="836"/>
      <c r="K809" s="837"/>
      <c r="L809" s="837">
        <v>0</v>
      </c>
      <c r="M809" s="837">
        <v>0</v>
      </c>
      <c r="N809" s="837">
        <v>0</v>
      </c>
      <c r="O809" s="837">
        <f t="shared" si="329"/>
        <v>0</v>
      </c>
      <c r="P809" s="837">
        <f t="shared" si="330"/>
        <v>0</v>
      </c>
    </row>
    <row r="810" spans="1:16" ht="18.75" hidden="1">
      <c r="A810" s="1260"/>
      <c r="B810" s="1261"/>
      <c r="C810" s="1261"/>
      <c r="D810" s="1274"/>
      <c r="E810" s="1261" t="s">
        <v>185</v>
      </c>
      <c r="F810" s="1261"/>
      <c r="G810" s="1263"/>
      <c r="H810" s="165" t="s">
        <v>12</v>
      </c>
      <c r="I810" s="836"/>
      <c r="J810" s="836"/>
      <c r="K810" s="837"/>
      <c r="L810" s="837">
        <v>0</v>
      </c>
      <c r="M810" s="837">
        <v>0</v>
      </c>
      <c r="N810" s="837">
        <f>N811+N812+N813+N814</f>
        <v>0</v>
      </c>
      <c r="O810" s="837">
        <f t="shared" si="329"/>
        <v>0</v>
      </c>
      <c r="P810" s="837">
        <f t="shared" si="330"/>
        <v>0</v>
      </c>
    </row>
    <row r="811" spans="1:16" ht="18.75" hidden="1">
      <c r="A811" s="1294"/>
      <c r="B811" s="1265"/>
      <c r="C811" s="1261"/>
      <c r="D811" s="1265"/>
      <c r="E811" s="1261"/>
      <c r="F811" s="1261" t="s">
        <v>186</v>
      </c>
      <c r="G811" s="1263"/>
      <c r="H811" s="165" t="s">
        <v>12</v>
      </c>
      <c r="I811" s="836"/>
      <c r="J811" s="836"/>
      <c r="K811" s="837"/>
      <c r="L811" s="837"/>
      <c r="M811" s="837"/>
      <c r="N811" s="837"/>
      <c r="O811" s="837"/>
      <c r="P811" s="837"/>
    </row>
    <row r="812" spans="1:16" ht="18.75" hidden="1">
      <c r="A812" s="1294"/>
      <c r="B812" s="1265"/>
      <c r="C812" s="1261"/>
      <c r="D812" s="1265"/>
      <c r="E812" s="1261"/>
      <c r="F812" s="1261" t="s">
        <v>187</v>
      </c>
      <c r="G812" s="1263"/>
      <c r="H812" s="165" t="s">
        <v>12</v>
      </c>
      <c r="I812" s="836"/>
      <c r="J812" s="836"/>
      <c r="K812" s="837"/>
      <c r="L812" s="837"/>
      <c r="M812" s="837"/>
      <c r="N812" s="837"/>
      <c r="O812" s="837"/>
      <c r="P812" s="837"/>
    </row>
    <row r="813" spans="1:16" ht="18.75" hidden="1">
      <c r="A813" s="1294"/>
      <c r="B813" s="1265"/>
      <c r="C813" s="1261"/>
      <c r="D813" s="1265"/>
      <c r="E813" s="1261"/>
      <c r="F813" s="1261" t="s">
        <v>188</v>
      </c>
      <c r="G813" s="1263"/>
      <c r="H813" s="165" t="s">
        <v>12</v>
      </c>
      <c r="I813" s="836"/>
      <c r="J813" s="836"/>
      <c r="K813" s="837"/>
      <c r="L813" s="837"/>
      <c r="M813" s="837"/>
      <c r="N813" s="837"/>
      <c r="O813" s="837"/>
      <c r="P813" s="837"/>
    </row>
    <row r="814" spans="1:16" ht="18.75" hidden="1">
      <c r="A814" s="1294"/>
      <c r="B814" s="1265"/>
      <c r="C814" s="1261"/>
      <c r="D814" s="1265"/>
      <c r="E814" s="1261"/>
      <c r="F814" s="1261" t="s">
        <v>189</v>
      </c>
      <c r="G814" s="1263"/>
      <c r="H814" s="165" t="s">
        <v>12</v>
      </c>
      <c r="I814" s="836"/>
      <c r="J814" s="836"/>
      <c r="K814" s="837"/>
      <c r="L814" s="837"/>
      <c r="M814" s="837"/>
      <c r="N814" s="837"/>
      <c r="O814" s="837"/>
      <c r="P814" s="837"/>
    </row>
    <row r="815" spans="1:16" ht="19.5" hidden="1">
      <c r="A815" s="1260"/>
      <c r="B815" s="1265"/>
      <c r="C815" s="1261"/>
      <c r="D815" s="1509" t="s">
        <v>21</v>
      </c>
      <c r="E815" s="1485"/>
      <c r="F815" s="1485"/>
      <c r="G815" s="1263"/>
      <c r="H815" s="749" t="s">
        <v>12</v>
      </c>
      <c r="I815" s="947"/>
      <c r="J815" s="947"/>
      <c r="K815" s="948"/>
      <c r="L815" s="1292">
        <f t="shared" ref="L815:N815" si="333">L816+L817</f>
        <v>0</v>
      </c>
      <c r="M815" s="1292">
        <f t="shared" si="333"/>
        <v>0</v>
      </c>
      <c r="N815" s="1292">
        <f t="shared" si="333"/>
        <v>0</v>
      </c>
      <c r="O815" s="1292">
        <f t="shared" ref="O815:O817" si="334">IF(L815&gt;0,N815*100/L815,0)</f>
        <v>0</v>
      </c>
      <c r="P815" s="1292">
        <f t="shared" ref="P815:P817" si="335">IF(M815&gt;0,N815*100/M815,0)</f>
        <v>0</v>
      </c>
    </row>
    <row r="816" spans="1:16" ht="18.75" hidden="1">
      <c r="A816" s="1260"/>
      <c r="B816" s="1265"/>
      <c r="C816" s="1261"/>
      <c r="D816" s="1265"/>
      <c r="E816" s="1261" t="s">
        <v>18</v>
      </c>
      <c r="F816" s="1261"/>
      <c r="G816" s="1263"/>
      <c r="H816" s="165" t="s">
        <v>12</v>
      </c>
      <c r="I816" s="947"/>
      <c r="J816" s="947"/>
      <c r="K816" s="948"/>
      <c r="L816" s="837">
        <v>0</v>
      </c>
      <c r="M816" s="837">
        <v>0</v>
      </c>
      <c r="N816" s="837">
        <v>0</v>
      </c>
      <c r="O816" s="837">
        <f t="shared" si="334"/>
        <v>0</v>
      </c>
      <c r="P816" s="837">
        <f t="shared" si="335"/>
        <v>0</v>
      </c>
    </row>
    <row r="817" spans="1:16" ht="18.75" hidden="1">
      <c r="A817" s="1260"/>
      <c r="B817" s="1265"/>
      <c r="C817" s="1261"/>
      <c r="D817" s="1265"/>
      <c r="E817" s="1261" t="s">
        <v>19</v>
      </c>
      <c r="F817" s="1261"/>
      <c r="G817" s="1263"/>
      <c r="H817" s="169" t="s">
        <v>12</v>
      </c>
      <c r="I817" s="947"/>
      <c r="J817" s="947"/>
      <c r="K817" s="948"/>
      <c r="L817" s="837">
        <v>0</v>
      </c>
      <c r="M817" s="837">
        <v>0</v>
      </c>
      <c r="N817" s="837">
        <v>0</v>
      </c>
      <c r="O817" s="837">
        <f t="shared" si="334"/>
        <v>0</v>
      </c>
      <c r="P817" s="837">
        <f t="shared" si="335"/>
        <v>0</v>
      </c>
    </row>
    <row r="818" spans="1:16" ht="19.5" hidden="1">
      <c r="A818" s="1273"/>
      <c r="B818" s="1274"/>
      <c r="C818" s="1261" t="s">
        <v>16</v>
      </c>
      <c r="D818" s="1420" t="s">
        <v>38</v>
      </c>
      <c r="E818" s="1296"/>
      <c r="F818" s="1296"/>
      <c r="G818" s="1297"/>
      <c r="H818" s="1060"/>
      <c r="I818" s="947"/>
      <c r="J818" s="947"/>
      <c r="K818" s="948"/>
      <c r="L818" s="948"/>
      <c r="M818" s="948"/>
      <c r="N818" s="948"/>
      <c r="O818" s="948"/>
      <c r="P818" s="948"/>
    </row>
    <row r="819" spans="1:16" ht="19.5" hidden="1" thickBot="1">
      <c r="A819" s="1421"/>
      <c r="B819" s="1422"/>
      <c r="C819" s="1423"/>
      <c r="D819" s="1422"/>
      <c r="E819" s="1423" t="s">
        <v>323</v>
      </c>
      <c r="F819" s="1423"/>
      <c r="G819" s="1424"/>
      <c r="H819" s="792" t="s">
        <v>46</v>
      </c>
      <c r="I819" s="1425"/>
      <c r="J819" s="1425"/>
      <c r="K819" s="1426"/>
      <c r="L819" s="1426"/>
      <c r="M819" s="1426"/>
      <c r="N819" s="1426"/>
      <c r="O819" s="1426"/>
      <c r="P819" s="1426"/>
    </row>
    <row r="820" spans="1:16" ht="19.5">
      <c r="A820" s="1427" t="s">
        <v>333</v>
      </c>
      <c r="B820" s="1428"/>
      <c r="C820" s="1428"/>
      <c r="D820" s="1429"/>
      <c r="E820" s="1428"/>
      <c r="F820" s="1428"/>
      <c r="G820" s="1430"/>
      <c r="H820" s="143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32"/>
      <c r="J820" s="1432"/>
      <c r="K820" s="1433"/>
      <c r="L820" s="1433"/>
      <c r="M820" s="1433"/>
      <c r="N820" s="1433"/>
      <c r="O820" s="1433"/>
      <c r="P820" s="1433"/>
    </row>
    <row r="821" spans="1:16" ht="18.75">
      <c r="A821" s="1368"/>
      <c r="B821" s="1243" t="s">
        <v>325</v>
      </c>
      <c r="C821" s="1243"/>
      <c r="D821" s="1242"/>
      <c r="E821" s="1243"/>
      <c r="F821" s="1243"/>
      <c r="G821" s="963"/>
      <c r="H821" s="590" t="s">
        <v>12</v>
      </c>
      <c r="I821" s="830">
        <f ca="1">IFERROR(__xludf.DUMMYFUNCTION("IMPORTRANGE(""https://docs.google.com/spreadsheets/d/19vJNZY_5yjcGF2XGBMNZRCAIB0Kwfpjp8YEOfu-bneM/edit?usp=sharing"",""งานกองทุน!D16"")"),2333245.96)</f>
        <v>2333245.96</v>
      </c>
      <c r="J821" s="830">
        <f ca="1">IFERROR(__xludf.DUMMYFUNCTION("IMPORTRANGE(""https://docs.google.com/spreadsheets/d/19vJNZY_5yjcGF2XGBMNZRCAIB0Kwfpjp8YEOfu-bneM/edit?usp=sharing"",""งานกองทุน!F16"")"),630995.02)</f>
        <v>630995.02</v>
      </c>
      <c r="K821" s="831">
        <f t="shared" ref="K821:K828" ca="1" si="336">IF(I821&gt;0,J821*100/I821,0)</f>
        <v>27.043656383315884</v>
      </c>
      <c r="L821" s="831"/>
      <c r="M821" s="831"/>
      <c r="N821" s="831"/>
      <c r="O821" s="831"/>
      <c r="P821" s="831"/>
    </row>
    <row r="822" spans="1:16" ht="18.75">
      <c r="A822" s="1368"/>
      <c r="B822" s="1243"/>
      <c r="C822" s="1243"/>
      <c r="D822" s="1242"/>
      <c r="E822" s="1243"/>
      <c r="F822" s="1243"/>
      <c r="G822" s="963"/>
      <c r="H822" s="590" t="s">
        <v>35</v>
      </c>
      <c r="I822" s="830">
        <f ca="1">IFERROR(__xludf.DUMMYFUNCTION("IMPORTRANGE(""https://docs.google.com/spreadsheets/d/19vJNZY_5yjcGF2XGBMNZRCAIB0Kwfpjp8YEOfu-bneM/edit?usp=sharing"",""งานกองทุน!C16"")"),129)</f>
        <v>129</v>
      </c>
      <c r="J822" s="830">
        <f ca="1">IFERROR(__xludf.DUMMYFUNCTION("IMPORTRANGE(""https://docs.google.com/spreadsheets/d/19vJNZY_5yjcGF2XGBMNZRCAIB0Kwfpjp8YEOfu-bneM/edit?usp=sharing"",""งานกองทุน!E16"")"),29)</f>
        <v>29</v>
      </c>
      <c r="K822" s="831">
        <f t="shared" ca="1" si="336"/>
        <v>22.480620155038761</v>
      </c>
      <c r="L822" s="831"/>
      <c r="M822" s="831"/>
      <c r="N822" s="831"/>
      <c r="O822" s="831"/>
      <c r="P822" s="831"/>
    </row>
    <row r="823" spans="1:16" ht="18.75">
      <c r="A823" s="1368"/>
      <c r="B823" s="1243" t="s">
        <v>326</v>
      </c>
      <c r="C823" s="1243"/>
      <c r="D823" s="1242"/>
      <c r="E823" s="1243"/>
      <c r="F823" s="1243"/>
      <c r="G823" s="963"/>
      <c r="H823" s="590" t="s">
        <v>12</v>
      </c>
      <c r="I823" s="830">
        <f ca="1">IFERROR(__xludf.DUMMYFUNCTION("IMPORTRANGE(""https://docs.google.com/spreadsheets/d/19vJNZY_5yjcGF2XGBMNZRCAIB0Kwfpjp8YEOfu-bneM/edit?usp=sharing"",""งานกองทุน!I16"")"),635752.33)</f>
        <v>635752.32999999996</v>
      </c>
      <c r="J823" s="830">
        <f ca="1">IFERROR(__xludf.DUMMYFUNCTION("IMPORTRANGE(""https://docs.google.com/spreadsheets/d/19vJNZY_5yjcGF2XGBMNZRCAIB0Kwfpjp8YEOfu-bneM/edit?usp=sharing"",""งานกองทุน!K16"")"),38623.4)</f>
        <v>38623.4</v>
      </c>
      <c r="K823" s="831">
        <f t="shared" ca="1" si="336"/>
        <v>6.0752274395911376</v>
      </c>
      <c r="L823" s="831"/>
      <c r="M823" s="831"/>
      <c r="N823" s="831"/>
      <c r="O823" s="831"/>
      <c r="P823" s="831"/>
    </row>
    <row r="824" spans="1:16" ht="18.75">
      <c r="A824" s="1368"/>
      <c r="B824" s="1243"/>
      <c r="C824" s="1243"/>
      <c r="D824" s="1242"/>
      <c r="E824" s="1243"/>
      <c r="F824" s="1243"/>
      <c r="G824" s="963"/>
      <c r="H824" s="590" t="s">
        <v>35</v>
      </c>
      <c r="I824" s="830">
        <f ca="1">IFERROR(__xludf.DUMMYFUNCTION("IMPORTRANGE(""https://docs.google.com/spreadsheets/d/19vJNZY_5yjcGF2XGBMNZRCAIB0Kwfpjp8YEOfu-bneM/edit?usp=sharing"",""งานกองทุน!H16"")"),39)</f>
        <v>39</v>
      </c>
      <c r="J824" s="830">
        <f ca="1">IFERROR(__xludf.DUMMYFUNCTION("IMPORTRANGE(""https://docs.google.com/spreadsheets/d/19vJNZY_5yjcGF2XGBMNZRCAIB0Kwfpjp8YEOfu-bneM/edit?usp=sharing"",""งานกองทุน!J16"")"),17)</f>
        <v>17</v>
      </c>
      <c r="K824" s="831">
        <f t="shared" ca="1" si="336"/>
        <v>43.589743589743591</v>
      </c>
      <c r="L824" s="831"/>
      <c r="M824" s="831"/>
      <c r="N824" s="831"/>
      <c r="O824" s="831"/>
      <c r="P824" s="831"/>
    </row>
    <row r="825" spans="1:16" ht="18.75">
      <c r="A825" s="1368"/>
      <c r="B825" s="1243" t="s">
        <v>327</v>
      </c>
      <c r="C825" s="1243"/>
      <c r="D825" s="1242"/>
      <c r="E825" s="1243"/>
      <c r="F825" s="1243"/>
      <c r="G825" s="963"/>
      <c r="H825" s="590" t="s">
        <v>12</v>
      </c>
      <c r="I825" s="830">
        <f ca="1">IFERROR(__xludf.DUMMYFUNCTION("IMPORTRANGE(""https://docs.google.com/spreadsheets/d/19vJNZY_5yjcGF2XGBMNZRCAIB0Kwfpjp8YEOfu-bneM/edit?usp=sharing"",""งานกองทุน!N16"")"),76628.37)</f>
        <v>76628.37</v>
      </c>
      <c r="J825" s="830">
        <f ca="1">IFERROR(__xludf.DUMMYFUNCTION("IMPORTRANGE(""https://docs.google.com/spreadsheets/d/19vJNZY_5yjcGF2XGBMNZRCAIB0Kwfpjp8YEOfu-bneM/edit?usp=sharing"",""งานกองทุน!P16"")"),24077.19)</f>
        <v>24077.19</v>
      </c>
      <c r="K825" s="831">
        <f t="shared" ca="1" si="336"/>
        <v>31.420725770364164</v>
      </c>
      <c r="L825" s="831"/>
      <c r="M825" s="831"/>
      <c r="N825" s="831"/>
      <c r="O825" s="831"/>
      <c r="P825" s="831"/>
    </row>
    <row r="826" spans="1:16" ht="18.75">
      <c r="A826" s="1368"/>
      <c r="B826" s="1243"/>
      <c r="C826" s="1243"/>
      <c r="D826" s="1242"/>
      <c r="E826" s="1243"/>
      <c r="F826" s="1243"/>
      <c r="G826" s="963"/>
      <c r="H826" s="590" t="s">
        <v>35</v>
      </c>
      <c r="I826" s="830">
        <f ca="1">IFERROR(__xludf.DUMMYFUNCTION("IMPORTRANGE(""https://docs.google.com/spreadsheets/d/19vJNZY_5yjcGF2XGBMNZRCAIB0Kwfpjp8YEOfu-bneM/edit?usp=sharing"",""งานกองทุน!M16"")"),21)</f>
        <v>21</v>
      </c>
      <c r="J826" s="830">
        <f ca="1">IFERROR(__xludf.DUMMYFUNCTION("IMPORTRANGE(""https://docs.google.com/spreadsheets/d/19vJNZY_5yjcGF2XGBMNZRCAIB0Kwfpjp8YEOfu-bneM/edit?usp=sharing"",""งานกองทุน!O16"")"),8)</f>
        <v>8</v>
      </c>
      <c r="K826" s="831">
        <f t="shared" ca="1" si="336"/>
        <v>38.095238095238095</v>
      </c>
      <c r="L826" s="831"/>
      <c r="M826" s="831"/>
      <c r="N826" s="831"/>
      <c r="O826" s="831"/>
      <c r="P826" s="831"/>
    </row>
    <row r="827" spans="1:16" ht="18.75">
      <c r="A827" s="1368"/>
      <c r="B827" s="1243" t="s">
        <v>328</v>
      </c>
      <c r="C827" s="1243"/>
      <c r="D827" s="1242"/>
      <c r="E827" s="1243"/>
      <c r="F827" s="1243"/>
      <c r="G827" s="963"/>
      <c r="H827" s="590" t="s">
        <v>12</v>
      </c>
      <c r="I827" s="830">
        <f ca="1">IFERROR(__xludf.DUMMYFUNCTION("IMPORTRANGE(""https://docs.google.com/spreadsheets/d/19vJNZY_5yjcGF2XGBMNZRCAIB0Kwfpjp8YEOfu-bneM/edit?usp=sharing"",""งานกองทุน!S16"")"),2330000)</f>
        <v>2330000</v>
      </c>
      <c r="J827" s="830">
        <f ca="1">IFERROR(__xludf.DUMMYFUNCTION("IMPORTRANGE(""https://docs.google.com/spreadsheets/d/19vJNZY_5yjcGF2XGBMNZRCAIB0Kwfpjp8YEOfu-bneM/edit?usp=sharing"",""งานกองทุน!U16"")"),1170000)</f>
        <v>1170000</v>
      </c>
      <c r="K827" s="831">
        <f t="shared" ca="1" si="336"/>
        <v>50.214592274678111</v>
      </c>
      <c r="L827" s="831"/>
      <c r="M827" s="831"/>
      <c r="N827" s="831"/>
      <c r="O827" s="831"/>
      <c r="P827" s="831"/>
    </row>
    <row r="828" spans="1:16" ht="18.75">
      <c r="A828" s="1369"/>
      <c r="B828" s="1371"/>
      <c r="C828" s="1371"/>
      <c r="D828" s="1370"/>
      <c r="E828" s="1371"/>
      <c r="F828" s="1371"/>
      <c r="G828" s="1434"/>
      <c r="H828" s="802" t="s">
        <v>35</v>
      </c>
      <c r="I828" s="1085">
        <f ca="1">IFERROR(__xludf.DUMMYFUNCTION("IMPORTRANGE(""https://docs.google.com/spreadsheets/d/19vJNZY_5yjcGF2XGBMNZRCAIB0Kwfpjp8YEOfu-bneM/edit?usp=sharing"",""งานกองทุน!R16"")"),93)</f>
        <v>93</v>
      </c>
      <c r="J828" s="1085">
        <f ca="1">IFERROR(__xludf.DUMMYFUNCTION("IMPORTRANGE(""https://docs.google.com/spreadsheets/d/19vJNZY_5yjcGF2XGBMNZRCAIB0Kwfpjp8YEOfu-bneM/edit?usp=sharing"",""งานกองทุน!T16"")"),39)</f>
        <v>39</v>
      </c>
      <c r="K828" s="1182">
        <f t="shared" ca="1" si="336"/>
        <v>41.935483870967744</v>
      </c>
      <c r="L828" s="1182"/>
      <c r="M828" s="1182"/>
      <c r="N828" s="1182"/>
      <c r="O828" s="1182"/>
      <c r="P828" s="118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18EF4-AD3C-488B-850F-E3E3E4BA535D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Q24" sqref="Q24"/>
      <selection pane="bottomLeft" activeCell="Q24" sqref="Q24"/>
    </sheetView>
  </sheetViews>
  <sheetFormatPr defaultColWidth="12.5703125" defaultRowHeight="15.75" customHeight="1"/>
  <cols>
    <col min="1" max="3" width="3.28515625" style="803" customWidth="1"/>
    <col min="4" max="6" width="5.85546875" style="803" customWidth="1"/>
    <col min="7" max="7" width="56.42578125" style="803" customWidth="1"/>
    <col min="8" max="8" width="9.42578125" style="803" customWidth="1"/>
    <col min="9" max="10" width="16.85546875" style="803" bestFit="1" customWidth="1"/>
    <col min="11" max="11" width="12.5703125" style="803" bestFit="1" customWidth="1"/>
    <col min="12" max="14" width="21.28515625" style="803" bestFit="1" customWidth="1"/>
    <col min="15" max="15" width="20.140625" style="803" bestFit="1" customWidth="1"/>
    <col min="16" max="16" width="22" style="803" bestFit="1" customWidth="1"/>
    <col min="17" max="16384" width="12.5703125" style="803"/>
  </cols>
  <sheetData>
    <row r="1" spans="1:26" ht="19.5">
      <c r="A1" s="1498" t="s">
        <v>0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</row>
    <row r="2" spans="1:26" ht="19.5">
      <c r="A2" s="1498" t="s">
        <v>337</v>
      </c>
      <c r="B2" s="1516"/>
      <c r="C2" s="1516"/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  <c r="O2" s="1516"/>
      <c r="P2" s="1516"/>
    </row>
    <row r="3" spans="1:26" ht="19.5">
      <c r="A3" s="1498" t="s">
        <v>329</v>
      </c>
      <c r="B3" s="1516"/>
      <c r="C3" s="1516"/>
      <c r="D3" s="1516"/>
      <c r="E3" s="1516"/>
      <c r="F3" s="1516"/>
      <c r="G3" s="1516"/>
      <c r="H3" s="1516"/>
      <c r="I3" s="1516"/>
      <c r="J3" s="1516"/>
      <c r="K3" s="1516"/>
      <c r="L3" s="1516"/>
      <c r="M3" s="1516"/>
      <c r="N3" s="1516"/>
      <c r="O3" s="1516"/>
      <c r="P3" s="1516"/>
    </row>
    <row r="4" spans="1:26" ht="12.75">
      <c r="A4" s="804"/>
      <c r="B4" s="804"/>
      <c r="C4" s="804"/>
      <c r="D4" s="804"/>
      <c r="E4" s="804"/>
      <c r="F4" s="804"/>
      <c r="G4" s="804"/>
      <c r="H4" s="804"/>
      <c r="I4" s="804"/>
      <c r="J4" s="805"/>
      <c r="K4" s="806"/>
      <c r="L4" s="805"/>
      <c r="M4" s="805"/>
      <c r="N4" s="805"/>
      <c r="O4" s="804"/>
      <c r="P4" s="804"/>
    </row>
    <row r="5" spans="1:26" ht="19.5">
      <c r="A5" s="1504" t="s">
        <v>2</v>
      </c>
      <c r="B5" s="1516"/>
      <c r="C5" s="1516"/>
      <c r="D5" s="1516"/>
      <c r="E5" s="1516"/>
      <c r="F5" s="1516"/>
      <c r="G5" s="1505"/>
      <c r="H5" s="1500" t="s">
        <v>3</v>
      </c>
      <c r="I5" s="1501" t="s">
        <v>4</v>
      </c>
      <c r="J5" s="1494"/>
      <c r="K5" s="1495"/>
      <c r="L5" s="1502" t="s">
        <v>5</v>
      </c>
      <c r="M5" s="1495"/>
      <c r="N5" s="1503" t="s">
        <v>6</v>
      </c>
      <c r="O5" s="1494"/>
      <c r="P5" s="1495"/>
    </row>
    <row r="6" spans="1:26" ht="19.5">
      <c r="A6" s="1506"/>
      <c r="B6" s="1494"/>
      <c r="C6" s="1494"/>
      <c r="D6" s="1494"/>
      <c r="E6" s="1494"/>
      <c r="F6" s="1494"/>
      <c r="G6" s="1495"/>
      <c r="H6" s="14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12" t="s">
        <v>15</v>
      </c>
      <c r="B7" s="1494"/>
      <c r="C7" s="1494"/>
      <c r="D7" s="1494"/>
      <c r="E7" s="1494"/>
      <c r="F7" s="1494"/>
      <c r="G7" s="1495"/>
      <c r="H7" s="807"/>
      <c r="I7" s="808"/>
      <c r="J7" s="808"/>
      <c r="K7" s="809"/>
      <c r="L7" s="1467"/>
      <c r="M7" s="1467"/>
      <c r="N7" s="1467"/>
      <c r="O7" s="1467"/>
      <c r="P7" s="1467"/>
    </row>
    <row r="8" spans="1:26" ht="19.5">
      <c r="A8" s="810"/>
      <c r="B8" s="811"/>
      <c r="C8" s="812" t="s">
        <v>16</v>
      </c>
      <c r="D8" s="813" t="s">
        <v>17</v>
      </c>
      <c r="E8" s="811"/>
      <c r="F8" s="811"/>
      <c r="G8" s="814"/>
      <c r="H8" s="19" t="s">
        <v>12</v>
      </c>
      <c r="I8" s="815"/>
      <c r="J8" s="815"/>
      <c r="K8" s="816"/>
      <c r="L8" s="817">
        <f t="shared" ref="L8:N8" ca="1" si="0">L9+L10</f>
        <v>4398508</v>
      </c>
      <c r="M8" s="817">
        <f t="shared" ca="1" si="0"/>
        <v>2538212</v>
      </c>
      <c r="N8" s="817">
        <f t="shared" ca="1" si="0"/>
        <v>1948637.76</v>
      </c>
      <c r="O8" s="817">
        <f t="shared" ref="O8:O16" ca="1" si="1">IF(L8&gt;0,N8*100/L8,0)</f>
        <v>44.302244306478471</v>
      </c>
      <c r="P8" s="817">
        <f t="shared" ref="P8:P16" ca="1" si="2">IF(M8&gt;0,N8*100/M8,0)</f>
        <v>76.77206474478885</v>
      </c>
      <c r="Q8" s="818"/>
      <c r="R8" s="818"/>
      <c r="S8" s="818"/>
      <c r="T8" s="818"/>
      <c r="U8" s="818"/>
      <c r="V8" s="818"/>
      <c r="W8" s="818"/>
      <c r="X8" s="818"/>
      <c r="Y8" s="818"/>
      <c r="Z8" s="818"/>
    </row>
    <row r="9" spans="1:26" ht="18.75" hidden="1">
      <c r="A9" s="819"/>
      <c r="B9" s="820"/>
      <c r="C9" s="820"/>
      <c r="D9" s="820"/>
      <c r="E9" s="821" t="s">
        <v>18</v>
      </c>
      <c r="F9" s="820"/>
      <c r="G9" s="822"/>
      <c r="H9" s="28" t="s">
        <v>12</v>
      </c>
      <c r="I9" s="823"/>
      <c r="J9" s="823"/>
      <c r="K9" s="824"/>
      <c r="L9" s="824">
        <f t="shared" ref="L9:N10" si="3">L12+L15</f>
        <v>0</v>
      </c>
      <c r="M9" s="824">
        <f t="shared" si="3"/>
        <v>0</v>
      </c>
      <c r="N9" s="824">
        <f t="shared" si="3"/>
        <v>0</v>
      </c>
      <c r="O9" s="824">
        <f t="shared" si="1"/>
        <v>0</v>
      </c>
      <c r="P9" s="824">
        <f t="shared" si="2"/>
        <v>0</v>
      </c>
      <c r="Q9" s="825"/>
      <c r="R9" s="825"/>
      <c r="S9" s="825"/>
      <c r="T9" s="825"/>
      <c r="U9" s="825"/>
      <c r="V9" s="825"/>
      <c r="W9" s="825"/>
      <c r="X9" s="825"/>
      <c r="Y9" s="825"/>
      <c r="Z9" s="825"/>
    </row>
    <row r="10" spans="1:26" ht="18.75" hidden="1">
      <c r="A10" s="819"/>
      <c r="B10" s="820"/>
      <c r="C10" s="820"/>
      <c r="D10" s="820"/>
      <c r="E10" s="821" t="s">
        <v>19</v>
      </c>
      <c r="F10" s="820"/>
      <c r="G10" s="822"/>
      <c r="H10" s="28" t="s">
        <v>12</v>
      </c>
      <c r="I10" s="823"/>
      <c r="J10" s="823"/>
      <c r="K10" s="824"/>
      <c r="L10" s="824">
        <f t="shared" ca="1" si="3"/>
        <v>4398508</v>
      </c>
      <c r="M10" s="824">
        <f t="shared" ca="1" si="3"/>
        <v>2538212</v>
      </c>
      <c r="N10" s="824">
        <f t="shared" ca="1" si="3"/>
        <v>1948637.76</v>
      </c>
      <c r="O10" s="824">
        <f t="shared" ca="1" si="1"/>
        <v>44.302244306478471</v>
      </c>
      <c r="P10" s="824">
        <f t="shared" ca="1" si="2"/>
        <v>76.77206474478885</v>
      </c>
      <c r="Q10" s="825"/>
      <c r="R10" s="825"/>
      <c r="S10" s="825"/>
      <c r="T10" s="825"/>
      <c r="U10" s="825"/>
      <c r="V10" s="825"/>
      <c r="W10" s="825"/>
      <c r="X10" s="825"/>
      <c r="Y10" s="825"/>
      <c r="Z10" s="825"/>
    </row>
    <row r="11" spans="1:26" ht="18.75">
      <c r="A11" s="826"/>
      <c r="B11" s="827"/>
      <c r="C11" s="827"/>
      <c r="D11" s="828" t="s">
        <v>20</v>
      </c>
      <c r="E11" s="827"/>
      <c r="F11" s="827"/>
      <c r="G11" s="829"/>
      <c r="H11" s="590" t="s">
        <v>12</v>
      </c>
      <c r="I11" s="830"/>
      <c r="J11" s="830"/>
      <c r="K11" s="831"/>
      <c r="L11" s="831">
        <f t="shared" ref="L11:N11" ca="1" si="4">L12+L13</f>
        <v>4195008</v>
      </c>
      <c r="M11" s="831">
        <f t="shared" ca="1" si="4"/>
        <v>2343732</v>
      </c>
      <c r="N11" s="831">
        <f t="shared" ca="1" si="4"/>
        <v>1754157.76</v>
      </c>
      <c r="O11" s="831">
        <f t="shared" ca="1" si="1"/>
        <v>41.81536149633088</v>
      </c>
      <c r="P11" s="831">
        <f t="shared" ca="1" si="2"/>
        <v>74.844639233495982</v>
      </c>
      <c r="Q11" s="818"/>
      <c r="R11" s="818"/>
      <c r="S11" s="818"/>
      <c r="T11" s="818"/>
      <c r="U11" s="818"/>
      <c r="V11" s="818"/>
      <c r="W11" s="818"/>
      <c r="X11" s="818"/>
      <c r="Y11" s="818"/>
      <c r="Z11" s="818"/>
    </row>
    <row r="12" spans="1:26" ht="18.75" hidden="1">
      <c r="A12" s="832"/>
      <c r="B12" s="833"/>
      <c r="C12" s="833"/>
      <c r="D12" s="833"/>
      <c r="E12" s="834" t="s">
        <v>18</v>
      </c>
      <c r="F12" s="833"/>
      <c r="G12" s="835"/>
      <c r="H12" s="43" t="s">
        <v>12</v>
      </c>
      <c r="I12" s="836"/>
      <c r="J12" s="836"/>
      <c r="K12" s="837"/>
      <c r="L12" s="837">
        <f t="shared" ref="L12:N13" si="5">L22+L32</f>
        <v>0</v>
      </c>
      <c r="M12" s="837">
        <f t="shared" si="5"/>
        <v>0</v>
      </c>
      <c r="N12" s="837">
        <f t="shared" si="5"/>
        <v>0</v>
      </c>
      <c r="O12" s="837">
        <f t="shared" si="1"/>
        <v>0</v>
      </c>
      <c r="P12" s="837">
        <f t="shared" si="2"/>
        <v>0</v>
      </c>
      <c r="Q12" s="825"/>
      <c r="R12" s="825"/>
      <c r="S12" s="825"/>
      <c r="T12" s="825"/>
      <c r="U12" s="825"/>
      <c r="V12" s="825"/>
      <c r="W12" s="825"/>
      <c r="X12" s="825"/>
      <c r="Y12" s="825"/>
      <c r="Z12" s="825"/>
    </row>
    <row r="13" spans="1:26" ht="18.75" hidden="1">
      <c r="A13" s="832"/>
      <c r="B13" s="833"/>
      <c r="C13" s="833"/>
      <c r="D13" s="833"/>
      <c r="E13" s="834" t="s">
        <v>19</v>
      </c>
      <c r="F13" s="833"/>
      <c r="G13" s="835"/>
      <c r="H13" s="43" t="s">
        <v>12</v>
      </c>
      <c r="I13" s="836"/>
      <c r="J13" s="836"/>
      <c r="K13" s="837"/>
      <c r="L13" s="837">
        <f t="shared" ca="1" si="5"/>
        <v>4195008</v>
      </c>
      <c r="M13" s="837">
        <f t="shared" ca="1" si="5"/>
        <v>2343732</v>
      </c>
      <c r="N13" s="837">
        <f t="shared" ca="1" si="5"/>
        <v>1754157.76</v>
      </c>
      <c r="O13" s="837">
        <f t="shared" ca="1" si="1"/>
        <v>41.81536149633088</v>
      </c>
      <c r="P13" s="837">
        <f t="shared" ca="1" si="2"/>
        <v>74.844639233495982</v>
      </c>
      <c r="Q13" s="825"/>
      <c r="R13" s="825"/>
      <c r="S13" s="825"/>
      <c r="T13" s="825"/>
      <c r="U13" s="825"/>
      <c r="V13" s="825"/>
      <c r="W13" s="825"/>
      <c r="X13" s="825"/>
      <c r="Y13" s="825"/>
      <c r="Z13" s="825"/>
    </row>
    <row r="14" spans="1:26" ht="18.75">
      <c r="A14" s="826"/>
      <c r="B14" s="827"/>
      <c r="C14" s="827"/>
      <c r="D14" s="828" t="s">
        <v>21</v>
      </c>
      <c r="E14" s="827"/>
      <c r="F14" s="827"/>
      <c r="G14" s="829"/>
      <c r="H14" s="590" t="s">
        <v>12</v>
      </c>
      <c r="I14" s="830"/>
      <c r="J14" s="830"/>
      <c r="K14" s="831"/>
      <c r="L14" s="831">
        <f t="shared" ref="L14:N14" ca="1" si="6">L15+L16</f>
        <v>203500</v>
      </c>
      <c r="M14" s="831">
        <f t="shared" ca="1" si="6"/>
        <v>194480</v>
      </c>
      <c r="N14" s="831">
        <f t="shared" ca="1" si="6"/>
        <v>194480</v>
      </c>
      <c r="O14" s="831">
        <f t="shared" ca="1" si="1"/>
        <v>95.567567567567565</v>
      </c>
      <c r="P14" s="831">
        <f t="shared" ca="1" si="2"/>
        <v>100</v>
      </c>
      <c r="Q14" s="818"/>
      <c r="R14" s="818"/>
      <c r="S14" s="818"/>
      <c r="T14" s="818"/>
      <c r="U14" s="818"/>
      <c r="V14" s="818"/>
      <c r="W14" s="818"/>
      <c r="X14" s="818"/>
      <c r="Y14" s="818"/>
      <c r="Z14" s="818"/>
    </row>
    <row r="15" spans="1:26" ht="18.75" hidden="1">
      <c r="A15" s="832"/>
      <c r="B15" s="833"/>
      <c r="C15" s="833"/>
      <c r="D15" s="833"/>
      <c r="E15" s="834" t="s">
        <v>18</v>
      </c>
      <c r="F15" s="833"/>
      <c r="G15" s="835"/>
      <c r="H15" s="43" t="s">
        <v>12</v>
      </c>
      <c r="I15" s="836"/>
      <c r="J15" s="836"/>
      <c r="K15" s="837"/>
      <c r="L15" s="837">
        <f t="shared" ref="L15:N16" si="7">L25+L35</f>
        <v>0</v>
      </c>
      <c r="M15" s="837">
        <f t="shared" si="7"/>
        <v>0</v>
      </c>
      <c r="N15" s="837">
        <f t="shared" si="7"/>
        <v>0</v>
      </c>
      <c r="O15" s="837">
        <f t="shared" si="1"/>
        <v>0</v>
      </c>
      <c r="P15" s="837">
        <f t="shared" si="2"/>
        <v>0</v>
      </c>
      <c r="Q15" s="825"/>
      <c r="R15" s="825"/>
      <c r="S15" s="825"/>
      <c r="T15" s="825"/>
      <c r="U15" s="825"/>
      <c r="V15" s="825"/>
      <c r="W15" s="825"/>
      <c r="X15" s="825"/>
      <c r="Y15" s="825"/>
      <c r="Z15" s="825"/>
    </row>
    <row r="16" spans="1:26" ht="18.75" hidden="1">
      <c r="A16" s="838"/>
      <c r="B16" s="839"/>
      <c r="C16" s="839"/>
      <c r="D16" s="839"/>
      <c r="E16" s="840" t="s">
        <v>19</v>
      </c>
      <c r="F16" s="839"/>
      <c r="G16" s="841"/>
      <c r="H16" s="50" t="s">
        <v>12</v>
      </c>
      <c r="I16" s="842"/>
      <c r="J16" s="842"/>
      <c r="K16" s="843"/>
      <c r="L16" s="843">
        <f t="shared" ca="1" si="7"/>
        <v>203500</v>
      </c>
      <c r="M16" s="843">
        <f t="shared" ca="1" si="7"/>
        <v>194480</v>
      </c>
      <c r="N16" s="843">
        <f t="shared" ca="1" si="7"/>
        <v>194480</v>
      </c>
      <c r="O16" s="843">
        <f t="shared" ca="1" si="1"/>
        <v>95.567567567567565</v>
      </c>
      <c r="P16" s="843">
        <f t="shared" ca="1" si="2"/>
        <v>100</v>
      </c>
      <c r="Q16" s="825"/>
      <c r="R16" s="825"/>
      <c r="S16" s="825"/>
      <c r="T16" s="825"/>
      <c r="U16" s="825"/>
      <c r="V16" s="825"/>
      <c r="W16" s="825"/>
      <c r="X16" s="825"/>
      <c r="Y16" s="825"/>
      <c r="Z16" s="825"/>
    </row>
    <row r="17" spans="1:26" ht="19.5">
      <c r="A17" s="1512" t="s">
        <v>22</v>
      </c>
      <c r="B17" s="1494"/>
      <c r="C17" s="1494"/>
      <c r="D17" s="1494"/>
      <c r="E17" s="1494"/>
      <c r="F17" s="1494"/>
      <c r="G17" s="1495"/>
      <c r="H17" s="807"/>
      <c r="I17" s="808"/>
      <c r="J17" s="808"/>
      <c r="K17" s="809"/>
      <c r="L17" s="1467"/>
      <c r="M17" s="1467"/>
      <c r="N17" s="1467"/>
      <c r="O17" s="1467"/>
      <c r="P17" s="1467"/>
    </row>
    <row r="18" spans="1:26" ht="19.5">
      <c r="A18" s="810"/>
      <c r="B18" s="811"/>
      <c r="C18" s="812" t="s">
        <v>16</v>
      </c>
      <c r="D18" s="813" t="s">
        <v>17</v>
      </c>
      <c r="E18" s="811"/>
      <c r="F18" s="811"/>
      <c r="G18" s="814"/>
      <c r="H18" s="19" t="s">
        <v>12</v>
      </c>
      <c r="I18" s="815"/>
      <c r="J18" s="815"/>
      <c r="K18" s="816"/>
      <c r="L18" s="817">
        <f t="shared" ref="L18:N18" ca="1" si="8">L19+L20</f>
        <v>3106670</v>
      </c>
      <c r="M18" s="817">
        <f t="shared" ca="1" si="8"/>
        <v>2538212</v>
      </c>
      <c r="N18" s="817">
        <f t="shared" ca="1" si="8"/>
        <v>1524944.56</v>
      </c>
      <c r="O18" s="817">
        <f t="shared" ref="O18:O26" ca="1" si="9">IF(L18&gt;0,N18*100/L18,0)</f>
        <v>49.086145615723588</v>
      </c>
      <c r="P18" s="817">
        <f t="shared" ref="P18:P26" ca="1" si="10">IF(M18&gt;0,N18*100/M18,0)</f>
        <v>60.0794795706584</v>
      </c>
      <c r="Q18" s="818"/>
      <c r="R18" s="818"/>
      <c r="S18" s="818"/>
      <c r="T18" s="818"/>
      <c r="U18" s="818"/>
      <c r="V18" s="818"/>
      <c r="W18" s="818"/>
      <c r="X18" s="818"/>
      <c r="Y18" s="818"/>
      <c r="Z18" s="818"/>
    </row>
    <row r="19" spans="1:26" ht="18.75" hidden="1">
      <c r="A19" s="819"/>
      <c r="B19" s="820"/>
      <c r="C19" s="820"/>
      <c r="D19" s="820"/>
      <c r="E19" s="821" t="s">
        <v>18</v>
      </c>
      <c r="F19" s="820"/>
      <c r="G19" s="822"/>
      <c r="H19" s="28" t="s">
        <v>12</v>
      </c>
      <c r="I19" s="823"/>
      <c r="J19" s="823"/>
      <c r="K19" s="824"/>
      <c r="L19" s="824">
        <f t="shared" ref="L19:N20" si="11">L22+L25</f>
        <v>0</v>
      </c>
      <c r="M19" s="824">
        <f t="shared" si="11"/>
        <v>0</v>
      </c>
      <c r="N19" s="824">
        <f t="shared" si="11"/>
        <v>0</v>
      </c>
      <c r="O19" s="824">
        <f t="shared" si="9"/>
        <v>0</v>
      </c>
      <c r="P19" s="824">
        <f t="shared" si="10"/>
        <v>0</v>
      </c>
      <c r="Q19" s="825"/>
      <c r="R19" s="825"/>
      <c r="S19" s="825"/>
      <c r="T19" s="825"/>
      <c r="U19" s="825"/>
      <c r="V19" s="825"/>
      <c r="W19" s="825"/>
      <c r="X19" s="825"/>
      <c r="Y19" s="825"/>
      <c r="Z19" s="825"/>
    </row>
    <row r="20" spans="1:26" ht="18.75" hidden="1">
      <c r="A20" s="819"/>
      <c r="B20" s="820"/>
      <c r="C20" s="820"/>
      <c r="D20" s="820"/>
      <c r="E20" s="821" t="s">
        <v>19</v>
      </c>
      <c r="F20" s="820"/>
      <c r="G20" s="822"/>
      <c r="H20" s="28" t="s">
        <v>12</v>
      </c>
      <c r="I20" s="823"/>
      <c r="J20" s="823"/>
      <c r="K20" s="824"/>
      <c r="L20" s="824">
        <f t="shared" ca="1" si="11"/>
        <v>3106670</v>
      </c>
      <c r="M20" s="824">
        <f t="shared" ca="1" si="11"/>
        <v>2538212</v>
      </c>
      <c r="N20" s="824">
        <f t="shared" ca="1" si="11"/>
        <v>1524944.56</v>
      </c>
      <c r="O20" s="824">
        <f t="shared" ca="1" si="9"/>
        <v>49.086145615723588</v>
      </c>
      <c r="P20" s="824">
        <f t="shared" ca="1" si="10"/>
        <v>60.0794795706584</v>
      </c>
      <c r="Q20" s="825"/>
      <c r="R20" s="825"/>
      <c r="S20" s="825"/>
      <c r="T20" s="825"/>
      <c r="U20" s="825"/>
      <c r="V20" s="825"/>
      <c r="W20" s="825"/>
      <c r="X20" s="825"/>
      <c r="Y20" s="825"/>
      <c r="Z20" s="825"/>
    </row>
    <row r="21" spans="1:26" ht="18.75">
      <c r="A21" s="826"/>
      <c r="B21" s="827"/>
      <c r="C21" s="827"/>
      <c r="D21" s="828" t="s">
        <v>20</v>
      </c>
      <c r="E21" s="827"/>
      <c r="F21" s="827"/>
      <c r="G21" s="829"/>
      <c r="H21" s="590" t="s">
        <v>12</v>
      </c>
      <c r="I21" s="830"/>
      <c r="J21" s="830"/>
      <c r="K21" s="831"/>
      <c r="L21" s="831">
        <f t="shared" ref="L21:N21" ca="1" si="12">L22+L23</f>
        <v>2903170</v>
      </c>
      <c r="M21" s="831">
        <f t="shared" ca="1" si="12"/>
        <v>2343732</v>
      </c>
      <c r="N21" s="831">
        <f t="shared" ca="1" si="12"/>
        <v>1330464.56</v>
      </c>
      <c r="O21" s="831">
        <f t="shared" ca="1" si="9"/>
        <v>45.827993538098013</v>
      </c>
      <c r="P21" s="831">
        <f t="shared" ca="1" si="10"/>
        <v>56.766923863308605</v>
      </c>
      <c r="Q21" s="818"/>
      <c r="R21" s="818"/>
      <c r="S21" s="818"/>
      <c r="T21" s="818"/>
      <c r="U21" s="818"/>
      <c r="V21" s="818"/>
      <c r="W21" s="818"/>
      <c r="X21" s="818"/>
      <c r="Y21" s="818"/>
      <c r="Z21" s="818"/>
    </row>
    <row r="22" spans="1:26" ht="18.75" hidden="1">
      <c r="A22" s="832"/>
      <c r="B22" s="833"/>
      <c r="C22" s="833"/>
      <c r="D22" s="833"/>
      <c r="E22" s="834" t="s">
        <v>18</v>
      </c>
      <c r="F22" s="833"/>
      <c r="G22" s="835"/>
      <c r="H22" s="43" t="s">
        <v>12</v>
      </c>
      <c r="I22" s="836"/>
      <c r="J22" s="836"/>
      <c r="K22" s="837"/>
      <c r="L22" s="837">
        <f t="shared" ref="L22:N23" si="13">L45+L57+L70+L92+L123+L136+L153+L185+L169+L265+L281+L302+L319+L332+L349+L393+L406</f>
        <v>0</v>
      </c>
      <c r="M22" s="837">
        <f t="shared" si="13"/>
        <v>0</v>
      </c>
      <c r="N22" s="837">
        <f t="shared" si="13"/>
        <v>0</v>
      </c>
      <c r="O22" s="837">
        <f t="shared" si="9"/>
        <v>0</v>
      </c>
      <c r="P22" s="837">
        <f t="shared" si="10"/>
        <v>0</v>
      </c>
      <c r="Q22" s="825"/>
      <c r="R22" s="825"/>
      <c r="S22" s="825"/>
      <c r="T22" s="825"/>
      <c r="U22" s="825"/>
      <c r="V22" s="825"/>
      <c r="W22" s="825"/>
      <c r="X22" s="825"/>
      <c r="Y22" s="825"/>
      <c r="Z22" s="825"/>
    </row>
    <row r="23" spans="1:26" ht="18.75" hidden="1">
      <c r="A23" s="832"/>
      <c r="B23" s="833"/>
      <c r="C23" s="833"/>
      <c r="D23" s="833"/>
      <c r="E23" s="834" t="s">
        <v>19</v>
      </c>
      <c r="F23" s="833"/>
      <c r="G23" s="835"/>
      <c r="H23" s="43" t="s">
        <v>12</v>
      </c>
      <c r="I23" s="836"/>
      <c r="J23" s="836"/>
      <c r="K23" s="837"/>
      <c r="L23" s="837">
        <f t="shared" ca="1" si="13"/>
        <v>2903170</v>
      </c>
      <c r="M23" s="837">
        <f t="shared" ca="1" si="13"/>
        <v>2343732</v>
      </c>
      <c r="N23" s="837">
        <f t="shared" ca="1" si="13"/>
        <v>1330464.56</v>
      </c>
      <c r="O23" s="837">
        <f t="shared" ca="1" si="9"/>
        <v>45.827993538098013</v>
      </c>
      <c r="P23" s="837">
        <f t="shared" ca="1" si="10"/>
        <v>56.766923863308605</v>
      </c>
      <c r="Q23" s="825"/>
      <c r="R23" s="825"/>
      <c r="S23" s="825"/>
      <c r="T23" s="825"/>
      <c r="U23" s="825"/>
      <c r="V23" s="825"/>
      <c r="W23" s="825"/>
      <c r="X23" s="825"/>
      <c r="Y23" s="825"/>
      <c r="Z23" s="825"/>
    </row>
    <row r="24" spans="1:26" ht="18.75">
      <c r="A24" s="826"/>
      <c r="B24" s="827"/>
      <c r="C24" s="827"/>
      <c r="D24" s="828" t="s">
        <v>21</v>
      </c>
      <c r="E24" s="827"/>
      <c r="F24" s="827"/>
      <c r="G24" s="829"/>
      <c r="H24" s="590" t="s">
        <v>12</v>
      </c>
      <c r="I24" s="830"/>
      <c r="J24" s="830"/>
      <c r="K24" s="831"/>
      <c r="L24" s="831">
        <f t="shared" ref="L24:N24" ca="1" si="14">L25+L26</f>
        <v>203500</v>
      </c>
      <c r="M24" s="831">
        <f t="shared" ca="1" si="14"/>
        <v>194480</v>
      </c>
      <c r="N24" s="831">
        <f t="shared" ca="1" si="14"/>
        <v>194480</v>
      </c>
      <c r="O24" s="831">
        <f t="shared" ca="1" si="9"/>
        <v>95.567567567567565</v>
      </c>
      <c r="P24" s="831">
        <f t="shared" ca="1" si="10"/>
        <v>100</v>
      </c>
      <c r="Q24" s="818"/>
      <c r="R24" s="818"/>
      <c r="S24" s="818"/>
      <c r="T24" s="818"/>
      <c r="U24" s="818"/>
      <c r="V24" s="818"/>
      <c r="W24" s="818"/>
      <c r="X24" s="818"/>
      <c r="Y24" s="818"/>
      <c r="Z24" s="818"/>
    </row>
    <row r="25" spans="1:26" ht="18.75" hidden="1">
      <c r="A25" s="832"/>
      <c r="B25" s="833"/>
      <c r="C25" s="833"/>
      <c r="D25" s="833"/>
      <c r="E25" s="834" t="s">
        <v>18</v>
      </c>
      <c r="F25" s="833"/>
      <c r="G25" s="835"/>
      <c r="H25" s="43" t="s">
        <v>12</v>
      </c>
      <c r="I25" s="836"/>
      <c r="J25" s="836"/>
      <c r="K25" s="837"/>
      <c r="L25" s="837">
        <f t="shared" ref="L25:N26" si="15">L48+L60+L73+L95+L126+L139+L156+L188+L172+L268+L284+L305+L322+L335+L352+L396+L409</f>
        <v>0</v>
      </c>
      <c r="M25" s="837">
        <f t="shared" si="15"/>
        <v>0</v>
      </c>
      <c r="N25" s="837">
        <f t="shared" si="15"/>
        <v>0</v>
      </c>
      <c r="O25" s="837">
        <f t="shared" si="9"/>
        <v>0</v>
      </c>
      <c r="P25" s="837">
        <f t="shared" si="10"/>
        <v>0</v>
      </c>
      <c r="Q25" s="825"/>
      <c r="R25" s="825"/>
      <c r="S25" s="825"/>
      <c r="T25" s="825"/>
      <c r="U25" s="825"/>
      <c r="V25" s="825"/>
      <c r="W25" s="825"/>
      <c r="X25" s="825"/>
      <c r="Y25" s="825"/>
      <c r="Z25" s="825"/>
    </row>
    <row r="26" spans="1:26" ht="18.75" hidden="1">
      <c r="A26" s="838"/>
      <c r="B26" s="839"/>
      <c r="C26" s="839"/>
      <c r="D26" s="839"/>
      <c r="E26" s="840" t="s">
        <v>19</v>
      </c>
      <c r="F26" s="839"/>
      <c r="G26" s="841"/>
      <c r="H26" s="50" t="s">
        <v>12</v>
      </c>
      <c r="I26" s="842"/>
      <c r="J26" s="842"/>
      <c r="K26" s="843"/>
      <c r="L26" s="843">
        <f t="shared" ca="1" si="15"/>
        <v>203500</v>
      </c>
      <c r="M26" s="843">
        <f t="shared" ca="1" si="15"/>
        <v>194480</v>
      </c>
      <c r="N26" s="843">
        <f t="shared" ca="1" si="15"/>
        <v>194480</v>
      </c>
      <c r="O26" s="843">
        <f t="shared" ca="1" si="9"/>
        <v>95.567567567567565</v>
      </c>
      <c r="P26" s="843">
        <f t="shared" ca="1" si="10"/>
        <v>100</v>
      </c>
      <c r="Q26" s="825"/>
      <c r="R26" s="825"/>
      <c r="S26" s="825"/>
      <c r="T26" s="825"/>
      <c r="U26" s="825"/>
      <c r="V26" s="825"/>
      <c r="W26" s="825"/>
      <c r="X26" s="825"/>
      <c r="Y26" s="825"/>
      <c r="Z26" s="825"/>
    </row>
    <row r="27" spans="1:26" ht="19.5">
      <c r="A27" s="1512" t="s">
        <v>23</v>
      </c>
      <c r="B27" s="1494"/>
      <c r="C27" s="1494"/>
      <c r="D27" s="1494"/>
      <c r="E27" s="1494"/>
      <c r="F27" s="1494"/>
      <c r="G27" s="1495"/>
      <c r="H27" s="807"/>
      <c r="I27" s="808"/>
      <c r="J27" s="808"/>
      <c r="K27" s="809"/>
      <c r="L27" s="1467"/>
      <c r="M27" s="1467"/>
      <c r="N27" s="1467"/>
      <c r="O27" s="1467"/>
      <c r="P27" s="1467"/>
    </row>
    <row r="28" spans="1:26" ht="19.5">
      <c r="A28" s="810"/>
      <c r="B28" s="811"/>
      <c r="C28" s="812" t="s">
        <v>16</v>
      </c>
      <c r="D28" s="813" t="s">
        <v>17</v>
      </c>
      <c r="E28" s="811"/>
      <c r="F28" s="811"/>
      <c r="G28" s="814"/>
      <c r="H28" s="19" t="s">
        <v>12</v>
      </c>
      <c r="I28" s="815"/>
      <c r="J28" s="815"/>
      <c r="K28" s="816"/>
      <c r="L28" s="817">
        <f t="shared" ref="L28:N28" ca="1" si="16">L29+L30</f>
        <v>1291838</v>
      </c>
      <c r="M28" s="817">
        <f t="shared" si="16"/>
        <v>0</v>
      </c>
      <c r="N28" s="817">
        <f t="shared" si="16"/>
        <v>423693.2</v>
      </c>
      <c r="O28" s="817">
        <f t="shared" ref="O28:O37" ca="1" si="17">IF(L28&gt;0,N28*100/L28,0)</f>
        <v>32.797703736846259</v>
      </c>
      <c r="P28" s="817">
        <f t="shared" ref="P28:P37" si="18">IF(M28&gt;0,N28*100/M28,0)</f>
        <v>0</v>
      </c>
      <c r="Q28" s="818"/>
      <c r="R28" s="818"/>
      <c r="S28" s="818"/>
      <c r="T28" s="818"/>
      <c r="U28" s="818"/>
      <c r="V28" s="818"/>
      <c r="W28" s="818"/>
      <c r="X28" s="818"/>
      <c r="Y28" s="818"/>
      <c r="Z28" s="818"/>
    </row>
    <row r="29" spans="1:26" ht="18.75" hidden="1">
      <c r="A29" s="819"/>
      <c r="B29" s="820"/>
      <c r="C29" s="820"/>
      <c r="D29" s="820"/>
      <c r="E29" s="821" t="s">
        <v>18</v>
      </c>
      <c r="F29" s="820"/>
      <c r="G29" s="822"/>
      <c r="H29" s="28" t="s">
        <v>12</v>
      </c>
      <c r="I29" s="823"/>
      <c r="J29" s="823"/>
      <c r="K29" s="824"/>
      <c r="L29" s="824">
        <f t="shared" ref="L29:N30" si="19">L32+L35</f>
        <v>0</v>
      </c>
      <c r="M29" s="824">
        <f t="shared" si="19"/>
        <v>0</v>
      </c>
      <c r="N29" s="824">
        <f t="shared" si="19"/>
        <v>0</v>
      </c>
      <c r="O29" s="824">
        <f t="shared" si="17"/>
        <v>0</v>
      </c>
      <c r="P29" s="824">
        <f t="shared" si="18"/>
        <v>0</v>
      </c>
      <c r="Q29" s="825"/>
      <c r="R29" s="825"/>
      <c r="S29" s="825"/>
      <c r="T29" s="825"/>
      <c r="U29" s="825"/>
      <c r="V29" s="825"/>
      <c r="W29" s="825"/>
      <c r="X29" s="825"/>
      <c r="Y29" s="825"/>
      <c r="Z29" s="825"/>
    </row>
    <row r="30" spans="1:26" ht="18.75" hidden="1">
      <c r="A30" s="819"/>
      <c r="B30" s="820"/>
      <c r="C30" s="820"/>
      <c r="D30" s="820"/>
      <c r="E30" s="821" t="s">
        <v>19</v>
      </c>
      <c r="F30" s="820"/>
      <c r="G30" s="822"/>
      <c r="H30" s="28" t="s">
        <v>12</v>
      </c>
      <c r="I30" s="823"/>
      <c r="J30" s="823"/>
      <c r="K30" s="824"/>
      <c r="L30" s="824">
        <f t="shared" ca="1" si="19"/>
        <v>1291838</v>
      </c>
      <c r="M30" s="824">
        <f t="shared" si="19"/>
        <v>0</v>
      </c>
      <c r="N30" s="824">
        <f t="shared" si="19"/>
        <v>423693.2</v>
      </c>
      <c r="O30" s="824">
        <f t="shared" ca="1" si="17"/>
        <v>32.797703736846259</v>
      </c>
      <c r="P30" s="824">
        <f t="shared" si="18"/>
        <v>0</v>
      </c>
      <c r="Q30" s="825"/>
      <c r="R30" s="825"/>
      <c r="S30" s="825"/>
      <c r="T30" s="825"/>
      <c r="U30" s="825"/>
      <c r="V30" s="825"/>
      <c r="W30" s="825"/>
      <c r="X30" s="825"/>
      <c r="Y30" s="825"/>
      <c r="Z30" s="825"/>
    </row>
    <row r="31" spans="1:26" ht="18.75">
      <c r="A31" s="826"/>
      <c r="B31" s="827"/>
      <c r="C31" s="827"/>
      <c r="D31" s="828" t="s">
        <v>20</v>
      </c>
      <c r="E31" s="827"/>
      <c r="F31" s="827"/>
      <c r="G31" s="829"/>
      <c r="H31" s="590" t="s">
        <v>12</v>
      </c>
      <c r="I31" s="830"/>
      <c r="J31" s="830"/>
      <c r="K31" s="831"/>
      <c r="L31" s="831">
        <f t="shared" ref="L31:N31" ca="1" si="20">L32+L33</f>
        <v>1291838</v>
      </c>
      <c r="M31" s="831">
        <f t="shared" si="20"/>
        <v>0</v>
      </c>
      <c r="N31" s="831">
        <f t="shared" si="20"/>
        <v>423693.2</v>
      </c>
      <c r="O31" s="831">
        <f t="shared" ca="1" si="17"/>
        <v>32.797703736846259</v>
      </c>
      <c r="P31" s="831">
        <f t="shared" si="18"/>
        <v>0</v>
      </c>
      <c r="Q31" s="818"/>
      <c r="R31" s="818"/>
      <c r="S31" s="818"/>
      <c r="T31" s="818"/>
      <c r="U31" s="818"/>
      <c r="V31" s="818"/>
      <c r="W31" s="818"/>
      <c r="X31" s="818"/>
      <c r="Y31" s="818"/>
      <c r="Z31" s="818"/>
    </row>
    <row r="32" spans="1:26" ht="18.75" hidden="1">
      <c r="A32" s="832"/>
      <c r="B32" s="833"/>
      <c r="C32" s="833"/>
      <c r="D32" s="833"/>
      <c r="E32" s="834" t="s">
        <v>18</v>
      </c>
      <c r="F32" s="833"/>
      <c r="G32" s="835"/>
      <c r="H32" s="43" t="s">
        <v>12</v>
      </c>
      <c r="I32" s="836"/>
      <c r="J32" s="836"/>
      <c r="K32" s="837"/>
      <c r="L32" s="837">
        <f t="shared" ref="L32:N33" si="21">L423+L448+L471+L506+L527+L548+L633+L659+L689+L741+L758+L774+L790+L809</f>
        <v>0</v>
      </c>
      <c r="M32" s="837">
        <f t="shared" si="21"/>
        <v>0</v>
      </c>
      <c r="N32" s="837">
        <f t="shared" si="21"/>
        <v>0</v>
      </c>
      <c r="O32" s="837">
        <f t="shared" si="17"/>
        <v>0</v>
      </c>
      <c r="P32" s="837">
        <f t="shared" si="18"/>
        <v>0</v>
      </c>
      <c r="Q32" s="825"/>
      <c r="R32" s="825"/>
      <c r="S32" s="825"/>
      <c r="T32" s="825"/>
      <c r="U32" s="825"/>
      <c r="V32" s="825"/>
      <c r="W32" s="825"/>
      <c r="X32" s="825"/>
      <c r="Y32" s="825"/>
      <c r="Z32" s="825"/>
    </row>
    <row r="33" spans="1:26" ht="18.75" hidden="1">
      <c r="A33" s="832"/>
      <c r="B33" s="833"/>
      <c r="C33" s="833"/>
      <c r="D33" s="833"/>
      <c r="E33" s="834" t="s">
        <v>19</v>
      </c>
      <c r="F33" s="833"/>
      <c r="G33" s="835"/>
      <c r="H33" s="43" t="s">
        <v>12</v>
      </c>
      <c r="I33" s="836"/>
      <c r="J33" s="836"/>
      <c r="K33" s="837"/>
      <c r="L33" s="837">
        <f t="shared" ca="1" si="21"/>
        <v>1291838</v>
      </c>
      <c r="M33" s="837">
        <f t="shared" si="21"/>
        <v>0</v>
      </c>
      <c r="N33" s="837">
        <f t="shared" si="21"/>
        <v>423693.2</v>
      </c>
      <c r="O33" s="837">
        <f t="shared" ca="1" si="17"/>
        <v>32.797703736846259</v>
      </c>
      <c r="P33" s="837">
        <f t="shared" si="18"/>
        <v>0</v>
      </c>
      <c r="Q33" s="825"/>
      <c r="R33" s="825"/>
      <c r="S33" s="825"/>
      <c r="T33" s="825"/>
      <c r="U33" s="825"/>
      <c r="V33" s="825"/>
      <c r="W33" s="825"/>
      <c r="X33" s="825"/>
      <c r="Y33" s="825"/>
      <c r="Z33" s="825"/>
    </row>
    <row r="34" spans="1:26" ht="18.75">
      <c r="A34" s="826"/>
      <c r="B34" s="827"/>
      <c r="C34" s="827"/>
      <c r="D34" s="828" t="s">
        <v>21</v>
      </c>
      <c r="E34" s="827"/>
      <c r="F34" s="827"/>
      <c r="G34" s="829"/>
      <c r="H34" s="590" t="s">
        <v>12</v>
      </c>
      <c r="I34" s="830"/>
      <c r="J34" s="830"/>
      <c r="K34" s="831"/>
      <c r="L34" s="831">
        <f t="shared" ref="L34:N34" ca="1" si="22">L35+L36</f>
        <v>0</v>
      </c>
      <c r="M34" s="831">
        <f t="shared" si="22"/>
        <v>0</v>
      </c>
      <c r="N34" s="831">
        <f t="shared" si="22"/>
        <v>0</v>
      </c>
      <c r="O34" s="831">
        <f t="shared" ca="1" si="17"/>
        <v>0</v>
      </c>
      <c r="P34" s="831">
        <f t="shared" si="18"/>
        <v>0</v>
      </c>
      <c r="Q34" s="818"/>
      <c r="R34" s="818"/>
      <c r="S34" s="818"/>
      <c r="T34" s="818"/>
      <c r="U34" s="818"/>
      <c r="V34" s="818"/>
      <c r="W34" s="818"/>
      <c r="X34" s="818"/>
      <c r="Y34" s="818"/>
      <c r="Z34" s="818"/>
    </row>
    <row r="35" spans="1:26" ht="18.75" hidden="1">
      <c r="A35" s="832"/>
      <c r="B35" s="833"/>
      <c r="C35" s="833"/>
      <c r="D35" s="833"/>
      <c r="E35" s="834" t="s">
        <v>18</v>
      </c>
      <c r="F35" s="833"/>
      <c r="G35" s="835"/>
      <c r="H35" s="43" t="s">
        <v>12</v>
      </c>
      <c r="I35" s="836"/>
      <c r="J35" s="836"/>
      <c r="K35" s="837"/>
      <c r="L35" s="837">
        <f t="shared" ref="L35:N36" si="23">L430+L455+L478+L513+L534+L556+L640+L666+L696+L748+L765+L781+L797+L816</f>
        <v>0</v>
      </c>
      <c r="M35" s="837">
        <f t="shared" si="23"/>
        <v>0</v>
      </c>
      <c r="N35" s="837">
        <f t="shared" si="23"/>
        <v>0</v>
      </c>
      <c r="O35" s="837">
        <f t="shared" si="17"/>
        <v>0</v>
      </c>
      <c r="P35" s="837">
        <f t="shared" si="18"/>
        <v>0</v>
      </c>
      <c r="Q35" s="825"/>
      <c r="R35" s="825"/>
      <c r="S35" s="825"/>
      <c r="T35" s="825"/>
      <c r="U35" s="825"/>
      <c r="V35" s="825"/>
      <c r="W35" s="825"/>
      <c r="X35" s="825"/>
      <c r="Y35" s="825"/>
      <c r="Z35" s="825"/>
    </row>
    <row r="36" spans="1:26" ht="18.75" hidden="1">
      <c r="A36" s="838"/>
      <c r="B36" s="839"/>
      <c r="C36" s="839"/>
      <c r="D36" s="839"/>
      <c r="E36" s="840" t="s">
        <v>19</v>
      </c>
      <c r="F36" s="839"/>
      <c r="G36" s="841"/>
      <c r="H36" s="50" t="s">
        <v>12</v>
      </c>
      <c r="I36" s="842"/>
      <c r="J36" s="842"/>
      <c r="K36" s="843"/>
      <c r="L36" s="843">
        <f t="shared" ca="1" si="23"/>
        <v>0</v>
      </c>
      <c r="M36" s="843">
        <f t="shared" si="23"/>
        <v>0</v>
      </c>
      <c r="N36" s="843">
        <f t="shared" si="23"/>
        <v>0</v>
      </c>
      <c r="O36" s="843">
        <f t="shared" ca="1" si="17"/>
        <v>0</v>
      </c>
      <c r="P36" s="843">
        <f t="shared" si="18"/>
        <v>0</v>
      </c>
      <c r="Q36" s="825"/>
      <c r="R36" s="825"/>
      <c r="S36" s="825"/>
      <c r="T36" s="825"/>
      <c r="U36" s="825"/>
      <c r="V36" s="825"/>
      <c r="W36" s="825"/>
      <c r="X36" s="825"/>
      <c r="Y36" s="825"/>
      <c r="Z36" s="825"/>
    </row>
    <row r="37" spans="1:26" ht="19.5">
      <c r="A37" s="844" t="s">
        <v>24</v>
      </c>
      <c r="B37" s="845"/>
      <c r="C37" s="845"/>
      <c r="D37" s="845"/>
      <c r="E37" s="845"/>
      <c r="F37" s="845"/>
      <c r="G37" s="846"/>
      <c r="H37" s="847"/>
      <c r="I37" s="848"/>
      <c r="J37" s="848"/>
      <c r="K37" s="849"/>
      <c r="L37" s="850">
        <f t="shared" ref="L37:N37" ca="1" si="24">L41+L53+L66+L88+L119+L132+L149+L165+L181+L261+L277+L298+L315+L328+L345+L389+L402</f>
        <v>3106670</v>
      </c>
      <c r="M37" s="850">
        <f t="shared" ca="1" si="24"/>
        <v>2538212</v>
      </c>
      <c r="N37" s="850">
        <f t="shared" ca="1" si="24"/>
        <v>1524944.56</v>
      </c>
      <c r="O37" s="850">
        <f t="shared" ca="1" si="17"/>
        <v>49.086145615723588</v>
      </c>
      <c r="P37" s="850">
        <f t="shared" ca="1" si="18"/>
        <v>60.0794795706584</v>
      </c>
    </row>
    <row r="38" spans="1:26" ht="19.5">
      <c r="A38" s="851" t="s">
        <v>25</v>
      </c>
      <c r="B38" s="852"/>
      <c r="C38" s="852"/>
      <c r="D38" s="852"/>
      <c r="E38" s="852"/>
      <c r="F38" s="852"/>
      <c r="G38" s="853"/>
      <c r="H38" s="854"/>
      <c r="I38" s="855"/>
      <c r="J38" s="855"/>
      <c r="K38" s="856"/>
      <c r="L38" s="856"/>
      <c r="M38" s="856"/>
      <c r="N38" s="856"/>
      <c r="O38" s="856"/>
      <c r="P38" s="856"/>
    </row>
    <row r="39" spans="1:26" ht="19.5">
      <c r="A39" s="857"/>
      <c r="B39" s="858" t="s">
        <v>26</v>
      </c>
      <c r="C39" s="859"/>
      <c r="D39" s="859"/>
      <c r="E39" s="859"/>
      <c r="F39" s="859"/>
      <c r="G39" s="860"/>
      <c r="H39" s="861"/>
      <c r="I39" s="862"/>
      <c r="J39" s="862"/>
      <c r="K39" s="863"/>
      <c r="L39" s="863"/>
      <c r="M39" s="863"/>
      <c r="N39" s="863"/>
      <c r="O39" s="863"/>
      <c r="P39" s="863"/>
    </row>
    <row r="40" spans="1:26" ht="19.5">
      <c r="A40" s="864"/>
      <c r="B40" s="1513" t="s">
        <v>27</v>
      </c>
      <c r="C40" s="1485"/>
      <c r="D40" s="1485"/>
      <c r="E40" s="1485"/>
      <c r="F40" s="1485"/>
      <c r="G40" s="1491"/>
      <c r="H40" s="865"/>
      <c r="I40" s="866"/>
      <c r="J40" s="866"/>
      <c r="K40" s="867"/>
      <c r="L40" s="1468"/>
      <c r="M40" s="1468"/>
      <c r="N40" s="1468"/>
      <c r="O40" s="1468"/>
      <c r="P40" s="1468"/>
    </row>
    <row r="41" spans="1:26" ht="19.5">
      <c r="A41" s="868"/>
      <c r="B41" s="869"/>
      <c r="C41" s="870" t="s">
        <v>16</v>
      </c>
      <c r="D41" s="871" t="s">
        <v>17</v>
      </c>
      <c r="E41" s="869"/>
      <c r="F41" s="869"/>
      <c r="G41" s="872"/>
      <c r="H41" s="82" t="s">
        <v>12</v>
      </c>
      <c r="I41" s="873"/>
      <c r="J41" s="873"/>
      <c r="K41" s="874"/>
      <c r="L41" s="875">
        <f t="shared" ref="L41:N41" ca="1" si="25">L42+L43</f>
        <v>405400</v>
      </c>
      <c r="M41" s="875">
        <f t="shared" ca="1" si="25"/>
        <v>416277</v>
      </c>
      <c r="N41" s="875">
        <f t="shared" ca="1" si="25"/>
        <v>191146</v>
      </c>
      <c r="O41" s="875">
        <f t="shared" ref="O41:O49" ca="1" si="26">IF(L41&gt;0,N41*100/L41,0)</f>
        <v>47.149975333004441</v>
      </c>
      <c r="P41" s="875">
        <f t="shared" ref="P41:P49" ca="1" si="27">IF(M41&gt;0,N41*100/M41,0)</f>
        <v>45.917982497231414</v>
      </c>
      <c r="Q41" s="818"/>
      <c r="R41" s="818"/>
      <c r="S41" s="818"/>
      <c r="T41" s="818"/>
      <c r="U41" s="818"/>
      <c r="V41" s="818"/>
      <c r="W41" s="818"/>
      <c r="X41" s="818"/>
      <c r="Y41" s="818"/>
      <c r="Z41" s="818"/>
    </row>
    <row r="42" spans="1:26" ht="18.75" hidden="1">
      <c r="A42" s="876"/>
      <c r="B42" s="877"/>
      <c r="C42" s="877"/>
      <c r="D42" s="877"/>
      <c r="E42" s="878" t="s">
        <v>18</v>
      </c>
      <c r="F42" s="877"/>
      <c r="G42" s="879"/>
      <c r="H42" s="90" t="s">
        <v>12</v>
      </c>
      <c r="I42" s="880"/>
      <c r="J42" s="880"/>
      <c r="K42" s="881"/>
      <c r="L42" s="881">
        <f t="shared" ref="L42:N43" si="28">L45+L48</f>
        <v>0</v>
      </c>
      <c r="M42" s="881">
        <f t="shared" si="28"/>
        <v>0</v>
      </c>
      <c r="N42" s="881">
        <f t="shared" si="28"/>
        <v>0</v>
      </c>
      <c r="O42" s="881">
        <f t="shared" si="26"/>
        <v>0</v>
      </c>
      <c r="P42" s="881">
        <f t="shared" si="27"/>
        <v>0</v>
      </c>
      <c r="Q42" s="825"/>
      <c r="R42" s="825"/>
      <c r="S42" s="825"/>
      <c r="T42" s="825"/>
      <c r="U42" s="825"/>
      <c r="V42" s="825"/>
      <c r="W42" s="825"/>
      <c r="X42" s="825"/>
      <c r="Y42" s="825"/>
      <c r="Z42" s="825"/>
    </row>
    <row r="43" spans="1:26" ht="18.75" hidden="1">
      <c r="A43" s="876"/>
      <c r="B43" s="877"/>
      <c r="C43" s="877"/>
      <c r="D43" s="877"/>
      <c r="E43" s="878" t="s">
        <v>19</v>
      </c>
      <c r="F43" s="877"/>
      <c r="G43" s="879"/>
      <c r="H43" s="90" t="s">
        <v>12</v>
      </c>
      <c r="I43" s="880"/>
      <c r="J43" s="880"/>
      <c r="K43" s="881"/>
      <c r="L43" s="881">
        <f t="shared" ca="1" si="28"/>
        <v>405400</v>
      </c>
      <c r="M43" s="881">
        <f t="shared" ca="1" si="28"/>
        <v>416277</v>
      </c>
      <c r="N43" s="881">
        <f t="shared" ca="1" si="28"/>
        <v>191146</v>
      </c>
      <c r="O43" s="881">
        <f t="shared" ca="1" si="26"/>
        <v>47.149975333004441</v>
      </c>
      <c r="P43" s="881">
        <f t="shared" ca="1" si="27"/>
        <v>45.917982497231414</v>
      </c>
      <c r="Q43" s="825"/>
      <c r="R43" s="825"/>
      <c r="S43" s="825"/>
      <c r="T43" s="825"/>
      <c r="U43" s="825"/>
      <c r="V43" s="825"/>
      <c r="W43" s="825"/>
      <c r="X43" s="825"/>
      <c r="Y43" s="825"/>
      <c r="Z43" s="825"/>
    </row>
    <row r="44" spans="1:26" ht="18.75">
      <c r="A44" s="826"/>
      <c r="B44" s="827"/>
      <c r="C44" s="827"/>
      <c r="D44" s="828" t="s">
        <v>20</v>
      </c>
      <c r="E44" s="827"/>
      <c r="F44" s="827"/>
      <c r="G44" s="829"/>
      <c r="H44" s="590" t="s">
        <v>12</v>
      </c>
      <c r="I44" s="830"/>
      <c r="J44" s="830"/>
      <c r="K44" s="831"/>
      <c r="L44" s="831">
        <f t="shared" ref="L44:N44" ca="1" si="29">L45+L46</f>
        <v>405400</v>
      </c>
      <c r="M44" s="831">
        <f t="shared" ca="1" si="29"/>
        <v>416277</v>
      </c>
      <c r="N44" s="831">
        <f t="shared" ca="1" si="29"/>
        <v>191146</v>
      </c>
      <c r="O44" s="831">
        <f t="shared" ca="1" si="26"/>
        <v>47.149975333004441</v>
      </c>
      <c r="P44" s="831">
        <f t="shared" ca="1" si="27"/>
        <v>45.917982497231414</v>
      </c>
      <c r="Q44" s="818"/>
      <c r="R44" s="818"/>
      <c r="S44" s="818"/>
      <c r="T44" s="818"/>
      <c r="U44" s="818"/>
      <c r="V44" s="818"/>
      <c r="W44" s="818"/>
      <c r="X44" s="818"/>
      <c r="Y44" s="818"/>
      <c r="Z44" s="818"/>
    </row>
    <row r="45" spans="1:26" ht="18.75" hidden="1">
      <c r="A45" s="832"/>
      <c r="B45" s="833"/>
      <c r="C45" s="833"/>
      <c r="D45" s="833"/>
      <c r="E45" s="834" t="s">
        <v>18</v>
      </c>
      <c r="F45" s="833"/>
      <c r="G45" s="835"/>
      <c r="H45" s="43" t="s">
        <v>12</v>
      </c>
      <c r="I45" s="836"/>
      <c r="J45" s="836"/>
      <c r="K45" s="837"/>
      <c r="L45" s="837">
        <v>0</v>
      </c>
      <c r="M45" s="837">
        <v>0</v>
      </c>
      <c r="N45" s="837">
        <v>0</v>
      </c>
      <c r="O45" s="837">
        <f t="shared" si="26"/>
        <v>0</v>
      </c>
      <c r="P45" s="837">
        <f t="shared" si="27"/>
        <v>0</v>
      </c>
      <c r="Q45" s="825"/>
      <c r="R45" s="825"/>
      <c r="S45" s="825"/>
      <c r="T45" s="825"/>
      <c r="U45" s="825"/>
      <c r="V45" s="825"/>
      <c r="W45" s="825"/>
      <c r="X45" s="825"/>
      <c r="Y45" s="825"/>
      <c r="Z45" s="825"/>
    </row>
    <row r="46" spans="1:26" ht="18.75" hidden="1">
      <c r="A46" s="832"/>
      <c r="B46" s="833"/>
      <c r="C46" s="833"/>
      <c r="D46" s="833"/>
      <c r="E46" s="834" t="s">
        <v>19</v>
      </c>
      <c r="F46" s="833"/>
      <c r="G46" s="835"/>
      <c r="H46" s="43" t="s">
        <v>12</v>
      </c>
      <c r="I46" s="836"/>
      <c r="J46" s="836"/>
      <c r="K46" s="837"/>
      <c r="L46" s="837">
        <f ca="1">IFERROR(__xludf.DUMMYFUNCTION("IMPORTRANGE(""https://docs.google.com/spreadsheets/d/1MeEWN-I1oV_STSDYn1IFDPWt_1FKiwhDph83XaGc0o0/edit?usp=sharing"",""งบพรบ!M17"")"),405400)</f>
        <v>405400</v>
      </c>
      <c r="M46" s="837">
        <f ca="1">IFERROR(__xludf.DUMMYFUNCTION("IMPORTRANGE(""https://docs.google.com/spreadsheets/d/1MeEWN-I1oV_STSDYn1IFDPWt_1FKiwhDph83XaGc0o0/edit?usp=sharing"",""งบพรบ!R17"")"),416277)</f>
        <v>416277</v>
      </c>
      <c r="N46" s="837">
        <f ca="1">IFERROR(__xludf.DUMMYFUNCTION("IMPORTRANGE(""https://docs.google.com/spreadsheets/d/1MeEWN-I1oV_STSDYn1IFDPWt_1FKiwhDph83XaGc0o0/edit?usp=sharing"",""งบพรบ!T17"")"),191146)</f>
        <v>191146</v>
      </c>
      <c r="O46" s="837">
        <f t="shared" ca="1" si="26"/>
        <v>47.149975333004441</v>
      </c>
      <c r="P46" s="837">
        <f t="shared" ca="1" si="27"/>
        <v>45.917982497231414</v>
      </c>
      <c r="Q46" s="825"/>
      <c r="R46" s="825"/>
      <c r="S46" s="825"/>
      <c r="T46" s="825"/>
      <c r="U46" s="825"/>
      <c r="V46" s="825"/>
      <c r="W46" s="825"/>
      <c r="X46" s="825"/>
      <c r="Y46" s="825"/>
      <c r="Z46" s="825"/>
    </row>
    <row r="47" spans="1:26" ht="18.75">
      <c r="A47" s="826"/>
      <c r="B47" s="827"/>
      <c r="C47" s="827"/>
      <c r="D47" s="828" t="s">
        <v>21</v>
      </c>
      <c r="E47" s="827"/>
      <c r="F47" s="827"/>
      <c r="G47" s="829"/>
      <c r="H47" s="590" t="s">
        <v>12</v>
      </c>
      <c r="I47" s="830"/>
      <c r="J47" s="830"/>
      <c r="K47" s="831"/>
      <c r="L47" s="831">
        <f t="shared" ref="L47:N47" ca="1" si="30">L48+L49</f>
        <v>0</v>
      </c>
      <c r="M47" s="831">
        <f t="shared" ca="1" si="30"/>
        <v>0</v>
      </c>
      <c r="N47" s="831">
        <f t="shared" ca="1" si="30"/>
        <v>0</v>
      </c>
      <c r="O47" s="831">
        <f t="shared" ca="1" si="26"/>
        <v>0</v>
      </c>
      <c r="P47" s="831">
        <f t="shared" ca="1" si="27"/>
        <v>0</v>
      </c>
      <c r="Q47" s="818"/>
      <c r="R47" s="818"/>
      <c r="S47" s="818"/>
      <c r="T47" s="818"/>
      <c r="U47" s="818"/>
      <c r="V47" s="818"/>
      <c r="W47" s="818"/>
      <c r="X47" s="818"/>
      <c r="Y47" s="818"/>
      <c r="Z47" s="818"/>
    </row>
    <row r="48" spans="1:26" ht="18.75" hidden="1">
      <c r="A48" s="832"/>
      <c r="B48" s="833"/>
      <c r="C48" s="833"/>
      <c r="D48" s="833"/>
      <c r="E48" s="834" t="s">
        <v>18</v>
      </c>
      <c r="F48" s="833"/>
      <c r="G48" s="835"/>
      <c r="H48" s="43" t="s">
        <v>12</v>
      </c>
      <c r="I48" s="836"/>
      <c r="J48" s="836"/>
      <c r="K48" s="837"/>
      <c r="L48" s="837">
        <v>0</v>
      </c>
      <c r="M48" s="837">
        <v>0</v>
      </c>
      <c r="N48" s="837">
        <v>0</v>
      </c>
      <c r="O48" s="837">
        <f t="shared" si="26"/>
        <v>0</v>
      </c>
      <c r="P48" s="837">
        <f t="shared" si="27"/>
        <v>0</v>
      </c>
      <c r="Q48" s="825"/>
      <c r="R48" s="825"/>
      <c r="S48" s="825"/>
      <c r="T48" s="825"/>
      <c r="U48" s="825"/>
      <c r="V48" s="825"/>
      <c r="W48" s="825"/>
      <c r="X48" s="825"/>
      <c r="Y48" s="825"/>
      <c r="Z48" s="825"/>
    </row>
    <row r="49" spans="1:26" ht="18.75" hidden="1">
      <c r="A49" s="838"/>
      <c r="B49" s="839"/>
      <c r="C49" s="839"/>
      <c r="D49" s="839"/>
      <c r="E49" s="840" t="s">
        <v>19</v>
      </c>
      <c r="F49" s="839"/>
      <c r="G49" s="841"/>
      <c r="H49" s="50" t="s">
        <v>12</v>
      </c>
      <c r="I49" s="842"/>
      <c r="J49" s="842"/>
      <c r="K49" s="843"/>
      <c r="L49" s="843">
        <f ca="1">IFERROR(__xludf.DUMMYFUNCTION("IMPORTRANGE(""https://docs.google.com/spreadsheets/d/1MeEWN-I1oV_STSDYn1IFDPWt_1FKiwhDph83XaGc0o0/edit?usp=sharing"",""งบพรบ!P17"")"),0)</f>
        <v>0</v>
      </c>
      <c r="M49" s="843">
        <f ca="1">IFERROR(__xludf.DUMMYFUNCTION("IMPORTRANGE(""https://docs.google.com/spreadsheets/d/1MeEWN-I1oV_STSDYn1IFDPWt_1FKiwhDph83XaGc0o0/edit?usp=sharing"",""งบพรบ!S17"")"),0)</f>
        <v>0</v>
      </c>
      <c r="N49" s="843">
        <f ca="1">IFERROR(__xludf.DUMMYFUNCTION("IMPORTRANGE(""https://docs.google.com/spreadsheets/d/1MeEWN-I1oV_STSDYn1IFDPWt_1FKiwhDph83XaGc0o0/edit?usp=sharing"",""งบพรบ!U17"")"),0)</f>
        <v>0</v>
      </c>
      <c r="O49" s="843">
        <f t="shared" ca="1" si="26"/>
        <v>0</v>
      </c>
      <c r="P49" s="843">
        <f t="shared" ca="1" si="27"/>
        <v>0</v>
      </c>
      <c r="Q49" s="825"/>
      <c r="R49" s="825"/>
      <c r="S49" s="825"/>
      <c r="T49" s="825"/>
      <c r="U49" s="825"/>
      <c r="V49" s="825"/>
      <c r="W49" s="825"/>
      <c r="X49" s="825"/>
      <c r="Y49" s="825"/>
      <c r="Z49" s="825"/>
    </row>
    <row r="50" spans="1:26" ht="19.5" hidden="1">
      <c r="A50" s="1514" t="s">
        <v>28</v>
      </c>
      <c r="B50" s="1494"/>
      <c r="C50" s="1494"/>
      <c r="D50" s="1494"/>
      <c r="E50" s="1494"/>
      <c r="F50" s="1494"/>
      <c r="G50" s="1495"/>
      <c r="H50" s="882"/>
      <c r="I50" s="883"/>
      <c r="J50" s="883"/>
      <c r="K50" s="884"/>
      <c r="L50" s="884"/>
      <c r="M50" s="884"/>
      <c r="N50" s="884"/>
      <c r="O50" s="884"/>
      <c r="P50" s="884"/>
    </row>
    <row r="51" spans="1:26" ht="19.5" hidden="1">
      <c r="A51" s="885"/>
      <c r="B51" s="1515" t="s">
        <v>29</v>
      </c>
      <c r="C51" s="1485"/>
      <c r="D51" s="1485"/>
      <c r="E51" s="1485"/>
      <c r="F51" s="1485"/>
      <c r="G51" s="1491"/>
      <c r="H51" s="886"/>
      <c r="I51" s="887"/>
      <c r="J51" s="887"/>
      <c r="K51" s="888"/>
      <c r="L51" s="888"/>
      <c r="M51" s="888"/>
      <c r="N51" s="888"/>
      <c r="O51" s="888"/>
      <c r="P51" s="888"/>
    </row>
    <row r="52" spans="1:26" ht="19.5">
      <c r="A52" s="889"/>
      <c r="B52" s="890" t="s">
        <v>30</v>
      </c>
      <c r="C52" s="891"/>
      <c r="D52" s="891"/>
      <c r="E52" s="891"/>
      <c r="F52" s="891"/>
      <c r="G52" s="892"/>
      <c r="H52" s="893"/>
      <c r="I52" s="894"/>
      <c r="J52" s="894"/>
      <c r="K52" s="895"/>
      <c r="L52" s="1469"/>
      <c r="M52" s="1469"/>
      <c r="N52" s="1469"/>
      <c r="O52" s="1469"/>
      <c r="P52" s="1469"/>
    </row>
    <row r="53" spans="1:26" ht="19.5">
      <c r="A53" s="896"/>
      <c r="B53" s="897"/>
      <c r="C53" s="898" t="s">
        <v>16</v>
      </c>
      <c r="D53" s="899" t="s">
        <v>17</v>
      </c>
      <c r="E53" s="897"/>
      <c r="F53" s="897"/>
      <c r="G53" s="900"/>
      <c r="H53" s="113" t="s">
        <v>12</v>
      </c>
      <c r="I53" s="901"/>
      <c r="J53" s="901"/>
      <c r="K53" s="902"/>
      <c r="L53" s="903">
        <f t="shared" ref="L53:N53" ca="1" si="31">L54+L55</f>
        <v>724500</v>
      </c>
      <c r="M53" s="903">
        <f t="shared" ca="1" si="31"/>
        <v>545350</v>
      </c>
      <c r="N53" s="903">
        <f t="shared" ca="1" si="31"/>
        <v>330325.42</v>
      </c>
      <c r="O53" s="903">
        <f t="shared" ref="O53:O61" ca="1" si="32">IF(L53&gt;0,N53*100/L53,0)</f>
        <v>45.593570738440306</v>
      </c>
      <c r="P53" s="903">
        <f t="shared" ref="P53:P61" ca="1" si="33">IF(M53&gt;0,N53*100/M53,0)</f>
        <v>60.571269826716787</v>
      </c>
      <c r="Q53" s="818"/>
      <c r="R53" s="818"/>
      <c r="S53" s="818"/>
      <c r="T53" s="818"/>
      <c r="U53" s="818"/>
      <c r="V53" s="818"/>
      <c r="W53" s="818"/>
      <c r="X53" s="818"/>
      <c r="Y53" s="818"/>
      <c r="Z53" s="818"/>
    </row>
    <row r="54" spans="1:26" ht="18.75" hidden="1">
      <c r="A54" s="904"/>
      <c r="B54" s="905"/>
      <c r="C54" s="905"/>
      <c r="D54" s="905"/>
      <c r="E54" s="906" t="s">
        <v>18</v>
      </c>
      <c r="F54" s="905"/>
      <c r="G54" s="907"/>
      <c r="H54" s="121" t="s">
        <v>12</v>
      </c>
      <c r="I54" s="908"/>
      <c r="J54" s="908"/>
      <c r="K54" s="909"/>
      <c r="L54" s="909">
        <f t="shared" ref="L54:N55" si="34">L57+L60</f>
        <v>0</v>
      </c>
      <c r="M54" s="909">
        <f t="shared" si="34"/>
        <v>0</v>
      </c>
      <c r="N54" s="909">
        <f t="shared" si="34"/>
        <v>0</v>
      </c>
      <c r="O54" s="909">
        <f t="shared" si="32"/>
        <v>0</v>
      </c>
      <c r="P54" s="909">
        <f t="shared" si="33"/>
        <v>0</v>
      </c>
      <c r="Q54" s="825"/>
      <c r="R54" s="825"/>
      <c r="S54" s="825"/>
      <c r="T54" s="825"/>
      <c r="U54" s="825"/>
      <c r="V54" s="825"/>
      <c r="W54" s="825"/>
      <c r="X54" s="825"/>
      <c r="Y54" s="825"/>
      <c r="Z54" s="825"/>
    </row>
    <row r="55" spans="1:26" ht="18.75" hidden="1">
      <c r="A55" s="904"/>
      <c r="B55" s="905"/>
      <c r="C55" s="905"/>
      <c r="D55" s="905"/>
      <c r="E55" s="906" t="s">
        <v>19</v>
      </c>
      <c r="F55" s="905"/>
      <c r="G55" s="907"/>
      <c r="H55" s="121" t="s">
        <v>12</v>
      </c>
      <c r="I55" s="908"/>
      <c r="J55" s="908"/>
      <c r="K55" s="909"/>
      <c r="L55" s="909">
        <f t="shared" ca="1" si="34"/>
        <v>724500</v>
      </c>
      <c r="M55" s="909">
        <f t="shared" ca="1" si="34"/>
        <v>545350</v>
      </c>
      <c r="N55" s="909">
        <f t="shared" ca="1" si="34"/>
        <v>330325.42</v>
      </c>
      <c r="O55" s="909">
        <f t="shared" ca="1" si="32"/>
        <v>45.593570738440306</v>
      </c>
      <c r="P55" s="909">
        <f t="shared" ca="1" si="33"/>
        <v>60.571269826716787</v>
      </c>
      <c r="Q55" s="825"/>
      <c r="R55" s="825"/>
      <c r="S55" s="825"/>
      <c r="T55" s="825"/>
      <c r="U55" s="825"/>
      <c r="V55" s="825"/>
      <c r="W55" s="825"/>
      <c r="X55" s="825"/>
      <c r="Y55" s="825"/>
      <c r="Z55" s="825"/>
    </row>
    <row r="56" spans="1:26" ht="18.75">
      <c r="A56" s="826"/>
      <c r="B56" s="827"/>
      <c r="C56" s="827"/>
      <c r="D56" s="828" t="s">
        <v>20</v>
      </c>
      <c r="E56" s="827"/>
      <c r="F56" s="827"/>
      <c r="G56" s="829"/>
      <c r="H56" s="590" t="s">
        <v>12</v>
      </c>
      <c r="I56" s="830"/>
      <c r="J56" s="830"/>
      <c r="K56" s="831"/>
      <c r="L56" s="831">
        <f t="shared" ref="L56:N56" ca="1" si="35">L57+L58</f>
        <v>696600</v>
      </c>
      <c r="M56" s="831">
        <f t="shared" ca="1" si="35"/>
        <v>522450</v>
      </c>
      <c r="N56" s="831">
        <f t="shared" ca="1" si="35"/>
        <v>307425.42</v>
      </c>
      <c r="O56" s="831">
        <f t="shared" ca="1" si="32"/>
        <v>44.132273901808787</v>
      </c>
      <c r="P56" s="831">
        <f t="shared" ca="1" si="33"/>
        <v>58.843031869078381</v>
      </c>
      <c r="Q56" s="818"/>
      <c r="R56" s="818"/>
      <c r="S56" s="818"/>
      <c r="T56" s="818"/>
      <c r="U56" s="818"/>
      <c r="V56" s="818"/>
      <c r="W56" s="818"/>
      <c r="X56" s="818"/>
      <c r="Y56" s="818"/>
      <c r="Z56" s="818"/>
    </row>
    <row r="57" spans="1:26" ht="18.75" hidden="1">
      <c r="A57" s="832"/>
      <c r="B57" s="833"/>
      <c r="C57" s="833"/>
      <c r="D57" s="833"/>
      <c r="E57" s="834" t="s">
        <v>18</v>
      </c>
      <c r="F57" s="833"/>
      <c r="G57" s="835"/>
      <c r="H57" s="43" t="s">
        <v>12</v>
      </c>
      <c r="I57" s="836"/>
      <c r="J57" s="836"/>
      <c r="K57" s="837"/>
      <c r="L57" s="837">
        <v>0</v>
      </c>
      <c r="M57" s="837">
        <v>0</v>
      </c>
      <c r="N57" s="837">
        <v>0</v>
      </c>
      <c r="O57" s="837">
        <f t="shared" si="32"/>
        <v>0</v>
      </c>
      <c r="P57" s="837">
        <f t="shared" si="33"/>
        <v>0</v>
      </c>
      <c r="Q57" s="825"/>
      <c r="R57" s="825"/>
      <c r="S57" s="825"/>
      <c r="T57" s="825"/>
      <c r="U57" s="825"/>
      <c r="V57" s="825"/>
      <c r="W57" s="825"/>
      <c r="X57" s="825"/>
      <c r="Y57" s="825"/>
      <c r="Z57" s="825"/>
    </row>
    <row r="58" spans="1:26" ht="18.75" hidden="1">
      <c r="A58" s="832"/>
      <c r="B58" s="833"/>
      <c r="C58" s="833"/>
      <c r="D58" s="833"/>
      <c r="E58" s="834" t="s">
        <v>19</v>
      </c>
      <c r="F58" s="833"/>
      <c r="G58" s="835"/>
      <c r="H58" s="43" t="s">
        <v>12</v>
      </c>
      <c r="I58" s="836"/>
      <c r="J58" s="836"/>
      <c r="K58" s="837"/>
      <c r="L58" s="837">
        <f ca="1">IFERROR(__xludf.DUMMYFUNCTION("IMPORTRANGE(""https://docs.google.com/spreadsheets/d/1MeEWN-I1oV_STSDYn1IFDPWt_1FKiwhDph83XaGc0o0/edit?usp=sharing"",""งบพรบ!W17"")"),696600)</f>
        <v>696600</v>
      </c>
      <c r="M58" s="837">
        <f ca="1">IFERROR(__xludf.DUMMYFUNCTION("IMPORTRANGE(""https://docs.google.com/spreadsheets/d/1MeEWN-I1oV_STSDYn1IFDPWt_1FKiwhDph83XaGc0o0/edit?usp=sharing"",""งบพรบ!AB17"")"),522450)</f>
        <v>522450</v>
      </c>
      <c r="N58" s="837">
        <f ca="1">IFERROR(__xludf.DUMMYFUNCTION("IMPORTRANGE(""https://docs.google.com/spreadsheets/d/1MeEWN-I1oV_STSDYn1IFDPWt_1FKiwhDph83XaGc0o0/edit?usp=sharing"",""งบพรบ!AD17"")"),307425.42)</f>
        <v>307425.42</v>
      </c>
      <c r="O58" s="837">
        <f t="shared" ca="1" si="32"/>
        <v>44.132273901808787</v>
      </c>
      <c r="P58" s="837">
        <f t="shared" ca="1" si="33"/>
        <v>58.843031869078381</v>
      </c>
      <c r="Q58" s="825"/>
      <c r="R58" s="825"/>
      <c r="S58" s="825"/>
      <c r="T58" s="825"/>
      <c r="U58" s="825"/>
      <c r="V58" s="825"/>
      <c r="W58" s="825"/>
      <c r="X58" s="825"/>
      <c r="Y58" s="825"/>
      <c r="Z58" s="825"/>
    </row>
    <row r="59" spans="1:26" ht="18.75">
      <c r="A59" s="826"/>
      <c r="B59" s="827"/>
      <c r="C59" s="827"/>
      <c r="D59" s="828" t="s">
        <v>21</v>
      </c>
      <c r="E59" s="827"/>
      <c r="F59" s="827"/>
      <c r="G59" s="829"/>
      <c r="H59" s="590" t="s">
        <v>12</v>
      </c>
      <c r="I59" s="830"/>
      <c r="J59" s="830"/>
      <c r="K59" s="831"/>
      <c r="L59" s="831">
        <f t="shared" ref="L59:N59" ca="1" si="36">L60+L61</f>
        <v>27900</v>
      </c>
      <c r="M59" s="831">
        <f t="shared" ca="1" si="36"/>
        <v>22900</v>
      </c>
      <c r="N59" s="831">
        <f t="shared" ca="1" si="36"/>
        <v>22900</v>
      </c>
      <c r="O59" s="831">
        <f t="shared" ca="1" si="32"/>
        <v>82.078853046594986</v>
      </c>
      <c r="P59" s="831">
        <f t="shared" ca="1" si="33"/>
        <v>100</v>
      </c>
      <c r="Q59" s="818"/>
      <c r="R59" s="818"/>
      <c r="S59" s="818"/>
      <c r="T59" s="818"/>
      <c r="U59" s="818"/>
      <c r="V59" s="818"/>
      <c r="W59" s="818"/>
      <c r="X59" s="818"/>
      <c r="Y59" s="818"/>
      <c r="Z59" s="818"/>
    </row>
    <row r="60" spans="1:26" ht="18.75" hidden="1">
      <c r="A60" s="832"/>
      <c r="B60" s="833"/>
      <c r="C60" s="833"/>
      <c r="D60" s="833"/>
      <c r="E60" s="834" t="s">
        <v>18</v>
      </c>
      <c r="F60" s="833"/>
      <c r="G60" s="835"/>
      <c r="H60" s="43" t="s">
        <v>12</v>
      </c>
      <c r="I60" s="836"/>
      <c r="J60" s="836"/>
      <c r="K60" s="837"/>
      <c r="L60" s="837">
        <v>0</v>
      </c>
      <c r="M60" s="837">
        <v>0</v>
      </c>
      <c r="N60" s="837">
        <v>0</v>
      </c>
      <c r="O60" s="837">
        <f t="shared" si="32"/>
        <v>0</v>
      </c>
      <c r="P60" s="837">
        <f t="shared" si="33"/>
        <v>0</v>
      </c>
      <c r="Q60" s="825"/>
      <c r="R60" s="825"/>
      <c r="S60" s="825"/>
      <c r="T60" s="825"/>
      <c r="U60" s="825"/>
      <c r="V60" s="825"/>
      <c r="W60" s="825"/>
      <c r="X60" s="825"/>
      <c r="Y60" s="825"/>
      <c r="Z60" s="825"/>
    </row>
    <row r="61" spans="1:26" ht="18.75" hidden="1">
      <c r="A61" s="838"/>
      <c r="B61" s="839"/>
      <c r="C61" s="839"/>
      <c r="D61" s="839"/>
      <c r="E61" s="840" t="s">
        <v>19</v>
      </c>
      <c r="F61" s="839"/>
      <c r="G61" s="841"/>
      <c r="H61" s="50" t="s">
        <v>12</v>
      </c>
      <c r="I61" s="842"/>
      <c r="J61" s="842"/>
      <c r="K61" s="843"/>
      <c r="L61" s="843">
        <f ca="1">IFERROR(__xludf.DUMMYFUNCTION("IMPORTRANGE(""https://docs.google.com/spreadsheets/d/1MeEWN-I1oV_STSDYn1IFDPWt_1FKiwhDph83XaGc0o0/edit?usp=sharing"",""งบพรบ!Z17"")"),27900)</f>
        <v>27900</v>
      </c>
      <c r="M61" s="843">
        <f ca="1">IFERROR(__xludf.DUMMYFUNCTION("IMPORTRANGE(""https://docs.google.com/spreadsheets/d/1MeEWN-I1oV_STSDYn1IFDPWt_1FKiwhDph83XaGc0o0/edit?usp=sharing"",""งบพรบ!AC17"")"),22900)</f>
        <v>22900</v>
      </c>
      <c r="N61" s="843">
        <f ca="1">IFERROR(__xludf.DUMMYFUNCTION("IMPORTRANGE(""https://docs.google.com/spreadsheets/d/1MeEWN-I1oV_STSDYn1IFDPWt_1FKiwhDph83XaGc0o0/edit?usp=sharing"",""งบพรบ!AE17"")"),22900)</f>
        <v>22900</v>
      </c>
      <c r="O61" s="843">
        <f t="shared" ca="1" si="32"/>
        <v>82.078853046594986</v>
      </c>
      <c r="P61" s="843">
        <f t="shared" ca="1" si="33"/>
        <v>100</v>
      </c>
      <c r="Q61" s="825"/>
      <c r="R61" s="825"/>
      <c r="S61" s="825"/>
      <c r="T61" s="825"/>
      <c r="U61" s="825"/>
      <c r="V61" s="825"/>
      <c r="W61" s="825"/>
      <c r="X61" s="825"/>
      <c r="Y61" s="825"/>
      <c r="Z61" s="825"/>
    </row>
    <row r="62" spans="1:26" ht="19.5" hidden="1">
      <c r="A62" s="910" t="s">
        <v>31</v>
      </c>
      <c r="B62" s="911"/>
      <c r="C62" s="911"/>
      <c r="D62" s="911"/>
      <c r="E62" s="912"/>
      <c r="F62" s="912"/>
      <c r="G62" s="913"/>
      <c r="H62" s="914"/>
      <c r="I62" s="915"/>
      <c r="J62" s="915"/>
      <c r="K62" s="916"/>
      <c r="L62" s="916"/>
      <c r="M62" s="916"/>
      <c r="N62" s="916"/>
      <c r="O62" s="916"/>
      <c r="P62" s="916"/>
    </row>
    <row r="63" spans="1:26" ht="19.5" hidden="1">
      <c r="A63" s="917" t="s">
        <v>32</v>
      </c>
      <c r="B63" s="918"/>
      <c r="C63" s="919"/>
      <c r="D63" s="918"/>
      <c r="E63" s="918"/>
      <c r="F63" s="918"/>
      <c r="G63" s="920"/>
      <c r="H63" s="921"/>
      <c r="I63" s="922"/>
      <c r="J63" s="922"/>
      <c r="K63" s="923"/>
      <c r="L63" s="923"/>
      <c r="M63" s="923"/>
      <c r="N63" s="923"/>
      <c r="O63" s="923"/>
      <c r="P63" s="923"/>
    </row>
    <row r="64" spans="1:26" ht="19.5" hidden="1">
      <c r="A64" s="924"/>
      <c r="B64" s="925" t="s">
        <v>33</v>
      </c>
      <c r="C64" s="926"/>
      <c r="D64" s="927"/>
      <c r="E64" s="926"/>
      <c r="F64" s="926"/>
      <c r="G64" s="928"/>
      <c r="H64" s="205" t="s">
        <v>34</v>
      </c>
      <c r="I64" s="929">
        <f t="shared" ref="I64:J65" ca="1" si="37">I76</f>
        <v>0</v>
      </c>
      <c r="J64" s="929">
        <f t="shared" si="37"/>
        <v>0</v>
      </c>
      <c r="K64" s="930">
        <f t="shared" ref="K64:K65" ca="1" si="38">IF(I64&gt;0,J64*100/I64,0)</f>
        <v>0</v>
      </c>
      <c r="L64" s="931"/>
      <c r="M64" s="931"/>
      <c r="N64" s="931"/>
      <c r="O64" s="931"/>
      <c r="P64" s="931"/>
    </row>
    <row r="65" spans="1:26" ht="19.5" hidden="1">
      <c r="A65" s="924"/>
      <c r="B65" s="926"/>
      <c r="C65" s="926"/>
      <c r="D65" s="927"/>
      <c r="E65" s="926"/>
      <c r="F65" s="926"/>
      <c r="G65" s="928"/>
      <c r="H65" s="205" t="s">
        <v>35</v>
      </c>
      <c r="I65" s="929">
        <f t="shared" ca="1" si="37"/>
        <v>0</v>
      </c>
      <c r="J65" s="929">
        <f t="shared" si="37"/>
        <v>0</v>
      </c>
      <c r="K65" s="930">
        <f t="shared" ca="1" si="38"/>
        <v>0</v>
      </c>
      <c r="L65" s="931"/>
      <c r="M65" s="931"/>
      <c r="N65" s="931"/>
      <c r="O65" s="931"/>
      <c r="P65" s="931"/>
    </row>
    <row r="66" spans="1:26" ht="19.5" hidden="1">
      <c r="A66" s="932"/>
      <c r="B66" s="933"/>
      <c r="C66" s="934" t="s">
        <v>16</v>
      </c>
      <c r="D66" s="935" t="s">
        <v>17</v>
      </c>
      <c r="E66" s="933"/>
      <c r="F66" s="933"/>
      <c r="G66" s="936"/>
      <c r="H66" s="152" t="s">
        <v>12</v>
      </c>
      <c r="I66" s="937"/>
      <c r="J66" s="937"/>
      <c r="K66" s="938"/>
      <c r="L66" s="939">
        <f t="shared" ref="L66:N66" ca="1" si="39">L67+L68</f>
        <v>0</v>
      </c>
      <c r="M66" s="939">
        <f t="shared" ca="1" si="39"/>
        <v>0</v>
      </c>
      <c r="N66" s="939">
        <f t="shared" ca="1" si="39"/>
        <v>0</v>
      </c>
      <c r="O66" s="939">
        <f t="shared" ref="O66:O74" ca="1" si="40">IF(L66&gt;0,N66*100/L66,0)</f>
        <v>0</v>
      </c>
      <c r="P66" s="939">
        <f t="shared" ref="P66:P74" ca="1" si="41">IF(M66&gt;0,N66*100/M66,0)</f>
        <v>0</v>
      </c>
      <c r="Q66" s="818"/>
      <c r="R66" s="818"/>
      <c r="S66" s="818"/>
      <c r="T66" s="818"/>
      <c r="U66" s="818"/>
      <c r="V66" s="818"/>
      <c r="W66" s="818"/>
      <c r="X66" s="818"/>
      <c r="Y66" s="818"/>
      <c r="Z66" s="818"/>
    </row>
    <row r="67" spans="1:26" ht="18.75" hidden="1">
      <c r="A67" s="940"/>
      <c r="B67" s="833"/>
      <c r="C67" s="833"/>
      <c r="D67" s="833"/>
      <c r="E67" s="834" t="s">
        <v>18</v>
      </c>
      <c r="F67" s="833"/>
      <c r="G67" s="941"/>
      <c r="H67" s="158" t="s">
        <v>12</v>
      </c>
      <c r="I67" s="836"/>
      <c r="J67" s="836"/>
      <c r="K67" s="837"/>
      <c r="L67" s="837">
        <f t="shared" ref="L67:N68" si="42">L70+L73</f>
        <v>0</v>
      </c>
      <c r="M67" s="837">
        <f t="shared" si="42"/>
        <v>0</v>
      </c>
      <c r="N67" s="837">
        <f t="shared" si="42"/>
        <v>0</v>
      </c>
      <c r="O67" s="837">
        <f t="shared" si="40"/>
        <v>0</v>
      </c>
      <c r="P67" s="837">
        <f t="shared" si="41"/>
        <v>0</v>
      </c>
      <c r="Q67" s="825"/>
      <c r="R67" s="825"/>
      <c r="S67" s="825"/>
      <c r="T67" s="825"/>
      <c r="U67" s="825"/>
      <c r="V67" s="825"/>
      <c r="W67" s="825"/>
      <c r="X67" s="825"/>
      <c r="Y67" s="825"/>
      <c r="Z67" s="825"/>
    </row>
    <row r="68" spans="1:26" ht="18.75" hidden="1">
      <c r="A68" s="940"/>
      <c r="B68" s="833"/>
      <c r="C68" s="833"/>
      <c r="D68" s="833"/>
      <c r="E68" s="834" t="s">
        <v>19</v>
      </c>
      <c r="F68" s="833"/>
      <c r="G68" s="941"/>
      <c r="H68" s="158" t="s">
        <v>12</v>
      </c>
      <c r="I68" s="836"/>
      <c r="J68" s="836"/>
      <c r="K68" s="837"/>
      <c r="L68" s="837">
        <f t="shared" ca="1" si="42"/>
        <v>0</v>
      </c>
      <c r="M68" s="837">
        <f t="shared" ca="1" si="42"/>
        <v>0</v>
      </c>
      <c r="N68" s="837">
        <f t="shared" ca="1" si="42"/>
        <v>0</v>
      </c>
      <c r="O68" s="837">
        <f t="shared" ca="1" si="40"/>
        <v>0</v>
      </c>
      <c r="P68" s="837">
        <f t="shared" ca="1" si="41"/>
        <v>0</v>
      </c>
      <c r="Q68" s="825"/>
      <c r="R68" s="825"/>
      <c r="S68" s="825"/>
      <c r="T68" s="825"/>
      <c r="U68" s="825"/>
      <c r="V68" s="825"/>
      <c r="W68" s="825"/>
      <c r="X68" s="825"/>
      <c r="Y68" s="825"/>
      <c r="Z68" s="825"/>
    </row>
    <row r="69" spans="1:26" ht="18.75" hidden="1">
      <c r="A69" s="942"/>
      <c r="B69" s="827"/>
      <c r="C69" s="943"/>
      <c r="D69" s="828" t="s">
        <v>20</v>
      </c>
      <c r="E69" s="827"/>
      <c r="F69" s="827"/>
      <c r="G69" s="829"/>
      <c r="H69" s="778" t="s">
        <v>12</v>
      </c>
      <c r="I69" s="944"/>
      <c r="J69" s="944"/>
      <c r="K69" s="945"/>
      <c r="L69" s="831">
        <f t="shared" ref="L69:N69" ca="1" si="43">L70+L71</f>
        <v>0</v>
      </c>
      <c r="M69" s="831">
        <f t="shared" ca="1" si="43"/>
        <v>0</v>
      </c>
      <c r="N69" s="831">
        <f t="shared" ca="1" si="43"/>
        <v>0</v>
      </c>
      <c r="O69" s="831">
        <f t="shared" ca="1" si="40"/>
        <v>0</v>
      </c>
      <c r="P69" s="831">
        <f t="shared" ca="1" si="41"/>
        <v>0</v>
      </c>
      <c r="Q69" s="818"/>
      <c r="R69" s="818"/>
      <c r="S69" s="818"/>
      <c r="T69" s="818"/>
      <c r="U69" s="818"/>
      <c r="V69" s="818"/>
      <c r="W69" s="818"/>
      <c r="X69" s="818"/>
      <c r="Y69" s="818"/>
      <c r="Z69" s="818"/>
    </row>
    <row r="70" spans="1:26" ht="19.5" hidden="1">
      <c r="A70" s="940"/>
      <c r="B70" s="833"/>
      <c r="C70" s="946"/>
      <c r="D70" s="833"/>
      <c r="E70" s="834" t="s">
        <v>36</v>
      </c>
      <c r="F70" s="833"/>
      <c r="G70" s="941"/>
      <c r="H70" s="165" t="s">
        <v>12</v>
      </c>
      <c r="I70" s="947"/>
      <c r="J70" s="947"/>
      <c r="K70" s="948"/>
      <c r="L70" s="837">
        <v>0</v>
      </c>
      <c r="M70" s="837">
        <v>0</v>
      </c>
      <c r="N70" s="837">
        <v>0</v>
      </c>
      <c r="O70" s="837">
        <f t="shared" si="40"/>
        <v>0</v>
      </c>
      <c r="P70" s="837">
        <f t="shared" si="41"/>
        <v>0</v>
      </c>
      <c r="Q70" s="825"/>
      <c r="R70" s="825"/>
      <c r="S70" s="825"/>
      <c r="T70" s="825"/>
      <c r="U70" s="825"/>
      <c r="V70" s="825"/>
      <c r="W70" s="825"/>
      <c r="X70" s="825"/>
      <c r="Y70" s="825"/>
      <c r="Z70" s="825"/>
    </row>
    <row r="71" spans="1:26" ht="19.5" hidden="1">
      <c r="A71" s="940"/>
      <c r="B71" s="833"/>
      <c r="C71" s="946"/>
      <c r="D71" s="833"/>
      <c r="E71" s="834" t="s">
        <v>37</v>
      </c>
      <c r="F71" s="833"/>
      <c r="G71" s="941"/>
      <c r="H71" s="165" t="s">
        <v>12</v>
      </c>
      <c r="I71" s="947"/>
      <c r="J71" s="947"/>
      <c r="K71" s="948"/>
      <c r="L71" s="837">
        <f ca="1">IFERROR(__xludf.DUMMYFUNCTION("IMPORTRANGE(""https://docs.google.com/spreadsheets/d/1MeEWN-I1oV_STSDYn1IFDPWt_1FKiwhDph83XaGc0o0/edit?usp=sharing"",""งบพรบ!AG17"")"),0)</f>
        <v>0</v>
      </c>
      <c r="M71" s="837">
        <f ca="1">IFERROR(__xludf.DUMMYFUNCTION("IMPORTRANGE(""https://docs.google.com/spreadsheets/d/1MeEWN-I1oV_STSDYn1IFDPWt_1FKiwhDph83XaGc0o0/edit?usp=sharing"",""งบพรบ!AL17"")"),0)</f>
        <v>0</v>
      </c>
      <c r="N71" s="837">
        <f ca="1">IFERROR(__xludf.DUMMYFUNCTION("IMPORTRANGE(""https://docs.google.com/spreadsheets/d/1MeEWN-I1oV_STSDYn1IFDPWt_1FKiwhDph83XaGc0o0/edit?usp=sharing"",""งบพรบ!AN17"")"),0)</f>
        <v>0</v>
      </c>
      <c r="O71" s="837">
        <f t="shared" ca="1" si="40"/>
        <v>0</v>
      </c>
      <c r="P71" s="837">
        <f t="shared" ca="1" si="41"/>
        <v>0</v>
      </c>
      <c r="Q71" s="825"/>
      <c r="R71" s="825"/>
      <c r="S71" s="825"/>
      <c r="T71" s="825"/>
      <c r="U71" s="825"/>
      <c r="V71" s="825"/>
      <c r="W71" s="825"/>
      <c r="X71" s="825"/>
      <c r="Y71" s="825"/>
      <c r="Z71" s="825"/>
    </row>
    <row r="72" spans="1:26" ht="18.75" hidden="1">
      <c r="A72" s="942"/>
      <c r="B72" s="827"/>
      <c r="C72" s="943"/>
      <c r="D72" s="828" t="s">
        <v>21</v>
      </c>
      <c r="E72" s="827"/>
      <c r="F72" s="827"/>
      <c r="G72" s="829"/>
      <c r="H72" s="168" t="s">
        <v>12</v>
      </c>
      <c r="I72" s="944"/>
      <c r="J72" s="944"/>
      <c r="K72" s="945"/>
      <c r="L72" s="831">
        <f t="shared" ref="L72:N72" ca="1" si="44">L73+L74</f>
        <v>0</v>
      </c>
      <c r="M72" s="831">
        <f t="shared" ca="1" si="44"/>
        <v>0</v>
      </c>
      <c r="N72" s="831">
        <f t="shared" ca="1" si="44"/>
        <v>0</v>
      </c>
      <c r="O72" s="831">
        <f t="shared" ca="1" si="40"/>
        <v>0</v>
      </c>
      <c r="P72" s="831">
        <f t="shared" ca="1" si="41"/>
        <v>0</v>
      </c>
      <c r="Q72" s="818"/>
      <c r="R72" s="818"/>
      <c r="S72" s="818"/>
      <c r="T72" s="818"/>
      <c r="U72" s="818"/>
      <c r="V72" s="818"/>
      <c r="W72" s="818"/>
      <c r="X72" s="818"/>
      <c r="Y72" s="818"/>
      <c r="Z72" s="818"/>
    </row>
    <row r="73" spans="1:26" ht="19.5" hidden="1">
      <c r="A73" s="940"/>
      <c r="B73" s="833"/>
      <c r="C73" s="946"/>
      <c r="D73" s="833"/>
      <c r="E73" s="834" t="s">
        <v>18</v>
      </c>
      <c r="F73" s="833"/>
      <c r="G73" s="941"/>
      <c r="H73" s="165" t="s">
        <v>12</v>
      </c>
      <c r="I73" s="947"/>
      <c r="J73" s="947"/>
      <c r="K73" s="948"/>
      <c r="L73" s="837">
        <v>0</v>
      </c>
      <c r="M73" s="837"/>
      <c r="N73" s="837"/>
      <c r="O73" s="837">
        <f t="shared" si="40"/>
        <v>0</v>
      </c>
      <c r="P73" s="837">
        <f t="shared" si="41"/>
        <v>0</v>
      </c>
      <c r="Q73" s="825"/>
      <c r="R73" s="825"/>
      <c r="S73" s="825"/>
      <c r="T73" s="825"/>
      <c r="U73" s="825"/>
      <c r="V73" s="825"/>
      <c r="W73" s="825"/>
      <c r="X73" s="825"/>
      <c r="Y73" s="825"/>
      <c r="Z73" s="825"/>
    </row>
    <row r="74" spans="1:26" ht="19.5" hidden="1">
      <c r="A74" s="940"/>
      <c r="B74" s="833"/>
      <c r="C74" s="946"/>
      <c r="D74" s="833"/>
      <c r="E74" s="834" t="s">
        <v>19</v>
      </c>
      <c r="F74" s="833"/>
      <c r="G74" s="941"/>
      <c r="H74" s="169" t="s">
        <v>12</v>
      </c>
      <c r="I74" s="947"/>
      <c r="J74" s="947"/>
      <c r="K74" s="948"/>
      <c r="L74" s="837">
        <f ca="1">IFERROR(__xludf.DUMMYFUNCTION("IMPORTRANGE(""https://docs.google.com/spreadsheets/d/1MeEWN-I1oV_STSDYn1IFDPWt_1FKiwhDph83XaGc0o0/edit?usp=sharing"",""งบพรบ!AJ17"")"),0)</f>
        <v>0</v>
      </c>
      <c r="M74" s="837">
        <f ca="1">IFERROR(__xludf.DUMMYFUNCTION("IMPORTRANGE(""https://docs.google.com/spreadsheets/d/1MeEWN-I1oV_STSDYn1IFDPWt_1FKiwhDph83XaGc0o0/edit?usp=sharing"",""งบพรบ!AM17"")"),0)</f>
        <v>0</v>
      </c>
      <c r="N74" s="837">
        <f ca="1">IFERROR(__xludf.DUMMYFUNCTION("IMPORTRANGE(""https://docs.google.com/spreadsheets/d/1MeEWN-I1oV_STSDYn1IFDPWt_1FKiwhDph83XaGc0o0/edit?usp=sharing"",""งบพรบ!AO17"")"),0)</f>
        <v>0</v>
      </c>
      <c r="O74" s="837">
        <f t="shared" ca="1" si="40"/>
        <v>0</v>
      </c>
      <c r="P74" s="837">
        <f t="shared" ca="1" si="41"/>
        <v>0</v>
      </c>
      <c r="Q74" s="825"/>
      <c r="R74" s="825"/>
      <c r="S74" s="825"/>
      <c r="T74" s="825"/>
      <c r="U74" s="825"/>
      <c r="V74" s="825"/>
      <c r="W74" s="825"/>
      <c r="X74" s="825"/>
      <c r="Y74" s="825"/>
      <c r="Z74" s="825"/>
    </row>
    <row r="75" spans="1:26" ht="19.5" hidden="1">
      <c r="A75" s="949"/>
      <c r="B75" s="950"/>
      <c r="C75" s="946" t="s">
        <v>16</v>
      </c>
      <c r="D75" s="951" t="s">
        <v>38</v>
      </c>
      <c r="E75" s="952"/>
      <c r="F75" s="952"/>
      <c r="G75" s="953"/>
      <c r="H75" s="954"/>
      <c r="I75" s="944"/>
      <c r="J75" s="944"/>
      <c r="K75" s="945"/>
      <c r="L75" s="945"/>
      <c r="M75" s="945"/>
      <c r="N75" s="945"/>
      <c r="O75" s="945"/>
      <c r="P75" s="945"/>
    </row>
    <row r="76" spans="1:26" ht="19.5" hidden="1">
      <c r="A76" s="949"/>
      <c r="B76" s="950"/>
      <c r="C76" s="950"/>
      <c r="D76" s="955" t="s">
        <v>39</v>
      </c>
      <c r="E76" s="956"/>
      <c r="F76" s="957"/>
      <c r="G76" s="958"/>
      <c r="H76" s="180" t="s">
        <v>34</v>
      </c>
      <c r="I76" s="830">
        <f t="shared" ref="I76:J77" ca="1" si="45">I78+I80+I82</f>
        <v>0</v>
      </c>
      <c r="J76" s="830">
        <f t="shared" si="45"/>
        <v>0</v>
      </c>
      <c r="K76" s="945">
        <f t="shared" ref="K76:K84" ca="1" si="46">IF(I76&gt;0,J76*100/I76,0)</f>
        <v>0</v>
      </c>
      <c r="L76" s="945"/>
      <c r="M76" s="945"/>
      <c r="N76" s="945"/>
      <c r="O76" s="945"/>
      <c r="P76" s="945"/>
    </row>
    <row r="77" spans="1:26" ht="19.5" hidden="1">
      <c r="A77" s="949"/>
      <c r="B77" s="950"/>
      <c r="C77" s="950"/>
      <c r="D77" s="950"/>
      <c r="E77" s="957"/>
      <c r="F77" s="957"/>
      <c r="G77" s="958"/>
      <c r="H77" s="180" t="s">
        <v>35</v>
      </c>
      <c r="I77" s="830">
        <f t="shared" ca="1" si="45"/>
        <v>0</v>
      </c>
      <c r="J77" s="830">
        <f t="shared" si="45"/>
        <v>0</v>
      </c>
      <c r="K77" s="945">
        <f t="shared" ca="1" si="46"/>
        <v>0</v>
      </c>
      <c r="L77" s="945"/>
      <c r="M77" s="945"/>
      <c r="N77" s="945"/>
      <c r="O77" s="945"/>
      <c r="P77" s="945"/>
    </row>
    <row r="78" spans="1:26" ht="18.75" hidden="1">
      <c r="A78" s="949"/>
      <c r="B78" s="950"/>
      <c r="C78" s="950"/>
      <c r="D78" s="950"/>
      <c r="E78" s="956" t="s">
        <v>40</v>
      </c>
      <c r="F78" s="956"/>
      <c r="G78" s="958"/>
      <c r="H78" s="730" t="s">
        <v>34</v>
      </c>
      <c r="I78" s="944">
        <f ca="1">IFERROR(__xludf.DUMMYFUNCTION("IMPORTRANGE(""https://docs.google.com/spreadsheets/d/1QqKyyYR6Q21VydFLVH3TRQUabQu_ym0Zz7PgGX0-kHA/edit?usp=sharing"",""แผน!H17"")"),0)</f>
        <v>0</v>
      </c>
      <c r="J78" s="959">
        <v>0</v>
      </c>
      <c r="K78" s="945">
        <f t="shared" ca="1" si="46"/>
        <v>0</v>
      </c>
      <c r="L78" s="945"/>
      <c r="M78" s="945"/>
      <c r="N78" s="945"/>
      <c r="O78" s="945"/>
      <c r="P78" s="945"/>
    </row>
    <row r="79" spans="1:26" ht="18.75" hidden="1">
      <c r="A79" s="949"/>
      <c r="B79" s="950"/>
      <c r="C79" s="950"/>
      <c r="D79" s="950"/>
      <c r="E79" s="957"/>
      <c r="F79" s="957"/>
      <c r="G79" s="958"/>
      <c r="H79" s="730" t="s">
        <v>35</v>
      </c>
      <c r="I79" s="944">
        <f ca="1">IFERROR(__xludf.DUMMYFUNCTION("IMPORTRANGE(""https://docs.google.com/spreadsheets/d/1QqKyyYR6Q21VydFLVH3TRQUabQu_ym0Zz7PgGX0-kHA/edit?usp=sharing"",""แผน!I17"")"),0)</f>
        <v>0</v>
      </c>
      <c r="J79" s="959">
        <v>0</v>
      </c>
      <c r="K79" s="945">
        <f t="shared" ca="1" si="46"/>
        <v>0</v>
      </c>
      <c r="L79" s="945"/>
      <c r="M79" s="945"/>
      <c r="N79" s="945"/>
      <c r="O79" s="945"/>
      <c r="P79" s="945"/>
    </row>
    <row r="80" spans="1:26" ht="18.75" hidden="1">
      <c r="A80" s="949"/>
      <c r="B80" s="950"/>
      <c r="C80" s="950"/>
      <c r="D80" s="950"/>
      <c r="E80" s="956" t="s">
        <v>41</v>
      </c>
      <c r="F80" s="956"/>
      <c r="G80" s="958"/>
      <c r="H80" s="730" t="s">
        <v>34</v>
      </c>
      <c r="I80" s="944">
        <f ca="1">IFERROR(__xludf.DUMMYFUNCTION("IMPORTRANGE(""https://docs.google.com/spreadsheets/d/1QqKyyYR6Q21VydFLVH3TRQUabQu_ym0Zz7PgGX0-kHA/edit?usp=sharing"",""แผน!F17"")"),0)</f>
        <v>0</v>
      </c>
      <c r="J80" s="959">
        <v>0</v>
      </c>
      <c r="K80" s="945">
        <f t="shared" ca="1" si="46"/>
        <v>0</v>
      </c>
      <c r="L80" s="945"/>
      <c r="M80" s="945"/>
      <c r="N80" s="945"/>
      <c r="O80" s="945"/>
      <c r="P80" s="945"/>
    </row>
    <row r="81" spans="1:26" ht="18.75" hidden="1">
      <c r="A81" s="949"/>
      <c r="B81" s="950"/>
      <c r="C81" s="950"/>
      <c r="D81" s="950"/>
      <c r="E81" s="957"/>
      <c r="F81" s="957"/>
      <c r="G81" s="958"/>
      <c r="H81" s="730" t="s">
        <v>35</v>
      </c>
      <c r="I81" s="944">
        <f ca="1">IFERROR(__xludf.DUMMYFUNCTION("IMPORTRANGE(""https://docs.google.com/spreadsheets/d/1QqKyyYR6Q21VydFLVH3TRQUabQu_ym0Zz7PgGX0-kHA/edit?usp=sharing"",""แผน!G17"")"),0)</f>
        <v>0</v>
      </c>
      <c r="J81" s="959">
        <v>0</v>
      </c>
      <c r="K81" s="945">
        <f t="shared" ca="1" si="46"/>
        <v>0</v>
      </c>
      <c r="L81" s="945"/>
      <c r="M81" s="945"/>
      <c r="N81" s="945"/>
      <c r="O81" s="945"/>
      <c r="P81" s="945"/>
    </row>
    <row r="82" spans="1:26" ht="18.75" hidden="1">
      <c r="A82" s="949"/>
      <c r="B82" s="950"/>
      <c r="C82" s="950"/>
      <c r="D82" s="950"/>
      <c r="E82" s="956" t="s">
        <v>42</v>
      </c>
      <c r="F82" s="956"/>
      <c r="G82" s="958"/>
      <c r="H82" s="730" t="s">
        <v>34</v>
      </c>
      <c r="I82" s="944">
        <f ca="1">IFERROR(__xludf.DUMMYFUNCTION("IMPORTRANGE(""https://docs.google.com/spreadsheets/d/1QqKyyYR6Q21VydFLVH3TRQUabQu_ym0Zz7PgGX0-kHA/edit?usp=sharing"",""แผน!D17"")"),0)</f>
        <v>0</v>
      </c>
      <c r="J82" s="959">
        <v>0</v>
      </c>
      <c r="K82" s="945">
        <f t="shared" ca="1" si="46"/>
        <v>0</v>
      </c>
      <c r="L82" s="945"/>
      <c r="M82" s="945"/>
      <c r="N82" s="945"/>
      <c r="O82" s="945"/>
      <c r="P82" s="945"/>
    </row>
    <row r="83" spans="1:26" ht="18.75" hidden="1">
      <c r="A83" s="949"/>
      <c r="B83" s="950"/>
      <c r="C83" s="950"/>
      <c r="D83" s="950"/>
      <c r="E83" s="957"/>
      <c r="F83" s="957"/>
      <c r="G83" s="958"/>
      <c r="H83" s="730" t="s">
        <v>35</v>
      </c>
      <c r="I83" s="944">
        <f ca="1">IFERROR(__xludf.DUMMYFUNCTION("IMPORTRANGE(""https://docs.google.com/spreadsheets/d/1QqKyyYR6Q21VydFLVH3TRQUabQu_ym0Zz7PgGX0-kHA/edit?usp=sharing"",""แผน!E17"")"),0)</f>
        <v>0</v>
      </c>
      <c r="J83" s="959">
        <v>0</v>
      </c>
      <c r="K83" s="945">
        <f t="shared" ca="1" si="46"/>
        <v>0</v>
      </c>
      <c r="L83" s="945"/>
      <c r="M83" s="945"/>
      <c r="N83" s="945"/>
      <c r="O83" s="945"/>
      <c r="P83" s="945"/>
    </row>
    <row r="84" spans="1:26" ht="18.75" hidden="1">
      <c r="A84" s="949"/>
      <c r="B84" s="950"/>
      <c r="C84" s="950"/>
      <c r="D84" s="955" t="s">
        <v>43</v>
      </c>
      <c r="E84" s="956"/>
      <c r="F84" s="957"/>
      <c r="G84" s="958"/>
      <c r="H84" s="777" t="s">
        <v>34</v>
      </c>
      <c r="I84" s="944">
        <f ca="1">IFERROR(__xludf.DUMMYFUNCTION("IMPORTRANGE(""https://docs.google.com/spreadsheets/d/1QqKyyYR6Q21VydFLVH3TRQUabQu_ym0Zz7PgGX0-kHA/edit?usp=sharing"",""แผน!J17"")"),0)</f>
        <v>0</v>
      </c>
      <c r="J84" s="959">
        <v>0</v>
      </c>
      <c r="K84" s="945">
        <f t="shared" ca="1" si="46"/>
        <v>0</v>
      </c>
      <c r="L84" s="945"/>
      <c r="M84" s="945"/>
      <c r="N84" s="945"/>
      <c r="O84" s="945"/>
      <c r="P84" s="945"/>
    </row>
    <row r="85" spans="1:26" ht="19.5" hidden="1">
      <c r="A85" s="917" t="s">
        <v>44</v>
      </c>
      <c r="B85" s="918"/>
      <c r="C85" s="919"/>
      <c r="D85" s="918"/>
      <c r="E85" s="918"/>
      <c r="F85" s="918"/>
      <c r="G85" s="920"/>
      <c r="H85" s="921"/>
      <c r="I85" s="922"/>
      <c r="J85" s="922"/>
      <c r="K85" s="923"/>
      <c r="L85" s="923"/>
      <c r="M85" s="923"/>
      <c r="N85" s="923"/>
      <c r="O85" s="923"/>
      <c r="P85" s="923"/>
    </row>
    <row r="86" spans="1:26" ht="19.5">
      <c r="A86" s="924"/>
      <c r="B86" s="925" t="s">
        <v>45</v>
      </c>
      <c r="C86" s="926"/>
      <c r="D86" s="927"/>
      <c r="E86" s="926"/>
      <c r="F86" s="926"/>
      <c r="G86" s="928"/>
      <c r="H86" s="205" t="s">
        <v>46</v>
      </c>
      <c r="I86" s="929">
        <f t="shared" ref="I86:J87" ca="1" si="47">I98</f>
        <v>30</v>
      </c>
      <c r="J86" s="929">
        <f t="shared" si="47"/>
        <v>30</v>
      </c>
      <c r="K86" s="930">
        <f t="shared" ref="K86:K87" ca="1" si="48">IF(I86&gt;0,J86*100/I86,0)</f>
        <v>100</v>
      </c>
      <c r="L86" s="930"/>
      <c r="M86" s="930"/>
      <c r="N86" s="930"/>
      <c r="O86" s="930"/>
      <c r="P86" s="930"/>
    </row>
    <row r="87" spans="1:26" ht="19.5">
      <c r="A87" s="924"/>
      <c r="B87" s="926"/>
      <c r="C87" s="926"/>
      <c r="D87" s="927"/>
      <c r="E87" s="926"/>
      <c r="F87" s="926"/>
      <c r="G87" s="928"/>
      <c r="H87" s="205" t="s">
        <v>35</v>
      </c>
      <c r="I87" s="929">
        <f t="shared" ca="1" si="47"/>
        <v>10</v>
      </c>
      <c r="J87" s="929">
        <f t="shared" si="47"/>
        <v>10</v>
      </c>
      <c r="K87" s="930">
        <f t="shared" ca="1" si="48"/>
        <v>100</v>
      </c>
      <c r="L87" s="931"/>
      <c r="M87" s="931"/>
      <c r="N87" s="931"/>
      <c r="O87" s="931"/>
      <c r="P87" s="931"/>
    </row>
    <row r="88" spans="1:26" ht="19.5">
      <c r="A88" s="932"/>
      <c r="B88" s="933"/>
      <c r="C88" s="934" t="s">
        <v>16</v>
      </c>
      <c r="D88" s="935" t="s">
        <v>17</v>
      </c>
      <c r="E88" s="933"/>
      <c r="F88" s="933"/>
      <c r="G88" s="936"/>
      <c r="H88" s="152" t="s">
        <v>12</v>
      </c>
      <c r="I88" s="937"/>
      <c r="J88" s="937"/>
      <c r="K88" s="938"/>
      <c r="L88" s="939">
        <f t="shared" ref="L88:N88" ca="1" si="49">L89+L90</f>
        <v>56040</v>
      </c>
      <c r="M88" s="939">
        <f t="shared" ca="1" si="49"/>
        <v>51190</v>
      </c>
      <c r="N88" s="939">
        <f t="shared" ca="1" si="49"/>
        <v>46385</v>
      </c>
      <c r="O88" s="939">
        <f t="shared" ref="O88:O96" ca="1" si="50">IF(L88&gt;0,N88*100/L88,0)</f>
        <v>82.771234832262664</v>
      </c>
      <c r="P88" s="939">
        <f t="shared" ref="P88:P96" ca="1" si="51">IF(M88&gt;0,N88*100/M88,0)</f>
        <v>90.613401054893529</v>
      </c>
      <c r="Q88" s="818"/>
      <c r="R88" s="818"/>
      <c r="S88" s="818"/>
      <c r="T88" s="818"/>
      <c r="U88" s="818"/>
      <c r="V88" s="818"/>
      <c r="W88" s="818"/>
      <c r="X88" s="818"/>
      <c r="Y88" s="818"/>
      <c r="Z88" s="818"/>
    </row>
    <row r="89" spans="1:26" ht="18.75" hidden="1">
      <c r="A89" s="940"/>
      <c r="B89" s="833"/>
      <c r="C89" s="833"/>
      <c r="D89" s="833"/>
      <c r="E89" s="834" t="s">
        <v>18</v>
      </c>
      <c r="F89" s="833"/>
      <c r="G89" s="941"/>
      <c r="H89" s="158" t="s">
        <v>12</v>
      </c>
      <c r="I89" s="836"/>
      <c r="J89" s="836"/>
      <c r="K89" s="837"/>
      <c r="L89" s="837">
        <f t="shared" ref="L89:N90" si="52">L92+L95</f>
        <v>0</v>
      </c>
      <c r="M89" s="837">
        <f t="shared" si="52"/>
        <v>0</v>
      </c>
      <c r="N89" s="837">
        <f t="shared" si="52"/>
        <v>0</v>
      </c>
      <c r="O89" s="837">
        <f t="shared" si="50"/>
        <v>0</v>
      </c>
      <c r="P89" s="837">
        <f t="shared" si="51"/>
        <v>0</v>
      </c>
      <c r="Q89" s="825"/>
      <c r="R89" s="825"/>
      <c r="S89" s="825"/>
      <c r="T89" s="825"/>
      <c r="U89" s="825"/>
      <c r="V89" s="825"/>
      <c r="W89" s="825"/>
      <c r="X89" s="825"/>
      <c r="Y89" s="825"/>
      <c r="Z89" s="825"/>
    </row>
    <row r="90" spans="1:26" ht="18.75" hidden="1">
      <c r="A90" s="940"/>
      <c r="B90" s="833"/>
      <c r="C90" s="833"/>
      <c r="D90" s="833"/>
      <c r="E90" s="834" t="s">
        <v>19</v>
      </c>
      <c r="F90" s="833"/>
      <c r="G90" s="941"/>
      <c r="H90" s="158" t="s">
        <v>12</v>
      </c>
      <c r="I90" s="836"/>
      <c r="J90" s="836"/>
      <c r="K90" s="837"/>
      <c r="L90" s="837">
        <f t="shared" ca="1" si="52"/>
        <v>56040</v>
      </c>
      <c r="M90" s="837">
        <f t="shared" ca="1" si="52"/>
        <v>51190</v>
      </c>
      <c r="N90" s="837">
        <f t="shared" ca="1" si="52"/>
        <v>46385</v>
      </c>
      <c r="O90" s="837">
        <f t="shared" ca="1" si="50"/>
        <v>82.771234832262664</v>
      </c>
      <c r="P90" s="837">
        <f t="shared" ca="1" si="51"/>
        <v>90.613401054893529</v>
      </c>
      <c r="Q90" s="825"/>
      <c r="R90" s="825"/>
      <c r="S90" s="825"/>
      <c r="T90" s="825"/>
      <c r="U90" s="825"/>
      <c r="V90" s="825"/>
      <c r="W90" s="825"/>
      <c r="X90" s="825"/>
      <c r="Y90" s="825"/>
      <c r="Z90" s="825"/>
    </row>
    <row r="91" spans="1:26" ht="18.75">
      <c r="A91" s="942"/>
      <c r="B91" s="827"/>
      <c r="C91" s="943"/>
      <c r="D91" s="828" t="s">
        <v>20</v>
      </c>
      <c r="E91" s="827"/>
      <c r="F91" s="827"/>
      <c r="G91" s="829"/>
      <c r="H91" s="778" t="s">
        <v>12</v>
      </c>
      <c r="I91" s="944"/>
      <c r="J91" s="944"/>
      <c r="K91" s="945"/>
      <c r="L91" s="831">
        <f t="shared" ref="L91:N91" ca="1" si="53">L92+L93</f>
        <v>56040</v>
      </c>
      <c r="M91" s="831">
        <f t="shared" ca="1" si="53"/>
        <v>51190</v>
      </c>
      <c r="N91" s="831">
        <f t="shared" ca="1" si="53"/>
        <v>46385</v>
      </c>
      <c r="O91" s="831">
        <f t="shared" ca="1" si="50"/>
        <v>82.771234832262664</v>
      </c>
      <c r="P91" s="831">
        <f t="shared" ca="1" si="51"/>
        <v>90.613401054893529</v>
      </c>
      <c r="Q91" s="818"/>
      <c r="R91" s="818"/>
      <c r="S91" s="818"/>
      <c r="T91" s="818"/>
      <c r="U91" s="818"/>
      <c r="V91" s="818"/>
      <c r="W91" s="818"/>
      <c r="X91" s="818"/>
      <c r="Y91" s="818"/>
      <c r="Z91" s="818"/>
    </row>
    <row r="92" spans="1:26" ht="19.5" hidden="1">
      <c r="A92" s="940"/>
      <c r="B92" s="833"/>
      <c r="C92" s="946"/>
      <c r="D92" s="833"/>
      <c r="E92" s="834" t="s">
        <v>36</v>
      </c>
      <c r="F92" s="833"/>
      <c r="G92" s="941"/>
      <c r="H92" s="165" t="s">
        <v>12</v>
      </c>
      <c r="I92" s="947"/>
      <c r="J92" s="947"/>
      <c r="K92" s="948"/>
      <c r="L92" s="837">
        <v>0</v>
      </c>
      <c r="M92" s="837">
        <v>0</v>
      </c>
      <c r="N92" s="837">
        <v>0</v>
      </c>
      <c r="O92" s="837">
        <f t="shared" si="50"/>
        <v>0</v>
      </c>
      <c r="P92" s="837">
        <f t="shared" si="51"/>
        <v>0</v>
      </c>
      <c r="Q92" s="825"/>
      <c r="R92" s="825"/>
      <c r="S92" s="825"/>
      <c r="T92" s="825"/>
      <c r="U92" s="825"/>
      <c r="V92" s="825"/>
      <c r="W92" s="825"/>
      <c r="X92" s="825"/>
      <c r="Y92" s="825"/>
      <c r="Z92" s="825"/>
    </row>
    <row r="93" spans="1:26" ht="19.5" hidden="1">
      <c r="A93" s="940"/>
      <c r="B93" s="833"/>
      <c r="C93" s="946"/>
      <c r="D93" s="833"/>
      <c r="E93" s="834" t="s">
        <v>37</v>
      </c>
      <c r="F93" s="833"/>
      <c r="G93" s="941"/>
      <c r="H93" s="165" t="s">
        <v>12</v>
      </c>
      <c r="I93" s="947"/>
      <c r="J93" s="947"/>
      <c r="K93" s="948"/>
      <c r="L93" s="837">
        <f ca="1">IFERROR(__xludf.DUMMYFUNCTION("IMPORTRANGE(""https://docs.google.com/spreadsheets/d/1MeEWN-I1oV_STSDYn1IFDPWt_1FKiwhDph83XaGc0o0/edit?usp=sharing"",""งบพรบ!AQ17"")"),56040)</f>
        <v>56040</v>
      </c>
      <c r="M93" s="837">
        <f ca="1">IFERROR(__xludf.DUMMYFUNCTION("IMPORTRANGE(""https://docs.google.com/spreadsheets/d/1MeEWN-I1oV_STSDYn1IFDPWt_1FKiwhDph83XaGc0o0/edit?usp=sharing"",""งบพรบ!AV17"")"),51190)</f>
        <v>51190</v>
      </c>
      <c r="N93" s="837">
        <f ca="1">IFERROR(__xludf.DUMMYFUNCTION("IMPORTRANGE(""https://docs.google.com/spreadsheets/d/1MeEWN-I1oV_STSDYn1IFDPWt_1FKiwhDph83XaGc0o0/edit?usp=sharing"",""งบพรบ!AX17"")"),46385)</f>
        <v>46385</v>
      </c>
      <c r="O93" s="837">
        <f t="shared" ca="1" si="50"/>
        <v>82.771234832262664</v>
      </c>
      <c r="P93" s="837">
        <f t="shared" ca="1" si="51"/>
        <v>90.613401054893529</v>
      </c>
      <c r="Q93" s="825"/>
      <c r="R93" s="825"/>
      <c r="S93" s="825"/>
      <c r="T93" s="825"/>
      <c r="U93" s="825"/>
      <c r="V93" s="825"/>
      <c r="W93" s="825"/>
      <c r="X93" s="825"/>
      <c r="Y93" s="825"/>
      <c r="Z93" s="825"/>
    </row>
    <row r="94" spans="1:26" ht="18.75">
      <c r="A94" s="942"/>
      <c r="B94" s="827"/>
      <c r="C94" s="943"/>
      <c r="D94" s="828" t="s">
        <v>21</v>
      </c>
      <c r="E94" s="827"/>
      <c r="F94" s="827"/>
      <c r="G94" s="829"/>
      <c r="H94" s="168" t="s">
        <v>12</v>
      </c>
      <c r="I94" s="944"/>
      <c r="J94" s="944"/>
      <c r="K94" s="945"/>
      <c r="L94" s="831">
        <f t="shared" ref="L94:N94" ca="1" si="54">L95+L96</f>
        <v>0</v>
      </c>
      <c r="M94" s="831">
        <f t="shared" ca="1" si="54"/>
        <v>0</v>
      </c>
      <c r="N94" s="831">
        <f t="shared" ca="1" si="54"/>
        <v>0</v>
      </c>
      <c r="O94" s="831">
        <f t="shared" ca="1" si="50"/>
        <v>0</v>
      </c>
      <c r="P94" s="831">
        <f t="shared" ca="1" si="51"/>
        <v>0</v>
      </c>
      <c r="Q94" s="818"/>
      <c r="R94" s="818"/>
      <c r="S94" s="818"/>
      <c r="T94" s="818"/>
      <c r="U94" s="818"/>
      <c r="V94" s="818"/>
      <c r="W94" s="818"/>
      <c r="X94" s="818"/>
      <c r="Y94" s="818"/>
      <c r="Z94" s="818"/>
    </row>
    <row r="95" spans="1:26" ht="19.5" hidden="1">
      <c r="A95" s="940"/>
      <c r="B95" s="833"/>
      <c r="C95" s="946"/>
      <c r="D95" s="833"/>
      <c r="E95" s="834" t="s">
        <v>18</v>
      </c>
      <c r="F95" s="833"/>
      <c r="G95" s="941"/>
      <c r="H95" s="165" t="s">
        <v>12</v>
      </c>
      <c r="I95" s="947"/>
      <c r="J95" s="947"/>
      <c r="K95" s="948"/>
      <c r="L95" s="837">
        <v>0</v>
      </c>
      <c r="M95" s="837">
        <v>0</v>
      </c>
      <c r="N95" s="837">
        <v>0</v>
      </c>
      <c r="O95" s="837">
        <f t="shared" si="50"/>
        <v>0</v>
      </c>
      <c r="P95" s="837">
        <f t="shared" si="51"/>
        <v>0</v>
      </c>
      <c r="Q95" s="825"/>
      <c r="R95" s="825"/>
      <c r="S95" s="825"/>
      <c r="T95" s="825"/>
      <c r="U95" s="825"/>
      <c r="V95" s="825"/>
      <c r="W95" s="825"/>
      <c r="X95" s="825"/>
      <c r="Y95" s="825"/>
      <c r="Z95" s="825"/>
    </row>
    <row r="96" spans="1:26" ht="19.5" hidden="1">
      <c r="A96" s="940"/>
      <c r="B96" s="833"/>
      <c r="C96" s="946"/>
      <c r="D96" s="833"/>
      <c r="E96" s="834" t="s">
        <v>19</v>
      </c>
      <c r="F96" s="833"/>
      <c r="G96" s="941"/>
      <c r="H96" s="169" t="s">
        <v>12</v>
      </c>
      <c r="I96" s="947"/>
      <c r="J96" s="947"/>
      <c r="K96" s="948"/>
      <c r="L96" s="837">
        <f ca="1">IFERROR(__xludf.DUMMYFUNCTION("IMPORTRANGE(""https://docs.google.com/spreadsheets/d/1MeEWN-I1oV_STSDYn1IFDPWt_1FKiwhDph83XaGc0o0/edit?usp=sharing"",""งบพรบ!AT17"")"),0)</f>
        <v>0</v>
      </c>
      <c r="M96" s="837">
        <f ca="1">IFERROR(__xludf.DUMMYFUNCTION("IMPORTRANGE(""https://docs.google.com/spreadsheets/d/1MeEWN-I1oV_STSDYn1IFDPWt_1FKiwhDph83XaGc0o0/edit?usp=sharing"",""งบพรบ!AW17"")"),0)</f>
        <v>0</v>
      </c>
      <c r="N96" s="837">
        <f ca="1">IFERROR(__xludf.DUMMYFUNCTION("IMPORTRANGE(""https://docs.google.com/spreadsheets/d/1MeEWN-I1oV_STSDYn1IFDPWt_1FKiwhDph83XaGc0o0/edit?usp=sharing"",""งบพรบ!AY17"")"),0)</f>
        <v>0</v>
      </c>
      <c r="O96" s="837">
        <f t="shared" ca="1" si="50"/>
        <v>0</v>
      </c>
      <c r="P96" s="837">
        <f t="shared" ca="1" si="51"/>
        <v>0</v>
      </c>
      <c r="Q96" s="825"/>
      <c r="R96" s="825"/>
      <c r="S96" s="825"/>
      <c r="T96" s="825"/>
      <c r="U96" s="825"/>
      <c r="V96" s="825"/>
      <c r="W96" s="825"/>
      <c r="X96" s="825"/>
      <c r="Y96" s="825"/>
      <c r="Z96" s="825"/>
    </row>
    <row r="97" spans="1:16" ht="19.5">
      <c r="A97" s="949"/>
      <c r="B97" s="950"/>
      <c r="C97" s="946" t="s">
        <v>16</v>
      </c>
      <c r="D97" s="951" t="s">
        <v>38</v>
      </c>
      <c r="E97" s="952"/>
      <c r="F97" s="952"/>
      <c r="G97" s="953"/>
      <c r="H97" s="954"/>
      <c r="I97" s="944"/>
      <c r="J97" s="830"/>
      <c r="K97" s="831"/>
      <c r="L97" s="831"/>
      <c r="M97" s="831"/>
      <c r="N97" s="831"/>
      <c r="O97" s="945"/>
      <c r="P97" s="945"/>
    </row>
    <row r="98" spans="1:16" ht="18.75">
      <c r="A98" s="949"/>
      <c r="B98" s="950"/>
      <c r="C98" s="950"/>
      <c r="D98" s="956" t="s">
        <v>47</v>
      </c>
      <c r="E98" s="956"/>
      <c r="F98" s="957"/>
      <c r="G98" s="958"/>
      <c r="H98" s="590" t="s">
        <v>46</v>
      </c>
      <c r="I98" s="830">
        <f ca="1">IFERROR(__xludf.DUMMYFUNCTION("IMPORTRANGE(""https://docs.google.com/spreadsheets/d/1QqKyyYR6Q21VydFLVH3TRQUabQu_ym0Zz7PgGX0-kHA/edit?usp=sharing"",""แผน!K17"")"),30)</f>
        <v>30</v>
      </c>
      <c r="J98" s="830">
        <f>J102</f>
        <v>30</v>
      </c>
      <c r="K98" s="831">
        <f t="shared" ref="K98:K100" ca="1" si="55">IF(I98&gt;0,J98*100/I98,0)</f>
        <v>100</v>
      </c>
      <c r="L98" s="831"/>
      <c r="M98" s="831"/>
      <c r="N98" s="831"/>
      <c r="O98" s="945"/>
      <c r="P98" s="945"/>
    </row>
    <row r="99" spans="1:16" ht="18.75">
      <c r="A99" s="949"/>
      <c r="B99" s="950"/>
      <c r="C99" s="950"/>
      <c r="D99" s="956" t="s">
        <v>48</v>
      </c>
      <c r="E99" s="956"/>
      <c r="F99" s="957"/>
      <c r="G99" s="958"/>
      <c r="H99" s="590" t="s">
        <v>35</v>
      </c>
      <c r="I99" s="830">
        <f ca="1">IFERROR(__xludf.DUMMYFUNCTION("IMPORTRANGE(""https://docs.google.com/spreadsheets/d/1QqKyyYR6Q21VydFLVH3TRQUabQu_ym0Zz7PgGX0-kHA/edit?usp=sharing"",""แผน!L17"")"),10)</f>
        <v>10</v>
      </c>
      <c r="J99" s="830">
        <f>J104</f>
        <v>10</v>
      </c>
      <c r="K99" s="831">
        <f t="shared" ca="1" si="55"/>
        <v>100</v>
      </c>
      <c r="L99" s="831"/>
      <c r="M99" s="831"/>
      <c r="N99" s="831"/>
      <c r="O99" s="945"/>
      <c r="P99" s="945"/>
    </row>
    <row r="100" spans="1:16" ht="18.75">
      <c r="A100" s="949"/>
      <c r="B100" s="950"/>
      <c r="C100" s="950"/>
      <c r="D100" s="950"/>
      <c r="E100" s="957"/>
      <c r="F100" s="957"/>
      <c r="G100" s="958"/>
      <c r="H100" s="590" t="s">
        <v>49</v>
      </c>
      <c r="I100" s="830">
        <f ca="1">IFERROR(__xludf.DUMMYFUNCTION("IMPORTRANGE(""https://docs.google.com/spreadsheets/d/1QqKyyYR6Q21VydFLVH3TRQUabQu_ym0Zz7PgGX0-kHA/edit?usp=sharing"",""แผน!M17"")"),1)</f>
        <v>1</v>
      </c>
      <c r="J100" s="830">
        <f>J107+J110</f>
        <v>1</v>
      </c>
      <c r="K100" s="831">
        <f t="shared" ca="1" si="55"/>
        <v>100</v>
      </c>
      <c r="L100" s="831"/>
      <c r="M100" s="831"/>
      <c r="N100" s="831"/>
      <c r="O100" s="945"/>
      <c r="P100" s="945"/>
    </row>
    <row r="101" spans="1:16" ht="19.5">
      <c r="A101" s="949"/>
      <c r="B101" s="950"/>
      <c r="C101" s="950"/>
      <c r="D101" s="957"/>
      <c r="E101" s="960" t="s">
        <v>50</v>
      </c>
      <c r="F101" s="957"/>
      <c r="G101" s="958"/>
      <c r="H101" s="590"/>
      <c r="I101" s="830"/>
      <c r="J101" s="830"/>
      <c r="K101" s="831"/>
      <c r="L101" s="831"/>
      <c r="M101" s="831"/>
      <c r="N101" s="831"/>
      <c r="O101" s="945"/>
      <c r="P101" s="945"/>
    </row>
    <row r="102" spans="1:16" ht="18.75">
      <c r="A102" s="949"/>
      <c r="B102" s="950"/>
      <c r="C102" s="950"/>
      <c r="D102" s="957"/>
      <c r="E102" s="961" t="s">
        <v>47</v>
      </c>
      <c r="F102" s="957"/>
      <c r="G102" s="958"/>
      <c r="H102" s="590" t="s">
        <v>46</v>
      </c>
      <c r="I102" s="830">
        <f ca="1">IFERROR(__xludf.DUMMYFUNCTION("IMPORTRANGE(""https://docs.google.com/spreadsheets/d/1QqKyyYR6Q21VydFLVH3TRQUabQu_ym0Zz7PgGX0-kHA/edit?usp=sharing"",""แผน!N17"")"),30)</f>
        <v>30</v>
      </c>
      <c r="J102" s="959">
        <v>30</v>
      </c>
      <c r="K102" s="831">
        <f t="shared" ref="K102:K104" ca="1" si="56">IF(I102&gt;0,J102*100/I102,0)</f>
        <v>100</v>
      </c>
      <c r="L102" s="831"/>
      <c r="M102" s="831"/>
      <c r="N102" s="831"/>
      <c r="O102" s="945"/>
      <c r="P102" s="945"/>
    </row>
    <row r="103" spans="1:16" ht="19.5">
      <c r="A103" s="949"/>
      <c r="B103" s="950"/>
      <c r="C103" s="950"/>
      <c r="D103" s="957"/>
      <c r="E103" s="956" t="s">
        <v>51</v>
      </c>
      <c r="F103" s="957"/>
      <c r="G103" s="958"/>
      <c r="H103" s="590" t="s">
        <v>35</v>
      </c>
      <c r="I103" s="830">
        <f ca="1">IFERROR(__xludf.DUMMYFUNCTION("IMPORTRANGE(""https://docs.google.com/spreadsheets/d/1QqKyyYR6Q21VydFLVH3TRQUabQu_ym0Zz7PgGX0-kHA/edit?usp=sharing"",""แผน!O17"")"),10)</f>
        <v>10</v>
      </c>
      <c r="J103" s="959">
        <v>10</v>
      </c>
      <c r="K103" s="831">
        <f t="shared" ca="1" si="56"/>
        <v>100</v>
      </c>
      <c r="L103" s="831"/>
      <c r="M103" s="831"/>
      <c r="N103" s="831"/>
      <c r="O103" s="945"/>
      <c r="P103" s="945"/>
    </row>
    <row r="104" spans="1:16" ht="18.75">
      <c r="A104" s="949"/>
      <c r="B104" s="950"/>
      <c r="C104" s="950"/>
      <c r="D104" s="957"/>
      <c r="E104" s="962" t="s">
        <v>52</v>
      </c>
      <c r="F104" s="957"/>
      <c r="G104" s="958"/>
      <c r="H104" s="590" t="s">
        <v>35</v>
      </c>
      <c r="I104" s="830">
        <f ca="1">IFERROR(__xludf.DUMMYFUNCTION("IMPORTRANGE(""https://docs.google.com/spreadsheets/d/1QqKyyYR6Q21VydFLVH3TRQUabQu_ym0Zz7PgGX0-kHA/edit?usp=sharing"",""แผน!O17"")"),10)</f>
        <v>10</v>
      </c>
      <c r="J104" s="959">
        <v>10</v>
      </c>
      <c r="K104" s="831">
        <f t="shared" ca="1" si="56"/>
        <v>100</v>
      </c>
      <c r="L104" s="831"/>
      <c r="M104" s="831"/>
      <c r="N104" s="831"/>
      <c r="O104" s="945"/>
      <c r="P104" s="945"/>
    </row>
    <row r="105" spans="1:16" ht="19.5">
      <c r="A105" s="949"/>
      <c r="B105" s="950"/>
      <c r="C105" s="950"/>
      <c r="D105" s="957"/>
      <c r="E105" s="960" t="s">
        <v>53</v>
      </c>
      <c r="F105" s="957"/>
      <c r="G105" s="958"/>
      <c r="H105" s="963"/>
      <c r="I105" s="830"/>
      <c r="J105" s="830"/>
      <c r="K105" s="831"/>
      <c r="L105" s="831"/>
      <c r="M105" s="831"/>
      <c r="N105" s="831"/>
      <c r="O105" s="945"/>
      <c r="P105" s="945"/>
    </row>
    <row r="106" spans="1:16" ht="19.5">
      <c r="A106" s="949"/>
      <c r="B106" s="950"/>
      <c r="C106" s="950"/>
      <c r="D106" s="957"/>
      <c r="E106" s="956" t="s">
        <v>54</v>
      </c>
      <c r="F106" s="957"/>
      <c r="G106" s="958"/>
      <c r="H106" s="590" t="s">
        <v>49</v>
      </c>
      <c r="I106" s="830">
        <f ca="1">IFERROR(__xludf.DUMMYFUNCTION("IMPORTRANGE(""https://docs.google.com/spreadsheets/d/1QqKyyYR6Q21VydFLVH3TRQUabQu_ym0Zz7PgGX0-kHA/edit?usp=sharing"",""แผน!P17"")"),0)</f>
        <v>0</v>
      </c>
      <c r="J106" s="959">
        <v>0</v>
      </c>
      <c r="K106" s="831">
        <f t="shared" ref="K106:K107" ca="1" si="57">IF(I106&gt;0,J106*100/I106,0)</f>
        <v>0</v>
      </c>
      <c r="L106" s="831"/>
      <c r="M106" s="831"/>
      <c r="N106" s="831"/>
      <c r="O106" s="945"/>
      <c r="P106" s="945"/>
    </row>
    <row r="107" spans="1:16" ht="18.75">
      <c r="A107" s="949"/>
      <c r="B107" s="950"/>
      <c r="C107" s="950"/>
      <c r="D107" s="957"/>
      <c r="E107" s="962" t="s">
        <v>55</v>
      </c>
      <c r="F107" s="957"/>
      <c r="G107" s="958"/>
      <c r="H107" s="590" t="s">
        <v>49</v>
      </c>
      <c r="I107" s="830">
        <f ca="1">IFERROR(__xludf.DUMMYFUNCTION("IMPORTRANGE(""https://docs.google.com/spreadsheets/d/1QqKyyYR6Q21VydFLVH3TRQUabQu_ym0Zz7PgGX0-kHA/edit?usp=sharing"",""แผน!P17"")"),0)</f>
        <v>0</v>
      </c>
      <c r="J107" s="959">
        <v>0</v>
      </c>
      <c r="K107" s="831">
        <f t="shared" ca="1" si="57"/>
        <v>0</v>
      </c>
      <c r="L107" s="831"/>
      <c r="M107" s="831"/>
      <c r="N107" s="831"/>
      <c r="O107" s="945"/>
      <c r="P107" s="945"/>
    </row>
    <row r="108" spans="1:16" ht="19.5">
      <c r="A108" s="949"/>
      <c r="B108" s="950"/>
      <c r="C108" s="950"/>
      <c r="D108" s="957"/>
      <c r="E108" s="960" t="s">
        <v>56</v>
      </c>
      <c r="F108" s="957"/>
      <c r="G108" s="958"/>
      <c r="H108" s="963"/>
      <c r="I108" s="830"/>
      <c r="J108" s="830"/>
      <c r="K108" s="831"/>
      <c r="L108" s="831"/>
      <c r="M108" s="831"/>
      <c r="N108" s="831"/>
      <c r="O108" s="945"/>
      <c r="P108" s="945"/>
    </row>
    <row r="109" spans="1:16" ht="19.5">
      <c r="A109" s="949"/>
      <c r="B109" s="950"/>
      <c r="C109" s="950"/>
      <c r="D109" s="957"/>
      <c r="E109" s="956" t="s">
        <v>57</v>
      </c>
      <c r="F109" s="957"/>
      <c r="G109" s="958"/>
      <c r="H109" s="590" t="s">
        <v>49</v>
      </c>
      <c r="I109" s="830">
        <f ca="1">IFERROR(__xludf.DUMMYFUNCTION("IMPORTRANGE(""https://docs.google.com/spreadsheets/d/1QqKyyYR6Q21VydFLVH3TRQUabQu_ym0Zz7PgGX0-kHA/edit?usp=sharing"",""แผน!Q17"")"),1)</f>
        <v>1</v>
      </c>
      <c r="J109" s="959">
        <v>1</v>
      </c>
      <c r="K109" s="831">
        <f t="shared" ref="K109:K116" ca="1" si="58">IF(I109&gt;0,J109*100/I109,0)</f>
        <v>100</v>
      </c>
      <c r="L109" s="831"/>
      <c r="M109" s="831"/>
      <c r="N109" s="831"/>
      <c r="O109" s="945"/>
      <c r="P109" s="945"/>
    </row>
    <row r="110" spans="1:16" ht="18.75">
      <c r="A110" s="949"/>
      <c r="B110" s="950"/>
      <c r="C110" s="950"/>
      <c r="D110" s="957"/>
      <c r="E110" s="964" t="s">
        <v>58</v>
      </c>
      <c r="F110" s="957"/>
      <c r="G110" s="958"/>
      <c r="H110" s="590" t="s">
        <v>49</v>
      </c>
      <c r="I110" s="830">
        <f ca="1">IFERROR(__xludf.DUMMYFUNCTION("IMPORTRANGE(""https://docs.google.com/spreadsheets/d/1QqKyyYR6Q21VydFLVH3TRQUabQu_ym0Zz7PgGX0-kHA/edit?usp=sharing"",""แผน!Q17"")"),1)</f>
        <v>1</v>
      </c>
      <c r="J110" s="959">
        <v>1</v>
      </c>
      <c r="K110" s="831">
        <f t="shared" ca="1" si="58"/>
        <v>100</v>
      </c>
      <c r="L110" s="831"/>
      <c r="M110" s="831"/>
      <c r="N110" s="831"/>
      <c r="O110" s="945"/>
      <c r="P110" s="945"/>
    </row>
    <row r="111" spans="1:16" ht="19.5">
      <c r="A111" s="949"/>
      <c r="B111" s="950"/>
      <c r="C111" s="950"/>
      <c r="D111" s="960" t="s">
        <v>59</v>
      </c>
      <c r="E111" s="960"/>
      <c r="F111" s="957"/>
      <c r="G111" s="958"/>
      <c r="H111" s="733" t="s">
        <v>35</v>
      </c>
      <c r="I111" s="965">
        <f ca="1">IFERROR(__xludf.DUMMYFUNCTION("IMPORTRANGE(""https://docs.google.com/spreadsheets/d/1QqKyyYR6Q21VydFLVH3TRQUabQu_ym0Zz7PgGX0-kHA/edit?usp=sharing"",""แผน!R17"")"),10)</f>
        <v>10</v>
      </c>
      <c r="J111" s="966">
        <f>J114</f>
        <v>0</v>
      </c>
      <c r="K111" s="967">
        <f t="shared" ca="1" si="58"/>
        <v>0</v>
      </c>
      <c r="L111" s="831"/>
      <c r="M111" s="831"/>
      <c r="N111" s="831"/>
      <c r="O111" s="945"/>
      <c r="P111" s="945"/>
    </row>
    <row r="112" spans="1:16" ht="19.5">
      <c r="A112" s="949"/>
      <c r="B112" s="950"/>
      <c r="C112" s="950"/>
      <c r="D112" s="950"/>
      <c r="E112" s="957"/>
      <c r="F112" s="957"/>
      <c r="G112" s="958"/>
      <c r="H112" s="196" t="s">
        <v>49</v>
      </c>
      <c r="I112" s="965">
        <f t="shared" ref="I112:J112" ca="1" si="59">I115+I116</f>
        <v>1</v>
      </c>
      <c r="J112" s="966">
        <f t="shared" si="59"/>
        <v>0</v>
      </c>
      <c r="K112" s="967">
        <f t="shared" ca="1" si="58"/>
        <v>0</v>
      </c>
      <c r="L112" s="831"/>
      <c r="M112" s="831"/>
      <c r="N112" s="831"/>
      <c r="O112" s="945"/>
      <c r="P112" s="945"/>
    </row>
    <row r="113" spans="1:26" ht="19.5">
      <c r="A113" s="949"/>
      <c r="B113" s="950"/>
      <c r="C113" s="950"/>
      <c r="D113" s="950"/>
      <c r="E113" s="968" t="s">
        <v>60</v>
      </c>
      <c r="F113" s="957"/>
      <c r="G113" s="958"/>
      <c r="H113" s="198" t="s">
        <v>35</v>
      </c>
      <c r="I113" s="944">
        <f ca="1">IFERROR(__xludf.DUMMYFUNCTION("IMPORTRANGE(""https://docs.google.com/spreadsheets/d/1QqKyyYR6Q21VydFLVH3TRQUabQu_ym0Zz7PgGX0-kHA/edit?usp=sharing"",""แผน!R17"")"),10)</f>
        <v>10</v>
      </c>
      <c r="J113" s="959">
        <v>0</v>
      </c>
      <c r="K113" s="831">
        <f t="shared" ca="1" si="58"/>
        <v>0</v>
      </c>
      <c r="L113" s="831"/>
      <c r="M113" s="831"/>
      <c r="N113" s="831"/>
      <c r="O113" s="945"/>
      <c r="P113" s="945"/>
    </row>
    <row r="114" spans="1:26" ht="19.5">
      <c r="A114" s="949"/>
      <c r="B114" s="950"/>
      <c r="C114" s="950"/>
      <c r="D114" s="950"/>
      <c r="E114" s="956" t="s">
        <v>61</v>
      </c>
      <c r="F114" s="957"/>
      <c r="G114" s="958"/>
      <c r="H114" s="199" t="s">
        <v>35</v>
      </c>
      <c r="I114" s="944">
        <f ca="1">IFERROR(__xludf.DUMMYFUNCTION("IMPORTRANGE(""https://docs.google.com/spreadsheets/d/1QqKyyYR6Q21VydFLVH3TRQUabQu_ym0Zz7PgGX0-kHA/edit?usp=sharing"",""แผน!R17"")"),10)</f>
        <v>10</v>
      </c>
      <c r="J114" s="959">
        <v>0</v>
      </c>
      <c r="K114" s="831">
        <f t="shared" ca="1" si="58"/>
        <v>0</v>
      </c>
      <c r="L114" s="831"/>
      <c r="M114" s="831"/>
      <c r="N114" s="831"/>
      <c r="O114" s="945"/>
      <c r="P114" s="945"/>
    </row>
    <row r="115" spans="1:26" ht="18.75">
      <c r="A115" s="949"/>
      <c r="B115" s="950"/>
      <c r="C115" s="950"/>
      <c r="D115" s="950"/>
      <c r="E115" s="956" t="s">
        <v>62</v>
      </c>
      <c r="F115" s="957"/>
      <c r="G115" s="958"/>
      <c r="H115" s="199" t="s">
        <v>49</v>
      </c>
      <c r="I115" s="944">
        <f ca="1">IFERROR(__xludf.DUMMYFUNCTION("IMPORTRANGE(""https://docs.google.com/spreadsheets/d/1QqKyyYR6Q21VydFLVH3TRQUabQu_ym0Zz7PgGX0-kHA/edit?usp=sharing"",""แผน!S17"")"),0)</f>
        <v>0</v>
      </c>
      <c r="J115" s="959">
        <v>0</v>
      </c>
      <c r="K115" s="831">
        <f t="shared" ca="1" si="58"/>
        <v>0</v>
      </c>
      <c r="L115" s="831"/>
      <c r="M115" s="831"/>
      <c r="N115" s="831"/>
      <c r="O115" s="945"/>
      <c r="P115" s="945"/>
    </row>
    <row r="116" spans="1:26" ht="18.75">
      <c r="A116" s="949"/>
      <c r="B116" s="950"/>
      <c r="C116" s="950"/>
      <c r="D116" s="950"/>
      <c r="E116" s="956" t="s">
        <v>63</v>
      </c>
      <c r="F116" s="957"/>
      <c r="G116" s="958"/>
      <c r="H116" s="199" t="s">
        <v>49</v>
      </c>
      <c r="I116" s="944">
        <f ca="1">IFERROR(__xludf.DUMMYFUNCTION("IMPORTRANGE(""https://docs.google.com/spreadsheets/d/1QqKyyYR6Q21VydFLVH3TRQUabQu_ym0Zz7PgGX0-kHA/edit?usp=sharing"",""แผน!T17"")"),1)</f>
        <v>1</v>
      </c>
      <c r="J116" s="959">
        <v>0</v>
      </c>
      <c r="K116" s="831">
        <f t="shared" ca="1" si="58"/>
        <v>0</v>
      </c>
      <c r="L116" s="831"/>
      <c r="M116" s="831"/>
      <c r="N116" s="831"/>
      <c r="O116" s="945"/>
      <c r="P116" s="945"/>
    </row>
    <row r="117" spans="1:26" ht="19.5" hidden="1">
      <c r="A117" s="917" t="s">
        <v>64</v>
      </c>
      <c r="B117" s="918"/>
      <c r="C117" s="969"/>
      <c r="D117" s="918"/>
      <c r="E117" s="918"/>
      <c r="F117" s="918"/>
      <c r="G117" s="918"/>
      <c r="H117" s="970"/>
      <c r="I117" s="971"/>
      <c r="J117" s="971"/>
      <c r="K117" s="972"/>
      <c r="L117" s="923"/>
      <c r="M117" s="923"/>
      <c r="N117" s="923"/>
      <c r="O117" s="923"/>
      <c r="P117" s="923"/>
    </row>
    <row r="118" spans="1:26" ht="19.5" hidden="1">
      <c r="A118" s="924"/>
      <c r="B118" s="925" t="s">
        <v>65</v>
      </c>
      <c r="C118" s="973"/>
      <c r="D118" s="927"/>
      <c r="E118" s="926"/>
      <c r="F118" s="926"/>
      <c r="G118" s="928"/>
      <c r="H118" s="205"/>
      <c r="I118" s="974"/>
      <c r="J118" s="974"/>
      <c r="K118" s="931"/>
      <c r="L118" s="931"/>
      <c r="M118" s="931"/>
      <c r="N118" s="931"/>
      <c r="O118" s="931"/>
      <c r="P118" s="931"/>
    </row>
    <row r="119" spans="1:26" ht="19.5" hidden="1">
      <c r="A119" s="932"/>
      <c r="B119" s="933"/>
      <c r="C119" s="934" t="s">
        <v>16</v>
      </c>
      <c r="D119" s="935" t="s">
        <v>17</v>
      </c>
      <c r="E119" s="933"/>
      <c r="F119" s="933"/>
      <c r="G119" s="936"/>
      <c r="H119" s="152" t="s">
        <v>12</v>
      </c>
      <c r="I119" s="937"/>
      <c r="J119" s="937"/>
      <c r="K119" s="938"/>
      <c r="L119" s="939">
        <f t="shared" ref="L119:N119" ca="1" si="60">L120+L121</f>
        <v>0</v>
      </c>
      <c r="M119" s="939">
        <f t="shared" ca="1" si="60"/>
        <v>0</v>
      </c>
      <c r="N119" s="939">
        <f t="shared" ca="1" si="60"/>
        <v>0</v>
      </c>
      <c r="O119" s="939">
        <f t="shared" ref="O119:O127" ca="1" si="61">IF(L119&gt;0,N119*100/L119,0)</f>
        <v>0</v>
      </c>
      <c r="P119" s="939">
        <f t="shared" ref="P119:P127" ca="1" si="62">IF(M119&gt;0,N119*100/M119,0)</f>
        <v>0</v>
      </c>
      <c r="Q119" s="818"/>
      <c r="R119" s="818"/>
      <c r="S119" s="818"/>
      <c r="T119" s="818"/>
      <c r="U119" s="818"/>
      <c r="V119" s="818"/>
      <c r="W119" s="818"/>
      <c r="X119" s="818"/>
      <c r="Y119" s="818"/>
      <c r="Z119" s="818"/>
    </row>
    <row r="120" spans="1:26" ht="18.75" hidden="1">
      <c r="A120" s="940"/>
      <c r="B120" s="833"/>
      <c r="C120" s="833"/>
      <c r="D120" s="833"/>
      <c r="E120" s="834" t="s">
        <v>18</v>
      </c>
      <c r="F120" s="833"/>
      <c r="G120" s="941"/>
      <c r="H120" s="158" t="s">
        <v>12</v>
      </c>
      <c r="I120" s="836"/>
      <c r="J120" s="836"/>
      <c r="K120" s="837"/>
      <c r="L120" s="837">
        <f t="shared" ref="L120:N121" si="63">L123+L126</f>
        <v>0</v>
      </c>
      <c r="M120" s="837">
        <f t="shared" si="63"/>
        <v>0</v>
      </c>
      <c r="N120" s="837">
        <f t="shared" si="63"/>
        <v>0</v>
      </c>
      <c r="O120" s="837">
        <f t="shared" si="61"/>
        <v>0</v>
      </c>
      <c r="P120" s="837">
        <f t="shared" si="62"/>
        <v>0</v>
      </c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</row>
    <row r="121" spans="1:26" ht="18.75" hidden="1">
      <c r="A121" s="940"/>
      <c r="B121" s="833"/>
      <c r="C121" s="833"/>
      <c r="D121" s="833"/>
      <c r="E121" s="834" t="s">
        <v>19</v>
      </c>
      <c r="F121" s="833"/>
      <c r="G121" s="941"/>
      <c r="H121" s="158" t="s">
        <v>12</v>
      </c>
      <c r="I121" s="836"/>
      <c r="J121" s="836"/>
      <c r="K121" s="837"/>
      <c r="L121" s="837">
        <f t="shared" ca="1" si="63"/>
        <v>0</v>
      </c>
      <c r="M121" s="837">
        <f t="shared" ca="1" si="63"/>
        <v>0</v>
      </c>
      <c r="N121" s="837">
        <f t="shared" ca="1" si="63"/>
        <v>0</v>
      </c>
      <c r="O121" s="837">
        <f t="shared" ca="1" si="61"/>
        <v>0</v>
      </c>
      <c r="P121" s="837">
        <f t="shared" ca="1" si="62"/>
        <v>0</v>
      </c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</row>
    <row r="122" spans="1:26" ht="18.75" hidden="1">
      <c r="A122" s="942"/>
      <c r="B122" s="827"/>
      <c r="C122" s="943"/>
      <c r="D122" s="828" t="s">
        <v>20</v>
      </c>
      <c r="E122" s="827"/>
      <c r="F122" s="827"/>
      <c r="G122" s="829"/>
      <c r="H122" s="778" t="s">
        <v>12</v>
      </c>
      <c r="I122" s="944"/>
      <c r="J122" s="944"/>
      <c r="K122" s="945"/>
      <c r="L122" s="831">
        <f t="shared" ref="L122:N122" ca="1" si="64">L123+L124</f>
        <v>0</v>
      </c>
      <c r="M122" s="831">
        <f t="shared" ca="1" si="64"/>
        <v>0</v>
      </c>
      <c r="N122" s="831">
        <f t="shared" ca="1" si="64"/>
        <v>0</v>
      </c>
      <c r="O122" s="831">
        <f t="shared" ca="1" si="61"/>
        <v>0</v>
      </c>
      <c r="P122" s="831">
        <f t="shared" ca="1" si="62"/>
        <v>0</v>
      </c>
      <c r="Q122" s="818"/>
      <c r="R122" s="818"/>
      <c r="S122" s="818"/>
      <c r="T122" s="818"/>
      <c r="U122" s="818"/>
      <c r="V122" s="818"/>
      <c r="W122" s="818"/>
      <c r="X122" s="818"/>
      <c r="Y122" s="818"/>
      <c r="Z122" s="818"/>
    </row>
    <row r="123" spans="1:26" ht="18.75" hidden="1">
      <c r="A123" s="940"/>
      <c r="B123" s="833"/>
      <c r="C123" s="834"/>
      <c r="D123" s="833"/>
      <c r="E123" s="834" t="s">
        <v>36</v>
      </c>
      <c r="F123" s="833"/>
      <c r="G123" s="941"/>
      <c r="H123" s="165" t="s">
        <v>12</v>
      </c>
      <c r="I123" s="947"/>
      <c r="J123" s="947"/>
      <c r="K123" s="948"/>
      <c r="L123" s="837">
        <v>0</v>
      </c>
      <c r="M123" s="837">
        <v>0</v>
      </c>
      <c r="N123" s="837">
        <v>0</v>
      </c>
      <c r="O123" s="837">
        <f t="shared" si="61"/>
        <v>0</v>
      </c>
      <c r="P123" s="837">
        <f t="shared" si="62"/>
        <v>0</v>
      </c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</row>
    <row r="124" spans="1:26" ht="18.75" hidden="1">
      <c r="A124" s="940"/>
      <c r="B124" s="833"/>
      <c r="C124" s="834"/>
      <c r="D124" s="833"/>
      <c r="E124" s="834" t="s">
        <v>37</v>
      </c>
      <c r="F124" s="833"/>
      <c r="G124" s="941"/>
      <c r="H124" s="165" t="s">
        <v>12</v>
      </c>
      <c r="I124" s="947"/>
      <c r="J124" s="947"/>
      <c r="K124" s="948"/>
      <c r="L124" s="837">
        <f ca="1">IFERROR(__xludf.DUMMYFUNCTION("IMPORTRANGE(""https://docs.google.com/spreadsheets/d/1MeEWN-I1oV_STSDYn1IFDPWt_1FKiwhDph83XaGc0o0/edit?usp=sharing"",""งบพรบ!BA17"")"),0)</f>
        <v>0</v>
      </c>
      <c r="M124" s="837">
        <f ca="1">IFERROR(__xludf.DUMMYFUNCTION("IMPORTRANGE(""https://docs.google.com/spreadsheets/d/1MeEWN-I1oV_STSDYn1IFDPWt_1FKiwhDph83XaGc0o0/edit?usp=sharing"",""งบพรบ!BF17"")"),0)</f>
        <v>0</v>
      </c>
      <c r="N124" s="837">
        <f ca="1">IFERROR(__xludf.DUMMYFUNCTION("IMPORTRANGE(""https://docs.google.com/spreadsheets/d/1MeEWN-I1oV_STSDYn1IFDPWt_1FKiwhDph83XaGc0o0/edit?usp=sharing"",""งบพรบ!BH17"")"),0)</f>
        <v>0</v>
      </c>
      <c r="O124" s="837">
        <f t="shared" ca="1" si="61"/>
        <v>0</v>
      </c>
      <c r="P124" s="837">
        <f t="shared" ca="1" si="62"/>
        <v>0</v>
      </c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</row>
    <row r="125" spans="1:26" ht="18.75" hidden="1">
      <c r="A125" s="942"/>
      <c r="B125" s="827"/>
      <c r="C125" s="943"/>
      <c r="D125" s="828" t="s">
        <v>21</v>
      </c>
      <c r="E125" s="827"/>
      <c r="F125" s="827"/>
      <c r="G125" s="829"/>
      <c r="H125" s="168" t="s">
        <v>12</v>
      </c>
      <c r="I125" s="944"/>
      <c r="J125" s="944"/>
      <c r="K125" s="945"/>
      <c r="L125" s="831">
        <f t="shared" ref="L125:N125" ca="1" si="65">L126+L127</f>
        <v>0</v>
      </c>
      <c r="M125" s="831">
        <f t="shared" ca="1" si="65"/>
        <v>0</v>
      </c>
      <c r="N125" s="831">
        <f t="shared" ca="1" si="65"/>
        <v>0</v>
      </c>
      <c r="O125" s="831">
        <f t="shared" ca="1" si="61"/>
        <v>0</v>
      </c>
      <c r="P125" s="831">
        <f t="shared" ca="1" si="62"/>
        <v>0</v>
      </c>
      <c r="Q125" s="818"/>
      <c r="R125" s="818"/>
      <c r="S125" s="818"/>
      <c r="T125" s="818"/>
      <c r="U125" s="818"/>
      <c r="V125" s="818"/>
      <c r="W125" s="818"/>
      <c r="X125" s="818"/>
      <c r="Y125" s="818"/>
      <c r="Z125" s="818"/>
    </row>
    <row r="126" spans="1:26" ht="19.5" hidden="1">
      <c r="A126" s="940"/>
      <c r="B126" s="833"/>
      <c r="C126" s="946"/>
      <c r="D126" s="833"/>
      <c r="E126" s="834" t="s">
        <v>18</v>
      </c>
      <c r="F126" s="833"/>
      <c r="G126" s="941"/>
      <c r="H126" s="165" t="s">
        <v>12</v>
      </c>
      <c r="I126" s="947"/>
      <c r="J126" s="947"/>
      <c r="K126" s="948"/>
      <c r="L126" s="837">
        <v>0</v>
      </c>
      <c r="M126" s="837">
        <v>0</v>
      </c>
      <c r="N126" s="837">
        <v>0</v>
      </c>
      <c r="O126" s="837">
        <f t="shared" si="61"/>
        <v>0</v>
      </c>
      <c r="P126" s="837">
        <f t="shared" si="62"/>
        <v>0</v>
      </c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</row>
    <row r="127" spans="1:26" ht="19.5" hidden="1">
      <c r="A127" s="940"/>
      <c r="B127" s="833"/>
      <c r="C127" s="946"/>
      <c r="D127" s="833"/>
      <c r="E127" s="834" t="s">
        <v>19</v>
      </c>
      <c r="F127" s="833"/>
      <c r="G127" s="941"/>
      <c r="H127" s="169" t="s">
        <v>12</v>
      </c>
      <c r="I127" s="947"/>
      <c r="J127" s="947"/>
      <c r="K127" s="948"/>
      <c r="L127" s="837">
        <f ca="1">IFERROR(__xludf.DUMMYFUNCTION("IMPORTRANGE(""https://docs.google.com/spreadsheets/d/1MeEWN-I1oV_STSDYn1IFDPWt_1FKiwhDph83XaGc0o0/edit?usp=sharing"",""งบพรบ!BD17"")"),0)</f>
        <v>0</v>
      </c>
      <c r="M127" s="837">
        <f ca="1">IFERROR(__xludf.DUMMYFUNCTION("IMPORTRANGE(""https://docs.google.com/spreadsheets/d/1MeEWN-I1oV_STSDYn1IFDPWt_1FKiwhDph83XaGc0o0/edit?usp=sharing"",""งบพรบ!BG17"")"),0)</f>
        <v>0</v>
      </c>
      <c r="N127" s="837">
        <f ca="1">IFERROR(__xludf.DUMMYFUNCTION("IMPORTRANGE(""https://docs.google.com/spreadsheets/d/1MeEWN-I1oV_STSDYn1IFDPWt_1FKiwhDph83XaGc0o0/edit?usp=sharing"",""งบพรบ!BI17"")"),0)</f>
        <v>0</v>
      </c>
      <c r="O127" s="837">
        <f t="shared" ca="1" si="61"/>
        <v>0</v>
      </c>
      <c r="P127" s="837">
        <f t="shared" ca="1" si="62"/>
        <v>0</v>
      </c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</row>
    <row r="128" spans="1:26" ht="19.5">
      <c r="A128" s="917" t="s">
        <v>67</v>
      </c>
      <c r="B128" s="918"/>
      <c r="C128" s="969"/>
      <c r="D128" s="918"/>
      <c r="E128" s="918"/>
      <c r="F128" s="918"/>
      <c r="G128" s="918"/>
      <c r="H128" s="970"/>
      <c r="I128" s="971"/>
      <c r="J128" s="971"/>
      <c r="K128" s="972"/>
      <c r="L128" s="923"/>
      <c r="M128" s="923"/>
      <c r="N128" s="923"/>
      <c r="O128" s="923"/>
      <c r="P128" s="923"/>
    </row>
    <row r="129" spans="1:26" ht="19.5">
      <c r="A129" s="924"/>
      <c r="B129" s="925" t="s">
        <v>68</v>
      </c>
      <c r="C129" s="973"/>
      <c r="D129" s="927"/>
      <c r="E129" s="926"/>
      <c r="F129" s="926"/>
      <c r="G129" s="926"/>
      <c r="H129" s="207"/>
      <c r="I129" s="974"/>
      <c r="J129" s="974"/>
      <c r="K129" s="931"/>
      <c r="L129" s="930"/>
      <c r="M129" s="930"/>
      <c r="N129" s="930"/>
      <c r="O129" s="930"/>
      <c r="P129" s="930"/>
    </row>
    <row r="130" spans="1:26" ht="19.5">
      <c r="A130" s="924"/>
      <c r="B130" s="925"/>
      <c r="C130" s="975" t="s">
        <v>69</v>
      </c>
      <c r="D130" s="927"/>
      <c r="E130" s="926"/>
      <c r="F130" s="926"/>
      <c r="G130" s="928"/>
      <c r="H130" s="205" t="s">
        <v>66</v>
      </c>
      <c r="I130" s="929">
        <f t="shared" ref="I130:J130" ca="1" si="66">I146</f>
        <v>1</v>
      </c>
      <c r="J130" s="929">
        <f t="shared" si="66"/>
        <v>1</v>
      </c>
      <c r="K130" s="930">
        <f t="shared" ref="K130:K131" ca="1" si="67">IF(I130&gt;0,J130*100/I130,0)</f>
        <v>100</v>
      </c>
      <c r="L130" s="931"/>
      <c r="M130" s="931"/>
      <c r="N130" s="931"/>
      <c r="O130" s="931"/>
      <c r="P130" s="931"/>
      <c r="Q130" s="1470"/>
      <c r="R130" s="1470"/>
      <c r="S130" s="1470"/>
      <c r="T130" s="1470"/>
      <c r="U130" s="1470"/>
      <c r="V130" s="1470"/>
      <c r="W130" s="1470"/>
      <c r="X130" s="1470"/>
      <c r="Y130" s="1470"/>
      <c r="Z130" s="1470"/>
    </row>
    <row r="131" spans="1:26" ht="19.5">
      <c r="A131" s="924"/>
      <c r="B131" s="925"/>
      <c r="C131" s="975" t="s">
        <v>70</v>
      </c>
      <c r="D131" s="927"/>
      <c r="E131" s="926"/>
      <c r="F131" s="926"/>
      <c r="G131" s="928"/>
      <c r="H131" s="205" t="s">
        <v>35</v>
      </c>
      <c r="I131" s="929">
        <f t="shared" ref="I131:J131" ca="1" si="68">I143</f>
        <v>10</v>
      </c>
      <c r="J131" s="929">
        <f t="shared" ca="1" si="68"/>
        <v>0</v>
      </c>
      <c r="K131" s="930">
        <f t="shared" ca="1" si="67"/>
        <v>0</v>
      </c>
      <c r="L131" s="931"/>
      <c r="M131" s="931"/>
      <c r="N131" s="931"/>
      <c r="O131" s="931"/>
      <c r="P131" s="931"/>
      <c r="Q131" s="1470"/>
      <c r="R131" s="1470"/>
      <c r="S131" s="1470"/>
      <c r="T131" s="1470"/>
      <c r="U131" s="1470"/>
      <c r="V131" s="1470"/>
      <c r="W131" s="1470"/>
      <c r="X131" s="1470"/>
      <c r="Y131" s="1470"/>
      <c r="Z131" s="1470"/>
    </row>
    <row r="132" spans="1:26" ht="19.5">
      <c r="A132" s="932"/>
      <c r="B132" s="933"/>
      <c r="C132" s="934" t="s">
        <v>16</v>
      </c>
      <c r="D132" s="935" t="s">
        <v>17</v>
      </c>
      <c r="E132" s="933"/>
      <c r="F132" s="933"/>
      <c r="G132" s="936"/>
      <c r="H132" s="152" t="s">
        <v>12</v>
      </c>
      <c r="I132" s="937"/>
      <c r="J132" s="937"/>
      <c r="K132" s="938"/>
      <c r="L132" s="939">
        <f t="shared" ref="L132:N132" ca="1" si="69">L133+L134</f>
        <v>239255</v>
      </c>
      <c r="M132" s="939">
        <f t="shared" ca="1" si="69"/>
        <v>209600</v>
      </c>
      <c r="N132" s="939">
        <f t="shared" ca="1" si="69"/>
        <v>170629</v>
      </c>
      <c r="O132" s="939">
        <f t="shared" ref="O132:O140" ca="1" si="70">IF(L132&gt;0,N132*100/L132,0)</f>
        <v>71.316795887233283</v>
      </c>
      <c r="P132" s="939">
        <f t="shared" ref="P132:P140" ca="1" si="71">IF(M132&gt;0,N132*100/M132,0)</f>
        <v>81.406965648854964</v>
      </c>
      <c r="Q132" s="818"/>
      <c r="R132" s="818"/>
      <c r="S132" s="818"/>
      <c r="T132" s="818"/>
      <c r="U132" s="818"/>
      <c r="V132" s="818"/>
      <c r="W132" s="818"/>
      <c r="X132" s="818"/>
      <c r="Y132" s="818"/>
      <c r="Z132" s="818"/>
    </row>
    <row r="133" spans="1:26" ht="18.75" hidden="1">
      <c r="A133" s="940"/>
      <c r="B133" s="833"/>
      <c r="C133" s="833"/>
      <c r="D133" s="833"/>
      <c r="E133" s="834" t="s">
        <v>18</v>
      </c>
      <c r="F133" s="833"/>
      <c r="G133" s="941"/>
      <c r="H133" s="158" t="s">
        <v>12</v>
      </c>
      <c r="I133" s="836"/>
      <c r="J133" s="836"/>
      <c r="K133" s="837"/>
      <c r="L133" s="837">
        <f t="shared" ref="L133:N134" si="72">L136+L139</f>
        <v>0</v>
      </c>
      <c r="M133" s="837">
        <f t="shared" si="72"/>
        <v>0</v>
      </c>
      <c r="N133" s="837">
        <f t="shared" si="72"/>
        <v>0</v>
      </c>
      <c r="O133" s="837">
        <f t="shared" si="70"/>
        <v>0</v>
      </c>
      <c r="P133" s="837">
        <f t="shared" si="71"/>
        <v>0</v>
      </c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</row>
    <row r="134" spans="1:26" ht="18.75" hidden="1">
      <c r="A134" s="940"/>
      <c r="B134" s="833"/>
      <c r="C134" s="833"/>
      <c r="D134" s="833"/>
      <c r="E134" s="834" t="s">
        <v>19</v>
      </c>
      <c r="F134" s="833"/>
      <c r="G134" s="941"/>
      <c r="H134" s="158" t="s">
        <v>12</v>
      </c>
      <c r="I134" s="836"/>
      <c r="J134" s="836"/>
      <c r="K134" s="837"/>
      <c r="L134" s="837">
        <f t="shared" ca="1" si="72"/>
        <v>239255</v>
      </c>
      <c r="M134" s="837">
        <f t="shared" ca="1" si="72"/>
        <v>209600</v>
      </c>
      <c r="N134" s="837">
        <f t="shared" ca="1" si="72"/>
        <v>170629</v>
      </c>
      <c r="O134" s="837">
        <f t="shared" ca="1" si="70"/>
        <v>71.316795887233283</v>
      </c>
      <c r="P134" s="837">
        <f t="shared" ca="1" si="71"/>
        <v>81.406965648854964</v>
      </c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</row>
    <row r="135" spans="1:26" ht="18.75">
      <c r="A135" s="942"/>
      <c r="B135" s="827"/>
      <c r="C135" s="943"/>
      <c r="D135" s="828" t="s">
        <v>20</v>
      </c>
      <c r="E135" s="827"/>
      <c r="F135" s="827"/>
      <c r="G135" s="829"/>
      <c r="H135" s="778" t="s">
        <v>12</v>
      </c>
      <c r="I135" s="944"/>
      <c r="J135" s="944"/>
      <c r="K135" s="945"/>
      <c r="L135" s="831">
        <f t="shared" ref="L135:N135" ca="1" si="73">L136+L137</f>
        <v>136255</v>
      </c>
      <c r="M135" s="831">
        <f t="shared" ca="1" si="73"/>
        <v>109600</v>
      </c>
      <c r="N135" s="831">
        <f t="shared" ca="1" si="73"/>
        <v>70629</v>
      </c>
      <c r="O135" s="831">
        <f t="shared" ca="1" si="70"/>
        <v>51.83589593042457</v>
      </c>
      <c r="P135" s="831">
        <f t="shared" ca="1" si="71"/>
        <v>64.442518248175176</v>
      </c>
      <c r="Q135" s="818"/>
      <c r="R135" s="818"/>
      <c r="S135" s="818"/>
      <c r="T135" s="818"/>
      <c r="U135" s="818"/>
      <c r="V135" s="818"/>
      <c r="W135" s="818"/>
      <c r="X135" s="818"/>
      <c r="Y135" s="818"/>
      <c r="Z135" s="818"/>
    </row>
    <row r="136" spans="1:26" ht="19.5" hidden="1">
      <c r="A136" s="940"/>
      <c r="B136" s="833"/>
      <c r="C136" s="946"/>
      <c r="D136" s="833"/>
      <c r="E136" s="834" t="s">
        <v>36</v>
      </c>
      <c r="F136" s="833"/>
      <c r="G136" s="941"/>
      <c r="H136" s="165" t="s">
        <v>12</v>
      </c>
      <c r="I136" s="947"/>
      <c r="J136" s="947"/>
      <c r="K136" s="948"/>
      <c r="L136" s="837">
        <v>0</v>
      </c>
      <c r="M136" s="837">
        <v>0</v>
      </c>
      <c r="N136" s="837">
        <v>0</v>
      </c>
      <c r="O136" s="837">
        <f t="shared" si="70"/>
        <v>0</v>
      </c>
      <c r="P136" s="837">
        <f t="shared" si="71"/>
        <v>0</v>
      </c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</row>
    <row r="137" spans="1:26" ht="19.5" hidden="1">
      <c r="A137" s="940"/>
      <c r="B137" s="833"/>
      <c r="C137" s="946"/>
      <c r="D137" s="833"/>
      <c r="E137" s="834" t="s">
        <v>37</v>
      </c>
      <c r="F137" s="833"/>
      <c r="G137" s="941"/>
      <c r="H137" s="165" t="s">
        <v>12</v>
      </c>
      <c r="I137" s="947"/>
      <c r="J137" s="947"/>
      <c r="K137" s="948"/>
      <c r="L137" s="837">
        <f ca="1">IFERROR(__xludf.DUMMYFUNCTION("IMPORTRANGE(""https://docs.google.com/spreadsheets/d/1MeEWN-I1oV_STSDYn1IFDPWt_1FKiwhDph83XaGc0o0/edit?usp=sharing"",""งบพรบ!BK17"")"),136255)</f>
        <v>136255</v>
      </c>
      <c r="M137" s="837">
        <f ca="1">IFERROR(__xludf.DUMMYFUNCTION("IMPORTRANGE(""https://docs.google.com/spreadsheets/d/1MeEWN-I1oV_STSDYn1IFDPWt_1FKiwhDph83XaGc0o0/edit?usp=sharing"",""งบพรบ!BP17"")"),109600)</f>
        <v>109600</v>
      </c>
      <c r="N137" s="837">
        <f ca="1">IFERROR(__xludf.DUMMYFUNCTION("IMPORTRANGE(""https://docs.google.com/spreadsheets/d/1MeEWN-I1oV_STSDYn1IFDPWt_1FKiwhDph83XaGc0o0/edit?usp=sharing"",""งบพรบ!BR17"")"),70629)</f>
        <v>70629</v>
      </c>
      <c r="O137" s="837">
        <f t="shared" ca="1" si="70"/>
        <v>51.83589593042457</v>
      </c>
      <c r="P137" s="837">
        <f t="shared" ca="1" si="71"/>
        <v>64.442518248175176</v>
      </c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</row>
    <row r="138" spans="1:26" ht="18.75">
      <c r="A138" s="942"/>
      <c r="B138" s="827"/>
      <c r="C138" s="943"/>
      <c r="D138" s="828" t="s">
        <v>21</v>
      </c>
      <c r="E138" s="827"/>
      <c r="F138" s="827"/>
      <c r="G138" s="829"/>
      <c r="H138" s="168" t="s">
        <v>12</v>
      </c>
      <c r="I138" s="944"/>
      <c r="J138" s="944"/>
      <c r="K138" s="945"/>
      <c r="L138" s="831">
        <f t="shared" ref="L138:N138" ca="1" si="74">L139+L140</f>
        <v>103000</v>
      </c>
      <c r="M138" s="831">
        <f t="shared" ca="1" si="74"/>
        <v>100000</v>
      </c>
      <c r="N138" s="831">
        <f t="shared" ca="1" si="74"/>
        <v>100000</v>
      </c>
      <c r="O138" s="831">
        <f t="shared" ca="1" si="70"/>
        <v>97.087378640776706</v>
      </c>
      <c r="P138" s="831">
        <f t="shared" ca="1" si="71"/>
        <v>100</v>
      </c>
      <c r="Q138" s="818"/>
      <c r="R138" s="818"/>
      <c r="S138" s="818"/>
      <c r="T138" s="818"/>
      <c r="U138" s="818"/>
      <c r="V138" s="818"/>
      <c r="W138" s="818"/>
      <c r="X138" s="818"/>
      <c r="Y138" s="818"/>
      <c r="Z138" s="818"/>
    </row>
    <row r="139" spans="1:26" ht="19.5" hidden="1">
      <c r="A139" s="940"/>
      <c r="B139" s="833"/>
      <c r="C139" s="946"/>
      <c r="D139" s="833"/>
      <c r="E139" s="834" t="s">
        <v>18</v>
      </c>
      <c r="F139" s="833"/>
      <c r="G139" s="941"/>
      <c r="H139" s="165" t="s">
        <v>12</v>
      </c>
      <c r="I139" s="947"/>
      <c r="J139" s="947"/>
      <c r="K139" s="948"/>
      <c r="L139" s="837">
        <v>0</v>
      </c>
      <c r="M139" s="837">
        <v>0</v>
      </c>
      <c r="N139" s="837">
        <v>0</v>
      </c>
      <c r="O139" s="837">
        <f t="shared" si="70"/>
        <v>0</v>
      </c>
      <c r="P139" s="837">
        <f t="shared" si="71"/>
        <v>0</v>
      </c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</row>
    <row r="140" spans="1:26" ht="19.5" hidden="1">
      <c r="A140" s="940"/>
      <c r="B140" s="833"/>
      <c r="C140" s="946"/>
      <c r="D140" s="833"/>
      <c r="E140" s="834" t="s">
        <v>19</v>
      </c>
      <c r="F140" s="833"/>
      <c r="G140" s="941"/>
      <c r="H140" s="169" t="s">
        <v>12</v>
      </c>
      <c r="I140" s="947"/>
      <c r="J140" s="947"/>
      <c r="K140" s="948"/>
      <c r="L140" s="837">
        <f ca="1">IFERROR(__xludf.DUMMYFUNCTION("IMPORTRANGE(""https://docs.google.com/spreadsheets/d/1MeEWN-I1oV_STSDYn1IFDPWt_1FKiwhDph83XaGc0o0/edit?usp=sharing"",""งบพรบ!BN17"")"),103000)</f>
        <v>103000</v>
      </c>
      <c r="M140" s="837">
        <f ca="1">IFERROR(__xludf.DUMMYFUNCTION("IMPORTRANGE(""https://docs.google.com/spreadsheets/d/1MeEWN-I1oV_STSDYn1IFDPWt_1FKiwhDph83XaGc0o0/edit?usp=sharing"",""งบพรบ!BQ17"")"),100000)</f>
        <v>100000</v>
      </c>
      <c r="N140" s="837">
        <f ca="1">IFERROR(__xludf.DUMMYFUNCTION("IMPORTRANGE(""https://docs.google.com/spreadsheets/d/1MeEWN-I1oV_STSDYn1IFDPWt_1FKiwhDph83XaGc0o0/edit?usp=sharing"",""งบพรบ!BS17"")"),100000)</f>
        <v>100000</v>
      </c>
      <c r="O140" s="837">
        <f t="shared" ca="1" si="70"/>
        <v>97.087378640776706</v>
      </c>
      <c r="P140" s="837">
        <f t="shared" ca="1" si="71"/>
        <v>100</v>
      </c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</row>
    <row r="141" spans="1:26" ht="19.5">
      <c r="A141" s="949"/>
      <c r="B141" s="950"/>
      <c r="C141" s="934" t="s">
        <v>16</v>
      </c>
      <c r="D141" s="951" t="s">
        <v>38</v>
      </c>
      <c r="E141" s="952"/>
      <c r="F141" s="952"/>
      <c r="G141" s="953"/>
      <c r="H141" s="168"/>
      <c r="I141" s="830"/>
      <c r="J141" s="830"/>
      <c r="K141" s="831"/>
      <c r="L141" s="831"/>
      <c r="M141" s="831"/>
      <c r="N141" s="831"/>
      <c r="O141" s="831"/>
      <c r="P141" s="831"/>
    </row>
    <row r="142" spans="1:26" ht="19.5">
      <c r="A142" s="942"/>
      <c r="B142" s="827"/>
      <c r="C142" s="976"/>
      <c r="D142" s="943" t="s">
        <v>71</v>
      </c>
      <c r="E142" s="828"/>
      <c r="F142" s="827"/>
      <c r="G142" s="977"/>
      <c r="H142" s="168"/>
      <c r="I142" s="830"/>
      <c r="J142" s="959">
        <v>1</v>
      </c>
      <c r="K142" s="831"/>
      <c r="L142" s="831"/>
      <c r="M142" s="831"/>
      <c r="N142" s="831"/>
      <c r="O142" s="831"/>
      <c r="P142" s="831"/>
    </row>
    <row r="143" spans="1:26" ht="19.5">
      <c r="A143" s="942"/>
      <c r="B143" s="827"/>
      <c r="C143" s="976"/>
      <c r="D143" s="943" t="s">
        <v>72</v>
      </c>
      <c r="E143" s="828"/>
      <c r="F143" s="827"/>
      <c r="G143" s="977"/>
      <c r="H143" s="168" t="s">
        <v>35</v>
      </c>
      <c r="I143" s="830">
        <f ca="1">I145</f>
        <v>10</v>
      </c>
      <c r="J143" s="830">
        <f ca="1">IF(AND(J144&gt;=I144,J145&gt;=I145),J145,0)</f>
        <v>0</v>
      </c>
      <c r="K143" s="831">
        <f t="shared" ref="K143:K146" ca="1" si="75">IF(I143&gt;0,J143*100/I143,0)</f>
        <v>0</v>
      </c>
      <c r="L143" s="831"/>
      <c r="M143" s="831"/>
      <c r="N143" s="831"/>
      <c r="O143" s="831"/>
      <c r="P143" s="831"/>
    </row>
    <row r="144" spans="1:26" ht="19.5">
      <c r="A144" s="942"/>
      <c r="B144" s="827"/>
      <c r="C144" s="976"/>
      <c r="D144" s="957"/>
      <c r="E144" s="943" t="s">
        <v>73</v>
      </c>
      <c r="F144" s="827"/>
      <c r="G144" s="977"/>
      <c r="H144" s="168" t="s">
        <v>35</v>
      </c>
      <c r="I144" s="830">
        <f ca="1">IFERROR(__xludf.DUMMYFUNCTION("IMPORTRANGE(""https://docs.google.com/spreadsheets/d/1QqKyyYR6Q21VydFLVH3TRQUabQu_ym0Zz7PgGX0-kHA/edit?usp=sharing"",""แผน!U17"")"),5)</f>
        <v>5</v>
      </c>
      <c r="J144" s="959">
        <v>5</v>
      </c>
      <c r="K144" s="831">
        <f t="shared" ca="1" si="75"/>
        <v>100</v>
      </c>
      <c r="L144" s="831"/>
      <c r="M144" s="831"/>
      <c r="N144" s="831"/>
      <c r="O144" s="831"/>
      <c r="P144" s="831"/>
    </row>
    <row r="145" spans="1:26" ht="19.5">
      <c r="A145" s="942"/>
      <c r="B145" s="827"/>
      <c r="C145" s="976"/>
      <c r="D145" s="957"/>
      <c r="E145" s="943" t="s">
        <v>74</v>
      </c>
      <c r="F145" s="827"/>
      <c r="G145" s="977"/>
      <c r="H145" s="168" t="s">
        <v>35</v>
      </c>
      <c r="I145" s="830">
        <f ca="1">IFERROR(__xludf.DUMMYFUNCTION("IMPORTRANGE(""https://docs.google.com/spreadsheets/d/1QqKyyYR6Q21VydFLVH3TRQUabQu_ym0Zz7PgGX0-kHA/edit?usp=sharing"",""แผน!V17"")"),10)</f>
        <v>10</v>
      </c>
      <c r="J145" s="959">
        <v>0</v>
      </c>
      <c r="K145" s="831">
        <f t="shared" ca="1" si="75"/>
        <v>0</v>
      </c>
      <c r="L145" s="831"/>
      <c r="M145" s="831"/>
      <c r="N145" s="831"/>
      <c r="O145" s="831"/>
      <c r="P145" s="831"/>
    </row>
    <row r="146" spans="1:26" ht="19.5">
      <c r="A146" s="942"/>
      <c r="B146" s="827"/>
      <c r="C146" s="976"/>
      <c r="D146" s="943" t="s">
        <v>75</v>
      </c>
      <c r="E146" s="828"/>
      <c r="F146" s="827"/>
      <c r="G146" s="977"/>
      <c r="H146" s="168" t="s">
        <v>66</v>
      </c>
      <c r="I146" s="830">
        <f ca="1">IFERROR(__xludf.DUMMYFUNCTION("IMPORTRANGE(""https://docs.google.com/spreadsheets/d/1QqKyyYR6Q21VydFLVH3TRQUabQu_ym0Zz7PgGX0-kHA/edit?usp=sharing"",""แผน!W17"")"),1)</f>
        <v>1</v>
      </c>
      <c r="J146" s="959">
        <v>1</v>
      </c>
      <c r="K146" s="831">
        <f t="shared" ca="1" si="75"/>
        <v>100</v>
      </c>
      <c r="L146" s="831"/>
      <c r="M146" s="831"/>
      <c r="N146" s="831"/>
      <c r="O146" s="831"/>
      <c r="P146" s="831"/>
    </row>
    <row r="147" spans="1:26" ht="19.5">
      <c r="A147" s="917" t="s">
        <v>76</v>
      </c>
      <c r="B147" s="918"/>
      <c r="C147" s="969"/>
      <c r="D147" s="918"/>
      <c r="E147" s="918"/>
      <c r="F147" s="918"/>
      <c r="G147" s="918"/>
      <c r="H147" s="970"/>
      <c r="I147" s="971"/>
      <c r="J147" s="971"/>
      <c r="K147" s="972"/>
      <c r="L147" s="923"/>
      <c r="M147" s="923"/>
      <c r="N147" s="923"/>
      <c r="O147" s="923"/>
      <c r="P147" s="923"/>
    </row>
    <row r="148" spans="1:26" ht="19.5">
      <c r="A148" s="978"/>
      <c r="B148" s="925" t="s">
        <v>77</v>
      </c>
      <c r="C148" s="925"/>
      <c r="D148" s="925"/>
      <c r="E148" s="979"/>
      <c r="F148" s="980"/>
      <c r="G148" s="981"/>
      <c r="H148" s="221" t="s">
        <v>35</v>
      </c>
      <c r="I148" s="929">
        <f t="shared" ref="I148:J148" ca="1" si="76">I159</f>
        <v>20</v>
      </c>
      <c r="J148" s="929">
        <f t="shared" si="76"/>
        <v>0</v>
      </c>
      <c r="K148" s="930">
        <f ca="1">IF(I148&gt;0,J148*100/I148,0)</f>
        <v>0</v>
      </c>
      <c r="L148" s="930"/>
      <c r="M148" s="930"/>
      <c r="N148" s="930"/>
      <c r="O148" s="930"/>
      <c r="P148" s="930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32"/>
      <c r="B149" s="933"/>
      <c r="C149" s="934" t="s">
        <v>16</v>
      </c>
      <c r="D149" s="935" t="s">
        <v>17</v>
      </c>
      <c r="E149" s="933"/>
      <c r="F149" s="933"/>
      <c r="G149" s="936"/>
      <c r="H149" s="152" t="s">
        <v>12</v>
      </c>
      <c r="I149" s="937"/>
      <c r="J149" s="937"/>
      <c r="K149" s="938"/>
      <c r="L149" s="939">
        <f t="shared" ref="L149:N149" ca="1" si="77">L150+L151</f>
        <v>10000</v>
      </c>
      <c r="M149" s="939">
        <f t="shared" ca="1" si="77"/>
        <v>11360</v>
      </c>
      <c r="N149" s="939">
        <f t="shared" ca="1" si="77"/>
        <v>1672</v>
      </c>
      <c r="O149" s="939">
        <f t="shared" ref="O149:O157" ca="1" si="78">IF(L149&gt;0,N149*100/L149,0)</f>
        <v>16.72</v>
      </c>
      <c r="P149" s="939">
        <f t="shared" ref="P149:P157" ca="1" si="79">IF(M149&gt;0,N149*100/M149,0)</f>
        <v>14.71830985915493</v>
      </c>
      <c r="Q149" s="818"/>
      <c r="R149" s="818"/>
      <c r="S149" s="818"/>
      <c r="T149" s="818"/>
      <c r="U149" s="818"/>
      <c r="V149" s="818"/>
      <c r="W149" s="818"/>
      <c r="X149" s="818"/>
      <c r="Y149" s="818"/>
      <c r="Z149" s="818"/>
    </row>
    <row r="150" spans="1:26" ht="18.75" hidden="1">
      <c r="A150" s="940"/>
      <c r="B150" s="833"/>
      <c r="C150" s="833"/>
      <c r="D150" s="833"/>
      <c r="E150" s="834" t="s">
        <v>18</v>
      </c>
      <c r="F150" s="833"/>
      <c r="G150" s="941"/>
      <c r="H150" s="158" t="s">
        <v>12</v>
      </c>
      <c r="I150" s="836"/>
      <c r="J150" s="836"/>
      <c r="K150" s="837"/>
      <c r="L150" s="837">
        <f t="shared" ref="L150:N151" si="80">L153+L156</f>
        <v>0</v>
      </c>
      <c r="M150" s="837">
        <f t="shared" si="80"/>
        <v>0</v>
      </c>
      <c r="N150" s="837">
        <f t="shared" si="80"/>
        <v>0</v>
      </c>
      <c r="O150" s="837">
        <f t="shared" si="78"/>
        <v>0</v>
      </c>
      <c r="P150" s="837">
        <f t="shared" si="79"/>
        <v>0</v>
      </c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</row>
    <row r="151" spans="1:26" ht="18.75" hidden="1">
      <c r="A151" s="940"/>
      <c r="B151" s="833"/>
      <c r="C151" s="833"/>
      <c r="D151" s="833"/>
      <c r="E151" s="834" t="s">
        <v>19</v>
      </c>
      <c r="F151" s="833"/>
      <c r="G151" s="941"/>
      <c r="H151" s="158" t="s">
        <v>12</v>
      </c>
      <c r="I151" s="836"/>
      <c r="J151" s="836"/>
      <c r="K151" s="837"/>
      <c r="L151" s="837">
        <f t="shared" ca="1" si="80"/>
        <v>10000</v>
      </c>
      <c r="M151" s="837">
        <f t="shared" ca="1" si="80"/>
        <v>11360</v>
      </c>
      <c r="N151" s="837">
        <f t="shared" ca="1" si="80"/>
        <v>1672</v>
      </c>
      <c r="O151" s="837">
        <f t="shared" ca="1" si="78"/>
        <v>16.72</v>
      </c>
      <c r="P151" s="837">
        <f t="shared" ca="1" si="79"/>
        <v>14.71830985915493</v>
      </c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</row>
    <row r="152" spans="1:26" ht="18.75">
      <c r="A152" s="942"/>
      <c r="B152" s="827"/>
      <c r="C152" s="943"/>
      <c r="D152" s="828" t="s">
        <v>20</v>
      </c>
      <c r="E152" s="827"/>
      <c r="F152" s="827"/>
      <c r="G152" s="829"/>
      <c r="H152" s="778" t="s">
        <v>12</v>
      </c>
      <c r="I152" s="944"/>
      <c r="J152" s="944"/>
      <c r="K152" s="945"/>
      <c r="L152" s="831">
        <f t="shared" ref="L152:N152" ca="1" si="81">L153+L154</f>
        <v>10000</v>
      </c>
      <c r="M152" s="831">
        <f t="shared" ca="1" si="81"/>
        <v>11360</v>
      </c>
      <c r="N152" s="831">
        <f t="shared" ca="1" si="81"/>
        <v>1672</v>
      </c>
      <c r="O152" s="831">
        <f t="shared" ca="1" si="78"/>
        <v>16.72</v>
      </c>
      <c r="P152" s="831">
        <f t="shared" ca="1" si="79"/>
        <v>14.71830985915493</v>
      </c>
      <c r="Q152" s="818"/>
      <c r="R152" s="818"/>
      <c r="S152" s="818"/>
      <c r="T152" s="818"/>
      <c r="U152" s="818"/>
      <c r="V152" s="818"/>
      <c r="W152" s="818"/>
      <c r="X152" s="818"/>
      <c r="Y152" s="818"/>
      <c r="Z152" s="818"/>
    </row>
    <row r="153" spans="1:26" ht="19.5" hidden="1">
      <c r="A153" s="940"/>
      <c r="B153" s="833"/>
      <c r="C153" s="946"/>
      <c r="D153" s="833"/>
      <c r="E153" s="834" t="s">
        <v>36</v>
      </c>
      <c r="F153" s="833"/>
      <c r="G153" s="941"/>
      <c r="H153" s="165" t="s">
        <v>12</v>
      </c>
      <c r="I153" s="947"/>
      <c r="J153" s="947"/>
      <c r="K153" s="948"/>
      <c r="L153" s="837">
        <v>0</v>
      </c>
      <c r="M153" s="837">
        <v>0</v>
      </c>
      <c r="N153" s="837">
        <v>0</v>
      </c>
      <c r="O153" s="837">
        <f t="shared" si="78"/>
        <v>0</v>
      </c>
      <c r="P153" s="837">
        <f t="shared" si="79"/>
        <v>0</v>
      </c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</row>
    <row r="154" spans="1:26" ht="19.5" hidden="1">
      <c r="A154" s="940"/>
      <c r="B154" s="833"/>
      <c r="C154" s="946"/>
      <c r="D154" s="833"/>
      <c r="E154" s="834" t="s">
        <v>37</v>
      </c>
      <c r="F154" s="833"/>
      <c r="G154" s="941"/>
      <c r="H154" s="165" t="s">
        <v>12</v>
      </c>
      <c r="I154" s="947"/>
      <c r="J154" s="947"/>
      <c r="K154" s="948"/>
      <c r="L154" s="837">
        <f ca="1">IFERROR(__xludf.DUMMYFUNCTION("IMPORTRANGE(""https://docs.google.com/spreadsheets/d/1MeEWN-I1oV_STSDYn1IFDPWt_1FKiwhDph83XaGc0o0/edit?usp=sharing"",""งบพรบ!BU17"")"),10000)</f>
        <v>10000</v>
      </c>
      <c r="M154" s="837">
        <f ca="1">IFERROR(__xludf.DUMMYFUNCTION("IMPORTRANGE(""https://docs.google.com/spreadsheets/d/1MeEWN-I1oV_STSDYn1IFDPWt_1FKiwhDph83XaGc0o0/edit?usp=sharing"",""งบพรบ!BZ17"")"),11360)</f>
        <v>11360</v>
      </c>
      <c r="N154" s="837">
        <f ca="1">IFERROR(__xludf.DUMMYFUNCTION("IMPORTRANGE(""https://docs.google.com/spreadsheets/d/1MeEWN-I1oV_STSDYn1IFDPWt_1FKiwhDph83XaGc0o0/edit?usp=sharing"",""งบพรบ!CB17"")"),1672)</f>
        <v>1672</v>
      </c>
      <c r="O154" s="837">
        <f t="shared" ca="1" si="78"/>
        <v>16.72</v>
      </c>
      <c r="P154" s="837">
        <f t="shared" ca="1" si="79"/>
        <v>14.71830985915493</v>
      </c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</row>
    <row r="155" spans="1:26" ht="18.75">
      <c r="A155" s="942"/>
      <c r="B155" s="827"/>
      <c r="C155" s="943"/>
      <c r="D155" s="828" t="s">
        <v>21</v>
      </c>
      <c r="E155" s="827"/>
      <c r="F155" s="827"/>
      <c r="G155" s="829"/>
      <c r="H155" s="168" t="s">
        <v>12</v>
      </c>
      <c r="I155" s="944"/>
      <c r="J155" s="944"/>
      <c r="K155" s="945"/>
      <c r="L155" s="831">
        <f t="shared" ref="L155:N155" ca="1" si="82">L156+L157</f>
        <v>0</v>
      </c>
      <c r="M155" s="831">
        <f t="shared" ca="1" si="82"/>
        <v>0</v>
      </c>
      <c r="N155" s="831">
        <f t="shared" ca="1" si="82"/>
        <v>0</v>
      </c>
      <c r="O155" s="831">
        <f t="shared" ca="1" si="78"/>
        <v>0</v>
      </c>
      <c r="P155" s="831">
        <f t="shared" ca="1" si="79"/>
        <v>0</v>
      </c>
      <c r="Q155" s="818"/>
      <c r="R155" s="818"/>
      <c r="S155" s="818"/>
      <c r="T155" s="818"/>
      <c r="U155" s="818"/>
      <c r="V155" s="818"/>
      <c r="W155" s="818"/>
      <c r="X155" s="818"/>
      <c r="Y155" s="818"/>
      <c r="Z155" s="818"/>
    </row>
    <row r="156" spans="1:26" ht="19.5" hidden="1">
      <c r="A156" s="940"/>
      <c r="B156" s="833"/>
      <c r="C156" s="946"/>
      <c r="D156" s="833"/>
      <c r="E156" s="834" t="s">
        <v>18</v>
      </c>
      <c r="F156" s="833"/>
      <c r="G156" s="941"/>
      <c r="H156" s="165" t="s">
        <v>12</v>
      </c>
      <c r="I156" s="947"/>
      <c r="J156" s="947"/>
      <c r="K156" s="948"/>
      <c r="L156" s="837">
        <v>0</v>
      </c>
      <c r="M156" s="837">
        <v>0</v>
      </c>
      <c r="N156" s="837">
        <v>0</v>
      </c>
      <c r="O156" s="837">
        <f t="shared" si="78"/>
        <v>0</v>
      </c>
      <c r="P156" s="837">
        <f t="shared" si="79"/>
        <v>0</v>
      </c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</row>
    <row r="157" spans="1:26" ht="19.5" hidden="1">
      <c r="A157" s="940"/>
      <c r="B157" s="833"/>
      <c r="C157" s="946"/>
      <c r="D157" s="833"/>
      <c r="E157" s="834" t="s">
        <v>19</v>
      </c>
      <c r="F157" s="833"/>
      <c r="G157" s="941"/>
      <c r="H157" s="169" t="s">
        <v>12</v>
      </c>
      <c r="I157" s="947"/>
      <c r="J157" s="947"/>
      <c r="K157" s="948"/>
      <c r="L157" s="837">
        <f ca="1">IFERROR(__xludf.DUMMYFUNCTION("IMPORTRANGE(""https://docs.google.com/spreadsheets/d/1MeEWN-I1oV_STSDYn1IFDPWt_1FKiwhDph83XaGc0o0/edit?usp=sharing"",""งบพรบ!BX17"")"),0)</f>
        <v>0</v>
      </c>
      <c r="M157" s="837">
        <f ca="1">IFERROR(__xludf.DUMMYFUNCTION("IMPORTRANGE(""https://docs.google.com/spreadsheets/d/1MeEWN-I1oV_STSDYn1IFDPWt_1FKiwhDph83XaGc0o0/edit?usp=sharing"",""งบพรบ!CA17"")"),0)</f>
        <v>0</v>
      </c>
      <c r="N157" s="837">
        <f ca="1">IFERROR(__xludf.DUMMYFUNCTION("IMPORTRANGE(""https://docs.google.com/spreadsheets/d/1MeEWN-I1oV_STSDYn1IFDPWt_1FKiwhDph83XaGc0o0/edit?usp=sharing"",""งบพรบ!CC17"")"),0)</f>
        <v>0</v>
      </c>
      <c r="O157" s="837">
        <f t="shared" ca="1" si="78"/>
        <v>0</v>
      </c>
      <c r="P157" s="837">
        <f t="shared" ca="1" si="79"/>
        <v>0</v>
      </c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</row>
    <row r="158" spans="1:26" ht="19.5">
      <c r="A158" s="949"/>
      <c r="B158" s="950"/>
      <c r="C158" s="946" t="s">
        <v>16</v>
      </c>
      <c r="D158" s="951" t="s">
        <v>38</v>
      </c>
      <c r="E158" s="952"/>
      <c r="F158" s="952"/>
      <c r="G158" s="953"/>
      <c r="H158" s="168"/>
      <c r="I158" s="830"/>
      <c r="J158" s="830"/>
      <c r="K158" s="831"/>
      <c r="L158" s="831"/>
      <c r="M158" s="831"/>
      <c r="N158" s="831"/>
      <c r="O158" s="831"/>
      <c r="P158" s="831"/>
    </row>
    <row r="159" spans="1:26" ht="19.5">
      <c r="A159" s="942"/>
      <c r="B159" s="827"/>
      <c r="C159" s="976"/>
      <c r="D159" s="943" t="s">
        <v>78</v>
      </c>
      <c r="E159" s="828"/>
      <c r="F159" s="827"/>
      <c r="G159" s="977"/>
      <c r="H159" s="168" t="s">
        <v>35</v>
      </c>
      <c r="I159" s="830">
        <f ca="1">IFERROR(__xludf.DUMMYFUNCTION("IMPORTRANGE(""https://docs.google.com/spreadsheets/d/1QqKyyYR6Q21VydFLVH3TRQUabQu_ym0Zz7PgGX0-kHA/edit?usp=sharing"",""แผน!X17"")"),20)</f>
        <v>20</v>
      </c>
      <c r="J159" s="959">
        <v>0</v>
      </c>
      <c r="K159" s="831">
        <f ca="1">IF(I159&gt;0,J159*100/I159,0)</f>
        <v>0</v>
      </c>
      <c r="L159" s="831"/>
      <c r="M159" s="831"/>
      <c r="N159" s="831"/>
      <c r="O159" s="831"/>
      <c r="P159" s="831"/>
    </row>
    <row r="160" spans="1:26" ht="19.5" hidden="1">
      <c r="A160" s="940"/>
      <c r="B160" s="833"/>
      <c r="C160" s="946"/>
      <c r="D160" s="834" t="s">
        <v>79</v>
      </c>
      <c r="E160" s="982"/>
      <c r="F160" s="833"/>
      <c r="G160" s="941"/>
      <c r="H160" s="169" t="s">
        <v>35</v>
      </c>
      <c r="I160" s="836"/>
      <c r="J160" s="836"/>
      <c r="K160" s="837"/>
      <c r="L160" s="837"/>
      <c r="M160" s="837"/>
      <c r="N160" s="837"/>
      <c r="O160" s="837"/>
      <c r="P160" s="83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983"/>
      <c r="B161" s="984"/>
      <c r="C161" s="985"/>
      <c r="D161" s="986" t="s">
        <v>80</v>
      </c>
      <c r="E161" s="987"/>
      <c r="F161" s="984"/>
      <c r="G161" s="988"/>
      <c r="H161" s="232" t="s">
        <v>35</v>
      </c>
      <c r="I161" s="989"/>
      <c r="J161" s="989"/>
      <c r="K161" s="990"/>
      <c r="L161" s="990"/>
      <c r="M161" s="990"/>
      <c r="N161" s="990"/>
      <c r="O161" s="990"/>
      <c r="P161" s="990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991" t="s">
        <v>81</v>
      </c>
      <c r="B162" s="992"/>
      <c r="C162" s="992"/>
      <c r="D162" s="992"/>
      <c r="E162" s="993"/>
      <c r="F162" s="993"/>
      <c r="G162" s="994"/>
      <c r="H162" s="995"/>
      <c r="I162" s="996"/>
      <c r="J162" s="996"/>
      <c r="K162" s="997"/>
      <c r="L162" s="997"/>
      <c r="M162" s="997"/>
      <c r="N162" s="997"/>
      <c r="O162" s="997"/>
      <c r="P162" s="997"/>
    </row>
    <row r="163" spans="1:26" ht="19.5">
      <c r="A163" s="998" t="s">
        <v>82</v>
      </c>
      <c r="B163" s="999"/>
      <c r="C163" s="999"/>
      <c r="D163" s="1000"/>
      <c r="E163" s="1000"/>
      <c r="F163" s="1000"/>
      <c r="G163" s="1001"/>
      <c r="H163" s="1002"/>
      <c r="I163" s="1003"/>
      <c r="J163" s="1003"/>
      <c r="K163" s="1004"/>
      <c r="L163" s="1004"/>
      <c r="M163" s="1004"/>
      <c r="N163" s="1004"/>
      <c r="O163" s="1004"/>
      <c r="P163" s="1004"/>
    </row>
    <row r="164" spans="1:26" ht="19.5">
      <c r="A164" s="1005"/>
      <c r="B164" s="1006" t="s">
        <v>83</v>
      </c>
      <c r="C164" s="1007"/>
      <c r="D164" s="952"/>
      <c r="E164" s="952"/>
      <c r="F164" s="952"/>
      <c r="G164" s="953"/>
      <c r="H164" s="252" t="s">
        <v>35</v>
      </c>
      <c r="I164" s="1008">
        <f t="shared" ref="I164:J164" ca="1" si="83">I174+I177</f>
        <v>11</v>
      </c>
      <c r="J164" s="1008">
        <f t="shared" si="83"/>
        <v>11</v>
      </c>
      <c r="K164" s="1009">
        <f ca="1">IF(I164&gt;0,J164*100/I164,0)</f>
        <v>100</v>
      </c>
      <c r="L164" s="1009"/>
      <c r="M164" s="1009"/>
      <c r="N164" s="1009"/>
      <c r="O164" s="1009"/>
      <c r="P164" s="1009"/>
    </row>
    <row r="165" spans="1:26" ht="19.5">
      <c r="A165" s="932"/>
      <c r="B165" s="933"/>
      <c r="C165" s="934" t="s">
        <v>16</v>
      </c>
      <c r="D165" s="935" t="s">
        <v>17</v>
      </c>
      <c r="E165" s="933"/>
      <c r="F165" s="933"/>
      <c r="G165" s="936"/>
      <c r="H165" s="152" t="s">
        <v>12</v>
      </c>
      <c r="I165" s="937"/>
      <c r="J165" s="937"/>
      <c r="K165" s="938"/>
      <c r="L165" s="939">
        <f t="shared" ref="L165:N165" ca="1" si="84">L166+L167</f>
        <v>22055</v>
      </c>
      <c r="M165" s="939">
        <f t="shared" ca="1" si="84"/>
        <v>36685</v>
      </c>
      <c r="N165" s="939">
        <f t="shared" ca="1" si="84"/>
        <v>36685</v>
      </c>
      <c r="O165" s="939">
        <f t="shared" ref="O165:O173" ca="1" si="85">IF(L165&gt;0,N165*100/L165,0)</f>
        <v>166.33416458852867</v>
      </c>
      <c r="P165" s="939">
        <f t="shared" ref="P165:P173" ca="1" si="86">IF(M165&gt;0,N165*100/M165,0)</f>
        <v>100</v>
      </c>
      <c r="Q165" s="818"/>
      <c r="R165" s="818"/>
      <c r="S165" s="818"/>
      <c r="T165" s="818"/>
      <c r="U165" s="818"/>
      <c r="V165" s="818"/>
      <c r="W165" s="818"/>
      <c r="X165" s="818"/>
      <c r="Y165" s="818"/>
      <c r="Z165" s="818"/>
    </row>
    <row r="166" spans="1:26" ht="18.75" hidden="1">
      <c r="A166" s="940"/>
      <c r="B166" s="833"/>
      <c r="C166" s="833"/>
      <c r="D166" s="833"/>
      <c r="E166" s="834" t="s">
        <v>18</v>
      </c>
      <c r="F166" s="833"/>
      <c r="G166" s="941"/>
      <c r="H166" s="158" t="s">
        <v>12</v>
      </c>
      <c r="I166" s="836"/>
      <c r="J166" s="836"/>
      <c r="K166" s="837"/>
      <c r="L166" s="837">
        <f t="shared" ref="L166:N167" si="87">L169+L172</f>
        <v>0</v>
      </c>
      <c r="M166" s="837">
        <f t="shared" si="87"/>
        <v>0</v>
      </c>
      <c r="N166" s="837">
        <f t="shared" si="87"/>
        <v>0</v>
      </c>
      <c r="O166" s="837">
        <f t="shared" si="85"/>
        <v>0</v>
      </c>
      <c r="P166" s="837">
        <f t="shared" si="86"/>
        <v>0</v>
      </c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</row>
    <row r="167" spans="1:26" ht="18.75" hidden="1">
      <c r="A167" s="940"/>
      <c r="B167" s="833"/>
      <c r="C167" s="833"/>
      <c r="D167" s="833"/>
      <c r="E167" s="834" t="s">
        <v>19</v>
      </c>
      <c r="F167" s="833"/>
      <c r="G167" s="941"/>
      <c r="H167" s="158" t="s">
        <v>12</v>
      </c>
      <c r="I167" s="836"/>
      <c r="J167" s="836"/>
      <c r="K167" s="837"/>
      <c r="L167" s="837">
        <f t="shared" ca="1" si="87"/>
        <v>22055</v>
      </c>
      <c r="M167" s="837">
        <f t="shared" ca="1" si="87"/>
        <v>36685</v>
      </c>
      <c r="N167" s="837">
        <f t="shared" ca="1" si="87"/>
        <v>36685</v>
      </c>
      <c r="O167" s="837">
        <f t="shared" ca="1" si="85"/>
        <v>166.33416458852867</v>
      </c>
      <c r="P167" s="837">
        <f t="shared" ca="1" si="86"/>
        <v>100</v>
      </c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</row>
    <row r="168" spans="1:26" ht="18.75">
      <c r="A168" s="942"/>
      <c r="B168" s="827"/>
      <c r="C168" s="943"/>
      <c r="D168" s="828" t="s">
        <v>20</v>
      </c>
      <c r="E168" s="827"/>
      <c r="F168" s="827"/>
      <c r="G168" s="829"/>
      <c r="H168" s="778" t="s">
        <v>12</v>
      </c>
      <c r="I168" s="944"/>
      <c r="J168" s="944"/>
      <c r="K168" s="945"/>
      <c r="L168" s="831">
        <f t="shared" ref="L168:N168" ca="1" si="88">L169+L170</f>
        <v>22055</v>
      </c>
      <c r="M168" s="831">
        <f t="shared" ca="1" si="88"/>
        <v>36685</v>
      </c>
      <c r="N168" s="831">
        <f t="shared" ca="1" si="88"/>
        <v>36685</v>
      </c>
      <c r="O168" s="831">
        <f t="shared" ca="1" si="85"/>
        <v>166.33416458852867</v>
      </c>
      <c r="P168" s="831">
        <f t="shared" ca="1" si="86"/>
        <v>100</v>
      </c>
      <c r="Q168" s="818"/>
      <c r="R168" s="818"/>
      <c r="S168" s="818"/>
      <c r="T168" s="818"/>
      <c r="U168" s="818"/>
      <c r="V168" s="818"/>
      <c r="W168" s="818"/>
      <c r="X168" s="818"/>
      <c r="Y168" s="818"/>
      <c r="Z168" s="818"/>
    </row>
    <row r="169" spans="1:26" ht="19.5" hidden="1">
      <c r="A169" s="940"/>
      <c r="B169" s="833"/>
      <c r="C169" s="946"/>
      <c r="D169" s="833"/>
      <c r="E169" s="834" t="s">
        <v>36</v>
      </c>
      <c r="F169" s="833"/>
      <c r="G169" s="941"/>
      <c r="H169" s="165" t="s">
        <v>12</v>
      </c>
      <c r="I169" s="947"/>
      <c r="J169" s="947"/>
      <c r="K169" s="948"/>
      <c r="L169" s="837">
        <v>0</v>
      </c>
      <c r="M169" s="837">
        <v>0</v>
      </c>
      <c r="N169" s="837">
        <v>0</v>
      </c>
      <c r="O169" s="837">
        <f t="shared" si="85"/>
        <v>0</v>
      </c>
      <c r="P169" s="837">
        <f t="shared" si="86"/>
        <v>0</v>
      </c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</row>
    <row r="170" spans="1:26" ht="19.5" hidden="1">
      <c r="A170" s="940"/>
      <c r="B170" s="833"/>
      <c r="C170" s="946"/>
      <c r="D170" s="833"/>
      <c r="E170" s="834" t="s">
        <v>37</v>
      </c>
      <c r="F170" s="833"/>
      <c r="G170" s="941"/>
      <c r="H170" s="165" t="s">
        <v>12</v>
      </c>
      <c r="I170" s="947"/>
      <c r="J170" s="947"/>
      <c r="K170" s="948"/>
      <c r="L170" s="837">
        <f ca="1">IFERROR(__xludf.DUMMYFUNCTION("IMPORTRANGE(""https://docs.google.com/spreadsheets/d/1MeEWN-I1oV_STSDYn1IFDPWt_1FKiwhDph83XaGc0o0/edit?usp=sharing"",""งบพรบ!CE17"")"),22055)</f>
        <v>22055</v>
      </c>
      <c r="M170" s="837">
        <f ca="1">IFERROR(__xludf.DUMMYFUNCTION("IMPORTRANGE(""https://docs.google.com/spreadsheets/d/1MeEWN-I1oV_STSDYn1IFDPWt_1FKiwhDph83XaGc0o0/edit?usp=sharing"",""งบพรบ!CJ17"")"),36685)</f>
        <v>36685</v>
      </c>
      <c r="N170" s="837">
        <f ca="1">IFERROR(__xludf.DUMMYFUNCTION("IMPORTRANGE(""https://docs.google.com/spreadsheets/d/1MeEWN-I1oV_STSDYn1IFDPWt_1FKiwhDph83XaGc0o0/edit?usp=sharing"",""งบพรบ!CL17"")"),36685)</f>
        <v>36685</v>
      </c>
      <c r="O170" s="837">
        <f t="shared" ca="1" si="85"/>
        <v>166.33416458852867</v>
      </c>
      <c r="P170" s="837">
        <f t="shared" ca="1" si="86"/>
        <v>100</v>
      </c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</row>
    <row r="171" spans="1:26" ht="18.75">
      <c r="A171" s="942"/>
      <c r="B171" s="827"/>
      <c r="C171" s="943"/>
      <c r="D171" s="828" t="s">
        <v>21</v>
      </c>
      <c r="E171" s="827"/>
      <c r="F171" s="827"/>
      <c r="G171" s="829"/>
      <c r="H171" s="168" t="s">
        <v>12</v>
      </c>
      <c r="I171" s="944"/>
      <c r="J171" s="944"/>
      <c r="K171" s="945"/>
      <c r="L171" s="831">
        <f t="shared" ref="L171:N171" ca="1" si="89">L172+L173</f>
        <v>0</v>
      </c>
      <c r="M171" s="831">
        <f t="shared" ca="1" si="89"/>
        <v>0</v>
      </c>
      <c r="N171" s="831">
        <f t="shared" ca="1" si="89"/>
        <v>0</v>
      </c>
      <c r="O171" s="831">
        <f t="shared" ca="1" si="85"/>
        <v>0</v>
      </c>
      <c r="P171" s="831">
        <f t="shared" ca="1" si="86"/>
        <v>0</v>
      </c>
      <c r="Q171" s="818"/>
      <c r="R171" s="818"/>
      <c r="S171" s="818"/>
      <c r="T171" s="818"/>
      <c r="U171" s="818"/>
      <c r="V171" s="818"/>
      <c r="W171" s="818"/>
      <c r="X171" s="818"/>
      <c r="Y171" s="818"/>
      <c r="Z171" s="818"/>
    </row>
    <row r="172" spans="1:26" ht="19.5" hidden="1">
      <c r="A172" s="940"/>
      <c r="B172" s="833"/>
      <c r="C172" s="946"/>
      <c r="D172" s="833"/>
      <c r="E172" s="834" t="s">
        <v>18</v>
      </c>
      <c r="F172" s="833"/>
      <c r="G172" s="941"/>
      <c r="H172" s="165" t="s">
        <v>12</v>
      </c>
      <c r="I172" s="947"/>
      <c r="J172" s="947"/>
      <c r="K172" s="948"/>
      <c r="L172" s="837">
        <v>0</v>
      </c>
      <c r="M172" s="837">
        <v>0</v>
      </c>
      <c r="N172" s="837">
        <v>0</v>
      </c>
      <c r="O172" s="837">
        <f t="shared" si="85"/>
        <v>0</v>
      </c>
      <c r="P172" s="837">
        <f t="shared" si="86"/>
        <v>0</v>
      </c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</row>
    <row r="173" spans="1:26" ht="19.5" hidden="1">
      <c r="A173" s="940"/>
      <c r="B173" s="833"/>
      <c r="C173" s="946"/>
      <c r="D173" s="833"/>
      <c r="E173" s="834" t="s">
        <v>19</v>
      </c>
      <c r="F173" s="833"/>
      <c r="G173" s="941"/>
      <c r="H173" s="169" t="s">
        <v>12</v>
      </c>
      <c r="I173" s="947"/>
      <c r="J173" s="947"/>
      <c r="K173" s="948"/>
      <c r="L173" s="837">
        <f ca="1">IFERROR(__xludf.DUMMYFUNCTION("IMPORTRANGE(""https://docs.google.com/spreadsheets/d/1MeEWN-I1oV_STSDYn1IFDPWt_1FKiwhDph83XaGc0o0/edit?usp=sharing"",""งบพรบ!CH17"")"),0)</f>
        <v>0</v>
      </c>
      <c r="M173" s="837">
        <f ca="1">IFERROR(__xludf.DUMMYFUNCTION("IMPORTRANGE(""https://docs.google.com/spreadsheets/d/1MeEWN-I1oV_STSDYn1IFDPWt_1FKiwhDph83XaGc0o0/edit?usp=sharing"",""งบพรบ!CK17"")"),0)</f>
        <v>0</v>
      </c>
      <c r="N173" s="837">
        <f ca="1">IFERROR(__xludf.DUMMYFUNCTION("IMPORTRANGE(""https://docs.google.com/spreadsheets/d/1MeEWN-I1oV_STSDYn1IFDPWt_1FKiwhDph83XaGc0o0/edit?usp=sharing"",""งบพรบ!CM17"")"),0)</f>
        <v>0</v>
      </c>
      <c r="O173" s="837">
        <f t="shared" ca="1" si="85"/>
        <v>0</v>
      </c>
      <c r="P173" s="837">
        <f t="shared" ca="1" si="86"/>
        <v>0</v>
      </c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</row>
    <row r="174" spans="1:26" ht="19.5">
      <c r="A174" s="1011"/>
      <c r="B174" s="1012"/>
      <c r="C174" s="1013" t="s">
        <v>84</v>
      </c>
      <c r="D174" s="1012"/>
      <c r="E174" s="1012"/>
      <c r="F174" s="1012"/>
      <c r="G174" s="1014"/>
      <c r="H174" s="260" t="s">
        <v>35</v>
      </c>
      <c r="I174" s="1015">
        <f t="shared" ref="I174:J174" ca="1" si="90">I176</f>
        <v>11</v>
      </c>
      <c r="J174" s="1015">
        <f t="shared" si="90"/>
        <v>11</v>
      </c>
      <c r="K174" s="1016">
        <f ca="1">IF(I174&gt;0,J174*100/I174,0)</f>
        <v>100</v>
      </c>
      <c r="L174" s="1016"/>
      <c r="M174" s="1016"/>
      <c r="N174" s="1016"/>
      <c r="O174" s="1016"/>
      <c r="P174" s="1016"/>
    </row>
    <row r="175" spans="1:26" ht="19.5">
      <c r="A175" s="949"/>
      <c r="B175" s="950"/>
      <c r="C175" s="946" t="s">
        <v>16</v>
      </c>
      <c r="D175" s="951" t="s">
        <v>38</v>
      </c>
      <c r="E175" s="952"/>
      <c r="F175" s="952"/>
      <c r="G175" s="953"/>
      <c r="H175" s="954"/>
      <c r="I175" s="944"/>
      <c r="J175" s="944"/>
      <c r="K175" s="945"/>
      <c r="L175" s="945"/>
      <c r="M175" s="945"/>
      <c r="N175" s="945"/>
      <c r="O175" s="945"/>
      <c r="P175" s="945"/>
    </row>
    <row r="176" spans="1:26" ht="18.75">
      <c r="A176" s="949"/>
      <c r="B176" s="950"/>
      <c r="C176" s="950"/>
      <c r="D176" s="1017" t="s">
        <v>85</v>
      </c>
      <c r="E176" s="957"/>
      <c r="F176" s="957"/>
      <c r="G176" s="958"/>
      <c r="H176" s="590" t="s">
        <v>35</v>
      </c>
      <c r="I176" s="830">
        <f ca="1">IFERROR(__xludf.DUMMYFUNCTION("IMPORTRANGE(""https://docs.google.com/spreadsheets/d/1QqKyyYR6Q21VydFLVH3TRQUabQu_ym0Zz7PgGX0-kHA/edit?usp=sharing"",""แผน!Y17"")"),11)</f>
        <v>11</v>
      </c>
      <c r="J176" s="959">
        <v>11</v>
      </c>
      <c r="K176" s="945">
        <f ca="1">IF(I176&gt;0,J176*100/I176,0)</f>
        <v>100</v>
      </c>
      <c r="L176" s="945"/>
      <c r="M176" s="945"/>
      <c r="N176" s="945"/>
      <c r="O176" s="945"/>
      <c r="P176" s="945"/>
    </row>
    <row r="177" spans="1:26" ht="19.5" hidden="1">
      <c r="A177" s="1011"/>
      <c r="B177" s="1018"/>
      <c r="C177" s="1019" t="s">
        <v>86</v>
      </c>
      <c r="D177" s="1018"/>
      <c r="E177" s="1012"/>
      <c r="F177" s="1012"/>
      <c r="G177" s="1014"/>
      <c r="H177" s="266" t="s">
        <v>35</v>
      </c>
      <c r="I177" s="1015"/>
      <c r="J177" s="1015">
        <f>J179</f>
        <v>0</v>
      </c>
      <c r="K177" s="1016"/>
      <c r="L177" s="1016"/>
      <c r="M177" s="1016"/>
      <c r="N177" s="1016"/>
      <c r="O177" s="1016"/>
      <c r="P177" s="1016"/>
    </row>
    <row r="178" spans="1:26" ht="19.5" hidden="1">
      <c r="A178" s="949"/>
      <c r="B178" s="950"/>
      <c r="C178" s="946" t="s">
        <v>16</v>
      </c>
      <c r="D178" s="1020" t="s">
        <v>38</v>
      </c>
      <c r="E178" s="952"/>
      <c r="F178" s="952"/>
      <c r="G178" s="953"/>
      <c r="H178" s="954"/>
      <c r="I178" s="944"/>
      <c r="J178" s="944"/>
      <c r="K178" s="945"/>
      <c r="L178" s="945"/>
      <c r="M178" s="945"/>
      <c r="N178" s="945"/>
      <c r="O178" s="945"/>
      <c r="P178" s="945"/>
    </row>
    <row r="179" spans="1:26" ht="18.75" hidden="1">
      <c r="A179" s="949"/>
      <c r="B179" s="950"/>
      <c r="C179" s="950"/>
      <c r="D179" s="1021" t="s">
        <v>87</v>
      </c>
      <c r="E179" s="957"/>
      <c r="F179" s="1022"/>
      <c r="G179" s="958"/>
      <c r="H179" s="43" t="s">
        <v>35</v>
      </c>
      <c r="I179" s="830"/>
      <c r="J179" s="830"/>
      <c r="K179" s="945"/>
      <c r="L179" s="945"/>
      <c r="M179" s="945"/>
      <c r="N179" s="945"/>
      <c r="O179" s="945"/>
      <c r="P179" s="945"/>
    </row>
    <row r="180" spans="1:26" ht="19.5">
      <c r="A180" s="1005"/>
      <c r="B180" s="1006" t="s">
        <v>88</v>
      </c>
      <c r="C180" s="1007"/>
      <c r="D180" s="952"/>
      <c r="E180" s="952"/>
      <c r="F180" s="952"/>
      <c r="G180" s="953"/>
      <c r="H180" s="252" t="s">
        <v>35</v>
      </c>
      <c r="I180" s="1008">
        <f t="shared" ref="I180:J180" ca="1" si="91">I225+I226</f>
        <v>0</v>
      </c>
      <c r="J180" s="1008">
        <f t="shared" si="91"/>
        <v>0</v>
      </c>
      <c r="K180" s="1009">
        <f ca="1">IF(I180&gt;0,J180*100/I180,0)</f>
        <v>0</v>
      </c>
      <c r="L180" s="1009">
        <f t="shared" ref="L180:P180" ca="1" si="92">L181</f>
        <v>63500</v>
      </c>
      <c r="M180" s="1009">
        <f t="shared" ca="1" si="92"/>
        <v>48500</v>
      </c>
      <c r="N180" s="1009">
        <f t="shared" ca="1" si="92"/>
        <v>25880</v>
      </c>
      <c r="O180" s="1009">
        <f t="shared" ca="1" si="92"/>
        <v>40.755905511811022</v>
      </c>
      <c r="P180" s="1009">
        <f t="shared" ca="1" si="92"/>
        <v>53.360824742268044</v>
      </c>
    </row>
    <row r="181" spans="1:26" ht="19.5" hidden="1">
      <c r="A181" s="932"/>
      <c r="B181" s="933"/>
      <c r="C181" s="934" t="s">
        <v>16</v>
      </c>
      <c r="D181" s="935" t="s">
        <v>17</v>
      </c>
      <c r="E181" s="933"/>
      <c r="F181" s="933"/>
      <c r="G181" s="936"/>
      <c r="H181" s="152" t="s">
        <v>12</v>
      </c>
      <c r="I181" s="937"/>
      <c r="J181" s="937"/>
      <c r="K181" s="938"/>
      <c r="L181" s="939">
        <f t="shared" ref="L181:N181" ca="1" si="93">L182+L183</f>
        <v>63500</v>
      </c>
      <c r="M181" s="939">
        <f t="shared" ca="1" si="93"/>
        <v>48500</v>
      </c>
      <c r="N181" s="939">
        <f t="shared" ca="1" si="93"/>
        <v>25880</v>
      </c>
      <c r="O181" s="939">
        <f t="shared" ref="O181:O189" ca="1" si="94">IF(L181&gt;0,N181*100/L181,0)</f>
        <v>40.755905511811022</v>
      </c>
      <c r="P181" s="939">
        <f t="shared" ref="P181:P189" ca="1" si="95">IF(M181&gt;0,N181*100/M181,0)</f>
        <v>53.360824742268044</v>
      </c>
      <c r="Q181" s="818"/>
      <c r="R181" s="818"/>
      <c r="S181" s="818"/>
      <c r="T181" s="818"/>
      <c r="U181" s="818"/>
      <c r="V181" s="818"/>
      <c r="W181" s="818"/>
      <c r="X181" s="818"/>
      <c r="Y181" s="818"/>
      <c r="Z181" s="818"/>
    </row>
    <row r="182" spans="1:26" ht="18.75" hidden="1">
      <c r="A182" s="940"/>
      <c r="B182" s="833"/>
      <c r="C182" s="833"/>
      <c r="D182" s="833"/>
      <c r="E182" s="834" t="s">
        <v>18</v>
      </c>
      <c r="F182" s="833"/>
      <c r="G182" s="941"/>
      <c r="H182" s="158" t="s">
        <v>12</v>
      </c>
      <c r="I182" s="836"/>
      <c r="J182" s="836"/>
      <c r="K182" s="837"/>
      <c r="L182" s="837">
        <f t="shared" ref="L182:N183" si="96">L185+L188</f>
        <v>0</v>
      </c>
      <c r="M182" s="837">
        <f t="shared" si="96"/>
        <v>0</v>
      </c>
      <c r="N182" s="837">
        <f t="shared" si="96"/>
        <v>0</v>
      </c>
      <c r="O182" s="837">
        <f t="shared" si="94"/>
        <v>0</v>
      </c>
      <c r="P182" s="837">
        <f t="shared" si="95"/>
        <v>0</v>
      </c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</row>
    <row r="183" spans="1:26" ht="18.75" hidden="1">
      <c r="A183" s="940"/>
      <c r="B183" s="833"/>
      <c r="C183" s="833"/>
      <c r="D183" s="833"/>
      <c r="E183" s="834" t="s">
        <v>19</v>
      </c>
      <c r="F183" s="833"/>
      <c r="G183" s="941"/>
      <c r="H183" s="158" t="s">
        <v>12</v>
      </c>
      <c r="I183" s="836"/>
      <c r="J183" s="836"/>
      <c r="K183" s="837"/>
      <c r="L183" s="837">
        <f t="shared" ca="1" si="96"/>
        <v>63500</v>
      </c>
      <c r="M183" s="837">
        <f t="shared" ca="1" si="96"/>
        <v>48500</v>
      </c>
      <c r="N183" s="837">
        <f t="shared" ca="1" si="96"/>
        <v>25880</v>
      </c>
      <c r="O183" s="837">
        <f t="shared" ca="1" si="94"/>
        <v>40.755905511811022</v>
      </c>
      <c r="P183" s="837">
        <f t="shared" ca="1" si="95"/>
        <v>53.360824742268044</v>
      </c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</row>
    <row r="184" spans="1:26" ht="18.75">
      <c r="A184" s="942"/>
      <c r="B184" s="827"/>
      <c r="C184" s="943"/>
      <c r="D184" s="828" t="s">
        <v>20</v>
      </c>
      <c r="E184" s="827"/>
      <c r="F184" s="827"/>
      <c r="G184" s="829"/>
      <c r="H184" s="778" t="s">
        <v>12</v>
      </c>
      <c r="I184" s="944"/>
      <c r="J184" s="944"/>
      <c r="K184" s="945"/>
      <c r="L184" s="831">
        <f t="shared" ref="L184:N184" ca="1" si="97">L185+L186</f>
        <v>63500</v>
      </c>
      <c r="M184" s="831">
        <f t="shared" ca="1" si="97"/>
        <v>48500</v>
      </c>
      <c r="N184" s="831">
        <f t="shared" ca="1" si="97"/>
        <v>25880</v>
      </c>
      <c r="O184" s="831">
        <f t="shared" ca="1" si="94"/>
        <v>40.755905511811022</v>
      </c>
      <c r="P184" s="831">
        <f t="shared" ca="1" si="95"/>
        <v>53.360824742268044</v>
      </c>
      <c r="Q184" s="818"/>
      <c r="R184" s="818"/>
      <c r="S184" s="818"/>
      <c r="T184" s="818"/>
      <c r="U184" s="818"/>
      <c r="V184" s="818"/>
      <c r="W184" s="818"/>
      <c r="X184" s="818"/>
      <c r="Y184" s="818"/>
      <c r="Z184" s="818"/>
    </row>
    <row r="185" spans="1:26" ht="19.5" hidden="1">
      <c r="A185" s="940"/>
      <c r="B185" s="833"/>
      <c r="C185" s="946"/>
      <c r="D185" s="833"/>
      <c r="E185" s="834" t="s">
        <v>36</v>
      </c>
      <c r="F185" s="833"/>
      <c r="G185" s="941"/>
      <c r="H185" s="165" t="s">
        <v>12</v>
      </c>
      <c r="I185" s="947"/>
      <c r="J185" s="947"/>
      <c r="K185" s="948"/>
      <c r="L185" s="837">
        <v>0</v>
      </c>
      <c r="M185" s="837">
        <v>0</v>
      </c>
      <c r="N185" s="837">
        <v>0</v>
      </c>
      <c r="O185" s="837">
        <f t="shared" si="94"/>
        <v>0</v>
      </c>
      <c r="P185" s="837">
        <f t="shared" si="95"/>
        <v>0</v>
      </c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</row>
    <row r="186" spans="1:26" ht="19.5" hidden="1">
      <c r="A186" s="940"/>
      <c r="B186" s="833"/>
      <c r="C186" s="946"/>
      <c r="D186" s="833"/>
      <c r="E186" s="834" t="s">
        <v>37</v>
      </c>
      <c r="F186" s="833"/>
      <c r="G186" s="941"/>
      <c r="H186" s="165" t="s">
        <v>12</v>
      </c>
      <c r="I186" s="947"/>
      <c r="J186" s="947"/>
      <c r="K186" s="948"/>
      <c r="L186" s="837">
        <f ca="1">IFERROR(__xludf.DUMMYFUNCTION("IMPORTRANGE(""https://docs.google.com/spreadsheets/d/1MeEWN-I1oV_STSDYn1IFDPWt_1FKiwhDph83XaGc0o0/edit?usp=sharing"",""งบพรบ!CO17"")"),63500)</f>
        <v>63500</v>
      </c>
      <c r="M186" s="837">
        <f ca="1">IFERROR(__xludf.DUMMYFUNCTION("IMPORTRANGE(""https://docs.google.com/spreadsheets/d/1MeEWN-I1oV_STSDYn1IFDPWt_1FKiwhDph83XaGc0o0/edit?usp=sharing"",""งบพรบ!CT17"")"),48500)</f>
        <v>48500</v>
      </c>
      <c r="N186" s="837">
        <f ca="1">IFERROR(__xludf.DUMMYFUNCTION("IMPORTRANGE(""https://docs.google.com/spreadsheets/d/1MeEWN-I1oV_STSDYn1IFDPWt_1FKiwhDph83XaGc0o0/edit?usp=sharing"",""งบพรบ!CV17"")"),25880)</f>
        <v>25880</v>
      </c>
      <c r="O186" s="837">
        <f t="shared" ca="1" si="94"/>
        <v>40.755905511811022</v>
      </c>
      <c r="P186" s="837">
        <f t="shared" ca="1" si="95"/>
        <v>53.360824742268044</v>
      </c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</row>
    <row r="187" spans="1:26" ht="18.75">
      <c r="A187" s="942"/>
      <c r="B187" s="827"/>
      <c r="C187" s="943"/>
      <c r="D187" s="828" t="s">
        <v>21</v>
      </c>
      <c r="E187" s="827"/>
      <c r="F187" s="827"/>
      <c r="G187" s="829"/>
      <c r="H187" s="168" t="s">
        <v>12</v>
      </c>
      <c r="I187" s="944"/>
      <c r="J187" s="944"/>
      <c r="K187" s="945"/>
      <c r="L187" s="831">
        <f t="shared" ref="L187:N187" ca="1" si="98">L188+L189</f>
        <v>0</v>
      </c>
      <c r="M187" s="831">
        <f t="shared" ca="1" si="98"/>
        <v>0</v>
      </c>
      <c r="N187" s="831">
        <f t="shared" ca="1" si="98"/>
        <v>0</v>
      </c>
      <c r="O187" s="831">
        <f t="shared" ca="1" si="94"/>
        <v>0</v>
      </c>
      <c r="P187" s="831">
        <f t="shared" ca="1" si="95"/>
        <v>0</v>
      </c>
      <c r="Q187" s="818"/>
      <c r="R187" s="818"/>
      <c r="S187" s="818"/>
      <c r="T187" s="818"/>
      <c r="U187" s="818"/>
      <c r="V187" s="818"/>
      <c r="W187" s="818"/>
      <c r="X187" s="818"/>
      <c r="Y187" s="818"/>
      <c r="Z187" s="818"/>
    </row>
    <row r="188" spans="1:26" ht="19.5" hidden="1">
      <c r="A188" s="940"/>
      <c r="B188" s="833"/>
      <c r="C188" s="946"/>
      <c r="D188" s="833"/>
      <c r="E188" s="834" t="s">
        <v>18</v>
      </c>
      <c r="F188" s="833"/>
      <c r="G188" s="941"/>
      <c r="H188" s="165" t="s">
        <v>12</v>
      </c>
      <c r="I188" s="947"/>
      <c r="J188" s="947"/>
      <c r="K188" s="948"/>
      <c r="L188" s="837">
        <v>0</v>
      </c>
      <c r="M188" s="837">
        <v>0</v>
      </c>
      <c r="N188" s="837">
        <v>0</v>
      </c>
      <c r="O188" s="837">
        <f t="shared" si="94"/>
        <v>0</v>
      </c>
      <c r="P188" s="837">
        <f t="shared" si="95"/>
        <v>0</v>
      </c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</row>
    <row r="189" spans="1:26" ht="19.5" hidden="1">
      <c r="A189" s="940"/>
      <c r="B189" s="833"/>
      <c r="C189" s="946"/>
      <c r="D189" s="833"/>
      <c r="E189" s="834" t="s">
        <v>19</v>
      </c>
      <c r="F189" s="833"/>
      <c r="G189" s="941"/>
      <c r="H189" s="169" t="s">
        <v>12</v>
      </c>
      <c r="I189" s="947"/>
      <c r="J189" s="947"/>
      <c r="K189" s="948"/>
      <c r="L189" s="837">
        <f ca="1">IFERROR(__xludf.DUMMYFUNCTION("IMPORTRANGE(""https://docs.google.com/spreadsheets/d/1MeEWN-I1oV_STSDYn1IFDPWt_1FKiwhDph83XaGc0o0/edit?usp=sharing"",""งบพรบ!CR17"")"),0)</f>
        <v>0</v>
      </c>
      <c r="M189" s="837">
        <f ca="1">IFERROR(__xludf.DUMMYFUNCTION("IMPORTRANGE(""https://docs.google.com/spreadsheets/d/1MeEWN-I1oV_STSDYn1IFDPWt_1FKiwhDph83XaGc0o0/edit?usp=sharing"",""งบพรบ!CU17"")"),0)</f>
        <v>0</v>
      </c>
      <c r="N189" s="837">
        <f ca="1">IFERROR(__xludf.DUMMYFUNCTION("IMPORTRANGE(""https://docs.google.com/spreadsheets/d/1MeEWN-I1oV_STSDYn1IFDPWt_1FKiwhDph83XaGc0o0/edit?usp=sharing"",""งบพรบ!CW17"")"),0)</f>
        <v>0</v>
      </c>
      <c r="O189" s="837">
        <f t="shared" ca="1" si="94"/>
        <v>0</v>
      </c>
      <c r="P189" s="837">
        <f t="shared" ca="1" si="95"/>
        <v>0</v>
      </c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</row>
    <row r="190" spans="1:26" ht="19.5">
      <c r="A190" s="1471"/>
      <c r="B190" s="1472"/>
      <c r="C190" s="1023" t="s">
        <v>89</v>
      </c>
      <c r="D190" s="1473"/>
      <c r="E190" s="1473"/>
      <c r="F190" s="1473"/>
      <c r="G190" s="1474"/>
      <c r="H190" s="260" t="s">
        <v>90</v>
      </c>
      <c r="I190" s="1024">
        <f t="shared" ref="I190:J190" ca="1" si="99">I193</f>
        <v>4</v>
      </c>
      <c r="J190" s="1024">
        <f t="shared" si="99"/>
        <v>1</v>
      </c>
      <c r="K190" s="1025">
        <f ca="1">IF(I190&gt;0,J190*100/I190,0)</f>
        <v>25</v>
      </c>
      <c r="L190" s="1025"/>
      <c r="M190" s="1025"/>
      <c r="N190" s="1025"/>
      <c r="O190" s="1025"/>
      <c r="P190" s="1025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</row>
    <row r="191" spans="1:26" ht="19.5">
      <c r="A191" s="932"/>
      <c r="B191" s="933"/>
      <c r="C191" s="934" t="s">
        <v>16</v>
      </c>
      <c r="D191" s="1026" t="s">
        <v>17</v>
      </c>
      <c r="E191" s="933"/>
      <c r="F191" s="933"/>
      <c r="G191" s="936"/>
      <c r="H191" s="275" t="s">
        <v>12</v>
      </c>
      <c r="I191" s="937"/>
      <c r="J191" s="937"/>
      <c r="K191" s="938"/>
      <c r="L191" s="939">
        <f ca="1">IFERROR(__xludf.DUMMYFUNCTION("IMPORTRANGE(""https://docs.google.com/spreadsheets/d/1QqKyyYR6Q21VydFLVH3TRQUabQu_ym0Zz7PgGX0-kHA/edit?usp=sharing"",""แผน!Z17"")"),6000)</f>
        <v>6000</v>
      </c>
      <c r="M191" s="939"/>
      <c r="N191" s="1027">
        <v>1185</v>
      </c>
      <c r="O191" s="939">
        <f ca="1">IF(L191&gt;0,N191*100/L191,0)</f>
        <v>19.75</v>
      </c>
      <c r="P191" s="939">
        <f>IF(M191&gt;0,N191*100/M191,0)</f>
        <v>0</v>
      </c>
      <c r="Q191" s="818"/>
      <c r="R191" s="818"/>
      <c r="S191" s="818"/>
      <c r="T191" s="818"/>
      <c r="U191" s="818"/>
      <c r="V191" s="818"/>
      <c r="W191" s="818"/>
      <c r="X191" s="818"/>
      <c r="Y191" s="818"/>
      <c r="Z191" s="818"/>
    </row>
    <row r="192" spans="1:26" ht="19.5">
      <c r="A192" s="949"/>
      <c r="B192" s="950"/>
      <c r="C192" s="976" t="s">
        <v>16</v>
      </c>
      <c r="D192" s="951" t="s">
        <v>38</v>
      </c>
      <c r="E192" s="952"/>
      <c r="F192" s="952"/>
      <c r="G192" s="953"/>
      <c r="H192" s="954"/>
      <c r="I192" s="830"/>
      <c r="J192" s="830"/>
      <c r="K192" s="831"/>
      <c r="L192" s="831"/>
      <c r="M192" s="831"/>
      <c r="N192" s="831"/>
      <c r="O192" s="831"/>
      <c r="P192" s="831"/>
      <c r="Q192" s="818"/>
      <c r="R192" s="818"/>
      <c r="S192" s="818"/>
      <c r="T192" s="818"/>
      <c r="U192" s="818"/>
      <c r="V192" s="818"/>
      <c r="W192" s="818"/>
      <c r="X192" s="818"/>
      <c r="Y192" s="818"/>
      <c r="Z192" s="818"/>
    </row>
    <row r="193" spans="1:26" ht="18.75">
      <c r="A193" s="949"/>
      <c r="B193" s="950"/>
      <c r="C193" s="950"/>
      <c r="D193" s="956" t="s">
        <v>91</v>
      </c>
      <c r="E193" s="957"/>
      <c r="F193" s="957"/>
      <c r="G193" s="958"/>
      <c r="H193" s="730" t="s">
        <v>90</v>
      </c>
      <c r="I193" s="830">
        <f ca="1">IFERROR(__xludf.DUMMYFUNCTION("IMPORTRANGE(""https://docs.google.com/spreadsheets/d/1QqKyyYR6Q21VydFLVH3TRQUabQu_ym0Zz7PgGX0-kHA/edit?usp=sharing"",""แผน!AC17"")"),4)</f>
        <v>4</v>
      </c>
      <c r="J193" s="959">
        <v>1</v>
      </c>
      <c r="K193" s="831">
        <f ca="1">IF(I193&gt;0,J193*100/I193,0)</f>
        <v>25</v>
      </c>
      <c r="L193" s="831"/>
      <c r="M193" s="831"/>
      <c r="N193" s="831"/>
      <c r="O193" s="831"/>
      <c r="P193" s="831"/>
      <c r="Q193" s="818"/>
      <c r="R193" s="818"/>
      <c r="S193" s="818"/>
      <c r="T193" s="818"/>
      <c r="U193" s="818"/>
      <c r="V193" s="818"/>
      <c r="W193" s="818"/>
      <c r="X193" s="818"/>
      <c r="Y193" s="818"/>
      <c r="Z193" s="818"/>
    </row>
    <row r="194" spans="1:26" ht="18.75">
      <c r="A194" s="949"/>
      <c r="B194" s="950"/>
      <c r="C194" s="950"/>
      <c r="D194" s="956" t="s">
        <v>92</v>
      </c>
      <c r="E194" s="957"/>
      <c r="F194" s="957"/>
      <c r="G194" s="958"/>
      <c r="H194" s="277" t="s">
        <v>35</v>
      </c>
      <c r="I194" s="830"/>
      <c r="J194" s="830">
        <f>J195+J196</f>
        <v>20</v>
      </c>
      <c r="K194" s="831"/>
      <c r="L194" s="831"/>
      <c r="M194" s="831"/>
      <c r="N194" s="831"/>
      <c r="O194" s="831"/>
      <c r="P194" s="831"/>
      <c r="Q194" s="818"/>
      <c r="R194" s="818"/>
      <c r="S194" s="818"/>
      <c r="T194" s="818"/>
      <c r="U194" s="818"/>
      <c r="V194" s="818"/>
      <c r="W194" s="818"/>
      <c r="X194" s="818"/>
      <c r="Y194" s="818"/>
      <c r="Z194" s="818"/>
    </row>
    <row r="195" spans="1:26" ht="18.75">
      <c r="A195" s="949"/>
      <c r="B195" s="950"/>
      <c r="C195" s="950"/>
      <c r="D195" s="950"/>
      <c r="E195" s="956" t="s">
        <v>93</v>
      </c>
      <c r="F195" s="957"/>
      <c r="G195" s="958"/>
      <c r="H195" s="277" t="s">
        <v>35</v>
      </c>
      <c r="I195" s="830"/>
      <c r="J195" s="959">
        <v>20</v>
      </c>
      <c r="K195" s="831"/>
      <c r="L195" s="831"/>
      <c r="M195" s="831"/>
      <c r="N195" s="831"/>
      <c r="O195" s="831"/>
      <c r="P195" s="831"/>
      <c r="Q195" s="818"/>
      <c r="R195" s="818"/>
      <c r="S195" s="818"/>
      <c r="T195" s="818"/>
      <c r="U195" s="818"/>
      <c r="V195" s="818"/>
      <c r="W195" s="818"/>
      <c r="X195" s="818"/>
      <c r="Y195" s="818"/>
      <c r="Z195" s="818"/>
    </row>
    <row r="196" spans="1:26" ht="18.75">
      <c r="A196" s="949"/>
      <c r="B196" s="950"/>
      <c r="C196" s="950"/>
      <c r="D196" s="950"/>
      <c r="E196" s="956" t="s">
        <v>94</v>
      </c>
      <c r="F196" s="957"/>
      <c r="G196" s="958"/>
      <c r="H196" s="277" t="s">
        <v>35</v>
      </c>
      <c r="I196" s="830"/>
      <c r="J196" s="959">
        <v>0</v>
      </c>
      <c r="K196" s="831"/>
      <c r="L196" s="831"/>
      <c r="M196" s="831"/>
      <c r="N196" s="831"/>
      <c r="O196" s="831"/>
      <c r="P196" s="831"/>
      <c r="Q196" s="818"/>
      <c r="R196" s="818"/>
      <c r="S196" s="818"/>
      <c r="T196" s="818"/>
      <c r="U196" s="818"/>
      <c r="V196" s="818"/>
      <c r="W196" s="818"/>
      <c r="X196" s="818"/>
      <c r="Y196" s="818"/>
      <c r="Z196" s="818"/>
    </row>
    <row r="197" spans="1:26" ht="19.5">
      <c r="A197" s="1471"/>
      <c r="B197" s="1472"/>
      <c r="C197" s="1023" t="s">
        <v>95</v>
      </c>
      <c r="D197" s="1473"/>
      <c r="E197" s="1473"/>
      <c r="F197" s="1473"/>
      <c r="G197" s="1474"/>
      <c r="H197" s="278" t="s">
        <v>96</v>
      </c>
      <c r="I197" s="1024">
        <f t="shared" ref="I197:J197" ca="1" si="100">I204</f>
        <v>3</v>
      </c>
      <c r="J197" s="1024">
        <f t="shared" si="100"/>
        <v>3</v>
      </c>
      <c r="K197" s="1025">
        <f ca="1">IF(I197&gt;0,J197*100/I197,0)</f>
        <v>100</v>
      </c>
      <c r="L197" s="1025"/>
      <c r="M197" s="1025"/>
      <c r="N197" s="1025"/>
      <c r="O197" s="1025"/>
      <c r="P197" s="1025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</row>
    <row r="198" spans="1:26" ht="19.5">
      <c r="A198" s="932"/>
      <c r="B198" s="933"/>
      <c r="C198" s="934" t="s">
        <v>16</v>
      </c>
      <c r="D198" s="1026" t="s">
        <v>17</v>
      </c>
      <c r="E198" s="933"/>
      <c r="F198" s="933"/>
      <c r="G198" s="936"/>
      <c r="H198" s="275" t="s">
        <v>12</v>
      </c>
      <c r="I198" s="1028"/>
      <c r="J198" s="1028"/>
      <c r="K198" s="1029"/>
      <c r="L198" s="939">
        <f ca="1">L199+L200+L201+L202</f>
        <v>39000</v>
      </c>
      <c r="M198" s="939"/>
      <c r="N198" s="939">
        <f>N199+N200+N201+N202</f>
        <v>24695</v>
      </c>
      <c r="O198" s="939">
        <f ca="1">IF(L198&gt;0,N198*100/L198,0)</f>
        <v>63.320512820512818</v>
      </c>
      <c r="P198" s="939">
        <f>IF(M198&gt;0,N198*100/M198,0)</f>
        <v>0</v>
      </c>
      <c r="Q198" s="818"/>
      <c r="R198" s="818"/>
      <c r="S198" s="818"/>
      <c r="T198" s="818"/>
      <c r="U198" s="818"/>
      <c r="V198" s="818"/>
      <c r="W198" s="818"/>
      <c r="X198" s="818"/>
      <c r="Y198" s="818"/>
      <c r="Z198" s="818"/>
    </row>
    <row r="199" spans="1:26" ht="18.75">
      <c r="A199" s="942"/>
      <c r="B199" s="1030"/>
      <c r="C199" s="827"/>
      <c r="D199" s="943" t="s">
        <v>97</v>
      </c>
      <c r="E199" s="827"/>
      <c r="F199" s="827"/>
      <c r="G199" s="829"/>
      <c r="H199" s="778" t="s">
        <v>12</v>
      </c>
      <c r="I199" s="944"/>
      <c r="J199" s="944"/>
      <c r="K199" s="945"/>
      <c r="L199" s="831">
        <f ca="1">IFERROR(__xludf.DUMMYFUNCTION("IMPORTRANGE(""https://docs.google.com/spreadsheets/d/1QqKyyYR6Q21VydFLVH3TRQUabQu_ym0Zz7PgGX0-kHA/edit?usp=sharing"",""แผน!AE17"")"),3000)</f>
        <v>3000</v>
      </c>
      <c r="M199" s="831"/>
      <c r="N199" s="1031">
        <v>695</v>
      </c>
      <c r="O199" s="831"/>
      <c r="P199" s="831"/>
      <c r="Q199" s="818"/>
      <c r="R199" s="818"/>
      <c r="S199" s="818"/>
      <c r="T199" s="818"/>
      <c r="U199" s="818"/>
      <c r="V199" s="818"/>
      <c r="W199" s="818"/>
      <c r="X199" s="818"/>
      <c r="Y199" s="818"/>
      <c r="Z199" s="818"/>
    </row>
    <row r="200" spans="1:26" ht="19.5">
      <c r="A200" s="1032"/>
      <c r="B200" s="1030"/>
      <c r="C200" s="976"/>
      <c r="D200" s="943" t="s">
        <v>98</v>
      </c>
      <c r="E200" s="827"/>
      <c r="F200" s="827"/>
      <c r="G200" s="829"/>
      <c r="H200" s="590" t="s">
        <v>12</v>
      </c>
      <c r="I200" s="830"/>
      <c r="J200" s="830"/>
      <c r="K200" s="831"/>
      <c r="L200" s="831">
        <f ca="1">IFERROR(__xludf.DUMMYFUNCTION("IMPORTRANGE(""https://docs.google.com/spreadsheets/d/1QqKyyYR6Q21VydFLVH3TRQUabQu_ym0Zz7PgGX0-kHA/edit?usp=sharing"",""แผน!AF17"")"),24000)</f>
        <v>24000</v>
      </c>
      <c r="M200" s="831"/>
      <c r="N200" s="1031">
        <v>24000</v>
      </c>
      <c r="O200" s="831"/>
      <c r="P200" s="831"/>
      <c r="Q200" s="1033"/>
      <c r="R200" s="1033"/>
      <c r="S200" s="1033"/>
      <c r="T200" s="1033"/>
      <c r="U200" s="1033"/>
      <c r="V200" s="1033"/>
      <c r="W200" s="1033"/>
      <c r="X200" s="1033"/>
      <c r="Y200" s="1033"/>
      <c r="Z200" s="1033"/>
    </row>
    <row r="201" spans="1:26" ht="19.5">
      <c r="A201" s="1032"/>
      <c r="B201" s="1030"/>
      <c r="C201" s="976"/>
      <c r="D201" s="943" t="s">
        <v>99</v>
      </c>
      <c r="E201" s="827"/>
      <c r="F201" s="827"/>
      <c r="G201" s="829"/>
      <c r="H201" s="590" t="s">
        <v>12</v>
      </c>
      <c r="I201" s="830"/>
      <c r="J201" s="830"/>
      <c r="K201" s="831"/>
      <c r="L201" s="831">
        <f ca="1">IFERROR(__xludf.DUMMYFUNCTION("IMPORTRANGE(""https://docs.google.com/spreadsheets/d/1QqKyyYR6Q21VydFLVH3TRQUabQu_ym0Zz7PgGX0-kHA/edit?usp=sharing"",""แผน!AG17"")"),12000)</f>
        <v>12000</v>
      </c>
      <c r="M201" s="831"/>
      <c r="N201" s="1031">
        <v>0</v>
      </c>
      <c r="O201" s="831"/>
      <c r="P201" s="831"/>
      <c r="Q201" s="1033"/>
      <c r="R201" s="1033"/>
      <c r="S201" s="1033"/>
      <c r="T201" s="1033"/>
      <c r="U201" s="1033"/>
      <c r="V201" s="1033"/>
      <c r="W201" s="1033"/>
      <c r="X201" s="1033"/>
      <c r="Y201" s="1033"/>
      <c r="Z201" s="1033"/>
    </row>
    <row r="202" spans="1:26" ht="19.5">
      <c r="A202" s="1032"/>
      <c r="B202" s="1030"/>
      <c r="C202" s="976"/>
      <c r="D202" s="943" t="s">
        <v>100</v>
      </c>
      <c r="E202" s="827"/>
      <c r="F202" s="827"/>
      <c r="G202" s="829"/>
      <c r="H202" s="590" t="s">
        <v>12</v>
      </c>
      <c r="I202" s="830"/>
      <c r="J202" s="830"/>
      <c r="K202" s="831"/>
      <c r="L202" s="831">
        <f ca="1">IFERROR(__xludf.DUMMYFUNCTION("IMPORTRANGE(""https://docs.google.com/spreadsheets/d/1QqKyyYR6Q21VydFLVH3TRQUabQu_ym0Zz7PgGX0-kHA/edit?usp=sharing"",""แผน!AH17"")"),0)</f>
        <v>0</v>
      </c>
      <c r="M202" s="831"/>
      <c r="N202" s="1031">
        <v>0</v>
      </c>
      <c r="O202" s="831"/>
      <c r="P202" s="831"/>
      <c r="Q202" s="1033"/>
      <c r="R202" s="1033"/>
      <c r="S202" s="1033"/>
      <c r="T202" s="1033"/>
      <c r="U202" s="1033"/>
      <c r="V202" s="1033"/>
      <c r="W202" s="1033"/>
      <c r="X202" s="1033"/>
      <c r="Y202" s="1033"/>
      <c r="Z202" s="1033"/>
    </row>
    <row r="203" spans="1:26" ht="19.5">
      <c r="A203" s="949"/>
      <c r="B203" s="950"/>
      <c r="C203" s="976" t="s">
        <v>16</v>
      </c>
      <c r="D203" s="951" t="s">
        <v>38</v>
      </c>
      <c r="E203" s="952"/>
      <c r="F203" s="952"/>
      <c r="G203" s="953"/>
      <c r="H203" s="954"/>
      <c r="I203" s="944"/>
      <c r="J203" s="944"/>
      <c r="K203" s="945"/>
      <c r="L203" s="945"/>
      <c r="M203" s="945"/>
      <c r="N203" s="945"/>
      <c r="O203" s="945"/>
      <c r="P203" s="945"/>
      <c r="Q203" s="818"/>
      <c r="R203" s="818"/>
      <c r="S203" s="818"/>
      <c r="T203" s="818"/>
      <c r="U203" s="818"/>
      <c r="V203" s="818"/>
      <c r="W203" s="818"/>
      <c r="X203" s="818"/>
      <c r="Y203" s="818"/>
      <c r="Z203" s="818"/>
    </row>
    <row r="204" spans="1:26" ht="18.75">
      <c r="A204" s="949"/>
      <c r="B204" s="950"/>
      <c r="C204" s="950"/>
      <c r="D204" s="955" t="s">
        <v>101</v>
      </c>
      <c r="E204" s="957"/>
      <c r="F204" s="957"/>
      <c r="G204" s="958"/>
      <c r="H204" s="954" t="s">
        <v>96</v>
      </c>
      <c r="I204" s="830">
        <f ca="1">IFERROR(__xludf.DUMMYFUNCTION("IMPORTRANGE(""https://docs.google.com/spreadsheets/d/1QqKyyYR6Q21VydFLVH3TRQUabQu_ym0Zz7PgGX0-kHA/edit?usp=sharing"",""แผน!AI17"")"),3)</f>
        <v>3</v>
      </c>
      <c r="J204" s="959">
        <v>3</v>
      </c>
      <c r="K204" s="945">
        <f ca="1">IF(I204&gt;0,J204*100/I204,0)</f>
        <v>100</v>
      </c>
      <c r="L204" s="831"/>
      <c r="M204" s="831"/>
      <c r="N204" s="831"/>
      <c r="O204" s="831"/>
      <c r="P204" s="831"/>
      <c r="Q204" s="818"/>
      <c r="R204" s="818"/>
      <c r="S204" s="818"/>
      <c r="T204" s="818"/>
      <c r="U204" s="818"/>
      <c r="V204" s="818"/>
      <c r="W204" s="818"/>
      <c r="X204" s="818"/>
      <c r="Y204" s="818"/>
      <c r="Z204" s="818"/>
    </row>
    <row r="205" spans="1:26" ht="18.75">
      <c r="A205" s="949"/>
      <c r="B205" s="950"/>
      <c r="C205" s="950"/>
      <c r="D205" s="956" t="s">
        <v>59</v>
      </c>
      <c r="E205" s="957"/>
      <c r="F205" s="957"/>
      <c r="G205" s="958"/>
      <c r="H205" s="954"/>
      <c r="I205" s="830"/>
      <c r="J205" s="830"/>
      <c r="K205" s="945"/>
      <c r="L205" s="831"/>
      <c r="M205" s="831"/>
      <c r="N205" s="831"/>
      <c r="O205" s="831"/>
      <c r="P205" s="831"/>
      <c r="Q205" s="818"/>
      <c r="R205" s="818"/>
      <c r="S205" s="818"/>
      <c r="T205" s="818"/>
      <c r="U205" s="818"/>
      <c r="V205" s="818"/>
      <c r="W205" s="818"/>
      <c r="X205" s="818"/>
      <c r="Y205" s="818"/>
      <c r="Z205" s="818"/>
    </row>
    <row r="206" spans="1:26" ht="18.75">
      <c r="A206" s="949"/>
      <c r="B206" s="950"/>
      <c r="C206" s="950"/>
      <c r="D206" s="957"/>
      <c r="E206" s="968" t="s">
        <v>102</v>
      </c>
      <c r="F206" s="1034"/>
      <c r="G206" s="1035"/>
      <c r="H206" s="1036" t="s">
        <v>96</v>
      </c>
      <c r="I206" s="830">
        <v>3</v>
      </c>
      <c r="J206" s="959">
        <v>3</v>
      </c>
      <c r="K206" s="945">
        <f t="shared" ref="K206:K208" si="101">IF(I206&gt;0,J206*100/I206,0)</f>
        <v>100</v>
      </c>
      <c r="L206" s="831"/>
      <c r="M206" s="831"/>
      <c r="N206" s="831"/>
      <c r="O206" s="831"/>
      <c r="P206" s="831"/>
      <c r="Q206" s="818"/>
      <c r="R206" s="818"/>
      <c r="S206" s="818"/>
      <c r="T206" s="818"/>
      <c r="U206" s="818"/>
      <c r="V206" s="818"/>
      <c r="W206" s="818"/>
      <c r="X206" s="818"/>
      <c r="Y206" s="818"/>
      <c r="Z206" s="818"/>
    </row>
    <row r="207" spans="1:26" ht="18.75">
      <c r="A207" s="949"/>
      <c r="B207" s="950"/>
      <c r="C207" s="950"/>
      <c r="D207" s="956"/>
      <c r="E207" s="956" t="s">
        <v>103</v>
      </c>
      <c r="F207" s="957"/>
      <c r="G207" s="957"/>
      <c r="H207" s="290" t="s">
        <v>104</v>
      </c>
      <c r="I207" s="830">
        <v>0</v>
      </c>
      <c r="J207" s="959">
        <v>0</v>
      </c>
      <c r="K207" s="945">
        <f t="shared" si="101"/>
        <v>0</v>
      </c>
      <c r="L207" s="831"/>
      <c r="M207" s="831"/>
      <c r="N207" s="831"/>
      <c r="O207" s="831"/>
      <c r="P207" s="831"/>
      <c r="Q207" s="818"/>
      <c r="R207" s="818"/>
      <c r="S207" s="818"/>
      <c r="T207" s="818"/>
      <c r="U207" s="818"/>
      <c r="V207" s="818"/>
      <c r="W207" s="818"/>
      <c r="X207" s="818"/>
      <c r="Y207" s="818"/>
      <c r="Z207" s="818"/>
    </row>
    <row r="208" spans="1:26" ht="19.5">
      <c r="A208" s="1011"/>
      <c r="B208" s="1018"/>
      <c r="C208" s="1023" t="s">
        <v>105</v>
      </c>
      <c r="D208" s="1012"/>
      <c r="E208" s="1012"/>
      <c r="F208" s="1037"/>
      <c r="G208" s="1014"/>
      <c r="H208" s="278" t="s">
        <v>96</v>
      </c>
      <c r="I208" s="1024">
        <f t="shared" ref="I208:J208" ca="1" si="102">I215</f>
        <v>0</v>
      </c>
      <c r="J208" s="1024">
        <f t="shared" si="102"/>
        <v>0</v>
      </c>
      <c r="K208" s="1025">
        <f t="shared" ca="1" si="101"/>
        <v>0</v>
      </c>
      <c r="L208" s="1016"/>
      <c r="M208" s="1016"/>
      <c r="N208" s="1016"/>
      <c r="O208" s="1016"/>
      <c r="P208" s="1016"/>
    </row>
    <row r="209" spans="1:26" ht="19.5">
      <c r="A209" s="932"/>
      <c r="B209" s="933"/>
      <c r="C209" s="934" t="s">
        <v>16</v>
      </c>
      <c r="D209" s="1026" t="s">
        <v>17</v>
      </c>
      <c r="E209" s="933"/>
      <c r="F209" s="933"/>
      <c r="G209" s="936"/>
      <c r="H209" s="275" t="s">
        <v>12</v>
      </c>
      <c r="I209" s="1028"/>
      <c r="J209" s="1028"/>
      <c r="K209" s="1029"/>
      <c r="L209" s="939">
        <f ca="1">L210+L211+L212</f>
        <v>0</v>
      </c>
      <c r="M209" s="939"/>
      <c r="N209" s="939">
        <f>N210+N211+N212</f>
        <v>0</v>
      </c>
      <c r="O209" s="939">
        <f ca="1">IF(L209&gt;0,N209*100/L209,0)</f>
        <v>0</v>
      </c>
      <c r="P209" s="939">
        <f>IF(M209&gt;0,N209*100/M209,0)</f>
        <v>0</v>
      </c>
      <c r="Q209" s="818"/>
      <c r="R209" s="818"/>
      <c r="S209" s="818"/>
      <c r="T209" s="818"/>
      <c r="U209" s="818"/>
      <c r="V209" s="818"/>
      <c r="W209" s="818"/>
      <c r="X209" s="818"/>
      <c r="Y209" s="818"/>
      <c r="Z209" s="818"/>
    </row>
    <row r="210" spans="1:26" ht="18.75">
      <c r="A210" s="942"/>
      <c r="B210" s="1030"/>
      <c r="C210" s="827"/>
      <c r="D210" s="943" t="s">
        <v>97</v>
      </c>
      <c r="E210" s="827"/>
      <c r="F210" s="827"/>
      <c r="G210" s="829"/>
      <c r="H210" s="778" t="s">
        <v>12</v>
      </c>
      <c r="I210" s="944"/>
      <c r="J210" s="944"/>
      <c r="K210" s="945"/>
      <c r="L210" s="831">
        <f ca="1">IFERROR(__xludf.DUMMYFUNCTION("IMPORTRANGE(""https://docs.google.com/spreadsheets/d/1QqKyyYR6Q21VydFLVH3TRQUabQu_ym0Zz7PgGX0-kHA/edit?usp=sharing"",""แผน!AK17"")"),0)</f>
        <v>0</v>
      </c>
      <c r="M210" s="831"/>
      <c r="N210" s="1031">
        <v>0</v>
      </c>
      <c r="O210" s="831"/>
      <c r="P210" s="831"/>
      <c r="Q210" s="818"/>
      <c r="R210" s="818"/>
      <c r="S210" s="818"/>
      <c r="T210" s="818"/>
      <c r="U210" s="818"/>
      <c r="V210" s="818"/>
      <c r="W210" s="818"/>
      <c r="X210" s="818"/>
      <c r="Y210" s="818"/>
      <c r="Z210" s="818"/>
    </row>
    <row r="211" spans="1:26" ht="19.5">
      <c r="A211" s="1032"/>
      <c r="B211" s="1030"/>
      <c r="C211" s="1038"/>
      <c r="D211" s="943" t="s">
        <v>99</v>
      </c>
      <c r="E211" s="827"/>
      <c r="F211" s="827"/>
      <c r="G211" s="829"/>
      <c r="H211" s="778" t="s">
        <v>12</v>
      </c>
      <c r="I211" s="830"/>
      <c r="J211" s="830"/>
      <c r="K211" s="831"/>
      <c r="L211" s="831">
        <f ca="1">IFERROR(__xludf.DUMMYFUNCTION("IMPORTRANGE(""https://docs.google.com/spreadsheets/d/1QqKyyYR6Q21VydFLVH3TRQUabQu_ym0Zz7PgGX0-kHA/edit?usp=sharing"",""แผน!AL17"")"),0)</f>
        <v>0</v>
      </c>
      <c r="M211" s="831"/>
      <c r="N211" s="1031">
        <v>0</v>
      </c>
      <c r="O211" s="831"/>
      <c r="P211" s="831"/>
      <c r="Q211" s="1033"/>
      <c r="R211" s="1033"/>
      <c r="S211" s="1033"/>
      <c r="T211" s="1033"/>
      <c r="U211" s="1033"/>
      <c r="V211" s="1033"/>
      <c r="W211" s="1033"/>
      <c r="X211" s="1033"/>
      <c r="Y211" s="1033"/>
      <c r="Z211" s="1033"/>
    </row>
    <row r="212" spans="1:26" ht="19.5">
      <c r="A212" s="1032"/>
      <c r="B212" s="1030"/>
      <c r="C212" s="1038"/>
      <c r="D212" s="943" t="s">
        <v>98</v>
      </c>
      <c r="E212" s="827"/>
      <c r="F212" s="827"/>
      <c r="G212" s="829"/>
      <c r="H212" s="778" t="s">
        <v>12</v>
      </c>
      <c r="I212" s="830"/>
      <c r="J212" s="830"/>
      <c r="K212" s="831"/>
      <c r="L212" s="831">
        <f ca="1">IFERROR(__xludf.DUMMYFUNCTION("IMPORTRANGE(""https://docs.google.com/spreadsheets/d/1QqKyyYR6Q21VydFLVH3TRQUabQu_ym0Zz7PgGX0-kHA/edit?usp=sharing"",""แผน!AM17"")"),0)</f>
        <v>0</v>
      </c>
      <c r="M212" s="831"/>
      <c r="N212" s="1031">
        <v>0</v>
      </c>
      <c r="O212" s="831"/>
      <c r="P212" s="831"/>
      <c r="Q212" s="1033"/>
      <c r="R212" s="1033"/>
      <c r="S212" s="1033"/>
      <c r="T212" s="1033"/>
      <c r="U212" s="1033"/>
      <c r="V212" s="1033"/>
      <c r="W212" s="1033"/>
      <c r="X212" s="1033"/>
      <c r="Y212" s="1033"/>
      <c r="Z212" s="1033"/>
    </row>
    <row r="213" spans="1:26" ht="19.5">
      <c r="A213" s="949"/>
      <c r="B213" s="950"/>
      <c r="C213" s="1038" t="s">
        <v>16</v>
      </c>
      <c r="D213" s="951" t="s">
        <v>38</v>
      </c>
      <c r="E213" s="952"/>
      <c r="F213" s="952"/>
      <c r="G213" s="953"/>
      <c r="H213" s="954"/>
      <c r="I213" s="944"/>
      <c r="J213" s="830"/>
      <c r="K213" s="831"/>
      <c r="L213" s="831"/>
      <c r="M213" s="831"/>
      <c r="N213" s="831"/>
      <c r="O213" s="945"/>
      <c r="P213" s="945"/>
      <c r="Q213" s="818"/>
      <c r="R213" s="818"/>
      <c r="S213" s="818"/>
      <c r="T213" s="818"/>
      <c r="U213" s="818"/>
      <c r="V213" s="818"/>
      <c r="W213" s="818"/>
      <c r="X213" s="818"/>
      <c r="Y213" s="818"/>
      <c r="Z213" s="818"/>
    </row>
    <row r="214" spans="1:26" ht="18.75">
      <c r="A214" s="949"/>
      <c r="B214" s="950"/>
      <c r="C214" s="950"/>
      <c r="D214" s="955" t="s">
        <v>106</v>
      </c>
      <c r="E214" s="957"/>
      <c r="F214" s="957"/>
      <c r="G214" s="958"/>
      <c r="H214" s="954" t="s">
        <v>96</v>
      </c>
      <c r="I214" s="830">
        <f ca="1">IFERROR(__xludf.DUMMYFUNCTION("IMPORTRANGE(""https://docs.google.com/spreadsheets/d/1QqKyyYR6Q21VydFLVH3TRQUabQu_ym0Zz7PgGX0-kHA/edit?usp=sharing"",""แผน!AN17"")"),0)</f>
        <v>0</v>
      </c>
      <c r="J214" s="959">
        <v>0</v>
      </c>
      <c r="K214" s="831">
        <f t="shared" ref="K214:K216" ca="1" si="103">IF(I214&gt;0,J214*100/I214,0)</f>
        <v>0</v>
      </c>
      <c r="L214" s="831"/>
      <c r="M214" s="831"/>
      <c r="N214" s="831"/>
      <c r="O214" s="831"/>
      <c r="P214" s="831"/>
      <c r="Q214" s="818"/>
      <c r="R214" s="818"/>
      <c r="S214" s="818"/>
      <c r="T214" s="818"/>
      <c r="U214" s="818"/>
      <c r="V214" s="818"/>
      <c r="W214" s="818"/>
      <c r="X214" s="818"/>
      <c r="Y214" s="818"/>
      <c r="Z214" s="818"/>
    </row>
    <row r="215" spans="1:26" ht="18.75">
      <c r="A215" s="949"/>
      <c r="B215" s="950"/>
      <c r="C215" s="950"/>
      <c r="D215" s="955" t="s">
        <v>107</v>
      </c>
      <c r="E215" s="957"/>
      <c r="F215" s="957"/>
      <c r="G215" s="958"/>
      <c r="H215" s="954" t="s">
        <v>96</v>
      </c>
      <c r="I215" s="830">
        <f ca="1">IFERROR(__xludf.DUMMYFUNCTION("IMPORTRANGE(""https://docs.google.com/spreadsheets/d/1QqKyyYR6Q21VydFLVH3TRQUabQu_ym0Zz7PgGX0-kHA/edit?usp=sharing"",""แผน!AN17"")"),0)</f>
        <v>0</v>
      </c>
      <c r="J215" s="959">
        <v>0</v>
      </c>
      <c r="K215" s="831">
        <f t="shared" ca="1" si="103"/>
        <v>0</v>
      </c>
      <c r="L215" s="831"/>
      <c r="M215" s="831"/>
      <c r="N215" s="831"/>
      <c r="O215" s="831"/>
      <c r="P215" s="831"/>
      <c r="Q215" s="818"/>
      <c r="R215" s="818"/>
      <c r="S215" s="818"/>
      <c r="T215" s="818"/>
      <c r="U215" s="818"/>
      <c r="V215" s="818"/>
      <c r="W215" s="818"/>
      <c r="X215" s="818"/>
      <c r="Y215" s="818"/>
      <c r="Z215" s="818"/>
    </row>
    <row r="216" spans="1:26" ht="19.5">
      <c r="A216" s="1471"/>
      <c r="B216" s="1472"/>
      <c r="C216" s="1023" t="s">
        <v>108</v>
      </c>
      <c r="D216" s="1473"/>
      <c r="E216" s="1473"/>
      <c r="F216" s="1475"/>
      <c r="G216" s="1474"/>
      <c r="H216" s="260" t="s">
        <v>109</v>
      </c>
      <c r="I216" s="1024">
        <f t="shared" ref="I216:J216" ca="1" si="104">I224</f>
        <v>50000</v>
      </c>
      <c r="J216" s="1024">
        <f t="shared" si="104"/>
        <v>0</v>
      </c>
      <c r="K216" s="1025">
        <f t="shared" ca="1" si="103"/>
        <v>0</v>
      </c>
      <c r="L216" s="1025"/>
      <c r="M216" s="1025"/>
      <c r="N216" s="1025"/>
      <c r="O216" s="1025"/>
      <c r="P216" s="1025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</row>
    <row r="217" spans="1:26" ht="19.5" hidden="1">
      <c r="A217" s="932"/>
      <c r="B217" s="933"/>
      <c r="C217" s="934" t="s">
        <v>16</v>
      </c>
      <c r="D217" s="1026" t="s">
        <v>17</v>
      </c>
      <c r="E217" s="933"/>
      <c r="F217" s="933"/>
      <c r="G217" s="936"/>
      <c r="H217" s="275" t="s">
        <v>12</v>
      </c>
      <c r="I217" s="1028"/>
      <c r="J217" s="1028"/>
      <c r="K217" s="1029"/>
      <c r="L217" s="939">
        <f ca="1">L218+L219+L220</f>
        <v>18500</v>
      </c>
      <c r="M217" s="939"/>
      <c r="N217" s="939">
        <f>N218+N219+N220</f>
        <v>0</v>
      </c>
      <c r="O217" s="939">
        <f ca="1">IF(L217&gt;0,N217*100/L217,0)</f>
        <v>0</v>
      </c>
      <c r="P217" s="939">
        <f>IF(M217&gt;0,N217*100/M217,0)</f>
        <v>0</v>
      </c>
      <c r="Q217" s="818"/>
      <c r="R217" s="818"/>
      <c r="S217" s="818"/>
      <c r="T217" s="818"/>
      <c r="U217" s="818"/>
      <c r="V217" s="818"/>
      <c r="W217" s="818"/>
      <c r="X217" s="818"/>
      <c r="Y217" s="818"/>
      <c r="Z217" s="818"/>
    </row>
    <row r="218" spans="1:26" ht="18.75" hidden="1">
      <c r="A218" s="942"/>
      <c r="B218" s="1030"/>
      <c r="C218" s="827"/>
      <c r="D218" s="943" t="s">
        <v>97</v>
      </c>
      <c r="E218" s="827"/>
      <c r="F218" s="827"/>
      <c r="G218" s="829"/>
      <c r="H218" s="778" t="s">
        <v>12</v>
      </c>
      <c r="I218" s="944"/>
      <c r="J218" s="944"/>
      <c r="K218" s="945"/>
      <c r="L218" s="831">
        <f ca="1">IFERROR(__xludf.DUMMYFUNCTION("IMPORTRANGE(""https://docs.google.com/spreadsheets/d/1QqKyyYR6Q21VydFLVH3TRQUabQu_ym0Zz7PgGX0-kHA/edit?usp=sharing"",""แผน!AP17"")"),5000)</f>
        <v>5000</v>
      </c>
      <c r="M218" s="831"/>
      <c r="N218" s="1031">
        <v>0</v>
      </c>
      <c r="O218" s="831"/>
      <c r="P218" s="831"/>
      <c r="Q218" s="818"/>
      <c r="R218" s="818"/>
      <c r="S218" s="818"/>
      <c r="T218" s="818"/>
      <c r="U218" s="818"/>
      <c r="V218" s="818"/>
      <c r="W218" s="818"/>
      <c r="X218" s="818"/>
      <c r="Y218" s="818"/>
      <c r="Z218" s="818"/>
    </row>
    <row r="219" spans="1:26" ht="19.5" hidden="1">
      <c r="A219" s="1032"/>
      <c r="B219" s="1030"/>
      <c r="C219" s="1038"/>
      <c r="D219" s="943" t="s">
        <v>110</v>
      </c>
      <c r="E219" s="827"/>
      <c r="F219" s="827"/>
      <c r="G219" s="829"/>
      <c r="H219" s="778" t="s">
        <v>12</v>
      </c>
      <c r="I219" s="830"/>
      <c r="J219" s="830"/>
      <c r="K219" s="831"/>
      <c r="L219" s="831">
        <f ca="1">IFERROR(__xludf.DUMMYFUNCTION("IMPORTRANGE(""https://docs.google.com/spreadsheets/d/1QqKyyYR6Q21VydFLVH3TRQUabQu_ym0Zz7PgGX0-kHA/edit?usp=sharing"",""แผน!AQ17"")"),13500)</f>
        <v>13500</v>
      </c>
      <c r="M219" s="831"/>
      <c r="N219" s="1031">
        <v>0</v>
      </c>
      <c r="O219" s="831"/>
      <c r="P219" s="831"/>
      <c r="Q219" s="1033"/>
      <c r="R219" s="1033"/>
      <c r="S219" s="1033"/>
      <c r="T219" s="1033"/>
      <c r="U219" s="1033"/>
      <c r="V219" s="1033"/>
      <c r="W219" s="1033"/>
      <c r="X219" s="1033"/>
      <c r="Y219" s="1033"/>
      <c r="Z219" s="1033"/>
    </row>
    <row r="220" spans="1:26" ht="19.5" hidden="1">
      <c r="A220" s="1032"/>
      <c r="B220" s="1030"/>
      <c r="C220" s="1038"/>
      <c r="D220" s="943" t="s">
        <v>98</v>
      </c>
      <c r="E220" s="827"/>
      <c r="F220" s="827"/>
      <c r="G220" s="829"/>
      <c r="H220" s="778" t="s">
        <v>12</v>
      </c>
      <c r="I220" s="830"/>
      <c r="J220" s="830"/>
      <c r="K220" s="831"/>
      <c r="L220" s="831">
        <f ca="1">IFERROR(__xludf.DUMMYFUNCTION("IMPORTRANGE(""https://docs.google.com/spreadsheets/d/1QqKyyYR6Q21VydFLVH3TRQUabQu_ym0Zz7PgGX0-kHA/edit?usp=sharing"",""แผน!AR17"")"),0)</f>
        <v>0</v>
      </c>
      <c r="M220" s="831"/>
      <c r="N220" s="1031">
        <v>0</v>
      </c>
      <c r="O220" s="831"/>
      <c r="P220" s="831"/>
      <c r="Q220" s="1033"/>
      <c r="R220" s="1033"/>
      <c r="S220" s="1033"/>
      <c r="T220" s="1033"/>
      <c r="U220" s="1033"/>
      <c r="V220" s="1033"/>
      <c r="W220" s="1033"/>
      <c r="X220" s="1033"/>
      <c r="Y220" s="1033"/>
      <c r="Z220" s="1033"/>
    </row>
    <row r="221" spans="1:26" ht="19.5" hidden="1">
      <c r="A221" s="949"/>
      <c r="B221" s="950"/>
      <c r="C221" s="1038" t="s">
        <v>16</v>
      </c>
      <c r="D221" s="951" t="s">
        <v>38</v>
      </c>
      <c r="E221" s="952"/>
      <c r="F221" s="952"/>
      <c r="G221" s="953"/>
      <c r="H221" s="954"/>
      <c r="I221" s="944"/>
      <c r="J221" s="944"/>
      <c r="K221" s="945"/>
      <c r="L221" s="945"/>
      <c r="M221" s="945"/>
      <c r="N221" s="945"/>
      <c r="O221" s="945"/>
      <c r="P221" s="945"/>
      <c r="Q221" s="818"/>
      <c r="R221" s="818"/>
      <c r="S221" s="818"/>
      <c r="T221" s="818"/>
      <c r="U221" s="818"/>
      <c r="V221" s="818"/>
      <c r="W221" s="818"/>
      <c r="X221" s="818"/>
      <c r="Y221" s="818"/>
      <c r="Z221" s="818"/>
    </row>
    <row r="222" spans="1:26" ht="18.75" hidden="1">
      <c r="A222" s="949"/>
      <c r="B222" s="950"/>
      <c r="C222" s="950"/>
      <c r="D222" s="943" t="s">
        <v>111</v>
      </c>
      <c r="E222" s="957"/>
      <c r="F222" s="957"/>
      <c r="G222" s="958"/>
      <c r="H222" s="954"/>
      <c r="I222" s="830"/>
      <c r="J222" s="830"/>
      <c r="K222" s="945"/>
      <c r="L222" s="945"/>
      <c r="M222" s="945"/>
      <c r="N222" s="945"/>
      <c r="O222" s="945"/>
      <c r="P222" s="945"/>
      <c r="Q222" s="818"/>
      <c r="R222" s="818"/>
      <c r="S222" s="818"/>
      <c r="T222" s="818"/>
      <c r="U222" s="818"/>
      <c r="V222" s="818"/>
      <c r="W222" s="818"/>
      <c r="X222" s="818"/>
      <c r="Y222" s="818"/>
      <c r="Z222" s="818"/>
    </row>
    <row r="223" spans="1:26" ht="18.75" hidden="1">
      <c r="A223" s="949"/>
      <c r="B223" s="950"/>
      <c r="C223" s="950"/>
      <c r="D223" s="950"/>
      <c r="E223" s="955" t="s">
        <v>112</v>
      </c>
      <c r="F223" s="957"/>
      <c r="G223" s="958"/>
      <c r="H223" s="730" t="s">
        <v>109</v>
      </c>
      <c r="I223" s="830">
        <f ca="1">IFERROR(__xludf.DUMMYFUNCTION("IMPORTRANGE(""https://docs.google.com/spreadsheets/d/1QqKyyYR6Q21VydFLVH3TRQUabQu_ym0Zz7PgGX0-kHA/edit?usp=sharing"",""แผน!AT17"")"),50000)</f>
        <v>50000</v>
      </c>
      <c r="J223" s="959">
        <v>0</v>
      </c>
      <c r="K223" s="945">
        <f t="shared" ref="K223:K226" ca="1" si="105">IF(I223&gt;0,J223*100/I223,0)</f>
        <v>0</v>
      </c>
      <c r="L223" s="945"/>
      <c r="M223" s="945"/>
      <c r="N223" s="945"/>
      <c r="O223" s="945"/>
      <c r="P223" s="945"/>
      <c r="Q223" s="818"/>
      <c r="R223" s="818"/>
      <c r="S223" s="818"/>
      <c r="T223" s="818"/>
      <c r="U223" s="818"/>
      <c r="V223" s="818"/>
      <c r="W223" s="818"/>
      <c r="X223" s="818"/>
      <c r="Y223" s="818"/>
      <c r="Z223" s="818"/>
    </row>
    <row r="224" spans="1:26" ht="18.75" hidden="1">
      <c r="A224" s="949"/>
      <c r="B224" s="950"/>
      <c r="C224" s="950"/>
      <c r="D224" s="950"/>
      <c r="E224" s="955" t="s">
        <v>113</v>
      </c>
      <c r="F224" s="957"/>
      <c r="G224" s="958"/>
      <c r="H224" s="730" t="s">
        <v>109</v>
      </c>
      <c r="I224" s="830">
        <f ca="1">IFERROR(__xludf.DUMMYFUNCTION("IMPORTRANGE(""https://docs.google.com/spreadsheets/d/1QqKyyYR6Q21VydFLVH3TRQUabQu_ym0Zz7PgGX0-kHA/edit?usp=sharing"",""แผน!AT17"")"),50000)</f>
        <v>50000</v>
      </c>
      <c r="J224" s="959">
        <v>0</v>
      </c>
      <c r="K224" s="945">
        <f t="shared" ca="1" si="105"/>
        <v>0</v>
      </c>
      <c r="L224" s="831"/>
      <c r="M224" s="831"/>
      <c r="N224" s="831"/>
      <c r="O224" s="831"/>
      <c r="P224" s="831"/>
      <c r="Q224" s="818"/>
      <c r="R224" s="818"/>
      <c r="S224" s="818"/>
      <c r="T224" s="818"/>
      <c r="U224" s="818"/>
      <c r="V224" s="818"/>
      <c r="W224" s="818"/>
      <c r="X224" s="818"/>
      <c r="Y224" s="818"/>
      <c r="Z224" s="818"/>
    </row>
    <row r="225" spans="1:26" ht="18.75" hidden="1">
      <c r="A225" s="949"/>
      <c r="B225" s="950"/>
      <c r="C225" s="950"/>
      <c r="D225" s="943" t="s">
        <v>114</v>
      </c>
      <c r="E225" s="957"/>
      <c r="F225" s="957"/>
      <c r="G225" s="958"/>
      <c r="H225" s="730" t="s">
        <v>35</v>
      </c>
      <c r="I225" s="830">
        <f ca="1">IFERROR(__xludf.DUMMYFUNCTION("IMPORTRANGE(""https://docs.google.com/spreadsheets/d/1QqKyyYR6Q21VydFLVH3TRQUabQu_ym0Zz7PgGX0-kHA/edit?usp=sharing"",""แผน!AS17"")"),0)</f>
        <v>0</v>
      </c>
      <c r="J225" s="959">
        <v>0</v>
      </c>
      <c r="K225" s="945">
        <f t="shared" ca="1" si="105"/>
        <v>0</v>
      </c>
      <c r="L225" s="831"/>
      <c r="M225" s="831"/>
      <c r="N225" s="831"/>
      <c r="O225" s="831"/>
      <c r="P225" s="831"/>
      <c r="Q225" s="818"/>
      <c r="R225" s="818"/>
      <c r="S225" s="818"/>
      <c r="T225" s="818"/>
      <c r="U225" s="818"/>
      <c r="V225" s="818"/>
      <c r="W225" s="818"/>
      <c r="X225" s="818"/>
      <c r="Y225" s="818"/>
      <c r="Z225" s="818"/>
    </row>
    <row r="226" spans="1:26" ht="19.5" hidden="1">
      <c r="A226" s="1011"/>
      <c r="B226" s="1018"/>
      <c r="C226" s="1039" t="s">
        <v>115</v>
      </c>
      <c r="D226" s="1012"/>
      <c r="E226" s="1012"/>
      <c r="F226" s="1012"/>
      <c r="G226" s="1014"/>
      <c r="H226" s="266" t="s">
        <v>35</v>
      </c>
      <c r="I226" s="1040">
        <f t="shared" ref="I226:J226" ca="1" si="106">I237+I248</f>
        <v>0</v>
      </c>
      <c r="J226" s="1040">
        <f t="shared" si="106"/>
        <v>0</v>
      </c>
      <c r="K226" s="1041">
        <f t="shared" ca="1" si="105"/>
        <v>0</v>
      </c>
      <c r="L226" s="1016"/>
      <c r="M226" s="1016"/>
      <c r="N226" s="1016"/>
      <c r="O226" s="1016"/>
      <c r="P226" s="1016"/>
    </row>
    <row r="227" spans="1:26" ht="19.5" hidden="1">
      <c r="A227" s="1042"/>
      <c r="B227" s="1043"/>
      <c r="C227" s="1044" t="s">
        <v>16</v>
      </c>
      <c r="D227" s="1045" t="s">
        <v>17</v>
      </c>
      <c r="E227" s="1043"/>
      <c r="F227" s="1043"/>
      <c r="G227" s="1046"/>
      <c r="H227" s="1047" t="s">
        <v>12</v>
      </c>
      <c r="I227" s="1048"/>
      <c r="J227" s="1048"/>
      <c r="K227" s="1049"/>
      <c r="L227" s="1050">
        <f t="shared" ref="L227:L231" ca="1" si="107">L238+L249</f>
        <v>0</v>
      </c>
      <c r="M227" s="1050"/>
      <c r="N227" s="1050">
        <f t="shared" ref="N227:N231" si="108">N238+N249</f>
        <v>0</v>
      </c>
      <c r="O227" s="1051"/>
      <c r="P227" s="1051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</row>
    <row r="228" spans="1:26" ht="18.75" hidden="1">
      <c r="A228" s="940"/>
      <c r="B228" s="1052"/>
      <c r="C228" s="833"/>
      <c r="D228" s="834" t="s">
        <v>97</v>
      </c>
      <c r="E228" s="833"/>
      <c r="F228" s="833"/>
      <c r="G228" s="835"/>
      <c r="H228" s="165" t="s">
        <v>12</v>
      </c>
      <c r="I228" s="947"/>
      <c r="J228" s="947"/>
      <c r="K228" s="948"/>
      <c r="L228" s="837">
        <f t="shared" ca="1" si="107"/>
        <v>0</v>
      </c>
      <c r="M228" s="837"/>
      <c r="N228" s="837">
        <f t="shared" si="108"/>
        <v>0</v>
      </c>
      <c r="O228" s="837"/>
      <c r="P228" s="837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</row>
    <row r="229" spans="1:26" ht="19.5" hidden="1">
      <c r="A229" s="1053"/>
      <c r="B229" s="1052"/>
      <c r="C229" s="1054"/>
      <c r="D229" s="834" t="s">
        <v>98</v>
      </c>
      <c r="E229" s="833"/>
      <c r="F229" s="833"/>
      <c r="G229" s="835"/>
      <c r="H229" s="165" t="s">
        <v>12</v>
      </c>
      <c r="I229" s="836"/>
      <c r="J229" s="836"/>
      <c r="K229" s="837"/>
      <c r="L229" s="837">
        <f t="shared" ca="1" si="107"/>
        <v>0</v>
      </c>
      <c r="M229" s="837"/>
      <c r="N229" s="837">
        <f t="shared" si="108"/>
        <v>0</v>
      </c>
      <c r="O229" s="837"/>
      <c r="P229" s="837"/>
      <c r="Q229" s="1055"/>
      <c r="R229" s="1055"/>
      <c r="S229" s="1055"/>
      <c r="T229" s="1055"/>
      <c r="U229" s="1055"/>
      <c r="V229" s="1055"/>
      <c r="W229" s="1055"/>
      <c r="X229" s="1055"/>
      <c r="Y229" s="1055"/>
      <c r="Z229" s="1055"/>
    </row>
    <row r="230" spans="1:26" ht="19.5" hidden="1">
      <c r="A230" s="1053"/>
      <c r="B230" s="1052"/>
      <c r="C230" s="1054"/>
      <c r="D230" s="834" t="s">
        <v>116</v>
      </c>
      <c r="E230" s="833"/>
      <c r="F230" s="833"/>
      <c r="G230" s="835"/>
      <c r="H230" s="165" t="s">
        <v>12</v>
      </c>
      <c r="I230" s="836"/>
      <c r="J230" s="836"/>
      <c r="K230" s="837"/>
      <c r="L230" s="837">
        <f t="shared" ca="1" si="107"/>
        <v>0</v>
      </c>
      <c r="M230" s="837"/>
      <c r="N230" s="837">
        <f t="shared" si="108"/>
        <v>0</v>
      </c>
      <c r="O230" s="837"/>
      <c r="P230" s="837"/>
      <c r="Q230" s="1055"/>
      <c r="R230" s="1055"/>
      <c r="S230" s="1055"/>
      <c r="T230" s="1055"/>
      <c r="U230" s="1055"/>
      <c r="V230" s="1055"/>
      <c r="W230" s="1055"/>
      <c r="X230" s="1055"/>
      <c r="Y230" s="1055"/>
      <c r="Z230" s="1055"/>
    </row>
    <row r="231" spans="1:26" ht="19.5" hidden="1">
      <c r="A231" s="1053"/>
      <c r="B231" s="1052"/>
      <c r="C231" s="1054"/>
      <c r="D231" s="834" t="s">
        <v>100</v>
      </c>
      <c r="E231" s="833"/>
      <c r="F231" s="833"/>
      <c r="G231" s="835"/>
      <c r="H231" s="165" t="s">
        <v>12</v>
      </c>
      <c r="I231" s="836"/>
      <c r="J231" s="836"/>
      <c r="K231" s="837"/>
      <c r="L231" s="837">
        <f t="shared" ca="1" si="107"/>
        <v>0</v>
      </c>
      <c r="M231" s="837"/>
      <c r="N231" s="837">
        <f t="shared" si="108"/>
        <v>0</v>
      </c>
      <c r="O231" s="837"/>
      <c r="P231" s="837"/>
      <c r="Q231" s="1055"/>
      <c r="R231" s="1055"/>
      <c r="S231" s="1055"/>
      <c r="T231" s="1055"/>
      <c r="U231" s="1055"/>
      <c r="V231" s="1055"/>
      <c r="W231" s="1055"/>
      <c r="X231" s="1055"/>
      <c r="Y231" s="1055"/>
      <c r="Z231" s="1055"/>
    </row>
    <row r="232" spans="1:26" ht="19.5" hidden="1">
      <c r="A232" s="1056"/>
      <c r="B232" s="1057"/>
      <c r="C232" s="1054" t="s">
        <v>16</v>
      </c>
      <c r="D232" s="1020" t="s">
        <v>38</v>
      </c>
      <c r="E232" s="1058"/>
      <c r="F232" s="1058"/>
      <c r="G232" s="1059"/>
      <c r="H232" s="1060"/>
      <c r="I232" s="947"/>
      <c r="J232" s="836"/>
      <c r="K232" s="837"/>
      <c r="L232" s="837"/>
      <c r="M232" s="837"/>
      <c r="N232" s="837"/>
      <c r="O232" s="948"/>
      <c r="P232" s="948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</row>
    <row r="233" spans="1:26" ht="18.75" hidden="1">
      <c r="A233" s="1056"/>
      <c r="B233" s="1057"/>
      <c r="C233" s="1057"/>
      <c r="D233" s="1022" t="s">
        <v>117</v>
      </c>
      <c r="E233" s="1061"/>
      <c r="F233" s="1061"/>
      <c r="G233" s="1062"/>
      <c r="H233" s="583" t="s">
        <v>35</v>
      </c>
      <c r="I233" s="836">
        <f t="shared" ref="I233:J233" ca="1" si="109">I244+I255</f>
        <v>0</v>
      </c>
      <c r="J233" s="836">
        <f t="shared" si="109"/>
        <v>0</v>
      </c>
      <c r="K233" s="837">
        <f ca="1">IF(I233&gt;0,J233*100/I233,0)</f>
        <v>0</v>
      </c>
      <c r="L233" s="837"/>
      <c r="M233" s="837"/>
      <c r="N233" s="837"/>
      <c r="O233" s="837"/>
      <c r="P233" s="837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</row>
    <row r="234" spans="1:26" ht="18.75" hidden="1">
      <c r="A234" s="1056"/>
      <c r="B234" s="1057"/>
      <c r="C234" s="1057"/>
      <c r="D234" s="1063" t="s">
        <v>43</v>
      </c>
      <c r="E234" s="1061"/>
      <c r="F234" s="1061"/>
      <c r="G234" s="1062"/>
      <c r="H234" s="583"/>
      <c r="I234" s="836"/>
      <c r="J234" s="836"/>
      <c r="K234" s="837"/>
      <c r="L234" s="837"/>
      <c r="M234" s="837"/>
      <c r="N234" s="837"/>
      <c r="O234" s="948"/>
      <c r="P234" s="948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</row>
    <row r="235" spans="1:26" ht="18.75" hidden="1">
      <c r="A235" s="1056"/>
      <c r="B235" s="1057"/>
      <c r="C235" s="1057"/>
      <c r="D235" s="1057"/>
      <c r="E235" s="1021" t="s">
        <v>118</v>
      </c>
      <c r="F235" s="1061"/>
      <c r="G235" s="1062"/>
      <c r="H235" s="583" t="s">
        <v>35</v>
      </c>
      <c r="I235" s="836">
        <f t="shared" ref="I235:J236" si="110">I246+I257</f>
        <v>0</v>
      </c>
      <c r="J235" s="836">
        <f t="shared" si="110"/>
        <v>0</v>
      </c>
      <c r="K235" s="837">
        <f t="shared" ref="K235:K237" si="111">IF(I235&gt;0,J235*100/I235,0)</f>
        <v>0</v>
      </c>
      <c r="L235" s="837"/>
      <c r="M235" s="837"/>
      <c r="N235" s="837"/>
      <c r="O235" s="837"/>
      <c r="P235" s="837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</row>
    <row r="236" spans="1:26" ht="18.75" hidden="1">
      <c r="A236" s="1056"/>
      <c r="B236" s="1057"/>
      <c r="C236" s="1057"/>
      <c r="D236" s="1057"/>
      <c r="E236" s="1021" t="s">
        <v>119</v>
      </c>
      <c r="F236" s="1061"/>
      <c r="G236" s="1062"/>
      <c r="H236" s="583" t="s">
        <v>66</v>
      </c>
      <c r="I236" s="836">
        <f t="shared" si="110"/>
        <v>0</v>
      </c>
      <c r="J236" s="836">
        <f t="shared" si="110"/>
        <v>0</v>
      </c>
      <c r="K236" s="837">
        <f t="shared" si="111"/>
        <v>0</v>
      </c>
      <c r="L236" s="837"/>
      <c r="M236" s="837"/>
      <c r="N236" s="837"/>
      <c r="O236" s="837"/>
      <c r="P236" s="837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</row>
    <row r="237" spans="1:26" ht="19.5" hidden="1">
      <c r="A237" s="1011"/>
      <c r="B237" s="1018"/>
      <c r="C237" s="1023" t="s">
        <v>331</v>
      </c>
      <c r="D237" s="1012"/>
      <c r="E237" s="1012"/>
      <c r="F237" s="1012"/>
      <c r="G237" s="1014"/>
      <c r="H237" s="260" t="s">
        <v>35</v>
      </c>
      <c r="I237" s="1024">
        <f t="shared" ref="I237:J237" ca="1" si="112">I244</f>
        <v>0</v>
      </c>
      <c r="J237" s="1024">
        <f t="shared" si="112"/>
        <v>0</v>
      </c>
      <c r="K237" s="1025">
        <f t="shared" ca="1" si="111"/>
        <v>0</v>
      </c>
      <c r="L237" s="1016"/>
      <c r="M237" s="1016"/>
      <c r="N237" s="1016"/>
      <c r="O237" s="1016"/>
      <c r="P237" s="1016"/>
    </row>
    <row r="238" spans="1:26" ht="19.5" hidden="1">
      <c r="A238" s="932"/>
      <c r="B238" s="933"/>
      <c r="C238" s="934" t="s">
        <v>16</v>
      </c>
      <c r="D238" s="935" t="s">
        <v>17</v>
      </c>
      <c r="E238" s="933"/>
      <c r="F238" s="933"/>
      <c r="G238" s="936"/>
      <c r="H238" s="275" t="s">
        <v>12</v>
      </c>
      <c r="I238" s="1028"/>
      <c r="J238" s="1028"/>
      <c r="K238" s="1029"/>
      <c r="L238" s="939">
        <f ca="1">L239+L240+L241+L242</f>
        <v>0</v>
      </c>
      <c r="M238" s="939"/>
      <c r="N238" s="939">
        <f>N239+N240+N241+N242</f>
        <v>0</v>
      </c>
      <c r="O238" s="939">
        <f ca="1">IF(L238&gt;0,N238*100/L238,0)</f>
        <v>0</v>
      </c>
      <c r="P238" s="939">
        <f>IF(M238&gt;0,N238*100/M238,0)</f>
        <v>0</v>
      </c>
      <c r="Q238" s="818"/>
      <c r="R238" s="818"/>
      <c r="S238" s="818"/>
      <c r="T238" s="818"/>
      <c r="U238" s="818"/>
      <c r="V238" s="818"/>
      <c r="W238" s="818"/>
      <c r="X238" s="818"/>
      <c r="Y238" s="818"/>
      <c r="Z238" s="818"/>
    </row>
    <row r="239" spans="1:26" ht="18.75" hidden="1">
      <c r="A239" s="1064"/>
      <c r="B239" s="1065"/>
      <c r="C239" s="1066"/>
      <c r="D239" s="1067" t="s">
        <v>97</v>
      </c>
      <c r="E239" s="1066"/>
      <c r="F239" s="1066"/>
      <c r="G239" s="1068"/>
      <c r="H239" s="319" t="s">
        <v>12</v>
      </c>
      <c r="I239" s="1069"/>
      <c r="J239" s="1069"/>
      <c r="K239" s="1070"/>
      <c r="L239" s="1071">
        <f ca="1">IFERROR(__xludf.DUMMYFUNCTION("IMPORTRANGE(""https://docs.google.com/spreadsheets/d/1QqKyyYR6Q21VydFLVH3TRQUabQu_ym0Zz7PgGX0-kHA/edit?usp=sharing"",""แผน!AV17"")"),0)</f>
        <v>0</v>
      </c>
      <c r="M239" s="1071"/>
      <c r="N239" s="1072">
        <v>0</v>
      </c>
      <c r="O239" s="1071"/>
      <c r="P239" s="1071"/>
      <c r="Q239" s="1073"/>
      <c r="R239" s="1073"/>
      <c r="S239" s="1073"/>
      <c r="T239" s="1073"/>
      <c r="U239" s="1073"/>
      <c r="V239" s="1073"/>
      <c r="W239" s="1073"/>
      <c r="X239" s="1073"/>
      <c r="Y239" s="1073"/>
      <c r="Z239" s="1073"/>
    </row>
    <row r="240" spans="1:26" ht="19.5" hidden="1">
      <c r="A240" s="1074"/>
      <c r="B240" s="1065"/>
      <c r="C240" s="1075"/>
      <c r="D240" s="1067" t="s">
        <v>98</v>
      </c>
      <c r="E240" s="1066"/>
      <c r="F240" s="1066"/>
      <c r="G240" s="1068"/>
      <c r="H240" s="319" t="s">
        <v>12</v>
      </c>
      <c r="I240" s="1076"/>
      <c r="J240" s="1076"/>
      <c r="K240" s="1071"/>
      <c r="L240" s="1071">
        <f ca="1">IFERROR(__xludf.DUMMYFUNCTION("IMPORTRANGE(""https://docs.google.com/spreadsheets/d/1QqKyyYR6Q21VydFLVH3TRQUabQu_ym0Zz7PgGX0-kHA/edit?usp=sharing"",""แผน!AW17"")"),0)</f>
        <v>0</v>
      </c>
      <c r="M240" s="1071"/>
      <c r="N240" s="1072">
        <v>0</v>
      </c>
      <c r="O240" s="1071"/>
      <c r="P240" s="1071"/>
      <c r="Q240" s="1077"/>
      <c r="R240" s="1077"/>
      <c r="S240" s="1077"/>
      <c r="T240" s="1077"/>
      <c r="U240" s="1077"/>
      <c r="V240" s="1077"/>
      <c r="W240" s="1077"/>
      <c r="X240" s="1077"/>
      <c r="Y240" s="1077"/>
      <c r="Z240" s="1077"/>
    </row>
    <row r="241" spans="1:26" ht="19.5" hidden="1">
      <c r="A241" s="1074"/>
      <c r="B241" s="1065"/>
      <c r="C241" s="1075"/>
      <c r="D241" s="1067" t="s">
        <v>116</v>
      </c>
      <c r="E241" s="1066"/>
      <c r="F241" s="1066"/>
      <c r="G241" s="1068"/>
      <c r="H241" s="319" t="s">
        <v>12</v>
      </c>
      <c r="I241" s="1076"/>
      <c r="J241" s="1076"/>
      <c r="K241" s="1071"/>
      <c r="L241" s="1071">
        <f ca="1">IFERROR(__xludf.DUMMYFUNCTION("IMPORTRANGE(""https://docs.google.com/spreadsheets/d/1QqKyyYR6Q21VydFLVH3TRQUabQu_ym0Zz7PgGX0-kHA/edit?usp=sharing"",""แผน!AX17"")"),0)</f>
        <v>0</v>
      </c>
      <c r="M241" s="1071"/>
      <c r="N241" s="1072">
        <v>0</v>
      </c>
      <c r="O241" s="1071"/>
      <c r="P241" s="1071"/>
      <c r="Q241" s="1077"/>
      <c r="R241" s="1077"/>
      <c r="S241" s="1077"/>
      <c r="T241" s="1077"/>
      <c r="U241" s="1077"/>
      <c r="V241" s="1077"/>
      <c r="W241" s="1077"/>
      <c r="X241" s="1077"/>
      <c r="Y241" s="1077"/>
      <c r="Z241" s="1077"/>
    </row>
    <row r="242" spans="1:26" ht="19.5" hidden="1">
      <c r="A242" s="1074"/>
      <c r="B242" s="1065"/>
      <c r="C242" s="1075"/>
      <c r="D242" s="1067" t="s">
        <v>100</v>
      </c>
      <c r="E242" s="1066"/>
      <c r="F242" s="1066"/>
      <c r="G242" s="1068"/>
      <c r="H242" s="319" t="s">
        <v>12</v>
      </c>
      <c r="I242" s="1076"/>
      <c r="J242" s="1076"/>
      <c r="K242" s="1071"/>
      <c r="L242" s="1071">
        <f ca="1">IFERROR(__xludf.DUMMYFUNCTION("IMPORTRANGE(""https://docs.google.com/spreadsheets/d/1QqKyyYR6Q21VydFLVH3TRQUabQu_ym0Zz7PgGX0-kHA/edit?usp=sharing"",""แผน!AY17"")"),0)</f>
        <v>0</v>
      </c>
      <c r="M242" s="1071"/>
      <c r="N242" s="1072">
        <v>0</v>
      </c>
      <c r="O242" s="1071"/>
      <c r="P242" s="1071"/>
      <c r="Q242" s="1077"/>
      <c r="R242" s="1077"/>
      <c r="S242" s="1077"/>
      <c r="T242" s="1077"/>
      <c r="U242" s="1077"/>
      <c r="V242" s="1077"/>
      <c r="W242" s="1077"/>
      <c r="X242" s="1077"/>
      <c r="Y242" s="1077"/>
      <c r="Z242" s="1077"/>
    </row>
    <row r="243" spans="1:26" ht="19.5" hidden="1">
      <c r="A243" s="949"/>
      <c r="B243" s="950"/>
      <c r="C243" s="1038" t="s">
        <v>16</v>
      </c>
      <c r="D243" s="951" t="s">
        <v>38</v>
      </c>
      <c r="E243" s="952"/>
      <c r="F243" s="952"/>
      <c r="G243" s="953"/>
      <c r="H243" s="954"/>
      <c r="I243" s="944"/>
      <c r="J243" s="830"/>
      <c r="K243" s="831"/>
      <c r="L243" s="831"/>
      <c r="M243" s="831"/>
      <c r="N243" s="831"/>
      <c r="O243" s="945"/>
      <c r="P243" s="945"/>
      <c r="Q243" s="818"/>
      <c r="R243" s="818"/>
      <c r="S243" s="818"/>
      <c r="T243" s="818"/>
      <c r="U243" s="818"/>
      <c r="V243" s="818"/>
      <c r="W243" s="818"/>
      <c r="X243" s="818"/>
      <c r="Y243" s="818"/>
      <c r="Z243" s="818"/>
    </row>
    <row r="244" spans="1:26" ht="18.75" hidden="1">
      <c r="A244" s="949"/>
      <c r="B244" s="950"/>
      <c r="C244" s="950"/>
      <c r="D244" s="956" t="s">
        <v>117</v>
      </c>
      <c r="E244" s="957"/>
      <c r="F244" s="957"/>
      <c r="G244" s="958"/>
      <c r="H244" s="730" t="s">
        <v>35</v>
      </c>
      <c r="I244" s="830">
        <f ca="1">IFERROR(__xludf.DUMMYFUNCTION("IMPORTRANGE(""https://docs.google.com/spreadsheets/d/1QqKyyYR6Q21VydFLVH3TRQUabQu_ym0Zz7PgGX0-kHA/edit?usp=sharing"",""แผน!BE17"")"),0)</f>
        <v>0</v>
      </c>
      <c r="J244" s="959">
        <v>0</v>
      </c>
      <c r="K244" s="831">
        <f ca="1">IF(I244&gt;0,J244*100/I244,0)</f>
        <v>0</v>
      </c>
      <c r="L244" s="831"/>
      <c r="M244" s="831"/>
      <c r="N244" s="831"/>
      <c r="O244" s="831"/>
      <c r="P244" s="831"/>
      <c r="Q244" s="818"/>
      <c r="R244" s="818"/>
      <c r="S244" s="818"/>
      <c r="T244" s="818"/>
      <c r="U244" s="818"/>
      <c r="V244" s="818"/>
      <c r="W244" s="818"/>
      <c r="X244" s="818"/>
      <c r="Y244" s="818"/>
      <c r="Z244" s="818"/>
    </row>
    <row r="245" spans="1:26" ht="18.75" hidden="1">
      <c r="A245" s="949"/>
      <c r="B245" s="950"/>
      <c r="C245" s="950"/>
      <c r="D245" s="1078" t="s">
        <v>43</v>
      </c>
      <c r="E245" s="957"/>
      <c r="F245" s="957"/>
      <c r="G245" s="958"/>
      <c r="H245" s="730"/>
      <c r="I245" s="830"/>
      <c r="J245" s="830"/>
      <c r="K245" s="831"/>
      <c r="L245" s="831"/>
      <c r="M245" s="831"/>
      <c r="N245" s="831"/>
      <c r="O245" s="945"/>
      <c r="P245" s="945"/>
      <c r="Q245" s="818"/>
      <c r="R245" s="818"/>
      <c r="S245" s="818"/>
      <c r="T245" s="818"/>
      <c r="U245" s="818"/>
      <c r="V245" s="818"/>
      <c r="W245" s="818"/>
      <c r="X245" s="818"/>
      <c r="Y245" s="818"/>
      <c r="Z245" s="818"/>
    </row>
    <row r="246" spans="1:26" ht="18.75" hidden="1">
      <c r="A246" s="949"/>
      <c r="B246" s="950"/>
      <c r="C246" s="950"/>
      <c r="D246" s="950"/>
      <c r="E246" s="955" t="s">
        <v>118</v>
      </c>
      <c r="F246" s="957"/>
      <c r="G246" s="958"/>
      <c r="H246" s="730" t="s">
        <v>35</v>
      </c>
      <c r="I246" s="830"/>
      <c r="J246" s="959">
        <v>0</v>
      </c>
      <c r="K246" s="831">
        <f t="shared" ref="K246:K248" si="113">IF(I246&gt;0,J246*100/I246,0)</f>
        <v>0</v>
      </c>
      <c r="L246" s="831"/>
      <c r="M246" s="831"/>
      <c r="N246" s="831"/>
      <c r="O246" s="831"/>
      <c r="P246" s="831"/>
      <c r="Q246" s="818"/>
      <c r="R246" s="818"/>
      <c r="S246" s="818"/>
      <c r="T246" s="818"/>
      <c r="U246" s="818"/>
      <c r="V246" s="818"/>
      <c r="W246" s="818"/>
      <c r="X246" s="818"/>
      <c r="Y246" s="818"/>
      <c r="Z246" s="818"/>
    </row>
    <row r="247" spans="1:26" ht="18.75" hidden="1">
      <c r="A247" s="949"/>
      <c r="B247" s="950"/>
      <c r="C247" s="950"/>
      <c r="D247" s="950"/>
      <c r="E247" s="955" t="s">
        <v>119</v>
      </c>
      <c r="F247" s="957"/>
      <c r="G247" s="958"/>
      <c r="H247" s="730" t="s">
        <v>66</v>
      </c>
      <c r="I247" s="830"/>
      <c r="J247" s="959">
        <v>0</v>
      </c>
      <c r="K247" s="831">
        <f t="shared" si="113"/>
        <v>0</v>
      </c>
      <c r="L247" s="831"/>
      <c r="M247" s="831"/>
      <c r="N247" s="831"/>
      <c r="O247" s="831"/>
      <c r="P247" s="831"/>
      <c r="Q247" s="818"/>
      <c r="R247" s="818"/>
      <c r="S247" s="818"/>
      <c r="T247" s="818"/>
      <c r="U247" s="818"/>
      <c r="V247" s="818"/>
      <c r="W247" s="818"/>
      <c r="X247" s="818"/>
      <c r="Y247" s="818"/>
      <c r="Z247" s="818"/>
    </row>
    <row r="248" spans="1:26" ht="19.5" hidden="1">
      <c r="A248" s="1011"/>
      <c r="B248" s="1018"/>
      <c r="C248" s="1023" t="s">
        <v>332</v>
      </c>
      <c r="D248" s="1012"/>
      <c r="E248" s="1012"/>
      <c r="F248" s="1012"/>
      <c r="G248" s="1014"/>
      <c r="H248" s="260" t="s">
        <v>35</v>
      </c>
      <c r="I248" s="1024">
        <f t="shared" ref="I248:J248" ca="1" si="114">I255</f>
        <v>0</v>
      </c>
      <c r="J248" s="1024">
        <f t="shared" si="114"/>
        <v>0</v>
      </c>
      <c r="K248" s="1025">
        <f t="shared" ca="1" si="113"/>
        <v>0</v>
      </c>
      <c r="L248" s="1016"/>
      <c r="M248" s="1016"/>
      <c r="N248" s="1016"/>
      <c r="O248" s="1016"/>
      <c r="P248" s="1016"/>
    </row>
    <row r="249" spans="1:26" ht="19.5" hidden="1">
      <c r="A249" s="932"/>
      <c r="B249" s="933"/>
      <c r="C249" s="934" t="s">
        <v>16</v>
      </c>
      <c r="D249" s="1026" t="s">
        <v>17</v>
      </c>
      <c r="E249" s="933"/>
      <c r="F249" s="933"/>
      <c r="G249" s="936"/>
      <c r="H249" s="275" t="s">
        <v>12</v>
      </c>
      <c r="I249" s="1028"/>
      <c r="J249" s="1028"/>
      <c r="K249" s="1029"/>
      <c r="L249" s="939">
        <f ca="1">L250+L251+L252+L253</f>
        <v>0</v>
      </c>
      <c r="M249" s="939"/>
      <c r="N249" s="939">
        <f>N250+N251+N252+N253</f>
        <v>0</v>
      </c>
      <c r="O249" s="939">
        <f ca="1">IF(L249&gt;0,N249*100/L249,0)</f>
        <v>0</v>
      </c>
      <c r="P249" s="939">
        <f>IF(M249&gt;0,N249*100/M249,0)</f>
        <v>0</v>
      </c>
      <c r="Q249" s="818"/>
      <c r="R249" s="818"/>
      <c r="S249" s="818"/>
      <c r="T249" s="818"/>
      <c r="U249" s="818"/>
      <c r="V249" s="818"/>
      <c r="W249" s="818"/>
      <c r="X249" s="818"/>
      <c r="Y249" s="818"/>
      <c r="Z249" s="818"/>
    </row>
    <row r="250" spans="1:26" ht="18.75" hidden="1">
      <c r="A250" s="1064"/>
      <c r="B250" s="1065"/>
      <c r="C250" s="1066"/>
      <c r="D250" s="1067" t="s">
        <v>97</v>
      </c>
      <c r="E250" s="1066"/>
      <c r="F250" s="1066"/>
      <c r="G250" s="1068"/>
      <c r="H250" s="319" t="s">
        <v>12</v>
      </c>
      <c r="I250" s="1069"/>
      <c r="J250" s="1069"/>
      <c r="K250" s="1070"/>
      <c r="L250" s="1071">
        <f ca="1">IFERROR(__xludf.DUMMYFUNCTION("IMPORTRANGE(""https://docs.google.com/spreadsheets/d/1QqKyyYR6Q21VydFLVH3TRQUabQu_ym0Zz7PgGX0-kHA/edit?usp=sharing"",""แผน!AZ17"")"),0)</f>
        <v>0</v>
      </c>
      <c r="M250" s="1071"/>
      <c r="N250" s="1072">
        <v>0</v>
      </c>
      <c r="O250" s="1071"/>
      <c r="P250" s="1071"/>
      <c r="Q250" s="1073"/>
      <c r="R250" s="1073"/>
      <c r="S250" s="1073"/>
      <c r="T250" s="1073"/>
      <c r="U250" s="1073"/>
      <c r="V250" s="1073"/>
      <c r="W250" s="1073"/>
      <c r="X250" s="1073"/>
      <c r="Y250" s="1073"/>
      <c r="Z250" s="1073"/>
    </row>
    <row r="251" spans="1:26" ht="19.5" hidden="1">
      <c r="A251" s="1074"/>
      <c r="B251" s="1065"/>
      <c r="C251" s="1075"/>
      <c r="D251" s="1067" t="s">
        <v>98</v>
      </c>
      <c r="E251" s="1066"/>
      <c r="F251" s="1066"/>
      <c r="G251" s="1068"/>
      <c r="H251" s="319" t="s">
        <v>12</v>
      </c>
      <c r="I251" s="1076"/>
      <c r="J251" s="1076"/>
      <c r="K251" s="1071"/>
      <c r="L251" s="1071">
        <f ca="1">IFERROR(__xludf.DUMMYFUNCTION("IMPORTRANGE(""https://docs.google.com/spreadsheets/d/1QqKyyYR6Q21VydFLVH3TRQUabQu_ym0Zz7PgGX0-kHA/edit?usp=sharing"",""แผน!BA17"")"),0)</f>
        <v>0</v>
      </c>
      <c r="M251" s="1071"/>
      <c r="N251" s="1072">
        <v>0</v>
      </c>
      <c r="O251" s="1071"/>
      <c r="P251" s="1071"/>
      <c r="Q251" s="1077"/>
      <c r="R251" s="1077"/>
      <c r="S251" s="1077"/>
      <c r="T251" s="1077"/>
      <c r="U251" s="1077"/>
      <c r="V251" s="1077"/>
      <c r="W251" s="1077"/>
      <c r="X251" s="1077"/>
      <c r="Y251" s="1077"/>
      <c r="Z251" s="1077"/>
    </row>
    <row r="252" spans="1:26" ht="19.5" hidden="1">
      <c r="A252" s="1074"/>
      <c r="B252" s="1065"/>
      <c r="C252" s="1075"/>
      <c r="D252" s="1067" t="s">
        <v>116</v>
      </c>
      <c r="E252" s="1066"/>
      <c r="F252" s="1066"/>
      <c r="G252" s="1068"/>
      <c r="H252" s="319" t="s">
        <v>12</v>
      </c>
      <c r="I252" s="1076"/>
      <c r="J252" s="1076"/>
      <c r="K252" s="1071"/>
      <c r="L252" s="1071">
        <f ca="1">IFERROR(__xludf.DUMMYFUNCTION("IMPORTRANGE(""https://docs.google.com/spreadsheets/d/1QqKyyYR6Q21VydFLVH3TRQUabQu_ym0Zz7PgGX0-kHA/edit?usp=sharing"",""แผน!BB17"")"),0)</f>
        <v>0</v>
      </c>
      <c r="M252" s="1071"/>
      <c r="N252" s="1072">
        <v>0</v>
      </c>
      <c r="O252" s="1071"/>
      <c r="P252" s="1071"/>
      <c r="Q252" s="1077"/>
      <c r="R252" s="1077"/>
      <c r="S252" s="1077"/>
      <c r="T252" s="1077"/>
      <c r="U252" s="1077"/>
      <c r="V252" s="1077"/>
      <c r="W252" s="1077"/>
      <c r="X252" s="1077"/>
      <c r="Y252" s="1077"/>
      <c r="Z252" s="1077"/>
    </row>
    <row r="253" spans="1:26" ht="19.5" hidden="1">
      <c r="A253" s="1074"/>
      <c r="B253" s="1065"/>
      <c r="C253" s="1075"/>
      <c r="D253" s="1067" t="s">
        <v>100</v>
      </c>
      <c r="E253" s="1066"/>
      <c r="F253" s="1066"/>
      <c r="G253" s="1068"/>
      <c r="H253" s="319" t="s">
        <v>12</v>
      </c>
      <c r="I253" s="1076"/>
      <c r="J253" s="1076"/>
      <c r="K253" s="1071"/>
      <c r="L253" s="1071">
        <f ca="1">IFERROR(__xludf.DUMMYFUNCTION("IMPORTRANGE(""https://docs.google.com/spreadsheets/d/1QqKyyYR6Q21VydFLVH3TRQUabQu_ym0Zz7PgGX0-kHA/edit?usp=sharing"",""แผน!BC17"")"),0)</f>
        <v>0</v>
      </c>
      <c r="M253" s="1071"/>
      <c r="N253" s="1072">
        <v>0</v>
      </c>
      <c r="O253" s="1071"/>
      <c r="P253" s="1071"/>
      <c r="Q253" s="1077"/>
      <c r="R253" s="1077"/>
      <c r="S253" s="1077"/>
      <c r="T253" s="1077"/>
      <c r="U253" s="1077"/>
      <c r="V253" s="1077"/>
      <c r="W253" s="1077"/>
      <c r="X253" s="1077"/>
      <c r="Y253" s="1077"/>
      <c r="Z253" s="1077"/>
    </row>
    <row r="254" spans="1:26" ht="19.5" hidden="1">
      <c r="A254" s="949"/>
      <c r="B254" s="950"/>
      <c r="C254" s="1038" t="s">
        <v>16</v>
      </c>
      <c r="D254" s="951" t="s">
        <v>38</v>
      </c>
      <c r="E254" s="952"/>
      <c r="F254" s="952"/>
      <c r="G254" s="953"/>
      <c r="H254" s="954"/>
      <c r="I254" s="944"/>
      <c r="J254" s="830"/>
      <c r="K254" s="831"/>
      <c r="L254" s="831"/>
      <c r="M254" s="831"/>
      <c r="N254" s="831"/>
      <c r="O254" s="945"/>
      <c r="P254" s="945"/>
      <c r="Q254" s="818"/>
      <c r="R254" s="818"/>
      <c r="S254" s="818"/>
      <c r="T254" s="818"/>
      <c r="U254" s="818"/>
      <c r="V254" s="818"/>
      <c r="W254" s="818"/>
      <c r="X254" s="818"/>
      <c r="Y254" s="818"/>
      <c r="Z254" s="818"/>
    </row>
    <row r="255" spans="1:26" ht="18.75" hidden="1">
      <c r="A255" s="949"/>
      <c r="B255" s="950"/>
      <c r="C255" s="950"/>
      <c r="D255" s="956" t="s">
        <v>117</v>
      </c>
      <c r="E255" s="957"/>
      <c r="F255" s="957"/>
      <c r="G255" s="958"/>
      <c r="H255" s="730" t="s">
        <v>35</v>
      </c>
      <c r="I255" s="830">
        <f ca="1">IFERROR(__xludf.DUMMYFUNCTION("IMPORTRANGE(""https://docs.google.com/spreadsheets/d/1QqKyyYR6Q21VydFLVH3TRQUabQu_ym0Zz7PgGX0-kHA/edit?usp=sharing"",""แผน!BF17"")"),0)</f>
        <v>0</v>
      </c>
      <c r="J255" s="959">
        <v>0</v>
      </c>
      <c r="K255" s="831">
        <f ca="1">IF(I255&gt;0,J255*100/I255,0)</f>
        <v>0</v>
      </c>
      <c r="L255" s="831"/>
      <c r="M255" s="831"/>
      <c r="N255" s="831"/>
      <c r="O255" s="831"/>
      <c r="P255" s="831"/>
      <c r="Q255" s="818"/>
      <c r="R255" s="818"/>
      <c r="S255" s="818"/>
      <c r="T255" s="818"/>
      <c r="U255" s="818"/>
      <c r="V255" s="818"/>
      <c r="W255" s="818"/>
      <c r="X255" s="818"/>
      <c r="Y255" s="818"/>
      <c r="Z255" s="818"/>
    </row>
    <row r="256" spans="1:26" ht="18.75" hidden="1">
      <c r="A256" s="949"/>
      <c r="B256" s="950"/>
      <c r="C256" s="950"/>
      <c r="D256" s="1078" t="s">
        <v>43</v>
      </c>
      <c r="E256" s="957"/>
      <c r="F256" s="957"/>
      <c r="G256" s="958"/>
      <c r="H256" s="730"/>
      <c r="I256" s="830"/>
      <c r="J256" s="830"/>
      <c r="K256" s="831"/>
      <c r="L256" s="831"/>
      <c r="M256" s="831"/>
      <c r="N256" s="831"/>
      <c r="O256" s="945"/>
      <c r="P256" s="945"/>
      <c r="Q256" s="818"/>
      <c r="R256" s="818"/>
      <c r="S256" s="818"/>
      <c r="T256" s="818"/>
      <c r="U256" s="818"/>
      <c r="V256" s="818"/>
      <c r="W256" s="818"/>
      <c r="X256" s="818"/>
      <c r="Y256" s="818"/>
      <c r="Z256" s="818"/>
    </row>
    <row r="257" spans="1:26" ht="18.75" hidden="1">
      <c r="A257" s="949"/>
      <c r="B257" s="950"/>
      <c r="C257" s="950"/>
      <c r="D257" s="950"/>
      <c r="E257" s="955" t="s">
        <v>118</v>
      </c>
      <c r="F257" s="957"/>
      <c r="G257" s="958"/>
      <c r="H257" s="730" t="s">
        <v>35</v>
      </c>
      <c r="I257" s="830"/>
      <c r="J257" s="959">
        <v>0</v>
      </c>
      <c r="K257" s="831">
        <f t="shared" ref="K257:K258" si="115">IF(I257&gt;0,J257*100/I257,0)</f>
        <v>0</v>
      </c>
      <c r="L257" s="831"/>
      <c r="M257" s="831"/>
      <c r="N257" s="831"/>
      <c r="O257" s="831"/>
      <c r="P257" s="831"/>
      <c r="Q257" s="818"/>
      <c r="R257" s="818"/>
      <c r="S257" s="818"/>
      <c r="T257" s="818"/>
      <c r="U257" s="818"/>
      <c r="V257" s="818"/>
      <c r="W257" s="818"/>
      <c r="X257" s="818"/>
      <c r="Y257" s="818"/>
      <c r="Z257" s="818"/>
    </row>
    <row r="258" spans="1:26" ht="18.75" hidden="1">
      <c r="A258" s="949"/>
      <c r="B258" s="950"/>
      <c r="C258" s="950"/>
      <c r="D258" s="950"/>
      <c r="E258" s="955" t="s">
        <v>119</v>
      </c>
      <c r="F258" s="957"/>
      <c r="G258" s="958"/>
      <c r="H258" s="730" t="s">
        <v>66</v>
      </c>
      <c r="I258" s="830"/>
      <c r="J258" s="959">
        <v>0</v>
      </c>
      <c r="K258" s="831">
        <f t="shared" si="115"/>
        <v>0</v>
      </c>
      <c r="L258" s="831"/>
      <c r="M258" s="831"/>
      <c r="N258" s="831"/>
      <c r="O258" s="831"/>
      <c r="P258" s="831"/>
      <c r="Q258" s="818"/>
      <c r="R258" s="818"/>
      <c r="S258" s="818"/>
      <c r="T258" s="818"/>
      <c r="U258" s="818"/>
      <c r="V258" s="818"/>
      <c r="W258" s="818"/>
      <c r="X258" s="818"/>
      <c r="Y258" s="818"/>
      <c r="Z258" s="818"/>
    </row>
    <row r="259" spans="1:26" ht="19.5" hidden="1">
      <c r="A259" s="998" t="s">
        <v>122</v>
      </c>
      <c r="B259" s="999"/>
      <c r="C259" s="999"/>
      <c r="D259" s="1000"/>
      <c r="E259" s="1000"/>
      <c r="F259" s="1000"/>
      <c r="G259" s="1001"/>
      <c r="H259" s="1002"/>
      <c r="I259" s="1003"/>
      <c r="J259" s="1003"/>
      <c r="K259" s="1004"/>
      <c r="L259" s="1004"/>
      <c r="M259" s="1004"/>
      <c r="N259" s="1004"/>
      <c r="O259" s="1004"/>
      <c r="P259" s="1004"/>
    </row>
    <row r="260" spans="1:26" ht="19.5">
      <c r="A260" s="1005"/>
      <c r="B260" s="1006" t="s">
        <v>123</v>
      </c>
      <c r="C260" s="1007"/>
      <c r="D260" s="952"/>
      <c r="E260" s="952"/>
      <c r="F260" s="952"/>
      <c r="G260" s="953"/>
      <c r="H260" s="252" t="s">
        <v>35</v>
      </c>
      <c r="I260" s="1008">
        <f t="shared" ref="I260:J260" ca="1" si="116">I271</f>
        <v>22</v>
      </c>
      <c r="J260" s="1008">
        <f t="shared" si="116"/>
        <v>22</v>
      </c>
      <c r="K260" s="1009">
        <f ca="1">IF(I260&gt;0,J260*100/I260,0)</f>
        <v>100</v>
      </c>
      <c r="L260" s="1009"/>
      <c r="M260" s="1009"/>
      <c r="N260" s="1009"/>
      <c r="O260" s="1009"/>
      <c r="P260" s="1009"/>
    </row>
    <row r="261" spans="1:26" ht="19.5">
      <c r="A261" s="932"/>
      <c r="B261" s="933"/>
      <c r="C261" s="934" t="s">
        <v>16</v>
      </c>
      <c r="D261" s="935" t="s">
        <v>17</v>
      </c>
      <c r="E261" s="933"/>
      <c r="F261" s="933"/>
      <c r="G261" s="936"/>
      <c r="H261" s="152" t="s">
        <v>12</v>
      </c>
      <c r="I261" s="937"/>
      <c r="J261" s="937"/>
      <c r="K261" s="938"/>
      <c r="L261" s="939">
        <f t="shared" ref="L261:N261" ca="1" si="117">L262+L263</f>
        <v>26900</v>
      </c>
      <c r="M261" s="939">
        <f t="shared" ca="1" si="117"/>
        <v>23900</v>
      </c>
      <c r="N261" s="939">
        <f t="shared" ca="1" si="117"/>
        <v>20290</v>
      </c>
      <c r="O261" s="939">
        <f t="shared" ref="O261:O269" ca="1" si="118">IF(L261&gt;0,N261*100/L261,0)</f>
        <v>75.427509293680302</v>
      </c>
      <c r="P261" s="939">
        <f t="shared" ref="P261:P269" ca="1" si="119">IF(M261&gt;0,N261*100/M261,0)</f>
        <v>84.895397489539747</v>
      </c>
      <c r="Q261" s="818"/>
      <c r="R261" s="818"/>
      <c r="S261" s="818"/>
      <c r="T261" s="818"/>
      <c r="U261" s="818"/>
      <c r="V261" s="818"/>
      <c r="W261" s="818"/>
      <c r="X261" s="818"/>
      <c r="Y261" s="818"/>
      <c r="Z261" s="818"/>
    </row>
    <row r="262" spans="1:26" ht="18.75" hidden="1">
      <c r="A262" s="940"/>
      <c r="B262" s="833"/>
      <c r="C262" s="833"/>
      <c r="D262" s="833"/>
      <c r="E262" s="834" t="s">
        <v>18</v>
      </c>
      <c r="F262" s="833"/>
      <c r="G262" s="941"/>
      <c r="H262" s="158" t="s">
        <v>12</v>
      </c>
      <c r="I262" s="836"/>
      <c r="J262" s="836"/>
      <c r="K262" s="837"/>
      <c r="L262" s="837">
        <f t="shared" ref="L262:N263" si="120">L265+L268</f>
        <v>0</v>
      </c>
      <c r="M262" s="837">
        <f t="shared" si="120"/>
        <v>0</v>
      </c>
      <c r="N262" s="837">
        <f t="shared" si="120"/>
        <v>0</v>
      </c>
      <c r="O262" s="837">
        <f t="shared" si="118"/>
        <v>0</v>
      </c>
      <c r="P262" s="837">
        <f t="shared" si="119"/>
        <v>0</v>
      </c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</row>
    <row r="263" spans="1:26" ht="18.75" hidden="1">
      <c r="A263" s="940"/>
      <c r="B263" s="833"/>
      <c r="C263" s="833"/>
      <c r="D263" s="833"/>
      <c r="E263" s="834" t="s">
        <v>19</v>
      </c>
      <c r="F263" s="833"/>
      <c r="G263" s="941"/>
      <c r="H263" s="158" t="s">
        <v>12</v>
      </c>
      <c r="I263" s="836"/>
      <c r="J263" s="836"/>
      <c r="K263" s="837"/>
      <c r="L263" s="837">
        <f t="shared" ca="1" si="120"/>
        <v>26900</v>
      </c>
      <c r="M263" s="837">
        <f t="shared" ca="1" si="120"/>
        <v>23900</v>
      </c>
      <c r="N263" s="837">
        <f t="shared" ca="1" si="120"/>
        <v>20290</v>
      </c>
      <c r="O263" s="837">
        <f t="shared" ca="1" si="118"/>
        <v>75.427509293680302</v>
      </c>
      <c r="P263" s="837">
        <f t="shared" ca="1" si="119"/>
        <v>84.895397489539747</v>
      </c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</row>
    <row r="264" spans="1:26" ht="18.75">
      <c r="A264" s="942"/>
      <c r="B264" s="827"/>
      <c r="C264" s="943"/>
      <c r="D264" s="828" t="s">
        <v>20</v>
      </c>
      <c r="E264" s="827"/>
      <c r="F264" s="827"/>
      <c r="G264" s="829"/>
      <c r="H264" s="778" t="s">
        <v>12</v>
      </c>
      <c r="I264" s="944"/>
      <c r="J264" s="944"/>
      <c r="K264" s="945"/>
      <c r="L264" s="831">
        <f t="shared" ref="L264:N264" ca="1" si="121">L265+L266</f>
        <v>26900</v>
      </c>
      <c r="M264" s="831">
        <f t="shared" ca="1" si="121"/>
        <v>23900</v>
      </c>
      <c r="N264" s="831">
        <f t="shared" ca="1" si="121"/>
        <v>20290</v>
      </c>
      <c r="O264" s="831">
        <f t="shared" ca="1" si="118"/>
        <v>75.427509293680302</v>
      </c>
      <c r="P264" s="831">
        <f t="shared" ca="1" si="119"/>
        <v>84.895397489539747</v>
      </c>
      <c r="Q264" s="818"/>
      <c r="R264" s="818"/>
      <c r="S264" s="818"/>
      <c r="T264" s="818"/>
      <c r="U264" s="818"/>
      <c r="V264" s="818"/>
      <c r="W264" s="818"/>
      <c r="X264" s="818"/>
      <c r="Y264" s="818"/>
      <c r="Z264" s="818"/>
    </row>
    <row r="265" spans="1:26" ht="19.5" hidden="1">
      <c r="A265" s="940"/>
      <c r="B265" s="833"/>
      <c r="C265" s="946"/>
      <c r="D265" s="833"/>
      <c r="E265" s="834" t="s">
        <v>36</v>
      </c>
      <c r="F265" s="833"/>
      <c r="G265" s="941"/>
      <c r="H265" s="165" t="s">
        <v>12</v>
      </c>
      <c r="I265" s="947"/>
      <c r="J265" s="947"/>
      <c r="K265" s="948"/>
      <c r="L265" s="837">
        <v>0</v>
      </c>
      <c r="M265" s="837">
        <v>0</v>
      </c>
      <c r="N265" s="837">
        <v>0</v>
      </c>
      <c r="O265" s="837">
        <f t="shared" si="118"/>
        <v>0</v>
      </c>
      <c r="P265" s="837">
        <f t="shared" si="119"/>
        <v>0</v>
      </c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</row>
    <row r="266" spans="1:26" ht="19.5" hidden="1">
      <c r="A266" s="940"/>
      <c r="B266" s="833"/>
      <c r="C266" s="946"/>
      <c r="D266" s="833"/>
      <c r="E266" s="834" t="s">
        <v>37</v>
      </c>
      <c r="F266" s="833"/>
      <c r="G266" s="941"/>
      <c r="H266" s="165" t="s">
        <v>12</v>
      </c>
      <c r="I266" s="947"/>
      <c r="J266" s="947"/>
      <c r="K266" s="948"/>
      <c r="L266" s="837">
        <f ca="1">IFERROR(__xludf.DUMMYFUNCTION("IMPORTRANGE(""https://docs.google.com/spreadsheets/d/1MeEWN-I1oV_STSDYn1IFDPWt_1FKiwhDph83XaGc0o0/edit?usp=sharing"",""งบพรบ!CY17"")"),26900)</f>
        <v>26900</v>
      </c>
      <c r="M266" s="837">
        <f ca="1">IFERROR(__xludf.DUMMYFUNCTION("IMPORTRANGE(""https://docs.google.com/spreadsheets/d/1MeEWN-I1oV_STSDYn1IFDPWt_1FKiwhDph83XaGc0o0/edit?usp=sharing"",""งบพรบ!DD17"")"),23900)</f>
        <v>23900</v>
      </c>
      <c r="N266" s="837">
        <f ca="1">IFERROR(__xludf.DUMMYFUNCTION("IMPORTRANGE(""https://docs.google.com/spreadsheets/d/1MeEWN-I1oV_STSDYn1IFDPWt_1FKiwhDph83XaGc0o0/edit?usp=sharing"",""งบพรบ!DF17"")"),20290)</f>
        <v>20290</v>
      </c>
      <c r="O266" s="837">
        <f t="shared" ca="1" si="118"/>
        <v>75.427509293680302</v>
      </c>
      <c r="P266" s="837">
        <f t="shared" ca="1" si="119"/>
        <v>84.895397489539747</v>
      </c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</row>
    <row r="267" spans="1:26" ht="18.75">
      <c r="A267" s="942"/>
      <c r="B267" s="827"/>
      <c r="C267" s="943"/>
      <c r="D267" s="828" t="s">
        <v>21</v>
      </c>
      <c r="E267" s="827"/>
      <c r="F267" s="827"/>
      <c r="G267" s="829"/>
      <c r="H267" s="168" t="s">
        <v>12</v>
      </c>
      <c r="I267" s="944"/>
      <c r="J267" s="944"/>
      <c r="K267" s="945"/>
      <c r="L267" s="831">
        <f t="shared" ref="L267:N267" ca="1" si="122">L268+L269</f>
        <v>0</v>
      </c>
      <c r="M267" s="831">
        <f t="shared" ca="1" si="122"/>
        <v>0</v>
      </c>
      <c r="N267" s="831">
        <f t="shared" ca="1" si="122"/>
        <v>0</v>
      </c>
      <c r="O267" s="831">
        <f t="shared" ca="1" si="118"/>
        <v>0</v>
      </c>
      <c r="P267" s="831">
        <f t="shared" ca="1" si="119"/>
        <v>0</v>
      </c>
      <c r="Q267" s="818"/>
      <c r="R267" s="818"/>
      <c r="S267" s="818"/>
      <c r="T267" s="818"/>
      <c r="U267" s="818"/>
      <c r="V267" s="818"/>
      <c r="W267" s="818"/>
      <c r="X267" s="818"/>
      <c r="Y267" s="818"/>
      <c r="Z267" s="818"/>
    </row>
    <row r="268" spans="1:26" ht="19.5" hidden="1">
      <c r="A268" s="940"/>
      <c r="B268" s="833"/>
      <c r="C268" s="946"/>
      <c r="D268" s="833"/>
      <c r="E268" s="834" t="s">
        <v>18</v>
      </c>
      <c r="F268" s="833"/>
      <c r="G268" s="941"/>
      <c r="H268" s="165" t="s">
        <v>12</v>
      </c>
      <c r="I268" s="947"/>
      <c r="J268" s="947"/>
      <c r="K268" s="948"/>
      <c r="L268" s="837">
        <v>0</v>
      </c>
      <c r="M268" s="837">
        <v>0</v>
      </c>
      <c r="N268" s="837">
        <v>0</v>
      </c>
      <c r="O268" s="837">
        <f t="shared" si="118"/>
        <v>0</v>
      </c>
      <c r="P268" s="837">
        <f t="shared" si="119"/>
        <v>0</v>
      </c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</row>
    <row r="269" spans="1:26" ht="19.5" hidden="1">
      <c r="A269" s="940"/>
      <c r="B269" s="833"/>
      <c r="C269" s="946"/>
      <c r="D269" s="833"/>
      <c r="E269" s="834" t="s">
        <v>19</v>
      </c>
      <c r="F269" s="833"/>
      <c r="G269" s="941"/>
      <c r="H269" s="169" t="s">
        <v>12</v>
      </c>
      <c r="I269" s="947"/>
      <c r="J269" s="947"/>
      <c r="K269" s="948"/>
      <c r="L269" s="837">
        <f ca="1">IFERROR(__xludf.DUMMYFUNCTION("IMPORTRANGE(""https://docs.google.com/spreadsheets/d/1MeEWN-I1oV_STSDYn1IFDPWt_1FKiwhDph83XaGc0o0/edit?usp=sharing"",""งบพรบ!DB17"")"),0)</f>
        <v>0</v>
      </c>
      <c r="M269" s="837">
        <f ca="1">IFERROR(__xludf.DUMMYFUNCTION("IMPORTRANGE(""https://docs.google.com/spreadsheets/d/1MeEWN-I1oV_STSDYn1IFDPWt_1FKiwhDph83XaGc0o0/edit?usp=sharing"",""งบพรบ!DE17"")"),0)</f>
        <v>0</v>
      </c>
      <c r="N269" s="837">
        <f ca="1">IFERROR(__xludf.DUMMYFUNCTION("IMPORTRANGE(""https://docs.google.com/spreadsheets/d/1MeEWN-I1oV_STSDYn1IFDPWt_1FKiwhDph83XaGc0o0/edit?usp=sharing"",""งบพรบ!DG17"")"),0)</f>
        <v>0</v>
      </c>
      <c r="O269" s="837">
        <f t="shared" ca="1" si="118"/>
        <v>0</v>
      </c>
      <c r="P269" s="837">
        <f t="shared" ca="1" si="119"/>
        <v>0</v>
      </c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</row>
    <row r="270" spans="1:26" ht="19.5">
      <c r="A270" s="949"/>
      <c r="B270" s="950"/>
      <c r="C270" s="943" t="s">
        <v>16</v>
      </c>
      <c r="D270" s="951" t="s">
        <v>38</v>
      </c>
      <c r="E270" s="952"/>
      <c r="F270" s="952"/>
      <c r="G270" s="953"/>
      <c r="H270" s="954"/>
      <c r="I270" s="944"/>
      <c r="J270" s="944"/>
      <c r="K270" s="945"/>
      <c r="L270" s="945"/>
      <c r="M270" s="945"/>
      <c r="N270" s="945"/>
      <c r="O270" s="945"/>
      <c r="P270" s="945"/>
    </row>
    <row r="271" spans="1:26" ht="18.75">
      <c r="A271" s="949"/>
      <c r="B271" s="950"/>
      <c r="C271" s="950"/>
      <c r="D271" s="1079" t="s">
        <v>124</v>
      </c>
      <c r="E271" s="957"/>
      <c r="F271" s="1022"/>
      <c r="G271" s="958"/>
      <c r="H271" s="346" t="s">
        <v>35</v>
      </c>
      <c r="I271" s="830">
        <f ca="1">IFERROR(__xludf.DUMMYFUNCTION("IMPORTRANGE(""https://docs.google.com/spreadsheets/d/1QqKyyYR6Q21VydFLVH3TRQUabQu_ym0Zz7PgGX0-kHA/edit?usp=sharing"",""แผน!EA17"")"),22)</f>
        <v>22</v>
      </c>
      <c r="J271" s="959">
        <v>22</v>
      </c>
      <c r="K271" s="945">
        <f ca="1">IF(I271&gt;0,J271*100/I271,0)</f>
        <v>100</v>
      </c>
      <c r="L271" s="945"/>
      <c r="M271" s="945"/>
      <c r="N271" s="945"/>
      <c r="O271" s="945"/>
      <c r="P271" s="945"/>
    </row>
    <row r="272" spans="1:26" ht="18.75" hidden="1">
      <c r="A272" s="1080"/>
      <c r="B272" s="1081"/>
      <c r="C272" s="1081"/>
      <c r="D272" s="1082" t="s">
        <v>125</v>
      </c>
      <c r="E272" s="1083"/>
      <c r="F272" s="1083"/>
      <c r="G272" s="1084"/>
      <c r="H272" s="50" t="s">
        <v>35</v>
      </c>
      <c r="I272" s="1085">
        <v>0</v>
      </c>
      <c r="J272" s="1085">
        <v>0</v>
      </c>
      <c r="K272" s="1086">
        <v>0</v>
      </c>
      <c r="L272" s="1086"/>
      <c r="M272" s="1086"/>
      <c r="N272" s="1086"/>
      <c r="O272" s="1086"/>
      <c r="P272" s="1086"/>
    </row>
    <row r="273" spans="1:26" ht="19.5">
      <c r="A273" s="1087" t="s">
        <v>126</v>
      </c>
      <c r="B273" s="1088"/>
      <c r="C273" s="1088"/>
      <c r="D273" s="1088"/>
      <c r="E273" s="1089"/>
      <c r="F273" s="1089"/>
      <c r="G273" s="1090"/>
      <c r="H273" s="1091"/>
      <c r="I273" s="1092"/>
      <c r="J273" s="1092"/>
      <c r="K273" s="1093"/>
      <c r="L273" s="1093"/>
      <c r="M273" s="1093"/>
      <c r="N273" s="1093"/>
      <c r="O273" s="1093"/>
      <c r="P273" s="1093"/>
    </row>
    <row r="274" spans="1:26" ht="19.5">
      <c r="A274" s="1094" t="s">
        <v>127</v>
      </c>
      <c r="B274" s="1095"/>
      <c r="C274" s="1096"/>
      <c r="D274" s="1095"/>
      <c r="E274" s="1095"/>
      <c r="F274" s="1095"/>
      <c r="G274" s="1095"/>
      <c r="H274" s="1097"/>
      <c r="I274" s="1098"/>
      <c r="J274" s="1099"/>
      <c r="K274" s="1100"/>
      <c r="L274" s="1100"/>
      <c r="M274" s="1100"/>
      <c r="N274" s="1100"/>
      <c r="O274" s="1100"/>
      <c r="P274" s="1100"/>
    </row>
    <row r="275" spans="1:26" ht="19.5">
      <c r="A275" s="1101"/>
      <c r="B275" s="1102" t="s">
        <v>128</v>
      </c>
      <c r="C275" s="1103"/>
      <c r="D275" s="1104"/>
      <c r="E275" s="1103"/>
      <c r="F275" s="1103"/>
      <c r="G275" s="1105"/>
      <c r="H275" s="374" t="s">
        <v>35</v>
      </c>
      <c r="I275" s="1106">
        <f t="shared" ref="I275:J275" ca="1" si="123">I288</f>
        <v>25</v>
      </c>
      <c r="J275" s="1106">
        <f t="shared" ca="1" si="123"/>
        <v>0</v>
      </c>
      <c r="K275" s="1107">
        <f t="shared" ref="K275:K276" ca="1" si="124">IF(I275&gt;0,J275*100/I275,0)</f>
        <v>0</v>
      </c>
      <c r="L275" s="1107"/>
      <c r="M275" s="1107"/>
      <c r="N275" s="1107"/>
      <c r="O275" s="1107"/>
      <c r="P275" s="1107"/>
    </row>
    <row r="276" spans="1:26" ht="19.5">
      <c r="A276" s="1101"/>
      <c r="B276" s="1102"/>
      <c r="C276" s="1103"/>
      <c r="D276" s="1104"/>
      <c r="E276" s="1103"/>
      <c r="F276" s="1103"/>
      <c r="G276" s="1105"/>
      <c r="H276" s="374" t="s">
        <v>46</v>
      </c>
      <c r="I276" s="1106">
        <f t="shared" ref="I276:J276" ca="1" si="125">I287</f>
        <v>250</v>
      </c>
      <c r="J276" s="1106">
        <f t="shared" si="125"/>
        <v>250</v>
      </c>
      <c r="K276" s="1107">
        <f t="shared" ca="1" si="124"/>
        <v>100</v>
      </c>
      <c r="L276" s="1108"/>
      <c r="M276" s="1108"/>
      <c r="N276" s="1108"/>
      <c r="O276" s="1108"/>
      <c r="P276" s="1108"/>
    </row>
    <row r="277" spans="1:26" ht="19.5">
      <c r="A277" s="932"/>
      <c r="B277" s="933"/>
      <c r="C277" s="934" t="s">
        <v>16</v>
      </c>
      <c r="D277" s="935" t="s">
        <v>17</v>
      </c>
      <c r="E277" s="933"/>
      <c r="F277" s="933"/>
      <c r="G277" s="936"/>
      <c r="H277" s="152" t="s">
        <v>12</v>
      </c>
      <c r="I277" s="937"/>
      <c r="J277" s="937"/>
      <c r="K277" s="938"/>
      <c r="L277" s="939">
        <f t="shared" ref="L277:N277" ca="1" si="126">L278+L279</f>
        <v>257420</v>
      </c>
      <c r="M277" s="939">
        <f t="shared" ca="1" si="126"/>
        <v>168920</v>
      </c>
      <c r="N277" s="939">
        <f t="shared" ca="1" si="126"/>
        <v>139083.14000000001</v>
      </c>
      <c r="O277" s="939">
        <f t="shared" ref="O277:O285" ca="1" si="127">IF(L277&gt;0,N277*100/L277,0)</f>
        <v>54.029655815398968</v>
      </c>
      <c r="P277" s="939">
        <f t="shared" ref="P277:P285" ca="1" si="128">IF(M277&gt;0,N277*100/M277,0)</f>
        <v>82.336691925171692</v>
      </c>
      <c r="Q277" s="818"/>
      <c r="R277" s="818"/>
      <c r="S277" s="818"/>
      <c r="T277" s="818"/>
      <c r="U277" s="818"/>
      <c r="V277" s="818"/>
      <c r="W277" s="818"/>
      <c r="X277" s="818"/>
      <c r="Y277" s="818"/>
      <c r="Z277" s="818"/>
    </row>
    <row r="278" spans="1:26" ht="18.75" hidden="1">
      <c r="A278" s="940"/>
      <c r="B278" s="833"/>
      <c r="C278" s="833"/>
      <c r="D278" s="833"/>
      <c r="E278" s="834" t="s">
        <v>18</v>
      </c>
      <c r="F278" s="833"/>
      <c r="G278" s="941"/>
      <c r="H278" s="158" t="s">
        <v>12</v>
      </c>
      <c r="I278" s="836"/>
      <c r="J278" s="836"/>
      <c r="K278" s="837"/>
      <c r="L278" s="837">
        <f t="shared" ref="L278:N279" si="129">L281+L284</f>
        <v>0</v>
      </c>
      <c r="M278" s="837">
        <f t="shared" si="129"/>
        <v>0</v>
      </c>
      <c r="N278" s="837">
        <f t="shared" si="129"/>
        <v>0</v>
      </c>
      <c r="O278" s="837">
        <f t="shared" si="127"/>
        <v>0</v>
      </c>
      <c r="P278" s="837">
        <f t="shared" si="128"/>
        <v>0</v>
      </c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</row>
    <row r="279" spans="1:26" ht="18.75" hidden="1">
      <c r="A279" s="940"/>
      <c r="B279" s="833"/>
      <c r="C279" s="833"/>
      <c r="D279" s="833"/>
      <c r="E279" s="834" t="s">
        <v>19</v>
      </c>
      <c r="F279" s="833"/>
      <c r="G279" s="941"/>
      <c r="H279" s="158" t="s">
        <v>12</v>
      </c>
      <c r="I279" s="836"/>
      <c r="J279" s="836"/>
      <c r="K279" s="837"/>
      <c r="L279" s="837">
        <f t="shared" ca="1" si="129"/>
        <v>257420</v>
      </c>
      <c r="M279" s="837">
        <f t="shared" ca="1" si="129"/>
        <v>168920</v>
      </c>
      <c r="N279" s="837">
        <f t="shared" ca="1" si="129"/>
        <v>139083.14000000001</v>
      </c>
      <c r="O279" s="837">
        <f t="shared" ca="1" si="127"/>
        <v>54.029655815398968</v>
      </c>
      <c r="P279" s="837">
        <f t="shared" ca="1" si="128"/>
        <v>82.336691925171692</v>
      </c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</row>
    <row r="280" spans="1:26" ht="18.75">
      <c r="A280" s="942"/>
      <c r="B280" s="827"/>
      <c r="C280" s="943"/>
      <c r="D280" s="828" t="s">
        <v>20</v>
      </c>
      <c r="E280" s="827"/>
      <c r="F280" s="827"/>
      <c r="G280" s="829"/>
      <c r="H280" s="778" t="s">
        <v>12</v>
      </c>
      <c r="I280" s="944"/>
      <c r="J280" s="944"/>
      <c r="K280" s="945"/>
      <c r="L280" s="831">
        <f t="shared" ref="L280:N280" ca="1" si="130">L281+L282</f>
        <v>257420</v>
      </c>
      <c r="M280" s="831">
        <f t="shared" ca="1" si="130"/>
        <v>168920</v>
      </c>
      <c r="N280" s="831">
        <f t="shared" ca="1" si="130"/>
        <v>139083.14000000001</v>
      </c>
      <c r="O280" s="831">
        <f t="shared" ca="1" si="127"/>
        <v>54.029655815398968</v>
      </c>
      <c r="P280" s="831">
        <f t="shared" ca="1" si="128"/>
        <v>82.336691925171692</v>
      </c>
      <c r="Q280" s="818"/>
      <c r="R280" s="818"/>
      <c r="S280" s="818"/>
      <c r="T280" s="818"/>
      <c r="U280" s="818"/>
      <c r="V280" s="818"/>
      <c r="W280" s="818"/>
      <c r="X280" s="818"/>
      <c r="Y280" s="818"/>
      <c r="Z280" s="818"/>
    </row>
    <row r="281" spans="1:26" ht="19.5" hidden="1">
      <c r="A281" s="940"/>
      <c r="B281" s="833"/>
      <c r="C281" s="946"/>
      <c r="D281" s="833"/>
      <c r="E281" s="834" t="s">
        <v>36</v>
      </c>
      <c r="F281" s="833"/>
      <c r="G281" s="941"/>
      <c r="H281" s="165" t="s">
        <v>12</v>
      </c>
      <c r="I281" s="947"/>
      <c r="J281" s="947"/>
      <c r="K281" s="948"/>
      <c r="L281" s="837">
        <v>0</v>
      </c>
      <c r="M281" s="837">
        <v>0</v>
      </c>
      <c r="N281" s="837">
        <v>0</v>
      </c>
      <c r="O281" s="837">
        <f t="shared" si="127"/>
        <v>0</v>
      </c>
      <c r="P281" s="837">
        <f t="shared" si="128"/>
        <v>0</v>
      </c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</row>
    <row r="282" spans="1:26" ht="19.5" hidden="1">
      <c r="A282" s="940"/>
      <c r="B282" s="833"/>
      <c r="C282" s="946"/>
      <c r="D282" s="833"/>
      <c r="E282" s="834" t="s">
        <v>37</v>
      </c>
      <c r="F282" s="833"/>
      <c r="G282" s="941"/>
      <c r="H282" s="165" t="s">
        <v>12</v>
      </c>
      <c r="I282" s="947"/>
      <c r="J282" s="947"/>
      <c r="K282" s="948"/>
      <c r="L282" s="837">
        <f ca="1">IFERROR(__xludf.DUMMYFUNCTION("IMPORTRANGE(""https://docs.google.com/spreadsheets/d/1MeEWN-I1oV_STSDYn1IFDPWt_1FKiwhDph83XaGc0o0/edit?usp=sharing"",""งบพรบ!DI17"")"),257420)</f>
        <v>257420</v>
      </c>
      <c r="M282" s="837">
        <f ca="1">IFERROR(__xludf.DUMMYFUNCTION("IMPORTRANGE(""https://docs.google.com/spreadsheets/d/1MeEWN-I1oV_STSDYn1IFDPWt_1FKiwhDph83XaGc0o0/edit?usp=sharing"",""งบพรบ!DN17"")"),168920)</f>
        <v>168920</v>
      </c>
      <c r="N282" s="837">
        <f ca="1">IFERROR(__xludf.DUMMYFUNCTION("IMPORTRANGE(""https://docs.google.com/spreadsheets/d/1MeEWN-I1oV_STSDYn1IFDPWt_1FKiwhDph83XaGc0o0/edit?usp=sharing"",""งบพรบ!DP17"")"),139083.14)</f>
        <v>139083.14000000001</v>
      </c>
      <c r="O282" s="837">
        <f t="shared" ca="1" si="127"/>
        <v>54.029655815398968</v>
      </c>
      <c r="P282" s="837">
        <f t="shared" ca="1" si="128"/>
        <v>82.336691925171692</v>
      </c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</row>
    <row r="283" spans="1:26" ht="18.75">
      <c r="A283" s="942"/>
      <c r="B283" s="827"/>
      <c r="C283" s="943"/>
      <c r="D283" s="828" t="s">
        <v>21</v>
      </c>
      <c r="E283" s="827"/>
      <c r="F283" s="827"/>
      <c r="G283" s="829"/>
      <c r="H283" s="168" t="s">
        <v>12</v>
      </c>
      <c r="I283" s="944"/>
      <c r="J283" s="944"/>
      <c r="K283" s="945"/>
      <c r="L283" s="831">
        <f t="shared" ref="L283:N283" ca="1" si="131">L284+L285</f>
        <v>0</v>
      </c>
      <c r="M283" s="831">
        <f t="shared" ca="1" si="131"/>
        <v>0</v>
      </c>
      <c r="N283" s="831">
        <f t="shared" ca="1" si="131"/>
        <v>0</v>
      </c>
      <c r="O283" s="831">
        <f t="shared" ca="1" si="127"/>
        <v>0</v>
      </c>
      <c r="P283" s="831">
        <f t="shared" ca="1" si="128"/>
        <v>0</v>
      </c>
      <c r="Q283" s="818"/>
      <c r="R283" s="818"/>
      <c r="S283" s="818"/>
      <c r="T283" s="818"/>
      <c r="U283" s="818"/>
      <c r="V283" s="818"/>
      <c r="W283" s="818"/>
      <c r="X283" s="818"/>
      <c r="Y283" s="818"/>
      <c r="Z283" s="818"/>
    </row>
    <row r="284" spans="1:26" ht="19.5" hidden="1">
      <c r="A284" s="940"/>
      <c r="B284" s="833"/>
      <c r="C284" s="946"/>
      <c r="D284" s="833"/>
      <c r="E284" s="834" t="s">
        <v>18</v>
      </c>
      <c r="F284" s="833"/>
      <c r="G284" s="941"/>
      <c r="H284" s="165" t="s">
        <v>12</v>
      </c>
      <c r="I284" s="947"/>
      <c r="J284" s="947"/>
      <c r="K284" s="948"/>
      <c r="L284" s="837">
        <v>0</v>
      </c>
      <c r="M284" s="837">
        <v>0</v>
      </c>
      <c r="N284" s="837">
        <v>0</v>
      </c>
      <c r="O284" s="837">
        <f t="shared" si="127"/>
        <v>0</v>
      </c>
      <c r="P284" s="837">
        <f t="shared" si="128"/>
        <v>0</v>
      </c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</row>
    <row r="285" spans="1:26" ht="19.5" hidden="1">
      <c r="A285" s="940"/>
      <c r="B285" s="833"/>
      <c r="C285" s="946"/>
      <c r="D285" s="833"/>
      <c r="E285" s="834" t="s">
        <v>19</v>
      </c>
      <c r="F285" s="833"/>
      <c r="G285" s="941"/>
      <c r="H285" s="169" t="s">
        <v>12</v>
      </c>
      <c r="I285" s="947"/>
      <c r="J285" s="947"/>
      <c r="K285" s="948"/>
      <c r="L285" s="837">
        <f ca="1">IFERROR(__xludf.DUMMYFUNCTION("IMPORTRANGE(""https://docs.google.com/spreadsheets/d/1MeEWN-I1oV_STSDYn1IFDPWt_1FKiwhDph83XaGc0o0/edit?usp=sharing"",""งบพรบ!DL17"")"),0)</f>
        <v>0</v>
      </c>
      <c r="M285" s="837">
        <f ca="1">IFERROR(__xludf.DUMMYFUNCTION("IMPORTRANGE(""https://docs.google.com/spreadsheets/d/1MeEWN-I1oV_STSDYn1IFDPWt_1FKiwhDph83XaGc0o0/edit?usp=sharing"",""งบพรบ!DO17"")"),0)</f>
        <v>0</v>
      </c>
      <c r="N285" s="837">
        <f ca="1">IFERROR(__xludf.DUMMYFUNCTION("IMPORTRANGE(""https://docs.google.com/spreadsheets/d/1MeEWN-I1oV_STSDYn1IFDPWt_1FKiwhDph83XaGc0o0/edit?usp=sharing"",""งบพรบ!DQ17"")"),0)</f>
        <v>0</v>
      </c>
      <c r="O285" s="837">
        <f t="shared" ca="1" si="127"/>
        <v>0</v>
      </c>
      <c r="P285" s="837">
        <f t="shared" ca="1" si="128"/>
        <v>0</v>
      </c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</row>
    <row r="286" spans="1:26" ht="19.5">
      <c r="A286" s="949"/>
      <c r="B286" s="950"/>
      <c r="C286" s="946" t="s">
        <v>16</v>
      </c>
      <c r="D286" s="951" t="s">
        <v>38</v>
      </c>
      <c r="E286" s="952"/>
      <c r="F286" s="952"/>
      <c r="G286" s="953"/>
      <c r="H286" s="954"/>
      <c r="I286" s="944"/>
      <c r="J286" s="944"/>
      <c r="K286" s="945"/>
      <c r="L286" s="945"/>
      <c r="M286" s="945"/>
      <c r="N286" s="945"/>
      <c r="O286" s="945"/>
      <c r="P286" s="945"/>
    </row>
    <row r="287" spans="1:26" ht="18.75">
      <c r="A287" s="949"/>
      <c r="B287" s="950"/>
      <c r="C287" s="950"/>
      <c r="D287" s="961" t="s">
        <v>129</v>
      </c>
      <c r="E287" s="950"/>
      <c r="F287" s="957"/>
      <c r="G287" s="958"/>
      <c r="H287" s="777" t="s">
        <v>46</v>
      </c>
      <c r="I287" s="830">
        <f ca="1">IFERROR(__xludf.DUMMYFUNCTION("IMPORTRANGE(""https://docs.google.com/spreadsheets/d/1QqKyyYR6Q21VydFLVH3TRQUabQu_ym0Zz7PgGX0-kHA/edit?usp=sharing"",""แผน!EC17"")"),250)</f>
        <v>250</v>
      </c>
      <c r="J287" s="959">
        <v>250</v>
      </c>
      <c r="K287" s="945">
        <f t="shared" ref="K287:K288" ca="1" si="132">IF(I287&gt;0,J287*100/I287,0)</f>
        <v>100</v>
      </c>
      <c r="L287" s="945"/>
      <c r="M287" s="945"/>
      <c r="N287" s="945"/>
      <c r="O287" s="945"/>
      <c r="P287" s="945"/>
    </row>
    <row r="288" spans="1:26" ht="19.5">
      <c r="A288" s="949"/>
      <c r="B288" s="950"/>
      <c r="C288" s="950"/>
      <c r="D288" s="961" t="s">
        <v>130</v>
      </c>
      <c r="E288" s="950"/>
      <c r="F288" s="957"/>
      <c r="G288" s="958"/>
      <c r="H288" s="180" t="s">
        <v>35</v>
      </c>
      <c r="I288" s="966">
        <f ca="1">IFERROR(__xludf.DUMMYFUNCTION("IMPORTRANGE(""https://docs.google.com/spreadsheets/d/1QqKyyYR6Q21VydFLVH3TRQUabQu_ym0Zz7PgGX0-kHA/edit?usp=sharing"",""แผน!EB17"")"),25)</f>
        <v>25</v>
      </c>
      <c r="J288" s="966">
        <f ca="1">IF(AND(J291&gt;=I288,J294&gt;=I288),J294,0)</f>
        <v>0</v>
      </c>
      <c r="K288" s="1109">
        <f t="shared" ca="1" si="132"/>
        <v>0</v>
      </c>
      <c r="L288" s="945"/>
      <c r="M288" s="945"/>
      <c r="N288" s="945"/>
      <c r="O288" s="945"/>
      <c r="P288" s="945"/>
    </row>
    <row r="289" spans="1:26" ht="19.5">
      <c r="A289" s="949"/>
      <c r="B289" s="950"/>
      <c r="C289" s="950"/>
      <c r="D289" s="1110"/>
      <c r="E289" s="1111" t="s">
        <v>131</v>
      </c>
      <c r="F289" s="957"/>
      <c r="G289" s="958"/>
      <c r="H289" s="730"/>
      <c r="I289" s="944"/>
      <c r="J289" s="830"/>
      <c r="K289" s="945"/>
      <c r="L289" s="945"/>
      <c r="M289" s="945"/>
      <c r="N289" s="945"/>
      <c r="O289" s="945"/>
      <c r="P289" s="945"/>
    </row>
    <row r="290" spans="1:26" ht="19.5">
      <c r="A290" s="949"/>
      <c r="B290" s="950"/>
      <c r="C290" s="950"/>
      <c r="D290" s="1110"/>
      <c r="E290" s="961" t="s">
        <v>132</v>
      </c>
      <c r="F290" s="957"/>
      <c r="G290" s="958"/>
      <c r="H290" s="730" t="s">
        <v>35</v>
      </c>
      <c r="I290" s="944">
        <f ca="1">IFERROR(__xludf.DUMMYFUNCTION("IMPORTRANGE(""https://docs.google.com/spreadsheets/d/1QqKyyYR6Q21VydFLVH3TRQUabQu_ym0Zz7PgGX0-kHA/edit?usp=sharing"",""แผน!EB17"")"),25)</f>
        <v>25</v>
      </c>
      <c r="J290" s="959">
        <v>25</v>
      </c>
      <c r="K290" s="945">
        <f t="shared" ref="K290:K291" ca="1" si="133">IF(I290&gt;0,J290*100/I290,0)</f>
        <v>100</v>
      </c>
      <c r="L290" s="945"/>
      <c r="M290" s="945"/>
      <c r="N290" s="945"/>
      <c r="O290" s="945"/>
      <c r="P290" s="945"/>
    </row>
    <row r="291" spans="1:26" ht="19.5">
      <c r="A291" s="949"/>
      <c r="B291" s="950"/>
      <c r="C291" s="950"/>
      <c r="D291" s="957"/>
      <c r="E291" s="961" t="s">
        <v>133</v>
      </c>
      <c r="F291" s="957"/>
      <c r="G291" s="958"/>
      <c r="H291" s="730" t="s">
        <v>35</v>
      </c>
      <c r="I291" s="944">
        <f ca="1">IFERROR(__xludf.DUMMYFUNCTION("IMPORTRANGE(""https://docs.google.com/spreadsheets/d/1QqKyyYR6Q21VydFLVH3TRQUabQu_ym0Zz7PgGX0-kHA/edit?usp=sharing"",""แผน!EB17"")"),25)</f>
        <v>25</v>
      </c>
      <c r="J291" s="959">
        <v>25</v>
      </c>
      <c r="K291" s="945">
        <f t="shared" ca="1" si="133"/>
        <v>100</v>
      </c>
      <c r="L291" s="945"/>
      <c r="M291" s="945"/>
      <c r="N291" s="945"/>
      <c r="O291" s="945"/>
      <c r="P291" s="945"/>
    </row>
    <row r="292" spans="1:26" ht="19.5">
      <c r="A292" s="1112"/>
      <c r="B292" s="1113"/>
      <c r="C292" s="1113"/>
      <c r="D292" s="1114"/>
      <c r="E292" s="1115" t="s">
        <v>134</v>
      </c>
      <c r="F292" s="1034"/>
      <c r="G292" s="1035"/>
      <c r="H292" s="387"/>
      <c r="I292" s="1028"/>
      <c r="J292" s="937"/>
      <c r="K292" s="1029"/>
      <c r="L292" s="1029"/>
      <c r="M292" s="1029"/>
      <c r="N292" s="1029"/>
      <c r="O292" s="1029"/>
      <c r="P292" s="1029"/>
    </row>
    <row r="293" spans="1:26" ht="19.5">
      <c r="A293" s="949"/>
      <c r="B293" s="950"/>
      <c r="C293" s="950"/>
      <c r="D293" s="1110"/>
      <c r="E293" s="961" t="s">
        <v>132</v>
      </c>
      <c r="F293" s="957"/>
      <c r="G293" s="958"/>
      <c r="H293" s="730" t="s">
        <v>35</v>
      </c>
      <c r="I293" s="944">
        <f ca="1">IFERROR(__xludf.DUMMYFUNCTION("IMPORTRANGE(""https://docs.google.com/spreadsheets/d/1QqKyyYR6Q21VydFLVH3TRQUabQu_ym0Zz7PgGX0-kHA/edit?usp=sharing"",""แผน!EB17"")"),25)</f>
        <v>25</v>
      </c>
      <c r="J293" s="959">
        <v>0</v>
      </c>
      <c r="K293" s="945">
        <f t="shared" ref="K293:K294" ca="1" si="134">IF(I293&gt;0,J293*100/I293,0)</f>
        <v>0</v>
      </c>
      <c r="L293" s="945"/>
      <c r="M293" s="945"/>
      <c r="N293" s="945"/>
      <c r="O293" s="945"/>
      <c r="P293" s="945"/>
    </row>
    <row r="294" spans="1:26" ht="19.5">
      <c r="A294" s="1080"/>
      <c r="B294" s="1081"/>
      <c r="C294" s="1081"/>
      <c r="D294" s="1083"/>
      <c r="E294" s="1116" t="s">
        <v>136</v>
      </c>
      <c r="F294" s="1083"/>
      <c r="G294" s="1084"/>
      <c r="H294" s="391" t="s">
        <v>35</v>
      </c>
      <c r="I294" s="1117">
        <f ca="1">IFERROR(__xludf.DUMMYFUNCTION("IMPORTRANGE(""https://docs.google.com/spreadsheets/d/1QqKyyYR6Q21VydFLVH3TRQUabQu_ym0Zz7PgGX0-kHA/edit?usp=sharing"",""แผน!EB17"")"),25)</f>
        <v>25</v>
      </c>
      <c r="J294" s="1118">
        <v>0</v>
      </c>
      <c r="K294" s="1086">
        <f t="shared" ca="1" si="134"/>
        <v>0</v>
      </c>
      <c r="L294" s="1086"/>
      <c r="M294" s="1086"/>
      <c r="N294" s="1086"/>
      <c r="O294" s="1086"/>
      <c r="P294" s="1086"/>
    </row>
    <row r="295" spans="1:26" ht="19.5">
      <c r="A295" s="1119" t="s">
        <v>137</v>
      </c>
      <c r="B295" s="1120"/>
      <c r="C295" s="1120"/>
      <c r="D295" s="1120"/>
      <c r="E295" s="1121"/>
      <c r="F295" s="1121"/>
      <c r="G295" s="1122"/>
      <c r="H295" s="1123"/>
      <c r="I295" s="1124"/>
      <c r="J295" s="1124"/>
      <c r="K295" s="1125"/>
      <c r="L295" s="1125"/>
      <c r="M295" s="1125"/>
      <c r="N295" s="1125"/>
      <c r="O295" s="1125"/>
      <c r="P295" s="1125"/>
    </row>
    <row r="296" spans="1:26" ht="19.5">
      <c r="A296" s="1126" t="s">
        <v>138</v>
      </c>
      <c r="B296" s="1127"/>
      <c r="C296" s="1127"/>
      <c r="D296" s="1128"/>
      <c r="E296" s="1128"/>
      <c r="F296" s="1128"/>
      <c r="G296" s="1129"/>
      <c r="H296" s="1130"/>
      <c r="I296" s="1131"/>
      <c r="J296" s="1131"/>
      <c r="K296" s="1132"/>
      <c r="L296" s="1132"/>
      <c r="M296" s="1132"/>
      <c r="N296" s="1132"/>
      <c r="O296" s="1132"/>
      <c r="P296" s="1132"/>
    </row>
    <row r="297" spans="1:26" ht="19.5">
      <c r="A297" s="1133"/>
      <c r="B297" s="1134" t="s">
        <v>139</v>
      </c>
      <c r="C297" s="1135"/>
      <c r="D297" s="1135"/>
      <c r="E297" s="1135"/>
      <c r="F297" s="1135"/>
      <c r="G297" s="1136"/>
      <c r="H297" s="412" t="s">
        <v>35</v>
      </c>
      <c r="I297" s="1137">
        <f t="shared" ref="I297:J297" ca="1" si="135">I309</f>
        <v>20</v>
      </c>
      <c r="J297" s="1137">
        <f t="shared" si="135"/>
        <v>20</v>
      </c>
      <c r="K297" s="1138">
        <f ca="1">IF(I297&gt;0,J297*100/I297,0)</f>
        <v>100</v>
      </c>
      <c r="L297" s="1138"/>
      <c r="M297" s="1138"/>
      <c r="N297" s="1138"/>
      <c r="O297" s="1138"/>
      <c r="P297" s="1138"/>
    </row>
    <row r="298" spans="1:26" ht="19.5">
      <c r="A298" s="932"/>
      <c r="B298" s="933"/>
      <c r="C298" s="934" t="s">
        <v>16</v>
      </c>
      <c r="D298" s="935" t="s">
        <v>17</v>
      </c>
      <c r="E298" s="933"/>
      <c r="F298" s="933"/>
      <c r="G298" s="936"/>
      <c r="H298" s="152" t="s">
        <v>12</v>
      </c>
      <c r="I298" s="937"/>
      <c r="J298" s="937"/>
      <c r="K298" s="938"/>
      <c r="L298" s="939">
        <f t="shared" ref="L298:N298" ca="1" si="136">L299+L300</f>
        <v>368400</v>
      </c>
      <c r="M298" s="939">
        <f t="shared" ca="1" si="136"/>
        <v>272400</v>
      </c>
      <c r="N298" s="939">
        <f t="shared" ca="1" si="136"/>
        <v>145545</v>
      </c>
      <c r="O298" s="939">
        <f t="shared" ref="O298:O306" ca="1" si="137">IF(L298&gt;0,N298*100/L298,0)</f>
        <v>39.507328990228011</v>
      </c>
      <c r="P298" s="939">
        <f t="shared" ref="P298:P306" ca="1" si="138">IF(M298&gt;0,N298*100/M298,0)</f>
        <v>53.430616740088105</v>
      </c>
      <c r="Q298" s="818"/>
      <c r="R298" s="818"/>
      <c r="S298" s="818"/>
      <c r="T298" s="818"/>
      <c r="U298" s="818"/>
      <c r="V298" s="818"/>
      <c r="W298" s="818"/>
      <c r="X298" s="818"/>
      <c r="Y298" s="818"/>
      <c r="Z298" s="818"/>
    </row>
    <row r="299" spans="1:26" ht="18.75" hidden="1">
      <c r="A299" s="940"/>
      <c r="B299" s="833"/>
      <c r="C299" s="833"/>
      <c r="D299" s="833"/>
      <c r="E299" s="834" t="s">
        <v>18</v>
      </c>
      <c r="F299" s="833"/>
      <c r="G299" s="941"/>
      <c r="H299" s="158" t="s">
        <v>12</v>
      </c>
      <c r="I299" s="836"/>
      <c r="J299" s="836"/>
      <c r="K299" s="837"/>
      <c r="L299" s="837">
        <f t="shared" ref="L299:N300" si="139">L302+L305</f>
        <v>0</v>
      </c>
      <c r="M299" s="837">
        <f t="shared" si="139"/>
        <v>0</v>
      </c>
      <c r="N299" s="837">
        <f t="shared" si="139"/>
        <v>0</v>
      </c>
      <c r="O299" s="837">
        <f t="shared" si="137"/>
        <v>0</v>
      </c>
      <c r="P299" s="837">
        <f t="shared" si="138"/>
        <v>0</v>
      </c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</row>
    <row r="300" spans="1:26" ht="18.75" hidden="1">
      <c r="A300" s="940"/>
      <c r="B300" s="833"/>
      <c r="C300" s="833"/>
      <c r="D300" s="833"/>
      <c r="E300" s="834" t="s">
        <v>19</v>
      </c>
      <c r="F300" s="833"/>
      <c r="G300" s="941"/>
      <c r="H300" s="158" t="s">
        <v>12</v>
      </c>
      <c r="I300" s="836"/>
      <c r="J300" s="836"/>
      <c r="K300" s="837"/>
      <c r="L300" s="837">
        <f t="shared" ca="1" si="139"/>
        <v>368400</v>
      </c>
      <c r="M300" s="837">
        <f t="shared" ca="1" si="139"/>
        <v>272400</v>
      </c>
      <c r="N300" s="837">
        <f t="shared" ca="1" si="139"/>
        <v>145545</v>
      </c>
      <c r="O300" s="837">
        <f t="shared" ca="1" si="137"/>
        <v>39.507328990228011</v>
      </c>
      <c r="P300" s="837">
        <f t="shared" ca="1" si="138"/>
        <v>53.430616740088105</v>
      </c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</row>
    <row r="301" spans="1:26" ht="18.75">
      <c r="A301" s="942"/>
      <c r="B301" s="827"/>
      <c r="C301" s="943"/>
      <c r="D301" s="828" t="s">
        <v>20</v>
      </c>
      <c r="E301" s="827"/>
      <c r="F301" s="827"/>
      <c r="G301" s="829"/>
      <c r="H301" s="778" t="s">
        <v>12</v>
      </c>
      <c r="I301" s="944"/>
      <c r="J301" s="944"/>
      <c r="K301" s="945"/>
      <c r="L301" s="831">
        <f t="shared" ref="L301:N301" ca="1" si="140">L302+L303</f>
        <v>368400</v>
      </c>
      <c r="M301" s="831">
        <f t="shared" ca="1" si="140"/>
        <v>272400</v>
      </c>
      <c r="N301" s="831">
        <f t="shared" ca="1" si="140"/>
        <v>145545</v>
      </c>
      <c r="O301" s="831">
        <f t="shared" ca="1" si="137"/>
        <v>39.507328990228011</v>
      </c>
      <c r="P301" s="831">
        <f t="shared" ca="1" si="138"/>
        <v>53.430616740088105</v>
      </c>
      <c r="Q301" s="818"/>
      <c r="R301" s="818"/>
      <c r="S301" s="818"/>
      <c r="T301" s="818"/>
      <c r="U301" s="818"/>
      <c r="V301" s="818"/>
      <c r="W301" s="818"/>
      <c r="X301" s="818"/>
      <c r="Y301" s="818"/>
      <c r="Z301" s="818"/>
    </row>
    <row r="302" spans="1:26" ht="19.5" hidden="1">
      <c r="A302" s="940"/>
      <c r="B302" s="833"/>
      <c r="C302" s="946"/>
      <c r="D302" s="833"/>
      <c r="E302" s="834" t="s">
        <v>36</v>
      </c>
      <c r="F302" s="833"/>
      <c r="G302" s="941"/>
      <c r="H302" s="165" t="s">
        <v>12</v>
      </c>
      <c r="I302" s="947"/>
      <c r="J302" s="947"/>
      <c r="K302" s="948"/>
      <c r="L302" s="837">
        <v>0</v>
      </c>
      <c r="M302" s="837">
        <v>0</v>
      </c>
      <c r="N302" s="837">
        <v>0</v>
      </c>
      <c r="O302" s="837">
        <f t="shared" si="137"/>
        <v>0</v>
      </c>
      <c r="P302" s="837">
        <f t="shared" si="138"/>
        <v>0</v>
      </c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</row>
    <row r="303" spans="1:26" ht="19.5" hidden="1">
      <c r="A303" s="940"/>
      <c r="B303" s="833"/>
      <c r="C303" s="946"/>
      <c r="D303" s="833"/>
      <c r="E303" s="834" t="s">
        <v>37</v>
      </c>
      <c r="F303" s="833"/>
      <c r="G303" s="941"/>
      <c r="H303" s="165" t="s">
        <v>12</v>
      </c>
      <c r="I303" s="947"/>
      <c r="J303" s="947"/>
      <c r="K303" s="948"/>
      <c r="L303" s="837">
        <f ca="1">IFERROR(__xludf.DUMMYFUNCTION("IMPORTRANGE(""https://docs.google.com/spreadsheets/d/1MeEWN-I1oV_STSDYn1IFDPWt_1FKiwhDph83XaGc0o0/edit?usp=sharing"",""งบพรบ!DS17"")"),368400)</f>
        <v>368400</v>
      </c>
      <c r="M303" s="837">
        <f ca="1">IFERROR(__xludf.DUMMYFUNCTION("IMPORTRANGE(""https://docs.google.com/spreadsheets/d/1MeEWN-I1oV_STSDYn1IFDPWt_1FKiwhDph83XaGc0o0/edit?usp=sharing"",""งบพรบ!DX17"")"),272400)</f>
        <v>272400</v>
      </c>
      <c r="N303" s="837">
        <f ca="1">IFERROR(__xludf.DUMMYFUNCTION("IMPORTRANGE(""https://docs.google.com/spreadsheets/d/1MeEWN-I1oV_STSDYn1IFDPWt_1FKiwhDph83XaGc0o0/edit?usp=sharing"",""งบพรบ!DZ17"")"),145545)</f>
        <v>145545</v>
      </c>
      <c r="O303" s="837">
        <f t="shared" ca="1" si="137"/>
        <v>39.507328990228011</v>
      </c>
      <c r="P303" s="837">
        <f t="shared" ca="1" si="138"/>
        <v>53.430616740088105</v>
      </c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</row>
    <row r="304" spans="1:26" ht="18.75">
      <c r="A304" s="942"/>
      <c r="B304" s="827"/>
      <c r="C304" s="943"/>
      <c r="D304" s="828" t="s">
        <v>21</v>
      </c>
      <c r="E304" s="827"/>
      <c r="F304" s="827"/>
      <c r="G304" s="829"/>
      <c r="H304" s="168" t="s">
        <v>12</v>
      </c>
      <c r="I304" s="944"/>
      <c r="J304" s="944"/>
      <c r="K304" s="945"/>
      <c r="L304" s="831">
        <f t="shared" ref="L304:N304" ca="1" si="141">L305+L306</f>
        <v>0</v>
      </c>
      <c r="M304" s="831">
        <f t="shared" ca="1" si="141"/>
        <v>0</v>
      </c>
      <c r="N304" s="831">
        <f t="shared" ca="1" si="141"/>
        <v>0</v>
      </c>
      <c r="O304" s="831">
        <f t="shared" ca="1" si="137"/>
        <v>0</v>
      </c>
      <c r="P304" s="831">
        <f t="shared" ca="1" si="138"/>
        <v>0</v>
      </c>
      <c r="Q304" s="818"/>
      <c r="R304" s="818"/>
      <c r="S304" s="818"/>
      <c r="T304" s="818"/>
      <c r="U304" s="818"/>
      <c r="V304" s="818"/>
      <c r="W304" s="818"/>
      <c r="X304" s="818"/>
      <c r="Y304" s="818"/>
      <c r="Z304" s="818"/>
    </row>
    <row r="305" spans="1:26" ht="19.5" hidden="1">
      <c r="A305" s="940"/>
      <c r="B305" s="833"/>
      <c r="C305" s="946"/>
      <c r="D305" s="833"/>
      <c r="E305" s="834" t="s">
        <v>18</v>
      </c>
      <c r="F305" s="833"/>
      <c r="G305" s="941"/>
      <c r="H305" s="165" t="s">
        <v>12</v>
      </c>
      <c r="I305" s="947"/>
      <c r="J305" s="947"/>
      <c r="K305" s="948"/>
      <c r="L305" s="837">
        <v>0</v>
      </c>
      <c r="M305" s="837">
        <v>0</v>
      </c>
      <c r="N305" s="837">
        <v>0</v>
      </c>
      <c r="O305" s="837">
        <f t="shared" si="137"/>
        <v>0</v>
      </c>
      <c r="P305" s="837">
        <f t="shared" si="138"/>
        <v>0</v>
      </c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</row>
    <row r="306" spans="1:26" ht="19.5" hidden="1">
      <c r="A306" s="940"/>
      <c r="B306" s="833"/>
      <c r="C306" s="946"/>
      <c r="D306" s="833"/>
      <c r="E306" s="834" t="s">
        <v>19</v>
      </c>
      <c r="F306" s="833"/>
      <c r="G306" s="941"/>
      <c r="H306" s="169" t="s">
        <v>12</v>
      </c>
      <c r="I306" s="947"/>
      <c r="J306" s="947"/>
      <c r="K306" s="948"/>
      <c r="L306" s="837">
        <f ca="1">IFERROR(__xludf.DUMMYFUNCTION("IMPORTRANGE(""https://docs.google.com/spreadsheets/d/1MeEWN-I1oV_STSDYn1IFDPWt_1FKiwhDph83XaGc0o0/edit?usp=sharing"",""งบพรบ!DV17"")"),0)</f>
        <v>0</v>
      </c>
      <c r="M306" s="837">
        <f ca="1">IFERROR(__xludf.DUMMYFUNCTION("IMPORTRANGE(""https://docs.google.com/spreadsheets/d/1MeEWN-I1oV_STSDYn1IFDPWt_1FKiwhDph83XaGc0o0/edit?usp=sharing"",""งบพรบ!DY17"")"),0)</f>
        <v>0</v>
      </c>
      <c r="N306" s="837">
        <f ca="1">IFERROR(__xludf.DUMMYFUNCTION("IMPORTRANGE(""https://docs.google.com/spreadsheets/d/1MeEWN-I1oV_STSDYn1IFDPWt_1FKiwhDph83XaGc0o0/edit?usp=sharing"",""งบพรบ!EA17"")"),0)</f>
        <v>0</v>
      </c>
      <c r="O306" s="837">
        <f t="shared" ca="1" si="137"/>
        <v>0</v>
      </c>
      <c r="P306" s="837">
        <f t="shared" ca="1" si="138"/>
        <v>0</v>
      </c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</row>
    <row r="307" spans="1:26" ht="19.5">
      <c r="A307" s="949"/>
      <c r="B307" s="950"/>
      <c r="C307" s="946" t="s">
        <v>16</v>
      </c>
      <c r="D307" s="951" t="s">
        <v>38</v>
      </c>
      <c r="E307" s="952"/>
      <c r="F307" s="952"/>
      <c r="G307" s="953"/>
      <c r="H307" s="954"/>
      <c r="I307" s="830"/>
      <c r="J307" s="830"/>
      <c r="K307" s="831"/>
      <c r="L307" s="831"/>
      <c r="M307" s="831"/>
      <c r="N307" s="831"/>
      <c r="O307" s="831"/>
      <c r="P307" s="831"/>
    </row>
    <row r="308" spans="1:26" ht="18.75">
      <c r="A308" s="949"/>
      <c r="B308" s="950"/>
      <c r="C308" s="950"/>
      <c r="D308" s="956" t="s">
        <v>140</v>
      </c>
      <c r="E308" s="956"/>
      <c r="F308" s="956"/>
      <c r="G308" s="958"/>
      <c r="H308" s="730"/>
      <c r="I308" s="830"/>
      <c r="J308" s="959">
        <v>1</v>
      </c>
      <c r="K308" s="831"/>
      <c r="L308" s="831"/>
      <c r="M308" s="831"/>
      <c r="N308" s="831"/>
      <c r="O308" s="831"/>
      <c r="P308" s="831"/>
    </row>
    <row r="309" spans="1:26" ht="18.75">
      <c r="A309" s="949"/>
      <c r="B309" s="950"/>
      <c r="C309" s="950"/>
      <c r="D309" s="956" t="s">
        <v>141</v>
      </c>
      <c r="E309" s="956"/>
      <c r="F309" s="956"/>
      <c r="G309" s="958"/>
      <c r="H309" s="730" t="s">
        <v>35</v>
      </c>
      <c r="I309" s="830">
        <f ca="1">IFERROR(__xludf.DUMMYFUNCTION("IMPORTRANGE(""https://docs.google.com/spreadsheets/d/1QqKyyYR6Q21VydFLVH3TRQUabQu_ym0Zz7PgGX0-kHA/edit?usp=sharing"",""แผน!ED17"")"),20)</f>
        <v>20</v>
      </c>
      <c r="J309" s="959">
        <v>20</v>
      </c>
      <c r="K309" s="831">
        <f t="shared" ref="K309:K312" ca="1" si="142">IF(I309&gt;0,J309*100/I309,0)</f>
        <v>100</v>
      </c>
      <c r="L309" s="831"/>
      <c r="M309" s="831"/>
      <c r="N309" s="831"/>
      <c r="O309" s="831"/>
      <c r="P309" s="831"/>
    </row>
    <row r="310" spans="1:26" ht="18.75">
      <c r="A310" s="949"/>
      <c r="B310" s="950"/>
      <c r="C310" s="950"/>
      <c r="D310" s="956" t="s">
        <v>142</v>
      </c>
      <c r="E310" s="956"/>
      <c r="F310" s="956"/>
      <c r="G310" s="958"/>
      <c r="H310" s="730" t="s">
        <v>35</v>
      </c>
      <c r="I310" s="830">
        <f ca="1">IFERROR(__xludf.DUMMYFUNCTION("IMPORTRANGE(""https://docs.google.com/spreadsheets/d/1QqKyyYR6Q21VydFLVH3TRQUabQu_ym0Zz7PgGX0-kHA/edit?usp=sharing"",""แผน!ED17"")"),20)</f>
        <v>20</v>
      </c>
      <c r="J310" s="959">
        <v>0</v>
      </c>
      <c r="K310" s="831">
        <f t="shared" ca="1" si="142"/>
        <v>0</v>
      </c>
      <c r="L310" s="831"/>
      <c r="M310" s="831"/>
      <c r="N310" s="831"/>
      <c r="O310" s="831"/>
      <c r="P310" s="831"/>
    </row>
    <row r="311" spans="1:26" ht="18.75">
      <c r="A311" s="949"/>
      <c r="B311" s="950"/>
      <c r="C311" s="950"/>
      <c r="D311" s="956" t="s">
        <v>59</v>
      </c>
      <c r="E311" s="956"/>
      <c r="F311" s="956"/>
      <c r="G311" s="958"/>
      <c r="H311" s="730" t="s">
        <v>35</v>
      </c>
      <c r="I311" s="830">
        <f ca="1">IFERROR(__xludf.DUMMYFUNCTION("IMPORTRANGE(""https://docs.google.com/spreadsheets/d/1QqKyyYR6Q21VydFLVH3TRQUabQu_ym0Zz7PgGX0-kHA/edit?usp=sharing"",""แผน!ED17"")"),20)</f>
        <v>20</v>
      </c>
      <c r="J311" s="959">
        <v>0</v>
      </c>
      <c r="K311" s="831">
        <f t="shared" ca="1" si="142"/>
        <v>0</v>
      </c>
      <c r="L311" s="831"/>
      <c r="M311" s="831"/>
      <c r="N311" s="831"/>
      <c r="O311" s="831"/>
      <c r="P311" s="831"/>
    </row>
    <row r="312" spans="1:26" ht="18.75">
      <c r="A312" s="949"/>
      <c r="B312" s="950"/>
      <c r="C312" s="950"/>
      <c r="D312" s="956" t="s">
        <v>143</v>
      </c>
      <c r="E312" s="956"/>
      <c r="F312" s="956"/>
      <c r="G312" s="958"/>
      <c r="H312" s="730" t="s">
        <v>35</v>
      </c>
      <c r="I312" s="830">
        <f ca="1">IFERROR(__xludf.DUMMYFUNCTION("IMPORTRANGE(""https://docs.google.com/spreadsheets/d/1QqKyyYR6Q21VydFLVH3TRQUabQu_ym0Zz7PgGX0-kHA/edit?usp=sharing"",""แผน!EE17"")"),4)</f>
        <v>4</v>
      </c>
      <c r="J312" s="959">
        <v>0</v>
      </c>
      <c r="K312" s="831">
        <f t="shared" ca="1" si="142"/>
        <v>0</v>
      </c>
      <c r="L312" s="831"/>
      <c r="M312" s="831"/>
      <c r="N312" s="831"/>
      <c r="O312" s="831"/>
      <c r="P312" s="831"/>
    </row>
    <row r="313" spans="1:26" ht="19.5" hidden="1">
      <c r="A313" s="1126" t="s">
        <v>144</v>
      </c>
      <c r="B313" s="1127"/>
      <c r="C313" s="1127"/>
      <c r="D313" s="1128"/>
      <c r="E313" s="1127"/>
      <c r="F313" s="1127"/>
      <c r="G313" s="1127"/>
      <c r="H313" s="1140"/>
      <c r="I313" s="1131"/>
      <c r="J313" s="1131"/>
      <c r="K313" s="1132"/>
      <c r="L313" s="1132"/>
      <c r="M313" s="1132"/>
      <c r="N313" s="1132"/>
      <c r="O313" s="1132"/>
      <c r="P313" s="1132"/>
    </row>
    <row r="314" spans="1:26" ht="19.5" hidden="1">
      <c r="A314" s="1141"/>
      <c r="B314" s="1134" t="s">
        <v>145</v>
      </c>
      <c r="C314" s="1142"/>
      <c r="D314" s="1143"/>
      <c r="E314" s="1135"/>
      <c r="F314" s="1135"/>
      <c r="G314" s="1136"/>
      <c r="H314" s="412" t="s">
        <v>146</v>
      </c>
      <c r="I314" s="1137">
        <f t="shared" ref="I314:J314" ca="1" si="143">I325</f>
        <v>0</v>
      </c>
      <c r="J314" s="1137">
        <f t="shared" si="143"/>
        <v>0</v>
      </c>
      <c r="K314" s="1138">
        <f ca="1">IF(I314&gt;0,J314*100/I314,0)</f>
        <v>0</v>
      </c>
      <c r="L314" s="1139"/>
      <c r="M314" s="1139"/>
      <c r="N314" s="1139"/>
      <c r="O314" s="1139"/>
      <c r="P314" s="1139"/>
    </row>
    <row r="315" spans="1:26" ht="19.5" hidden="1">
      <c r="A315" s="932"/>
      <c r="B315" s="933"/>
      <c r="C315" s="934" t="s">
        <v>16</v>
      </c>
      <c r="D315" s="935" t="s">
        <v>17</v>
      </c>
      <c r="E315" s="933"/>
      <c r="F315" s="933"/>
      <c r="G315" s="936"/>
      <c r="H315" s="152" t="s">
        <v>12</v>
      </c>
      <c r="I315" s="937"/>
      <c r="J315" s="937"/>
      <c r="K315" s="938"/>
      <c r="L315" s="939">
        <f t="shared" ref="L315:N315" ca="1" si="144">L316+L317</f>
        <v>0</v>
      </c>
      <c r="M315" s="939">
        <f t="shared" ca="1" si="144"/>
        <v>0</v>
      </c>
      <c r="N315" s="939">
        <f t="shared" ca="1" si="144"/>
        <v>0</v>
      </c>
      <c r="O315" s="939">
        <f t="shared" ref="O315:O323" ca="1" si="145">IF(L315&gt;0,N315*100/L315,0)</f>
        <v>0</v>
      </c>
      <c r="P315" s="939">
        <f t="shared" ref="P315:P323" ca="1" si="146">IF(M315&gt;0,N315*100/M315,0)</f>
        <v>0</v>
      </c>
      <c r="Q315" s="818"/>
      <c r="R315" s="818"/>
      <c r="S315" s="818"/>
      <c r="T315" s="818"/>
      <c r="U315" s="818"/>
      <c r="V315" s="818"/>
      <c r="W315" s="818"/>
      <c r="X315" s="818"/>
      <c r="Y315" s="818"/>
      <c r="Z315" s="818"/>
    </row>
    <row r="316" spans="1:26" ht="18.75" hidden="1">
      <c r="A316" s="940"/>
      <c r="B316" s="833"/>
      <c r="C316" s="833"/>
      <c r="D316" s="833"/>
      <c r="E316" s="834" t="s">
        <v>18</v>
      </c>
      <c r="F316" s="833"/>
      <c r="G316" s="941"/>
      <c r="H316" s="158" t="s">
        <v>12</v>
      </c>
      <c r="I316" s="836"/>
      <c r="J316" s="836"/>
      <c r="K316" s="837"/>
      <c r="L316" s="837">
        <f t="shared" ref="L316:N317" si="147">L319+L322</f>
        <v>0</v>
      </c>
      <c r="M316" s="837">
        <f t="shared" si="147"/>
        <v>0</v>
      </c>
      <c r="N316" s="837">
        <f t="shared" si="147"/>
        <v>0</v>
      </c>
      <c r="O316" s="837">
        <f t="shared" si="145"/>
        <v>0</v>
      </c>
      <c r="P316" s="837">
        <f t="shared" si="146"/>
        <v>0</v>
      </c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</row>
    <row r="317" spans="1:26" ht="18.75" hidden="1">
      <c r="A317" s="940"/>
      <c r="B317" s="833"/>
      <c r="C317" s="833"/>
      <c r="D317" s="833"/>
      <c r="E317" s="834" t="s">
        <v>19</v>
      </c>
      <c r="F317" s="833"/>
      <c r="G317" s="941"/>
      <c r="H317" s="158" t="s">
        <v>12</v>
      </c>
      <c r="I317" s="836"/>
      <c r="J317" s="836"/>
      <c r="K317" s="837"/>
      <c r="L317" s="837">
        <f t="shared" ca="1" si="147"/>
        <v>0</v>
      </c>
      <c r="M317" s="837">
        <f t="shared" ca="1" si="147"/>
        <v>0</v>
      </c>
      <c r="N317" s="837">
        <f t="shared" ca="1" si="147"/>
        <v>0</v>
      </c>
      <c r="O317" s="837">
        <f t="shared" ca="1" si="145"/>
        <v>0</v>
      </c>
      <c r="P317" s="837">
        <f t="shared" ca="1" si="146"/>
        <v>0</v>
      </c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</row>
    <row r="318" spans="1:26" ht="18.75" hidden="1">
      <c r="A318" s="942"/>
      <c r="B318" s="827"/>
      <c r="C318" s="943"/>
      <c r="D318" s="828" t="s">
        <v>20</v>
      </c>
      <c r="E318" s="827"/>
      <c r="F318" s="827"/>
      <c r="G318" s="829"/>
      <c r="H318" s="778" t="s">
        <v>12</v>
      </c>
      <c r="I318" s="944"/>
      <c r="J318" s="944"/>
      <c r="K318" s="945"/>
      <c r="L318" s="831">
        <f t="shared" ref="L318:N318" ca="1" si="148">L319+L320</f>
        <v>0</v>
      </c>
      <c r="M318" s="831">
        <f t="shared" ca="1" si="148"/>
        <v>0</v>
      </c>
      <c r="N318" s="831">
        <f t="shared" ca="1" si="148"/>
        <v>0</v>
      </c>
      <c r="O318" s="831">
        <f t="shared" ca="1" si="145"/>
        <v>0</v>
      </c>
      <c r="P318" s="831">
        <f t="shared" ca="1" si="146"/>
        <v>0</v>
      </c>
      <c r="Q318" s="818"/>
      <c r="R318" s="818"/>
      <c r="S318" s="818"/>
      <c r="T318" s="818"/>
      <c r="U318" s="818"/>
      <c r="V318" s="818"/>
      <c r="W318" s="818"/>
      <c r="X318" s="818"/>
      <c r="Y318" s="818"/>
      <c r="Z318" s="818"/>
    </row>
    <row r="319" spans="1:26" ht="19.5" hidden="1">
      <c r="A319" s="940"/>
      <c r="B319" s="833"/>
      <c r="C319" s="946"/>
      <c r="D319" s="833"/>
      <c r="E319" s="834" t="s">
        <v>36</v>
      </c>
      <c r="F319" s="833"/>
      <c r="G319" s="941"/>
      <c r="H319" s="165" t="s">
        <v>12</v>
      </c>
      <c r="I319" s="947"/>
      <c r="J319" s="947"/>
      <c r="K319" s="948"/>
      <c r="L319" s="837">
        <v>0</v>
      </c>
      <c r="M319" s="837">
        <v>0</v>
      </c>
      <c r="N319" s="837">
        <v>0</v>
      </c>
      <c r="O319" s="837">
        <f t="shared" si="145"/>
        <v>0</v>
      </c>
      <c r="P319" s="837">
        <f t="shared" si="146"/>
        <v>0</v>
      </c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</row>
    <row r="320" spans="1:26" ht="19.5" hidden="1">
      <c r="A320" s="940"/>
      <c r="B320" s="833"/>
      <c r="C320" s="946"/>
      <c r="D320" s="833"/>
      <c r="E320" s="834" t="s">
        <v>37</v>
      </c>
      <c r="F320" s="833"/>
      <c r="G320" s="941"/>
      <c r="H320" s="165" t="s">
        <v>12</v>
      </c>
      <c r="I320" s="947"/>
      <c r="J320" s="947"/>
      <c r="K320" s="948"/>
      <c r="L320" s="837">
        <f ca="1">IFERROR(__xludf.DUMMYFUNCTION("IMPORTRANGE(""https://docs.google.com/spreadsheets/d/1MeEWN-I1oV_STSDYn1IFDPWt_1FKiwhDph83XaGc0o0/edit?usp=sharing"",""งบพรบ!EC17"")"),0)</f>
        <v>0</v>
      </c>
      <c r="M320" s="837">
        <f ca="1">IFERROR(__xludf.DUMMYFUNCTION("IMPORTRANGE(""https://docs.google.com/spreadsheets/d/1MeEWN-I1oV_STSDYn1IFDPWt_1FKiwhDph83XaGc0o0/edit?usp=sharing"",""งบพรบ!EH17"")"),0)</f>
        <v>0</v>
      </c>
      <c r="N320" s="837">
        <f ca="1">IFERROR(__xludf.DUMMYFUNCTION("IMPORTRANGE(""https://docs.google.com/spreadsheets/d/1MeEWN-I1oV_STSDYn1IFDPWt_1FKiwhDph83XaGc0o0/edit?usp=sharing"",""งบพรบ!EJ17"")"),0)</f>
        <v>0</v>
      </c>
      <c r="O320" s="837">
        <f t="shared" ca="1" si="145"/>
        <v>0</v>
      </c>
      <c r="P320" s="837">
        <f t="shared" ca="1" si="146"/>
        <v>0</v>
      </c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</row>
    <row r="321" spans="1:26" ht="18.75" hidden="1">
      <c r="A321" s="942"/>
      <c r="B321" s="827"/>
      <c r="C321" s="943"/>
      <c r="D321" s="828" t="s">
        <v>21</v>
      </c>
      <c r="E321" s="827"/>
      <c r="F321" s="827"/>
      <c r="G321" s="829"/>
      <c r="H321" s="168" t="s">
        <v>12</v>
      </c>
      <c r="I321" s="944"/>
      <c r="J321" s="944"/>
      <c r="K321" s="945"/>
      <c r="L321" s="831">
        <f t="shared" ref="L321:N321" ca="1" si="149">L322+L323</f>
        <v>0</v>
      </c>
      <c r="M321" s="831">
        <f t="shared" ca="1" si="149"/>
        <v>0</v>
      </c>
      <c r="N321" s="831">
        <f t="shared" ca="1" si="149"/>
        <v>0</v>
      </c>
      <c r="O321" s="831">
        <f t="shared" ca="1" si="145"/>
        <v>0</v>
      </c>
      <c r="P321" s="831">
        <f t="shared" ca="1" si="146"/>
        <v>0</v>
      </c>
      <c r="Q321" s="818"/>
      <c r="R321" s="818"/>
      <c r="S321" s="818"/>
      <c r="T321" s="818"/>
      <c r="U321" s="818"/>
      <c r="V321" s="818"/>
      <c r="W321" s="818"/>
      <c r="X321" s="818"/>
      <c r="Y321" s="818"/>
      <c r="Z321" s="818"/>
    </row>
    <row r="322" spans="1:26" ht="19.5" hidden="1">
      <c r="A322" s="940"/>
      <c r="B322" s="833"/>
      <c r="C322" s="946"/>
      <c r="D322" s="833"/>
      <c r="E322" s="834" t="s">
        <v>18</v>
      </c>
      <c r="F322" s="833"/>
      <c r="G322" s="941"/>
      <c r="H322" s="165" t="s">
        <v>12</v>
      </c>
      <c r="I322" s="947"/>
      <c r="J322" s="947"/>
      <c r="K322" s="948"/>
      <c r="L322" s="837">
        <v>0</v>
      </c>
      <c r="M322" s="837">
        <v>0</v>
      </c>
      <c r="N322" s="837">
        <v>0</v>
      </c>
      <c r="O322" s="837">
        <f t="shared" si="145"/>
        <v>0</v>
      </c>
      <c r="P322" s="837">
        <f t="shared" si="146"/>
        <v>0</v>
      </c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</row>
    <row r="323" spans="1:26" ht="19.5" hidden="1">
      <c r="A323" s="940"/>
      <c r="B323" s="833"/>
      <c r="C323" s="946"/>
      <c r="D323" s="833"/>
      <c r="E323" s="834" t="s">
        <v>19</v>
      </c>
      <c r="F323" s="833"/>
      <c r="G323" s="941"/>
      <c r="H323" s="169" t="s">
        <v>12</v>
      </c>
      <c r="I323" s="947"/>
      <c r="J323" s="947"/>
      <c r="K323" s="948"/>
      <c r="L323" s="837">
        <f ca="1">IFERROR(__xludf.DUMMYFUNCTION("IMPORTRANGE(""https://docs.google.com/spreadsheets/d/1MeEWN-I1oV_STSDYn1IFDPWt_1FKiwhDph83XaGc0o0/edit?usp=sharing"",""งบพรบ!EF17"")"),0)</f>
        <v>0</v>
      </c>
      <c r="M323" s="837">
        <f ca="1">IFERROR(__xludf.DUMMYFUNCTION("IMPORTRANGE(""https://docs.google.com/spreadsheets/d/1MeEWN-I1oV_STSDYn1IFDPWt_1FKiwhDph83XaGc0o0/edit?usp=sharing"",""งบพรบ!EI17"")"),0)</f>
        <v>0</v>
      </c>
      <c r="N323" s="837">
        <f ca="1">IFERROR(__xludf.DUMMYFUNCTION("IMPORTRANGE(""https://docs.google.com/spreadsheets/d/1MeEWN-I1oV_STSDYn1IFDPWt_1FKiwhDph83XaGc0o0/edit?usp=sharing"",""งบพรบ!EK17"")"),0)</f>
        <v>0</v>
      </c>
      <c r="O323" s="837">
        <f t="shared" ca="1" si="145"/>
        <v>0</v>
      </c>
      <c r="P323" s="837">
        <f t="shared" ca="1" si="146"/>
        <v>0</v>
      </c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</row>
    <row r="324" spans="1:26" ht="19.5" hidden="1">
      <c r="A324" s="949"/>
      <c r="B324" s="950"/>
      <c r="C324" s="946" t="s">
        <v>16</v>
      </c>
      <c r="D324" s="951" t="s">
        <v>38</v>
      </c>
      <c r="E324" s="952"/>
      <c r="F324" s="952"/>
      <c r="G324" s="953"/>
      <c r="H324" s="954"/>
      <c r="I324" s="944"/>
      <c r="J324" s="830"/>
      <c r="K324" s="831"/>
      <c r="L324" s="831"/>
      <c r="M324" s="831"/>
      <c r="N324" s="831"/>
      <c r="O324" s="945"/>
      <c r="P324" s="945"/>
    </row>
    <row r="325" spans="1:26" ht="18.75" hidden="1">
      <c r="A325" s="949"/>
      <c r="B325" s="950"/>
      <c r="C325" s="950"/>
      <c r="D325" s="955" t="s">
        <v>147</v>
      </c>
      <c r="E325" s="957"/>
      <c r="F325" s="956"/>
      <c r="G325" s="958"/>
      <c r="H325" s="590" t="s">
        <v>146</v>
      </c>
      <c r="I325" s="830">
        <f ca="1">IFERROR(__xludf.DUMMYFUNCTION("IMPORTRANGE(""https://docs.google.com/spreadsheets/d/1QqKyyYR6Q21VydFLVH3TRQUabQu_ym0Zz7PgGX0-kHA/edit?usp=sharing"",""แผน!EF17"")"),0)</f>
        <v>0</v>
      </c>
      <c r="J325" s="959">
        <v>0</v>
      </c>
      <c r="K325" s="831">
        <f ca="1">IF(I325&gt;0,J325*100/I325,0)</f>
        <v>0</v>
      </c>
      <c r="L325" s="831"/>
      <c r="M325" s="831"/>
      <c r="N325" s="831"/>
      <c r="O325" s="945"/>
      <c r="P325" s="945"/>
    </row>
    <row r="326" spans="1:26" ht="19.5">
      <c r="A326" s="1126" t="s">
        <v>148</v>
      </c>
      <c r="B326" s="1127"/>
      <c r="C326" s="1127"/>
      <c r="D326" s="1128"/>
      <c r="E326" s="1127"/>
      <c r="F326" s="1127"/>
      <c r="G326" s="1127"/>
      <c r="H326" s="1140"/>
      <c r="I326" s="1131"/>
      <c r="J326" s="1131"/>
      <c r="K326" s="1132"/>
      <c r="L326" s="1132"/>
      <c r="M326" s="1132"/>
      <c r="N326" s="1132"/>
      <c r="O326" s="1132"/>
      <c r="P326" s="1132"/>
    </row>
    <row r="327" spans="1:26" ht="19.5">
      <c r="A327" s="1133"/>
      <c r="B327" s="1134" t="s">
        <v>149</v>
      </c>
      <c r="C327" s="1143"/>
      <c r="D327" s="1135"/>
      <c r="E327" s="1135"/>
      <c r="F327" s="1135"/>
      <c r="G327" s="1136"/>
      <c r="H327" s="412" t="s">
        <v>35</v>
      </c>
      <c r="I327" s="1137">
        <f ca="1">IFERROR(__xludf.DUMMYFUNCTION("IMPORTRANGE(""https://docs.google.com/spreadsheets/d/1QqKyyYR6Q21VydFLVH3TRQUabQu_ym0Zz7PgGX0-kHA/edit?usp=sharing"",""แผน!EG17"")"),900)</f>
        <v>900</v>
      </c>
      <c r="J327" s="1137">
        <f ca="1">J338+J341+J342+J343</f>
        <v>1043</v>
      </c>
      <c r="K327" s="1138">
        <f ca="1">IF(I327&gt;0,J327*100/I327,0)</f>
        <v>115.88888888888889</v>
      </c>
      <c r="L327" s="1138"/>
      <c r="M327" s="1138"/>
      <c r="N327" s="1138"/>
      <c r="O327" s="1138"/>
      <c r="P327" s="1138"/>
    </row>
    <row r="328" spans="1:26" ht="19.5">
      <c r="A328" s="932"/>
      <c r="B328" s="933"/>
      <c r="C328" s="934" t="s">
        <v>16</v>
      </c>
      <c r="D328" s="935" t="s">
        <v>17</v>
      </c>
      <c r="E328" s="933"/>
      <c r="F328" s="933"/>
      <c r="G328" s="936"/>
      <c r="H328" s="152" t="s">
        <v>12</v>
      </c>
      <c r="I328" s="937"/>
      <c r="J328" s="937"/>
      <c r="K328" s="938"/>
      <c r="L328" s="939">
        <f t="shared" ref="L328:N328" ca="1" si="150">L329+L330</f>
        <v>165000</v>
      </c>
      <c r="M328" s="939">
        <f t="shared" ca="1" si="150"/>
        <v>126250</v>
      </c>
      <c r="N328" s="939">
        <f t="shared" ca="1" si="150"/>
        <v>69740</v>
      </c>
      <c r="O328" s="939">
        <f t="shared" ref="O328:O336" ca="1" si="151">IF(L328&gt;0,N328*100/L328,0)</f>
        <v>42.266666666666666</v>
      </c>
      <c r="P328" s="939">
        <f t="shared" ref="P328:P336" ca="1" si="152">IF(M328&gt;0,N328*100/M328,0)</f>
        <v>55.239603960396039</v>
      </c>
      <c r="Q328" s="818"/>
      <c r="R328" s="818"/>
      <c r="S328" s="818"/>
      <c r="T328" s="818"/>
      <c r="U328" s="818"/>
      <c r="V328" s="818"/>
      <c r="W328" s="818"/>
      <c r="X328" s="818"/>
      <c r="Y328" s="818"/>
      <c r="Z328" s="818"/>
    </row>
    <row r="329" spans="1:26" ht="18.75" hidden="1">
      <c r="A329" s="940"/>
      <c r="B329" s="833"/>
      <c r="C329" s="833"/>
      <c r="D329" s="833"/>
      <c r="E329" s="834" t="s">
        <v>18</v>
      </c>
      <c r="F329" s="833"/>
      <c r="G329" s="941"/>
      <c r="H329" s="158" t="s">
        <v>12</v>
      </c>
      <c r="I329" s="836"/>
      <c r="J329" s="836"/>
      <c r="K329" s="837"/>
      <c r="L329" s="837">
        <f t="shared" ref="L329:N330" si="153">L332+L335</f>
        <v>0</v>
      </c>
      <c r="M329" s="837">
        <f t="shared" si="153"/>
        <v>0</v>
      </c>
      <c r="N329" s="837">
        <f t="shared" si="153"/>
        <v>0</v>
      </c>
      <c r="O329" s="837">
        <f t="shared" si="151"/>
        <v>0</v>
      </c>
      <c r="P329" s="837">
        <f t="shared" si="152"/>
        <v>0</v>
      </c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</row>
    <row r="330" spans="1:26" ht="18.75" hidden="1">
      <c r="A330" s="940"/>
      <c r="B330" s="833"/>
      <c r="C330" s="833"/>
      <c r="D330" s="833"/>
      <c r="E330" s="834" t="s">
        <v>19</v>
      </c>
      <c r="F330" s="833"/>
      <c r="G330" s="941"/>
      <c r="H330" s="158" t="s">
        <v>12</v>
      </c>
      <c r="I330" s="836"/>
      <c r="J330" s="836"/>
      <c r="K330" s="837"/>
      <c r="L330" s="837">
        <f t="shared" ca="1" si="153"/>
        <v>165000</v>
      </c>
      <c r="M330" s="837">
        <f t="shared" ca="1" si="153"/>
        <v>126250</v>
      </c>
      <c r="N330" s="837">
        <f t="shared" ca="1" si="153"/>
        <v>69740</v>
      </c>
      <c r="O330" s="837">
        <f t="shared" ca="1" si="151"/>
        <v>42.266666666666666</v>
      </c>
      <c r="P330" s="837">
        <f t="shared" ca="1" si="152"/>
        <v>55.239603960396039</v>
      </c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</row>
    <row r="331" spans="1:26" ht="18.75">
      <c r="A331" s="942"/>
      <c r="B331" s="827"/>
      <c r="C331" s="943"/>
      <c r="D331" s="828" t="s">
        <v>20</v>
      </c>
      <c r="E331" s="827"/>
      <c r="F331" s="827"/>
      <c r="G331" s="829"/>
      <c r="H331" s="778" t="s">
        <v>12</v>
      </c>
      <c r="I331" s="944"/>
      <c r="J331" s="944"/>
      <c r="K331" s="945"/>
      <c r="L331" s="831">
        <f t="shared" ref="L331:N331" ca="1" si="154">L332+L333</f>
        <v>165000</v>
      </c>
      <c r="M331" s="831">
        <f t="shared" ca="1" si="154"/>
        <v>126250</v>
      </c>
      <c r="N331" s="831">
        <f t="shared" ca="1" si="154"/>
        <v>69740</v>
      </c>
      <c r="O331" s="831">
        <f t="shared" ca="1" si="151"/>
        <v>42.266666666666666</v>
      </c>
      <c r="P331" s="831">
        <f t="shared" ca="1" si="152"/>
        <v>55.239603960396039</v>
      </c>
      <c r="Q331" s="818"/>
      <c r="R331" s="818"/>
      <c r="S331" s="818"/>
      <c r="T331" s="818"/>
      <c r="U331" s="818"/>
      <c r="V331" s="818"/>
      <c r="W331" s="818"/>
      <c r="X331" s="818"/>
      <c r="Y331" s="818"/>
      <c r="Z331" s="818"/>
    </row>
    <row r="332" spans="1:26" ht="19.5" hidden="1">
      <c r="A332" s="940"/>
      <c r="B332" s="833"/>
      <c r="C332" s="946"/>
      <c r="D332" s="833"/>
      <c r="E332" s="834" t="s">
        <v>36</v>
      </c>
      <c r="F332" s="833"/>
      <c r="G332" s="941"/>
      <c r="H332" s="165" t="s">
        <v>12</v>
      </c>
      <c r="I332" s="947"/>
      <c r="J332" s="947"/>
      <c r="K332" s="948"/>
      <c r="L332" s="837">
        <v>0</v>
      </c>
      <c r="M332" s="837">
        <v>0</v>
      </c>
      <c r="N332" s="837">
        <v>0</v>
      </c>
      <c r="O332" s="837">
        <f t="shared" si="151"/>
        <v>0</v>
      </c>
      <c r="P332" s="837">
        <f t="shared" si="152"/>
        <v>0</v>
      </c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</row>
    <row r="333" spans="1:26" ht="19.5" hidden="1">
      <c r="A333" s="940"/>
      <c r="B333" s="833"/>
      <c r="C333" s="946"/>
      <c r="D333" s="833"/>
      <c r="E333" s="834" t="s">
        <v>37</v>
      </c>
      <c r="F333" s="833"/>
      <c r="G333" s="941"/>
      <c r="H333" s="165" t="s">
        <v>12</v>
      </c>
      <c r="I333" s="947"/>
      <c r="J333" s="947"/>
      <c r="K333" s="948"/>
      <c r="L333" s="837">
        <f ca="1">IFERROR(__xludf.DUMMYFUNCTION("IMPORTRANGE(""https://docs.google.com/spreadsheets/d/1MeEWN-I1oV_STSDYn1IFDPWt_1FKiwhDph83XaGc0o0/edit?usp=sharing"",""งบพรบ!EM17"")"),165000)</f>
        <v>165000</v>
      </c>
      <c r="M333" s="837">
        <f ca="1">IFERROR(__xludf.DUMMYFUNCTION("IMPORTRANGE(""https://docs.google.com/spreadsheets/d/1MeEWN-I1oV_STSDYn1IFDPWt_1FKiwhDph83XaGc0o0/edit?usp=sharing"",""งบพรบ!ER17"")"),126250)</f>
        <v>126250</v>
      </c>
      <c r="N333" s="837">
        <f ca="1">IFERROR(__xludf.DUMMYFUNCTION("IMPORTRANGE(""https://docs.google.com/spreadsheets/d/1MeEWN-I1oV_STSDYn1IFDPWt_1FKiwhDph83XaGc0o0/edit?usp=sharing"",""งบพรบ!ET17"")"),69740)</f>
        <v>69740</v>
      </c>
      <c r="O333" s="837">
        <f t="shared" ca="1" si="151"/>
        <v>42.266666666666666</v>
      </c>
      <c r="P333" s="837">
        <f t="shared" ca="1" si="152"/>
        <v>55.239603960396039</v>
      </c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</row>
    <row r="334" spans="1:26" ht="18.75">
      <c r="A334" s="942"/>
      <c r="B334" s="827"/>
      <c r="C334" s="943"/>
      <c r="D334" s="828" t="s">
        <v>21</v>
      </c>
      <c r="E334" s="827"/>
      <c r="F334" s="827"/>
      <c r="G334" s="829"/>
      <c r="H334" s="168" t="s">
        <v>12</v>
      </c>
      <c r="I334" s="944"/>
      <c r="J334" s="944"/>
      <c r="K334" s="945"/>
      <c r="L334" s="831">
        <f t="shared" ref="L334:N334" ca="1" si="155">L335+L336</f>
        <v>0</v>
      </c>
      <c r="M334" s="831">
        <f t="shared" ca="1" si="155"/>
        <v>0</v>
      </c>
      <c r="N334" s="831">
        <f t="shared" ca="1" si="155"/>
        <v>0</v>
      </c>
      <c r="O334" s="831">
        <f t="shared" ca="1" si="151"/>
        <v>0</v>
      </c>
      <c r="P334" s="831">
        <f t="shared" ca="1" si="152"/>
        <v>0</v>
      </c>
      <c r="Q334" s="818"/>
      <c r="R334" s="818"/>
      <c r="S334" s="818"/>
      <c r="T334" s="818"/>
      <c r="U334" s="818"/>
      <c r="V334" s="818"/>
      <c r="W334" s="818"/>
      <c r="X334" s="818"/>
      <c r="Y334" s="818"/>
      <c r="Z334" s="818"/>
    </row>
    <row r="335" spans="1:26" ht="19.5" hidden="1">
      <c r="A335" s="940"/>
      <c r="B335" s="833"/>
      <c r="C335" s="946"/>
      <c r="D335" s="833"/>
      <c r="E335" s="834" t="s">
        <v>18</v>
      </c>
      <c r="F335" s="833"/>
      <c r="G335" s="941"/>
      <c r="H335" s="165" t="s">
        <v>12</v>
      </c>
      <c r="I335" s="947"/>
      <c r="J335" s="947"/>
      <c r="K335" s="948"/>
      <c r="L335" s="837">
        <v>0</v>
      </c>
      <c r="M335" s="837">
        <v>0</v>
      </c>
      <c r="N335" s="837">
        <v>0</v>
      </c>
      <c r="O335" s="837">
        <f t="shared" si="151"/>
        <v>0</v>
      </c>
      <c r="P335" s="837">
        <f t="shared" si="152"/>
        <v>0</v>
      </c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</row>
    <row r="336" spans="1:26" ht="19.5" hidden="1">
      <c r="A336" s="940"/>
      <c r="B336" s="833"/>
      <c r="C336" s="946"/>
      <c r="D336" s="833"/>
      <c r="E336" s="834" t="s">
        <v>19</v>
      </c>
      <c r="F336" s="833"/>
      <c r="G336" s="941"/>
      <c r="H336" s="169" t="s">
        <v>12</v>
      </c>
      <c r="I336" s="947"/>
      <c r="J336" s="947"/>
      <c r="K336" s="948"/>
      <c r="L336" s="837">
        <f ca="1">IFERROR(__xludf.DUMMYFUNCTION("IMPORTRANGE(""https://docs.google.com/spreadsheets/d/1MeEWN-I1oV_STSDYn1IFDPWt_1FKiwhDph83XaGc0o0/edit?usp=sharing"",""งบพรบ!EP17"")"),0)</f>
        <v>0</v>
      </c>
      <c r="M336" s="837">
        <f ca="1">IFERROR(__xludf.DUMMYFUNCTION("IMPORTRANGE(""https://docs.google.com/spreadsheets/d/1MeEWN-I1oV_STSDYn1IFDPWt_1FKiwhDph83XaGc0o0/edit?usp=sharing"",""งบพรบ!ES17"")"),0)</f>
        <v>0</v>
      </c>
      <c r="N336" s="837">
        <f ca="1">IFERROR(__xludf.DUMMYFUNCTION("IMPORTRANGE(""https://docs.google.com/spreadsheets/d/1MeEWN-I1oV_STSDYn1IFDPWt_1FKiwhDph83XaGc0o0/edit?usp=sharing"",""งบพรบ!EU17"")"),0)</f>
        <v>0</v>
      </c>
      <c r="O336" s="837">
        <f t="shared" ca="1" si="151"/>
        <v>0</v>
      </c>
      <c r="P336" s="837">
        <f t="shared" ca="1" si="152"/>
        <v>0</v>
      </c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</row>
    <row r="337" spans="1:26" ht="19.5">
      <c r="A337" s="949"/>
      <c r="B337" s="950"/>
      <c r="C337" s="946" t="s">
        <v>16</v>
      </c>
      <c r="D337" s="951" t="s">
        <v>38</v>
      </c>
      <c r="E337" s="952"/>
      <c r="F337" s="952"/>
      <c r="G337" s="953"/>
      <c r="H337" s="954"/>
      <c r="I337" s="944"/>
      <c r="J337" s="830"/>
      <c r="K337" s="831"/>
      <c r="L337" s="831"/>
      <c r="M337" s="831"/>
      <c r="N337" s="831"/>
      <c r="O337" s="945"/>
      <c r="P337" s="945"/>
    </row>
    <row r="338" spans="1:26" ht="18.75">
      <c r="A338" s="1032"/>
      <c r="B338" s="827"/>
      <c r="C338" s="1030"/>
      <c r="D338" s="956" t="s">
        <v>150</v>
      </c>
      <c r="E338" s="950"/>
      <c r="F338" s="827"/>
      <c r="G338" s="829"/>
      <c r="H338" s="277" t="s">
        <v>35</v>
      </c>
      <c r="I338" s="830">
        <f ca="1">IFERROR(__xludf.DUMMYFUNCTION("IMPORTRANGE(""https://docs.google.com/spreadsheets/d/1QqKyyYR6Q21VydFLVH3TRQUabQu_ym0Zz7PgGX0-kHA/edit?usp=sharing"",""แผน!EG17"")"),900)</f>
        <v>900</v>
      </c>
      <c r="J338" s="830">
        <f ca="1">IFERROR(__xludf.DUMMYFUNCTION("IMPORTRANGE(""https://docs.google.com/spreadsheets/d/1kVcqe37tkHyjCSG3S0O1AXqVkqjo8mSIZil3BcpIysc/edit?usp=sharing"",""ศูนย์!D17"")"),650)</f>
        <v>650</v>
      </c>
      <c r="K338" s="831">
        <f ca="1">IF(I338&gt;0,J338*100/I338,0)</f>
        <v>72.222222222222229</v>
      </c>
      <c r="L338" s="831"/>
      <c r="M338" s="831"/>
      <c r="N338" s="831"/>
      <c r="O338" s="831"/>
      <c r="P338" s="831"/>
    </row>
    <row r="339" spans="1:26" ht="18.75">
      <c r="A339" s="1032"/>
      <c r="B339" s="827"/>
      <c r="C339" s="1030"/>
      <c r="D339" s="956" t="s">
        <v>151</v>
      </c>
      <c r="E339" s="950"/>
      <c r="F339" s="827"/>
      <c r="G339" s="829"/>
      <c r="H339" s="277"/>
      <c r="I339" s="830"/>
      <c r="J339" s="830"/>
      <c r="K339" s="831"/>
      <c r="L339" s="831"/>
      <c r="M339" s="831"/>
      <c r="N339" s="831"/>
      <c r="O339" s="831"/>
      <c r="P339" s="831"/>
    </row>
    <row r="340" spans="1:26" ht="18.75">
      <c r="A340" s="1032"/>
      <c r="B340" s="827"/>
      <c r="C340" s="1030"/>
      <c r="D340" s="957"/>
      <c r="E340" s="956" t="s">
        <v>152</v>
      </c>
      <c r="F340" s="827"/>
      <c r="G340" s="829"/>
      <c r="H340" s="277" t="s">
        <v>153</v>
      </c>
      <c r="I340" s="830">
        <f ca="1">IFERROR(__xludf.DUMMYFUNCTION("IMPORTRANGE(""https://docs.google.com/spreadsheets/d/1QqKyyYR6Q21VydFLVH3TRQUabQu_ym0Zz7PgGX0-kHA/edit?usp=sharing"",""แผน!EH17"")"),6)</f>
        <v>6</v>
      </c>
      <c r="J340" s="830">
        <f ca="1">IFERROR(__xludf.DUMMYFUNCTION("IMPORTRANGE(""https://docs.google.com/spreadsheets/d/1kVcqe37tkHyjCSG3S0O1AXqVkqjo8mSIZil3BcpIysc/edit?usp=sharing"",""ศูนย์!E17"")"),4)</f>
        <v>4</v>
      </c>
      <c r="K340" s="831">
        <f ca="1">IF(I340&gt;0,J340*100/I340,0)</f>
        <v>66.666666666666671</v>
      </c>
      <c r="L340" s="831"/>
      <c r="M340" s="831"/>
      <c r="N340" s="831"/>
      <c r="O340" s="831"/>
      <c r="P340" s="831"/>
    </row>
    <row r="341" spans="1:26" ht="18.75">
      <c r="A341" s="1032"/>
      <c r="B341" s="827"/>
      <c r="C341" s="1030"/>
      <c r="D341" s="957"/>
      <c r="E341" s="956" t="s">
        <v>154</v>
      </c>
      <c r="F341" s="827"/>
      <c r="G341" s="829"/>
      <c r="H341" s="277" t="s">
        <v>35</v>
      </c>
      <c r="I341" s="830"/>
      <c r="J341" s="830">
        <f ca="1">IFERROR(__xludf.DUMMYFUNCTION("IMPORTRANGE(""https://docs.google.com/spreadsheets/d/1kVcqe37tkHyjCSG3S0O1AXqVkqjo8mSIZil3BcpIysc/edit?usp=sharing"",""ศูนย์!F17"")"),393)</f>
        <v>393</v>
      </c>
      <c r="K341" s="831"/>
      <c r="L341" s="831"/>
      <c r="M341" s="831"/>
      <c r="N341" s="831"/>
      <c r="O341" s="831"/>
      <c r="P341" s="831"/>
    </row>
    <row r="342" spans="1:26" ht="18.75">
      <c r="A342" s="1032"/>
      <c r="B342" s="827"/>
      <c r="C342" s="1030"/>
      <c r="D342" s="956" t="s">
        <v>155</v>
      </c>
      <c r="E342" s="957"/>
      <c r="F342" s="957"/>
      <c r="G342" s="829"/>
      <c r="H342" s="277" t="s">
        <v>35</v>
      </c>
      <c r="I342" s="830"/>
      <c r="J342" s="830">
        <f ca="1">IFERROR(__xludf.DUMMYFUNCTION("IMPORTRANGE(""https://docs.google.com/spreadsheets/d/1kVcqe37tkHyjCSG3S0O1AXqVkqjo8mSIZil3BcpIysc/edit?usp=sharing"",""ศูนย์!G17"")"),0)</f>
        <v>0</v>
      </c>
      <c r="K342" s="831"/>
      <c r="L342" s="831"/>
      <c r="M342" s="831"/>
      <c r="N342" s="831"/>
      <c r="O342" s="831"/>
      <c r="P342" s="831"/>
    </row>
    <row r="343" spans="1:26" ht="18.75">
      <c r="A343" s="1032"/>
      <c r="B343" s="827"/>
      <c r="C343" s="1030"/>
      <c r="D343" s="956" t="s">
        <v>156</v>
      </c>
      <c r="E343" s="957"/>
      <c r="F343" s="957"/>
      <c r="G343" s="829"/>
      <c r="H343" s="277" t="s">
        <v>35</v>
      </c>
      <c r="I343" s="830"/>
      <c r="J343" s="830">
        <f ca="1">IFERROR(__xludf.DUMMYFUNCTION("IMPORTRANGE(""https://docs.google.com/spreadsheets/d/1kVcqe37tkHyjCSG3S0O1AXqVkqjo8mSIZil3BcpIysc/edit?usp=sharing"",""ศูนย์!H17"")"),0)</f>
        <v>0</v>
      </c>
      <c r="K343" s="831"/>
      <c r="L343" s="831"/>
      <c r="M343" s="831"/>
      <c r="N343" s="831"/>
      <c r="O343" s="831"/>
      <c r="P343" s="831"/>
    </row>
    <row r="344" spans="1:26" ht="19.5">
      <c r="A344" s="1133"/>
      <c r="B344" s="1134" t="s">
        <v>157</v>
      </c>
      <c r="C344" s="1143"/>
      <c r="D344" s="1135"/>
      <c r="E344" s="1135"/>
      <c r="F344" s="1135"/>
      <c r="G344" s="1136"/>
      <c r="H344" s="412"/>
      <c r="I344" s="1144"/>
      <c r="J344" s="1144"/>
      <c r="K344" s="1139"/>
      <c r="L344" s="1138"/>
      <c r="M344" s="1138"/>
      <c r="N344" s="1138"/>
      <c r="O344" s="1138"/>
      <c r="P344" s="1138"/>
    </row>
    <row r="345" spans="1:26" ht="19.5">
      <c r="A345" s="932"/>
      <c r="B345" s="933"/>
      <c r="C345" s="934" t="s">
        <v>16</v>
      </c>
      <c r="D345" s="935" t="s">
        <v>17</v>
      </c>
      <c r="E345" s="933"/>
      <c r="F345" s="933"/>
      <c r="G345" s="936"/>
      <c r="H345" s="152" t="s">
        <v>12</v>
      </c>
      <c r="I345" s="937"/>
      <c r="J345" s="937"/>
      <c r="K345" s="938"/>
      <c r="L345" s="939">
        <f t="shared" ref="L345:N345" ca="1" si="156">L346+L347</f>
        <v>768200</v>
      </c>
      <c r="M345" s="939">
        <f t="shared" ca="1" si="156"/>
        <v>627780</v>
      </c>
      <c r="N345" s="939">
        <f t="shared" ca="1" si="156"/>
        <v>347564</v>
      </c>
      <c r="O345" s="939">
        <f t="shared" ref="O345:O353" ca="1" si="157">IF(L345&gt;0,N345*100/L345,0)</f>
        <v>45.243946888831033</v>
      </c>
      <c r="P345" s="939">
        <f t="shared" ref="P345:P353" ca="1" si="158">IF(M345&gt;0,N345*100/M345,0)</f>
        <v>55.363981012456591</v>
      </c>
      <c r="Q345" s="818"/>
      <c r="R345" s="818"/>
      <c r="S345" s="818"/>
      <c r="T345" s="818"/>
      <c r="U345" s="818"/>
      <c r="V345" s="818"/>
      <c r="W345" s="818"/>
      <c r="X345" s="818"/>
      <c r="Y345" s="818"/>
      <c r="Z345" s="818"/>
    </row>
    <row r="346" spans="1:26" ht="18.75" hidden="1">
      <c r="A346" s="940"/>
      <c r="B346" s="833"/>
      <c r="C346" s="833"/>
      <c r="D346" s="833"/>
      <c r="E346" s="834" t="s">
        <v>18</v>
      </c>
      <c r="F346" s="833"/>
      <c r="G346" s="941"/>
      <c r="H346" s="158" t="s">
        <v>12</v>
      </c>
      <c r="I346" s="836"/>
      <c r="J346" s="836"/>
      <c r="K346" s="837"/>
      <c r="L346" s="837">
        <f t="shared" ref="L346:N347" si="159">L349+L352</f>
        <v>0</v>
      </c>
      <c r="M346" s="837">
        <f t="shared" si="159"/>
        <v>0</v>
      </c>
      <c r="N346" s="837">
        <f t="shared" si="159"/>
        <v>0</v>
      </c>
      <c r="O346" s="837">
        <f t="shared" si="157"/>
        <v>0</v>
      </c>
      <c r="P346" s="837">
        <f t="shared" si="158"/>
        <v>0</v>
      </c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</row>
    <row r="347" spans="1:26" ht="18.75" hidden="1">
      <c r="A347" s="940"/>
      <c r="B347" s="833"/>
      <c r="C347" s="833"/>
      <c r="D347" s="833"/>
      <c r="E347" s="834" t="s">
        <v>19</v>
      </c>
      <c r="F347" s="833"/>
      <c r="G347" s="941"/>
      <c r="H347" s="158" t="s">
        <v>12</v>
      </c>
      <c r="I347" s="836"/>
      <c r="J347" s="836"/>
      <c r="K347" s="837"/>
      <c r="L347" s="837">
        <f t="shared" ca="1" si="159"/>
        <v>768200</v>
      </c>
      <c r="M347" s="837">
        <f t="shared" ca="1" si="159"/>
        <v>627780</v>
      </c>
      <c r="N347" s="837">
        <f t="shared" ca="1" si="159"/>
        <v>347564</v>
      </c>
      <c r="O347" s="837">
        <f t="shared" ca="1" si="157"/>
        <v>45.243946888831033</v>
      </c>
      <c r="P347" s="837">
        <f t="shared" ca="1" si="158"/>
        <v>55.363981012456591</v>
      </c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</row>
    <row r="348" spans="1:26" ht="18.75">
      <c r="A348" s="942"/>
      <c r="B348" s="827"/>
      <c r="C348" s="943"/>
      <c r="D348" s="828" t="s">
        <v>20</v>
      </c>
      <c r="E348" s="827"/>
      <c r="F348" s="827"/>
      <c r="G348" s="829"/>
      <c r="H348" s="778" t="s">
        <v>12</v>
      </c>
      <c r="I348" s="944"/>
      <c r="J348" s="944"/>
      <c r="K348" s="945"/>
      <c r="L348" s="831">
        <f t="shared" ref="L348:N348" ca="1" si="160">L349+L350</f>
        <v>695600</v>
      </c>
      <c r="M348" s="831">
        <f t="shared" ca="1" si="160"/>
        <v>556200</v>
      </c>
      <c r="N348" s="831">
        <f t="shared" ca="1" si="160"/>
        <v>275984</v>
      </c>
      <c r="O348" s="831">
        <f t="shared" ca="1" si="157"/>
        <v>39.675675675675677</v>
      </c>
      <c r="P348" s="831">
        <f t="shared" ca="1" si="158"/>
        <v>49.6195613088817</v>
      </c>
      <c r="Q348" s="818"/>
      <c r="R348" s="818"/>
      <c r="S348" s="818"/>
      <c r="T348" s="818"/>
      <c r="U348" s="818"/>
      <c r="V348" s="818"/>
      <c r="W348" s="818"/>
      <c r="X348" s="818"/>
      <c r="Y348" s="818"/>
      <c r="Z348" s="818"/>
    </row>
    <row r="349" spans="1:26" ht="19.5" hidden="1">
      <c r="A349" s="940"/>
      <c r="B349" s="833"/>
      <c r="C349" s="946"/>
      <c r="D349" s="833"/>
      <c r="E349" s="834" t="s">
        <v>36</v>
      </c>
      <c r="F349" s="833"/>
      <c r="G349" s="941"/>
      <c r="H349" s="165" t="s">
        <v>12</v>
      </c>
      <c r="I349" s="947"/>
      <c r="J349" s="947"/>
      <c r="K349" s="948"/>
      <c r="L349" s="837">
        <v>0</v>
      </c>
      <c r="M349" s="837">
        <v>0</v>
      </c>
      <c r="N349" s="837">
        <v>0</v>
      </c>
      <c r="O349" s="837">
        <f t="shared" si="157"/>
        <v>0</v>
      </c>
      <c r="P349" s="837">
        <f t="shared" si="158"/>
        <v>0</v>
      </c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</row>
    <row r="350" spans="1:26" ht="19.5" hidden="1">
      <c r="A350" s="940"/>
      <c r="B350" s="833"/>
      <c r="C350" s="946"/>
      <c r="D350" s="833"/>
      <c r="E350" s="834" t="s">
        <v>37</v>
      </c>
      <c r="F350" s="833"/>
      <c r="G350" s="941"/>
      <c r="H350" s="165" t="s">
        <v>12</v>
      </c>
      <c r="I350" s="947"/>
      <c r="J350" s="947"/>
      <c r="K350" s="948"/>
      <c r="L350" s="837">
        <f ca="1">IFERROR(__xludf.DUMMYFUNCTION("IMPORTRANGE(""https://docs.google.com/spreadsheets/d/1MeEWN-I1oV_STSDYn1IFDPWt_1FKiwhDph83XaGc0o0/edit?usp=sharing"",""งบพรบ!EW17"")"),695600)</f>
        <v>695600</v>
      </c>
      <c r="M350" s="837">
        <f ca="1">IFERROR(__xludf.DUMMYFUNCTION("IMPORTRANGE(""https://docs.google.com/spreadsheets/d/1MeEWN-I1oV_STSDYn1IFDPWt_1FKiwhDph83XaGc0o0/edit?usp=sharing"",""งบพรบ!FB17"")"),556200)</f>
        <v>556200</v>
      </c>
      <c r="N350" s="837">
        <f ca="1">IFERROR(__xludf.DUMMYFUNCTION("IMPORTRANGE(""https://docs.google.com/spreadsheets/d/1MeEWN-I1oV_STSDYn1IFDPWt_1FKiwhDph83XaGc0o0/edit?usp=sharing"",""งบพรบ!FD17"")"),275984)</f>
        <v>275984</v>
      </c>
      <c r="O350" s="837">
        <f t="shared" ca="1" si="157"/>
        <v>39.675675675675677</v>
      </c>
      <c r="P350" s="837">
        <f t="shared" ca="1" si="158"/>
        <v>49.6195613088817</v>
      </c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</row>
    <row r="351" spans="1:26" ht="18.75">
      <c r="A351" s="942"/>
      <c r="B351" s="827"/>
      <c r="C351" s="943"/>
      <c r="D351" s="828" t="s">
        <v>21</v>
      </c>
      <c r="E351" s="827"/>
      <c r="F351" s="827"/>
      <c r="G351" s="829"/>
      <c r="H351" s="168" t="s">
        <v>12</v>
      </c>
      <c r="I351" s="944"/>
      <c r="J351" s="944"/>
      <c r="K351" s="945"/>
      <c r="L351" s="831">
        <f t="shared" ref="L351:N351" ca="1" si="161">L352+L353</f>
        <v>72600</v>
      </c>
      <c r="M351" s="831">
        <f t="shared" ca="1" si="161"/>
        <v>71580</v>
      </c>
      <c r="N351" s="831">
        <f t="shared" ca="1" si="161"/>
        <v>71580</v>
      </c>
      <c r="O351" s="831">
        <f t="shared" ca="1" si="157"/>
        <v>98.595041322314046</v>
      </c>
      <c r="P351" s="831">
        <f t="shared" ca="1" si="158"/>
        <v>100</v>
      </c>
      <c r="Q351" s="818"/>
      <c r="R351" s="818"/>
      <c r="S351" s="818"/>
      <c r="T351" s="818"/>
      <c r="U351" s="818"/>
      <c r="V351" s="818"/>
      <c r="W351" s="818"/>
      <c r="X351" s="818"/>
      <c r="Y351" s="818"/>
      <c r="Z351" s="818"/>
    </row>
    <row r="352" spans="1:26" ht="19.5" hidden="1">
      <c r="A352" s="940"/>
      <c r="B352" s="833"/>
      <c r="C352" s="946"/>
      <c r="D352" s="833"/>
      <c r="E352" s="834" t="s">
        <v>18</v>
      </c>
      <c r="F352" s="833"/>
      <c r="G352" s="941"/>
      <c r="H352" s="165" t="s">
        <v>12</v>
      </c>
      <c r="I352" s="947"/>
      <c r="J352" s="947"/>
      <c r="K352" s="948"/>
      <c r="L352" s="837">
        <v>0</v>
      </c>
      <c r="M352" s="837">
        <v>0</v>
      </c>
      <c r="N352" s="837">
        <v>0</v>
      </c>
      <c r="O352" s="837">
        <f t="shared" si="157"/>
        <v>0</v>
      </c>
      <c r="P352" s="837">
        <f t="shared" si="158"/>
        <v>0</v>
      </c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</row>
    <row r="353" spans="1:26" ht="19.5" hidden="1">
      <c r="A353" s="940"/>
      <c r="B353" s="833"/>
      <c r="C353" s="946"/>
      <c r="D353" s="833"/>
      <c r="E353" s="834" t="s">
        <v>19</v>
      </c>
      <c r="F353" s="833"/>
      <c r="G353" s="941"/>
      <c r="H353" s="169" t="s">
        <v>12</v>
      </c>
      <c r="I353" s="947"/>
      <c r="J353" s="947"/>
      <c r="K353" s="948"/>
      <c r="L353" s="837">
        <f ca="1">IFERROR(__xludf.DUMMYFUNCTION("IMPORTRANGE(""https://docs.google.com/spreadsheets/d/1MeEWN-I1oV_STSDYn1IFDPWt_1FKiwhDph83XaGc0o0/edit?usp=sharing"",""งบพรบ!EZ17"")"),72600)</f>
        <v>72600</v>
      </c>
      <c r="M353" s="837">
        <f ca="1">IFERROR(__xludf.DUMMYFUNCTION("IMPORTRANGE(""https://docs.google.com/spreadsheets/d/1MeEWN-I1oV_STSDYn1IFDPWt_1FKiwhDph83XaGc0o0/edit?usp=sharing"",""งบพรบ!FC17"")"),71580)</f>
        <v>71580</v>
      </c>
      <c r="N353" s="837">
        <f ca="1">IFERROR(__xludf.DUMMYFUNCTION("IMPORTRANGE(""https://docs.google.com/spreadsheets/d/1MeEWN-I1oV_STSDYn1IFDPWt_1FKiwhDph83XaGc0o0/edit?usp=sharing"",""งบพรบ!FE17"")"),71580)</f>
        <v>71580</v>
      </c>
      <c r="O353" s="837">
        <f t="shared" ca="1" si="157"/>
        <v>98.595041322314046</v>
      </c>
      <c r="P353" s="837">
        <f t="shared" ca="1" si="158"/>
        <v>100</v>
      </c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</row>
    <row r="354" spans="1:26" ht="19.5">
      <c r="A354" s="1011"/>
      <c r="B354" s="1018"/>
      <c r="C354" s="1012"/>
      <c r="D354" s="1145" t="s">
        <v>158</v>
      </c>
      <c r="E354" s="1012"/>
      <c r="F354" s="1012"/>
      <c r="G354" s="1014"/>
      <c r="H354" s="1146"/>
      <c r="I354" s="1015"/>
      <c r="J354" s="1015"/>
      <c r="K354" s="1016"/>
      <c r="L354" s="1016"/>
      <c r="M354" s="1016"/>
      <c r="N354" s="1016"/>
      <c r="O354" s="1016"/>
      <c r="P354" s="1016"/>
    </row>
    <row r="355" spans="1:26" ht="19.5">
      <c r="A355" s="1147"/>
      <c r="B355" s="1148"/>
      <c r="C355" s="1149"/>
      <c r="D355" s="1150" t="s">
        <v>159</v>
      </c>
      <c r="E355" s="1151"/>
      <c r="F355" s="1151"/>
      <c r="G355" s="1152"/>
      <c r="H355" s="431" t="s">
        <v>35</v>
      </c>
      <c r="I355" s="1153">
        <f ca="1">IFERROR(__xludf.DUMMYFUNCTION("IMPORTRANGE(""https://docs.google.com/spreadsheets/d/1QqKyyYR6Q21VydFLVH3TRQUabQu_ym0Zz7PgGX0-kHA/edit?usp=sharing"",""แผน!EP17"")"),250)</f>
        <v>250</v>
      </c>
      <c r="J355" s="1153">
        <f ca="1">J362</f>
        <v>72</v>
      </c>
      <c r="K355" s="1154">
        <f ca="1">IF(I355&gt;0,J355*100/I355,0)</f>
        <v>28.8</v>
      </c>
      <c r="L355" s="1155"/>
      <c r="M355" s="1155"/>
      <c r="N355" s="1155"/>
      <c r="O355" s="1155"/>
      <c r="P355" s="1155"/>
    </row>
    <row r="356" spans="1:26" ht="19.5">
      <c r="A356" s="1147"/>
      <c r="B356" s="1148"/>
      <c r="C356" s="1149"/>
      <c r="D356" s="1156" t="s">
        <v>160</v>
      </c>
      <c r="E356" s="1151"/>
      <c r="F356" s="1151"/>
      <c r="G356" s="1152"/>
      <c r="H356" s="1157"/>
      <c r="I356" s="1158"/>
      <c r="J356" s="1158"/>
      <c r="K356" s="1155"/>
      <c r="L356" s="1155"/>
      <c r="M356" s="1155"/>
      <c r="N356" s="1155"/>
      <c r="O356" s="1155"/>
      <c r="P356" s="1155"/>
    </row>
    <row r="357" spans="1:26" ht="19.5">
      <c r="A357" s="949"/>
      <c r="B357" s="950"/>
      <c r="C357" s="946" t="s">
        <v>16</v>
      </c>
      <c r="D357" s="951" t="s">
        <v>38</v>
      </c>
      <c r="E357" s="952"/>
      <c r="F357" s="952"/>
      <c r="G357" s="953"/>
      <c r="H357" s="954"/>
      <c r="I357" s="830"/>
      <c r="J357" s="830"/>
      <c r="K357" s="831"/>
      <c r="L357" s="945"/>
      <c r="M357" s="945"/>
      <c r="N357" s="945"/>
      <c r="O357" s="945"/>
      <c r="P357" s="945"/>
    </row>
    <row r="358" spans="1:26" ht="18.75">
      <c r="A358" s="949"/>
      <c r="B358" s="957"/>
      <c r="C358" s="950"/>
      <c r="D358" s="957"/>
      <c r="E358" s="955" t="s">
        <v>161</v>
      </c>
      <c r="F358" s="957"/>
      <c r="G358" s="958"/>
      <c r="H358" s="777" t="s">
        <v>35</v>
      </c>
      <c r="I358" s="830">
        <v>0</v>
      </c>
      <c r="J358" s="830">
        <f ca="1">IFERROR(__xludf.DUMMYFUNCTION("IMPORTRANGE(""https://docs.google.com/spreadsheets/d/1XWAQStnk-4SwqDmLtmXYiTMKHgktTP8We1SCoS47DrQ/edit?usp=sharing"",""จัดที่ดิน!W17"")"),93)</f>
        <v>93</v>
      </c>
      <c r="K358" s="831">
        <f t="shared" ref="K358:K365" si="162">IF(I358&gt;0,J358*100/I358,0)</f>
        <v>0</v>
      </c>
      <c r="L358" s="945"/>
      <c r="M358" s="945"/>
      <c r="N358" s="945"/>
      <c r="O358" s="945"/>
      <c r="P358" s="945"/>
    </row>
    <row r="359" spans="1:26" ht="18.75">
      <c r="A359" s="949"/>
      <c r="B359" s="957"/>
      <c r="C359" s="950"/>
      <c r="D359" s="957"/>
      <c r="E359" s="957"/>
      <c r="F359" s="957"/>
      <c r="G359" s="958"/>
      <c r="H359" s="777" t="s">
        <v>46</v>
      </c>
      <c r="I359" s="830">
        <f ca="1">IFERROR(__xludf.DUMMYFUNCTION("IMPORTRANGE(""https://docs.google.com/spreadsheets/d/1QqKyyYR6Q21VydFLVH3TRQUabQu_ym0Zz7PgGX0-kHA/edit?usp=sharing"",""แผน!EO17"")"),2500)</f>
        <v>2500</v>
      </c>
      <c r="J359" s="830">
        <f ca="1">IFERROR(__xludf.DUMMYFUNCTION("IMPORTRANGE(""https://docs.google.com/spreadsheets/d/1XWAQStnk-4SwqDmLtmXYiTMKHgktTP8We1SCoS47DrQ/edit?usp=sharing"",""จัดที่ดิน!X17"")"),855.44)</f>
        <v>855.44</v>
      </c>
      <c r="K359" s="831">
        <f t="shared" ca="1" si="162"/>
        <v>34.217599999999997</v>
      </c>
      <c r="L359" s="945"/>
      <c r="M359" s="945"/>
      <c r="N359" s="945"/>
      <c r="O359" s="945"/>
      <c r="P359" s="945"/>
    </row>
    <row r="360" spans="1:26" ht="18.75">
      <c r="A360" s="949"/>
      <c r="B360" s="957"/>
      <c r="C360" s="950"/>
      <c r="D360" s="957"/>
      <c r="E360" s="955" t="s">
        <v>162</v>
      </c>
      <c r="F360" s="957"/>
      <c r="G360" s="958"/>
      <c r="H360" s="730" t="s">
        <v>35</v>
      </c>
      <c r="I360" s="830">
        <f ca="1">IFERROR(__xludf.DUMMYFUNCTION("IMPORTRANGE(""https://docs.google.com/spreadsheets/d/1QqKyyYR6Q21VydFLVH3TRQUabQu_ym0Zz7PgGX0-kHA/edit?usp=sharing"",""แผน!EP17"")"),250)</f>
        <v>250</v>
      </c>
      <c r="J360" s="830">
        <f ca="1">IFERROR(__xludf.DUMMYFUNCTION("IMPORTRANGE(""https://docs.google.com/spreadsheets/d/1XWAQStnk-4SwqDmLtmXYiTMKHgktTP8We1SCoS47DrQ/edit?usp=sharing"",""จัดที่ดิน!Y17"")"),72)</f>
        <v>72</v>
      </c>
      <c r="K360" s="831">
        <f t="shared" ca="1" si="162"/>
        <v>28.8</v>
      </c>
      <c r="L360" s="945"/>
      <c r="M360" s="945"/>
      <c r="N360" s="945"/>
      <c r="O360" s="945"/>
      <c r="P360" s="945"/>
    </row>
    <row r="361" spans="1:26" ht="18.75">
      <c r="A361" s="949"/>
      <c r="B361" s="957"/>
      <c r="C361" s="950"/>
      <c r="D361" s="957"/>
      <c r="E361" s="957"/>
      <c r="F361" s="957"/>
      <c r="G361" s="958"/>
      <c r="H361" s="730" t="s">
        <v>46</v>
      </c>
      <c r="I361" s="830">
        <v>0</v>
      </c>
      <c r="J361" s="830">
        <f ca="1">IFERROR(__xludf.DUMMYFUNCTION("IMPORTRANGE(""https://docs.google.com/spreadsheets/d/1XWAQStnk-4SwqDmLtmXYiTMKHgktTP8We1SCoS47DrQ/edit?usp=sharing"",""จัดที่ดิน!Z17"")"),684.18)</f>
        <v>684.18</v>
      </c>
      <c r="K361" s="831">
        <f t="shared" si="162"/>
        <v>0</v>
      </c>
      <c r="L361" s="945"/>
      <c r="M361" s="945"/>
      <c r="N361" s="945"/>
      <c r="O361" s="945"/>
      <c r="P361" s="945"/>
    </row>
    <row r="362" spans="1:26" ht="18.75">
      <c r="A362" s="949"/>
      <c r="B362" s="957"/>
      <c r="C362" s="950"/>
      <c r="D362" s="957"/>
      <c r="E362" s="955" t="s">
        <v>163</v>
      </c>
      <c r="F362" s="957"/>
      <c r="G362" s="958"/>
      <c r="H362" s="730" t="s">
        <v>35</v>
      </c>
      <c r="I362" s="830">
        <f ca="1">IFERROR(__xludf.DUMMYFUNCTION("IMPORTRANGE(""https://docs.google.com/spreadsheets/d/1QqKyyYR6Q21VydFLVH3TRQUabQu_ym0Zz7PgGX0-kHA/edit?usp=sharing"",""แผน!EP17"")"),250)</f>
        <v>250</v>
      </c>
      <c r="J362" s="830">
        <f ca="1">IFERROR(__xludf.DUMMYFUNCTION("IMPORTRANGE(""https://docs.google.com/spreadsheets/d/1XWAQStnk-4SwqDmLtmXYiTMKHgktTP8We1SCoS47DrQ/edit?usp=sharing"",""จัดที่ดิน!AA17"")"),72)</f>
        <v>72</v>
      </c>
      <c r="K362" s="831">
        <f t="shared" ca="1" si="162"/>
        <v>28.8</v>
      </c>
      <c r="L362" s="945"/>
      <c r="M362" s="945"/>
      <c r="N362" s="945"/>
      <c r="O362" s="945"/>
      <c r="P362" s="945"/>
    </row>
    <row r="363" spans="1:26" ht="18.75">
      <c r="A363" s="1159" t="s">
        <v>164</v>
      </c>
      <c r="B363" s="957"/>
      <c r="C363" s="950"/>
      <c r="D363" s="957"/>
      <c r="E363" s="956"/>
      <c r="F363" s="957"/>
      <c r="G363" s="958"/>
      <c r="H363" s="730" t="s">
        <v>46</v>
      </c>
      <c r="I363" s="830">
        <v>0</v>
      </c>
      <c r="J363" s="830">
        <f ca="1">IFERROR(__xludf.DUMMYFUNCTION("IMPORTRANGE(""https://docs.google.com/spreadsheets/d/1XWAQStnk-4SwqDmLtmXYiTMKHgktTP8We1SCoS47DrQ/edit?usp=sharing"",""จัดที่ดิน!AB17"")"),684.18)</f>
        <v>684.18</v>
      </c>
      <c r="K363" s="831">
        <f t="shared" si="162"/>
        <v>0</v>
      </c>
      <c r="L363" s="945"/>
      <c r="M363" s="945"/>
      <c r="N363" s="945"/>
      <c r="O363" s="945"/>
      <c r="P363" s="945"/>
    </row>
    <row r="364" spans="1:26" ht="19.5">
      <c r="A364" s="1160"/>
      <c r="B364" s="1161"/>
      <c r="C364" s="1162"/>
      <c r="D364" s="1163" t="s">
        <v>165</v>
      </c>
      <c r="E364" s="1164"/>
      <c r="F364" s="1164"/>
      <c r="G364" s="1165"/>
      <c r="H364" s="446" t="s">
        <v>35</v>
      </c>
      <c r="I364" s="1166">
        <f t="shared" ref="I364:J364" ca="1" si="163">I365+I374</f>
        <v>370</v>
      </c>
      <c r="J364" s="1166">
        <f t="shared" ca="1" si="163"/>
        <v>240</v>
      </c>
      <c r="K364" s="1167">
        <f t="shared" ca="1" si="162"/>
        <v>64.86486486486487</v>
      </c>
      <c r="L364" s="1168"/>
      <c r="M364" s="1168"/>
      <c r="N364" s="1168"/>
      <c r="O364" s="1168"/>
      <c r="P364" s="1168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69"/>
      <c r="B365" s="1170"/>
      <c r="C365" s="1171"/>
      <c r="D365" s="1171" t="s">
        <v>166</v>
      </c>
      <c r="E365" s="1172"/>
      <c r="F365" s="1172"/>
      <c r="G365" s="1173"/>
      <c r="H365" s="457" t="s">
        <v>35</v>
      </c>
      <c r="I365" s="1174">
        <f ca="1">IFERROR(__xludf.DUMMYFUNCTION("IMPORTRANGE(""https://docs.google.com/spreadsheets/d/1QqKyyYR6Q21VydFLVH3TRQUabQu_ym0Zz7PgGX0-kHA/edit?usp=sharing"",""แผน!EJ17"")"),100)</f>
        <v>100</v>
      </c>
      <c r="J365" s="1174">
        <f ca="1">J372</f>
        <v>19</v>
      </c>
      <c r="K365" s="1175">
        <f t="shared" ca="1" si="162"/>
        <v>19</v>
      </c>
      <c r="L365" s="1176"/>
      <c r="M365" s="1176"/>
      <c r="N365" s="1176"/>
      <c r="O365" s="1176"/>
      <c r="P365" s="1176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69"/>
      <c r="B366" s="1170"/>
      <c r="C366" s="1171"/>
      <c r="D366" s="1177" t="s">
        <v>167</v>
      </c>
      <c r="E366" s="1172"/>
      <c r="F366" s="1172"/>
      <c r="G366" s="1173"/>
      <c r="H366" s="1178"/>
      <c r="I366" s="1179"/>
      <c r="J366" s="1179"/>
      <c r="K366" s="1176"/>
      <c r="L366" s="1176"/>
      <c r="M366" s="1176"/>
      <c r="N366" s="1176"/>
      <c r="O366" s="1176"/>
      <c r="P366" s="1176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 hidden="1">
      <c r="A367" s="949"/>
      <c r="B367" s="950"/>
      <c r="C367" s="946" t="s">
        <v>16</v>
      </c>
      <c r="D367" s="951" t="s">
        <v>38</v>
      </c>
      <c r="E367" s="952"/>
      <c r="F367" s="952"/>
      <c r="G367" s="953"/>
      <c r="H367" s="954"/>
      <c r="I367" s="830"/>
      <c r="J367" s="830"/>
      <c r="K367" s="831"/>
      <c r="L367" s="945"/>
      <c r="M367" s="945"/>
      <c r="N367" s="945"/>
      <c r="O367" s="945"/>
      <c r="P367" s="945"/>
    </row>
    <row r="368" spans="1:26" ht="18.75">
      <c r="A368" s="949"/>
      <c r="B368" s="957"/>
      <c r="C368" s="950"/>
      <c r="D368" s="957"/>
      <c r="E368" s="955" t="s">
        <v>161</v>
      </c>
      <c r="F368" s="957"/>
      <c r="G368" s="958"/>
      <c r="H368" s="777" t="s">
        <v>35</v>
      </c>
      <c r="I368" s="830">
        <v>0</v>
      </c>
      <c r="J368" s="830">
        <f ca="1">IFERROR(__xludf.DUMMYFUNCTION("IMPORTRANGE(""https://docs.google.com/spreadsheets/d/1XWAQStnk-4SwqDmLtmXYiTMKHgktTP8We1SCoS47DrQ/edit?usp=sharing"",""จัดที่ดิน!E17"")"),40)</f>
        <v>40</v>
      </c>
      <c r="K368" s="831">
        <f t="shared" ref="K368:K374" si="164">IF(I368&gt;0,J368*100/I368,0)</f>
        <v>0</v>
      </c>
      <c r="L368" s="945"/>
      <c r="M368" s="945"/>
      <c r="N368" s="945"/>
      <c r="O368" s="945"/>
      <c r="P368" s="945"/>
    </row>
    <row r="369" spans="1:26" ht="18.75">
      <c r="A369" s="949"/>
      <c r="B369" s="957"/>
      <c r="C369" s="950"/>
      <c r="D369" s="957"/>
      <c r="E369" s="957"/>
      <c r="F369" s="957"/>
      <c r="G369" s="958"/>
      <c r="H369" s="777" t="s">
        <v>46</v>
      </c>
      <c r="I369" s="830">
        <f ca="1">IFERROR(__xludf.DUMMYFUNCTION("IMPORTRANGE(""https://docs.google.com/spreadsheets/d/1QqKyyYR6Q21VydFLVH3TRQUabQu_ym0Zz7PgGX0-kHA/edit?usp=sharing"",""แผน!EI17"")"),1000)</f>
        <v>1000</v>
      </c>
      <c r="J369" s="830">
        <f ca="1">IFERROR(__xludf.DUMMYFUNCTION("IMPORTRANGE(""https://docs.google.com/spreadsheets/d/1XWAQStnk-4SwqDmLtmXYiTMKHgktTP8We1SCoS47DrQ/edit?usp=sharing"",""จัดที่ดิน!F17"")"),458.12)</f>
        <v>458.12</v>
      </c>
      <c r="K369" s="831">
        <f t="shared" ca="1" si="164"/>
        <v>45.811999999999998</v>
      </c>
      <c r="L369" s="945"/>
      <c r="M369" s="945"/>
      <c r="N369" s="945"/>
      <c r="O369" s="945"/>
      <c r="P369" s="945"/>
    </row>
    <row r="370" spans="1:26" ht="18.75">
      <c r="A370" s="949"/>
      <c r="B370" s="957"/>
      <c r="C370" s="950"/>
      <c r="D370" s="957"/>
      <c r="E370" s="955" t="s">
        <v>162</v>
      </c>
      <c r="F370" s="957"/>
      <c r="G370" s="958"/>
      <c r="H370" s="730" t="s">
        <v>35</v>
      </c>
      <c r="I370" s="830">
        <f ca="1">IFERROR(__xludf.DUMMYFUNCTION("IMPORTRANGE(""https://docs.google.com/spreadsheets/d/1QqKyyYR6Q21VydFLVH3TRQUabQu_ym0Zz7PgGX0-kHA/edit?usp=sharing"",""แผน!EJ17"")"),100)</f>
        <v>100</v>
      </c>
      <c r="J370" s="830">
        <f ca="1">IFERROR(__xludf.DUMMYFUNCTION("IMPORTRANGE(""https://docs.google.com/spreadsheets/d/1XWAQStnk-4SwqDmLtmXYiTMKHgktTP8We1SCoS47DrQ/edit?usp=sharing"",""จัดที่ดิน!G17"")"),19)</f>
        <v>19</v>
      </c>
      <c r="K370" s="831">
        <f t="shared" ca="1" si="164"/>
        <v>19</v>
      </c>
      <c r="L370" s="945"/>
      <c r="M370" s="945"/>
      <c r="N370" s="945"/>
      <c r="O370" s="945"/>
      <c r="P370" s="945"/>
    </row>
    <row r="371" spans="1:26" ht="18.75">
      <c r="A371" s="949"/>
      <c r="B371" s="957"/>
      <c r="C371" s="950"/>
      <c r="D371" s="957"/>
      <c r="E371" s="957"/>
      <c r="F371" s="957"/>
      <c r="G371" s="958"/>
      <c r="H371" s="730" t="s">
        <v>46</v>
      </c>
      <c r="I371" s="830">
        <v>0</v>
      </c>
      <c r="J371" s="830">
        <f ca="1">IFERROR(__xludf.DUMMYFUNCTION("IMPORTRANGE(""https://docs.google.com/spreadsheets/d/1XWAQStnk-4SwqDmLtmXYiTMKHgktTP8We1SCoS47DrQ/edit?usp=sharing"",""จัดที่ดิน!H17"")"),286.86)</f>
        <v>286.86</v>
      </c>
      <c r="K371" s="831">
        <f t="shared" si="164"/>
        <v>0</v>
      </c>
      <c r="L371" s="945"/>
      <c r="M371" s="945"/>
      <c r="N371" s="945"/>
      <c r="O371" s="945"/>
      <c r="P371" s="945"/>
    </row>
    <row r="372" spans="1:26" ht="18.75">
      <c r="A372" s="949"/>
      <c r="B372" s="957"/>
      <c r="C372" s="950"/>
      <c r="D372" s="957"/>
      <c r="E372" s="955" t="s">
        <v>163</v>
      </c>
      <c r="F372" s="957"/>
      <c r="G372" s="958"/>
      <c r="H372" s="730" t="s">
        <v>35</v>
      </c>
      <c r="I372" s="830">
        <f ca="1">IFERROR(__xludf.DUMMYFUNCTION("IMPORTRANGE(""https://docs.google.com/spreadsheets/d/1QqKyyYR6Q21VydFLVH3TRQUabQu_ym0Zz7PgGX0-kHA/edit?usp=sharing"",""แผน!EJ17"")"),100)</f>
        <v>100</v>
      </c>
      <c r="J372" s="830">
        <f ca="1">IFERROR(__xludf.DUMMYFUNCTION("IMPORTRANGE(""https://docs.google.com/spreadsheets/d/1XWAQStnk-4SwqDmLtmXYiTMKHgktTP8We1SCoS47DrQ/edit?usp=sharing"",""จัดที่ดิน!I17"")"),19)</f>
        <v>19</v>
      </c>
      <c r="K372" s="831">
        <f t="shared" ca="1" si="164"/>
        <v>19</v>
      </c>
      <c r="L372" s="945"/>
      <c r="M372" s="945"/>
      <c r="N372" s="945"/>
      <c r="O372" s="945"/>
      <c r="P372" s="945"/>
    </row>
    <row r="373" spans="1:26" ht="18.75">
      <c r="A373" s="1159" t="s">
        <v>164</v>
      </c>
      <c r="B373" s="957"/>
      <c r="C373" s="950"/>
      <c r="D373" s="957"/>
      <c r="E373" s="956"/>
      <c r="F373" s="957"/>
      <c r="G373" s="958"/>
      <c r="H373" s="730" t="s">
        <v>46</v>
      </c>
      <c r="I373" s="830">
        <v>0</v>
      </c>
      <c r="J373" s="830">
        <f ca="1">IFERROR(__xludf.DUMMYFUNCTION("IMPORTRANGE(""https://docs.google.com/spreadsheets/d/1XWAQStnk-4SwqDmLtmXYiTMKHgktTP8We1SCoS47DrQ/edit?usp=sharing"",""จัดที่ดิน!J17"")"),286.86)</f>
        <v>286.86</v>
      </c>
      <c r="K373" s="831">
        <f t="shared" si="164"/>
        <v>0</v>
      </c>
      <c r="L373" s="945"/>
      <c r="M373" s="945"/>
      <c r="N373" s="945"/>
      <c r="O373" s="945"/>
      <c r="P373" s="945"/>
    </row>
    <row r="374" spans="1:26" ht="19.5">
      <c r="A374" s="1169"/>
      <c r="B374" s="1170"/>
      <c r="C374" s="1171"/>
      <c r="D374" s="1171" t="s">
        <v>168</v>
      </c>
      <c r="E374" s="1172"/>
      <c r="F374" s="1172"/>
      <c r="G374" s="1173"/>
      <c r="H374" s="457" t="s">
        <v>35</v>
      </c>
      <c r="I374" s="1180">
        <f ca="1">IFERROR(__xludf.DUMMYFUNCTION("IMPORTRANGE(""https://docs.google.com/spreadsheets/d/1QqKyyYR6Q21VydFLVH3TRQUabQu_ym0Zz7PgGX0-kHA/edit?usp=sharing"",""แผน!EU17"")"),270)</f>
        <v>270</v>
      </c>
      <c r="J374" s="1174">
        <f ca="1">J381</f>
        <v>221</v>
      </c>
      <c r="K374" s="1175">
        <f t="shared" ca="1" si="164"/>
        <v>81.851851851851848</v>
      </c>
      <c r="L374" s="1176"/>
      <c r="M374" s="1176"/>
      <c r="N374" s="1176"/>
      <c r="O374" s="1176"/>
      <c r="P374" s="1176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69"/>
      <c r="B375" s="1170"/>
      <c r="C375" s="1171"/>
      <c r="D375" s="1177" t="s">
        <v>169</v>
      </c>
      <c r="E375" s="1172"/>
      <c r="F375" s="1172"/>
      <c r="G375" s="1173"/>
      <c r="H375" s="1178"/>
      <c r="I375" s="1179"/>
      <c r="J375" s="1179"/>
      <c r="K375" s="1176"/>
      <c r="L375" s="1176"/>
      <c r="M375" s="1176"/>
      <c r="N375" s="1176"/>
      <c r="O375" s="1176"/>
      <c r="P375" s="1176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 hidden="1">
      <c r="A376" s="949"/>
      <c r="B376" s="950"/>
      <c r="C376" s="946" t="s">
        <v>16</v>
      </c>
      <c r="D376" s="951" t="s">
        <v>38</v>
      </c>
      <c r="E376" s="952"/>
      <c r="F376" s="952"/>
      <c r="G376" s="953"/>
      <c r="H376" s="954"/>
      <c r="I376" s="830"/>
      <c r="J376" s="830"/>
      <c r="K376" s="831"/>
      <c r="L376" s="945"/>
      <c r="M376" s="945"/>
      <c r="N376" s="945"/>
      <c r="O376" s="945"/>
      <c r="P376" s="945"/>
    </row>
    <row r="377" spans="1:26" ht="18.75">
      <c r="A377" s="949"/>
      <c r="B377" s="957"/>
      <c r="C377" s="950"/>
      <c r="D377" s="957"/>
      <c r="E377" s="955" t="s">
        <v>161</v>
      </c>
      <c r="F377" s="957"/>
      <c r="G377" s="958"/>
      <c r="H377" s="777" t="s">
        <v>35</v>
      </c>
      <c r="I377" s="830">
        <v>0</v>
      </c>
      <c r="J377" s="830">
        <f ca="1">IFERROR(__xludf.DUMMYFUNCTION("IMPORTRANGE(""https://docs.google.com/spreadsheets/d/1XWAQStnk-4SwqDmLtmXYiTMKHgktTP8We1SCoS47DrQ/edit?usp=sharing"",""จัดที่ดิน!AH17"")"),53)</f>
        <v>53</v>
      </c>
      <c r="K377" s="831">
        <f t="shared" ref="K377:K382" si="165">IF(I377&gt;0,J377*100/I377,0)</f>
        <v>0</v>
      </c>
      <c r="L377" s="945"/>
      <c r="M377" s="945"/>
      <c r="N377" s="945"/>
      <c r="O377" s="945"/>
      <c r="P377" s="945"/>
    </row>
    <row r="378" spans="1:26" ht="18.75">
      <c r="A378" s="949"/>
      <c r="B378" s="957"/>
      <c r="C378" s="950"/>
      <c r="D378" s="957"/>
      <c r="E378" s="957"/>
      <c r="F378" s="957"/>
      <c r="G378" s="958"/>
      <c r="H378" s="777" t="s">
        <v>46</v>
      </c>
      <c r="I378" s="830">
        <f ca="1">IFERROR(__xludf.DUMMYFUNCTION("IMPORTRANGE(""https://docs.google.com/spreadsheets/d/1QqKyyYR6Q21VydFLVH3TRQUabQu_ym0Zz7PgGX0-kHA/edit?usp=sharing"",""แผน!ET17"")"),1500)</f>
        <v>1500</v>
      </c>
      <c r="J378" s="830">
        <f ca="1">IFERROR(__xludf.DUMMYFUNCTION("IMPORTRANGE(""https://docs.google.com/spreadsheets/d/1XWAQStnk-4SwqDmLtmXYiTMKHgktTP8We1SCoS47DrQ/edit?usp=sharing"",""จัดที่ดิน!AI17"")"),397.32)</f>
        <v>397.32</v>
      </c>
      <c r="K378" s="831">
        <f t="shared" ca="1" si="165"/>
        <v>26.488</v>
      </c>
      <c r="L378" s="945"/>
      <c r="M378" s="945"/>
      <c r="N378" s="945"/>
      <c r="O378" s="945"/>
      <c r="P378" s="945"/>
    </row>
    <row r="379" spans="1:26" ht="18.75">
      <c r="A379" s="949"/>
      <c r="B379" s="957"/>
      <c r="C379" s="950"/>
      <c r="D379" s="957"/>
      <c r="E379" s="955" t="s">
        <v>162</v>
      </c>
      <c r="F379" s="957"/>
      <c r="G379" s="958"/>
      <c r="H379" s="730" t="s">
        <v>35</v>
      </c>
      <c r="I379" s="830">
        <f ca="1">IFERROR(__xludf.DUMMYFUNCTION("IMPORTRANGE(""https://docs.google.com/spreadsheets/d/1QqKyyYR6Q21VydFLVH3TRQUabQu_ym0Zz7PgGX0-kHA/edit?usp=sharing"",""แผน!EU17"")"),270)</f>
        <v>270</v>
      </c>
      <c r="J379" s="830">
        <f ca="1">IFERROR(__xludf.DUMMYFUNCTION("IMPORTRANGE(""https://docs.google.com/spreadsheets/d/1XWAQStnk-4SwqDmLtmXYiTMKHgktTP8We1SCoS47DrQ/edit?usp=sharing"",""จัดที่ดิน!AJ17"")"),221)</f>
        <v>221</v>
      </c>
      <c r="K379" s="831">
        <f t="shared" ca="1" si="165"/>
        <v>81.851851851851848</v>
      </c>
      <c r="L379" s="945"/>
      <c r="M379" s="945"/>
      <c r="N379" s="945"/>
      <c r="O379" s="945"/>
      <c r="P379" s="945"/>
    </row>
    <row r="380" spans="1:26" ht="18.75">
      <c r="A380" s="949"/>
      <c r="B380" s="957"/>
      <c r="C380" s="950"/>
      <c r="D380" s="957"/>
      <c r="E380" s="957"/>
      <c r="F380" s="957"/>
      <c r="G380" s="958"/>
      <c r="H380" s="730" t="s">
        <v>46</v>
      </c>
      <c r="I380" s="830">
        <v>0</v>
      </c>
      <c r="J380" s="830">
        <f ca="1">IFERROR(__xludf.DUMMYFUNCTION("IMPORTRANGE(""https://docs.google.com/spreadsheets/d/1XWAQStnk-4SwqDmLtmXYiTMKHgktTP8We1SCoS47DrQ/edit?usp=sharing"",""จัดที่ดิน!AK17"")"),3283.84)</f>
        <v>3283.84</v>
      </c>
      <c r="K380" s="831">
        <f t="shared" si="165"/>
        <v>0</v>
      </c>
      <c r="L380" s="945"/>
      <c r="M380" s="945"/>
      <c r="N380" s="945"/>
      <c r="O380" s="945"/>
      <c r="P380" s="945"/>
    </row>
    <row r="381" spans="1:26" ht="18.75">
      <c r="A381" s="949"/>
      <c r="B381" s="957"/>
      <c r="C381" s="950"/>
      <c r="D381" s="957"/>
      <c r="E381" s="955" t="s">
        <v>163</v>
      </c>
      <c r="F381" s="957"/>
      <c r="G381" s="958"/>
      <c r="H381" s="730" t="s">
        <v>35</v>
      </c>
      <c r="I381" s="830">
        <f ca="1">IFERROR(__xludf.DUMMYFUNCTION("IMPORTRANGE(""https://docs.google.com/spreadsheets/d/1QqKyyYR6Q21VydFLVH3TRQUabQu_ym0Zz7PgGX0-kHA/edit?usp=sharing"",""แผน!EU17"")"),270)</f>
        <v>270</v>
      </c>
      <c r="J381" s="830">
        <f ca="1">IFERROR(__xludf.DUMMYFUNCTION("IMPORTRANGE(""https://docs.google.com/spreadsheets/d/1XWAQStnk-4SwqDmLtmXYiTMKHgktTP8We1SCoS47DrQ/edit?usp=sharing"",""จัดที่ดิน!AL17"")"),221)</f>
        <v>221</v>
      </c>
      <c r="K381" s="831">
        <f t="shared" ca="1" si="165"/>
        <v>81.851851851851848</v>
      </c>
      <c r="L381" s="945"/>
      <c r="M381" s="945"/>
      <c r="N381" s="945"/>
      <c r="O381" s="945"/>
      <c r="P381" s="945"/>
    </row>
    <row r="382" spans="1:26" ht="18.75">
      <c r="A382" s="1159" t="s">
        <v>164</v>
      </c>
      <c r="B382" s="957"/>
      <c r="C382" s="950"/>
      <c r="D382" s="957"/>
      <c r="E382" s="956"/>
      <c r="F382" s="957"/>
      <c r="G382" s="958"/>
      <c r="H382" s="730" t="s">
        <v>46</v>
      </c>
      <c r="I382" s="830">
        <v>0</v>
      </c>
      <c r="J382" s="830">
        <f ca="1">IFERROR(__xludf.DUMMYFUNCTION("IMPORTRANGE(""https://docs.google.com/spreadsheets/d/1XWAQStnk-4SwqDmLtmXYiTMKHgktTP8We1SCoS47DrQ/edit?usp=sharing"",""จัดที่ดิน!AM17"")"),3283.84)</f>
        <v>3283.84</v>
      </c>
      <c r="K382" s="831">
        <f t="shared" si="165"/>
        <v>0</v>
      </c>
      <c r="L382" s="945"/>
      <c r="M382" s="945"/>
      <c r="N382" s="945"/>
      <c r="O382" s="945"/>
      <c r="P382" s="945"/>
    </row>
    <row r="383" spans="1:26" ht="19.5">
      <c r="A383" s="1011"/>
      <c r="B383" s="1018"/>
      <c r="C383" s="1012"/>
      <c r="D383" s="1145" t="s">
        <v>170</v>
      </c>
      <c r="E383" s="1012"/>
      <c r="F383" s="1012"/>
      <c r="G383" s="1014"/>
      <c r="H383" s="1146"/>
      <c r="I383" s="1015"/>
      <c r="J383" s="1015"/>
      <c r="K383" s="1016"/>
      <c r="L383" s="1016"/>
      <c r="M383" s="1016"/>
      <c r="N383" s="1016"/>
      <c r="O383" s="1016"/>
      <c r="P383" s="1016"/>
    </row>
    <row r="384" spans="1:26" ht="19.5" hidden="1">
      <c r="A384" s="949"/>
      <c r="B384" s="950"/>
      <c r="C384" s="827" t="s">
        <v>16</v>
      </c>
      <c r="D384" s="951" t="s">
        <v>38</v>
      </c>
      <c r="E384" s="952"/>
      <c r="F384" s="952"/>
      <c r="G384" s="953"/>
      <c r="H384" s="954"/>
      <c r="I384" s="830"/>
      <c r="J384" s="830"/>
      <c r="K384" s="831"/>
      <c r="L384" s="945"/>
      <c r="M384" s="945"/>
      <c r="N384" s="945"/>
      <c r="O384" s="945"/>
      <c r="P384" s="945"/>
    </row>
    <row r="385" spans="1:26" ht="18.75">
      <c r="A385" s="1080"/>
      <c r="B385" s="1083"/>
      <c r="C385" s="1081"/>
      <c r="D385" s="1083"/>
      <c r="E385" s="1181" t="s">
        <v>163</v>
      </c>
      <c r="F385" s="1083"/>
      <c r="G385" s="1084"/>
      <c r="H385" s="468" t="s">
        <v>35</v>
      </c>
      <c r="I385" s="1085">
        <f ca="1">IFERROR(__xludf.DUMMYFUNCTION("IMPORTRANGE(""https://docs.google.com/spreadsheets/d/1QqKyyYR6Q21VydFLVH3TRQUabQu_ym0Zz7PgGX0-kHA/edit?usp=sharing"",""แผน!EW17"")"),50)</f>
        <v>50</v>
      </c>
      <c r="J385" s="1085">
        <f ca="1">IFERROR(__xludf.DUMMYFUNCTION("IMPORTRANGE(""https://docs.google.com/spreadsheets/d/1XWAQStnk-4SwqDmLtmXYiTMKHgktTP8We1SCoS47DrQ/edit?usp=sharing"",""จัดที่ดิน!AP17"")"),0)</f>
        <v>0</v>
      </c>
      <c r="K385" s="1182">
        <f ca="1">IF(I385&gt;0,J385*100/I385,0)</f>
        <v>0</v>
      </c>
      <c r="L385" s="1086"/>
      <c r="M385" s="1086"/>
      <c r="N385" s="1086"/>
      <c r="O385" s="1086"/>
      <c r="P385" s="1086"/>
    </row>
    <row r="386" spans="1:26" ht="19.5" hidden="1">
      <c r="A386" s="1183" t="s">
        <v>171</v>
      </c>
      <c r="B386" s="1184"/>
      <c r="C386" s="1184"/>
      <c r="D386" s="1184"/>
      <c r="E386" s="1185"/>
      <c r="F386" s="1185"/>
      <c r="G386" s="1186"/>
      <c r="H386" s="1187"/>
      <c r="I386" s="1188"/>
      <c r="J386" s="1188"/>
      <c r="K386" s="1189"/>
      <c r="L386" s="1189"/>
      <c r="M386" s="1189"/>
      <c r="N386" s="1189"/>
      <c r="O386" s="1189"/>
      <c r="P386" s="1189"/>
    </row>
    <row r="387" spans="1:26" ht="19.5" hidden="1">
      <c r="A387" s="1190" t="s">
        <v>172</v>
      </c>
      <c r="B387" s="1191"/>
      <c r="C387" s="1191"/>
      <c r="D387" s="1192"/>
      <c r="E387" s="1191"/>
      <c r="F387" s="1191"/>
      <c r="G387" s="1191"/>
      <c r="H387" s="1193"/>
      <c r="I387" s="1194"/>
      <c r="J387" s="1194"/>
      <c r="K387" s="1195"/>
      <c r="L387" s="1195"/>
      <c r="M387" s="1195"/>
      <c r="N387" s="1195"/>
      <c r="O387" s="1195"/>
      <c r="P387" s="1195"/>
    </row>
    <row r="388" spans="1:26" ht="19.5" hidden="1">
      <c r="A388" s="1196"/>
      <c r="B388" s="1197" t="s">
        <v>173</v>
      </c>
      <c r="C388" s="1198"/>
      <c r="D388" s="1199"/>
      <c r="E388" s="1199"/>
      <c r="F388" s="1199"/>
      <c r="G388" s="1200"/>
      <c r="H388" s="489" t="s">
        <v>66</v>
      </c>
      <c r="I388" s="1201">
        <f t="shared" ref="I388:J388" si="166">I400</f>
        <v>0</v>
      </c>
      <c r="J388" s="1201">
        <f t="shared" si="166"/>
        <v>0</v>
      </c>
      <c r="K388" s="1202">
        <f>IF(I388&gt;0,J388*100/I388,0)</f>
        <v>0</v>
      </c>
      <c r="L388" s="1203"/>
      <c r="M388" s="1203"/>
      <c r="N388" s="1203"/>
      <c r="O388" s="1203"/>
      <c r="P388" s="1203"/>
    </row>
    <row r="389" spans="1:26" ht="19.5" hidden="1">
      <c r="A389" s="932"/>
      <c r="B389" s="933"/>
      <c r="C389" s="934" t="s">
        <v>16</v>
      </c>
      <c r="D389" s="935" t="s">
        <v>17</v>
      </c>
      <c r="E389" s="933"/>
      <c r="F389" s="933"/>
      <c r="G389" s="936"/>
      <c r="H389" s="152" t="s">
        <v>12</v>
      </c>
      <c r="I389" s="937"/>
      <c r="J389" s="937"/>
      <c r="K389" s="938"/>
      <c r="L389" s="939">
        <f t="shared" ref="L389:N389" ca="1" si="167">L390+L391</f>
        <v>0</v>
      </c>
      <c r="M389" s="939">
        <f t="shared" ca="1" si="167"/>
        <v>0</v>
      </c>
      <c r="N389" s="939">
        <f t="shared" ca="1" si="167"/>
        <v>0</v>
      </c>
      <c r="O389" s="939">
        <f t="shared" ref="O389:O397" ca="1" si="168">IF(L389&gt;0,N389*100/L389,0)</f>
        <v>0</v>
      </c>
      <c r="P389" s="939">
        <f t="shared" ref="P389:P397" ca="1" si="169">IF(M389&gt;0,N389*100/M389,0)</f>
        <v>0</v>
      </c>
      <c r="Q389" s="818"/>
      <c r="R389" s="818"/>
      <c r="S389" s="818"/>
      <c r="T389" s="818"/>
      <c r="U389" s="818"/>
      <c r="V389" s="818"/>
      <c r="W389" s="818"/>
      <c r="X389" s="818"/>
      <c r="Y389" s="818"/>
      <c r="Z389" s="818"/>
    </row>
    <row r="390" spans="1:26" ht="18.75" hidden="1">
      <c r="A390" s="940"/>
      <c r="B390" s="833"/>
      <c r="C390" s="833"/>
      <c r="D390" s="833"/>
      <c r="E390" s="834" t="s">
        <v>18</v>
      </c>
      <c r="F390" s="833"/>
      <c r="G390" s="941"/>
      <c r="H390" s="158" t="s">
        <v>12</v>
      </c>
      <c r="I390" s="836"/>
      <c r="J390" s="836"/>
      <c r="K390" s="837"/>
      <c r="L390" s="837">
        <f t="shared" ref="L390:N391" si="170">L393+L396</f>
        <v>0</v>
      </c>
      <c r="M390" s="837">
        <f t="shared" si="170"/>
        <v>0</v>
      </c>
      <c r="N390" s="837">
        <f t="shared" si="170"/>
        <v>0</v>
      </c>
      <c r="O390" s="837">
        <f t="shared" si="168"/>
        <v>0</v>
      </c>
      <c r="P390" s="837">
        <f t="shared" si="169"/>
        <v>0</v>
      </c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</row>
    <row r="391" spans="1:26" ht="18.75" hidden="1">
      <c r="A391" s="940"/>
      <c r="B391" s="833"/>
      <c r="C391" s="833"/>
      <c r="D391" s="833"/>
      <c r="E391" s="834" t="s">
        <v>19</v>
      </c>
      <c r="F391" s="833"/>
      <c r="G391" s="941"/>
      <c r="H391" s="158" t="s">
        <v>12</v>
      </c>
      <c r="I391" s="836"/>
      <c r="J391" s="836"/>
      <c r="K391" s="837"/>
      <c r="L391" s="837">
        <f t="shared" ca="1" si="170"/>
        <v>0</v>
      </c>
      <c r="M391" s="837">
        <f t="shared" ca="1" si="170"/>
        <v>0</v>
      </c>
      <c r="N391" s="837">
        <f t="shared" ca="1" si="170"/>
        <v>0</v>
      </c>
      <c r="O391" s="837">
        <f t="shared" ca="1" si="168"/>
        <v>0</v>
      </c>
      <c r="P391" s="837">
        <f t="shared" ca="1" si="169"/>
        <v>0</v>
      </c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</row>
    <row r="392" spans="1:26" ht="18.75" hidden="1">
      <c r="A392" s="942"/>
      <c r="B392" s="827"/>
      <c r="C392" s="943"/>
      <c r="D392" s="828" t="s">
        <v>20</v>
      </c>
      <c r="E392" s="827"/>
      <c r="F392" s="827"/>
      <c r="G392" s="829"/>
      <c r="H392" s="778" t="s">
        <v>12</v>
      </c>
      <c r="I392" s="944"/>
      <c r="J392" s="944"/>
      <c r="K392" s="945"/>
      <c r="L392" s="831">
        <f t="shared" ref="L392:N392" ca="1" si="171">L393+L394</f>
        <v>0</v>
      </c>
      <c r="M392" s="831">
        <f t="shared" ca="1" si="171"/>
        <v>0</v>
      </c>
      <c r="N392" s="831">
        <f t="shared" ca="1" si="171"/>
        <v>0</v>
      </c>
      <c r="O392" s="831">
        <f t="shared" ca="1" si="168"/>
        <v>0</v>
      </c>
      <c r="P392" s="831">
        <f t="shared" ca="1" si="169"/>
        <v>0</v>
      </c>
      <c r="Q392" s="818"/>
      <c r="R392" s="818"/>
      <c r="S392" s="818"/>
      <c r="T392" s="818"/>
      <c r="U392" s="818"/>
      <c r="V392" s="818"/>
      <c r="W392" s="818"/>
      <c r="X392" s="818"/>
      <c r="Y392" s="818"/>
      <c r="Z392" s="818"/>
    </row>
    <row r="393" spans="1:26" ht="19.5" hidden="1">
      <c r="A393" s="940"/>
      <c r="B393" s="833"/>
      <c r="C393" s="946"/>
      <c r="D393" s="833"/>
      <c r="E393" s="834" t="s">
        <v>36</v>
      </c>
      <c r="F393" s="833"/>
      <c r="G393" s="941"/>
      <c r="H393" s="165" t="s">
        <v>12</v>
      </c>
      <c r="I393" s="947"/>
      <c r="J393" s="947"/>
      <c r="K393" s="948"/>
      <c r="L393" s="837">
        <v>0</v>
      </c>
      <c r="M393" s="837">
        <v>0</v>
      </c>
      <c r="N393" s="837">
        <v>0</v>
      </c>
      <c r="O393" s="837">
        <f t="shared" si="168"/>
        <v>0</v>
      </c>
      <c r="P393" s="837">
        <f t="shared" si="169"/>
        <v>0</v>
      </c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</row>
    <row r="394" spans="1:26" ht="19.5" hidden="1">
      <c r="A394" s="940"/>
      <c r="B394" s="833"/>
      <c r="C394" s="946"/>
      <c r="D394" s="833"/>
      <c r="E394" s="834" t="s">
        <v>37</v>
      </c>
      <c r="F394" s="833"/>
      <c r="G394" s="941"/>
      <c r="H394" s="165" t="s">
        <v>12</v>
      </c>
      <c r="I394" s="947"/>
      <c r="J394" s="947"/>
      <c r="K394" s="948"/>
      <c r="L394" s="837">
        <f ca="1">IFERROR(__xludf.DUMMYFUNCTION("IMPORTRANGE(""https://docs.google.com/spreadsheets/d/1MeEWN-I1oV_STSDYn1IFDPWt_1FKiwhDph83XaGc0o0/edit?usp=sharing"",""งบพรบ!FG17"")"),0)</f>
        <v>0</v>
      </c>
      <c r="M394" s="837">
        <f ca="1">IFERROR(__xludf.DUMMYFUNCTION("IMPORTRANGE(""https://docs.google.com/spreadsheets/d/1MeEWN-I1oV_STSDYn1IFDPWt_1FKiwhDph83XaGc0o0/edit?usp=sharing"",""งบพรบ!FL17"")"),0)</f>
        <v>0</v>
      </c>
      <c r="N394" s="837">
        <f ca="1">IFERROR(__xludf.DUMMYFUNCTION("IMPORTRANGE(""https://docs.google.com/spreadsheets/d/1MeEWN-I1oV_STSDYn1IFDPWt_1FKiwhDph83XaGc0o0/edit?usp=sharing"",""งบพรบ!FN17"")"),0)</f>
        <v>0</v>
      </c>
      <c r="O394" s="837">
        <f t="shared" ca="1" si="168"/>
        <v>0</v>
      </c>
      <c r="P394" s="837">
        <f t="shared" ca="1" si="169"/>
        <v>0</v>
      </c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</row>
    <row r="395" spans="1:26" ht="18.75" hidden="1">
      <c r="A395" s="942"/>
      <c r="B395" s="827"/>
      <c r="C395" s="943"/>
      <c r="D395" s="828" t="s">
        <v>21</v>
      </c>
      <c r="E395" s="827"/>
      <c r="F395" s="827"/>
      <c r="G395" s="829"/>
      <c r="H395" s="168" t="s">
        <v>12</v>
      </c>
      <c r="I395" s="944"/>
      <c r="J395" s="944"/>
      <c r="K395" s="945"/>
      <c r="L395" s="831">
        <f t="shared" ref="L395:N395" ca="1" si="172">L396+L397</f>
        <v>0</v>
      </c>
      <c r="M395" s="831">
        <f t="shared" ca="1" si="172"/>
        <v>0</v>
      </c>
      <c r="N395" s="831">
        <f t="shared" ca="1" si="172"/>
        <v>0</v>
      </c>
      <c r="O395" s="831">
        <f t="shared" ca="1" si="168"/>
        <v>0</v>
      </c>
      <c r="P395" s="831">
        <f t="shared" ca="1" si="169"/>
        <v>0</v>
      </c>
      <c r="Q395" s="818"/>
      <c r="R395" s="818"/>
      <c r="S395" s="818"/>
      <c r="T395" s="818"/>
      <c r="U395" s="818"/>
      <c r="V395" s="818"/>
      <c r="W395" s="818"/>
      <c r="X395" s="818"/>
      <c r="Y395" s="818"/>
      <c r="Z395" s="818"/>
    </row>
    <row r="396" spans="1:26" ht="19.5" hidden="1">
      <c r="A396" s="940"/>
      <c r="B396" s="833"/>
      <c r="C396" s="946"/>
      <c r="D396" s="833"/>
      <c r="E396" s="834" t="s">
        <v>18</v>
      </c>
      <c r="F396" s="833"/>
      <c r="G396" s="941"/>
      <c r="H396" s="165" t="s">
        <v>12</v>
      </c>
      <c r="I396" s="947"/>
      <c r="J396" s="947"/>
      <c r="K396" s="948"/>
      <c r="L396" s="837">
        <v>0</v>
      </c>
      <c r="M396" s="837">
        <v>0</v>
      </c>
      <c r="N396" s="837">
        <v>0</v>
      </c>
      <c r="O396" s="837">
        <f t="shared" si="168"/>
        <v>0</v>
      </c>
      <c r="P396" s="837">
        <f t="shared" si="169"/>
        <v>0</v>
      </c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</row>
    <row r="397" spans="1:26" ht="19.5" hidden="1">
      <c r="A397" s="940"/>
      <c r="B397" s="833"/>
      <c r="C397" s="946"/>
      <c r="D397" s="833"/>
      <c r="E397" s="834" t="s">
        <v>19</v>
      </c>
      <c r="F397" s="833"/>
      <c r="G397" s="941"/>
      <c r="H397" s="169" t="s">
        <v>12</v>
      </c>
      <c r="I397" s="947"/>
      <c r="J397" s="947"/>
      <c r="K397" s="948"/>
      <c r="L397" s="837">
        <f ca="1">IFERROR(__xludf.DUMMYFUNCTION("IMPORTRANGE(""https://docs.google.com/spreadsheets/d/1MeEWN-I1oV_STSDYn1IFDPWt_1FKiwhDph83XaGc0o0/edit?usp=sharing"",""งบพรบ!FJ17"")"),0)</f>
        <v>0</v>
      </c>
      <c r="M397" s="837">
        <f ca="1">IFERROR(__xludf.DUMMYFUNCTION("IMPORTRANGE(""https://docs.google.com/spreadsheets/d/1MeEWN-I1oV_STSDYn1IFDPWt_1FKiwhDph83XaGc0o0/edit?usp=sharing"",""งบพรบ!FM17"")"),0)</f>
        <v>0</v>
      </c>
      <c r="N397" s="837">
        <f ca="1">IFERROR(__xludf.DUMMYFUNCTION("IMPORTRANGE(""https://docs.google.com/spreadsheets/d/1MeEWN-I1oV_STSDYn1IFDPWt_1FKiwhDph83XaGc0o0/edit?usp=sharing"",""งบพรบ!FO17"")"),0)</f>
        <v>0</v>
      </c>
      <c r="O397" s="837">
        <f t="shared" ca="1" si="168"/>
        <v>0</v>
      </c>
      <c r="P397" s="837">
        <f t="shared" ca="1" si="169"/>
        <v>0</v>
      </c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</row>
    <row r="398" spans="1:26" ht="19.5" hidden="1">
      <c r="A398" s="949"/>
      <c r="B398" s="950"/>
      <c r="C398" s="946" t="s">
        <v>16</v>
      </c>
      <c r="D398" s="951" t="s">
        <v>38</v>
      </c>
      <c r="E398" s="952"/>
      <c r="F398" s="952"/>
      <c r="G398" s="953"/>
      <c r="H398" s="954"/>
      <c r="I398" s="944"/>
      <c r="J398" s="830"/>
      <c r="K398" s="831"/>
      <c r="L398" s="831"/>
      <c r="M398" s="831"/>
      <c r="N398" s="831"/>
      <c r="O398" s="945"/>
      <c r="P398" s="945"/>
    </row>
    <row r="399" spans="1:26" ht="18.75" hidden="1">
      <c r="A399" s="1204"/>
      <c r="B399" s="933"/>
      <c r="C399" s="1205"/>
      <c r="D399" s="968" t="s">
        <v>174</v>
      </c>
      <c r="E399" s="1113"/>
      <c r="F399" s="933"/>
      <c r="G399" s="936"/>
      <c r="H399" s="496" t="s">
        <v>9</v>
      </c>
      <c r="I399" s="830">
        <v>0</v>
      </c>
      <c r="J399" s="959">
        <v>0</v>
      </c>
      <c r="K399" s="831">
        <f t="shared" ref="K399:K401" si="173">IF(I399&gt;0,J399*100/I399,0)</f>
        <v>0</v>
      </c>
      <c r="L399" s="1206"/>
      <c r="M399" s="1206"/>
      <c r="N399" s="1206"/>
      <c r="O399" s="1206"/>
      <c r="P399" s="1206"/>
      <c r="Q399" s="818"/>
      <c r="R399" s="818"/>
      <c r="S399" s="818"/>
      <c r="T399" s="818"/>
      <c r="U399" s="818"/>
      <c r="V399" s="818"/>
      <c r="W399" s="818"/>
      <c r="X399" s="818"/>
      <c r="Y399" s="818"/>
      <c r="Z399" s="818"/>
    </row>
    <row r="400" spans="1:26" ht="18.75" hidden="1">
      <c r="A400" s="1032"/>
      <c r="B400" s="827"/>
      <c r="C400" s="1030"/>
      <c r="D400" s="956" t="s">
        <v>175</v>
      </c>
      <c r="E400" s="950"/>
      <c r="F400" s="827"/>
      <c r="G400" s="829"/>
      <c r="H400" s="277" t="s">
        <v>66</v>
      </c>
      <c r="I400" s="830">
        <v>0</v>
      </c>
      <c r="J400" s="959">
        <v>0</v>
      </c>
      <c r="K400" s="831">
        <f t="shared" si="173"/>
        <v>0</v>
      </c>
      <c r="L400" s="831"/>
      <c r="M400" s="831"/>
      <c r="N400" s="831"/>
      <c r="O400" s="831"/>
      <c r="P400" s="831"/>
    </row>
    <row r="401" spans="1:26" ht="19.5" hidden="1">
      <c r="A401" s="1196"/>
      <c r="B401" s="1197" t="s">
        <v>176</v>
      </c>
      <c r="C401" s="1198"/>
      <c r="D401" s="1199"/>
      <c r="E401" s="1199"/>
      <c r="F401" s="1199"/>
      <c r="G401" s="1200"/>
      <c r="H401" s="489" t="s">
        <v>66</v>
      </c>
      <c r="I401" s="1201">
        <f t="shared" ref="I401:J401" si="174">I412</f>
        <v>0</v>
      </c>
      <c r="J401" s="1201">
        <f t="shared" si="174"/>
        <v>0</v>
      </c>
      <c r="K401" s="1202">
        <f t="shared" si="173"/>
        <v>0</v>
      </c>
      <c r="L401" s="1203"/>
      <c r="M401" s="1203"/>
      <c r="N401" s="1203"/>
      <c r="O401" s="1203"/>
      <c r="P401" s="1203"/>
    </row>
    <row r="402" spans="1:26" ht="19.5" hidden="1">
      <c r="A402" s="932"/>
      <c r="B402" s="933"/>
      <c r="C402" s="934" t="s">
        <v>16</v>
      </c>
      <c r="D402" s="935" t="s">
        <v>17</v>
      </c>
      <c r="E402" s="933"/>
      <c r="F402" s="933"/>
      <c r="G402" s="936"/>
      <c r="H402" s="152" t="s">
        <v>12</v>
      </c>
      <c r="I402" s="937"/>
      <c r="J402" s="937"/>
      <c r="K402" s="938"/>
      <c r="L402" s="939">
        <f t="shared" ref="L402:N402" ca="1" si="175">L403+L404</f>
        <v>0</v>
      </c>
      <c r="M402" s="939">
        <f t="shared" ca="1" si="175"/>
        <v>0</v>
      </c>
      <c r="N402" s="939">
        <f t="shared" ca="1" si="175"/>
        <v>0</v>
      </c>
      <c r="O402" s="939">
        <f t="shared" ref="O402:O410" ca="1" si="176">IF(L402&gt;0,N402*100/L402,0)</f>
        <v>0</v>
      </c>
      <c r="P402" s="939">
        <f t="shared" ref="P402:P410" ca="1" si="177">IF(M402&gt;0,N402*100/M402,0)</f>
        <v>0</v>
      </c>
      <c r="Q402" s="818"/>
      <c r="R402" s="818"/>
      <c r="S402" s="818"/>
      <c r="T402" s="818"/>
      <c r="U402" s="818"/>
      <c r="V402" s="818"/>
      <c r="W402" s="818"/>
      <c r="X402" s="818"/>
      <c r="Y402" s="818"/>
      <c r="Z402" s="818"/>
    </row>
    <row r="403" spans="1:26" ht="18.75" hidden="1">
      <c r="A403" s="940"/>
      <c r="B403" s="833"/>
      <c r="C403" s="833"/>
      <c r="D403" s="833"/>
      <c r="E403" s="834" t="s">
        <v>18</v>
      </c>
      <c r="F403" s="833"/>
      <c r="G403" s="941"/>
      <c r="H403" s="158" t="s">
        <v>12</v>
      </c>
      <c r="I403" s="836"/>
      <c r="J403" s="836"/>
      <c r="K403" s="837"/>
      <c r="L403" s="837">
        <f t="shared" ref="L403:N404" si="178">L406+L409</f>
        <v>0</v>
      </c>
      <c r="M403" s="837">
        <f t="shared" si="178"/>
        <v>0</v>
      </c>
      <c r="N403" s="837">
        <f t="shared" si="178"/>
        <v>0</v>
      </c>
      <c r="O403" s="837">
        <f t="shared" si="176"/>
        <v>0</v>
      </c>
      <c r="P403" s="837">
        <f t="shared" si="177"/>
        <v>0</v>
      </c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</row>
    <row r="404" spans="1:26" ht="18.75" hidden="1">
      <c r="A404" s="940"/>
      <c r="B404" s="833"/>
      <c r="C404" s="833"/>
      <c r="D404" s="833"/>
      <c r="E404" s="834" t="s">
        <v>19</v>
      </c>
      <c r="F404" s="833"/>
      <c r="G404" s="941"/>
      <c r="H404" s="158" t="s">
        <v>12</v>
      </c>
      <c r="I404" s="836"/>
      <c r="J404" s="836"/>
      <c r="K404" s="837"/>
      <c r="L404" s="837">
        <f t="shared" ca="1" si="178"/>
        <v>0</v>
      </c>
      <c r="M404" s="837">
        <f t="shared" ca="1" si="178"/>
        <v>0</v>
      </c>
      <c r="N404" s="837">
        <f t="shared" ca="1" si="178"/>
        <v>0</v>
      </c>
      <c r="O404" s="837">
        <f t="shared" ca="1" si="176"/>
        <v>0</v>
      </c>
      <c r="P404" s="837">
        <f t="shared" ca="1" si="177"/>
        <v>0</v>
      </c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</row>
    <row r="405" spans="1:26" ht="18.75" hidden="1">
      <c r="A405" s="942"/>
      <c r="B405" s="827"/>
      <c r="C405" s="943"/>
      <c r="D405" s="828" t="s">
        <v>20</v>
      </c>
      <c r="E405" s="827"/>
      <c r="F405" s="827"/>
      <c r="G405" s="829"/>
      <c r="H405" s="778" t="s">
        <v>12</v>
      </c>
      <c r="I405" s="944"/>
      <c r="J405" s="944"/>
      <c r="K405" s="945"/>
      <c r="L405" s="831">
        <f t="shared" ref="L405:N405" ca="1" si="179">L406+L407</f>
        <v>0</v>
      </c>
      <c r="M405" s="831">
        <f t="shared" ca="1" si="179"/>
        <v>0</v>
      </c>
      <c r="N405" s="831">
        <f t="shared" ca="1" si="179"/>
        <v>0</v>
      </c>
      <c r="O405" s="831">
        <f t="shared" ca="1" si="176"/>
        <v>0</v>
      </c>
      <c r="P405" s="831">
        <f t="shared" ca="1" si="177"/>
        <v>0</v>
      </c>
      <c r="Q405" s="818"/>
      <c r="R405" s="818"/>
      <c r="S405" s="818"/>
      <c r="T405" s="818"/>
      <c r="U405" s="818"/>
      <c r="V405" s="818"/>
      <c r="W405" s="818"/>
      <c r="X405" s="818"/>
      <c r="Y405" s="818"/>
      <c r="Z405" s="818"/>
    </row>
    <row r="406" spans="1:26" ht="19.5" hidden="1">
      <c r="A406" s="940"/>
      <c r="B406" s="833"/>
      <c r="C406" s="946"/>
      <c r="D406" s="833"/>
      <c r="E406" s="834" t="s">
        <v>36</v>
      </c>
      <c r="F406" s="833"/>
      <c r="G406" s="941"/>
      <c r="H406" s="165" t="s">
        <v>12</v>
      </c>
      <c r="I406" s="947"/>
      <c r="J406" s="947"/>
      <c r="K406" s="948"/>
      <c r="L406" s="837">
        <v>0</v>
      </c>
      <c r="M406" s="837">
        <v>0</v>
      </c>
      <c r="N406" s="837">
        <v>0</v>
      </c>
      <c r="O406" s="837">
        <f t="shared" si="176"/>
        <v>0</v>
      </c>
      <c r="P406" s="837">
        <f t="shared" si="177"/>
        <v>0</v>
      </c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</row>
    <row r="407" spans="1:26" ht="19.5" hidden="1">
      <c r="A407" s="940"/>
      <c r="B407" s="833"/>
      <c r="C407" s="946"/>
      <c r="D407" s="833"/>
      <c r="E407" s="834" t="s">
        <v>37</v>
      </c>
      <c r="F407" s="833"/>
      <c r="G407" s="941"/>
      <c r="H407" s="165" t="s">
        <v>12</v>
      </c>
      <c r="I407" s="947"/>
      <c r="J407" s="947"/>
      <c r="K407" s="948"/>
      <c r="L407" s="837">
        <f ca="1">IFERROR(__xludf.DUMMYFUNCTION("IMPORTRANGE(""https://docs.google.com/spreadsheets/d/1MeEWN-I1oV_STSDYn1IFDPWt_1FKiwhDph83XaGc0o0/edit?usp=sharing"",""งบพรบ!FQ17"")"),0)</f>
        <v>0</v>
      </c>
      <c r="M407" s="837">
        <f ca="1">IFERROR(__xludf.DUMMYFUNCTION("IMPORTRANGE(""https://docs.google.com/spreadsheets/d/1MeEWN-I1oV_STSDYn1IFDPWt_1FKiwhDph83XaGc0o0/edit?usp=sharing"",""งบพรบ!FV17"")"),0)</f>
        <v>0</v>
      </c>
      <c r="N407" s="837">
        <f ca="1">IFERROR(__xludf.DUMMYFUNCTION("IMPORTRANGE(""https://docs.google.com/spreadsheets/d/1MeEWN-I1oV_STSDYn1IFDPWt_1FKiwhDph83XaGc0o0/edit?usp=sharing"",""งบพรบ!FX17"")"),0)</f>
        <v>0</v>
      </c>
      <c r="O407" s="837">
        <f t="shared" ca="1" si="176"/>
        <v>0</v>
      </c>
      <c r="P407" s="837">
        <f t="shared" ca="1" si="177"/>
        <v>0</v>
      </c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</row>
    <row r="408" spans="1:26" ht="18.75" hidden="1">
      <c r="A408" s="942"/>
      <c r="B408" s="827"/>
      <c r="C408" s="943"/>
      <c r="D408" s="828" t="s">
        <v>21</v>
      </c>
      <c r="E408" s="827"/>
      <c r="F408" s="827"/>
      <c r="G408" s="829"/>
      <c r="H408" s="168" t="s">
        <v>12</v>
      </c>
      <c r="I408" s="944"/>
      <c r="J408" s="944"/>
      <c r="K408" s="945"/>
      <c r="L408" s="831">
        <f t="shared" ref="L408:N408" ca="1" si="180">L409+L410</f>
        <v>0</v>
      </c>
      <c r="M408" s="831">
        <f t="shared" ca="1" si="180"/>
        <v>0</v>
      </c>
      <c r="N408" s="831">
        <f t="shared" ca="1" si="180"/>
        <v>0</v>
      </c>
      <c r="O408" s="831">
        <f t="shared" ca="1" si="176"/>
        <v>0</v>
      </c>
      <c r="P408" s="831">
        <f t="shared" ca="1" si="177"/>
        <v>0</v>
      </c>
      <c r="Q408" s="818"/>
      <c r="R408" s="818"/>
      <c r="S408" s="818"/>
      <c r="T408" s="818"/>
      <c r="U408" s="818"/>
      <c r="V408" s="818"/>
      <c r="W408" s="818"/>
      <c r="X408" s="818"/>
      <c r="Y408" s="818"/>
      <c r="Z408" s="818"/>
    </row>
    <row r="409" spans="1:26" ht="19.5" hidden="1">
      <c r="A409" s="940"/>
      <c r="B409" s="833"/>
      <c r="C409" s="946"/>
      <c r="D409" s="833"/>
      <c r="E409" s="834" t="s">
        <v>18</v>
      </c>
      <c r="F409" s="833"/>
      <c r="G409" s="941"/>
      <c r="H409" s="165" t="s">
        <v>12</v>
      </c>
      <c r="I409" s="947"/>
      <c r="J409" s="947"/>
      <c r="K409" s="948"/>
      <c r="L409" s="837">
        <v>0</v>
      </c>
      <c r="M409" s="837">
        <v>0</v>
      </c>
      <c r="N409" s="837">
        <v>0</v>
      </c>
      <c r="O409" s="837">
        <f t="shared" si="176"/>
        <v>0</v>
      </c>
      <c r="P409" s="837">
        <f t="shared" si="177"/>
        <v>0</v>
      </c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</row>
    <row r="410" spans="1:26" ht="19.5" hidden="1">
      <c r="A410" s="940"/>
      <c r="B410" s="833"/>
      <c r="C410" s="946"/>
      <c r="D410" s="833"/>
      <c r="E410" s="834" t="s">
        <v>19</v>
      </c>
      <c r="F410" s="833"/>
      <c r="G410" s="941"/>
      <c r="H410" s="169" t="s">
        <v>12</v>
      </c>
      <c r="I410" s="947"/>
      <c r="J410" s="947"/>
      <c r="K410" s="948"/>
      <c r="L410" s="837">
        <f ca="1">IFERROR(__xludf.DUMMYFUNCTION("IMPORTRANGE(""https://docs.google.com/spreadsheets/d/1MeEWN-I1oV_STSDYn1IFDPWt_1FKiwhDph83XaGc0o0/edit?usp=sharing"",""งบพรบ!FT17"")"),0)</f>
        <v>0</v>
      </c>
      <c r="M410" s="837">
        <f ca="1">IFERROR(__xludf.DUMMYFUNCTION("IMPORTRANGE(""https://docs.google.com/spreadsheets/d/1MeEWN-I1oV_STSDYn1IFDPWt_1FKiwhDph83XaGc0o0/edit?usp=sharing"",""งบพรบ!FW17"")"),0)</f>
        <v>0</v>
      </c>
      <c r="N410" s="837">
        <f ca="1">IFERROR(__xludf.DUMMYFUNCTION("IMPORTRANGE(""https://docs.google.com/spreadsheets/d/1MeEWN-I1oV_STSDYn1IFDPWt_1FKiwhDph83XaGc0o0/edit?usp=sharing"",""งบพรบ!FY17"")"),0)</f>
        <v>0</v>
      </c>
      <c r="O410" s="837">
        <f t="shared" ca="1" si="176"/>
        <v>0</v>
      </c>
      <c r="P410" s="837">
        <f t="shared" ca="1" si="177"/>
        <v>0</v>
      </c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</row>
    <row r="411" spans="1:26" ht="19.5" hidden="1">
      <c r="A411" s="949"/>
      <c r="B411" s="950"/>
      <c r="C411" s="946" t="s">
        <v>16</v>
      </c>
      <c r="D411" s="1207" t="s">
        <v>38</v>
      </c>
      <c r="E411" s="1208"/>
      <c r="F411" s="1208"/>
      <c r="G411" s="1209"/>
      <c r="H411" s="954"/>
      <c r="I411" s="830"/>
      <c r="J411" s="830"/>
      <c r="K411" s="831"/>
      <c r="L411" s="945"/>
      <c r="M411" s="945"/>
      <c r="N411" s="945"/>
      <c r="O411" s="945"/>
      <c r="P411" s="945"/>
    </row>
    <row r="412" spans="1:26" ht="18.75" hidden="1">
      <c r="A412" s="949"/>
      <c r="B412" s="957"/>
      <c r="C412" s="957"/>
      <c r="D412" s="956" t="s">
        <v>177</v>
      </c>
      <c r="E412" s="957"/>
      <c r="F412" s="957"/>
      <c r="G412" s="958"/>
      <c r="H412" s="501" t="s">
        <v>66</v>
      </c>
      <c r="I412" s="830">
        <v>0</v>
      </c>
      <c r="J412" s="959">
        <v>0</v>
      </c>
      <c r="K412" s="831">
        <f t="shared" ref="K412:K413" si="181">IF(I412&gt;0,J412*100/I412,0)</f>
        <v>0</v>
      </c>
      <c r="L412" s="945"/>
      <c r="M412" s="945"/>
      <c r="N412" s="945"/>
      <c r="O412" s="945"/>
      <c r="P412" s="945"/>
    </row>
    <row r="413" spans="1:26" ht="19.5" hidden="1" thickBot="1">
      <c r="A413" s="1210"/>
      <c r="B413" s="1211"/>
      <c r="C413" s="1211"/>
      <c r="D413" s="1212" t="s">
        <v>178</v>
      </c>
      <c r="E413" s="1211"/>
      <c r="F413" s="1211"/>
      <c r="G413" s="1213"/>
      <c r="H413" s="506" t="s">
        <v>179</v>
      </c>
      <c r="I413" s="1214">
        <v>0</v>
      </c>
      <c r="J413" s="1215">
        <v>0</v>
      </c>
      <c r="K413" s="1216">
        <f t="shared" si="181"/>
        <v>0</v>
      </c>
      <c r="L413" s="1217"/>
      <c r="M413" s="1217"/>
      <c r="N413" s="1217"/>
      <c r="O413" s="1217"/>
      <c r="P413" s="1217"/>
    </row>
    <row r="414" spans="1:26" ht="19.5">
      <c r="A414" s="1218" t="s">
        <v>180</v>
      </c>
      <c r="B414" s="1219"/>
      <c r="C414" s="1219"/>
      <c r="D414" s="1219"/>
      <c r="E414" s="1219"/>
      <c r="F414" s="1219"/>
      <c r="G414" s="1220"/>
      <c r="H414" s="1221"/>
      <c r="I414" s="1222"/>
      <c r="J414" s="1222"/>
      <c r="K414" s="1223"/>
      <c r="L414" s="1224">
        <f t="shared" ref="L414:N414" ca="1" si="182">L419+L444+L467+L502+L523+L544+L629+L655+L685+L737+L754+L770+L786+L805</f>
        <v>1291838</v>
      </c>
      <c r="M414" s="1224">
        <f t="shared" si="182"/>
        <v>0</v>
      </c>
      <c r="N414" s="1224">
        <f t="shared" si="182"/>
        <v>423693.2</v>
      </c>
      <c r="O414" s="1224">
        <f ca="1">IF(L414&gt;0,N414*100/L414,0)</f>
        <v>32.797703736846259</v>
      </c>
      <c r="P414" s="1224">
        <f>IF(M414&gt;0,N414*100/M414,0)</f>
        <v>0</v>
      </c>
    </row>
    <row r="415" spans="1:26" ht="19.5">
      <c r="A415" s="1225" t="s">
        <v>181</v>
      </c>
      <c r="B415" s="1226"/>
      <c r="C415" s="1226"/>
      <c r="D415" s="1226"/>
      <c r="E415" s="1226"/>
      <c r="F415" s="1226"/>
      <c r="G415" s="1226"/>
      <c r="H415" s="1227"/>
      <c r="I415" s="1228"/>
      <c r="J415" s="1228"/>
      <c r="K415" s="1229"/>
      <c r="L415" s="1230"/>
      <c r="M415" s="1230"/>
      <c r="N415" s="1230"/>
      <c r="O415" s="1230"/>
      <c r="P415" s="1230"/>
    </row>
    <row r="416" spans="1:26" ht="19.5">
      <c r="A416" s="1225" t="s">
        <v>182</v>
      </c>
      <c r="B416" s="1226"/>
      <c r="C416" s="1226"/>
      <c r="D416" s="1226"/>
      <c r="E416" s="1226"/>
      <c r="F416" s="1226"/>
      <c r="G416" s="1231"/>
      <c r="H416" s="1232"/>
      <c r="I416" s="1233"/>
      <c r="J416" s="1233"/>
      <c r="K416" s="1230"/>
      <c r="L416" s="1230"/>
      <c r="M416" s="1230"/>
      <c r="N416" s="1230"/>
      <c r="O416" s="1230"/>
      <c r="P416" s="1230"/>
    </row>
    <row r="417" spans="1:26" ht="39">
      <c r="A417" s="527">
        <v>1</v>
      </c>
      <c r="B417" s="1234" t="s">
        <v>183</v>
      </c>
      <c r="C417" s="1234"/>
      <c r="D417" s="1235"/>
      <c r="E417" s="1235"/>
      <c r="F417" s="1235"/>
      <c r="G417" s="1236"/>
      <c r="H417" s="532" t="s">
        <v>35</v>
      </c>
      <c r="I417" s="1237">
        <f t="shared" ref="I417:J418" ca="1" si="183">I433</f>
        <v>15</v>
      </c>
      <c r="J417" s="1237">
        <f t="shared" ca="1" si="183"/>
        <v>15</v>
      </c>
      <c r="K417" s="1238">
        <f t="shared" ref="K417:K418" ca="1" si="184">IF(I417&gt;0,J417*100/I417,0)</f>
        <v>100</v>
      </c>
      <c r="L417" s="1238"/>
      <c r="M417" s="1238"/>
      <c r="N417" s="1238"/>
      <c r="O417" s="1238"/>
      <c r="P417" s="1238"/>
    </row>
    <row r="418" spans="1:26" ht="19.5">
      <c r="A418" s="1240"/>
      <c r="B418" s="527"/>
      <c r="C418" s="1234"/>
      <c r="D418" s="1235"/>
      <c r="E418" s="1235"/>
      <c r="F418" s="1235"/>
      <c r="G418" s="1236"/>
      <c r="H418" s="532" t="s">
        <v>49</v>
      </c>
      <c r="I418" s="1237">
        <f t="shared" ca="1" si="183"/>
        <v>1</v>
      </c>
      <c r="J418" s="1237">
        <f t="shared" si="183"/>
        <v>1</v>
      </c>
      <c r="K418" s="1238">
        <f t="shared" ca="1" si="184"/>
        <v>100</v>
      </c>
      <c r="L418" s="1239"/>
      <c r="M418" s="1239"/>
      <c r="N418" s="1239"/>
      <c r="O418" s="1239"/>
      <c r="P418" s="1239"/>
    </row>
    <row r="419" spans="1:26" ht="19.5">
      <c r="A419" s="932"/>
      <c r="B419" s="933"/>
      <c r="C419" s="933" t="s">
        <v>16</v>
      </c>
      <c r="D419" s="1510" t="s">
        <v>17</v>
      </c>
      <c r="E419" s="1487"/>
      <c r="F419" s="1487"/>
      <c r="G419" s="936"/>
      <c r="H419" s="275" t="s">
        <v>12</v>
      </c>
      <c r="I419" s="937"/>
      <c r="J419" s="937"/>
      <c r="K419" s="938"/>
      <c r="L419" s="939">
        <f t="shared" ref="L419:N419" ca="1" si="185">L420+L421</f>
        <v>66760</v>
      </c>
      <c r="M419" s="939">
        <f t="shared" si="185"/>
        <v>0</v>
      </c>
      <c r="N419" s="939">
        <f t="shared" si="185"/>
        <v>60550</v>
      </c>
      <c r="O419" s="939">
        <f t="shared" ref="O419:O424" ca="1" si="186">IF(L419&gt;0,N419*100/L419,0)</f>
        <v>90.69802276812463</v>
      </c>
      <c r="P419" s="939">
        <f t="shared" ref="P419:P424" si="187">IF(M419&gt;0,N419*100/M419,0)</f>
        <v>0</v>
      </c>
      <c r="Q419" s="818"/>
      <c r="R419" s="818"/>
      <c r="S419" s="818"/>
      <c r="T419" s="818"/>
      <c r="U419" s="818"/>
      <c r="V419" s="818"/>
      <c r="W419" s="818"/>
      <c r="X419" s="818"/>
      <c r="Y419" s="818"/>
      <c r="Z419" s="818"/>
    </row>
    <row r="420" spans="1:26" ht="18.75" hidden="1">
      <c r="A420" s="940"/>
      <c r="B420" s="833"/>
      <c r="C420" s="833"/>
      <c r="D420" s="1061"/>
      <c r="E420" s="834" t="s">
        <v>184</v>
      </c>
      <c r="F420" s="833"/>
      <c r="G420" s="941"/>
      <c r="H420" s="165" t="s">
        <v>12</v>
      </c>
      <c r="I420" s="836"/>
      <c r="J420" s="836"/>
      <c r="K420" s="837"/>
      <c r="L420" s="837">
        <f t="shared" ref="L420:N421" si="188">L423+L430</f>
        <v>0</v>
      </c>
      <c r="M420" s="837">
        <f t="shared" si="188"/>
        <v>0</v>
      </c>
      <c r="N420" s="837">
        <f t="shared" si="188"/>
        <v>0</v>
      </c>
      <c r="O420" s="837">
        <f t="shared" si="186"/>
        <v>0</v>
      </c>
      <c r="P420" s="837">
        <f t="shared" si="187"/>
        <v>0</v>
      </c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</row>
    <row r="421" spans="1:26" ht="18.75" hidden="1">
      <c r="A421" s="940"/>
      <c r="B421" s="833"/>
      <c r="C421" s="833"/>
      <c r="D421" s="1061"/>
      <c r="E421" s="834" t="s">
        <v>185</v>
      </c>
      <c r="F421" s="833"/>
      <c r="G421" s="941"/>
      <c r="H421" s="165" t="s">
        <v>12</v>
      </c>
      <c r="I421" s="836"/>
      <c r="J421" s="836"/>
      <c r="K421" s="837"/>
      <c r="L421" s="837">
        <f t="shared" ca="1" si="188"/>
        <v>66760</v>
      </c>
      <c r="M421" s="837">
        <f t="shared" si="188"/>
        <v>0</v>
      </c>
      <c r="N421" s="837">
        <f t="shared" si="188"/>
        <v>60550</v>
      </c>
      <c r="O421" s="837">
        <f t="shared" ca="1" si="186"/>
        <v>90.69802276812463</v>
      </c>
      <c r="P421" s="837">
        <f t="shared" si="187"/>
        <v>0</v>
      </c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</row>
    <row r="422" spans="1:26" ht="18.75">
      <c r="A422" s="942"/>
      <c r="B422" s="1030"/>
      <c r="C422" s="827"/>
      <c r="D422" s="828" t="s">
        <v>20</v>
      </c>
      <c r="E422" s="827"/>
      <c r="F422" s="827"/>
      <c r="G422" s="829"/>
      <c r="H422" s="778" t="s">
        <v>12</v>
      </c>
      <c r="I422" s="944"/>
      <c r="J422" s="944"/>
      <c r="K422" s="945"/>
      <c r="L422" s="831">
        <f t="shared" ref="L422:N422" ca="1" si="189">L423+L424</f>
        <v>66760</v>
      </c>
      <c r="M422" s="831">
        <f t="shared" si="189"/>
        <v>0</v>
      </c>
      <c r="N422" s="831">
        <f t="shared" si="189"/>
        <v>60550</v>
      </c>
      <c r="O422" s="831">
        <f t="shared" ca="1" si="186"/>
        <v>90.69802276812463</v>
      </c>
      <c r="P422" s="831">
        <f t="shared" si="187"/>
        <v>0</v>
      </c>
      <c r="Q422" s="818"/>
      <c r="R422" s="818"/>
      <c r="S422" s="818"/>
      <c r="T422" s="818"/>
      <c r="U422" s="818"/>
      <c r="V422" s="818"/>
      <c r="W422" s="818"/>
      <c r="X422" s="818"/>
      <c r="Y422" s="818"/>
      <c r="Z422" s="818"/>
    </row>
    <row r="423" spans="1:26" ht="18.75" hidden="1">
      <c r="A423" s="940"/>
      <c r="B423" s="833"/>
      <c r="C423" s="833"/>
      <c r="D423" s="1061"/>
      <c r="E423" s="834" t="s">
        <v>184</v>
      </c>
      <c r="F423" s="833"/>
      <c r="G423" s="941"/>
      <c r="H423" s="165" t="s">
        <v>12</v>
      </c>
      <c r="I423" s="836"/>
      <c r="J423" s="836"/>
      <c r="K423" s="837"/>
      <c r="L423" s="837">
        <v>0</v>
      </c>
      <c r="M423" s="837">
        <v>0</v>
      </c>
      <c r="N423" s="837">
        <v>0</v>
      </c>
      <c r="O423" s="837">
        <f t="shared" si="186"/>
        <v>0</v>
      </c>
      <c r="P423" s="837">
        <f t="shared" si="187"/>
        <v>0</v>
      </c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</row>
    <row r="424" spans="1:26" ht="18.75" hidden="1">
      <c r="A424" s="940"/>
      <c r="B424" s="833"/>
      <c r="C424" s="833"/>
      <c r="D424" s="1061"/>
      <c r="E424" s="834" t="s">
        <v>185</v>
      </c>
      <c r="F424" s="833"/>
      <c r="G424" s="941"/>
      <c r="H424" s="165" t="s">
        <v>12</v>
      </c>
      <c r="I424" s="836"/>
      <c r="J424" s="836"/>
      <c r="K424" s="837"/>
      <c r="L424" s="837">
        <f ca="1">IFERROR(__xludf.DUMMYFUNCTION("IMPORTRANGE(""https://docs.google.com/spreadsheets/d/1QqKyyYR6Q21VydFLVH3TRQUabQu_ym0Zz7PgGX0-kHA/edit?usp=sharing"",""แผน!EY17"")"),66760)</f>
        <v>66760</v>
      </c>
      <c r="M424" s="837">
        <v>0</v>
      </c>
      <c r="N424" s="837">
        <f>N425+N426+N427+N428</f>
        <v>60550</v>
      </c>
      <c r="O424" s="837">
        <f t="shared" ca="1" si="186"/>
        <v>90.69802276812463</v>
      </c>
      <c r="P424" s="837">
        <f t="shared" si="187"/>
        <v>0</v>
      </c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</row>
    <row r="425" spans="1:26" ht="18.75">
      <c r="A425" s="1241"/>
      <c r="B425" s="1242"/>
      <c r="C425" s="1243"/>
      <c r="D425" s="1243"/>
      <c r="E425" s="1243"/>
      <c r="F425" s="1243" t="s">
        <v>186</v>
      </c>
      <c r="G425" s="963"/>
      <c r="H425" s="778" t="s">
        <v>12</v>
      </c>
      <c r="I425" s="830"/>
      <c r="J425" s="830"/>
      <c r="K425" s="831"/>
      <c r="L425" s="831"/>
      <c r="M425" s="831"/>
      <c r="N425" s="1031">
        <v>36500</v>
      </c>
      <c r="O425" s="831"/>
      <c r="P425" s="831"/>
      <c r="Q425" s="1244"/>
      <c r="R425" s="1244"/>
      <c r="S425" s="1244"/>
      <c r="T425" s="1244"/>
      <c r="U425" s="1244"/>
      <c r="V425" s="1244"/>
      <c r="W425" s="1244"/>
      <c r="X425" s="1244"/>
      <c r="Y425" s="1244"/>
      <c r="Z425" s="1244"/>
    </row>
    <row r="426" spans="1:26" ht="18.75">
      <c r="A426" s="1241"/>
      <c r="B426" s="1242"/>
      <c r="C426" s="1243"/>
      <c r="D426" s="1243"/>
      <c r="E426" s="1243"/>
      <c r="F426" s="1243" t="s">
        <v>187</v>
      </c>
      <c r="G426" s="963"/>
      <c r="H426" s="778" t="s">
        <v>12</v>
      </c>
      <c r="I426" s="830"/>
      <c r="J426" s="830"/>
      <c r="K426" s="831"/>
      <c r="L426" s="831"/>
      <c r="M426" s="831"/>
      <c r="N426" s="1031">
        <v>0</v>
      </c>
      <c r="O426" s="831"/>
      <c r="P426" s="831"/>
      <c r="Q426" s="1244"/>
      <c r="R426" s="1244"/>
      <c r="S426" s="1244"/>
      <c r="T426" s="1244"/>
      <c r="U426" s="1244"/>
      <c r="V426" s="1244"/>
      <c r="W426" s="1244"/>
      <c r="X426" s="1244"/>
      <c r="Y426" s="1244"/>
      <c r="Z426" s="1244"/>
    </row>
    <row r="427" spans="1:26" ht="18.75">
      <c r="A427" s="1241"/>
      <c r="B427" s="1242"/>
      <c r="C427" s="1243"/>
      <c r="D427" s="1243"/>
      <c r="E427" s="1243"/>
      <c r="F427" s="1243" t="s">
        <v>188</v>
      </c>
      <c r="G427" s="963"/>
      <c r="H427" s="778" t="s">
        <v>12</v>
      </c>
      <c r="I427" s="830"/>
      <c r="J427" s="830"/>
      <c r="K427" s="831"/>
      <c r="L427" s="831"/>
      <c r="M427" s="831"/>
      <c r="N427" s="1031">
        <v>0</v>
      </c>
      <c r="O427" s="831"/>
      <c r="P427" s="831"/>
      <c r="Q427" s="1244"/>
      <c r="R427" s="1244"/>
      <c r="S427" s="1244"/>
      <c r="T427" s="1244"/>
      <c r="U427" s="1244"/>
      <c r="V427" s="1244"/>
      <c r="W427" s="1244"/>
      <c r="X427" s="1244"/>
      <c r="Y427" s="1244"/>
      <c r="Z427" s="1244"/>
    </row>
    <row r="428" spans="1:26" ht="18.75">
      <c r="A428" s="1032"/>
      <c r="B428" s="1030"/>
      <c r="C428" s="827"/>
      <c r="D428" s="827"/>
      <c r="E428" s="827"/>
      <c r="F428" s="943" t="s">
        <v>189</v>
      </c>
      <c r="G428" s="977"/>
      <c r="H428" s="778" t="s">
        <v>12</v>
      </c>
      <c r="I428" s="830"/>
      <c r="J428" s="830"/>
      <c r="K428" s="831"/>
      <c r="L428" s="831"/>
      <c r="M428" s="831"/>
      <c r="N428" s="1031">
        <v>24050</v>
      </c>
      <c r="O428" s="831"/>
      <c r="P428" s="831"/>
      <c r="Q428" s="818"/>
      <c r="R428" s="818"/>
      <c r="S428" s="818"/>
      <c r="T428" s="818"/>
      <c r="U428" s="818"/>
      <c r="V428" s="818"/>
      <c r="W428" s="818"/>
      <c r="X428" s="818"/>
      <c r="Y428" s="818"/>
      <c r="Z428" s="818"/>
    </row>
    <row r="429" spans="1:26" ht="18.75">
      <c r="A429" s="942"/>
      <c r="B429" s="1030"/>
      <c r="C429" s="827"/>
      <c r="D429" s="828" t="s">
        <v>21</v>
      </c>
      <c r="E429" s="827"/>
      <c r="F429" s="827"/>
      <c r="G429" s="829"/>
      <c r="H429" s="168" t="s">
        <v>12</v>
      </c>
      <c r="I429" s="944"/>
      <c r="J429" s="944"/>
      <c r="K429" s="945"/>
      <c r="L429" s="831">
        <f t="shared" ref="L429:N429" ca="1" si="190">L430+L431</f>
        <v>0</v>
      </c>
      <c r="M429" s="831">
        <f t="shared" si="190"/>
        <v>0</v>
      </c>
      <c r="N429" s="831">
        <f t="shared" si="190"/>
        <v>0</v>
      </c>
      <c r="O429" s="831">
        <f t="shared" ref="O429:O431" ca="1" si="191">IF(L429&gt;0,N429*100/L429,0)</f>
        <v>0</v>
      </c>
      <c r="P429" s="831">
        <f t="shared" ref="P429:P431" si="192">IF(M429&gt;0,N429*100/M429,0)</f>
        <v>0</v>
      </c>
      <c r="Q429" s="818"/>
      <c r="R429" s="818"/>
      <c r="S429" s="818"/>
      <c r="T429" s="818"/>
      <c r="U429" s="818"/>
      <c r="V429" s="818"/>
      <c r="W429" s="818"/>
      <c r="X429" s="818"/>
      <c r="Y429" s="818"/>
      <c r="Z429" s="818"/>
    </row>
    <row r="430" spans="1:26" ht="18.75" hidden="1">
      <c r="A430" s="940"/>
      <c r="B430" s="1052"/>
      <c r="C430" s="833"/>
      <c r="D430" s="833"/>
      <c r="E430" s="834" t="s">
        <v>18</v>
      </c>
      <c r="F430" s="833"/>
      <c r="G430" s="835"/>
      <c r="H430" s="165" t="s">
        <v>12</v>
      </c>
      <c r="I430" s="947"/>
      <c r="J430" s="947"/>
      <c r="K430" s="948"/>
      <c r="L430" s="837">
        <v>0</v>
      </c>
      <c r="M430" s="837">
        <v>0</v>
      </c>
      <c r="N430" s="837">
        <v>0</v>
      </c>
      <c r="O430" s="837">
        <f t="shared" si="191"/>
        <v>0</v>
      </c>
      <c r="P430" s="837">
        <f t="shared" si="192"/>
        <v>0</v>
      </c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</row>
    <row r="431" spans="1:26" ht="18.75" hidden="1">
      <c r="A431" s="940"/>
      <c r="B431" s="1052"/>
      <c r="C431" s="833"/>
      <c r="D431" s="833"/>
      <c r="E431" s="834" t="s">
        <v>19</v>
      </c>
      <c r="F431" s="833"/>
      <c r="G431" s="835"/>
      <c r="H431" s="169" t="s">
        <v>12</v>
      </c>
      <c r="I431" s="947"/>
      <c r="J431" s="947"/>
      <c r="K431" s="948"/>
      <c r="L431" s="837">
        <f ca="1">IFERROR(__xludf.DUMMYFUNCTION("IMPORTRANGE(""https://docs.google.com/spreadsheets/d/1QqKyyYR6Q21VydFLVH3TRQUabQu_ym0Zz7PgGX0-kHA/edit?usp=sharing"",""แผน!FB17"")"),0)</f>
        <v>0</v>
      </c>
      <c r="M431" s="837">
        <v>0</v>
      </c>
      <c r="N431" s="837">
        <v>0</v>
      </c>
      <c r="O431" s="837">
        <f t="shared" ca="1" si="191"/>
        <v>0</v>
      </c>
      <c r="P431" s="837">
        <f t="shared" si="192"/>
        <v>0</v>
      </c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</row>
    <row r="432" spans="1:26" ht="19.5">
      <c r="A432" s="1112"/>
      <c r="B432" s="1113"/>
      <c r="C432" s="933" t="s">
        <v>16</v>
      </c>
      <c r="D432" s="1245" t="s">
        <v>38</v>
      </c>
      <c r="E432" s="1246"/>
      <c r="F432" s="1246"/>
      <c r="G432" s="1247"/>
      <c r="H432" s="1248"/>
      <c r="I432" s="937"/>
      <c r="J432" s="937"/>
      <c r="K432" s="938"/>
      <c r="L432" s="938"/>
      <c r="M432" s="938"/>
      <c r="N432" s="938"/>
      <c r="O432" s="938"/>
      <c r="P432" s="938"/>
      <c r="Q432" s="818"/>
      <c r="R432" s="818"/>
      <c r="S432" s="818"/>
      <c r="T432" s="818"/>
      <c r="U432" s="818"/>
      <c r="V432" s="818"/>
      <c r="W432" s="818"/>
      <c r="X432" s="818"/>
      <c r="Y432" s="818"/>
      <c r="Z432" s="818"/>
    </row>
    <row r="433" spans="1:26" ht="19.5">
      <c r="A433" s="949"/>
      <c r="B433" s="950"/>
      <c r="C433" s="950"/>
      <c r="D433" s="960" t="s">
        <v>190</v>
      </c>
      <c r="E433" s="957"/>
      <c r="F433" s="957"/>
      <c r="G433" s="958"/>
      <c r="H433" s="196" t="s">
        <v>35</v>
      </c>
      <c r="I433" s="966">
        <f ca="1">I435</f>
        <v>15</v>
      </c>
      <c r="J433" s="966">
        <f ca="1">IF(AND(J435=I435,J437=I437,J439=I439),I437+I439,IF(AND(J435=I437,J437=I437),I437,IF(AND(J435=I439,J439=I439),I439,0)))</f>
        <v>15</v>
      </c>
      <c r="K433" s="967">
        <f t="shared" ref="K433:K435" ca="1" si="193">IF(I433&gt;0,J433*100/I433,0)</f>
        <v>100</v>
      </c>
      <c r="L433" s="831"/>
      <c r="M433" s="831"/>
      <c r="N433" s="831"/>
      <c r="O433" s="831"/>
      <c r="P433" s="831"/>
      <c r="Q433" s="818"/>
      <c r="R433" s="818"/>
      <c r="S433" s="818"/>
      <c r="T433" s="818"/>
      <c r="U433" s="818"/>
      <c r="V433" s="818"/>
      <c r="W433" s="818"/>
      <c r="X433" s="818"/>
      <c r="Y433" s="818"/>
      <c r="Z433" s="818"/>
    </row>
    <row r="434" spans="1:26" ht="19.5">
      <c r="A434" s="949"/>
      <c r="B434" s="950"/>
      <c r="C434" s="950"/>
      <c r="D434" s="960" t="s">
        <v>191</v>
      </c>
      <c r="E434" s="957"/>
      <c r="F434" s="957"/>
      <c r="G434" s="958"/>
      <c r="H434" s="196" t="s">
        <v>49</v>
      </c>
      <c r="I434" s="966">
        <f t="shared" ref="I434:J434" ca="1" si="194">I438+I440</f>
        <v>1</v>
      </c>
      <c r="J434" s="966">
        <f t="shared" si="194"/>
        <v>1</v>
      </c>
      <c r="K434" s="967">
        <f t="shared" ca="1" si="193"/>
        <v>100</v>
      </c>
      <c r="L434" s="831"/>
      <c r="M434" s="831"/>
      <c r="N434" s="831"/>
      <c r="O434" s="831"/>
      <c r="P434" s="831"/>
      <c r="Q434" s="818"/>
      <c r="R434" s="818"/>
      <c r="S434" s="818"/>
      <c r="T434" s="818"/>
      <c r="U434" s="818"/>
      <c r="V434" s="818"/>
      <c r="W434" s="818"/>
      <c r="X434" s="818"/>
      <c r="Y434" s="818"/>
      <c r="Z434" s="818"/>
    </row>
    <row r="435" spans="1:26" ht="18.75">
      <c r="A435" s="949"/>
      <c r="B435" s="950"/>
      <c r="C435" s="950"/>
      <c r="D435" s="956" t="s">
        <v>192</v>
      </c>
      <c r="E435" s="957"/>
      <c r="F435" s="957"/>
      <c r="G435" s="958"/>
      <c r="H435" s="590" t="s">
        <v>35</v>
      </c>
      <c r="I435" s="548">
        <f ca="1">IFERROR(__xludf.DUMMYFUNCTION("IMPORTRANGE(""https://docs.google.com/spreadsheets/d/1QqKyyYR6Q21VydFLVH3TRQUabQu_ym0Zz7PgGX0-kHA/edit?usp=sharing"",""แผน!FC17"")"),15)</f>
        <v>15</v>
      </c>
      <c r="J435" s="549">
        <v>15</v>
      </c>
      <c r="K435" s="831">
        <f t="shared" ca="1" si="193"/>
        <v>100</v>
      </c>
      <c r="L435" s="831"/>
      <c r="M435" s="831"/>
      <c r="N435" s="831"/>
      <c r="O435" s="831"/>
      <c r="P435" s="831"/>
      <c r="Q435" s="818"/>
      <c r="R435" s="818"/>
      <c r="S435" s="818"/>
      <c r="T435" s="818"/>
      <c r="U435" s="818"/>
      <c r="V435" s="818"/>
      <c r="W435" s="818"/>
      <c r="X435" s="818"/>
      <c r="Y435" s="818"/>
      <c r="Z435" s="818"/>
    </row>
    <row r="436" spans="1:26" ht="18.75">
      <c r="A436" s="949"/>
      <c r="B436" s="950"/>
      <c r="C436" s="950"/>
      <c r="D436" s="956" t="s">
        <v>193</v>
      </c>
      <c r="E436" s="957"/>
      <c r="F436" s="957"/>
      <c r="G436" s="958"/>
      <c r="H436" s="590"/>
      <c r="I436" s="830"/>
      <c r="J436" s="830"/>
      <c r="K436" s="831"/>
      <c r="L436" s="831"/>
      <c r="M436" s="831"/>
      <c r="N436" s="831"/>
      <c r="O436" s="831"/>
      <c r="P436" s="831"/>
      <c r="Q436" s="818"/>
      <c r="R436" s="818"/>
      <c r="S436" s="818"/>
      <c r="T436" s="818"/>
      <c r="U436" s="818"/>
      <c r="V436" s="818"/>
      <c r="W436" s="818"/>
      <c r="X436" s="818"/>
      <c r="Y436" s="818"/>
      <c r="Z436" s="818"/>
    </row>
    <row r="437" spans="1:26" ht="18.75">
      <c r="A437" s="949"/>
      <c r="B437" s="950"/>
      <c r="C437" s="950"/>
      <c r="D437" s="956" t="s">
        <v>194</v>
      </c>
      <c r="E437" s="957"/>
      <c r="F437" s="957"/>
      <c r="G437" s="958"/>
      <c r="H437" s="590" t="s">
        <v>35</v>
      </c>
      <c r="I437" s="548">
        <f ca="1">IFERROR(__xludf.DUMMYFUNCTION("IMPORTRANGE(""https://docs.google.com/spreadsheets/d/1QqKyyYR6Q21VydFLVH3TRQUabQu_ym0Zz7PgGX0-kHA/edit?usp=sharing"",""แผน!FD17"")"),0)</f>
        <v>0</v>
      </c>
      <c r="J437" s="549">
        <v>0</v>
      </c>
      <c r="K437" s="831">
        <f t="shared" ref="K437:K443" ca="1" si="195">IF(I437&gt;0,J437*100/I437,0)</f>
        <v>0</v>
      </c>
      <c r="L437" s="831"/>
      <c r="M437" s="831"/>
      <c r="N437" s="831"/>
      <c r="O437" s="831"/>
      <c r="P437" s="831"/>
      <c r="Q437" s="818"/>
      <c r="R437" s="818"/>
      <c r="S437" s="818"/>
      <c r="T437" s="818"/>
      <c r="U437" s="818"/>
      <c r="V437" s="818"/>
      <c r="W437" s="818"/>
      <c r="X437" s="818"/>
      <c r="Y437" s="818"/>
      <c r="Z437" s="818"/>
    </row>
    <row r="438" spans="1:26" ht="18.75">
      <c r="A438" s="949"/>
      <c r="B438" s="950"/>
      <c r="C438" s="950"/>
      <c r="D438" s="956" t="s">
        <v>195</v>
      </c>
      <c r="E438" s="957"/>
      <c r="F438" s="957"/>
      <c r="G438" s="958"/>
      <c r="H438" s="590" t="s">
        <v>49</v>
      </c>
      <c r="I438" s="830">
        <f ca="1">IFERROR(__xludf.DUMMYFUNCTION("IMPORTRANGE(""https://docs.google.com/spreadsheets/d/1QqKyyYR6Q21VydFLVH3TRQUabQu_ym0Zz7PgGX0-kHA/edit?usp=sharing"",""แผน!FE17"")"),0)</f>
        <v>0</v>
      </c>
      <c r="J438" s="959">
        <v>0</v>
      </c>
      <c r="K438" s="831">
        <f t="shared" ca="1" si="195"/>
        <v>0</v>
      </c>
      <c r="L438" s="831"/>
      <c r="M438" s="831"/>
      <c r="N438" s="831"/>
      <c r="O438" s="831"/>
      <c r="P438" s="831"/>
      <c r="Q438" s="818"/>
      <c r="R438" s="818"/>
      <c r="S438" s="818"/>
      <c r="T438" s="818"/>
      <c r="U438" s="818"/>
      <c r="V438" s="818"/>
      <c r="W438" s="818"/>
      <c r="X438" s="818"/>
      <c r="Y438" s="818"/>
      <c r="Z438" s="818"/>
    </row>
    <row r="439" spans="1:26" ht="18.75">
      <c r="A439" s="949"/>
      <c r="B439" s="950"/>
      <c r="C439" s="950"/>
      <c r="D439" s="956" t="s">
        <v>196</v>
      </c>
      <c r="E439" s="957"/>
      <c r="F439" s="957"/>
      <c r="G439" s="958"/>
      <c r="H439" s="590" t="s">
        <v>35</v>
      </c>
      <c r="I439" s="548">
        <f ca="1">IFERROR(__xludf.DUMMYFUNCTION("IMPORTRANGE(""https://docs.google.com/spreadsheets/d/1QqKyyYR6Q21VydFLVH3TRQUabQu_ym0Zz7PgGX0-kHA/edit?usp=sharing"",""แผน!FF17"")"),15)</f>
        <v>15</v>
      </c>
      <c r="J439" s="549">
        <v>15</v>
      </c>
      <c r="K439" s="831">
        <f t="shared" ca="1" si="195"/>
        <v>100</v>
      </c>
      <c r="L439" s="831"/>
      <c r="M439" s="831"/>
      <c r="N439" s="831"/>
      <c r="O439" s="831"/>
      <c r="P439" s="831"/>
      <c r="Q439" s="818"/>
      <c r="R439" s="818"/>
      <c r="S439" s="818"/>
      <c r="T439" s="818"/>
      <c r="U439" s="818"/>
      <c r="V439" s="818"/>
      <c r="W439" s="818"/>
      <c r="X439" s="818"/>
      <c r="Y439" s="818"/>
      <c r="Z439" s="818"/>
    </row>
    <row r="440" spans="1:26" ht="18.75">
      <c r="A440" s="949"/>
      <c r="B440" s="950"/>
      <c r="C440" s="950"/>
      <c r="D440" s="956" t="s">
        <v>197</v>
      </c>
      <c r="E440" s="957"/>
      <c r="F440" s="957"/>
      <c r="G440" s="958"/>
      <c r="H440" s="590" t="s">
        <v>49</v>
      </c>
      <c r="I440" s="830">
        <f ca="1">IFERROR(__xludf.DUMMYFUNCTION("IMPORTRANGE(""https://docs.google.com/spreadsheets/d/1QqKyyYR6Q21VydFLVH3TRQUabQu_ym0Zz7PgGX0-kHA/edit?usp=sharing"",""แผน!FG17"")"),1)</f>
        <v>1</v>
      </c>
      <c r="J440" s="959">
        <v>1</v>
      </c>
      <c r="K440" s="831">
        <f t="shared" ca="1" si="195"/>
        <v>100</v>
      </c>
      <c r="L440" s="831"/>
      <c r="M440" s="831"/>
      <c r="N440" s="831"/>
      <c r="O440" s="831"/>
      <c r="P440" s="831"/>
      <c r="Q440" s="818"/>
      <c r="R440" s="818"/>
      <c r="S440" s="818"/>
      <c r="T440" s="818"/>
      <c r="U440" s="818"/>
      <c r="V440" s="818"/>
      <c r="W440" s="818"/>
      <c r="X440" s="818"/>
      <c r="Y440" s="818"/>
      <c r="Z440" s="818"/>
    </row>
    <row r="441" spans="1:26" ht="18.75">
      <c r="A441" s="949"/>
      <c r="B441" s="950"/>
      <c r="C441" s="950"/>
      <c r="D441" s="956" t="s">
        <v>198</v>
      </c>
      <c r="E441" s="957"/>
      <c r="F441" s="957"/>
      <c r="G441" s="958"/>
      <c r="H441" s="590" t="s">
        <v>35</v>
      </c>
      <c r="I441" s="830">
        <f ca="1">IFERROR(__xludf.DUMMYFUNCTION("IMPORTRANGE(""https://docs.google.com/spreadsheets/d/1QqKyyYR6Q21VydFLVH3TRQUabQu_ym0Zz7PgGX0-kHA/edit?usp=sharing"",""แผน!FH17"")"),0)</f>
        <v>0</v>
      </c>
      <c r="J441" s="830">
        <v>0</v>
      </c>
      <c r="K441" s="831">
        <f t="shared" ca="1" si="195"/>
        <v>0</v>
      </c>
      <c r="L441" s="831"/>
      <c r="M441" s="831"/>
      <c r="N441" s="831"/>
      <c r="O441" s="831"/>
      <c r="P441" s="831"/>
      <c r="Q441" s="818"/>
      <c r="R441" s="818"/>
      <c r="S441" s="818"/>
      <c r="T441" s="818"/>
      <c r="U441" s="818"/>
      <c r="V441" s="818"/>
      <c r="W441" s="818"/>
      <c r="X441" s="818"/>
      <c r="Y441" s="818"/>
      <c r="Z441" s="818"/>
    </row>
    <row r="442" spans="1:26" ht="19.5" hidden="1">
      <c r="A442" s="550">
        <v>2</v>
      </c>
      <c r="B442" s="1249" t="s">
        <v>199</v>
      </c>
      <c r="C442" s="1250"/>
      <c r="D442" s="1250"/>
      <c r="E442" s="1250"/>
      <c r="F442" s="1250"/>
      <c r="G442" s="1251"/>
      <c r="H442" s="554" t="s">
        <v>35</v>
      </c>
      <c r="I442" s="1252">
        <f t="shared" ref="I442:J442" ca="1" si="196">I460</f>
        <v>0</v>
      </c>
      <c r="J442" s="1252">
        <f t="shared" si="196"/>
        <v>0</v>
      </c>
      <c r="K442" s="1253">
        <f t="shared" ca="1" si="195"/>
        <v>0</v>
      </c>
      <c r="L442" s="1254"/>
      <c r="M442" s="1254"/>
      <c r="N442" s="1254"/>
      <c r="O442" s="1254"/>
      <c r="P442" s="1254"/>
      <c r="Q442" s="1244"/>
      <c r="R442" s="1244"/>
      <c r="S442" s="1244"/>
      <c r="T442" s="1244"/>
      <c r="U442" s="1244"/>
      <c r="V442" s="1244"/>
      <c r="W442" s="1244"/>
      <c r="X442" s="1244"/>
      <c r="Y442" s="1244"/>
      <c r="Z442" s="1244"/>
    </row>
    <row r="443" spans="1:26" ht="19.5" hidden="1">
      <c r="A443" s="1255"/>
      <c r="B443" s="1256"/>
      <c r="C443" s="1257"/>
      <c r="D443" s="1257"/>
      <c r="E443" s="1257"/>
      <c r="F443" s="1257"/>
      <c r="G443" s="1258"/>
      <c r="H443" s="532" t="s">
        <v>46</v>
      </c>
      <c r="I443" s="1237">
        <f t="shared" ref="I443:J443" ca="1" si="197">I462</f>
        <v>0</v>
      </c>
      <c r="J443" s="1237">
        <f t="shared" si="197"/>
        <v>0</v>
      </c>
      <c r="K443" s="1238">
        <f t="shared" ca="1" si="195"/>
        <v>0</v>
      </c>
      <c r="L443" s="1239"/>
      <c r="M443" s="1239"/>
      <c r="N443" s="1239"/>
      <c r="O443" s="1239"/>
      <c r="P443" s="1239"/>
      <c r="Q443" s="1244"/>
      <c r="R443" s="1244"/>
      <c r="S443" s="1244"/>
      <c r="T443" s="1244"/>
      <c r="U443" s="1244"/>
      <c r="V443" s="1244"/>
      <c r="W443" s="1244"/>
      <c r="X443" s="1244"/>
      <c r="Y443" s="1244"/>
      <c r="Z443" s="1244"/>
    </row>
    <row r="444" spans="1:26" ht="19.5" hidden="1">
      <c r="A444" s="1259"/>
      <c r="B444" s="1243"/>
      <c r="C444" s="1243" t="s">
        <v>16</v>
      </c>
      <c r="D444" s="1507" t="s">
        <v>17</v>
      </c>
      <c r="E444" s="1485"/>
      <c r="F444" s="1485"/>
      <c r="G444" s="963"/>
      <c r="H444" s="563" t="s">
        <v>12</v>
      </c>
      <c r="I444" s="830"/>
      <c r="J444" s="830"/>
      <c r="K444" s="831"/>
      <c r="L444" s="967">
        <f t="shared" ref="L444:N444" ca="1" si="198">L445+L446</f>
        <v>0</v>
      </c>
      <c r="M444" s="967">
        <f t="shared" si="198"/>
        <v>0</v>
      </c>
      <c r="N444" s="967">
        <f t="shared" si="198"/>
        <v>0</v>
      </c>
      <c r="O444" s="967">
        <f t="shared" ref="O444:O449" ca="1" si="199">IF(L444&gt;0,N444*100/L444,0)</f>
        <v>0</v>
      </c>
      <c r="P444" s="967">
        <f t="shared" ref="P444:P449" si="200">IF(M444&gt;0,N444*100/M444,0)</f>
        <v>0</v>
      </c>
      <c r="Q444" s="1244"/>
      <c r="R444" s="1244"/>
      <c r="S444" s="1244"/>
      <c r="T444" s="1244"/>
      <c r="U444" s="1244"/>
      <c r="V444" s="1244"/>
      <c r="W444" s="1244"/>
      <c r="X444" s="1244"/>
      <c r="Y444" s="1244"/>
      <c r="Z444" s="1244"/>
    </row>
    <row r="445" spans="1:26" ht="18.75" hidden="1">
      <c r="A445" s="1260"/>
      <c r="B445" s="1261"/>
      <c r="C445" s="1261"/>
      <c r="D445" s="1262"/>
      <c r="E445" s="1261" t="s">
        <v>184</v>
      </c>
      <c r="F445" s="1261"/>
      <c r="G445" s="1263"/>
      <c r="H445" s="165" t="s">
        <v>12</v>
      </c>
      <c r="I445" s="836"/>
      <c r="J445" s="836"/>
      <c r="K445" s="837"/>
      <c r="L445" s="837">
        <f t="shared" ref="L445:N446" si="201">L448+L455</f>
        <v>0</v>
      </c>
      <c r="M445" s="837">
        <f t="shared" si="201"/>
        <v>0</v>
      </c>
      <c r="N445" s="837">
        <f t="shared" si="201"/>
        <v>0</v>
      </c>
      <c r="O445" s="837">
        <f t="shared" si="199"/>
        <v>0</v>
      </c>
      <c r="P445" s="837">
        <f t="shared" si="200"/>
        <v>0</v>
      </c>
      <c r="Q445" s="1264"/>
      <c r="R445" s="1264"/>
      <c r="S445" s="1264"/>
      <c r="T445" s="1264"/>
      <c r="U445" s="1264"/>
      <c r="V445" s="1264"/>
      <c r="W445" s="1264"/>
      <c r="X445" s="1264"/>
      <c r="Y445" s="1264"/>
      <c r="Z445" s="1264"/>
    </row>
    <row r="446" spans="1:26" ht="18.75" hidden="1">
      <c r="A446" s="1260"/>
      <c r="B446" s="1265"/>
      <c r="C446" s="1261"/>
      <c r="D446" s="1262"/>
      <c r="E446" s="1261" t="s">
        <v>185</v>
      </c>
      <c r="F446" s="1261"/>
      <c r="G446" s="1263"/>
      <c r="H446" s="165" t="s">
        <v>12</v>
      </c>
      <c r="I446" s="836"/>
      <c r="J446" s="836"/>
      <c r="K446" s="837"/>
      <c r="L446" s="837">
        <f t="shared" ca="1" si="201"/>
        <v>0</v>
      </c>
      <c r="M446" s="837">
        <f t="shared" si="201"/>
        <v>0</v>
      </c>
      <c r="N446" s="837">
        <f t="shared" si="201"/>
        <v>0</v>
      </c>
      <c r="O446" s="837">
        <f t="shared" ca="1" si="199"/>
        <v>0</v>
      </c>
      <c r="P446" s="837">
        <f t="shared" si="200"/>
        <v>0</v>
      </c>
      <c r="Q446" s="1264"/>
      <c r="R446" s="1264"/>
      <c r="S446" s="1264"/>
      <c r="T446" s="1264"/>
      <c r="U446" s="1264"/>
      <c r="V446" s="1264"/>
      <c r="W446" s="1264"/>
      <c r="X446" s="1264"/>
      <c r="Y446" s="1264"/>
      <c r="Z446" s="1264"/>
    </row>
    <row r="447" spans="1:26" ht="18.75" hidden="1">
      <c r="A447" s="1259"/>
      <c r="B447" s="1242"/>
      <c r="C447" s="1243"/>
      <c r="D447" s="1266" t="s">
        <v>20</v>
      </c>
      <c r="E447" s="1243"/>
      <c r="F447" s="1243"/>
      <c r="G447" s="963"/>
      <c r="H447" s="778" t="s">
        <v>12</v>
      </c>
      <c r="I447" s="944"/>
      <c r="J447" s="944"/>
      <c r="K447" s="945"/>
      <c r="L447" s="831">
        <f t="shared" ref="L447:N447" ca="1" si="202">L448+L449</f>
        <v>0</v>
      </c>
      <c r="M447" s="831">
        <f t="shared" si="202"/>
        <v>0</v>
      </c>
      <c r="N447" s="831">
        <f t="shared" si="202"/>
        <v>0</v>
      </c>
      <c r="O447" s="831">
        <f t="shared" ca="1" si="199"/>
        <v>0</v>
      </c>
      <c r="P447" s="831">
        <f t="shared" si="200"/>
        <v>0</v>
      </c>
      <c r="Q447" s="1244"/>
      <c r="R447" s="1244"/>
      <c r="S447" s="1244"/>
      <c r="T447" s="1244"/>
      <c r="U447" s="1244"/>
      <c r="V447" s="1244"/>
      <c r="W447" s="1244"/>
      <c r="X447" s="1244"/>
      <c r="Y447" s="1244"/>
      <c r="Z447" s="1244"/>
    </row>
    <row r="448" spans="1:26" ht="18.75" hidden="1">
      <c r="A448" s="1260"/>
      <c r="B448" s="1265"/>
      <c r="C448" s="1261"/>
      <c r="D448" s="1262"/>
      <c r="E448" s="1261" t="s">
        <v>184</v>
      </c>
      <c r="F448" s="1261"/>
      <c r="G448" s="1263"/>
      <c r="H448" s="165" t="s">
        <v>12</v>
      </c>
      <c r="I448" s="836"/>
      <c r="J448" s="836"/>
      <c r="K448" s="837"/>
      <c r="L448" s="837">
        <v>0</v>
      </c>
      <c r="M448" s="837">
        <v>0</v>
      </c>
      <c r="N448" s="837">
        <v>0</v>
      </c>
      <c r="O448" s="837">
        <f t="shared" si="199"/>
        <v>0</v>
      </c>
      <c r="P448" s="837">
        <f t="shared" si="200"/>
        <v>0</v>
      </c>
      <c r="Q448" s="1264"/>
      <c r="R448" s="1264"/>
      <c r="S448" s="1264"/>
      <c r="T448" s="1264"/>
      <c r="U448" s="1264"/>
      <c r="V448" s="1264"/>
      <c r="W448" s="1264"/>
      <c r="X448" s="1264"/>
      <c r="Y448" s="1264"/>
      <c r="Z448" s="1264"/>
    </row>
    <row r="449" spans="1:26" ht="18.75" hidden="1">
      <c r="A449" s="1260"/>
      <c r="B449" s="1265"/>
      <c r="C449" s="1261"/>
      <c r="D449" s="1262"/>
      <c r="E449" s="1261" t="s">
        <v>185</v>
      </c>
      <c r="F449" s="1261"/>
      <c r="G449" s="1263"/>
      <c r="H449" s="165" t="s">
        <v>12</v>
      </c>
      <c r="I449" s="836"/>
      <c r="J449" s="836"/>
      <c r="K449" s="837"/>
      <c r="L449" s="837">
        <f ca="1">IFERROR(__xludf.DUMMYFUNCTION("IMPORTRANGE(""https://docs.google.com/spreadsheets/d/1QqKyyYR6Q21VydFLVH3TRQUabQu_ym0Zz7PgGX0-kHA/edit?usp=sharing"",""แผน!FJ17"")"),0)</f>
        <v>0</v>
      </c>
      <c r="M449" s="837">
        <v>0</v>
      </c>
      <c r="N449" s="837">
        <f>N450+N451+N452+N453</f>
        <v>0</v>
      </c>
      <c r="O449" s="837">
        <f t="shared" ca="1" si="199"/>
        <v>0</v>
      </c>
      <c r="P449" s="837">
        <f t="shared" si="200"/>
        <v>0</v>
      </c>
      <c r="Q449" s="1264"/>
      <c r="R449" s="1264"/>
      <c r="S449" s="1264"/>
      <c r="T449" s="1264"/>
      <c r="U449" s="1264"/>
      <c r="V449" s="1264"/>
      <c r="W449" s="1264"/>
      <c r="X449" s="1264"/>
      <c r="Y449" s="1264"/>
      <c r="Z449" s="1264"/>
    </row>
    <row r="450" spans="1:26" ht="18.75" hidden="1">
      <c r="A450" s="1241"/>
      <c r="B450" s="1242"/>
      <c r="C450" s="1243"/>
      <c r="D450" s="1243"/>
      <c r="E450" s="1243"/>
      <c r="F450" s="1243" t="s">
        <v>186</v>
      </c>
      <c r="G450" s="963"/>
      <c r="H450" s="778" t="s">
        <v>12</v>
      </c>
      <c r="I450" s="830"/>
      <c r="J450" s="830"/>
      <c r="K450" s="831"/>
      <c r="L450" s="831"/>
      <c r="M450" s="831"/>
      <c r="N450" s="1031">
        <v>0</v>
      </c>
      <c r="O450" s="831"/>
      <c r="P450" s="831"/>
      <c r="Q450" s="1244"/>
      <c r="R450" s="1244"/>
      <c r="S450" s="1244"/>
      <c r="T450" s="1244"/>
      <c r="U450" s="1244"/>
      <c r="V450" s="1244"/>
      <c r="W450" s="1244"/>
      <c r="X450" s="1244"/>
      <c r="Y450" s="1244"/>
      <c r="Z450" s="1244"/>
    </row>
    <row r="451" spans="1:26" ht="18.75" hidden="1">
      <c r="A451" s="1241"/>
      <c r="B451" s="1242"/>
      <c r="C451" s="1243"/>
      <c r="D451" s="1243"/>
      <c r="E451" s="1243"/>
      <c r="F451" s="1243" t="s">
        <v>187</v>
      </c>
      <c r="G451" s="963"/>
      <c r="H451" s="778" t="s">
        <v>12</v>
      </c>
      <c r="I451" s="830"/>
      <c r="J451" s="830"/>
      <c r="K451" s="831"/>
      <c r="L451" s="831"/>
      <c r="M451" s="831"/>
      <c r="N451" s="1031">
        <v>0</v>
      </c>
      <c r="O451" s="831"/>
      <c r="P451" s="831"/>
      <c r="Q451" s="1244"/>
      <c r="R451" s="1244"/>
      <c r="S451" s="1244"/>
      <c r="T451" s="1244"/>
      <c r="U451" s="1244"/>
      <c r="V451" s="1244"/>
      <c r="W451" s="1244"/>
      <c r="X451" s="1244"/>
      <c r="Y451" s="1244"/>
      <c r="Z451" s="1244"/>
    </row>
    <row r="452" spans="1:26" ht="18.75" hidden="1">
      <c r="A452" s="1241"/>
      <c r="B452" s="1242"/>
      <c r="C452" s="1242"/>
      <c r="D452" s="1242"/>
      <c r="E452" s="1242"/>
      <c r="F452" s="1243" t="s">
        <v>188</v>
      </c>
      <c r="G452" s="963"/>
      <c r="H452" s="778" t="s">
        <v>12</v>
      </c>
      <c r="I452" s="830"/>
      <c r="J452" s="830"/>
      <c r="K452" s="831"/>
      <c r="L452" s="831"/>
      <c r="M452" s="831"/>
      <c r="N452" s="1031">
        <v>0</v>
      </c>
      <c r="O452" s="831"/>
      <c r="P452" s="831"/>
      <c r="Q452" s="1244"/>
      <c r="R452" s="1244"/>
      <c r="S452" s="1244"/>
      <c r="T452" s="1244"/>
      <c r="U452" s="1244"/>
      <c r="V452" s="1244"/>
      <c r="W452" s="1244"/>
      <c r="X452" s="1244"/>
      <c r="Y452" s="1244"/>
      <c r="Z452" s="1244"/>
    </row>
    <row r="453" spans="1:26" ht="18.75" hidden="1">
      <c r="A453" s="1241"/>
      <c r="B453" s="1242"/>
      <c r="C453" s="1242"/>
      <c r="D453" s="1242"/>
      <c r="E453" s="1242"/>
      <c r="F453" s="1243" t="s">
        <v>189</v>
      </c>
      <c r="G453" s="963"/>
      <c r="H453" s="778" t="s">
        <v>12</v>
      </c>
      <c r="I453" s="830"/>
      <c r="J453" s="830"/>
      <c r="K453" s="831"/>
      <c r="L453" s="831"/>
      <c r="M453" s="831"/>
      <c r="N453" s="1031">
        <v>0</v>
      </c>
      <c r="O453" s="831"/>
      <c r="P453" s="831"/>
      <c r="Q453" s="1244"/>
      <c r="R453" s="1244"/>
      <c r="S453" s="1244"/>
      <c r="T453" s="1244"/>
      <c r="U453" s="1244"/>
      <c r="V453" s="1244"/>
      <c r="W453" s="1244"/>
      <c r="X453" s="1244"/>
      <c r="Y453" s="1244"/>
      <c r="Z453" s="1244"/>
    </row>
    <row r="454" spans="1:26" ht="18.75" hidden="1">
      <c r="A454" s="1259"/>
      <c r="B454" s="1242"/>
      <c r="C454" s="1242"/>
      <c r="D454" s="1266" t="s">
        <v>21</v>
      </c>
      <c r="E454" s="1242"/>
      <c r="F454" s="1243"/>
      <c r="G454" s="963"/>
      <c r="H454" s="168" t="s">
        <v>12</v>
      </c>
      <c r="I454" s="944"/>
      <c r="J454" s="944"/>
      <c r="K454" s="945"/>
      <c r="L454" s="831">
        <f t="shared" ref="L454:N454" ca="1" si="203">L455+L456</f>
        <v>0</v>
      </c>
      <c r="M454" s="831">
        <f t="shared" si="203"/>
        <v>0</v>
      </c>
      <c r="N454" s="831">
        <f t="shared" si="203"/>
        <v>0</v>
      </c>
      <c r="O454" s="831">
        <f t="shared" ref="O454:O456" ca="1" si="204">IF(L454&gt;0,N454*100/L454,0)</f>
        <v>0</v>
      </c>
      <c r="P454" s="831">
        <f t="shared" ref="P454:P456" si="205">IF(M454&gt;0,N454*100/M454,0)</f>
        <v>0</v>
      </c>
      <c r="Q454" s="1244"/>
      <c r="R454" s="1244"/>
      <c r="S454" s="1244"/>
      <c r="T454" s="1244"/>
      <c r="U454" s="1244"/>
      <c r="V454" s="1244"/>
      <c r="W454" s="1244"/>
      <c r="X454" s="1244"/>
      <c r="Y454" s="1244"/>
      <c r="Z454" s="1244"/>
    </row>
    <row r="455" spans="1:26" ht="18.75" hidden="1">
      <c r="A455" s="1260"/>
      <c r="B455" s="1265"/>
      <c r="C455" s="1265"/>
      <c r="D455" s="1265"/>
      <c r="E455" s="1265" t="s">
        <v>18</v>
      </c>
      <c r="F455" s="1261"/>
      <c r="G455" s="1263"/>
      <c r="H455" s="165" t="s">
        <v>12</v>
      </c>
      <c r="I455" s="947"/>
      <c r="J455" s="947"/>
      <c r="K455" s="948"/>
      <c r="L455" s="837">
        <v>0</v>
      </c>
      <c r="M455" s="837">
        <v>0</v>
      </c>
      <c r="N455" s="837">
        <v>0</v>
      </c>
      <c r="O455" s="837">
        <f t="shared" si="204"/>
        <v>0</v>
      </c>
      <c r="P455" s="837">
        <f t="shared" si="205"/>
        <v>0</v>
      </c>
      <c r="Q455" s="1264"/>
      <c r="R455" s="1264"/>
      <c r="S455" s="1264"/>
      <c r="T455" s="1264"/>
      <c r="U455" s="1264"/>
      <c r="V455" s="1264"/>
      <c r="W455" s="1264"/>
      <c r="X455" s="1264"/>
      <c r="Y455" s="1264"/>
      <c r="Z455" s="1264"/>
    </row>
    <row r="456" spans="1:26" ht="18.75" hidden="1">
      <c r="A456" s="1260"/>
      <c r="B456" s="1265"/>
      <c r="C456" s="1265"/>
      <c r="D456" s="1265"/>
      <c r="E456" s="1265" t="s">
        <v>19</v>
      </c>
      <c r="F456" s="1261"/>
      <c r="G456" s="1263"/>
      <c r="H456" s="169" t="s">
        <v>12</v>
      </c>
      <c r="I456" s="947"/>
      <c r="J456" s="947"/>
      <c r="K456" s="948"/>
      <c r="L456" s="837">
        <f ca="1">IFERROR(__xludf.DUMMYFUNCTION("IMPORTRANGE(""https://docs.google.com/spreadsheets/d/1QqKyyYR6Q21VydFLVH3TRQUabQu_ym0Zz7PgGX0-kHA/edit?usp=sharing"",""แผน!FM17"")"),0)</f>
        <v>0</v>
      </c>
      <c r="M456" s="837">
        <v>0</v>
      </c>
      <c r="N456" s="837">
        <v>0</v>
      </c>
      <c r="O456" s="837">
        <f t="shared" ca="1" si="204"/>
        <v>0</v>
      </c>
      <c r="P456" s="837">
        <f t="shared" si="205"/>
        <v>0</v>
      </c>
      <c r="Q456" s="1264"/>
      <c r="R456" s="1264"/>
      <c r="S456" s="1264"/>
      <c r="T456" s="1264"/>
      <c r="U456" s="1264"/>
      <c r="V456" s="1264"/>
      <c r="W456" s="1264"/>
      <c r="X456" s="1264"/>
      <c r="Y456" s="1264"/>
      <c r="Z456" s="1264"/>
    </row>
    <row r="457" spans="1:26" ht="19.5" hidden="1">
      <c r="A457" s="1267"/>
      <c r="B457" s="1268"/>
      <c r="C457" s="1242" t="s">
        <v>16</v>
      </c>
      <c r="D457" s="1269" t="s">
        <v>38</v>
      </c>
      <c r="E457" s="1270"/>
      <c r="F457" s="1271"/>
      <c r="G457" s="1272"/>
      <c r="H457" s="954"/>
      <c r="I457" s="830"/>
      <c r="J457" s="830"/>
      <c r="K457" s="831"/>
      <c r="L457" s="831"/>
      <c r="M457" s="831"/>
      <c r="N457" s="831"/>
      <c r="O457" s="831"/>
      <c r="P457" s="831"/>
      <c r="Q457" s="1244"/>
      <c r="R457" s="1244"/>
      <c r="S457" s="1244"/>
      <c r="T457" s="1244"/>
      <c r="U457" s="1244"/>
      <c r="V457" s="1244"/>
      <c r="W457" s="1244"/>
      <c r="X457" s="1244"/>
      <c r="Y457" s="1244"/>
      <c r="Z457" s="1244"/>
    </row>
    <row r="458" spans="1:26" ht="18.75" hidden="1">
      <c r="A458" s="1273"/>
      <c r="B458" s="1274"/>
      <c r="C458" s="1274"/>
      <c r="D458" s="1274" t="s">
        <v>200</v>
      </c>
      <c r="E458" s="1274"/>
      <c r="F458" s="1262"/>
      <c r="G458" s="1060"/>
      <c r="H458" s="583" t="s">
        <v>35</v>
      </c>
      <c r="I458" s="836">
        <v>0</v>
      </c>
      <c r="J458" s="836">
        <v>0</v>
      </c>
      <c r="K458" s="837">
        <f>IF(I458&gt;0,J458*100/I458,0)</f>
        <v>0</v>
      </c>
      <c r="L458" s="837"/>
      <c r="M458" s="837"/>
      <c r="N458" s="837"/>
      <c r="O458" s="837"/>
      <c r="P458" s="837"/>
      <c r="Q458" s="1264"/>
      <c r="R458" s="1264"/>
      <c r="S458" s="1264"/>
      <c r="T458" s="1264"/>
      <c r="U458" s="1264"/>
      <c r="V458" s="1264"/>
      <c r="W458" s="1264"/>
      <c r="X458" s="1264"/>
      <c r="Y458" s="1264"/>
      <c r="Z458" s="1264"/>
    </row>
    <row r="459" spans="1:26" ht="18.75" hidden="1">
      <c r="A459" s="1273"/>
      <c r="B459" s="1274"/>
      <c r="C459" s="1274"/>
      <c r="D459" s="1274" t="s">
        <v>201</v>
      </c>
      <c r="E459" s="1274"/>
      <c r="F459" s="1262"/>
      <c r="G459" s="1060"/>
      <c r="H459" s="583"/>
      <c r="I459" s="836"/>
      <c r="J459" s="836"/>
      <c r="K459" s="837"/>
      <c r="L459" s="837"/>
      <c r="M459" s="837"/>
      <c r="N459" s="837"/>
      <c r="O459" s="837"/>
      <c r="P459" s="837"/>
      <c r="Q459" s="1264"/>
      <c r="R459" s="1264"/>
      <c r="S459" s="1264"/>
      <c r="T459" s="1264"/>
      <c r="U459" s="1264"/>
      <c r="V459" s="1264"/>
      <c r="W459" s="1264"/>
      <c r="X459" s="1264"/>
      <c r="Y459" s="1264"/>
      <c r="Z459" s="1264"/>
    </row>
    <row r="460" spans="1:26" ht="18.75" hidden="1">
      <c r="A460" s="1267"/>
      <c r="B460" s="1268"/>
      <c r="C460" s="1268"/>
      <c r="D460" s="1268" t="s">
        <v>202</v>
      </c>
      <c r="E460" s="1268"/>
      <c r="F460" s="961"/>
      <c r="G460" s="954"/>
      <c r="H460" s="730" t="s">
        <v>35</v>
      </c>
      <c r="I460" s="830">
        <f ca="1">IFERROR(__xludf.DUMMYFUNCTION("IMPORTRANGE(""https://docs.google.com/spreadsheets/d/1QqKyyYR6Q21VydFLVH3TRQUabQu_ym0Zz7PgGX0-kHA/edit?usp=sharing"",""แผน!FN17"")"),0)</f>
        <v>0</v>
      </c>
      <c r="J460" s="959">
        <v>0</v>
      </c>
      <c r="K460" s="831">
        <f ca="1">IF(I460&gt;0,J460*100/I460,0)</f>
        <v>0</v>
      </c>
      <c r="L460" s="831"/>
      <c r="M460" s="831"/>
      <c r="N460" s="831"/>
      <c r="O460" s="831"/>
      <c r="P460" s="831"/>
      <c r="Q460" s="1244"/>
      <c r="R460" s="1244"/>
      <c r="S460" s="1244"/>
      <c r="T460" s="1244"/>
      <c r="U460" s="1244"/>
      <c r="V460" s="1244"/>
      <c r="W460" s="1244"/>
      <c r="X460" s="1244"/>
      <c r="Y460" s="1244"/>
      <c r="Z460" s="1244"/>
    </row>
    <row r="461" spans="1:26" ht="18.75" hidden="1">
      <c r="A461" s="1267"/>
      <c r="B461" s="1268"/>
      <c r="C461" s="1268"/>
      <c r="D461" s="1268" t="s">
        <v>203</v>
      </c>
      <c r="E461" s="961"/>
      <c r="F461" s="961"/>
      <c r="G461" s="954"/>
      <c r="H461" s="730"/>
      <c r="I461" s="830"/>
      <c r="J461" s="830"/>
      <c r="K461" s="831"/>
      <c r="L461" s="831"/>
      <c r="M461" s="831"/>
      <c r="N461" s="831"/>
      <c r="O461" s="831"/>
      <c r="P461" s="831"/>
      <c r="Q461" s="1244"/>
      <c r="R461" s="1244"/>
      <c r="S461" s="1244"/>
      <c r="T461" s="1244"/>
      <c r="U461" s="1244"/>
      <c r="V461" s="1244"/>
      <c r="W461" s="1244"/>
      <c r="X461" s="1244"/>
      <c r="Y461" s="1244"/>
      <c r="Z461" s="1244"/>
    </row>
    <row r="462" spans="1:26" ht="18.75" hidden="1">
      <c r="A462" s="1267"/>
      <c r="B462" s="1268"/>
      <c r="C462" s="1268"/>
      <c r="D462" s="1268" t="s">
        <v>204</v>
      </c>
      <c r="E462" s="961"/>
      <c r="F462" s="961"/>
      <c r="G462" s="954"/>
      <c r="H462" s="730" t="s">
        <v>46</v>
      </c>
      <c r="I462" s="830">
        <f ca="1">IFERROR(__xludf.DUMMYFUNCTION("IMPORTRANGE(""https://docs.google.com/spreadsheets/d/1QqKyyYR6Q21VydFLVH3TRQUabQu_ym0Zz7PgGX0-kHA/edit?usp=sharing"",""แผน!FO17"")"),0)</f>
        <v>0</v>
      </c>
      <c r="J462" s="959">
        <v>0</v>
      </c>
      <c r="K462" s="831">
        <f ca="1">IF(I462&gt;0,J462*100/I462,0)</f>
        <v>0</v>
      </c>
      <c r="L462" s="831"/>
      <c r="M462" s="831"/>
      <c r="N462" s="831"/>
      <c r="O462" s="831"/>
      <c r="P462" s="831"/>
      <c r="Q462" s="1244"/>
      <c r="R462" s="1244"/>
      <c r="S462" s="1244"/>
      <c r="T462" s="1244"/>
      <c r="U462" s="1244"/>
      <c r="V462" s="1244"/>
      <c r="W462" s="1244"/>
      <c r="X462" s="1244"/>
      <c r="Y462" s="1244"/>
      <c r="Z462" s="1244"/>
    </row>
    <row r="463" spans="1:26" ht="18.75" hidden="1">
      <c r="A463" s="1267"/>
      <c r="B463" s="1268"/>
      <c r="C463" s="1268"/>
      <c r="D463" s="1268" t="s">
        <v>59</v>
      </c>
      <c r="E463" s="961"/>
      <c r="F463" s="1243"/>
      <c r="G463" s="963"/>
      <c r="H463" s="730" t="s">
        <v>46</v>
      </c>
      <c r="I463" s="830">
        <f ca="1">IFERROR(__xludf.DUMMYFUNCTION("IMPORTRANGE(""https://docs.google.com/spreadsheets/d/1QqKyyYR6Q21VydFLVH3TRQUabQu_ym0Zz7PgGX0-kHA/edit?usp=sharing"",""แผน!FO17"")"),0)</f>
        <v>0</v>
      </c>
      <c r="J463" s="959">
        <v>0</v>
      </c>
      <c r="K463" s="831"/>
      <c r="L463" s="831"/>
      <c r="M463" s="831"/>
      <c r="N463" s="831"/>
      <c r="O463" s="831"/>
      <c r="P463" s="831"/>
      <c r="Q463" s="1244"/>
      <c r="R463" s="1244"/>
      <c r="S463" s="1244"/>
      <c r="T463" s="1244"/>
      <c r="U463" s="1244"/>
      <c r="V463" s="1244"/>
      <c r="W463" s="1244"/>
      <c r="X463" s="1244"/>
      <c r="Y463" s="1244"/>
      <c r="Z463" s="1244"/>
    </row>
    <row r="464" spans="1:26" ht="19.5" hidden="1">
      <c r="A464" s="1267"/>
      <c r="B464" s="1268"/>
      <c r="C464" s="1268"/>
      <c r="D464" s="1268"/>
      <c r="E464" s="961"/>
      <c r="F464" s="961"/>
      <c r="G464" s="1275"/>
      <c r="H464" s="730" t="s">
        <v>35</v>
      </c>
      <c r="I464" s="830">
        <f ca="1">IFERROR(__xludf.DUMMYFUNCTION("IMPORTRANGE(""https://docs.google.com/spreadsheets/d/1QqKyyYR6Q21VydFLVH3TRQUabQu_ym0Zz7PgGX0-kHA/edit?usp=sharing"",""แผน!FN17"")"),0)</f>
        <v>0</v>
      </c>
      <c r="J464" s="959">
        <v>0</v>
      </c>
      <c r="K464" s="831"/>
      <c r="L464" s="831"/>
      <c r="M464" s="831"/>
      <c r="N464" s="831"/>
      <c r="O464" s="831"/>
      <c r="P464" s="831"/>
      <c r="Q464" s="1244"/>
      <c r="R464" s="1244"/>
      <c r="S464" s="1244"/>
      <c r="T464" s="1244"/>
      <c r="U464" s="1244"/>
      <c r="V464" s="1244"/>
      <c r="W464" s="1244"/>
      <c r="X464" s="1244"/>
      <c r="Y464" s="1244"/>
      <c r="Z464" s="1244"/>
    </row>
    <row r="465" spans="1:26" ht="19.5">
      <c r="A465" s="550">
        <v>3</v>
      </c>
      <c r="B465" s="1249" t="s">
        <v>205</v>
      </c>
      <c r="C465" s="1250"/>
      <c r="D465" s="1250"/>
      <c r="E465" s="1250"/>
      <c r="F465" s="1250"/>
      <c r="G465" s="1251"/>
      <c r="H465" s="554" t="s">
        <v>35</v>
      </c>
      <c r="I465" s="1252">
        <f ca="1">IFERROR(__xludf.DUMMYFUNCTION("IMPORTRANGE(""https://docs.google.com/spreadsheets/d/1QqKyyYR6Q21VydFLVH3TRQUabQu_ym0Zz7PgGX0-kHA/edit?usp=sharing"",""แผน!FX17"")"),51)</f>
        <v>51</v>
      </c>
      <c r="J465" s="1252">
        <f>J485+J489+J492</f>
        <v>51</v>
      </c>
      <c r="K465" s="1253">
        <f t="shared" ref="K465:K466" ca="1" si="206">IF(I465&gt;0,J465*100/I465,0)</f>
        <v>100</v>
      </c>
      <c r="L465" s="1253"/>
      <c r="M465" s="1253"/>
      <c r="N465" s="1253"/>
      <c r="O465" s="1253"/>
      <c r="P465" s="1253"/>
      <c r="Q465" s="1244"/>
      <c r="R465" s="1244"/>
      <c r="S465" s="1244"/>
      <c r="T465" s="1244"/>
      <c r="U465" s="1244"/>
      <c r="V465" s="1244"/>
      <c r="W465" s="1244"/>
      <c r="X465" s="1244"/>
      <c r="Y465" s="1244"/>
      <c r="Z465" s="1244"/>
    </row>
    <row r="466" spans="1:26" ht="19.5">
      <c r="A466" s="1255"/>
      <c r="B466" s="1256"/>
      <c r="C466" s="1257"/>
      <c r="D466" s="1257"/>
      <c r="E466" s="1257"/>
      <c r="F466" s="1257"/>
      <c r="G466" s="1258"/>
      <c r="H466" s="532" t="s">
        <v>46</v>
      </c>
      <c r="I466" s="1237">
        <f ca="1">IFERROR(__xludf.DUMMYFUNCTION("IMPORTRANGE(""https://docs.google.com/spreadsheets/d/1QqKyyYR6Q21VydFLVH3TRQUabQu_ym0Zz7PgGX0-kHA/edit?usp=sharing"",""แผน!FW17"")"),500)</f>
        <v>500</v>
      </c>
      <c r="J466" s="1237">
        <f>J495+J498</f>
        <v>0</v>
      </c>
      <c r="K466" s="1238">
        <f t="shared" ca="1" si="206"/>
        <v>0</v>
      </c>
      <c r="L466" s="1239"/>
      <c r="M466" s="1239"/>
      <c r="N466" s="1239"/>
      <c r="O466" s="1239"/>
      <c r="P466" s="1239"/>
      <c r="Q466" s="1244"/>
      <c r="R466" s="1244"/>
      <c r="S466" s="1244"/>
      <c r="T466" s="1244"/>
      <c r="U466" s="1244"/>
      <c r="V466" s="1244"/>
      <c r="W466" s="1244"/>
      <c r="X466" s="1244"/>
      <c r="Y466" s="1244"/>
      <c r="Z466" s="1244"/>
    </row>
    <row r="467" spans="1:26" ht="19.5">
      <c r="A467" s="1259"/>
      <c r="B467" s="1243"/>
      <c r="C467" s="1243" t="s">
        <v>16</v>
      </c>
      <c r="D467" s="1507" t="s">
        <v>17</v>
      </c>
      <c r="E467" s="1485"/>
      <c r="F467" s="1485"/>
      <c r="G467" s="963"/>
      <c r="H467" s="563" t="s">
        <v>12</v>
      </c>
      <c r="I467" s="830"/>
      <c r="J467" s="830"/>
      <c r="K467" s="831"/>
      <c r="L467" s="967">
        <f t="shared" ref="L467:N467" ca="1" si="207">L468+L469</f>
        <v>410813</v>
      </c>
      <c r="M467" s="967">
        <f t="shared" si="207"/>
        <v>0</v>
      </c>
      <c r="N467" s="967">
        <f t="shared" si="207"/>
        <v>62528</v>
      </c>
      <c r="O467" s="967">
        <f t="shared" ref="O467:O472" ca="1" si="208">IF(L467&gt;0,N467*100/L467,0)</f>
        <v>15.220550469434999</v>
      </c>
      <c r="P467" s="967">
        <f t="shared" ref="P467:P472" si="209">IF(M467&gt;0,N467*100/M467,0)</f>
        <v>0</v>
      </c>
      <c r="Q467" s="1244"/>
      <c r="R467" s="1244"/>
      <c r="S467" s="1244"/>
      <c r="T467" s="1244"/>
      <c r="U467" s="1244"/>
      <c r="V467" s="1244"/>
      <c r="W467" s="1244"/>
      <c r="X467" s="1244"/>
      <c r="Y467" s="1244"/>
      <c r="Z467" s="1244"/>
    </row>
    <row r="468" spans="1:26" ht="18.75" hidden="1">
      <c r="A468" s="1260"/>
      <c r="B468" s="1261"/>
      <c r="C468" s="1261"/>
      <c r="D468" s="1262"/>
      <c r="E468" s="1261" t="s">
        <v>184</v>
      </c>
      <c r="F468" s="1261"/>
      <c r="G468" s="1263"/>
      <c r="H468" s="165" t="s">
        <v>12</v>
      </c>
      <c r="I468" s="836"/>
      <c r="J468" s="836"/>
      <c r="K468" s="837"/>
      <c r="L468" s="837">
        <f t="shared" ref="L468:N469" si="210">L471+L478</f>
        <v>0</v>
      </c>
      <c r="M468" s="837">
        <f t="shared" si="210"/>
        <v>0</v>
      </c>
      <c r="N468" s="837">
        <f t="shared" si="210"/>
        <v>0</v>
      </c>
      <c r="O468" s="837">
        <f t="shared" si="208"/>
        <v>0</v>
      </c>
      <c r="P468" s="837">
        <f t="shared" si="209"/>
        <v>0</v>
      </c>
      <c r="Q468" s="1264"/>
      <c r="R468" s="1264"/>
      <c r="S468" s="1264"/>
      <c r="T468" s="1264"/>
      <c r="U468" s="1264"/>
      <c r="V468" s="1264"/>
      <c r="W468" s="1264"/>
      <c r="X468" s="1264"/>
      <c r="Y468" s="1264"/>
      <c r="Z468" s="1264"/>
    </row>
    <row r="469" spans="1:26" ht="18.75" hidden="1">
      <c r="A469" s="1260"/>
      <c r="B469" s="1265"/>
      <c r="C469" s="1261"/>
      <c r="D469" s="1262"/>
      <c r="E469" s="1261" t="s">
        <v>185</v>
      </c>
      <c r="F469" s="1261"/>
      <c r="G469" s="1263"/>
      <c r="H469" s="165" t="s">
        <v>12</v>
      </c>
      <c r="I469" s="836"/>
      <c r="J469" s="836"/>
      <c r="K469" s="837"/>
      <c r="L469" s="837">
        <f t="shared" ca="1" si="210"/>
        <v>410813</v>
      </c>
      <c r="M469" s="837">
        <f t="shared" si="210"/>
        <v>0</v>
      </c>
      <c r="N469" s="837">
        <f t="shared" si="210"/>
        <v>62528</v>
      </c>
      <c r="O469" s="837">
        <f t="shared" ca="1" si="208"/>
        <v>15.220550469434999</v>
      </c>
      <c r="P469" s="837">
        <f t="shared" si="209"/>
        <v>0</v>
      </c>
      <c r="Q469" s="1264"/>
      <c r="R469" s="1264"/>
      <c r="S469" s="1264"/>
      <c r="T469" s="1264"/>
      <c r="U469" s="1264"/>
      <c r="V469" s="1264"/>
      <c r="W469" s="1264"/>
      <c r="X469" s="1264"/>
      <c r="Y469" s="1264"/>
      <c r="Z469" s="1264"/>
    </row>
    <row r="470" spans="1:26" ht="18.75">
      <c r="A470" s="1259"/>
      <c r="B470" s="1242"/>
      <c r="C470" s="1243"/>
      <c r="D470" s="1266" t="s">
        <v>20</v>
      </c>
      <c r="E470" s="1243"/>
      <c r="F470" s="1243"/>
      <c r="G470" s="963"/>
      <c r="H470" s="778" t="s">
        <v>12</v>
      </c>
      <c r="I470" s="944"/>
      <c r="J470" s="944"/>
      <c r="K470" s="945"/>
      <c r="L470" s="831">
        <f t="shared" ref="L470:N470" ca="1" si="211">L471+L472</f>
        <v>410813</v>
      </c>
      <c r="M470" s="831">
        <f t="shared" si="211"/>
        <v>0</v>
      </c>
      <c r="N470" s="831">
        <f t="shared" si="211"/>
        <v>62528</v>
      </c>
      <c r="O470" s="831">
        <f t="shared" ca="1" si="208"/>
        <v>15.220550469434999</v>
      </c>
      <c r="P470" s="831">
        <f t="shared" si="209"/>
        <v>0</v>
      </c>
      <c r="Q470" s="1244"/>
      <c r="R470" s="1244"/>
      <c r="S470" s="1244"/>
      <c r="T470" s="1244"/>
      <c r="U470" s="1244"/>
      <c r="V470" s="1244"/>
      <c r="W470" s="1244"/>
      <c r="X470" s="1244"/>
      <c r="Y470" s="1244"/>
      <c r="Z470" s="1244"/>
    </row>
    <row r="471" spans="1:26" ht="18.75" hidden="1">
      <c r="A471" s="1260"/>
      <c r="B471" s="1265"/>
      <c r="C471" s="1261"/>
      <c r="D471" s="1262"/>
      <c r="E471" s="1261" t="s">
        <v>184</v>
      </c>
      <c r="F471" s="1261"/>
      <c r="G471" s="1263"/>
      <c r="H471" s="165" t="s">
        <v>12</v>
      </c>
      <c r="I471" s="836"/>
      <c r="J471" s="836"/>
      <c r="K471" s="837"/>
      <c r="L471" s="837">
        <v>0</v>
      </c>
      <c r="M471" s="837">
        <v>0</v>
      </c>
      <c r="N471" s="837">
        <v>0</v>
      </c>
      <c r="O471" s="837">
        <f t="shared" si="208"/>
        <v>0</v>
      </c>
      <c r="P471" s="837">
        <f t="shared" si="209"/>
        <v>0</v>
      </c>
      <c r="Q471" s="1264"/>
      <c r="R471" s="1264"/>
      <c r="S471" s="1264"/>
      <c r="T471" s="1264"/>
      <c r="U471" s="1264"/>
      <c r="V471" s="1264"/>
      <c r="W471" s="1264"/>
      <c r="X471" s="1264"/>
      <c r="Y471" s="1264"/>
      <c r="Z471" s="1264"/>
    </row>
    <row r="472" spans="1:26" ht="18.75" hidden="1">
      <c r="A472" s="1260"/>
      <c r="B472" s="1265"/>
      <c r="C472" s="1261"/>
      <c r="D472" s="1262"/>
      <c r="E472" s="1261" t="s">
        <v>185</v>
      </c>
      <c r="F472" s="1261"/>
      <c r="G472" s="1263"/>
      <c r="H472" s="165" t="s">
        <v>12</v>
      </c>
      <c r="I472" s="836"/>
      <c r="J472" s="836"/>
      <c r="K472" s="837"/>
      <c r="L472" s="837">
        <f ca="1">IFERROR(__xludf.DUMMYFUNCTION("IMPORTRANGE(""https://docs.google.com/spreadsheets/d/1QqKyyYR6Q21VydFLVH3TRQUabQu_ym0Zz7PgGX0-kHA/edit?usp=sharing"",""แผน!FS17"")"),410813)</f>
        <v>410813</v>
      </c>
      <c r="M472" s="837">
        <v>0</v>
      </c>
      <c r="N472" s="837">
        <f>N473+N474+N475+N476</f>
        <v>62528</v>
      </c>
      <c r="O472" s="837">
        <f t="shared" ca="1" si="208"/>
        <v>15.220550469434999</v>
      </c>
      <c r="P472" s="837">
        <f t="shared" si="209"/>
        <v>0</v>
      </c>
      <c r="Q472" s="1264"/>
      <c r="R472" s="1264"/>
      <c r="S472" s="1264"/>
      <c r="T472" s="1264"/>
      <c r="U472" s="1264"/>
      <c r="V472" s="1264"/>
      <c r="W472" s="1264"/>
      <c r="X472" s="1264"/>
      <c r="Y472" s="1264"/>
      <c r="Z472" s="1264"/>
    </row>
    <row r="473" spans="1:26" ht="18.75">
      <c r="A473" s="1241"/>
      <c r="B473" s="1242"/>
      <c r="C473" s="1243"/>
      <c r="D473" s="1243"/>
      <c r="E473" s="1243"/>
      <c r="F473" s="1243" t="s">
        <v>186</v>
      </c>
      <c r="G473" s="963"/>
      <c r="H473" s="778" t="s">
        <v>12</v>
      </c>
      <c r="I473" s="830"/>
      <c r="J473" s="830"/>
      <c r="K473" s="831"/>
      <c r="L473" s="831"/>
      <c r="M473" s="831"/>
      <c r="N473" s="1031">
        <v>50613</v>
      </c>
      <c r="O473" s="831"/>
      <c r="P473" s="831"/>
      <c r="Q473" s="1244"/>
      <c r="R473" s="1244"/>
      <c r="S473" s="1244"/>
      <c r="T473" s="1244"/>
      <c r="U473" s="1244"/>
      <c r="V473" s="1244"/>
      <c r="W473" s="1244"/>
      <c r="X473" s="1244"/>
      <c r="Y473" s="1244"/>
      <c r="Z473" s="1244"/>
    </row>
    <row r="474" spans="1:26" ht="18.75">
      <c r="A474" s="1241"/>
      <c r="B474" s="1242"/>
      <c r="C474" s="1243"/>
      <c r="D474" s="1243"/>
      <c r="E474" s="1243"/>
      <c r="F474" s="1243" t="s">
        <v>187</v>
      </c>
      <c r="G474" s="963"/>
      <c r="H474" s="778" t="s">
        <v>12</v>
      </c>
      <c r="I474" s="830"/>
      <c r="J474" s="830"/>
      <c r="K474" s="831"/>
      <c r="L474" s="831"/>
      <c r="M474" s="831"/>
      <c r="N474" s="1031">
        <v>0</v>
      </c>
      <c r="O474" s="831"/>
      <c r="P474" s="831"/>
      <c r="Q474" s="1244"/>
      <c r="R474" s="1244"/>
      <c r="S474" s="1244"/>
      <c r="T474" s="1244"/>
      <c r="U474" s="1244"/>
      <c r="V474" s="1244"/>
      <c r="W474" s="1244"/>
      <c r="X474" s="1244"/>
      <c r="Y474" s="1244"/>
      <c r="Z474" s="1244"/>
    </row>
    <row r="475" spans="1:26" ht="18.75">
      <c r="A475" s="1241"/>
      <c r="B475" s="1242"/>
      <c r="C475" s="1242"/>
      <c r="D475" s="1242"/>
      <c r="E475" s="1242"/>
      <c r="F475" s="1243" t="s">
        <v>188</v>
      </c>
      <c r="G475" s="963"/>
      <c r="H475" s="778" t="s">
        <v>12</v>
      </c>
      <c r="I475" s="830"/>
      <c r="J475" s="830"/>
      <c r="K475" s="831"/>
      <c r="L475" s="831"/>
      <c r="M475" s="831"/>
      <c r="N475" s="1031">
        <v>0</v>
      </c>
      <c r="O475" s="831"/>
      <c r="P475" s="831"/>
      <c r="Q475" s="1244"/>
      <c r="R475" s="1244"/>
      <c r="S475" s="1244"/>
      <c r="T475" s="1244"/>
      <c r="U475" s="1244"/>
      <c r="V475" s="1244"/>
      <c r="W475" s="1244"/>
      <c r="X475" s="1244"/>
      <c r="Y475" s="1244"/>
      <c r="Z475" s="1244"/>
    </row>
    <row r="476" spans="1:26" ht="18.75">
      <c r="A476" s="1241"/>
      <c r="B476" s="1242"/>
      <c r="C476" s="1242"/>
      <c r="D476" s="1242"/>
      <c r="E476" s="1242"/>
      <c r="F476" s="1243" t="s">
        <v>189</v>
      </c>
      <c r="G476" s="963"/>
      <c r="H476" s="778" t="s">
        <v>12</v>
      </c>
      <c r="I476" s="830"/>
      <c r="J476" s="830"/>
      <c r="K476" s="831"/>
      <c r="L476" s="831"/>
      <c r="M476" s="831"/>
      <c r="N476" s="1031">
        <v>11915</v>
      </c>
      <c r="O476" s="831"/>
      <c r="P476" s="831"/>
      <c r="Q476" s="1244"/>
      <c r="R476" s="1244"/>
      <c r="S476" s="1244"/>
      <c r="T476" s="1244"/>
      <c r="U476" s="1244"/>
      <c r="V476" s="1244"/>
      <c r="W476" s="1244"/>
      <c r="X476" s="1244"/>
      <c r="Y476" s="1244"/>
      <c r="Z476" s="1244"/>
    </row>
    <row r="477" spans="1:26" ht="18.75">
      <c r="A477" s="1259"/>
      <c r="B477" s="1242"/>
      <c r="C477" s="1242"/>
      <c r="D477" s="1266" t="s">
        <v>21</v>
      </c>
      <c r="E477" s="1242"/>
      <c r="F477" s="1242"/>
      <c r="G477" s="963"/>
      <c r="H477" s="168" t="s">
        <v>12</v>
      </c>
      <c r="I477" s="944"/>
      <c r="J477" s="944"/>
      <c r="K477" s="945"/>
      <c r="L477" s="831">
        <f t="shared" ref="L477:N477" ca="1" si="212">L478+L479</f>
        <v>0</v>
      </c>
      <c r="M477" s="831">
        <f t="shared" si="212"/>
        <v>0</v>
      </c>
      <c r="N477" s="831">
        <f t="shared" si="212"/>
        <v>0</v>
      </c>
      <c r="O477" s="831">
        <f t="shared" ref="O477:O479" ca="1" si="213">IF(L477&gt;0,N477*100/L477,0)</f>
        <v>0</v>
      </c>
      <c r="P477" s="831">
        <f t="shared" ref="P477:P479" si="214">IF(M477&gt;0,N477*100/M477,0)</f>
        <v>0</v>
      </c>
      <c r="Q477" s="1244"/>
      <c r="R477" s="1244"/>
      <c r="S477" s="1244"/>
      <c r="T477" s="1244"/>
      <c r="U477" s="1244"/>
      <c r="V477" s="1244"/>
      <c r="W477" s="1244"/>
      <c r="X477" s="1244"/>
      <c r="Y477" s="1244"/>
      <c r="Z477" s="1244"/>
    </row>
    <row r="478" spans="1:26" ht="18.75" hidden="1">
      <c r="A478" s="1260"/>
      <c r="B478" s="1265"/>
      <c r="C478" s="1265"/>
      <c r="D478" s="1265"/>
      <c r="E478" s="1265" t="s">
        <v>18</v>
      </c>
      <c r="F478" s="1265"/>
      <c r="G478" s="1263"/>
      <c r="H478" s="165" t="s">
        <v>12</v>
      </c>
      <c r="I478" s="947"/>
      <c r="J478" s="947"/>
      <c r="K478" s="948"/>
      <c r="L478" s="837">
        <v>0</v>
      </c>
      <c r="M478" s="837">
        <v>0</v>
      </c>
      <c r="N478" s="837">
        <v>0</v>
      </c>
      <c r="O478" s="837">
        <f t="shared" si="213"/>
        <v>0</v>
      </c>
      <c r="P478" s="837">
        <f t="shared" si="214"/>
        <v>0</v>
      </c>
      <c r="Q478" s="1264"/>
      <c r="R478" s="1264"/>
      <c r="S478" s="1264"/>
      <c r="T478" s="1264"/>
      <c r="U478" s="1264"/>
      <c r="V478" s="1264"/>
      <c r="W478" s="1264"/>
      <c r="X478" s="1264"/>
      <c r="Y478" s="1264"/>
      <c r="Z478" s="1264"/>
    </row>
    <row r="479" spans="1:26" ht="18.75" hidden="1">
      <c r="A479" s="1260"/>
      <c r="B479" s="1265"/>
      <c r="C479" s="1265"/>
      <c r="D479" s="1265"/>
      <c r="E479" s="1265" t="s">
        <v>19</v>
      </c>
      <c r="F479" s="1265"/>
      <c r="G479" s="1263"/>
      <c r="H479" s="169" t="s">
        <v>12</v>
      </c>
      <c r="I479" s="947"/>
      <c r="J479" s="947"/>
      <c r="K479" s="948"/>
      <c r="L479" s="837">
        <f ca="1">IFERROR(__xludf.DUMMYFUNCTION("IMPORTRANGE(""https://docs.google.com/spreadsheets/d/1QqKyyYR6Q21VydFLVH3TRQUabQu_ym0Zz7PgGX0-kHA/edit?usp=sharing"",""แผน!FV17"")"),0)</f>
        <v>0</v>
      </c>
      <c r="M479" s="837">
        <v>0</v>
      </c>
      <c r="N479" s="837">
        <v>0</v>
      </c>
      <c r="O479" s="837">
        <f t="shared" ca="1" si="213"/>
        <v>0</v>
      </c>
      <c r="P479" s="837">
        <f t="shared" si="214"/>
        <v>0</v>
      </c>
      <c r="Q479" s="1264"/>
      <c r="R479" s="1264"/>
      <c r="S479" s="1264"/>
      <c r="T479" s="1264"/>
      <c r="U479" s="1264"/>
      <c r="V479" s="1264"/>
      <c r="W479" s="1264"/>
      <c r="X479" s="1264"/>
      <c r="Y479" s="1264"/>
      <c r="Z479" s="1264"/>
    </row>
    <row r="480" spans="1:26" ht="19.5">
      <c r="A480" s="1267"/>
      <c r="B480" s="1268"/>
      <c r="C480" s="1242" t="s">
        <v>16</v>
      </c>
      <c r="D480" s="1276" t="s">
        <v>38</v>
      </c>
      <c r="E480" s="1270"/>
      <c r="F480" s="1271"/>
      <c r="G480" s="1272"/>
      <c r="H480" s="954"/>
      <c r="I480" s="830"/>
      <c r="J480" s="830"/>
      <c r="K480" s="831"/>
      <c r="L480" s="831"/>
      <c r="M480" s="831"/>
      <c r="N480" s="831"/>
      <c r="O480" s="831"/>
      <c r="P480" s="831"/>
      <c r="Q480" s="1244"/>
      <c r="R480" s="1244"/>
      <c r="S480" s="1244"/>
      <c r="T480" s="1244"/>
      <c r="U480" s="1244"/>
      <c r="V480" s="1244"/>
      <c r="W480" s="1244"/>
      <c r="X480" s="1244"/>
      <c r="Y480" s="1244"/>
      <c r="Z480" s="1244"/>
    </row>
    <row r="481" spans="1:26" ht="19.5">
      <c r="A481" s="1267"/>
      <c r="B481" s="1268"/>
      <c r="C481" s="1268"/>
      <c r="D481" s="1277" t="s">
        <v>206</v>
      </c>
      <c r="E481" s="1268"/>
      <c r="F481" s="1268"/>
      <c r="G481" s="954"/>
      <c r="H481" s="963"/>
      <c r="I481" s="830"/>
      <c r="J481" s="830"/>
      <c r="K481" s="831"/>
      <c r="L481" s="831"/>
      <c r="M481" s="831"/>
      <c r="N481" s="831"/>
      <c r="O481" s="831"/>
      <c r="P481" s="831"/>
      <c r="Q481" s="1244"/>
      <c r="R481" s="1244"/>
      <c r="S481" s="1244"/>
      <c r="T481" s="1244"/>
      <c r="U481" s="1244"/>
      <c r="V481" s="1244"/>
      <c r="W481" s="1244"/>
      <c r="X481" s="1244"/>
      <c r="Y481" s="1244"/>
      <c r="Z481" s="1244"/>
    </row>
    <row r="482" spans="1:26" ht="18.75">
      <c r="A482" s="1267"/>
      <c r="B482" s="1268"/>
      <c r="C482" s="1268"/>
      <c r="D482" s="1268"/>
      <c r="E482" s="1268" t="s">
        <v>207</v>
      </c>
      <c r="F482" s="1268"/>
      <c r="G482" s="954"/>
      <c r="H482" s="963"/>
      <c r="I482" s="830"/>
      <c r="J482" s="830"/>
      <c r="K482" s="831"/>
      <c r="L482" s="831"/>
      <c r="M482" s="831"/>
      <c r="N482" s="831"/>
      <c r="O482" s="831"/>
      <c r="P482" s="831"/>
      <c r="Q482" s="1244"/>
      <c r="R482" s="1244"/>
      <c r="S482" s="1244"/>
      <c r="T482" s="1244"/>
      <c r="U482" s="1244"/>
      <c r="V482" s="1244"/>
      <c r="W482" s="1244"/>
      <c r="X482" s="1244"/>
      <c r="Y482" s="1244"/>
      <c r="Z482" s="1244"/>
    </row>
    <row r="483" spans="1:26" ht="18.75">
      <c r="A483" s="1267"/>
      <c r="B483" s="1268"/>
      <c r="C483" s="1268"/>
      <c r="D483" s="1268"/>
      <c r="E483" s="1268"/>
      <c r="F483" s="1268" t="s">
        <v>208</v>
      </c>
      <c r="G483" s="954"/>
      <c r="H483" s="590" t="s">
        <v>46</v>
      </c>
      <c r="I483" s="830">
        <f ca="1">IFERROR(__xludf.DUMMYFUNCTION("IMPORTRANGE(""https://docs.google.com/spreadsheets/d/1QqKyyYR6Q21VydFLVH3TRQUabQu_ym0Zz7PgGX0-kHA/edit?usp=sharing"",""แผน!FY17"")"),450)</f>
        <v>450</v>
      </c>
      <c r="J483" s="959">
        <v>450</v>
      </c>
      <c r="K483" s="831">
        <f ca="1">IF(I483&gt;0,J483*100/I483,0)</f>
        <v>100</v>
      </c>
      <c r="L483" s="831"/>
      <c r="M483" s="831"/>
      <c r="N483" s="831"/>
      <c r="O483" s="831"/>
      <c r="P483" s="831"/>
      <c r="Q483" s="1244"/>
      <c r="R483" s="1244"/>
      <c r="S483" s="1244"/>
      <c r="T483" s="1244"/>
      <c r="U483" s="1244"/>
      <c r="V483" s="1244"/>
      <c r="W483" s="1244"/>
      <c r="X483" s="1244"/>
      <c r="Y483" s="1244"/>
      <c r="Z483" s="1244"/>
    </row>
    <row r="484" spans="1:26" ht="18.75">
      <c r="A484" s="1267"/>
      <c r="B484" s="1268"/>
      <c r="C484" s="1268"/>
      <c r="D484" s="1268"/>
      <c r="E484" s="1268"/>
      <c r="F484" s="1268" t="s">
        <v>209</v>
      </c>
      <c r="G484" s="954"/>
      <c r="H484" s="590" t="s">
        <v>35</v>
      </c>
      <c r="I484" s="830"/>
      <c r="J484" s="959">
        <v>45</v>
      </c>
      <c r="K484" s="831"/>
      <c r="L484" s="831"/>
      <c r="M484" s="831"/>
      <c r="N484" s="831"/>
      <c r="O484" s="831"/>
      <c r="P484" s="831"/>
      <c r="Q484" s="1244"/>
      <c r="R484" s="1244"/>
      <c r="S484" s="1244"/>
      <c r="T484" s="1244"/>
      <c r="U484" s="1244"/>
      <c r="V484" s="1244"/>
      <c r="W484" s="1244"/>
      <c r="X484" s="1244"/>
      <c r="Y484" s="1244"/>
      <c r="Z484" s="1244"/>
    </row>
    <row r="485" spans="1:26" ht="18.75">
      <c r="A485" s="1267"/>
      <c r="B485" s="1268"/>
      <c r="C485" s="1268"/>
      <c r="D485" s="1268"/>
      <c r="E485" s="1268"/>
      <c r="F485" s="1268" t="s">
        <v>210</v>
      </c>
      <c r="G485" s="954"/>
      <c r="H485" s="590" t="s">
        <v>35</v>
      </c>
      <c r="I485" s="830">
        <f ca="1">IFERROR(__xludf.DUMMYFUNCTION("IMPORTRANGE(""https://docs.google.com/spreadsheets/d/1QqKyyYR6Q21VydFLVH3TRQUabQu_ym0Zz7PgGX0-kHA/edit?usp=sharing"",""แผน!FZ17"")"),45)</f>
        <v>45</v>
      </c>
      <c r="J485" s="959">
        <v>45</v>
      </c>
      <c r="K485" s="831">
        <f ca="1">IF(I485&gt;0,J485*100/I485,0)</f>
        <v>100</v>
      </c>
      <c r="L485" s="831"/>
      <c r="M485" s="831"/>
      <c r="N485" s="831"/>
      <c r="O485" s="831"/>
      <c r="P485" s="831"/>
      <c r="Q485" s="1244"/>
      <c r="R485" s="1244"/>
      <c r="S485" s="1244"/>
      <c r="T485" s="1244"/>
      <c r="U485" s="1244"/>
      <c r="V485" s="1244"/>
      <c r="W485" s="1244"/>
      <c r="X485" s="1244"/>
      <c r="Y485" s="1244"/>
      <c r="Z485" s="1244"/>
    </row>
    <row r="486" spans="1:26" ht="18.75">
      <c r="A486" s="1267"/>
      <c r="B486" s="1268"/>
      <c r="C486" s="1268"/>
      <c r="D486" s="1268"/>
      <c r="E486" s="1268" t="s">
        <v>62</v>
      </c>
      <c r="F486" s="1268"/>
      <c r="G486" s="954"/>
      <c r="H486" s="590"/>
      <c r="I486" s="830"/>
      <c r="J486" s="830"/>
      <c r="K486" s="831"/>
      <c r="L486" s="831"/>
      <c r="M486" s="831"/>
      <c r="N486" s="831"/>
      <c r="O486" s="831"/>
      <c r="P486" s="831"/>
      <c r="Q486" s="1244"/>
      <c r="R486" s="1244"/>
      <c r="S486" s="1244"/>
      <c r="T486" s="1244"/>
      <c r="U486" s="1244"/>
      <c r="V486" s="1244"/>
      <c r="W486" s="1244"/>
      <c r="X486" s="1244"/>
      <c r="Y486" s="1244"/>
      <c r="Z486" s="1244"/>
    </row>
    <row r="487" spans="1:26" ht="18.75">
      <c r="A487" s="1267"/>
      <c r="B487" s="1268"/>
      <c r="C487" s="1268"/>
      <c r="D487" s="1268"/>
      <c r="E487" s="1268"/>
      <c r="F487" s="1268" t="s">
        <v>208</v>
      </c>
      <c r="G487" s="954"/>
      <c r="H487" s="590" t="s">
        <v>46</v>
      </c>
      <c r="I487" s="830">
        <f ca="1">IFERROR(__xludf.DUMMYFUNCTION("IMPORTRANGE(""https://docs.google.com/spreadsheets/d/1QqKyyYR6Q21VydFLVH3TRQUabQu_ym0Zz7PgGX0-kHA/edit?usp=sharing"",""แผน!GA17"")"),50)</f>
        <v>50</v>
      </c>
      <c r="J487" s="959">
        <v>50</v>
      </c>
      <c r="K487" s="831">
        <f ca="1">IF(I487&gt;0,J487*100/I487,0)</f>
        <v>100</v>
      </c>
      <c r="L487" s="831"/>
      <c r="M487" s="831"/>
      <c r="N487" s="831"/>
      <c r="O487" s="831"/>
      <c r="P487" s="831"/>
      <c r="Q487" s="1244"/>
      <c r="R487" s="1244"/>
      <c r="S487" s="1244"/>
      <c r="T487" s="1244"/>
      <c r="U487" s="1244"/>
      <c r="V487" s="1244"/>
      <c r="W487" s="1244"/>
      <c r="X487" s="1244"/>
      <c r="Y487" s="1244"/>
      <c r="Z487" s="1244"/>
    </row>
    <row r="488" spans="1:26" ht="18.75">
      <c r="A488" s="1267"/>
      <c r="B488" s="1268"/>
      <c r="C488" s="1268"/>
      <c r="D488" s="1268"/>
      <c r="E488" s="1268"/>
      <c r="F488" s="1268" t="s">
        <v>211</v>
      </c>
      <c r="G488" s="954"/>
      <c r="H488" s="590" t="s">
        <v>35</v>
      </c>
      <c r="I488" s="830"/>
      <c r="J488" s="959">
        <v>5</v>
      </c>
      <c r="K488" s="831"/>
      <c r="L488" s="831"/>
      <c r="M488" s="831"/>
      <c r="N488" s="831"/>
      <c r="O488" s="831"/>
      <c r="P488" s="831"/>
      <c r="Q488" s="1244"/>
      <c r="R488" s="1244"/>
      <c r="S488" s="1244"/>
      <c r="T488" s="1244"/>
      <c r="U488" s="1244"/>
      <c r="V488" s="1244"/>
      <c r="W488" s="1244"/>
      <c r="X488" s="1244"/>
      <c r="Y488" s="1244"/>
      <c r="Z488" s="1244"/>
    </row>
    <row r="489" spans="1:26" ht="18.75">
      <c r="A489" s="1267"/>
      <c r="B489" s="1268"/>
      <c r="C489" s="1268"/>
      <c r="D489" s="1268"/>
      <c r="E489" s="1268"/>
      <c r="F489" s="1268" t="s">
        <v>212</v>
      </c>
      <c r="G489" s="954"/>
      <c r="H489" s="590" t="s">
        <v>35</v>
      </c>
      <c r="I489" s="830">
        <f ca="1">IFERROR(__xludf.DUMMYFUNCTION("IMPORTRANGE(""https://docs.google.com/spreadsheets/d/1QqKyyYR6Q21VydFLVH3TRQUabQu_ym0Zz7PgGX0-kHA/edit?usp=sharing"",""แผน!GB17"")"),5)</f>
        <v>5</v>
      </c>
      <c r="J489" s="959">
        <v>5</v>
      </c>
      <c r="K489" s="831">
        <f ca="1">IF(I489&gt;0,J489*100/I489,0)</f>
        <v>100</v>
      </c>
      <c r="L489" s="831"/>
      <c r="M489" s="831"/>
      <c r="N489" s="831"/>
      <c r="O489" s="831"/>
      <c r="P489" s="831"/>
      <c r="Q489" s="1244"/>
      <c r="R489" s="1244"/>
      <c r="S489" s="1244"/>
      <c r="T489" s="1244"/>
      <c r="U489" s="1244"/>
      <c r="V489" s="1244"/>
      <c r="W489" s="1244"/>
      <c r="X489" s="1244"/>
      <c r="Y489" s="1244"/>
      <c r="Z489" s="1244"/>
    </row>
    <row r="490" spans="1:26" ht="18.75">
      <c r="A490" s="1267"/>
      <c r="B490" s="1268"/>
      <c r="C490" s="1268"/>
      <c r="D490" s="1268"/>
      <c r="E490" s="1268" t="s">
        <v>63</v>
      </c>
      <c r="F490" s="961"/>
      <c r="G490" s="954"/>
      <c r="H490" s="590"/>
      <c r="I490" s="830"/>
      <c r="J490" s="830"/>
      <c r="K490" s="831"/>
      <c r="L490" s="831"/>
      <c r="M490" s="831"/>
      <c r="N490" s="831"/>
      <c r="O490" s="831"/>
      <c r="P490" s="831"/>
      <c r="Q490" s="1244"/>
      <c r="R490" s="1244"/>
      <c r="S490" s="1244"/>
      <c r="T490" s="1244"/>
      <c r="U490" s="1244"/>
      <c r="V490" s="1244"/>
      <c r="W490" s="1244"/>
      <c r="X490" s="1244"/>
      <c r="Y490" s="1244"/>
      <c r="Z490" s="1244"/>
    </row>
    <row r="491" spans="1:26" ht="18.75">
      <c r="A491" s="1267"/>
      <c r="B491" s="1268"/>
      <c r="C491" s="1268"/>
      <c r="D491" s="1268"/>
      <c r="E491" s="1268"/>
      <c r="F491" s="1268" t="s">
        <v>213</v>
      </c>
      <c r="G491" s="954"/>
      <c r="H491" s="590" t="s">
        <v>35</v>
      </c>
      <c r="I491" s="830"/>
      <c r="J491" s="959">
        <v>0</v>
      </c>
      <c r="K491" s="831"/>
      <c r="L491" s="831"/>
      <c r="M491" s="831"/>
      <c r="N491" s="831"/>
      <c r="O491" s="831"/>
      <c r="P491" s="831"/>
      <c r="Q491" s="1244"/>
      <c r="R491" s="1244"/>
      <c r="S491" s="1244"/>
      <c r="T491" s="1244"/>
      <c r="U491" s="1244"/>
      <c r="V491" s="1244"/>
      <c r="W491" s="1244"/>
      <c r="X491" s="1244"/>
      <c r="Y491" s="1244"/>
      <c r="Z491" s="1244"/>
    </row>
    <row r="492" spans="1:26" ht="18.75">
      <c r="A492" s="1267"/>
      <c r="B492" s="1268"/>
      <c r="C492" s="1268"/>
      <c r="D492" s="1268"/>
      <c r="E492" s="1268"/>
      <c r="F492" s="1268" t="s">
        <v>214</v>
      </c>
      <c r="G492" s="954"/>
      <c r="H492" s="590" t="s">
        <v>35</v>
      </c>
      <c r="I492" s="830">
        <f ca="1">IFERROR(__xludf.DUMMYFUNCTION("IMPORTRANGE(""https://docs.google.com/spreadsheets/d/1QqKyyYR6Q21VydFLVH3TRQUabQu_ym0Zz7PgGX0-kHA/edit?usp=sharing"",""แผน!GC17"")"),1)</f>
        <v>1</v>
      </c>
      <c r="J492" s="959">
        <v>1</v>
      </c>
      <c r="K492" s="831">
        <f ca="1">IF(I492&gt;0,J492*100/I492,0)</f>
        <v>100</v>
      </c>
      <c r="L492" s="831"/>
      <c r="M492" s="831"/>
      <c r="N492" s="831"/>
      <c r="O492" s="831"/>
      <c r="P492" s="831"/>
      <c r="Q492" s="1244"/>
      <c r="R492" s="1244"/>
      <c r="S492" s="1244"/>
      <c r="T492" s="1244"/>
      <c r="U492" s="1244"/>
      <c r="V492" s="1244"/>
      <c r="W492" s="1244"/>
      <c r="X492" s="1244"/>
      <c r="Y492" s="1244"/>
      <c r="Z492" s="1244"/>
    </row>
    <row r="493" spans="1:26" ht="19.5">
      <c r="A493" s="1267"/>
      <c r="B493" s="1268"/>
      <c r="C493" s="1268"/>
      <c r="D493" s="1277" t="s">
        <v>59</v>
      </c>
      <c r="E493" s="1268"/>
      <c r="F493" s="961"/>
      <c r="G493" s="954"/>
      <c r="H493" s="963"/>
      <c r="I493" s="830"/>
      <c r="J493" s="830"/>
      <c r="K493" s="831"/>
      <c r="L493" s="831"/>
      <c r="M493" s="831"/>
      <c r="N493" s="831"/>
      <c r="O493" s="831"/>
      <c r="P493" s="831"/>
      <c r="Q493" s="1244"/>
      <c r="R493" s="1244"/>
      <c r="S493" s="1244"/>
      <c r="T493" s="1244"/>
      <c r="U493" s="1244"/>
      <c r="V493" s="1244"/>
      <c r="W493" s="1244"/>
      <c r="X493" s="1244"/>
      <c r="Y493" s="1244"/>
      <c r="Z493" s="1244"/>
    </row>
    <row r="494" spans="1:26" ht="18.75">
      <c r="A494" s="1267"/>
      <c r="B494" s="1268"/>
      <c r="C494" s="1268"/>
      <c r="D494" s="1268"/>
      <c r="E494" s="1268" t="s">
        <v>207</v>
      </c>
      <c r="F494" s="961"/>
      <c r="G494" s="954"/>
      <c r="H494" s="963"/>
      <c r="I494" s="830"/>
      <c r="J494" s="830"/>
      <c r="K494" s="831"/>
      <c r="L494" s="831"/>
      <c r="M494" s="831"/>
      <c r="N494" s="831"/>
      <c r="O494" s="831"/>
      <c r="P494" s="831"/>
      <c r="Q494" s="1244"/>
      <c r="R494" s="1244"/>
      <c r="S494" s="1244"/>
      <c r="T494" s="1244"/>
      <c r="U494" s="1244"/>
      <c r="V494" s="1244"/>
      <c r="W494" s="1244"/>
      <c r="X494" s="1244"/>
      <c r="Y494" s="1244"/>
      <c r="Z494" s="1244"/>
    </row>
    <row r="495" spans="1:26" ht="18.75">
      <c r="A495" s="1267"/>
      <c r="B495" s="1268"/>
      <c r="C495" s="1268"/>
      <c r="D495" s="1268"/>
      <c r="E495" s="1268"/>
      <c r="F495" s="961" t="s">
        <v>215</v>
      </c>
      <c r="G495" s="954"/>
      <c r="H495" s="590" t="s">
        <v>46</v>
      </c>
      <c r="I495" s="830">
        <f ca="1">IFERROR(__xludf.DUMMYFUNCTION("IMPORTRANGE(""https://docs.google.com/spreadsheets/d/1QqKyyYR6Q21VydFLVH3TRQUabQu_ym0Zz7PgGX0-kHA/edit?usp=sharing"",""แผน!FY17"")"),450)</f>
        <v>450</v>
      </c>
      <c r="J495" s="959">
        <v>0</v>
      </c>
      <c r="K495" s="831">
        <f ca="1">IF(I495&gt;0,J495*100/I495,0)</f>
        <v>0</v>
      </c>
      <c r="L495" s="831"/>
      <c r="M495" s="831"/>
      <c r="N495" s="831"/>
      <c r="O495" s="831"/>
      <c r="P495" s="831"/>
      <c r="Q495" s="1244"/>
      <c r="R495" s="1244"/>
      <c r="S495" s="1244"/>
      <c r="T495" s="1244"/>
      <c r="U495" s="1244"/>
      <c r="V495" s="1244"/>
      <c r="W495" s="1244"/>
      <c r="X495" s="1244"/>
      <c r="Y495" s="1244"/>
      <c r="Z495" s="1244"/>
    </row>
    <row r="496" spans="1:26" ht="18.75">
      <c r="A496" s="1267"/>
      <c r="B496" s="1268"/>
      <c r="C496" s="1268"/>
      <c r="D496" s="1268"/>
      <c r="E496" s="1268"/>
      <c r="F496" s="961" t="s">
        <v>216</v>
      </c>
      <c r="G496" s="954"/>
      <c r="H496" s="590" t="s">
        <v>46</v>
      </c>
      <c r="I496" s="830"/>
      <c r="J496" s="959">
        <v>0</v>
      </c>
      <c r="K496" s="831"/>
      <c r="L496" s="831"/>
      <c r="M496" s="831"/>
      <c r="N496" s="831"/>
      <c r="O496" s="831"/>
      <c r="P496" s="831"/>
      <c r="Q496" s="1244"/>
      <c r="R496" s="1244"/>
      <c r="S496" s="1244"/>
      <c r="T496" s="1244"/>
      <c r="U496" s="1244"/>
      <c r="V496" s="1244"/>
      <c r="W496" s="1244"/>
      <c r="X496" s="1244"/>
      <c r="Y496" s="1244"/>
      <c r="Z496" s="1244"/>
    </row>
    <row r="497" spans="1:26" ht="18.75">
      <c r="A497" s="1267"/>
      <c r="B497" s="1268"/>
      <c r="C497" s="1268"/>
      <c r="D497" s="1268"/>
      <c r="E497" s="1268" t="s">
        <v>62</v>
      </c>
      <c r="F497" s="961"/>
      <c r="G497" s="954"/>
      <c r="H497" s="963"/>
      <c r="I497" s="830"/>
      <c r="J497" s="830"/>
      <c r="K497" s="831"/>
      <c r="L497" s="831"/>
      <c r="M497" s="831"/>
      <c r="N497" s="831"/>
      <c r="O497" s="831"/>
      <c r="P497" s="831"/>
      <c r="Q497" s="1244"/>
      <c r="R497" s="1244"/>
      <c r="S497" s="1244"/>
      <c r="T497" s="1244"/>
      <c r="U497" s="1244"/>
      <c r="V497" s="1244"/>
      <c r="W497" s="1244"/>
      <c r="X497" s="1244"/>
      <c r="Y497" s="1244"/>
      <c r="Z497" s="1244"/>
    </row>
    <row r="498" spans="1:26" ht="18.75">
      <c r="A498" s="1267"/>
      <c r="B498" s="1268"/>
      <c r="C498" s="1268"/>
      <c r="D498" s="1268"/>
      <c r="E498" s="961"/>
      <c r="F498" s="961" t="s">
        <v>217</v>
      </c>
      <c r="G498" s="954"/>
      <c r="H498" s="590" t="s">
        <v>46</v>
      </c>
      <c r="I498" s="830">
        <f ca="1">IFERROR(__xludf.DUMMYFUNCTION("IMPORTRANGE(""https://docs.google.com/spreadsheets/d/1QqKyyYR6Q21VydFLVH3TRQUabQu_ym0Zz7PgGX0-kHA/edit?usp=sharing"",""แผน!GA17"")"),50)</f>
        <v>50</v>
      </c>
      <c r="J498" s="959">
        <v>0</v>
      </c>
      <c r="K498" s="831">
        <f ca="1">IF(I498&gt;0,J498*100/I498,0)</f>
        <v>0</v>
      </c>
      <c r="L498" s="831"/>
      <c r="M498" s="831"/>
      <c r="N498" s="831"/>
      <c r="O498" s="831"/>
      <c r="P498" s="831"/>
      <c r="Q498" s="1244"/>
      <c r="R498" s="1244"/>
      <c r="S498" s="1244"/>
      <c r="T498" s="1244"/>
      <c r="U498" s="1244"/>
      <c r="V498" s="1244"/>
      <c r="W498" s="1244"/>
      <c r="X498" s="1244"/>
      <c r="Y498" s="1244"/>
      <c r="Z498" s="1244"/>
    </row>
    <row r="499" spans="1:26" ht="18.75">
      <c r="A499" s="1267"/>
      <c r="B499" s="1268"/>
      <c r="C499" s="1268"/>
      <c r="D499" s="1268"/>
      <c r="E499" s="961"/>
      <c r="F499" s="961" t="s">
        <v>218</v>
      </c>
      <c r="G499" s="954"/>
      <c r="H499" s="590" t="s">
        <v>46</v>
      </c>
      <c r="I499" s="830"/>
      <c r="J499" s="959">
        <v>0</v>
      </c>
      <c r="K499" s="831"/>
      <c r="L499" s="831"/>
      <c r="M499" s="831"/>
      <c r="N499" s="831"/>
      <c r="O499" s="831"/>
      <c r="P499" s="831"/>
      <c r="Q499" s="1244"/>
      <c r="R499" s="1244"/>
      <c r="S499" s="1244"/>
      <c r="T499" s="1244"/>
      <c r="U499" s="1244"/>
      <c r="V499" s="1244"/>
      <c r="W499" s="1244"/>
      <c r="X499" s="1244"/>
      <c r="Y499" s="1244"/>
      <c r="Z499" s="1244"/>
    </row>
    <row r="500" spans="1:26" ht="19.5" hidden="1">
      <c r="A500" s="594">
        <v>4</v>
      </c>
      <c r="B500" s="1278" t="s">
        <v>219</v>
      </c>
      <c r="C500" s="1279"/>
      <c r="D500" s="1280"/>
      <c r="E500" s="1280"/>
      <c r="F500" s="1280"/>
      <c r="G500" s="1281"/>
      <c r="H500" s="599" t="s">
        <v>109</v>
      </c>
      <c r="I500" s="1282"/>
      <c r="J500" s="1282">
        <f t="shared" ref="J500:J501" si="215">J516</f>
        <v>0</v>
      </c>
      <c r="K500" s="1283">
        <f t="shared" ref="K500:K501" si="216">IF(I500&gt;0,J500*100/I500,0)</f>
        <v>0</v>
      </c>
      <c r="L500" s="1284"/>
      <c r="M500" s="1284"/>
      <c r="N500" s="1284"/>
      <c r="O500" s="1284"/>
      <c r="P500" s="1284"/>
      <c r="Q500" s="1264"/>
      <c r="R500" s="1264"/>
      <c r="S500" s="1264"/>
      <c r="T500" s="1264"/>
      <c r="U500" s="1264"/>
      <c r="V500" s="1264"/>
      <c r="W500" s="1264"/>
      <c r="X500" s="1264"/>
      <c r="Y500" s="1264"/>
      <c r="Z500" s="1264"/>
    </row>
    <row r="501" spans="1:26" ht="19.5" hidden="1">
      <c r="A501" s="1285"/>
      <c r="B501" s="1286" t="s">
        <v>220</v>
      </c>
      <c r="C501" s="1286"/>
      <c r="D501" s="1287"/>
      <c r="E501" s="1287"/>
      <c r="F501" s="1287"/>
      <c r="G501" s="1288"/>
      <c r="H501" s="608" t="s">
        <v>35</v>
      </c>
      <c r="I501" s="1289"/>
      <c r="J501" s="1289">
        <f t="shared" si="215"/>
        <v>0</v>
      </c>
      <c r="K501" s="1290">
        <f t="shared" si="216"/>
        <v>0</v>
      </c>
      <c r="L501" s="1291"/>
      <c r="M501" s="1291"/>
      <c r="N501" s="1291"/>
      <c r="O501" s="1291"/>
      <c r="P501" s="1291"/>
      <c r="Q501" s="1264"/>
      <c r="R501" s="1264"/>
      <c r="S501" s="1264"/>
      <c r="T501" s="1264"/>
      <c r="U501" s="1264"/>
      <c r="V501" s="1264"/>
      <c r="W501" s="1264"/>
      <c r="X501" s="1264"/>
      <c r="Y501" s="1264"/>
      <c r="Z501" s="1264"/>
    </row>
    <row r="502" spans="1:26" ht="19.5" hidden="1">
      <c r="A502" s="1260"/>
      <c r="B502" s="1261"/>
      <c r="C502" s="1261" t="s">
        <v>16</v>
      </c>
      <c r="D502" s="1508" t="s">
        <v>17</v>
      </c>
      <c r="E502" s="1485"/>
      <c r="F502" s="1485"/>
      <c r="G502" s="1263"/>
      <c r="H502" s="612" t="s">
        <v>12</v>
      </c>
      <c r="I502" s="836"/>
      <c r="J502" s="836"/>
      <c r="K502" s="837"/>
      <c r="L502" s="1292">
        <f t="shared" ref="L502:N502" si="217">L503+L504</f>
        <v>0</v>
      </c>
      <c r="M502" s="1292">
        <f t="shared" si="217"/>
        <v>0</v>
      </c>
      <c r="N502" s="1292">
        <f t="shared" si="217"/>
        <v>0</v>
      </c>
      <c r="O502" s="1292">
        <f t="shared" ref="O502:O507" si="218">IF(L502&gt;0,N502*100/L502,0)</f>
        <v>0</v>
      </c>
      <c r="P502" s="1292">
        <f t="shared" ref="P502:P507" si="219">IF(M502&gt;0,N502*100/M502,0)</f>
        <v>0</v>
      </c>
      <c r="Q502" s="1264"/>
      <c r="R502" s="1264"/>
      <c r="S502" s="1264"/>
      <c r="T502" s="1264"/>
      <c r="U502" s="1264"/>
      <c r="V502" s="1264"/>
      <c r="W502" s="1264"/>
      <c r="X502" s="1264"/>
      <c r="Y502" s="1264"/>
      <c r="Z502" s="1264"/>
    </row>
    <row r="503" spans="1:26" ht="18.75" hidden="1">
      <c r="A503" s="1260"/>
      <c r="B503" s="1261"/>
      <c r="C503" s="1261"/>
      <c r="D503" s="1262"/>
      <c r="E503" s="1261" t="s">
        <v>184</v>
      </c>
      <c r="F503" s="1261"/>
      <c r="G503" s="1263"/>
      <c r="H503" s="165" t="s">
        <v>12</v>
      </c>
      <c r="I503" s="836"/>
      <c r="J503" s="836"/>
      <c r="K503" s="837"/>
      <c r="L503" s="837">
        <f t="shared" ref="L503:N504" si="220">L506+L513</f>
        <v>0</v>
      </c>
      <c r="M503" s="837">
        <f t="shared" si="220"/>
        <v>0</v>
      </c>
      <c r="N503" s="837">
        <f t="shared" si="220"/>
        <v>0</v>
      </c>
      <c r="O503" s="837">
        <f t="shared" si="218"/>
        <v>0</v>
      </c>
      <c r="P503" s="837">
        <f t="shared" si="219"/>
        <v>0</v>
      </c>
      <c r="Q503" s="1264"/>
      <c r="R503" s="1264"/>
      <c r="S503" s="1264"/>
      <c r="T503" s="1264"/>
      <c r="U503" s="1264"/>
      <c r="V503" s="1264"/>
      <c r="W503" s="1264"/>
      <c r="X503" s="1264"/>
      <c r="Y503" s="1264"/>
      <c r="Z503" s="1264"/>
    </row>
    <row r="504" spans="1:26" ht="18.75" hidden="1">
      <c r="A504" s="1260"/>
      <c r="B504" s="1265"/>
      <c r="C504" s="1261"/>
      <c r="D504" s="1262"/>
      <c r="E504" s="1261" t="s">
        <v>185</v>
      </c>
      <c r="F504" s="1261"/>
      <c r="G504" s="1263"/>
      <c r="H504" s="165" t="s">
        <v>12</v>
      </c>
      <c r="I504" s="836"/>
      <c r="J504" s="836"/>
      <c r="K504" s="837"/>
      <c r="L504" s="837">
        <f t="shared" si="220"/>
        <v>0</v>
      </c>
      <c r="M504" s="837">
        <f t="shared" si="220"/>
        <v>0</v>
      </c>
      <c r="N504" s="837">
        <f t="shared" si="220"/>
        <v>0</v>
      </c>
      <c r="O504" s="837">
        <f t="shared" si="218"/>
        <v>0</v>
      </c>
      <c r="P504" s="837">
        <f t="shared" si="219"/>
        <v>0</v>
      </c>
      <c r="Q504" s="1264"/>
      <c r="R504" s="1264"/>
      <c r="S504" s="1264"/>
      <c r="T504" s="1264"/>
      <c r="U504" s="1264"/>
      <c r="V504" s="1264"/>
      <c r="W504" s="1264"/>
      <c r="X504" s="1264"/>
      <c r="Y504" s="1264"/>
      <c r="Z504" s="1264"/>
    </row>
    <row r="505" spans="1:26" ht="18.75" hidden="1">
      <c r="A505" s="1260"/>
      <c r="B505" s="1265"/>
      <c r="C505" s="1261"/>
      <c r="D505" s="1293" t="s">
        <v>20</v>
      </c>
      <c r="E505" s="1261"/>
      <c r="F505" s="1261"/>
      <c r="G505" s="1263"/>
      <c r="H505" s="165" t="s">
        <v>12</v>
      </c>
      <c r="I505" s="947"/>
      <c r="J505" s="947"/>
      <c r="K505" s="948"/>
      <c r="L505" s="837">
        <f t="shared" ref="L505:N505" si="221">L506+L507</f>
        <v>0</v>
      </c>
      <c r="M505" s="837">
        <f t="shared" si="221"/>
        <v>0</v>
      </c>
      <c r="N505" s="837">
        <f t="shared" si="221"/>
        <v>0</v>
      </c>
      <c r="O505" s="837">
        <f t="shared" si="218"/>
        <v>0</v>
      </c>
      <c r="P505" s="837">
        <f t="shared" si="219"/>
        <v>0</v>
      </c>
      <c r="Q505" s="1264"/>
      <c r="R505" s="1264"/>
      <c r="S505" s="1264"/>
      <c r="T505" s="1264"/>
      <c r="U505" s="1264"/>
      <c r="V505" s="1264"/>
      <c r="W505" s="1264"/>
      <c r="X505" s="1264"/>
      <c r="Y505" s="1264"/>
      <c r="Z505" s="1264"/>
    </row>
    <row r="506" spans="1:26" ht="18.75" hidden="1">
      <c r="A506" s="1260"/>
      <c r="B506" s="1265"/>
      <c r="C506" s="1261"/>
      <c r="D506" s="1262"/>
      <c r="E506" s="1261" t="s">
        <v>184</v>
      </c>
      <c r="F506" s="1261"/>
      <c r="G506" s="1263"/>
      <c r="H506" s="165" t="s">
        <v>12</v>
      </c>
      <c r="I506" s="836"/>
      <c r="J506" s="836"/>
      <c r="K506" s="837"/>
      <c r="L506" s="837">
        <v>0</v>
      </c>
      <c r="M506" s="837">
        <v>0</v>
      </c>
      <c r="N506" s="837">
        <v>0</v>
      </c>
      <c r="O506" s="837">
        <f t="shared" si="218"/>
        <v>0</v>
      </c>
      <c r="P506" s="837">
        <f t="shared" si="219"/>
        <v>0</v>
      </c>
      <c r="Q506" s="1264"/>
      <c r="R506" s="1264"/>
      <c r="S506" s="1264"/>
      <c r="T506" s="1264"/>
      <c r="U506" s="1264"/>
      <c r="V506" s="1264"/>
      <c r="W506" s="1264"/>
      <c r="X506" s="1264"/>
      <c r="Y506" s="1264"/>
      <c r="Z506" s="1264"/>
    </row>
    <row r="507" spans="1:26" ht="18.75" hidden="1">
      <c r="A507" s="1260"/>
      <c r="B507" s="1265"/>
      <c r="C507" s="1261"/>
      <c r="D507" s="1262"/>
      <c r="E507" s="1261" t="s">
        <v>185</v>
      </c>
      <c r="F507" s="1261"/>
      <c r="G507" s="1263"/>
      <c r="H507" s="165" t="s">
        <v>12</v>
      </c>
      <c r="I507" s="836"/>
      <c r="J507" s="836"/>
      <c r="K507" s="837"/>
      <c r="L507" s="837">
        <v>0</v>
      </c>
      <c r="M507" s="837">
        <v>0</v>
      </c>
      <c r="N507" s="837">
        <f>N508+N509+N510+N511</f>
        <v>0</v>
      </c>
      <c r="O507" s="837">
        <f t="shared" si="218"/>
        <v>0</v>
      </c>
      <c r="P507" s="837">
        <f t="shared" si="219"/>
        <v>0</v>
      </c>
      <c r="Q507" s="1264"/>
      <c r="R507" s="1264"/>
      <c r="S507" s="1264"/>
      <c r="T507" s="1264"/>
      <c r="U507" s="1264"/>
      <c r="V507" s="1264"/>
      <c r="W507" s="1264"/>
      <c r="X507" s="1264"/>
      <c r="Y507" s="1264"/>
      <c r="Z507" s="1264"/>
    </row>
    <row r="508" spans="1:26" ht="18.75" hidden="1">
      <c r="A508" s="1294"/>
      <c r="B508" s="1265"/>
      <c r="C508" s="1261"/>
      <c r="D508" s="1261"/>
      <c r="E508" s="1261"/>
      <c r="F508" s="1261" t="s">
        <v>186</v>
      </c>
      <c r="G508" s="1263"/>
      <c r="H508" s="165" t="s">
        <v>12</v>
      </c>
      <c r="I508" s="836"/>
      <c r="J508" s="836"/>
      <c r="K508" s="837"/>
      <c r="L508" s="837"/>
      <c r="M508" s="837"/>
      <c r="N508" s="837">
        <v>0</v>
      </c>
      <c r="O508" s="837"/>
      <c r="P508" s="837"/>
      <c r="Q508" s="1264"/>
      <c r="R508" s="1264"/>
      <c r="S508" s="1264"/>
      <c r="T508" s="1264"/>
      <c r="U508" s="1264"/>
      <c r="V508" s="1264"/>
      <c r="W508" s="1264"/>
      <c r="X508" s="1264"/>
      <c r="Y508" s="1264"/>
      <c r="Z508" s="1264"/>
    </row>
    <row r="509" spans="1:26" ht="18.75" hidden="1">
      <c r="A509" s="1294"/>
      <c r="B509" s="1265"/>
      <c r="C509" s="1261"/>
      <c r="D509" s="1261"/>
      <c r="E509" s="1261"/>
      <c r="F509" s="1261" t="s">
        <v>187</v>
      </c>
      <c r="G509" s="1263"/>
      <c r="H509" s="165" t="s">
        <v>12</v>
      </c>
      <c r="I509" s="836"/>
      <c r="J509" s="836"/>
      <c r="K509" s="837"/>
      <c r="L509" s="837"/>
      <c r="M509" s="837"/>
      <c r="N509" s="837">
        <v>0</v>
      </c>
      <c r="O509" s="837"/>
      <c r="P509" s="837"/>
      <c r="Q509" s="1264"/>
      <c r="R509" s="1264"/>
      <c r="S509" s="1264"/>
      <c r="T509" s="1264"/>
      <c r="U509" s="1264"/>
      <c r="V509" s="1264"/>
      <c r="W509" s="1264"/>
      <c r="X509" s="1264"/>
      <c r="Y509" s="1264"/>
      <c r="Z509" s="1264"/>
    </row>
    <row r="510" spans="1:26" ht="18.75" hidden="1">
      <c r="A510" s="1294"/>
      <c r="B510" s="1265"/>
      <c r="C510" s="1265"/>
      <c r="D510" s="1265"/>
      <c r="E510" s="1261"/>
      <c r="F510" s="1261" t="s">
        <v>188</v>
      </c>
      <c r="G510" s="1263"/>
      <c r="H510" s="165" t="s">
        <v>12</v>
      </c>
      <c r="I510" s="836"/>
      <c r="J510" s="836"/>
      <c r="K510" s="837"/>
      <c r="L510" s="837"/>
      <c r="M510" s="837"/>
      <c r="N510" s="837">
        <v>0</v>
      </c>
      <c r="O510" s="837"/>
      <c r="P510" s="837"/>
      <c r="Q510" s="1264"/>
      <c r="R510" s="1264"/>
      <c r="S510" s="1264"/>
      <c r="T510" s="1264"/>
      <c r="U510" s="1264"/>
      <c r="V510" s="1264"/>
      <c r="W510" s="1264"/>
      <c r="X510" s="1264"/>
      <c r="Y510" s="1264"/>
      <c r="Z510" s="1264"/>
    </row>
    <row r="511" spans="1:26" ht="18.75" hidden="1">
      <c r="A511" s="1294"/>
      <c r="B511" s="1265"/>
      <c r="C511" s="1265"/>
      <c r="D511" s="1265"/>
      <c r="E511" s="1261"/>
      <c r="F511" s="1261" t="s">
        <v>189</v>
      </c>
      <c r="G511" s="1263"/>
      <c r="H511" s="165" t="s">
        <v>12</v>
      </c>
      <c r="I511" s="836"/>
      <c r="J511" s="836"/>
      <c r="K511" s="837"/>
      <c r="L511" s="837"/>
      <c r="M511" s="837"/>
      <c r="N511" s="837">
        <v>0</v>
      </c>
      <c r="O511" s="837"/>
      <c r="P511" s="837"/>
      <c r="Q511" s="1264"/>
      <c r="R511" s="1264"/>
      <c r="S511" s="1264"/>
      <c r="T511" s="1264"/>
      <c r="U511" s="1264"/>
      <c r="V511" s="1264"/>
      <c r="W511" s="1264"/>
      <c r="X511" s="1264"/>
      <c r="Y511" s="1264"/>
      <c r="Z511" s="1264"/>
    </row>
    <row r="512" spans="1:26" ht="18.75" hidden="1">
      <c r="A512" s="1260"/>
      <c r="B512" s="1265"/>
      <c r="C512" s="1265"/>
      <c r="D512" s="1293" t="s">
        <v>21</v>
      </c>
      <c r="E512" s="1265"/>
      <c r="F512" s="1261"/>
      <c r="G512" s="1263"/>
      <c r="H512" s="169" t="s">
        <v>12</v>
      </c>
      <c r="I512" s="947"/>
      <c r="J512" s="947"/>
      <c r="K512" s="948"/>
      <c r="L512" s="837">
        <f t="shared" ref="L512:N512" si="222">L513+L514</f>
        <v>0</v>
      </c>
      <c r="M512" s="837">
        <f t="shared" si="222"/>
        <v>0</v>
      </c>
      <c r="N512" s="837">
        <f t="shared" si="222"/>
        <v>0</v>
      </c>
      <c r="O512" s="837">
        <f t="shared" ref="O512:O514" si="223">IF(L512&gt;0,N512*100/L512,0)</f>
        <v>0</v>
      </c>
      <c r="P512" s="837">
        <f t="shared" ref="P512:P514" si="224">IF(M512&gt;0,N512*100/M512,0)</f>
        <v>0</v>
      </c>
      <c r="Q512" s="1264"/>
      <c r="R512" s="1264"/>
      <c r="S512" s="1264"/>
      <c r="T512" s="1264"/>
      <c r="U512" s="1264"/>
      <c r="V512" s="1264"/>
      <c r="W512" s="1264"/>
      <c r="X512" s="1264"/>
      <c r="Y512" s="1264"/>
      <c r="Z512" s="1264"/>
    </row>
    <row r="513" spans="1:26" ht="18.75" hidden="1">
      <c r="A513" s="1260"/>
      <c r="B513" s="1265"/>
      <c r="C513" s="1265"/>
      <c r="D513" s="1265"/>
      <c r="E513" s="1265" t="s">
        <v>18</v>
      </c>
      <c r="F513" s="1261"/>
      <c r="G513" s="1263"/>
      <c r="H513" s="165" t="s">
        <v>12</v>
      </c>
      <c r="I513" s="947"/>
      <c r="J513" s="947"/>
      <c r="K513" s="948"/>
      <c r="L513" s="837">
        <v>0</v>
      </c>
      <c r="M513" s="837">
        <v>0</v>
      </c>
      <c r="N513" s="837">
        <v>0</v>
      </c>
      <c r="O513" s="837">
        <f t="shared" si="223"/>
        <v>0</v>
      </c>
      <c r="P513" s="837">
        <f t="shared" si="224"/>
        <v>0</v>
      </c>
      <c r="Q513" s="1264"/>
      <c r="R513" s="1264"/>
      <c r="S513" s="1264"/>
      <c r="T513" s="1264"/>
      <c r="U513" s="1264"/>
      <c r="V513" s="1264"/>
      <c r="W513" s="1264"/>
      <c r="X513" s="1264"/>
      <c r="Y513" s="1264"/>
      <c r="Z513" s="1264"/>
    </row>
    <row r="514" spans="1:26" ht="18.75" hidden="1">
      <c r="A514" s="1260"/>
      <c r="B514" s="1265"/>
      <c r="C514" s="1265"/>
      <c r="D514" s="1261"/>
      <c r="E514" s="1265" t="s">
        <v>19</v>
      </c>
      <c r="F514" s="1261"/>
      <c r="G514" s="1263"/>
      <c r="H514" s="169" t="s">
        <v>12</v>
      </c>
      <c r="I514" s="947"/>
      <c r="J514" s="947"/>
      <c r="K514" s="948"/>
      <c r="L514" s="837">
        <v>0</v>
      </c>
      <c r="M514" s="837">
        <v>0</v>
      </c>
      <c r="N514" s="837">
        <v>0</v>
      </c>
      <c r="O514" s="837">
        <f t="shared" si="223"/>
        <v>0</v>
      </c>
      <c r="P514" s="837">
        <f t="shared" si="224"/>
        <v>0</v>
      </c>
      <c r="Q514" s="1264"/>
      <c r="R514" s="1264"/>
      <c r="S514" s="1264"/>
      <c r="T514" s="1264"/>
      <c r="U514" s="1264"/>
      <c r="V514" s="1264"/>
      <c r="W514" s="1264"/>
      <c r="X514" s="1264"/>
      <c r="Y514" s="1264"/>
      <c r="Z514" s="1264"/>
    </row>
    <row r="515" spans="1:26" ht="19.5" hidden="1">
      <c r="A515" s="1273"/>
      <c r="B515" s="1274"/>
      <c r="C515" s="1265" t="s">
        <v>16</v>
      </c>
      <c r="D515" s="1295" t="s">
        <v>38</v>
      </c>
      <c r="E515" s="1296"/>
      <c r="F515" s="1296"/>
      <c r="G515" s="1297"/>
      <c r="H515" s="1060"/>
      <c r="I515" s="947"/>
      <c r="J515" s="947"/>
      <c r="K515" s="948"/>
      <c r="L515" s="948"/>
      <c r="M515" s="948"/>
      <c r="N515" s="948"/>
      <c r="O515" s="948"/>
      <c r="P515" s="948"/>
      <c r="Q515" s="1264"/>
      <c r="R515" s="1264"/>
      <c r="S515" s="1264"/>
      <c r="T515" s="1264"/>
      <c r="U515" s="1264"/>
      <c r="V515" s="1264"/>
      <c r="W515" s="1264"/>
      <c r="X515" s="1264"/>
      <c r="Y515" s="1264"/>
      <c r="Z515" s="1264"/>
    </row>
    <row r="516" spans="1:26" ht="18.75" hidden="1">
      <c r="A516" s="1273"/>
      <c r="B516" s="1274"/>
      <c r="C516" s="1274"/>
      <c r="D516" s="1274" t="s">
        <v>221</v>
      </c>
      <c r="E516" s="1262"/>
      <c r="F516" s="1262"/>
      <c r="G516" s="1060"/>
      <c r="H516" s="619" t="s">
        <v>109</v>
      </c>
      <c r="I516" s="836"/>
      <c r="J516" s="836">
        <v>0</v>
      </c>
      <c r="K516" s="948">
        <f t="shared" ref="K516:K517" si="225">IF(I516&gt;0,J516*100/I516,0)</f>
        <v>0</v>
      </c>
      <c r="L516" s="948"/>
      <c r="M516" s="948"/>
      <c r="N516" s="948"/>
      <c r="O516" s="948"/>
      <c r="P516" s="948"/>
      <c r="Q516" s="1264"/>
      <c r="R516" s="1264"/>
      <c r="S516" s="1264"/>
      <c r="T516" s="1264"/>
      <c r="U516" s="1264"/>
      <c r="V516" s="1264"/>
      <c r="W516" s="1264"/>
      <c r="X516" s="1264"/>
      <c r="Y516" s="1264"/>
      <c r="Z516" s="1264"/>
    </row>
    <row r="517" spans="1:26" ht="19.5" hidden="1">
      <c r="A517" s="1273"/>
      <c r="B517" s="1274"/>
      <c r="C517" s="1274"/>
      <c r="D517" s="1274" t="s">
        <v>222</v>
      </c>
      <c r="E517" s="1262"/>
      <c r="F517" s="1262"/>
      <c r="G517" s="1060"/>
      <c r="H517" s="620" t="s">
        <v>35</v>
      </c>
      <c r="I517" s="1298"/>
      <c r="J517" s="1298">
        <f>J518+J519</f>
        <v>0</v>
      </c>
      <c r="K517" s="1299">
        <f t="shared" si="225"/>
        <v>0</v>
      </c>
      <c r="L517" s="948"/>
      <c r="M517" s="948"/>
      <c r="N517" s="948"/>
      <c r="O517" s="948"/>
      <c r="P517" s="948"/>
      <c r="Q517" s="1264"/>
      <c r="R517" s="1264"/>
      <c r="S517" s="1264"/>
      <c r="T517" s="1264"/>
      <c r="U517" s="1264"/>
      <c r="V517" s="1264"/>
      <c r="W517" s="1264"/>
      <c r="X517" s="1264"/>
      <c r="Y517" s="1264"/>
      <c r="Z517" s="1264"/>
    </row>
    <row r="518" spans="1:26" ht="18.75" hidden="1">
      <c r="A518" s="1273"/>
      <c r="B518" s="1274"/>
      <c r="C518" s="1274"/>
      <c r="D518" s="1274"/>
      <c r="E518" s="1274" t="s">
        <v>223</v>
      </c>
      <c r="F518" s="1262"/>
      <c r="G518" s="1060"/>
      <c r="H518" s="583" t="s">
        <v>35</v>
      </c>
      <c r="I518" s="836"/>
      <c r="J518" s="836"/>
      <c r="K518" s="948"/>
      <c r="L518" s="948"/>
      <c r="M518" s="948"/>
      <c r="N518" s="948"/>
      <c r="O518" s="948"/>
      <c r="P518" s="948"/>
      <c r="Q518" s="1264"/>
      <c r="R518" s="1264"/>
      <c r="S518" s="1264"/>
      <c r="T518" s="1264"/>
      <c r="U518" s="1264"/>
      <c r="V518" s="1264"/>
      <c r="W518" s="1264"/>
      <c r="X518" s="1264"/>
      <c r="Y518" s="1264"/>
      <c r="Z518" s="1264"/>
    </row>
    <row r="519" spans="1:26" ht="18.75" hidden="1">
      <c r="A519" s="1273"/>
      <c r="B519" s="1274"/>
      <c r="C519" s="1274"/>
      <c r="D519" s="1274"/>
      <c r="E519" s="1274" t="s">
        <v>224</v>
      </c>
      <c r="F519" s="1262"/>
      <c r="G519" s="1060"/>
      <c r="H519" s="619" t="s">
        <v>35</v>
      </c>
      <c r="I519" s="836"/>
      <c r="J519" s="836"/>
      <c r="K519" s="948"/>
      <c r="L519" s="948"/>
      <c r="M519" s="948"/>
      <c r="N519" s="948"/>
      <c r="O519" s="948"/>
      <c r="P519" s="948"/>
      <c r="Q519" s="1264"/>
      <c r="R519" s="1264"/>
      <c r="S519" s="1264"/>
      <c r="T519" s="1264"/>
      <c r="U519" s="1264"/>
      <c r="V519" s="1264"/>
      <c r="W519" s="1264"/>
      <c r="X519" s="1264"/>
      <c r="Y519" s="1264"/>
      <c r="Z519" s="1264"/>
    </row>
    <row r="520" spans="1:26" ht="19.5">
      <c r="A520" s="1300" t="s">
        <v>137</v>
      </c>
      <c r="B520" s="1301"/>
      <c r="C520" s="1301"/>
      <c r="D520" s="1302"/>
      <c r="E520" s="1302"/>
      <c r="F520" s="1302"/>
      <c r="G520" s="1303"/>
      <c r="H520" s="1304"/>
      <c r="I520" s="1305"/>
      <c r="J520" s="1305"/>
      <c r="K520" s="1306"/>
      <c r="L520" s="1306"/>
      <c r="M520" s="1306"/>
      <c r="N520" s="1306"/>
      <c r="O520" s="1306"/>
      <c r="P520" s="1306"/>
    </row>
    <row r="521" spans="1:26" ht="19.5" hidden="1">
      <c r="A521" s="630">
        <v>5</v>
      </c>
      <c r="B521" s="1307" t="s">
        <v>225</v>
      </c>
      <c r="C521" s="1308"/>
      <c r="D521" s="1309"/>
      <c r="E521" s="1309"/>
      <c r="F521" s="1309"/>
      <c r="G521" s="1309"/>
      <c r="H521" s="1310"/>
      <c r="I521" s="1311"/>
      <c r="J521" s="1311"/>
      <c r="K521" s="1312"/>
      <c r="L521" s="1312"/>
      <c r="M521" s="1312"/>
      <c r="N521" s="1312"/>
      <c r="O521" s="1312"/>
      <c r="P521" s="1312"/>
      <c r="Q521" s="1244"/>
      <c r="R521" s="1244"/>
      <c r="S521" s="1244"/>
      <c r="T521" s="1244"/>
      <c r="U521" s="1244"/>
      <c r="V521" s="1244"/>
      <c r="W521" s="1244"/>
      <c r="X521" s="1244"/>
      <c r="Y521" s="1244"/>
      <c r="Z521" s="1244"/>
    </row>
    <row r="522" spans="1:26" ht="19.5" hidden="1">
      <c r="A522" s="1313"/>
      <c r="B522" s="1314" t="s">
        <v>226</v>
      </c>
      <c r="C522" s="1315"/>
      <c r="D522" s="1315"/>
      <c r="E522" s="1315"/>
      <c r="F522" s="1315"/>
      <c r="G522" s="1316"/>
      <c r="H522" s="641" t="s">
        <v>35</v>
      </c>
      <c r="I522" s="1317">
        <f t="shared" ref="I522:J522" ca="1" si="226">I537</f>
        <v>0</v>
      </c>
      <c r="J522" s="1317">
        <f t="shared" ca="1" si="226"/>
        <v>0</v>
      </c>
      <c r="K522" s="1318">
        <f ca="1">IF(I522&gt;0,J522*100/I522,0)</f>
        <v>0</v>
      </c>
      <c r="L522" s="1319"/>
      <c r="M522" s="1319"/>
      <c r="N522" s="1319"/>
      <c r="O522" s="1319"/>
      <c r="P522" s="1319"/>
      <c r="Q522" s="1244"/>
      <c r="R522" s="1244"/>
      <c r="S522" s="1244"/>
      <c r="T522" s="1244"/>
      <c r="U522" s="1244"/>
      <c r="V522" s="1244"/>
      <c r="W522" s="1244"/>
      <c r="X522" s="1244"/>
      <c r="Y522" s="1244"/>
      <c r="Z522" s="1244"/>
    </row>
    <row r="523" spans="1:26" ht="19.5" hidden="1">
      <c r="A523" s="1259"/>
      <c r="B523" s="1243"/>
      <c r="C523" s="1243" t="s">
        <v>16</v>
      </c>
      <c r="D523" s="1507" t="s">
        <v>17</v>
      </c>
      <c r="E523" s="1485"/>
      <c r="F523" s="1485"/>
      <c r="G523" s="963"/>
      <c r="H523" s="563" t="s">
        <v>12</v>
      </c>
      <c r="I523" s="830"/>
      <c r="J523" s="830"/>
      <c r="K523" s="831"/>
      <c r="L523" s="967">
        <f t="shared" ref="L523:N523" ca="1" si="227">L524+L525</f>
        <v>0</v>
      </c>
      <c r="M523" s="967">
        <f t="shared" si="227"/>
        <v>0</v>
      </c>
      <c r="N523" s="967">
        <f t="shared" si="227"/>
        <v>0</v>
      </c>
      <c r="O523" s="967">
        <f t="shared" ref="O523:O528" ca="1" si="228">IF(L523&gt;0,N523*100/L523,0)</f>
        <v>0</v>
      </c>
      <c r="P523" s="967">
        <f t="shared" ref="P523:P528" si="229">IF(M523&gt;0,N523*100/M523,0)</f>
        <v>0</v>
      </c>
      <c r="Q523" s="1244"/>
      <c r="R523" s="1244"/>
      <c r="S523" s="1244"/>
      <c r="T523" s="1244"/>
      <c r="U523" s="1244"/>
      <c r="V523" s="1244"/>
      <c r="W523" s="1244"/>
      <c r="X523" s="1244"/>
      <c r="Y523" s="1244"/>
      <c r="Z523" s="1244"/>
    </row>
    <row r="524" spans="1:26" ht="18.75" hidden="1">
      <c r="A524" s="1260"/>
      <c r="B524" s="1261"/>
      <c r="C524" s="1261"/>
      <c r="D524" s="1262"/>
      <c r="E524" s="1261" t="s">
        <v>184</v>
      </c>
      <c r="F524" s="1261"/>
      <c r="G524" s="1263"/>
      <c r="H524" s="165" t="s">
        <v>12</v>
      </c>
      <c r="I524" s="836"/>
      <c r="J524" s="836"/>
      <c r="K524" s="837"/>
      <c r="L524" s="837">
        <f t="shared" ref="L524:N525" si="230">L527+L534</f>
        <v>0</v>
      </c>
      <c r="M524" s="837">
        <f t="shared" si="230"/>
        <v>0</v>
      </c>
      <c r="N524" s="837">
        <f t="shared" si="230"/>
        <v>0</v>
      </c>
      <c r="O524" s="837">
        <f t="shared" si="228"/>
        <v>0</v>
      </c>
      <c r="P524" s="837">
        <f t="shared" si="229"/>
        <v>0</v>
      </c>
      <c r="Q524" s="1264"/>
      <c r="R524" s="1264"/>
      <c r="S524" s="1264"/>
      <c r="T524" s="1264"/>
      <c r="U524" s="1264"/>
      <c r="V524" s="1264"/>
      <c r="W524" s="1264"/>
      <c r="X524" s="1264"/>
      <c r="Y524" s="1264"/>
      <c r="Z524" s="1264"/>
    </row>
    <row r="525" spans="1:26" ht="18.75" hidden="1">
      <c r="A525" s="1260"/>
      <c r="B525" s="1265"/>
      <c r="C525" s="1261"/>
      <c r="D525" s="1262"/>
      <c r="E525" s="1261" t="s">
        <v>185</v>
      </c>
      <c r="F525" s="1261"/>
      <c r="G525" s="1263"/>
      <c r="H525" s="165" t="s">
        <v>12</v>
      </c>
      <c r="I525" s="836"/>
      <c r="J525" s="836"/>
      <c r="K525" s="837"/>
      <c r="L525" s="837">
        <f t="shared" ca="1" si="230"/>
        <v>0</v>
      </c>
      <c r="M525" s="837">
        <f t="shared" si="230"/>
        <v>0</v>
      </c>
      <c r="N525" s="837">
        <f t="shared" si="230"/>
        <v>0</v>
      </c>
      <c r="O525" s="837">
        <f t="shared" ca="1" si="228"/>
        <v>0</v>
      </c>
      <c r="P525" s="837">
        <f t="shared" si="229"/>
        <v>0</v>
      </c>
      <c r="Q525" s="1264"/>
      <c r="R525" s="1264"/>
      <c r="S525" s="1264"/>
      <c r="T525" s="1264"/>
      <c r="U525" s="1264"/>
      <c r="V525" s="1264"/>
      <c r="W525" s="1264"/>
      <c r="X525" s="1264"/>
      <c r="Y525" s="1264"/>
      <c r="Z525" s="1264"/>
    </row>
    <row r="526" spans="1:26" ht="18.75" hidden="1">
      <c r="A526" s="1259"/>
      <c r="B526" s="1242"/>
      <c r="C526" s="1243"/>
      <c r="D526" s="1266" t="s">
        <v>20</v>
      </c>
      <c r="E526" s="1243"/>
      <c r="F526" s="1243"/>
      <c r="G526" s="963"/>
      <c r="H526" s="778" t="s">
        <v>12</v>
      </c>
      <c r="I526" s="944"/>
      <c r="J526" s="944"/>
      <c r="K526" s="945"/>
      <c r="L526" s="831">
        <f t="shared" ref="L526:N526" ca="1" si="231">L527+L528</f>
        <v>0</v>
      </c>
      <c r="M526" s="831">
        <f t="shared" si="231"/>
        <v>0</v>
      </c>
      <c r="N526" s="831">
        <f t="shared" si="231"/>
        <v>0</v>
      </c>
      <c r="O526" s="831">
        <f t="shared" ca="1" si="228"/>
        <v>0</v>
      </c>
      <c r="P526" s="831">
        <f t="shared" si="229"/>
        <v>0</v>
      </c>
      <c r="Q526" s="1244"/>
      <c r="R526" s="1244"/>
      <c r="S526" s="1244"/>
      <c r="T526" s="1244"/>
      <c r="U526" s="1244"/>
      <c r="V526" s="1244"/>
      <c r="W526" s="1244"/>
      <c r="X526" s="1244"/>
      <c r="Y526" s="1244"/>
      <c r="Z526" s="1244"/>
    </row>
    <row r="527" spans="1:26" ht="18.75" hidden="1">
      <c r="A527" s="1260"/>
      <c r="B527" s="1265"/>
      <c r="C527" s="1261"/>
      <c r="D527" s="1262"/>
      <c r="E527" s="1261" t="s">
        <v>184</v>
      </c>
      <c r="F527" s="1261"/>
      <c r="G527" s="1263"/>
      <c r="H527" s="165" t="s">
        <v>12</v>
      </c>
      <c r="I527" s="836"/>
      <c r="J527" s="836"/>
      <c r="K527" s="837"/>
      <c r="L527" s="837">
        <v>0</v>
      </c>
      <c r="M527" s="837">
        <v>0</v>
      </c>
      <c r="N527" s="837">
        <v>0</v>
      </c>
      <c r="O527" s="837">
        <f t="shared" si="228"/>
        <v>0</v>
      </c>
      <c r="P527" s="837">
        <f t="shared" si="229"/>
        <v>0</v>
      </c>
      <c r="Q527" s="1264"/>
      <c r="R527" s="1264"/>
      <c r="S527" s="1264"/>
      <c r="T527" s="1264"/>
      <c r="U527" s="1264"/>
      <c r="V527" s="1264"/>
      <c r="W527" s="1264"/>
      <c r="X527" s="1264"/>
      <c r="Y527" s="1264"/>
      <c r="Z527" s="1264"/>
    </row>
    <row r="528" spans="1:26" ht="18.75" hidden="1">
      <c r="A528" s="1260"/>
      <c r="B528" s="1265"/>
      <c r="C528" s="1261"/>
      <c r="D528" s="1262"/>
      <c r="E528" s="1261" t="s">
        <v>185</v>
      </c>
      <c r="F528" s="1261"/>
      <c r="G528" s="1263"/>
      <c r="H528" s="165" t="s">
        <v>12</v>
      </c>
      <c r="I528" s="836"/>
      <c r="J528" s="836"/>
      <c r="K528" s="837"/>
      <c r="L528" s="837">
        <f ca="1">IFERROR(__xludf.DUMMYFUNCTION("IMPORTRANGE(""https://docs.google.com/spreadsheets/d/1QqKyyYR6Q21VydFLVH3TRQUabQu_ym0Zz7PgGX0-kHA/edit?usp=sharing"",""แผน!GQ17"")"),0)</f>
        <v>0</v>
      </c>
      <c r="M528" s="837">
        <v>0</v>
      </c>
      <c r="N528" s="837">
        <f>N529+N530+N531+N532</f>
        <v>0</v>
      </c>
      <c r="O528" s="837">
        <f t="shared" ca="1" si="228"/>
        <v>0</v>
      </c>
      <c r="P528" s="837">
        <f t="shared" si="229"/>
        <v>0</v>
      </c>
      <c r="Q528" s="1264"/>
      <c r="R528" s="1264"/>
      <c r="S528" s="1264"/>
      <c r="T528" s="1264"/>
      <c r="U528" s="1264"/>
      <c r="V528" s="1264"/>
      <c r="W528" s="1264"/>
      <c r="X528" s="1264"/>
      <c r="Y528" s="1264"/>
      <c r="Z528" s="1264"/>
    </row>
    <row r="529" spans="1:26" ht="18.75" hidden="1">
      <c r="A529" s="1241"/>
      <c r="B529" s="1242"/>
      <c r="C529" s="1243"/>
      <c r="D529" s="1243"/>
      <c r="E529" s="1243"/>
      <c r="F529" s="1243" t="s">
        <v>186</v>
      </c>
      <c r="G529" s="963"/>
      <c r="H529" s="778" t="s">
        <v>12</v>
      </c>
      <c r="I529" s="830"/>
      <c r="J529" s="830"/>
      <c r="K529" s="831"/>
      <c r="L529" s="831"/>
      <c r="M529" s="831"/>
      <c r="N529" s="1031">
        <v>0</v>
      </c>
      <c r="O529" s="831"/>
      <c r="P529" s="831"/>
      <c r="Q529" s="1244"/>
      <c r="R529" s="1244"/>
      <c r="S529" s="1244"/>
      <c r="T529" s="1244"/>
      <c r="U529" s="1244"/>
      <c r="V529" s="1244"/>
      <c r="W529" s="1244"/>
      <c r="X529" s="1244"/>
      <c r="Y529" s="1244"/>
      <c r="Z529" s="1244"/>
    </row>
    <row r="530" spans="1:26" ht="18.75" hidden="1">
      <c r="A530" s="1241"/>
      <c r="B530" s="1242"/>
      <c r="C530" s="1243"/>
      <c r="D530" s="1243"/>
      <c r="E530" s="1243"/>
      <c r="F530" s="1243" t="s">
        <v>187</v>
      </c>
      <c r="G530" s="963"/>
      <c r="H530" s="778" t="s">
        <v>12</v>
      </c>
      <c r="I530" s="830"/>
      <c r="J530" s="830"/>
      <c r="K530" s="831"/>
      <c r="L530" s="831"/>
      <c r="M530" s="831"/>
      <c r="N530" s="1031">
        <v>0</v>
      </c>
      <c r="O530" s="831"/>
      <c r="P530" s="831"/>
      <c r="Q530" s="1244"/>
      <c r="R530" s="1244"/>
      <c r="S530" s="1244"/>
      <c r="T530" s="1244"/>
      <c r="U530" s="1244"/>
      <c r="V530" s="1244"/>
      <c r="W530" s="1244"/>
      <c r="X530" s="1244"/>
      <c r="Y530" s="1244"/>
      <c r="Z530" s="1244"/>
    </row>
    <row r="531" spans="1:26" ht="18.75" hidden="1">
      <c r="A531" s="1241"/>
      <c r="B531" s="1242"/>
      <c r="C531" s="1243"/>
      <c r="D531" s="1243"/>
      <c r="E531" s="1243"/>
      <c r="F531" s="1243" t="s">
        <v>188</v>
      </c>
      <c r="G531" s="963"/>
      <c r="H531" s="778" t="s">
        <v>12</v>
      </c>
      <c r="I531" s="830"/>
      <c r="J531" s="830"/>
      <c r="K531" s="831"/>
      <c r="L531" s="831"/>
      <c r="M531" s="831"/>
      <c r="N531" s="1031">
        <v>0</v>
      </c>
      <c r="O531" s="831"/>
      <c r="P531" s="831"/>
      <c r="Q531" s="1244"/>
      <c r="R531" s="1244"/>
      <c r="S531" s="1244"/>
      <c r="T531" s="1244"/>
      <c r="U531" s="1244"/>
      <c r="V531" s="1244"/>
      <c r="W531" s="1244"/>
      <c r="X531" s="1244"/>
      <c r="Y531" s="1244"/>
      <c r="Z531" s="1244"/>
    </row>
    <row r="532" spans="1:26" ht="18.75" hidden="1">
      <c r="A532" s="1241"/>
      <c r="B532" s="1242"/>
      <c r="C532" s="1243"/>
      <c r="D532" s="1243"/>
      <c r="E532" s="1243"/>
      <c r="F532" s="1243" t="s">
        <v>189</v>
      </c>
      <c r="G532" s="963"/>
      <c r="H532" s="778" t="s">
        <v>12</v>
      </c>
      <c r="I532" s="830"/>
      <c r="J532" s="830"/>
      <c r="K532" s="831"/>
      <c r="L532" s="831"/>
      <c r="M532" s="831"/>
      <c r="N532" s="1031">
        <v>0</v>
      </c>
      <c r="O532" s="831"/>
      <c r="P532" s="831"/>
      <c r="Q532" s="1244"/>
      <c r="R532" s="1244"/>
      <c r="S532" s="1244"/>
      <c r="T532" s="1244"/>
      <c r="U532" s="1244"/>
      <c r="V532" s="1244"/>
      <c r="W532" s="1244"/>
      <c r="X532" s="1244"/>
      <c r="Y532" s="1244"/>
      <c r="Z532" s="1244"/>
    </row>
    <row r="533" spans="1:26" ht="18.75" hidden="1">
      <c r="A533" s="1259"/>
      <c r="B533" s="1242"/>
      <c r="C533" s="1243"/>
      <c r="D533" s="1266" t="s">
        <v>21</v>
      </c>
      <c r="E533" s="1243"/>
      <c r="F533" s="1243"/>
      <c r="G533" s="963"/>
      <c r="H533" s="168" t="s">
        <v>12</v>
      </c>
      <c r="I533" s="944"/>
      <c r="J533" s="944"/>
      <c r="K533" s="945"/>
      <c r="L533" s="831">
        <f t="shared" ref="L533:N533" ca="1" si="232">L534+L535</f>
        <v>0</v>
      </c>
      <c r="M533" s="831">
        <f t="shared" si="232"/>
        <v>0</v>
      </c>
      <c r="N533" s="831">
        <f t="shared" si="232"/>
        <v>0</v>
      </c>
      <c r="O533" s="831">
        <f t="shared" ref="O533:O535" ca="1" si="233">IF(L533&gt;0,N533*100/L533,0)</f>
        <v>0</v>
      </c>
      <c r="P533" s="831">
        <f t="shared" ref="P533:P535" si="234">IF(M533&gt;0,N533*100/M533,0)</f>
        <v>0</v>
      </c>
      <c r="Q533" s="1244"/>
      <c r="R533" s="1244"/>
      <c r="S533" s="1244"/>
      <c r="T533" s="1244"/>
      <c r="U533" s="1244"/>
      <c r="V533" s="1244"/>
      <c r="W533" s="1244"/>
      <c r="X533" s="1244"/>
      <c r="Y533" s="1244"/>
      <c r="Z533" s="1244"/>
    </row>
    <row r="534" spans="1:26" ht="18.75" hidden="1">
      <c r="A534" s="1260"/>
      <c r="B534" s="1265"/>
      <c r="C534" s="1261"/>
      <c r="D534" s="1261"/>
      <c r="E534" s="1261" t="s">
        <v>18</v>
      </c>
      <c r="F534" s="1261"/>
      <c r="G534" s="1263"/>
      <c r="H534" s="165" t="s">
        <v>12</v>
      </c>
      <c r="I534" s="947"/>
      <c r="J534" s="947"/>
      <c r="K534" s="948"/>
      <c r="L534" s="837">
        <v>0</v>
      </c>
      <c r="M534" s="837">
        <v>0</v>
      </c>
      <c r="N534" s="837">
        <v>0</v>
      </c>
      <c r="O534" s="837">
        <f t="shared" si="233"/>
        <v>0</v>
      </c>
      <c r="P534" s="837">
        <f t="shared" si="234"/>
        <v>0</v>
      </c>
      <c r="Q534" s="1264"/>
      <c r="R534" s="1264"/>
      <c r="S534" s="1264"/>
      <c r="T534" s="1264"/>
      <c r="U534" s="1264"/>
      <c r="V534" s="1264"/>
      <c r="W534" s="1264"/>
      <c r="X534" s="1264"/>
      <c r="Y534" s="1264"/>
      <c r="Z534" s="1264"/>
    </row>
    <row r="535" spans="1:26" ht="18.75" hidden="1">
      <c r="A535" s="1260"/>
      <c r="B535" s="1265"/>
      <c r="C535" s="1261"/>
      <c r="D535" s="1261"/>
      <c r="E535" s="1261" t="s">
        <v>19</v>
      </c>
      <c r="F535" s="1261"/>
      <c r="G535" s="1263"/>
      <c r="H535" s="169" t="s">
        <v>12</v>
      </c>
      <c r="I535" s="947"/>
      <c r="J535" s="947"/>
      <c r="K535" s="948"/>
      <c r="L535" s="837">
        <f ca="1">IFERROR(__xludf.DUMMYFUNCTION("IMPORTRANGE(""https://docs.google.com/spreadsheets/d/1QqKyyYR6Q21VydFLVH3TRQUabQu_ym0Zz7PgGX0-kHA/edit?usp=sharing"",""แผน!GT17"")"),0)</f>
        <v>0</v>
      </c>
      <c r="M535" s="837">
        <v>0</v>
      </c>
      <c r="N535" s="837">
        <v>0</v>
      </c>
      <c r="O535" s="837">
        <f t="shared" ca="1" si="233"/>
        <v>0</v>
      </c>
      <c r="P535" s="837">
        <f t="shared" si="234"/>
        <v>0</v>
      </c>
      <c r="Q535" s="1264"/>
      <c r="R535" s="1264"/>
      <c r="S535" s="1264"/>
      <c r="T535" s="1264"/>
      <c r="U535" s="1264"/>
      <c r="V535" s="1264"/>
      <c r="W535" s="1264"/>
      <c r="X535" s="1264"/>
      <c r="Y535" s="1264"/>
      <c r="Z535" s="1264"/>
    </row>
    <row r="536" spans="1:26" ht="19.5" hidden="1">
      <c r="A536" s="1267"/>
      <c r="B536" s="1268"/>
      <c r="C536" s="1243" t="s">
        <v>16</v>
      </c>
      <c r="D536" s="1320" t="s">
        <v>38</v>
      </c>
      <c r="E536" s="1271"/>
      <c r="F536" s="1271"/>
      <c r="G536" s="1272"/>
      <c r="H536" s="954"/>
      <c r="I536" s="944"/>
      <c r="J536" s="944"/>
      <c r="K536" s="945"/>
      <c r="L536" s="945"/>
      <c r="M536" s="945"/>
      <c r="N536" s="945"/>
      <c r="O536" s="945"/>
      <c r="P536" s="945"/>
      <c r="Q536" s="1244"/>
      <c r="R536" s="1244"/>
      <c r="S536" s="1244"/>
      <c r="T536" s="1244"/>
      <c r="U536" s="1244"/>
      <c r="V536" s="1244"/>
      <c r="W536" s="1244"/>
      <c r="X536" s="1244"/>
      <c r="Y536" s="1244"/>
      <c r="Z536" s="1244"/>
    </row>
    <row r="537" spans="1:26" ht="19.5" hidden="1">
      <c r="A537" s="1241"/>
      <c r="B537" s="1242"/>
      <c r="C537" s="1243"/>
      <c r="D537" s="1243" t="s">
        <v>227</v>
      </c>
      <c r="E537" s="1243"/>
      <c r="F537" s="1243"/>
      <c r="G537" s="963"/>
      <c r="H537" s="590" t="s">
        <v>35</v>
      </c>
      <c r="I537" s="966">
        <f ca="1">IFERROR(__xludf.DUMMYFUNCTION("IMPORTRANGE(""https://docs.google.com/spreadsheets/d/1QqKyyYR6Q21VydFLVH3TRQUabQu_ym0Zz7PgGX0-kHA/edit?usp=sharing"",""แผน!GU17"")"),0)</f>
        <v>0</v>
      </c>
      <c r="J537" s="966">
        <f ca="1">IF(AND(J538=I538,J539=I539,J540=I540,J541=I541),I537,0)</f>
        <v>0</v>
      </c>
      <c r="K537" s="831">
        <f t="shared" ref="K537:K543" ca="1" si="235">IF(I537&gt;0,J537*100/I537,0)</f>
        <v>0</v>
      </c>
      <c r="L537" s="831"/>
      <c r="M537" s="831"/>
      <c r="N537" s="831"/>
      <c r="O537" s="831"/>
      <c r="P537" s="831"/>
      <c r="Q537" s="1321"/>
      <c r="R537" s="1321"/>
      <c r="S537" s="1321"/>
      <c r="T537" s="1321"/>
      <c r="U537" s="1321"/>
      <c r="V537" s="1321"/>
      <c r="W537" s="1321"/>
      <c r="X537" s="1321"/>
      <c r="Y537" s="1321"/>
      <c r="Z537" s="1321"/>
    </row>
    <row r="538" spans="1:26" ht="18.75" hidden="1">
      <c r="A538" s="1241"/>
      <c r="B538" s="1242"/>
      <c r="C538" s="1243"/>
      <c r="D538" s="1243"/>
      <c r="E538" s="1243" t="s">
        <v>228</v>
      </c>
      <c r="F538" s="1243"/>
      <c r="G538" s="963"/>
      <c r="H538" s="590" t="s">
        <v>35</v>
      </c>
      <c r="I538" s="830">
        <f ca="1">IFERROR(__xludf.DUMMYFUNCTION("IMPORTRANGE(""https://docs.google.com/spreadsheets/d/1QqKyyYR6Q21VydFLVH3TRQUabQu_ym0Zz7PgGX0-kHA/edit?usp=sharing"",""แผน!GV17"")"),0)</f>
        <v>0</v>
      </c>
      <c r="J538" s="959">
        <v>0</v>
      </c>
      <c r="K538" s="831">
        <f t="shared" ca="1" si="235"/>
        <v>0</v>
      </c>
      <c r="L538" s="831"/>
      <c r="M538" s="831"/>
      <c r="N538" s="831"/>
      <c r="O538" s="831"/>
      <c r="P538" s="831"/>
      <c r="Q538" s="1321"/>
      <c r="R538" s="1321"/>
      <c r="S538" s="1321"/>
      <c r="T538" s="1321"/>
      <c r="U538" s="1321"/>
      <c r="V538" s="1321"/>
      <c r="W538" s="1321"/>
      <c r="X538" s="1321"/>
      <c r="Y538" s="1321"/>
      <c r="Z538" s="1321"/>
    </row>
    <row r="539" spans="1:26" ht="18.75" hidden="1">
      <c r="A539" s="1241"/>
      <c r="B539" s="1242"/>
      <c r="C539" s="1243"/>
      <c r="D539" s="1243"/>
      <c r="E539" s="1243" t="s">
        <v>229</v>
      </c>
      <c r="F539" s="1243"/>
      <c r="G539" s="963"/>
      <c r="H539" s="590" t="s">
        <v>35</v>
      </c>
      <c r="I539" s="830">
        <f ca="1">IFERROR(__xludf.DUMMYFUNCTION("IMPORTRANGE(""https://docs.google.com/spreadsheets/d/1QqKyyYR6Q21VydFLVH3TRQUabQu_ym0Zz7PgGX0-kHA/edit?usp=sharing"",""แผน!GW17"")"),0)</f>
        <v>0</v>
      </c>
      <c r="J539" s="959">
        <v>0</v>
      </c>
      <c r="K539" s="831">
        <f t="shared" ca="1" si="235"/>
        <v>0</v>
      </c>
      <c r="L539" s="831"/>
      <c r="M539" s="831"/>
      <c r="N539" s="831"/>
      <c r="O539" s="831"/>
      <c r="P539" s="831"/>
      <c r="Q539" s="1321"/>
      <c r="R539" s="1321"/>
      <c r="S539" s="1321"/>
      <c r="T539" s="1321"/>
      <c r="U539" s="1321"/>
      <c r="V539" s="1321"/>
      <c r="W539" s="1321"/>
      <c r="X539" s="1321"/>
      <c r="Y539" s="1321"/>
      <c r="Z539" s="1321"/>
    </row>
    <row r="540" spans="1:26" ht="18.75" hidden="1">
      <c r="A540" s="1241"/>
      <c r="B540" s="1242"/>
      <c r="C540" s="1243"/>
      <c r="D540" s="1243"/>
      <c r="E540" s="1243" t="s">
        <v>230</v>
      </c>
      <c r="F540" s="1243"/>
      <c r="G540" s="963"/>
      <c r="H540" s="590" t="s">
        <v>35</v>
      </c>
      <c r="I540" s="830">
        <f ca="1">IFERROR(__xludf.DUMMYFUNCTION("IMPORTRANGE(""https://docs.google.com/spreadsheets/d/1QqKyyYR6Q21VydFLVH3TRQUabQu_ym0Zz7PgGX0-kHA/edit?usp=sharing"",""แผน!GX17"")"),0)</f>
        <v>0</v>
      </c>
      <c r="J540" s="959">
        <v>0</v>
      </c>
      <c r="K540" s="831">
        <f t="shared" ca="1" si="235"/>
        <v>0</v>
      </c>
      <c r="L540" s="831"/>
      <c r="M540" s="831"/>
      <c r="N540" s="831"/>
      <c r="O540" s="831"/>
      <c r="P540" s="831"/>
      <c r="Q540" s="1321"/>
      <c r="R540" s="1321"/>
      <c r="S540" s="1321"/>
      <c r="T540" s="1321"/>
      <c r="U540" s="1321"/>
      <c r="V540" s="1321"/>
      <c r="W540" s="1321"/>
      <c r="X540" s="1321"/>
      <c r="Y540" s="1321"/>
      <c r="Z540" s="1321"/>
    </row>
    <row r="541" spans="1:26" ht="18.75" hidden="1">
      <c r="A541" s="1241"/>
      <c r="B541" s="1242"/>
      <c r="C541" s="1243"/>
      <c r="D541" s="1243"/>
      <c r="E541" s="1322" t="s">
        <v>231</v>
      </c>
      <c r="F541" s="1243"/>
      <c r="G541" s="963"/>
      <c r="H541" s="590" t="s">
        <v>35</v>
      </c>
      <c r="I541" s="830">
        <f ca="1">IFERROR(__xludf.DUMMYFUNCTION("IMPORTRANGE(""https://docs.google.com/spreadsheets/d/1QqKyyYR6Q21VydFLVH3TRQUabQu_ym0Zz7PgGX0-kHA/edit?usp=sharing"",""แผน!GY17"")"),0)</f>
        <v>0</v>
      </c>
      <c r="J541" s="959">
        <v>0</v>
      </c>
      <c r="K541" s="831">
        <f t="shared" ca="1" si="235"/>
        <v>0</v>
      </c>
      <c r="L541" s="831"/>
      <c r="M541" s="831"/>
      <c r="N541" s="831"/>
      <c r="O541" s="831"/>
      <c r="P541" s="831"/>
      <c r="Q541" s="1321"/>
      <c r="R541" s="1321"/>
      <c r="S541" s="1321"/>
      <c r="T541" s="1321"/>
      <c r="U541" s="1321"/>
      <c r="V541" s="1321"/>
      <c r="W541" s="1321"/>
      <c r="X541" s="1321"/>
      <c r="Y541" s="1321"/>
      <c r="Z541" s="1321"/>
    </row>
    <row r="542" spans="1:26" ht="18.75" hidden="1">
      <c r="A542" s="1241"/>
      <c r="B542" s="1242"/>
      <c r="C542" s="1243"/>
      <c r="D542" s="1243" t="s">
        <v>59</v>
      </c>
      <c r="E542" s="1243"/>
      <c r="F542" s="1243"/>
      <c r="G542" s="963"/>
      <c r="H542" s="590" t="s">
        <v>35</v>
      </c>
      <c r="I542" s="830">
        <f ca="1">IFERROR(__xludf.DUMMYFUNCTION("IMPORTRANGE(""https://docs.google.com/spreadsheets/d/1QqKyyYR6Q21VydFLVH3TRQUabQu_ym0Zz7PgGX0-kHA/edit?usp=sharing"",""แผน!GZ17"")"),0)</f>
        <v>0</v>
      </c>
      <c r="J542" s="959">
        <v>0</v>
      </c>
      <c r="K542" s="831">
        <f t="shared" ca="1" si="235"/>
        <v>0</v>
      </c>
      <c r="L542" s="831"/>
      <c r="M542" s="831"/>
      <c r="N542" s="831"/>
      <c r="O542" s="831"/>
      <c r="P542" s="831"/>
      <c r="Q542" s="1321"/>
      <c r="R542" s="1321"/>
      <c r="S542" s="1321"/>
      <c r="T542" s="1321"/>
      <c r="U542" s="1321"/>
      <c r="V542" s="1321"/>
      <c r="W542" s="1321"/>
      <c r="X542" s="1321"/>
      <c r="Y542" s="1321"/>
      <c r="Z542" s="1321"/>
    </row>
    <row r="543" spans="1:26" ht="19.5">
      <c r="A543" s="630">
        <v>6</v>
      </c>
      <c r="B543" s="1323" t="s">
        <v>232</v>
      </c>
      <c r="C543" s="1309"/>
      <c r="D543" s="1309"/>
      <c r="E543" s="1309"/>
      <c r="F543" s="1309"/>
      <c r="G543" s="1310"/>
      <c r="H543" s="652" t="s">
        <v>46</v>
      </c>
      <c r="I543" s="1324">
        <f t="shared" ref="I543:J543" ca="1" si="236">I559</f>
        <v>43092</v>
      </c>
      <c r="J543" s="1324">
        <f t="shared" si="236"/>
        <v>0</v>
      </c>
      <c r="K543" s="1325">
        <f t="shared" ca="1" si="235"/>
        <v>0</v>
      </c>
      <c r="L543" s="1325"/>
      <c r="M543" s="1325"/>
      <c r="N543" s="1325"/>
      <c r="O543" s="1325"/>
      <c r="P543" s="1325"/>
      <c r="Q543" s="1244"/>
      <c r="R543" s="1244"/>
      <c r="S543" s="1244"/>
      <c r="T543" s="1244"/>
      <c r="U543" s="1244"/>
      <c r="V543" s="1244"/>
      <c r="W543" s="1244"/>
      <c r="X543" s="1244"/>
      <c r="Y543" s="1244"/>
      <c r="Z543" s="1244"/>
    </row>
    <row r="544" spans="1:26" ht="19.5">
      <c r="A544" s="1326"/>
      <c r="B544" s="1327"/>
      <c r="C544" s="1327" t="s">
        <v>16</v>
      </c>
      <c r="D544" s="1511" t="s">
        <v>17</v>
      </c>
      <c r="E544" s="1487"/>
      <c r="F544" s="1487"/>
      <c r="G544" s="1328"/>
      <c r="H544" s="275" t="s">
        <v>12</v>
      </c>
      <c r="I544" s="937"/>
      <c r="J544" s="937"/>
      <c r="K544" s="938"/>
      <c r="L544" s="939">
        <f t="shared" ref="L544:N544" ca="1" si="237">L545+L546</f>
        <v>373285</v>
      </c>
      <c r="M544" s="939">
        <f t="shared" si="237"/>
        <v>0</v>
      </c>
      <c r="N544" s="939">
        <f t="shared" si="237"/>
        <v>204875.2</v>
      </c>
      <c r="O544" s="939">
        <f t="shared" ref="O544:O549" ca="1" si="238">IF(L544&gt;0,N544*100/L544,0)</f>
        <v>54.884391282800003</v>
      </c>
      <c r="P544" s="939">
        <f t="shared" ref="P544:P549" si="239">IF(M544&gt;0,N544*100/M544,0)</f>
        <v>0</v>
      </c>
      <c r="Q544" s="1244"/>
      <c r="R544" s="1244"/>
      <c r="S544" s="1244"/>
      <c r="T544" s="1244"/>
      <c r="U544" s="1244"/>
      <c r="V544" s="1244"/>
      <c r="W544" s="1244"/>
      <c r="X544" s="1244"/>
      <c r="Y544" s="1244"/>
      <c r="Z544" s="1244"/>
    </row>
    <row r="545" spans="1:26" ht="18.75" hidden="1">
      <c r="A545" s="1260"/>
      <c r="B545" s="1261"/>
      <c r="C545" s="1261"/>
      <c r="D545" s="1261"/>
      <c r="E545" s="1261" t="s">
        <v>184</v>
      </c>
      <c r="F545" s="1261"/>
      <c r="G545" s="1263"/>
      <c r="H545" s="165" t="s">
        <v>12</v>
      </c>
      <c r="I545" s="836"/>
      <c r="J545" s="836"/>
      <c r="K545" s="837"/>
      <c r="L545" s="837">
        <f t="shared" ref="L545:L546" si="240">L548+L556</f>
        <v>0</v>
      </c>
      <c r="M545" s="837">
        <f t="shared" ref="M545:N546" si="241">M548+M555</f>
        <v>0</v>
      </c>
      <c r="N545" s="837">
        <f t="shared" si="241"/>
        <v>0</v>
      </c>
      <c r="O545" s="837">
        <f t="shared" si="238"/>
        <v>0</v>
      </c>
      <c r="P545" s="837">
        <f t="shared" si="239"/>
        <v>0</v>
      </c>
      <c r="Q545" s="1264"/>
      <c r="R545" s="1264"/>
      <c r="S545" s="1264"/>
      <c r="T545" s="1264"/>
      <c r="U545" s="1264"/>
      <c r="V545" s="1264"/>
      <c r="W545" s="1264"/>
      <c r="X545" s="1264"/>
      <c r="Y545" s="1264"/>
      <c r="Z545" s="1264"/>
    </row>
    <row r="546" spans="1:26" ht="18.75" hidden="1">
      <c r="A546" s="1260"/>
      <c r="B546" s="1265"/>
      <c r="C546" s="1261"/>
      <c r="D546" s="1261"/>
      <c r="E546" s="1261" t="s">
        <v>185</v>
      </c>
      <c r="F546" s="1261"/>
      <c r="G546" s="1263"/>
      <c r="H546" s="165" t="s">
        <v>12</v>
      </c>
      <c r="I546" s="836"/>
      <c r="J546" s="836"/>
      <c r="K546" s="837"/>
      <c r="L546" s="837">
        <f t="shared" ca="1" si="240"/>
        <v>373285</v>
      </c>
      <c r="M546" s="837">
        <f t="shared" si="241"/>
        <v>0</v>
      </c>
      <c r="N546" s="837">
        <f t="shared" si="241"/>
        <v>204875.2</v>
      </c>
      <c r="O546" s="837">
        <f t="shared" ca="1" si="238"/>
        <v>54.884391282800003</v>
      </c>
      <c r="P546" s="837">
        <f t="shared" si="239"/>
        <v>0</v>
      </c>
      <c r="Q546" s="1264"/>
      <c r="R546" s="1264"/>
      <c r="S546" s="1264"/>
      <c r="T546" s="1264"/>
      <c r="U546" s="1264"/>
      <c r="V546" s="1264"/>
      <c r="W546" s="1264"/>
      <c r="X546" s="1264"/>
      <c r="Y546" s="1264"/>
      <c r="Z546" s="1264"/>
    </row>
    <row r="547" spans="1:26" ht="18.75">
      <c r="A547" s="1259"/>
      <c r="B547" s="1242"/>
      <c r="C547" s="1243"/>
      <c r="D547" s="1266" t="s">
        <v>20</v>
      </c>
      <c r="E547" s="1243"/>
      <c r="F547" s="1243"/>
      <c r="G547" s="963"/>
      <c r="H547" s="778" t="s">
        <v>12</v>
      </c>
      <c r="I547" s="944"/>
      <c r="J547" s="944"/>
      <c r="K547" s="945"/>
      <c r="L547" s="831">
        <f t="shared" ref="L547:N547" ca="1" si="242">L548+L549</f>
        <v>373285</v>
      </c>
      <c r="M547" s="831">
        <f t="shared" si="242"/>
        <v>0</v>
      </c>
      <c r="N547" s="831">
        <f t="shared" si="242"/>
        <v>204875.2</v>
      </c>
      <c r="O547" s="831">
        <f t="shared" ca="1" si="238"/>
        <v>54.884391282800003</v>
      </c>
      <c r="P547" s="831">
        <f t="shared" si="239"/>
        <v>0</v>
      </c>
      <c r="Q547" s="1244"/>
      <c r="R547" s="1244"/>
      <c r="S547" s="1244"/>
      <c r="T547" s="1244"/>
      <c r="U547" s="1244"/>
      <c r="V547" s="1244"/>
      <c r="W547" s="1244"/>
      <c r="X547" s="1244"/>
      <c r="Y547" s="1244"/>
      <c r="Z547" s="1244"/>
    </row>
    <row r="548" spans="1:26" ht="18.75" hidden="1">
      <c r="A548" s="1260"/>
      <c r="B548" s="1265"/>
      <c r="C548" s="1261"/>
      <c r="D548" s="1262"/>
      <c r="E548" s="1261" t="s">
        <v>184</v>
      </c>
      <c r="F548" s="1261"/>
      <c r="G548" s="1263"/>
      <c r="H548" s="165" t="s">
        <v>12</v>
      </c>
      <c r="I548" s="836"/>
      <c r="J548" s="836"/>
      <c r="K548" s="837"/>
      <c r="L548" s="837">
        <v>0</v>
      </c>
      <c r="M548" s="837">
        <v>0</v>
      </c>
      <c r="N548" s="837">
        <v>0</v>
      </c>
      <c r="O548" s="837">
        <f t="shared" si="238"/>
        <v>0</v>
      </c>
      <c r="P548" s="837">
        <f t="shared" si="239"/>
        <v>0</v>
      </c>
      <c r="Q548" s="1264"/>
      <c r="R548" s="1264"/>
      <c r="S548" s="1264"/>
      <c r="T548" s="1264"/>
      <c r="U548" s="1264"/>
      <c r="V548" s="1264"/>
      <c r="W548" s="1264"/>
      <c r="X548" s="1264"/>
      <c r="Y548" s="1264"/>
      <c r="Z548" s="1264"/>
    </row>
    <row r="549" spans="1:26" ht="18.75" hidden="1">
      <c r="A549" s="1260"/>
      <c r="B549" s="1265"/>
      <c r="C549" s="1261"/>
      <c r="D549" s="1262"/>
      <c r="E549" s="1261" t="s">
        <v>185</v>
      </c>
      <c r="F549" s="1261"/>
      <c r="G549" s="1263"/>
      <c r="H549" s="165" t="s">
        <v>12</v>
      </c>
      <c r="I549" s="836"/>
      <c r="J549" s="836"/>
      <c r="K549" s="837"/>
      <c r="L549" s="837">
        <f ca="1">IFERROR(__xludf.DUMMYFUNCTION("IMPORTRANGE(""https://docs.google.com/spreadsheets/d/1QqKyyYR6Q21VydFLVH3TRQUabQu_ym0Zz7PgGX0-kHA/edit?usp=sharing"",""แผน!HB17"")"),373285)</f>
        <v>373285</v>
      </c>
      <c r="M549" s="837">
        <v>0</v>
      </c>
      <c r="N549" s="837">
        <f>N550+N551+N552+N553+N554</f>
        <v>204875.2</v>
      </c>
      <c r="O549" s="837">
        <f t="shared" ca="1" si="238"/>
        <v>54.884391282800003</v>
      </c>
      <c r="P549" s="837">
        <f t="shared" si="239"/>
        <v>0</v>
      </c>
      <c r="Q549" s="1264"/>
      <c r="R549" s="1264"/>
      <c r="S549" s="1264"/>
      <c r="T549" s="1264"/>
      <c r="U549" s="1264"/>
      <c r="V549" s="1264"/>
      <c r="W549" s="1264"/>
      <c r="X549" s="1264"/>
      <c r="Y549" s="1264"/>
      <c r="Z549" s="1264"/>
    </row>
    <row r="550" spans="1:26" ht="18.75">
      <c r="A550" s="1241"/>
      <c r="B550" s="1242"/>
      <c r="C550" s="1243"/>
      <c r="D550" s="1243"/>
      <c r="E550" s="1243"/>
      <c r="F550" s="1243" t="s">
        <v>186</v>
      </c>
      <c r="G550" s="963"/>
      <c r="H550" s="778" t="s">
        <v>12</v>
      </c>
      <c r="I550" s="830"/>
      <c r="J550" s="830"/>
      <c r="K550" s="831"/>
      <c r="L550" s="831"/>
      <c r="M550" s="831"/>
      <c r="N550" s="1031">
        <v>0</v>
      </c>
      <c r="O550" s="831"/>
      <c r="P550" s="831"/>
      <c r="Q550" s="1244"/>
      <c r="R550" s="1244"/>
      <c r="S550" s="1244"/>
      <c r="T550" s="1244"/>
      <c r="U550" s="1244"/>
      <c r="V550" s="1244"/>
      <c r="W550" s="1244"/>
      <c r="X550" s="1244"/>
      <c r="Y550" s="1244"/>
      <c r="Z550" s="1244"/>
    </row>
    <row r="551" spans="1:26" ht="18.75">
      <c r="A551" s="1241"/>
      <c r="B551" s="1242"/>
      <c r="C551" s="1242"/>
      <c r="D551" s="1242"/>
      <c r="E551" s="1243"/>
      <c r="F551" s="1243" t="s">
        <v>187</v>
      </c>
      <c r="G551" s="963"/>
      <c r="H551" s="778" t="s">
        <v>12</v>
      </c>
      <c r="I551" s="830"/>
      <c r="J551" s="830"/>
      <c r="K551" s="831"/>
      <c r="L551" s="831"/>
      <c r="M551" s="831"/>
      <c r="N551" s="1031">
        <v>0</v>
      </c>
      <c r="O551" s="831"/>
      <c r="P551" s="831"/>
      <c r="Q551" s="1244"/>
      <c r="R551" s="1244"/>
      <c r="S551" s="1244"/>
      <c r="T551" s="1244"/>
      <c r="U551" s="1244"/>
      <c r="V551" s="1244"/>
      <c r="W551" s="1244"/>
      <c r="X551" s="1244"/>
      <c r="Y551" s="1244"/>
      <c r="Z551" s="1244"/>
    </row>
    <row r="552" spans="1:26" ht="18.75">
      <c r="A552" s="1241"/>
      <c r="B552" s="1242"/>
      <c r="C552" s="1243"/>
      <c r="D552" s="1243"/>
      <c r="E552" s="1243"/>
      <c r="F552" s="1243" t="s">
        <v>188</v>
      </c>
      <c r="G552" s="963"/>
      <c r="H552" s="778" t="s">
        <v>12</v>
      </c>
      <c r="I552" s="830"/>
      <c r="J552" s="830"/>
      <c r="K552" s="831"/>
      <c r="L552" s="831"/>
      <c r="M552" s="831"/>
      <c r="N552" s="1031">
        <v>52000</v>
      </c>
      <c r="O552" s="831"/>
      <c r="P552" s="831"/>
      <c r="Q552" s="1244"/>
      <c r="R552" s="1244"/>
      <c r="S552" s="1244"/>
      <c r="T552" s="1244"/>
      <c r="U552" s="1244"/>
      <c r="V552" s="1244"/>
      <c r="W552" s="1244"/>
      <c r="X552" s="1244"/>
      <c r="Y552" s="1244"/>
      <c r="Z552" s="1244"/>
    </row>
    <row r="553" spans="1:26" ht="18.75">
      <c r="A553" s="1241"/>
      <c r="B553" s="1242"/>
      <c r="C553" s="1242"/>
      <c r="D553" s="1242"/>
      <c r="E553" s="1243"/>
      <c r="F553" s="1243" t="s">
        <v>189</v>
      </c>
      <c r="G553" s="963"/>
      <c r="H553" s="778" t="s">
        <v>12</v>
      </c>
      <c r="I553" s="830"/>
      <c r="J553" s="830"/>
      <c r="K553" s="831"/>
      <c r="L553" s="831"/>
      <c r="M553" s="831"/>
      <c r="N553" s="1031">
        <v>152875.20000000001</v>
      </c>
      <c r="O553" s="831"/>
      <c r="P553" s="831"/>
      <c r="Q553" s="1244"/>
      <c r="R553" s="1244">
        <f>20515+14300.2</f>
        <v>34815.199999999997</v>
      </c>
      <c r="S553" s="1244"/>
      <c r="T553" s="1244"/>
      <c r="U553" s="1244"/>
      <c r="V553" s="1244"/>
      <c r="W553" s="1244"/>
      <c r="X553" s="1244"/>
      <c r="Y553" s="1244"/>
      <c r="Z553" s="1244"/>
    </row>
    <row r="554" spans="1:26" ht="18.75">
      <c r="A554" s="1241"/>
      <c r="B554" s="1242"/>
      <c r="C554" s="1242"/>
      <c r="D554" s="1242"/>
      <c r="E554" s="1243"/>
      <c r="F554" s="1243" t="s">
        <v>233</v>
      </c>
      <c r="G554" s="963"/>
      <c r="H554" s="778" t="s">
        <v>12</v>
      </c>
      <c r="I554" s="830"/>
      <c r="J554" s="830"/>
      <c r="K554" s="831"/>
      <c r="L554" s="831"/>
      <c r="M554" s="831"/>
      <c r="N554" s="1031"/>
      <c r="O554" s="831"/>
      <c r="P554" s="831"/>
      <c r="Q554" s="1244"/>
      <c r="R554" s="1244"/>
      <c r="S554" s="1244"/>
      <c r="T554" s="1244"/>
      <c r="U554" s="1244"/>
      <c r="V554" s="1244"/>
      <c r="W554" s="1244"/>
      <c r="X554" s="1244"/>
      <c r="Y554" s="1244"/>
      <c r="Z554" s="1244"/>
    </row>
    <row r="555" spans="1:26" ht="18.75">
      <c r="A555" s="1259"/>
      <c r="B555" s="1242"/>
      <c r="C555" s="1242"/>
      <c r="D555" s="1266" t="s">
        <v>21</v>
      </c>
      <c r="E555" s="1243"/>
      <c r="F555" s="1243"/>
      <c r="G555" s="963"/>
      <c r="H555" s="168" t="s">
        <v>12</v>
      </c>
      <c r="I555" s="944"/>
      <c r="J555" s="944"/>
      <c r="K555" s="945"/>
      <c r="L555" s="831">
        <f t="shared" ref="L555:N555" ca="1" si="243">L556+L557</f>
        <v>0</v>
      </c>
      <c r="M555" s="831">
        <f t="shared" si="243"/>
        <v>0</v>
      </c>
      <c r="N555" s="831">
        <f t="shared" si="243"/>
        <v>0</v>
      </c>
      <c r="O555" s="831">
        <f t="shared" ref="O555:O557" ca="1" si="244">IF(L555&gt;0,N555*100/L555,0)</f>
        <v>0</v>
      </c>
      <c r="P555" s="831">
        <f t="shared" ref="P555:P557" si="245">IF(M555&gt;0,N555*100/M555,0)</f>
        <v>0</v>
      </c>
      <c r="Q555" s="1244"/>
      <c r="R555" s="1244"/>
      <c r="S555" s="1244"/>
      <c r="T555" s="1244"/>
      <c r="U555" s="1244"/>
      <c r="V555" s="1244"/>
      <c r="W555" s="1244"/>
      <c r="X555" s="1244"/>
      <c r="Y555" s="1244"/>
      <c r="Z555" s="1244"/>
    </row>
    <row r="556" spans="1:26" ht="18.75" hidden="1">
      <c r="A556" s="1260"/>
      <c r="B556" s="1265"/>
      <c r="C556" s="1265"/>
      <c r="D556" s="1261"/>
      <c r="E556" s="1261" t="s">
        <v>18</v>
      </c>
      <c r="F556" s="1261"/>
      <c r="G556" s="1263"/>
      <c r="H556" s="165" t="s">
        <v>12</v>
      </c>
      <c r="I556" s="947"/>
      <c r="J556" s="947"/>
      <c r="K556" s="948"/>
      <c r="L556" s="837">
        <v>0</v>
      </c>
      <c r="M556" s="837">
        <v>0</v>
      </c>
      <c r="N556" s="837">
        <v>0</v>
      </c>
      <c r="O556" s="837">
        <f t="shared" si="244"/>
        <v>0</v>
      </c>
      <c r="P556" s="837">
        <f t="shared" si="245"/>
        <v>0</v>
      </c>
      <c r="Q556" s="1264"/>
      <c r="R556" s="1264"/>
      <c r="S556" s="1264"/>
      <c r="T556" s="1264"/>
      <c r="U556" s="1264"/>
      <c r="V556" s="1264"/>
      <c r="W556" s="1264"/>
      <c r="X556" s="1264"/>
      <c r="Y556" s="1264"/>
      <c r="Z556" s="1264"/>
    </row>
    <row r="557" spans="1:26" ht="18.75" hidden="1">
      <c r="A557" s="1260"/>
      <c r="B557" s="1265"/>
      <c r="C557" s="1265"/>
      <c r="D557" s="1261"/>
      <c r="E557" s="1261" t="s">
        <v>19</v>
      </c>
      <c r="F557" s="1261"/>
      <c r="G557" s="1263"/>
      <c r="H557" s="169" t="s">
        <v>12</v>
      </c>
      <c r="I557" s="947"/>
      <c r="J557" s="947"/>
      <c r="K557" s="948"/>
      <c r="L557" s="837">
        <f ca="1">IFERROR(__xludf.DUMMYFUNCTION("IMPORTRANGE(""https://docs.google.com/spreadsheets/d/1QqKyyYR6Q21VydFLVH3TRQUabQu_ym0Zz7PgGX0-kHA/edit?usp=sharing"",""แผน!HF17"")"),0)</f>
        <v>0</v>
      </c>
      <c r="M557" s="837">
        <v>0</v>
      </c>
      <c r="N557" s="837">
        <v>0</v>
      </c>
      <c r="O557" s="837">
        <f t="shared" ca="1" si="244"/>
        <v>0</v>
      </c>
      <c r="P557" s="837">
        <f t="shared" si="245"/>
        <v>0</v>
      </c>
      <c r="Q557" s="1264"/>
      <c r="R557" s="1264"/>
      <c r="S557" s="1264"/>
      <c r="T557" s="1264"/>
      <c r="U557" s="1264"/>
      <c r="V557" s="1264"/>
      <c r="W557" s="1264"/>
      <c r="X557" s="1264"/>
      <c r="Y557" s="1264"/>
      <c r="Z557" s="1264"/>
    </row>
    <row r="558" spans="1:26" ht="19.5">
      <c r="A558" s="1267"/>
      <c r="B558" s="1268"/>
      <c r="C558" s="1242" t="s">
        <v>16</v>
      </c>
      <c r="D558" s="1320" t="s">
        <v>38</v>
      </c>
      <c r="E558" s="1271"/>
      <c r="F558" s="1271"/>
      <c r="G558" s="1272"/>
      <c r="H558" s="954"/>
      <c r="I558" s="944"/>
      <c r="J558" s="944"/>
      <c r="K558" s="945"/>
      <c r="L558" s="945"/>
      <c r="M558" s="945"/>
      <c r="N558" s="945"/>
      <c r="O558" s="945"/>
      <c r="P558" s="945"/>
      <c r="Q558" s="1244"/>
      <c r="R558" s="1244"/>
      <c r="S558" s="1244"/>
      <c r="T558" s="1244"/>
      <c r="U558" s="1244"/>
      <c r="V558" s="1244"/>
      <c r="W558" s="1244"/>
      <c r="X558" s="1244"/>
      <c r="Y558" s="1244"/>
      <c r="Z558" s="1244"/>
    </row>
    <row r="559" spans="1:26" ht="19.5">
      <c r="A559" s="1329"/>
      <c r="B559" s="1330" t="s">
        <v>234</v>
      </c>
      <c r="C559" s="1331"/>
      <c r="D559" s="1331"/>
      <c r="E559" s="1315"/>
      <c r="F559" s="1315"/>
      <c r="G559" s="1316"/>
      <c r="H559" s="661" t="s">
        <v>46</v>
      </c>
      <c r="I559" s="1317">
        <f t="shared" ref="I559:J559" ca="1" si="246">I576</f>
        <v>43092</v>
      </c>
      <c r="J559" s="1317">
        <f t="shared" si="246"/>
        <v>0</v>
      </c>
      <c r="K559" s="1318">
        <f t="shared" ref="K559:K561" ca="1" si="247">IF(I559&gt;0,J559*100/I559,0)</f>
        <v>0</v>
      </c>
      <c r="L559" s="1319"/>
      <c r="M559" s="1319"/>
      <c r="N559" s="1319"/>
      <c r="O559" s="1319"/>
      <c r="P559" s="1319"/>
      <c r="Q559" s="1244"/>
      <c r="R559" s="1244"/>
      <c r="S559" s="1244"/>
      <c r="T559" s="1244"/>
      <c r="U559" s="1244"/>
      <c r="V559" s="1244"/>
      <c r="W559" s="1244"/>
      <c r="X559" s="1244"/>
      <c r="Y559" s="1244"/>
      <c r="Z559" s="1244"/>
    </row>
    <row r="560" spans="1:26" ht="19.5">
      <c r="A560" s="1476"/>
      <c r="B560" s="1277"/>
      <c r="C560" s="1277" t="s">
        <v>235</v>
      </c>
      <c r="D560" s="1277"/>
      <c r="E560" s="1111"/>
      <c r="F560" s="1111"/>
      <c r="G560" s="1477"/>
      <c r="H560" s="733" t="s">
        <v>46</v>
      </c>
      <c r="I560" s="965">
        <f ca="1">IFERROR(__xludf.DUMMYFUNCTION("IMPORTRANGE(""https://docs.google.com/spreadsheets/d/1QqKyyYR6Q21VydFLVH3TRQUabQu_ym0Zz7PgGX0-kHA/edit?usp=sharing"",""แผน!HH17"")"),43092)</f>
        <v>43092</v>
      </c>
      <c r="J560" s="965">
        <f t="shared" ref="J560:J561" si="248">J562+J564+J566</f>
        <v>43092.34</v>
      </c>
      <c r="K560" s="1109">
        <f t="shared" ca="1" si="247"/>
        <v>100.00078900956093</v>
      </c>
      <c r="L560" s="1109"/>
      <c r="M560" s="1109"/>
      <c r="N560" s="1109"/>
      <c r="O560" s="1109"/>
      <c r="P560" s="1109"/>
      <c r="Q560" s="1478"/>
      <c r="R560" s="1478"/>
      <c r="S560" s="1478"/>
      <c r="T560" s="1478"/>
      <c r="U560" s="1478"/>
      <c r="V560" s="1478"/>
      <c r="W560" s="1478"/>
      <c r="X560" s="1478"/>
      <c r="Y560" s="1478"/>
      <c r="Z560" s="1478"/>
    </row>
    <row r="561" spans="1:26" ht="19.5">
      <c r="A561" s="1476"/>
      <c r="B561" s="1277"/>
      <c r="C561" s="1277"/>
      <c r="D561" s="1111"/>
      <c r="E561" s="1111"/>
      <c r="F561" s="1111"/>
      <c r="G561" s="1477"/>
      <c r="H561" s="733" t="s">
        <v>34</v>
      </c>
      <c r="I561" s="965">
        <f ca="1">IFERROR(__xludf.DUMMYFUNCTION("IMPORTRANGE(""https://docs.google.com/spreadsheets/d/1QqKyyYR6Q21VydFLVH3TRQUabQu_ym0Zz7PgGX0-kHA/edit?usp=sharing"",""แผน!HG17"")"),5108)</f>
        <v>5108</v>
      </c>
      <c r="J561" s="965">
        <f t="shared" si="248"/>
        <v>5108</v>
      </c>
      <c r="K561" s="1109">
        <f t="shared" ca="1" si="247"/>
        <v>100</v>
      </c>
      <c r="L561" s="1109"/>
      <c r="M561" s="1109"/>
      <c r="N561" s="1109"/>
      <c r="O561" s="1109"/>
      <c r="P561" s="1109"/>
      <c r="Q561" s="1478"/>
      <c r="R561" s="1478"/>
      <c r="S561" s="1478"/>
      <c r="T561" s="1478"/>
      <c r="U561" s="1478"/>
      <c r="V561" s="1478"/>
      <c r="W561" s="1478"/>
      <c r="X561" s="1478"/>
      <c r="Y561" s="1478"/>
      <c r="Z561" s="1478"/>
    </row>
    <row r="562" spans="1:26" ht="18.75">
      <c r="A562" s="1267"/>
      <c r="B562" s="1268"/>
      <c r="C562" s="1268"/>
      <c r="D562" s="961" t="s">
        <v>236</v>
      </c>
      <c r="E562" s="961"/>
      <c r="F562" s="961"/>
      <c r="G562" s="954"/>
      <c r="H562" s="730" t="s">
        <v>46</v>
      </c>
      <c r="I562" s="944"/>
      <c r="J562" s="959">
        <v>39166</v>
      </c>
      <c r="K562" s="945"/>
      <c r="L562" s="945"/>
      <c r="M562" s="945"/>
      <c r="N562" s="945"/>
      <c r="O562" s="945"/>
      <c r="P562" s="945"/>
      <c r="Q562" s="1244"/>
      <c r="R562" s="1244"/>
      <c r="S562" s="1244"/>
      <c r="T562" s="1244"/>
      <c r="U562" s="1244"/>
      <c r="V562" s="1244"/>
      <c r="W562" s="1244"/>
      <c r="X562" s="1244"/>
      <c r="Y562" s="1244"/>
      <c r="Z562" s="1244"/>
    </row>
    <row r="563" spans="1:26" ht="18.75">
      <c r="A563" s="1267"/>
      <c r="B563" s="1268"/>
      <c r="C563" s="1268"/>
      <c r="D563" s="1268"/>
      <c r="E563" s="961"/>
      <c r="F563" s="961"/>
      <c r="G563" s="954"/>
      <c r="H563" s="730" t="s">
        <v>34</v>
      </c>
      <c r="I563" s="944"/>
      <c r="J563" s="959">
        <v>4759</v>
      </c>
      <c r="K563" s="945"/>
      <c r="L563" s="945"/>
      <c r="M563" s="945"/>
      <c r="N563" s="945"/>
      <c r="O563" s="945"/>
      <c r="P563" s="945"/>
      <c r="Q563" s="1244"/>
      <c r="R563" s="1244"/>
      <c r="S563" s="1244"/>
      <c r="T563" s="1244"/>
      <c r="U563" s="1244"/>
      <c r="V563" s="1244"/>
      <c r="W563" s="1244"/>
      <c r="X563" s="1244"/>
      <c r="Y563" s="1244"/>
      <c r="Z563" s="1244"/>
    </row>
    <row r="564" spans="1:26" ht="18.75">
      <c r="A564" s="1267"/>
      <c r="B564" s="1268"/>
      <c r="C564" s="1268"/>
      <c r="D564" s="961" t="s">
        <v>237</v>
      </c>
      <c r="E564" s="961"/>
      <c r="F564" s="961"/>
      <c r="G564" s="954"/>
      <c r="H564" s="730" t="s">
        <v>46</v>
      </c>
      <c r="I564" s="944"/>
      <c r="J564" s="959">
        <v>2992</v>
      </c>
      <c r="K564" s="945"/>
      <c r="L564" s="945"/>
      <c r="M564" s="945"/>
      <c r="N564" s="945"/>
      <c r="O564" s="945"/>
      <c r="P564" s="945"/>
      <c r="Q564" s="1244"/>
      <c r="R564" s="1244"/>
      <c r="S564" s="1244"/>
      <c r="T564" s="1244"/>
      <c r="U564" s="1244"/>
      <c r="V564" s="1244"/>
      <c r="W564" s="1244"/>
      <c r="X564" s="1244"/>
      <c r="Y564" s="1244"/>
      <c r="Z564" s="1244"/>
    </row>
    <row r="565" spans="1:26" ht="18.75">
      <c r="A565" s="1267"/>
      <c r="B565" s="1268"/>
      <c r="C565" s="1268"/>
      <c r="D565" s="961"/>
      <c r="E565" s="961"/>
      <c r="F565" s="961"/>
      <c r="G565" s="954"/>
      <c r="H565" s="730" t="s">
        <v>34</v>
      </c>
      <c r="I565" s="944"/>
      <c r="J565" s="959">
        <v>247</v>
      </c>
      <c r="K565" s="945"/>
      <c r="L565" s="945"/>
      <c r="M565" s="945"/>
      <c r="N565" s="945"/>
      <c r="O565" s="945"/>
      <c r="P565" s="945"/>
      <c r="Q565" s="1244"/>
      <c r="R565" s="1244"/>
      <c r="S565" s="1244"/>
      <c r="T565" s="1244"/>
      <c r="U565" s="1244"/>
      <c r="V565" s="1244"/>
      <c r="W565" s="1244"/>
      <c r="X565" s="1244"/>
      <c r="Y565" s="1244"/>
      <c r="Z565" s="1244"/>
    </row>
    <row r="566" spans="1:26" ht="18.75">
      <c r="A566" s="1267"/>
      <c r="B566" s="1268"/>
      <c r="C566" s="1268"/>
      <c r="D566" s="961" t="s">
        <v>238</v>
      </c>
      <c r="E566" s="961"/>
      <c r="F566" s="961"/>
      <c r="G566" s="954"/>
      <c r="H566" s="730" t="s">
        <v>46</v>
      </c>
      <c r="I566" s="944"/>
      <c r="J566" s="959">
        <v>934.34</v>
      </c>
      <c r="K566" s="945"/>
      <c r="L566" s="945"/>
      <c r="M566" s="945"/>
      <c r="N566" s="945"/>
      <c r="O566" s="945"/>
      <c r="P566" s="945"/>
      <c r="Q566" s="1244"/>
      <c r="R566" s="1244"/>
      <c r="S566" s="1244"/>
      <c r="T566" s="1244"/>
      <c r="U566" s="1244"/>
      <c r="V566" s="1244"/>
      <c r="W566" s="1244"/>
      <c r="X566" s="1244"/>
      <c r="Y566" s="1244"/>
      <c r="Z566" s="1244"/>
    </row>
    <row r="567" spans="1:26" ht="18.75">
      <c r="A567" s="1267"/>
      <c r="B567" s="1268"/>
      <c r="C567" s="1268"/>
      <c r="D567" s="961"/>
      <c r="E567" s="961"/>
      <c r="F567" s="961"/>
      <c r="G567" s="954"/>
      <c r="H567" s="730" t="s">
        <v>34</v>
      </c>
      <c r="I567" s="944"/>
      <c r="J567" s="959">
        <v>102</v>
      </c>
      <c r="K567" s="945"/>
      <c r="L567" s="945"/>
      <c r="M567" s="945"/>
      <c r="N567" s="945"/>
      <c r="O567" s="945"/>
      <c r="P567" s="945"/>
      <c r="Q567" s="1244"/>
      <c r="R567" s="1244"/>
      <c r="S567" s="1244"/>
      <c r="T567" s="1244"/>
      <c r="U567" s="1244"/>
      <c r="V567" s="1244"/>
      <c r="W567" s="1244"/>
      <c r="X567" s="1244"/>
      <c r="Y567" s="1244"/>
      <c r="Z567" s="1244"/>
    </row>
    <row r="568" spans="1:26" ht="19.5">
      <c r="A568" s="1476"/>
      <c r="B568" s="1277"/>
      <c r="C568" s="1277" t="s">
        <v>239</v>
      </c>
      <c r="D568" s="1111"/>
      <c r="E568" s="1111"/>
      <c r="F568" s="1111"/>
      <c r="G568" s="1477"/>
      <c r="H568" s="733" t="s">
        <v>46</v>
      </c>
      <c r="I568" s="965">
        <f ca="1">IFERROR(__xludf.DUMMYFUNCTION("IMPORTRANGE(""https://docs.google.com/spreadsheets/d/1QqKyyYR6Q21VydFLVH3TRQUabQu_ym0Zz7PgGX0-kHA/edit?usp=sharing"",""แผน!HH17"")"),43092)</f>
        <v>43092</v>
      </c>
      <c r="J568" s="966">
        <f t="shared" ref="J568:J569" si="249">J570+J572+J574</f>
        <v>22115</v>
      </c>
      <c r="K568" s="1109">
        <f t="shared" ref="K568:K569" ca="1" si="250">IF(I568&gt;0,J568*100/I568,0)</f>
        <v>51.320430706395619</v>
      </c>
      <c r="L568" s="1109"/>
      <c r="M568" s="1109"/>
      <c r="N568" s="1109"/>
      <c r="O568" s="1109"/>
      <c r="P568" s="1109"/>
      <c r="Q568" s="1478"/>
      <c r="R568" s="1478"/>
      <c r="S568" s="1478"/>
      <c r="T568" s="1478"/>
      <c r="U568" s="1478"/>
      <c r="V568" s="1478"/>
      <c r="W568" s="1478"/>
      <c r="X568" s="1478"/>
      <c r="Y568" s="1478"/>
      <c r="Z568" s="1478"/>
    </row>
    <row r="569" spans="1:26" ht="19.5">
      <c r="A569" s="1476"/>
      <c r="B569" s="1277"/>
      <c r="C569" s="1277"/>
      <c r="D569" s="1277"/>
      <c r="E569" s="1111"/>
      <c r="F569" s="1111"/>
      <c r="G569" s="1477"/>
      <c r="H569" s="733" t="s">
        <v>34</v>
      </c>
      <c r="I569" s="965">
        <f ca="1">IFERROR(__xludf.DUMMYFUNCTION("IMPORTRANGE(""https://docs.google.com/spreadsheets/d/1QqKyyYR6Q21VydFLVH3TRQUabQu_ym0Zz7PgGX0-kHA/edit?usp=sharing"",""แผน!HG17"")"),5108)</f>
        <v>5108</v>
      </c>
      <c r="J569" s="966">
        <f t="shared" si="249"/>
        <v>2680</v>
      </c>
      <c r="K569" s="1109">
        <f t="shared" ca="1" si="250"/>
        <v>52.466718872357085</v>
      </c>
      <c r="L569" s="1109"/>
      <c r="M569" s="1109"/>
      <c r="N569" s="1109"/>
      <c r="O569" s="1109"/>
      <c r="P569" s="1109"/>
      <c r="Q569" s="1478"/>
      <c r="R569" s="1478"/>
      <c r="S569" s="1478"/>
      <c r="T569" s="1478"/>
      <c r="U569" s="1478"/>
      <c r="V569" s="1478"/>
      <c r="W569" s="1478"/>
      <c r="X569" s="1478"/>
      <c r="Y569" s="1478"/>
      <c r="Z569" s="1478"/>
    </row>
    <row r="570" spans="1:26" ht="18.75">
      <c r="A570" s="1267"/>
      <c r="B570" s="1268"/>
      <c r="C570" s="1268"/>
      <c r="D570" s="961" t="s">
        <v>240</v>
      </c>
      <c r="E570" s="1268"/>
      <c r="F570" s="961"/>
      <c r="G570" s="954"/>
      <c r="H570" s="730" t="s">
        <v>46</v>
      </c>
      <c r="I570" s="944"/>
      <c r="J570" s="959">
        <v>20359</v>
      </c>
      <c r="K570" s="945"/>
      <c r="L570" s="945"/>
      <c r="M570" s="945"/>
      <c r="N570" s="945"/>
      <c r="O570" s="945"/>
      <c r="P570" s="945"/>
      <c r="Q570" s="1244"/>
      <c r="R570" s="1244"/>
      <c r="S570" s="1244"/>
      <c r="T570" s="1244"/>
      <c r="U570" s="1244"/>
      <c r="V570" s="1244"/>
      <c r="W570" s="1244"/>
      <c r="X570" s="1244"/>
      <c r="Y570" s="1244"/>
      <c r="Z570" s="1244"/>
    </row>
    <row r="571" spans="1:26" ht="18.75">
      <c r="A571" s="1267"/>
      <c r="B571" s="1268"/>
      <c r="C571" s="1268"/>
      <c r="D571" s="1268"/>
      <c r="E571" s="961"/>
      <c r="F571" s="961"/>
      <c r="G571" s="954"/>
      <c r="H571" s="730" t="s">
        <v>34</v>
      </c>
      <c r="I571" s="944"/>
      <c r="J571" s="959">
        <v>2557</v>
      </c>
      <c r="K571" s="945"/>
      <c r="L571" s="945"/>
      <c r="M571" s="945"/>
      <c r="N571" s="945"/>
      <c r="O571" s="945"/>
      <c r="P571" s="945"/>
      <c r="Q571" s="1244"/>
      <c r="R571" s="1244"/>
      <c r="S571" s="1244"/>
      <c r="T571" s="1244"/>
      <c r="U571" s="1244"/>
      <c r="V571" s="1244"/>
      <c r="W571" s="1244"/>
      <c r="X571" s="1244"/>
      <c r="Y571" s="1244"/>
      <c r="Z571" s="1244"/>
    </row>
    <row r="572" spans="1:26" ht="18.75">
      <c r="A572" s="1267"/>
      <c r="B572" s="1268"/>
      <c r="C572" s="1268"/>
      <c r="D572" s="961" t="s">
        <v>241</v>
      </c>
      <c r="E572" s="961"/>
      <c r="F572" s="961"/>
      <c r="G572" s="954"/>
      <c r="H572" s="730" t="s">
        <v>46</v>
      </c>
      <c r="I572" s="944"/>
      <c r="J572" s="959">
        <v>1583</v>
      </c>
      <c r="K572" s="945"/>
      <c r="L572" s="945"/>
      <c r="M572" s="945"/>
      <c r="N572" s="945"/>
      <c r="O572" s="945"/>
      <c r="P572" s="945"/>
      <c r="Q572" s="1244"/>
      <c r="R572" s="1244"/>
      <c r="S572" s="1244"/>
      <c r="T572" s="1244"/>
      <c r="U572" s="1244"/>
      <c r="V572" s="1244"/>
      <c r="W572" s="1244"/>
      <c r="X572" s="1244"/>
      <c r="Y572" s="1244"/>
      <c r="Z572" s="1244"/>
    </row>
    <row r="573" spans="1:26" ht="18.75">
      <c r="A573" s="1267"/>
      <c r="B573" s="1268"/>
      <c r="C573" s="1268"/>
      <c r="D573" s="961"/>
      <c r="E573" s="961"/>
      <c r="F573" s="961"/>
      <c r="G573" s="954"/>
      <c r="H573" s="730" t="s">
        <v>34</v>
      </c>
      <c r="I573" s="944"/>
      <c r="J573" s="959">
        <v>99</v>
      </c>
      <c r="K573" s="945"/>
      <c r="L573" s="945"/>
      <c r="M573" s="945"/>
      <c r="N573" s="945"/>
      <c r="O573" s="945"/>
      <c r="P573" s="945"/>
      <c r="Q573" s="1244"/>
      <c r="R573" s="1244"/>
      <c r="S573" s="1244"/>
      <c r="T573" s="1244"/>
      <c r="U573" s="1244"/>
      <c r="V573" s="1244"/>
      <c r="W573" s="1244"/>
      <c r="X573" s="1244"/>
      <c r="Y573" s="1244"/>
      <c r="Z573" s="1244"/>
    </row>
    <row r="574" spans="1:26" ht="18.75">
      <c r="A574" s="1267"/>
      <c r="B574" s="1268"/>
      <c r="C574" s="1268"/>
      <c r="D574" s="961" t="s">
        <v>242</v>
      </c>
      <c r="E574" s="961"/>
      <c r="F574" s="961"/>
      <c r="G574" s="954"/>
      <c r="H574" s="730" t="s">
        <v>46</v>
      </c>
      <c r="I574" s="944"/>
      <c r="J574" s="959">
        <v>173</v>
      </c>
      <c r="K574" s="945"/>
      <c r="L574" s="945"/>
      <c r="M574" s="945"/>
      <c r="N574" s="945"/>
      <c r="O574" s="945"/>
      <c r="P574" s="945"/>
      <c r="Q574" s="1244"/>
      <c r="R574" s="1244"/>
      <c r="S574" s="1244"/>
      <c r="T574" s="1244"/>
      <c r="U574" s="1244"/>
      <c r="V574" s="1244"/>
      <c r="W574" s="1244"/>
      <c r="X574" s="1244"/>
      <c r="Y574" s="1244"/>
      <c r="Z574" s="1244"/>
    </row>
    <row r="575" spans="1:26" ht="18.75">
      <c r="A575" s="1267"/>
      <c r="B575" s="1268"/>
      <c r="C575" s="1268"/>
      <c r="D575" s="1268"/>
      <c r="E575" s="961"/>
      <c r="F575" s="961"/>
      <c r="G575" s="954"/>
      <c r="H575" s="730" t="s">
        <v>34</v>
      </c>
      <c r="I575" s="944"/>
      <c r="J575" s="959">
        <v>24</v>
      </c>
      <c r="K575" s="945"/>
      <c r="L575" s="945"/>
      <c r="M575" s="945"/>
      <c r="N575" s="945"/>
      <c r="O575" s="945"/>
      <c r="P575" s="945"/>
      <c r="Q575" s="1244"/>
      <c r="R575" s="1244"/>
      <c r="S575" s="1244"/>
      <c r="T575" s="1244"/>
      <c r="U575" s="1244"/>
      <c r="V575" s="1244"/>
      <c r="W575" s="1244"/>
      <c r="X575" s="1244"/>
      <c r="Y575" s="1244"/>
      <c r="Z575" s="1244"/>
    </row>
    <row r="576" spans="1:26" ht="19.5">
      <c r="A576" s="1476"/>
      <c r="B576" s="1277"/>
      <c r="C576" s="1277" t="s">
        <v>243</v>
      </c>
      <c r="D576" s="1277"/>
      <c r="E576" s="1277"/>
      <c r="F576" s="1111"/>
      <c r="G576" s="1477"/>
      <c r="H576" s="733" t="s">
        <v>46</v>
      </c>
      <c r="I576" s="965">
        <f ca="1">IFERROR(__xludf.DUMMYFUNCTION("IMPORTRANGE(""https://docs.google.com/spreadsheets/d/1QqKyyYR6Q21VydFLVH3TRQUabQu_ym0Zz7PgGX0-kHA/edit?usp=sharing"",""แผน!HH17"")"),43092)</f>
        <v>43092</v>
      </c>
      <c r="J576" s="966">
        <f t="shared" ref="J576:J577" si="251">J578+J580+J582+J588+J590</f>
        <v>0</v>
      </c>
      <c r="K576" s="1109">
        <f t="shared" ref="K576:K577" ca="1" si="252">IF(I576&gt;0,J576*100/I576,0)</f>
        <v>0</v>
      </c>
      <c r="L576" s="1109"/>
      <c r="M576" s="1109"/>
      <c r="N576" s="1109"/>
      <c r="O576" s="1109"/>
      <c r="P576" s="1109"/>
      <c r="Q576" s="1478"/>
      <c r="R576" s="1478"/>
      <c r="S576" s="1478"/>
      <c r="T576" s="1478"/>
      <c r="U576" s="1478"/>
      <c r="V576" s="1478"/>
      <c r="W576" s="1478"/>
      <c r="X576" s="1478"/>
      <c r="Y576" s="1478"/>
      <c r="Z576" s="1478"/>
    </row>
    <row r="577" spans="1:26" ht="19.5">
      <c r="A577" s="1476"/>
      <c r="B577" s="1277"/>
      <c r="C577" s="1277"/>
      <c r="D577" s="1277"/>
      <c r="E577" s="1111"/>
      <c r="F577" s="1111"/>
      <c r="G577" s="1477"/>
      <c r="H577" s="733" t="s">
        <v>34</v>
      </c>
      <c r="I577" s="965">
        <f ca="1">IFERROR(__xludf.DUMMYFUNCTION("IMPORTRANGE(""https://docs.google.com/spreadsheets/d/1QqKyyYR6Q21VydFLVH3TRQUabQu_ym0Zz7PgGX0-kHA/edit?usp=sharing"",""แผน!HG17"")"),5108)</f>
        <v>5108</v>
      </c>
      <c r="J577" s="966">
        <f t="shared" si="251"/>
        <v>0</v>
      </c>
      <c r="K577" s="1109">
        <f t="shared" ca="1" si="252"/>
        <v>0</v>
      </c>
      <c r="L577" s="1109"/>
      <c r="M577" s="1109"/>
      <c r="N577" s="1109"/>
      <c r="O577" s="1109"/>
      <c r="P577" s="1109"/>
      <c r="Q577" s="1478"/>
      <c r="R577" s="1478"/>
      <c r="S577" s="1478"/>
      <c r="T577" s="1478"/>
      <c r="U577" s="1478"/>
      <c r="V577" s="1478"/>
      <c r="W577" s="1478"/>
      <c r="X577" s="1478"/>
      <c r="Y577" s="1478"/>
      <c r="Z577" s="1478"/>
    </row>
    <row r="578" spans="1:26" ht="18.75">
      <c r="A578" s="1267"/>
      <c r="B578" s="1268"/>
      <c r="C578" s="1268"/>
      <c r="D578" s="961" t="s">
        <v>244</v>
      </c>
      <c r="E578" s="961"/>
      <c r="F578" s="961"/>
      <c r="G578" s="954"/>
      <c r="H578" s="730" t="s">
        <v>46</v>
      </c>
      <c r="I578" s="944"/>
      <c r="J578" s="959"/>
      <c r="K578" s="945"/>
      <c r="L578" s="945"/>
      <c r="M578" s="945"/>
      <c r="N578" s="945"/>
      <c r="O578" s="945"/>
      <c r="P578" s="945"/>
      <c r="Q578" s="1244"/>
      <c r="R578" s="1244"/>
      <c r="S578" s="1244"/>
      <c r="T578" s="1244"/>
      <c r="U578" s="1244"/>
      <c r="V578" s="1244"/>
      <c r="W578" s="1244"/>
      <c r="X578" s="1244"/>
      <c r="Y578" s="1244"/>
      <c r="Z578" s="1244"/>
    </row>
    <row r="579" spans="1:26" ht="18.75">
      <c r="A579" s="1267"/>
      <c r="B579" s="1268"/>
      <c r="C579" s="1268"/>
      <c r="D579" s="1268"/>
      <c r="E579" s="961"/>
      <c r="F579" s="961"/>
      <c r="G579" s="954"/>
      <c r="H579" s="730" t="s">
        <v>34</v>
      </c>
      <c r="I579" s="944"/>
      <c r="J579" s="959"/>
      <c r="K579" s="945"/>
      <c r="L579" s="945"/>
      <c r="M579" s="945"/>
      <c r="N579" s="945"/>
      <c r="O579" s="945"/>
      <c r="P579" s="945"/>
      <c r="Q579" s="1244"/>
      <c r="R579" s="1244"/>
      <c r="S579" s="1244"/>
      <c r="T579" s="1244"/>
      <c r="U579" s="1244"/>
      <c r="V579" s="1244"/>
      <c r="W579" s="1244"/>
      <c r="X579" s="1244"/>
      <c r="Y579" s="1244"/>
      <c r="Z579" s="1244"/>
    </row>
    <row r="580" spans="1:26" ht="18.75">
      <c r="A580" s="1267"/>
      <c r="B580" s="1268"/>
      <c r="C580" s="1268"/>
      <c r="D580" s="961" t="s">
        <v>245</v>
      </c>
      <c r="E580" s="961"/>
      <c r="F580" s="961"/>
      <c r="G580" s="954"/>
      <c r="H580" s="730" t="s">
        <v>46</v>
      </c>
      <c r="I580" s="944"/>
      <c r="J580" s="959"/>
      <c r="K580" s="945"/>
      <c r="L580" s="945"/>
      <c r="M580" s="945"/>
      <c r="N580" s="945"/>
      <c r="O580" s="945"/>
      <c r="P580" s="945"/>
      <c r="Q580" s="1244"/>
      <c r="R580" s="1244"/>
      <c r="S580" s="1244"/>
      <c r="T580" s="1244"/>
      <c r="U580" s="1244"/>
      <c r="V580" s="1244"/>
      <c r="W580" s="1244"/>
      <c r="X580" s="1244"/>
      <c r="Y580" s="1244"/>
      <c r="Z580" s="1244"/>
    </row>
    <row r="581" spans="1:26" ht="18.75">
      <c r="A581" s="1267"/>
      <c r="B581" s="1268"/>
      <c r="C581" s="1268"/>
      <c r="D581" s="1268"/>
      <c r="E581" s="961"/>
      <c r="F581" s="961"/>
      <c r="G581" s="954"/>
      <c r="H581" s="730" t="s">
        <v>34</v>
      </c>
      <c r="I581" s="944"/>
      <c r="J581" s="959"/>
      <c r="K581" s="945"/>
      <c r="L581" s="945"/>
      <c r="M581" s="945"/>
      <c r="N581" s="945"/>
      <c r="O581" s="945"/>
      <c r="P581" s="945"/>
      <c r="Q581" s="1244"/>
      <c r="R581" s="1244"/>
      <c r="S581" s="1244"/>
      <c r="T581" s="1244"/>
      <c r="U581" s="1244"/>
      <c r="V581" s="1244"/>
      <c r="W581" s="1244"/>
      <c r="X581" s="1244"/>
      <c r="Y581" s="1244"/>
      <c r="Z581" s="1244"/>
    </row>
    <row r="582" spans="1:26" ht="19.5">
      <c r="A582" s="1267"/>
      <c r="B582" s="1268"/>
      <c r="C582" s="1268"/>
      <c r="D582" s="961" t="s">
        <v>246</v>
      </c>
      <c r="E582" s="961"/>
      <c r="F582" s="961"/>
      <c r="G582" s="954"/>
      <c r="H582" s="730" t="s">
        <v>46</v>
      </c>
      <c r="I582" s="944"/>
      <c r="J582" s="966">
        <f t="shared" ref="J582:J583" si="253">J584+J586</f>
        <v>0</v>
      </c>
      <c r="K582" s="1109"/>
      <c r="L582" s="945"/>
      <c r="M582" s="945"/>
      <c r="N582" s="945"/>
      <c r="O582" s="945"/>
      <c r="P582" s="945"/>
      <c r="Q582" s="1244"/>
      <c r="R582" s="1244"/>
      <c r="S582" s="1244"/>
      <c r="T582" s="1244"/>
      <c r="U582" s="1244"/>
      <c r="V582" s="1244"/>
      <c r="W582" s="1244"/>
      <c r="X582" s="1244"/>
      <c r="Y582" s="1244"/>
      <c r="Z582" s="1244"/>
    </row>
    <row r="583" spans="1:26" ht="19.5">
      <c r="A583" s="1267"/>
      <c r="B583" s="1268"/>
      <c r="C583" s="1268"/>
      <c r="D583" s="1268"/>
      <c r="E583" s="961"/>
      <c r="F583" s="961"/>
      <c r="G583" s="954"/>
      <c r="H583" s="730" t="s">
        <v>34</v>
      </c>
      <c r="I583" s="944"/>
      <c r="J583" s="966">
        <f t="shared" si="253"/>
        <v>0</v>
      </c>
      <c r="K583" s="1109"/>
      <c r="L583" s="945"/>
      <c r="M583" s="945"/>
      <c r="N583" s="945"/>
      <c r="O583" s="945"/>
      <c r="P583" s="945"/>
      <c r="Q583" s="1244"/>
      <c r="R583" s="1244"/>
      <c r="S583" s="1244"/>
      <c r="T583" s="1244"/>
      <c r="U583" s="1244"/>
      <c r="V583" s="1244"/>
      <c r="W583" s="1244"/>
      <c r="X583" s="1244"/>
      <c r="Y583" s="1244"/>
      <c r="Z583" s="1244"/>
    </row>
    <row r="584" spans="1:26" ht="18.75">
      <c r="A584" s="1267"/>
      <c r="B584" s="1268"/>
      <c r="C584" s="1268"/>
      <c r="D584" s="1268"/>
      <c r="E584" s="961" t="s">
        <v>247</v>
      </c>
      <c r="F584" s="961"/>
      <c r="G584" s="954"/>
      <c r="H584" s="730" t="s">
        <v>46</v>
      </c>
      <c r="I584" s="944"/>
      <c r="J584" s="959"/>
      <c r="K584" s="945"/>
      <c r="L584" s="945"/>
      <c r="M584" s="945"/>
      <c r="N584" s="945"/>
      <c r="O584" s="945"/>
      <c r="P584" s="945"/>
      <c r="Q584" s="1244"/>
      <c r="R584" s="1244"/>
      <c r="S584" s="1244"/>
      <c r="T584" s="1244"/>
      <c r="U584" s="1244"/>
      <c r="V584" s="1244"/>
      <c r="W584" s="1244"/>
      <c r="X584" s="1244"/>
      <c r="Y584" s="1244"/>
      <c r="Z584" s="1244"/>
    </row>
    <row r="585" spans="1:26" ht="18.75">
      <c r="A585" s="1267"/>
      <c r="B585" s="1268"/>
      <c r="C585" s="1268"/>
      <c r="D585" s="1268"/>
      <c r="E585" s="961"/>
      <c r="F585" s="961"/>
      <c r="G585" s="954"/>
      <c r="H585" s="730" t="s">
        <v>34</v>
      </c>
      <c r="I585" s="944"/>
      <c r="J585" s="959"/>
      <c r="K585" s="945"/>
      <c r="L585" s="945"/>
      <c r="M585" s="945"/>
      <c r="N585" s="945"/>
      <c r="O585" s="945"/>
      <c r="P585" s="945"/>
      <c r="Q585" s="1244"/>
      <c r="R585" s="1244"/>
      <c r="S585" s="1244"/>
      <c r="T585" s="1244"/>
      <c r="U585" s="1244"/>
      <c r="V585" s="1244"/>
      <c r="W585" s="1244"/>
      <c r="X585" s="1244"/>
      <c r="Y585" s="1244"/>
      <c r="Z585" s="1244"/>
    </row>
    <row r="586" spans="1:26" ht="18.75">
      <c r="A586" s="1267"/>
      <c r="B586" s="1268"/>
      <c r="C586" s="1268"/>
      <c r="D586" s="1268"/>
      <c r="E586" s="961" t="s">
        <v>248</v>
      </c>
      <c r="F586" s="961"/>
      <c r="G586" s="954"/>
      <c r="H586" s="730" t="s">
        <v>46</v>
      </c>
      <c r="I586" s="944"/>
      <c r="J586" s="959">
        <v>0</v>
      </c>
      <c r="K586" s="945"/>
      <c r="L586" s="945"/>
      <c r="M586" s="945"/>
      <c r="N586" s="945"/>
      <c r="O586" s="945"/>
      <c r="P586" s="945"/>
      <c r="Q586" s="1244"/>
      <c r="R586" s="1244"/>
      <c r="S586" s="1244"/>
      <c r="T586" s="1244"/>
      <c r="U586" s="1244"/>
      <c r="V586" s="1244"/>
      <c r="W586" s="1244"/>
      <c r="X586" s="1244"/>
      <c r="Y586" s="1244"/>
      <c r="Z586" s="1244"/>
    </row>
    <row r="587" spans="1:26" ht="18.75">
      <c r="A587" s="1267"/>
      <c r="B587" s="1268"/>
      <c r="C587" s="1268"/>
      <c r="D587" s="1268"/>
      <c r="E587" s="1268"/>
      <c r="F587" s="961"/>
      <c r="G587" s="954"/>
      <c r="H587" s="730" t="s">
        <v>34</v>
      </c>
      <c r="I587" s="944"/>
      <c r="J587" s="959">
        <v>0</v>
      </c>
      <c r="K587" s="945"/>
      <c r="L587" s="945"/>
      <c r="M587" s="945"/>
      <c r="N587" s="945"/>
      <c r="O587" s="945"/>
      <c r="P587" s="945"/>
      <c r="Q587" s="1244"/>
      <c r="R587" s="1244"/>
      <c r="S587" s="1244"/>
      <c r="T587" s="1244"/>
      <c r="U587" s="1244"/>
      <c r="V587" s="1244"/>
      <c r="W587" s="1244"/>
      <c r="X587" s="1244"/>
      <c r="Y587" s="1244"/>
      <c r="Z587" s="1244"/>
    </row>
    <row r="588" spans="1:26" ht="18.75">
      <c r="A588" s="1267"/>
      <c r="B588" s="1268"/>
      <c r="C588" s="1268"/>
      <c r="D588" s="961" t="s">
        <v>249</v>
      </c>
      <c r="E588" s="961"/>
      <c r="F588" s="961"/>
      <c r="G588" s="954"/>
      <c r="H588" s="730" t="s">
        <v>46</v>
      </c>
      <c r="I588" s="944"/>
      <c r="J588" s="959">
        <v>0</v>
      </c>
      <c r="K588" s="945"/>
      <c r="L588" s="945"/>
      <c r="M588" s="945"/>
      <c r="N588" s="945"/>
      <c r="O588" s="945"/>
      <c r="P588" s="945"/>
      <c r="Q588" s="1244"/>
      <c r="R588" s="1244"/>
      <c r="S588" s="1244"/>
      <c r="T588" s="1244"/>
      <c r="U588" s="1244"/>
      <c r="V588" s="1244"/>
      <c r="W588" s="1244"/>
      <c r="X588" s="1244"/>
      <c r="Y588" s="1244"/>
      <c r="Z588" s="1244"/>
    </row>
    <row r="589" spans="1:26" ht="18.75">
      <c r="A589" s="1267"/>
      <c r="B589" s="1268"/>
      <c r="C589" s="1268"/>
      <c r="D589" s="1268"/>
      <c r="E589" s="1268"/>
      <c r="F589" s="961"/>
      <c r="G589" s="954"/>
      <c r="H589" s="730" t="s">
        <v>34</v>
      </c>
      <c r="I589" s="944"/>
      <c r="J589" s="959">
        <v>0</v>
      </c>
      <c r="K589" s="945"/>
      <c r="L589" s="945"/>
      <c r="M589" s="945"/>
      <c r="N589" s="945"/>
      <c r="O589" s="945"/>
      <c r="P589" s="945"/>
      <c r="Q589" s="1244"/>
      <c r="R589" s="1244"/>
      <c r="S589" s="1244"/>
      <c r="T589" s="1244"/>
      <c r="U589" s="1244"/>
      <c r="V589" s="1244"/>
      <c r="W589" s="1244"/>
      <c r="X589" s="1244"/>
      <c r="Y589" s="1244"/>
      <c r="Z589" s="1244"/>
    </row>
    <row r="590" spans="1:26" ht="18.75">
      <c r="A590" s="1267"/>
      <c r="B590" s="1268"/>
      <c r="C590" s="1268"/>
      <c r="D590" s="961" t="s">
        <v>250</v>
      </c>
      <c r="E590" s="961"/>
      <c r="F590" s="961"/>
      <c r="G590" s="954"/>
      <c r="H590" s="730" t="s">
        <v>46</v>
      </c>
      <c r="I590" s="944"/>
      <c r="J590" s="959">
        <v>0</v>
      </c>
      <c r="K590" s="945"/>
      <c r="L590" s="945"/>
      <c r="M590" s="945"/>
      <c r="N590" s="945"/>
      <c r="O590" s="945"/>
      <c r="P590" s="945"/>
      <c r="Q590" s="1244"/>
      <c r="R590" s="1244"/>
      <c r="S590" s="1244"/>
      <c r="T590" s="1244"/>
      <c r="U590" s="1244"/>
      <c r="V590" s="1244"/>
      <c r="W590" s="1244"/>
      <c r="X590" s="1244"/>
      <c r="Y590" s="1244"/>
      <c r="Z590" s="1244"/>
    </row>
    <row r="591" spans="1:26" ht="18.75">
      <c r="A591" s="1332"/>
      <c r="B591" s="1333"/>
      <c r="C591" s="1333"/>
      <c r="D591" s="1333"/>
      <c r="E591" s="1244"/>
      <c r="F591" s="1244"/>
      <c r="G591" s="1334"/>
      <c r="H591" s="665" t="s">
        <v>34</v>
      </c>
      <c r="I591" s="1335"/>
      <c r="J591" s="1336">
        <v>0</v>
      </c>
      <c r="K591" s="1337"/>
      <c r="L591" s="1337"/>
      <c r="M591" s="1337"/>
      <c r="N591" s="1337"/>
      <c r="O591" s="1337"/>
      <c r="P591" s="1337"/>
      <c r="Q591" s="1244"/>
      <c r="R591" s="1244"/>
      <c r="S591" s="1244"/>
      <c r="T591" s="1244"/>
      <c r="U591" s="1244"/>
      <c r="V591" s="1244"/>
      <c r="W591" s="1244"/>
      <c r="X591" s="1244"/>
      <c r="Y591" s="1244"/>
      <c r="Z591" s="1244"/>
    </row>
    <row r="592" spans="1:26" ht="19.5">
      <c r="A592" s="1329"/>
      <c r="B592" s="1330" t="s">
        <v>251</v>
      </c>
      <c r="C592" s="1331"/>
      <c r="D592" s="1331"/>
      <c r="E592" s="1315"/>
      <c r="F592" s="1315"/>
      <c r="G592" s="1316"/>
      <c r="H592" s="661" t="s">
        <v>46</v>
      </c>
      <c r="I592" s="1338">
        <f t="shared" ref="I592:J592" ca="1" si="254">I593</f>
        <v>1120.57</v>
      </c>
      <c r="J592" s="1317">
        <f t="shared" si="254"/>
        <v>0</v>
      </c>
      <c r="K592" s="1318">
        <f t="shared" ref="K592:K594" ca="1" si="255">IF(I592&gt;0,J592*100/I592,0)</f>
        <v>0</v>
      </c>
      <c r="L592" s="1319"/>
      <c r="M592" s="1319"/>
      <c r="N592" s="1319"/>
      <c r="O592" s="1319"/>
      <c r="P592" s="1319"/>
      <c r="Q592" s="1244"/>
      <c r="R592" s="1244"/>
      <c r="S592" s="1244"/>
      <c r="T592" s="1244"/>
      <c r="U592" s="1244"/>
      <c r="V592" s="1244"/>
      <c r="W592" s="1244"/>
      <c r="X592" s="1244"/>
      <c r="Y592" s="1244"/>
      <c r="Z592" s="1244"/>
    </row>
    <row r="593" spans="1:26" ht="19.5">
      <c r="A593" s="1267"/>
      <c r="B593" s="1268"/>
      <c r="C593" s="1277" t="s">
        <v>252</v>
      </c>
      <c r="D593" s="1268"/>
      <c r="E593" s="1268"/>
      <c r="F593" s="961"/>
      <c r="G593" s="954"/>
      <c r="H593" s="733" t="s">
        <v>46</v>
      </c>
      <c r="I593" s="1339">
        <f ca="1">IFERROR(__xludf.DUMMYFUNCTION("IMPORTRANGE(""https://docs.google.com/spreadsheets/d/1QqKyyYR6Q21VydFLVH3TRQUabQu_ym0Zz7PgGX0-kHA/edit?usp=sharing"",""แผน!HJ17"")"),1120.57)</f>
        <v>1120.57</v>
      </c>
      <c r="J593" s="965">
        <f t="shared" ref="J593:J594" si="256">J595+J603+J609</f>
        <v>0</v>
      </c>
      <c r="K593" s="1109">
        <f t="shared" ca="1" si="255"/>
        <v>0</v>
      </c>
      <c r="L593" s="945"/>
      <c r="M593" s="945"/>
      <c r="N593" s="945"/>
      <c r="O593" s="945"/>
      <c r="P593" s="945"/>
      <c r="Q593" s="1244"/>
      <c r="R593" s="1244"/>
      <c r="S593" s="1244"/>
      <c r="T593" s="1244"/>
      <c r="U593" s="1244"/>
      <c r="V593" s="1244"/>
      <c r="W593" s="1244"/>
      <c r="X593" s="1244"/>
      <c r="Y593" s="1244"/>
      <c r="Z593" s="1244"/>
    </row>
    <row r="594" spans="1:26" ht="19.5">
      <c r="A594" s="1267"/>
      <c r="B594" s="1268"/>
      <c r="C594" s="1268"/>
      <c r="D594" s="1268"/>
      <c r="E594" s="961"/>
      <c r="F594" s="961"/>
      <c r="G594" s="954"/>
      <c r="H594" s="733" t="s">
        <v>34</v>
      </c>
      <c r="I594" s="965">
        <f ca="1">IFERROR(__xludf.DUMMYFUNCTION("IMPORTRANGE(""https://docs.google.com/spreadsheets/d/1QqKyyYR6Q21VydFLVH3TRQUabQu_ym0Zz7PgGX0-kHA/edit?usp=sharing"",""แผน!HI17"")"),70)</f>
        <v>70</v>
      </c>
      <c r="J594" s="965">
        <f t="shared" si="256"/>
        <v>0</v>
      </c>
      <c r="K594" s="1109">
        <f t="shared" ca="1" si="255"/>
        <v>0</v>
      </c>
      <c r="L594" s="945"/>
      <c r="M594" s="945"/>
      <c r="N594" s="945"/>
      <c r="O594" s="945"/>
      <c r="P594" s="945"/>
      <c r="Q594" s="1244"/>
      <c r="R594" s="1244"/>
      <c r="S594" s="1244"/>
      <c r="T594" s="1244"/>
      <c r="U594" s="1244"/>
      <c r="V594" s="1244"/>
      <c r="W594" s="1244"/>
      <c r="X594" s="1244"/>
      <c r="Y594" s="1244"/>
      <c r="Z594" s="1244"/>
    </row>
    <row r="595" spans="1:26" ht="18.75">
      <c r="A595" s="1267"/>
      <c r="B595" s="1268"/>
      <c r="C595" s="1268" t="s">
        <v>253</v>
      </c>
      <c r="D595" s="1268"/>
      <c r="E595" s="1268"/>
      <c r="F595" s="961"/>
      <c r="G595" s="954"/>
      <c r="H595" s="730" t="s">
        <v>46</v>
      </c>
      <c r="I595" s="944"/>
      <c r="J595" s="944">
        <f t="shared" ref="J595:J596" si="257">J597+J599</f>
        <v>0</v>
      </c>
      <c r="K595" s="945"/>
      <c r="L595" s="945"/>
      <c r="M595" s="945"/>
      <c r="N595" s="945"/>
      <c r="O595" s="945"/>
      <c r="P595" s="945"/>
      <c r="Q595" s="1244"/>
      <c r="R595" s="1244"/>
      <c r="S595" s="1244"/>
      <c r="T595" s="1244"/>
      <c r="U595" s="1244"/>
      <c r="V595" s="1244"/>
      <c r="W595" s="1244"/>
      <c r="X595" s="1244"/>
      <c r="Y595" s="1244"/>
      <c r="Z595" s="1244"/>
    </row>
    <row r="596" spans="1:26" ht="18.75">
      <c r="A596" s="1267"/>
      <c r="B596" s="1268"/>
      <c r="C596" s="1268"/>
      <c r="D596" s="1268"/>
      <c r="E596" s="961"/>
      <c r="F596" s="961"/>
      <c r="G596" s="954"/>
      <c r="H596" s="730" t="s">
        <v>34</v>
      </c>
      <c r="I596" s="944"/>
      <c r="J596" s="944">
        <f t="shared" si="257"/>
        <v>0</v>
      </c>
      <c r="K596" s="945"/>
      <c r="L596" s="945"/>
      <c r="M596" s="945"/>
      <c r="N596" s="945"/>
      <c r="O596" s="945"/>
      <c r="P596" s="945"/>
      <c r="Q596" s="1244"/>
      <c r="R596" s="1244"/>
      <c r="S596" s="1244"/>
      <c r="T596" s="1244"/>
      <c r="U596" s="1244"/>
      <c r="V596" s="1244"/>
      <c r="W596" s="1244"/>
      <c r="X596" s="1244"/>
      <c r="Y596" s="1244"/>
      <c r="Z596" s="1244"/>
    </row>
    <row r="597" spans="1:26" ht="18.75">
      <c r="A597" s="1267"/>
      <c r="B597" s="1268"/>
      <c r="C597" s="1268"/>
      <c r="D597" s="1017" t="s">
        <v>254</v>
      </c>
      <c r="E597" s="961"/>
      <c r="F597" s="961"/>
      <c r="G597" s="954"/>
      <c r="H597" s="730" t="s">
        <v>46</v>
      </c>
      <c r="I597" s="944"/>
      <c r="J597" s="959">
        <v>0</v>
      </c>
      <c r="K597" s="945"/>
      <c r="L597" s="945"/>
      <c r="M597" s="945"/>
      <c r="N597" s="945"/>
      <c r="O597" s="945"/>
      <c r="P597" s="945"/>
      <c r="Q597" s="1244"/>
      <c r="R597" s="1244"/>
      <c r="S597" s="1244"/>
      <c r="T597" s="1244"/>
      <c r="U597" s="1244"/>
      <c r="V597" s="1244"/>
      <c r="W597" s="1244"/>
      <c r="X597" s="1244"/>
      <c r="Y597" s="1244"/>
      <c r="Z597" s="1244"/>
    </row>
    <row r="598" spans="1:26" ht="18.75">
      <c r="A598" s="1267"/>
      <c r="B598" s="1268"/>
      <c r="C598" s="1268"/>
      <c r="D598" s="1268"/>
      <c r="E598" s="961"/>
      <c r="F598" s="961"/>
      <c r="G598" s="954"/>
      <c r="H598" s="730" t="s">
        <v>34</v>
      </c>
      <c r="I598" s="830"/>
      <c r="J598" s="959">
        <v>0</v>
      </c>
      <c r="K598" s="945"/>
      <c r="L598" s="945"/>
      <c r="M598" s="945"/>
      <c r="N598" s="945"/>
      <c r="O598" s="945"/>
      <c r="P598" s="945"/>
      <c r="Q598" s="1244"/>
      <c r="R598" s="1244"/>
      <c r="S598" s="1244"/>
      <c r="T598" s="1244"/>
      <c r="U598" s="1244"/>
      <c r="V598" s="1244"/>
      <c r="W598" s="1244"/>
      <c r="X598" s="1244"/>
      <c r="Y598" s="1244"/>
      <c r="Z598" s="1244"/>
    </row>
    <row r="599" spans="1:26" ht="18.75">
      <c r="A599" s="1267"/>
      <c r="B599" s="1268"/>
      <c r="C599" s="1268"/>
      <c r="D599" s="1017" t="s">
        <v>255</v>
      </c>
      <c r="E599" s="961"/>
      <c r="F599" s="961"/>
      <c r="G599" s="954"/>
      <c r="H599" s="730" t="s">
        <v>46</v>
      </c>
      <c r="I599" s="830"/>
      <c r="J599" s="959">
        <v>0</v>
      </c>
      <c r="K599" s="945"/>
      <c r="L599" s="945"/>
      <c r="M599" s="945"/>
      <c r="N599" s="945"/>
      <c r="O599" s="945"/>
      <c r="P599" s="945"/>
      <c r="Q599" s="1244"/>
      <c r="R599" s="1244"/>
      <c r="S599" s="1244"/>
      <c r="T599" s="1244"/>
      <c r="U599" s="1244"/>
      <c r="V599" s="1244"/>
      <c r="W599" s="1244"/>
      <c r="X599" s="1244"/>
      <c r="Y599" s="1244"/>
      <c r="Z599" s="1244"/>
    </row>
    <row r="600" spans="1:26" ht="18.75">
      <c r="A600" s="1267"/>
      <c r="B600" s="1268"/>
      <c r="C600" s="1268"/>
      <c r="D600" s="1268"/>
      <c r="E600" s="961"/>
      <c r="F600" s="961"/>
      <c r="G600" s="954"/>
      <c r="H600" s="730" t="s">
        <v>34</v>
      </c>
      <c r="I600" s="830"/>
      <c r="J600" s="959">
        <v>0</v>
      </c>
      <c r="K600" s="945"/>
      <c r="L600" s="945"/>
      <c r="M600" s="945"/>
      <c r="N600" s="945"/>
      <c r="O600" s="945"/>
      <c r="P600" s="945"/>
      <c r="Q600" s="1244"/>
      <c r="R600" s="1244"/>
      <c r="S600" s="1244"/>
      <c r="T600" s="1244"/>
      <c r="U600" s="1244"/>
      <c r="V600" s="1244"/>
      <c r="W600" s="1244"/>
      <c r="X600" s="1244"/>
      <c r="Y600" s="1244"/>
      <c r="Z600" s="1244"/>
    </row>
    <row r="601" spans="1:26" ht="18.75">
      <c r="A601" s="1267"/>
      <c r="B601" s="1268"/>
      <c r="C601" s="1268"/>
      <c r="D601" s="1017" t="s">
        <v>256</v>
      </c>
      <c r="E601" s="961"/>
      <c r="F601" s="961"/>
      <c r="G601" s="954"/>
      <c r="H601" s="730" t="s">
        <v>46</v>
      </c>
      <c r="I601" s="830"/>
      <c r="J601" s="959">
        <v>0</v>
      </c>
      <c r="K601" s="945"/>
      <c r="L601" s="945"/>
      <c r="M601" s="945"/>
      <c r="N601" s="945"/>
      <c r="O601" s="945"/>
      <c r="P601" s="945"/>
      <c r="Q601" s="1244"/>
      <c r="R601" s="1244"/>
      <c r="S601" s="1244"/>
      <c r="T601" s="1244"/>
      <c r="U601" s="1244"/>
      <c r="V601" s="1244"/>
      <c r="W601" s="1244"/>
      <c r="X601" s="1244"/>
      <c r="Y601" s="1244"/>
      <c r="Z601" s="1244"/>
    </row>
    <row r="602" spans="1:26" ht="18.75">
      <c r="A602" s="1267"/>
      <c r="B602" s="1268"/>
      <c r="C602" s="1268"/>
      <c r="D602" s="1268"/>
      <c r="E602" s="961"/>
      <c r="F602" s="961"/>
      <c r="G602" s="954"/>
      <c r="H602" s="730" t="s">
        <v>34</v>
      </c>
      <c r="I602" s="830"/>
      <c r="J602" s="959">
        <v>0</v>
      </c>
      <c r="K602" s="945"/>
      <c r="L602" s="945"/>
      <c r="M602" s="945"/>
      <c r="N602" s="945"/>
      <c r="O602" s="945"/>
      <c r="P602" s="945"/>
      <c r="Q602" s="1244"/>
      <c r="R602" s="1244"/>
      <c r="S602" s="1244"/>
      <c r="T602" s="1244"/>
      <c r="U602" s="1244"/>
      <c r="V602" s="1244"/>
      <c r="W602" s="1244"/>
      <c r="X602" s="1244"/>
      <c r="Y602" s="1244"/>
      <c r="Z602" s="1244"/>
    </row>
    <row r="603" spans="1:26" ht="18.75">
      <c r="A603" s="1267"/>
      <c r="B603" s="1268"/>
      <c r="C603" s="1340" t="s">
        <v>257</v>
      </c>
      <c r="D603" s="1268"/>
      <c r="E603" s="1268"/>
      <c r="F603" s="961"/>
      <c r="G603" s="954"/>
      <c r="H603" s="730" t="s">
        <v>46</v>
      </c>
      <c r="I603" s="830"/>
      <c r="J603" s="830">
        <f t="shared" ref="J603:J604" si="258">J605+J607</f>
        <v>0</v>
      </c>
      <c r="K603" s="945"/>
      <c r="L603" s="945"/>
      <c r="M603" s="945"/>
      <c r="N603" s="945"/>
      <c r="O603" s="945"/>
      <c r="P603" s="945"/>
      <c r="Q603" s="1244"/>
      <c r="R603" s="1244"/>
      <c r="S603" s="1244"/>
      <c r="T603" s="1244"/>
      <c r="U603" s="1244"/>
      <c r="V603" s="1244"/>
      <c r="W603" s="1244"/>
      <c r="X603" s="1244"/>
      <c r="Y603" s="1244"/>
      <c r="Z603" s="1244"/>
    </row>
    <row r="604" spans="1:26" ht="18.75">
      <c r="A604" s="1267"/>
      <c r="B604" s="1268"/>
      <c r="C604" s="1268"/>
      <c r="D604" s="1268"/>
      <c r="E604" s="961"/>
      <c r="F604" s="961"/>
      <c r="G604" s="954"/>
      <c r="H604" s="730" t="s">
        <v>34</v>
      </c>
      <c r="I604" s="830"/>
      <c r="J604" s="830">
        <f t="shared" si="258"/>
        <v>0</v>
      </c>
      <c r="K604" s="945"/>
      <c r="L604" s="945"/>
      <c r="M604" s="945"/>
      <c r="N604" s="945"/>
      <c r="O604" s="945"/>
      <c r="P604" s="945"/>
      <c r="Q604" s="1244"/>
      <c r="R604" s="1244"/>
      <c r="S604" s="1244"/>
      <c r="T604" s="1244"/>
      <c r="U604" s="1244"/>
      <c r="V604" s="1244"/>
      <c r="W604" s="1244"/>
      <c r="X604" s="1244"/>
      <c r="Y604" s="1244"/>
      <c r="Z604" s="1244"/>
    </row>
    <row r="605" spans="1:26" ht="18.75">
      <c r="A605" s="1267"/>
      <c r="B605" s="1268"/>
      <c r="C605" s="1268"/>
      <c r="D605" s="1340" t="s">
        <v>258</v>
      </c>
      <c r="E605" s="961"/>
      <c r="F605" s="961"/>
      <c r="G605" s="954"/>
      <c r="H605" s="730" t="s">
        <v>46</v>
      </c>
      <c r="I605" s="830"/>
      <c r="J605" s="959">
        <v>0</v>
      </c>
      <c r="K605" s="945"/>
      <c r="L605" s="945"/>
      <c r="M605" s="945"/>
      <c r="N605" s="945"/>
      <c r="O605" s="945"/>
      <c r="P605" s="945"/>
      <c r="Q605" s="1244"/>
      <c r="R605" s="1244"/>
      <c r="S605" s="1244"/>
      <c r="T605" s="1244"/>
      <c r="U605" s="1244"/>
      <c r="V605" s="1244"/>
      <c r="W605" s="1244"/>
      <c r="X605" s="1244"/>
      <c r="Y605" s="1244"/>
      <c r="Z605" s="1244"/>
    </row>
    <row r="606" spans="1:26" ht="18.75">
      <c r="A606" s="1267"/>
      <c r="B606" s="1268"/>
      <c r="C606" s="1268"/>
      <c r="D606" s="1268"/>
      <c r="E606" s="1268"/>
      <c r="F606" s="961"/>
      <c r="G606" s="954"/>
      <c r="H606" s="730" t="s">
        <v>34</v>
      </c>
      <c r="I606" s="830"/>
      <c r="J606" s="959">
        <v>0</v>
      </c>
      <c r="K606" s="945"/>
      <c r="L606" s="945"/>
      <c r="M606" s="945"/>
      <c r="N606" s="945"/>
      <c r="O606" s="945"/>
      <c r="P606" s="945"/>
      <c r="Q606" s="1244"/>
      <c r="R606" s="1244"/>
      <c r="S606" s="1244"/>
      <c r="T606" s="1244"/>
      <c r="U606" s="1244"/>
      <c r="V606" s="1244"/>
      <c r="W606" s="1244"/>
      <c r="X606" s="1244"/>
      <c r="Y606" s="1244"/>
      <c r="Z606" s="1244"/>
    </row>
    <row r="607" spans="1:26" ht="18.75">
      <c r="A607" s="1267"/>
      <c r="B607" s="1268"/>
      <c r="C607" s="1268"/>
      <c r="D607" s="1340" t="s">
        <v>259</v>
      </c>
      <c r="E607" s="1268"/>
      <c r="F607" s="961"/>
      <c r="G607" s="954"/>
      <c r="H607" s="730" t="s">
        <v>46</v>
      </c>
      <c r="I607" s="830"/>
      <c r="J607" s="959">
        <v>0</v>
      </c>
      <c r="K607" s="945"/>
      <c r="L607" s="945"/>
      <c r="M607" s="945"/>
      <c r="N607" s="945"/>
      <c r="O607" s="945"/>
      <c r="P607" s="945"/>
      <c r="Q607" s="1244"/>
      <c r="R607" s="1244"/>
      <c r="S607" s="1244"/>
      <c r="T607" s="1244"/>
      <c r="U607" s="1244"/>
      <c r="V607" s="1244"/>
      <c r="W607" s="1244"/>
      <c r="X607" s="1244"/>
      <c r="Y607" s="1244"/>
      <c r="Z607" s="1244"/>
    </row>
    <row r="608" spans="1:26" ht="18.75">
      <c r="A608" s="1267"/>
      <c r="B608" s="1268"/>
      <c r="C608" s="1268"/>
      <c r="D608" s="1268"/>
      <c r="E608" s="961"/>
      <c r="F608" s="961"/>
      <c r="G608" s="954"/>
      <c r="H608" s="730" t="s">
        <v>34</v>
      </c>
      <c r="I608" s="830"/>
      <c r="J608" s="959">
        <v>0</v>
      </c>
      <c r="K608" s="945"/>
      <c r="L608" s="945"/>
      <c r="M608" s="945"/>
      <c r="N608" s="945"/>
      <c r="O608" s="945"/>
      <c r="P608" s="945"/>
      <c r="Q608" s="1244"/>
      <c r="R608" s="1244"/>
      <c r="S608" s="1244"/>
      <c r="T608" s="1244"/>
      <c r="U608" s="1244"/>
      <c r="V608" s="1244"/>
      <c r="W608" s="1244"/>
      <c r="X608" s="1244"/>
      <c r="Y608" s="1244"/>
      <c r="Z608" s="1244"/>
    </row>
    <row r="609" spans="1:26" ht="18.75">
      <c r="A609" s="1267"/>
      <c r="B609" s="1268"/>
      <c r="C609" s="1268" t="s">
        <v>260</v>
      </c>
      <c r="D609" s="1268"/>
      <c r="E609" s="1268"/>
      <c r="F609" s="961"/>
      <c r="G609" s="954"/>
      <c r="H609" s="730" t="s">
        <v>46</v>
      </c>
      <c r="I609" s="830"/>
      <c r="J609" s="959">
        <v>0</v>
      </c>
      <c r="K609" s="945"/>
      <c r="L609" s="945"/>
      <c r="M609" s="945"/>
      <c r="N609" s="945"/>
      <c r="O609" s="945"/>
      <c r="P609" s="945"/>
      <c r="Q609" s="1244"/>
      <c r="R609" s="1244"/>
      <c r="S609" s="1244"/>
      <c r="T609" s="1244"/>
      <c r="U609" s="1244"/>
      <c r="V609" s="1244"/>
      <c r="W609" s="1244"/>
      <c r="X609" s="1244"/>
      <c r="Y609" s="1244"/>
      <c r="Z609" s="1244"/>
    </row>
    <row r="610" spans="1:26" ht="18.75">
      <c r="A610" s="1267"/>
      <c r="B610" s="1268"/>
      <c r="C610" s="1268"/>
      <c r="D610" s="1268"/>
      <c r="E610" s="961"/>
      <c r="F610" s="961"/>
      <c r="G610" s="954"/>
      <c r="H610" s="730" t="s">
        <v>34</v>
      </c>
      <c r="I610" s="830"/>
      <c r="J610" s="959">
        <v>0</v>
      </c>
      <c r="K610" s="945"/>
      <c r="L610" s="945"/>
      <c r="M610" s="945"/>
      <c r="N610" s="945"/>
      <c r="O610" s="945"/>
      <c r="P610" s="945"/>
      <c r="Q610" s="1244"/>
      <c r="R610" s="1244"/>
      <c r="S610" s="1244"/>
      <c r="T610" s="1244"/>
      <c r="U610" s="1244"/>
      <c r="V610" s="1244"/>
      <c r="W610" s="1244"/>
      <c r="X610" s="1244"/>
      <c r="Y610" s="1244"/>
      <c r="Z610" s="1244"/>
    </row>
    <row r="611" spans="1:26" ht="19.5">
      <c r="A611" s="1329"/>
      <c r="B611" s="1341" t="s">
        <v>261</v>
      </c>
      <c r="C611" s="1331"/>
      <c r="D611" s="1331"/>
      <c r="E611" s="1315"/>
      <c r="F611" s="1315"/>
      <c r="G611" s="1316"/>
      <c r="H611" s="673" t="s">
        <v>46</v>
      </c>
      <c r="I611" s="1317">
        <v>0</v>
      </c>
      <c r="J611" s="1317">
        <f>J614+J616</f>
        <v>0</v>
      </c>
      <c r="K611" s="1318">
        <f t="shared" ref="K611:K613" si="259">IF(I611&gt;0,J611*100/I611,0)</f>
        <v>0</v>
      </c>
      <c r="L611" s="1319"/>
      <c r="M611" s="1319"/>
      <c r="N611" s="1319"/>
      <c r="O611" s="1319"/>
      <c r="P611" s="1319"/>
      <c r="Q611" s="1244"/>
      <c r="R611" s="1244"/>
      <c r="S611" s="1244"/>
      <c r="T611" s="1244"/>
      <c r="U611" s="1244"/>
      <c r="V611" s="1244"/>
      <c r="W611" s="1244"/>
      <c r="X611" s="1244"/>
      <c r="Y611" s="1244"/>
      <c r="Z611" s="1244"/>
    </row>
    <row r="612" spans="1:26" ht="19.5" hidden="1">
      <c r="A612" s="1342"/>
      <c r="B612" s="1343"/>
      <c r="C612" s="1344" t="s">
        <v>262</v>
      </c>
      <c r="D612" s="1343"/>
      <c r="E612" s="1343"/>
      <c r="F612" s="1345"/>
      <c r="G612" s="1346"/>
      <c r="H612" s="680" t="s">
        <v>46</v>
      </c>
      <c r="I612" s="1347">
        <v>0</v>
      </c>
      <c r="J612" s="1347">
        <f t="shared" ref="J612:J613" si="260">J614+J616</f>
        <v>0</v>
      </c>
      <c r="K612" s="1348">
        <f t="shared" si="259"/>
        <v>0</v>
      </c>
      <c r="L612" s="1349"/>
      <c r="M612" s="1349"/>
      <c r="N612" s="1349"/>
      <c r="O612" s="1349"/>
      <c r="P612" s="1349"/>
      <c r="Q612" s="1264"/>
      <c r="R612" s="1264"/>
      <c r="S612" s="1264"/>
      <c r="T612" s="1264"/>
      <c r="U612" s="1264"/>
      <c r="V612" s="1264"/>
      <c r="W612" s="1264"/>
      <c r="X612" s="1264"/>
      <c r="Y612" s="1264"/>
      <c r="Z612" s="1264"/>
    </row>
    <row r="613" spans="1:26" ht="19.5" hidden="1">
      <c r="A613" s="1342"/>
      <c r="B613" s="1343"/>
      <c r="C613" s="1343" t="s">
        <v>263</v>
      </c>
      <c r="D613" s="1343"/>
      <c r="E613" s="1343"/>
      <c r="F613" s="1345"/>
      <c r="G613" s="1346"/>
      <c r="H613" s="680" t="s">
        <v>34</v>
      </c>
      <c r="I613" s="1347">
        <v>0</v>
      </c>
      <c r="J613" s="1347">
        <f t="shared" si="260"/>
        <v>0</v>
      </c>
      <c r="K613" s="1348">
        <f t="shared" si="259"/>
        <v>0</v>
      </c>
      <c r="L613" s="1349"/>
      <c r="M613" s="1349"/>
      <c r="N613" s="1349"/>
      <c r="O613" s="1349"/>
      <c r="P613" s="1349"/>
      <c r="Q613" s="1264"/>
      <c r="R613" s="1264"/>
      <c r="S613" s="1264"/>
      <c r="T613" s="1264"/>
      <c r="U613" s="1264"/>
      <c r="V613" s="1264"/>
      <c r="W613" s="1264"/>
      <c r="X613" s="1264"/>
      <c r="Y613" s="1264"/>
      <c r="Z613" s="1264"/>
    </row>
    <row r="614" spans="1:26" ht="18.75" hidden="1">
      <c r="A614" s="1273"/>
      <c r="B614" s="1274"/>
      <c r="C614" s="1274"/>
      <c r="D614" s="1262" t="s">
        <v>264</v>
      </c>
      <c r="E614" s="1274"/>
      <c r="F614" s="1262"/>
      <c r="G614" s="1060"/>
      <c r="H614" s="583" t="s">
        <v>46</v>
      </c>
      <c r="I614" s="836"/>
      <c r="J614" s="836">
        <v>0</v>
      </c>
      <c r="K614" s="948"/>
      <c r="L614" s="948"/>
      <c r="M614" s="948"/>
      <c r="N614" s="948"/>
      <c r="O614" s="948"/>
      <c r="P614" s="948"/>
      <c r="Q614" s="1264"/>
      <c r="R614" s="1264"/>
      <c r="S614" s="1264"/>
      <c r="T614" s="1264"/>
      <c r="U614" s="1264"/>
      <c r="V614" s="1264"/>
      <c r="W614" s="1264"/>
      <c r="X614" s="1264"/>
      <c r="Y614" s="1264"/>
      <c r="Z614" s="1264"/>
    </row>
    <row r="615" spans="1:26" ht="18.75" hidden="1">
      <c r="A615" s="1273"/>
      <c r="B615" s="1274"/>
      <c r="C615" s="1274"/>
      <c r="D615" s="1274"/>
      <c r="E615" s="1274"/>
      <c r="F615" s="1262"/>
      <c r="G615" s="1060"/>
      <c r="H615" s="583" t="s">
        <v>34</v>
      </c>
      <c r="I615" s="836"/>
      <c r="J615" s="836">
        <v>0</v>
      </c>
      <c r="K615" s="948"/>
      <c r="L615" s="948"/>
      <c r="M615" s="948"/>
      <c r="N615" s="948"/>
      <c r="O615" s="948"/>
      <c r="P615" s="948"/>
      <c r="Q615" s="1264"/>
      <c r="R615" s="1264"/>
      <c r="S615" s="1264"/>
      <c r="T615" s="1264"/>
      <c r="U615" s="1264"/>
      <c r="V615" s="1264"/>
      <c r="W615" s="1264"/>
      <c r="X615" s="1264"/>
      <c r="Y615" s="1264"/>
      <c r="Z615" s="1264"/>
    </row>
    <row r="616" spans="1:26" ht="18.75" hidden="1">
      <c r="A616" s="1273"/>
      <c r="B616" s="1274"/>
      <c r="C616" s="1274"/>
      <c r="D616" s="1350" t="s">
        <v>264</v>
      </c>
      <c r="E616" s="1262"/>
      <c r="F616" s="1262"/>
      <c r="G616" s="1060"/>
      <c r="H616" s="583" t="s">
        <v>46</v>
      </c>
      <c r="I616" s="836"/>
      <c r="J616" s="836">
        <v>0</v>
      </c>
      <c r="K616" s="948"/>
      <c r="L616" s="948"/>
      <c r="M616" s="948"/>
      <c r="N616" s="948"/>
      <c r="O616" s="948"/>
      <c r="P616" s="948"/>
      <c r="Q616" s="1264"/>
      <c r="R616" s="1264"/>
      <c r="S616" s="1264"/>
      <c r="T616" s="1264"/>
      <c r="U616" s="1264"/>
      <c r="V616" s="1264"/>
      <c r="W616" s="1264"/>
      <c r="X616" s="1264"/>
      <c r="Y616" s="1264"/>
      <c r="Z616" s="1264"/>
    </row>
    <row r="617" spans="1:26" ht="18.75" hidden="1">
      <c r="A617" s="1273"/>
      <c r="B617" s="1274"/>
      <c r="C617" s="1274"/>
      <c r="D617" s="1274"/>
      <c r="E617" s="1262"/>
      <c r="F617" s="1262"/>
      <c r="G617" s="1060"/>
      <c r="H617" s="583" t="s">
        <v>34</v>
      </c>
      <c r="I617" s="836"/>
      <c r="J617" s="836">
        <v>0</v>
      </c>
      <c r="K617" s="948"/>
      <c r="L617" s="948"/>
      <c r="M617" s="948"/>
      <c r="N617" s="948"/>
      <c r="O617" s="948"/>
      <c r="P617" s="948"/>
      <c r="Q617" s="1264"/>
      <c r="R617" s="1264"/>
      <c r="S617" s="1264"/>
      <c r="T617" s="1264"/>
      <c r="U617" s="1264"/>
      <c r="V617" s="1264"/>
      <c r="W617" s="1264"/>
      <c r="X617" s="1264"/>
      <c r="Y617" s="1264"/>
      <c r="Z617" s="1264"/>
    </row>
    <row r="618" spans="1:26" ht="18.75" hidden="1">
      <c r="A618" s="1273"/>
      <c r="B618" s="1274"/>
      <c r="C618" s="1274"/>
      <c r="D618" s="1350" t="s">
        <v>265</v>
      </c>
      <c r="E618" s="1262"/>
      <c r="F618" s="1262"/>
      <c r="G618" s="1060"/>
      <c r="H618" s="583" t="s">
        <v>46</v>
      </c>
      <c r="I618" s="836"/>
      <c r="J618" s="836">
        <v>0</v>
      </c>
      <c r="K618" s="948"/>
      <c r="L618" s="948"/>
      <c r="M618" s="948"/>
      <c r="N618" s="948"/>
      <c r="O618" s="948"/>
      <c r="P618" s="948"/>
      <c r="Q618" s="1264"/>
      <c r="R618" s="1264"/>
      <c r="S618" s="1264"/>
      <c r="T618" s="1264"/>
      <c r="U618" s="1264"/>
      <c r="V618" s="1264"/>
      <c r="W618" s="1264"/>
      <c r="X618" s="1264"/>
      <c r="Y618" s="1264"/>
      <c r="Z618" s="1264"/>
    </row>
    <row r="619" spans="1:26" ht="18.75" hidden="1">
      <c r="A619" s="1273"/>
      <c r="B619" s="1274"/>
      <c r="C619" s="1274"/>
      <c r="D619" s="1274"/>
      <c r="E619" s="1262"/>
      <c r="F619" s="1262"/>
      <c r="G619" s="1060"/>
      <c r="H619" s="583" t="s">
        <v>34</v>
      </c>
      <c r="I619" s="836"/>
      <c r="J619" s="836">
        <v>0</v>
      </c>
      <c r="K619" s="948"/>
      <c r="L619" s="948"/>
      <c r="M619" s="948"/>
      <c r="N619" s="948"/>
      <c r="O619" s="948"/>
      <c r="P619" s="948"/>
      <c r="Q619" s="1264"/>
      <c r="R619" s="1264"/>
      <c r="S619" s="1264"/>
      <c r="T619" s="1264"/>
      <c r="U619" s="1264"/>
      <c r="V619" s="1264"/>
      <c r="W619" s="1264"/>
      <c r="X619" s="1264"/>
      <c r="Y619" s="1264"/>
      <c r="Z619" s="1264"/>
    </row>
    <row r="620" spans="1:26" ht="19.5">
      <c r="A620" s="1351"/>
      <c r="B620" s="1352"/>
      <c r="C620" s="1353" t="s">
        <v>266</v>
      </c>
      <c r="D620" s="1352"/>
      <c r="E620" s="1352"/>
      <c r="F620" s="1354"/>
      <c r="G620" s="1355"/>
      <c r="H620" s="693" t="s">
        <v>46</v>
      </c>
      <c r="I620" s="1356">
        <f ca="1">IFERROR(__xludf.DUMMYFUNCTION("IMPORTRANGE(""https://docs.google.com/spreadsheets/d/1QqKyyYR6Q21VydFLVH3TRQUabQu_ym0Zz7PgGX0-kHA/edit?usp=sharing"",""แผน!HL17"")"),139)</f>
        <v>139</v>
      </c>
      <c r="J620" s="1356">
        <f t="shared" ref="J620:J621" si="261">J622+J624+J626</f>
        <v>0</v>
      </c>
      <c r="K620" s="1357">
        <f t="shared" ref="K620:K621" ca="1" si="262">IF(I620&gt;0,J620*100/I620,0)</f>
        <v>0</v>
      </c>
      <c r="L620" s="1358"/>
      <c r="M620" s="1358"/>
      <c r="N620" s="1358"/>
      <c r="O620" s="1358"/>
      <c r="P620" s="1358"/>
      <c r="Q620" s="1244"/>
      <c r="R620" s="1244"/>
      <c r="S620" s="1244"/>
      <c r="T620" s="1244"/>
      <c r="U620" s="1244"/>
      <c r="V620" s="1244"/>
      <c r="W620" s="1244"/>
      <c r="X620" s="1244"/>
      <c r="Y620" s="1244"/>
      <c r="Z620" s="1244"/>
    </row>
    <row r="621" spans="1:26" ht="19.5">
      <c r="A621" s="1351"/>
      <c r="B621" s="1352"/>
      <c r="C621" s="1352" t="s">
        <v>267</v>
      </c>
      <c r="D621" s="1352"/>
      <c r="E621" s="1352"/>
      <c r="F621" s="1354"/>
      <c r="G621" s="1355"/>
      <c r="H621" s="693" t="s">
        <v>34</v>
      </c>
      <c r="I621" s="1356">
        <f ca="1">IFERROR(__xludf.DUMMYFUNCTION("IMPORTRANGE(""https://docs.google.com/spreadsheets/d/1QqKyyYR6Q21VydFLVH3TRQUabQu_ym0Zz7PgGX0-kHA/edit?usp=sharing"",""แผน!HK17"")"),12)</f>
        <v>12</v>
      </c>
      <c r="J621" s="1356">
        <f t="shared" si="261"/>
        <v>0</v>
      </c>
      <c r="K621" s="1357">
        <f t="shared" ca="1" si="262"/>
        <v>0</v>
      </c>
      <c r="L621" s="1358"/>
      <c r="M621" s="1358"/>
      <c r="N621" s="1358"/>
      <c r="O621" s="1358"/>
      <c r="P621" s="1358"/>
      <c r="Q621" s="1244"/>
      <c r="R621" s="1244"/>
      <c r="S621" s="1244"/>
      <c r="T621" s="1244"/>
      <c r="U621" s="1244"/>
      <c r="V621" s="1244"/>
      <c r="W621" s="1244"/>
      <c r="X621" s="1244"/>
      <c r="Y621" s="1244"/>
      <c r="Z621" s="1244"/>
    </row>
    <row r="622" spans="1:26" ht="18.75">
      <c r="A622" s="1267"/>
      <c r="B622" s="1268"/>
      <c r="C622" s="1268"/>
      <c r="D622" s="1017" t="s">
        <v>268</v>
      </c>
      <c r="E622" s="961"/>
      <c r="F622" s="961"/>
      <c r="G622" s="954"/>
      <c r="H622" s="730" t="s">
        <v>46</v>
      </c>
      <c r="I622" s="830"/>
      <c r="J622" s="959">
        <v>0</v>
      </c>
      <c r="K622" s="945"/>
      <c r="L622" s="945"/>
      <c r="M622" s="945"/>
      <c r="N622" s="945"/>
      <c r="O622" s="945"/>
      <c r="P622" s="945"/>
      <c r="Q622" s="1244"/>
      <c r="R622" s="1244"/>
      <c r="S622" s="1244"/>
      <c r="T622" s="1244"/>
      <c r="U622" s="1244"/>
      <c r="V622" s="1244"/>
      <c r="W622" s="1244"/>
      <c r="X622" s="1244"/>
      <c r="Y622" s="1244"/>
      <c r="Z622" s="1244"/>
    </row>
    <row r="623" spans="1:26" ht="18.75">
      <c r="A623" s="1267"/>
      <c r="B623" s="1268"/>
      <c r="C623" s="1268"/>
      <c r="D623" s="1268"/>
      <c r="E623" s="961"/>
      <c r="F623" s="961"/>
      <c r="G623" s="954"/>
      <c r="H623" s="730" t="s">
        <v>34</v>
      </c>
      <c r="I623" s="830"/>
      <c r="J623" s="959">
        <v>0</v>
      </c>
      <c r="K623" s="945"/>
      <c r="L623" s="945"/>
      <c r="M623" s="945"/>
      <c r="N623" s="945"/>
      <c r="O623" s="945"/>
      <c r="P623" s="945"/>
      <c r="Q623" s="1244"/>
      <c r="R623" s="1244"/>
      <c r="S623" s="1244"/>
      <c r="T623" s="1244"/>
      <c r="U623" s="1244"/>
      <c r="V623" s="1244"/>
      <c r="W623" s="1244"/>
      <c r="X623" s="1244"/>
      <c r="Y623" s="1244"/>
      <c r="Z623" s="1244"/>
    </row>
    <row r="624" spans="1:26" ht="18.75">
      <c r="A624" s="1267"/>
      <c r="B624" s="1268"/>
      <c r="C624" s="1268"/>
      <c r="D624" s="1017" t="s">
        <v>264</v>
      </c>
      <c r="E624" s="961"/>
      <c r="F624" s="961"/>
      <c r="G624" s="954"/>
      <c r="H624" s="730" t="s">
        <v>46</v>
      </c>
      <c r="I624" s="830"/>
      <c r="J624" s="959">
        <v>0</v>
      </c>
      <c r="K624" s="945"/>
      <c r="L624" s="945"/>
      <c r="M624" s="945"/>
      <c r="N624" s="945"/>
      <c r="O624" s="945"/>
      <c r="P624" s="945"/>
      <c r="Q624" s="1244"/>
      <c r="R624" s="1244"/>
      <c r="S624" s="1244"/>
      <c r="T624" s="1244"/>
      <c r="U624" s="1244"/>
      <c r="V624" s="1244"/>
      <c r="W624" s="1244"/>
      <c r="X624" s="1244"/>
      <c r="Y624" s="1244"/>
      <c r="Z624" s="1244"/>
    </row>
    <row r="625" spans="1:26" ht="18.75">
      <c r="A625" s="1267"/>
      <c r="B625" s="1268"/>
      <c r="C625" s="1268"/>
      <c r="D625" s="1268"/>
      <c r="E625" s="961"/>
      <c r="F625" s="961"/>
      <c r="G625" s="954"/>
      <c r="H625" s="730" t="s">
        <v>34</v>
      </c>
      <c r="I625" s="830"/>
      <c r="J625" s="959">
        <v>0</v>
      </c>
      <c r="K625" s="945"/>
      <c r="L625" s="945"/>
      <c r="M625" s="945"/>
      <c r="N625" s="945"/>
      <c r="O625" s="945"/>
      <c r="P625" s="945"/>
      <c r="Q625" s="1244"/>
      <c r="R625" s="1244"/>
      <c r="S625" s="1244"/>
      <c r="T625" s="1244"/>
      <c r="U625" s="1244"/>
      <c r="V625" s="1244"/>
      <c r="W625" s="1244"/>
      <c r="X625" s="1244"/>
      <c r="Y625" s="1244"/>
      <c r="Z625" s="1244"/>
    </row>
    <row r="626" spans="1:26" ht="18.75">
      <c r="A626" s="1267"/>
      <c r="B626" s="1268"/>
      <c r="C626" s="1268"/>
      <c r="D626" s="1017" t="s">
        <v>269</v>
      </c>
      <c r="E626" s="961"/>
      <c r="F626" s="961"/>
      <c r="G626" s="954"/>
      <c r="H626" s="730" t="s">
        <v>46</v>
      </c>
      <c r="I626" s="830"/>
      <c r="J626" s="959">
        <v>0</v>
      </c>
      <c r="K626" s="945"/>
      <c r="L626" s="945"/>
      <c r="M626" s="945"/>
      <c r="N626" s="945"/>
      <c r="O626" s="945"/>
      <c r="P626" s="945"/>
      <c r="Q626" s="1244"/>
      <c r="R626" s="1244"/>
      <c r="S626" s="1244"/>
      <c r="T626" s="1244"/>
      <c r="U626" s="1244"/>
      <c r="V626" s="1244"/>
      <c r="W626" s="1244"/>
      <c r="X626" s="1244"/>
      <c r="Y626" s="1244"/>
      <c r="Z626" s="1244"/>
    </row>
    <row r="627" spans="1:26" ht="18.75">
      <c r="A627" s="1359"/>
      <c r="B627" s="1360"/>
      <c r="C627" s="1360"/>
      <c r="D627" s="1360"/>
      <c r="E627" s="1116"/>
      <c r="F627" s="1116"/>
      <c r="G627" s="1361"/>
      <c r="H627" s="391" t="s">
        <v>34</v>
      </c>
      <c r="I627" s="1085"/>
      <c r="J627" s="1118">
        <v>0</v>
      </c>
      <c r="K627" s="1086"/>
      <c r="L627" s="1086"/>
      <c r="M627" s="1086"/>
      <c r="N627" s="1086"/>
      <c r="O627" s="1086"/>
      <c r="P627" s="1086"/>
      <c r="Q627" s="1244"/>
      <c r="R627" s="1244"/>
      <c r="S627" s="1244"/>
      <c r="T627" s="1244"/>
      <c r="U627" s="1244"/>
      <c r="V627" s="1244"/>
      <c r="W627" s="1244"/>
      <c r="X627" s="1244"/>
      <c r="Y627" s="1244"/>
      <c r="Z627" s="1244"/>
    </row>
    <row r="628" spans="1:26" ht="19.5">
      <c r="A628" s="702">
        <v>7</v>
      </c>
      <c r="B628" s="1362" t="s">
        <v>270</v>
      </c>
      <c r="C628" s="1363"/>
      <c r="D628" s="1363"/>
      <c r="E628" s="1363"/>
      <c r="F628" s="1363"/>
      <c r="G628" s="1364"/>
      <c r="H628" s="1479" t="s">
        <v>35</v>
      </c>
      <c r="I628" s="1365">
        <f t="shared" ref="I628:J628" ca="1" si="263">I651</f>
        <v>250</v>
      </c>
      <c r="J628" s="1365">
        <f t="shared" ca="1" si="263"/>
        <v>0</v>
      </c>
      <c r="K628" s="1366">
        <f ca="1">IF(I628&gt;0,J628*100/I628,0)</f>
        <v>0</v>
      </c>
      <c r="L628" s="1366"/>
      <c r="M628" s="1366"/>
      <c r="N628" s="1366"/>
      <c r="O628" s="1366"/>
      <c r="P628" s="1366"/>
      <c r="Q628" s="1244"/>
      <c r="R628" s="1244"/>
      <c r="S628" s="1244"/>
      <c r="T628" s="1244"/>
      <c r="U628" s="1244"/>
      <c r="V628" s="1244"/>
      <c r="W628" s="1244"/>
      <c r="X628" s="1244"/>
      <c r="Y628" s="1244"/>
      <c r="Z628" s="1244"/>
    </row>
    <row r="629" spans="1:26" ht="19.5">
      <c r="A629" s="1259"/>
      <c r="B629" s="1243"/>
      <c r="C629" s="1243" t="s">
        <v>16</v>
      </c>
      <c r="D629" s="1507" t="s">
        <v>17</v>
      </c>
      <c r="E629" s="1485"/>
      <c r="F629" s="1485"/>
      <c r="G629" s="963"/>
      <c r="H629" s="563" t="s">
        <v>12</v>
      </c>
      <c r="I629" s="830"/>
      <c r="J629" s="830"/>
      <c r="K629" s="831"/>
      <c r="L629" s="967">
        <f t="shared" ref="L629:N629" ca="1" si="264">L630+L631</f>
        <v>440980</v>
      </c>
      <c r="M629" s="967">
        <f t="shared" si="264"/>
        <v>0</v>
      </c>
      <c r="N629" s="967">
        <f t="shared" si="264"/>
        <v>95740</v>
      </c>
      <c r="O629" s="967">
        <f t="shared" ref="O629:O634" ca="1" si="265">IF(L629&gt;0,N629*100/L629,0)</f>
        <v>21.71073518073382</v>
      </c>
      <c r="P629" s="967">
        <f t="shared" ref="P629:P634" si="266">IF(M629&gt;0,N629*100/M629,0)</f>
        <v>0</v>
      </c>
      <c r="Q629" s="1244"/>
      <c r="R629" s="1244"/>
      <c r="S629" s="1244"/>
      <c r="T629" s="1244"/>
      <c r="U629" s="1244"/>
      <c r="V629" s="1244"/>
      <c r="W629" s="1244"/>
      <c r="X629" s="1244"/>
      <c r="Y629" s="1244"/>
      <c r="Z629" s="1244"/>
    </row>
    <row r="630" spans="1:26" ht="18.75" hidden="1">
      <c r="A630" s="1260"/>
      <c r="B630" s="1261"/>
      <c r="C630" s="1261"/>
      <c r="D630" s="1262"/>
      <c r="E630" s="1261" t="s">
        <v>184</v>
      </c>
      <c r="F630" s="1261"/>
      <c r="G630" s="1263"/>
      <c r="H630" s="165" t="s">
        <v>12</v>
      </c>
      <c r="I630" s="836"/>
      <c r="J630" s="836"/>
      <c r="K630" s="837"/>
      <c r="L630" s="837">
        <f t="shared" ref="L630:N631" si="267">L633+L640</f>
        <v>0</v>
      </c>
      <c r="M630" s="837">
        <f t="shared" si="267"/>
        <v>0</v>
      </c>
      <c r="N630" s="837">
        <f t="shared" si="267"/>
        <v>0</v>
      </c>
      <c r="O630" s="837">
        <f t="shared" si="265"/>
        <v>0</v>
      </c>
      <c r="P630" s="837">
        <f t="shared" si="266"/>
        <v>0</v>
      </c>
      <c r="Q630" s="1264"/>
      <c r="R630" s="1264"/>
      <c r="S630" s="1264"/>
      <c r="T630" s="1264"/>
      <c r="U630" s="1264"/>
      <c r="V630" s="1264"/>
      <c r="W630" s="1264"/>
      <c r="X630" s="1264"/>
      <c r="Y630" s="1264"/>
      <c r="Z630" s="1264"/>
    </row>
    <row r="631" spans="1:26" ht="18.75" hidden="1">
      <c r="A631" s="1260"/>
      <c r="B631" s="1265"/>
      <c r="C631" s="1261"/>
      <c r="D631" s="1262"/>
      <c r="E631" s="1261" t="s">
        <v>185</v>
      </c>
      <c r="F631" s="1261"/>
      <c r="G631" s="1263"/>
      <c r="H631" s="165" t="s">
        <v>12</v>
      </c>
      <c r="I631" s="836"/>
      <c r="J631" s="836"/>
      <c r="K631" s="837"/>
      <c r="L631" s="837">
        <f t="shared" ca="1" si="267"/>
        <v>440980</v>
      </c>
      <c r="M631" s="837">
        <f t="shared" si="267"/>
        <v>0</v>
      </c>
      <c r="N631" s="837">
        <f t="shared" si="267"/>
        <v>95740</v>
      </c>
      <c r="O631" s="837">
        <f t="shared" ca="1" si="265"/>
        <v>21.71073518073382</v>
      </c>
      <c r="P631" s="837">
        <f t="shared" si="266"/>
        <v>0</v>
      </c>
      <c r="Q631" s="1264"/>
      <c r="R631" s="1264"/>
      <c r="S631" s="1264"/>
      <c r="T631" s="1264"/>
      <c r="U631" s="1264"/>
      <c r="V631" s="1264"/>
      <c r="W631" s="1264"/>
      <c r="X631" s="1264"/>
      <c r="Y631" s="1264"/>
      <c r="Z631" s="1264"/>
    </row>
    <row r="632" spans="1:26" ht="18.75">
      <c r="A632" s="1259"/>
      <c r="B632" s="1242"/>
      <c r="C632" s="1243"/>
      <c r="D632" s="1266" t="s">
        <v>20</v>
      </c>
      <c r="E632" s="1243"/>
      <c r="F632" s="1243"/>
      <c r="G632" s="963"/>
      <c r="H632" s="778" t="s">
        <v>12</v>
      </c>
      <c r="I632" s="944"/>
      <c r="J632" s="944"/>
      <c r="K632" s="945"/>
      <c r="L632" s="831">
        <f t="shared" ref="L632:N632" ca="1" si="268">L633+L634</f>
        <v>440980</v>
      </c>
      <c r="M632" s="831">
        <f t="shared" si="268"/>
        <v>0</v>
      </c>
      <c r="N632" s="831">
        <f t="shared" si="268"/>
        <v>95740</v>
      </c>
      <c r="O632" s="831">
        <f t="shared" ca="1" si="265"/>
        <v>21.71073518073382</v>
      </c>
      <c r="P632" s="831">
        <f t="shared" si="266"/>
        <v>0</v>
      </c>
      <c r="Q632" s="1244"/>
      <c r="R632" s="1244"/>
      <c r="S632" s="1244"/>
      <c r="T632" s="1244"/>
      <c r="U632" s="1244"/>
      <c r="V632" s="1244"/>
      <c r="W632" s="1244"/>
      <c r="X632" s="1244"/>
      <c r="Y632" s="1244"/>
      <c r="Z632" s="1244"/>
    </row>
    <row r="633" spans="1:26" ht="18.75" hidden="1">
      <c r="A633" s="1260"/>
      <c r="B633" s="1265"/>
      <c r="C633" s="1261"/>
      <c r="D633" s="1262"/>
      <c r="E633" s="1261" t="s">
        <v>184</v>
      </c>
      <c r="F633" s="1261"/>
      <c r="G633" s="1263"/>
      <c r="H633" s="165" t="s">
        <v>12</v>
      </c>
      <c r="I633" s="836"/>
      <c r="J633" s="836"/>
      <c r="K633" s="837"/>
      <c r="L633" s="837">
        <v>0</v>
      </c>
      <c r="M633" s="837">
        <v>0</v>
      </c>
      <c r="N633" s="837">
        <v>0</v>
      </c>
      <c r="O633" s="837">
        <f t="shared" si="265"/>
        <v>0</v>
      </c>
      <c r="P633" s="837">
        <f t="shared" si="266"/>
        <v>0</v>
      </c>
      <c r="Q633" s="1264"/>
      <c r="R633" s="1264"/>
      <c r="S633" s="1264"/>
      <c r="T633" s="1264"/>
      <c r="U633" s="1264"/>
      <c r="V633" s="1264"/>
      <c r="W633" s="1264"/>
      <c r="X633" s="1264"/>
      <c r="Y633" s="1264"/>
      <c r="Z633" s="1264"/>
    </row>
    <row r="634" spans="1:26" ht="18.75" hidden="1">
      <c r="A634" s="1260"/>
      <c r="B634" s="1265"/>
      <c r="C634" s="1261"/>
      <c r="D634" s="1262"/>
      <c r="E634" s="1261" t="s">
        <v>185</v>
      </c>
      <c r="F634" s="1261"/>
      <c r="G634" s="1263"/>
      <c r="H634" s="165" t="s">
        <v>12</v>
      </c>
      <c r="I634" s="836"/>
      <c r="J634" s="836"/>
      <c r="K634" s="837"/>
      <c r="L634" s="837">
        <f ca="1">IFERROR(__xludf.DUMMYFUNCTION("IMPORTRANGE(""https://docs.google.com/spreadsheets/d/1QqKyyYR6Q21VydFLVH3TRQUabQu_ym0Zz7PgGX0-kHA/edit?usp=sharing"",""แผน!HN17"")"),440980)</f>
        <v>440980</v>
      </c>
      <c r="M634" s="837">
        <v>0</v>
      </c>
      <c r="N634" s="837">
        <f>N635+N636+N637+N638</f>
        <v>95740</v>
      </c>
      <c r="O634" s="837">
        <f t="shared" ca="1" si="265"/>
        <v>21.71073518073382</v>
      </c>
      <c r="P634" s="837">
        <f t="shared" si="266"/>
        <v>0</v>
      </c>
      <c r="Q634" s="1264"/>
      <c r="R634" s="1264"/>
      <c r="S634" s="1264"/>
      <c r="T634" s="1264"/>
      <c r="U634" s="1264"/>
      <c r="V634" s="1264"/>
      <c r="W634" s="1264"/>
      <c r="X634" s="1264"/>
      <c r="Y634" s="1264"/>
      <c r="Z634" s="1264"/>
    </row>
    <row r="635" spans="1:26" ht="18.75">
      <c r="A635" s="1241"/>
      <c r="B635" s="1242"/>
      <c r="C635" s="1243"/>
      <c r="D635" s="1243"/>
      <c r="E635" s="1243"/>
      <c r="F635" s="1243" t="s">
        <v>186</v>
      </c>
      <c r="G635" s="963"/>
      <c r="H635" s="778" t="s">
        <v>12</v>
      </c>
      <c r="I635" s="830"/>
      <c r="J635" s="830"/>
      <c r="K635" s="831"/>
      <c r="L635" s="831"/>
      <c r="M635" s="831"/>
      <c r="N635" s="1031">
        <v>0</v>
      </c>
      <c r="O635" s="831"/>
      <c r="P635" s="831"/>
      <c r="Q635" s="1244"/>
      <c r="R635" s="1244"/>
      <c r="S635" s="1244"/>
      <c r="T635" s="1244"/>
      <c r="U635" s="1244"/>
      <c r="V635" s="1244"/>
      <c r="W635" s="1244"/>
      <c r="X635" s="1244"/>
      <c r="Y635" s="1244"/>
      <c r="Z635" s="1244"/>
    </row>
    <row r="636" spans="1:26" ht="18.75">
      <c r="A636" s="1241"/>
      <c r="B636" s="1242"/>
      <c r="C636" s="1243"/>
      <c r="D636" s="1243"/>
      <c r="E636" s="1243"/>
      <c r="F636" s="1243" t="s">
        <v>187</v>
      </c>
      <c r="G636" s="963"/>
      <c r="H636" s="778" t="s">
        <v>12</v>
      </c>
      <c r="I636" s="830"/>
      <c r="J636" s="830"/>
      <c r="K636" s="831"/>
      <c r="L636" s="831"/>
      <c r="M636" s="831"/>
      <c r="N636" s="1031">
        <v>0</v>
      </c>
      <c r="O636" s="831"/>
      <c r="P636" s="831"/>
      <c r="Q636" s="1244"/>
      <c r="R636" s="1244"/>
      <c r="S636" s="1244"/>
      <c r="T636" s="1244"/>
      <c r="U636" s="1244"/>
      <c r="V636" s="1244"/>
      <c r="W636" s="1244"/>
      <c r="X636" s="1244"/>
      <c r="Y636" s="1244"/>
      <c r="Z636" s="1244"/>
    </row>
    <row r="637" spans="1:26" ht="18.75">
      <c r="A637" s="1241"/>
      <c r="B637" s="1242"/>
      <c r="C637" s="1243"/>
      <c r="D637" s="1243"/>
      <c r="E637" s="1243"/>
      <c r="F637" s="1243" t="s">
        <v>188</v>
      </c>
      <c r="G637" s="963"/>
      <c r="H637" s="778" t="s">
        <v>12</v>
      </c>
      <c r="I637" s="830"/>
      <c r="J637" s="830"/>
      <c r="K637" s="831"/>
      <c r="L637" s="831"/>
      <c r="M637" s="831"/>
      <c r="N637" s="1031">
        <v>52000</v>
      </c>
      <c r="O637" s="831"/>
      <c r="P637" s="831"/>
      <c r="Q637" s="1244"/>
      <c r="R637" s="1244"/>
      <c r="S637" s="1244"/>
      <c r="T637" s="1244"/>
      <c r="U637" s="1244"/>
      <c r="V637" s="1244"/>
      <c r="W637" s="1244"/>
      <c r="X637" s="1244"/>
      <c r="Y637" s="1244"/>
      <c r="Z637" s="1244"/>
    </row>
    <row r="638" spans="1:26" ht="18.75">
      <c r="A638" s="1241"/>
      <c r="B638" s="1242"/>
      <c r="C638" s="1243"/>
      <c r="D638" s="1243"/>
      <c r="E638" s="1243"/>
      <c r="F638" s="1243" t="s">
        <v>189</v>
      </c>
      <c r="G638" s="963"/>
      <c r="H638" s="778" t="s">
        <v>12</v>
      </c>
      <c r="I638" s="830"/>
      <c r="J638" s="830"/>
      <c r="K638" s="831"/>
      <c r="L638" s="831"/>
      <c r="M638" s="831"/>
      <c r="N638" s="1031">
        <v>43740</v>
      </c>
      <c r="O638" s="831"/>
      <c r="P638" s="831"/>
      <c r="Q638" s="1244"/>
      <c r="R638" s="1244"/>
      <c r="S638" s="1244"/>
      <c r="T638" s="1244"/>
      <c r="U638" s="1244"/>
      <c r="V638" s="1244"/>
      <c r="W638" s="1244"/>
      <c r="X638" s="1244"/>
      <c r="Y638" s="1244"/>
      <c r="Z638" s="1244"/>
    </row>
    <row r="639" spans="1:26" ht="18.75">
      <c r="A639" s="1259"/>
      <c r="B639" s="1242"/>
      <c r="C639" s="1243"/>
      <c r="D639" s="1266" t="s">
        <v>21</v>
      </c>
      <c r="E639" s="1243"/>
      <c r="F639" s="1243"/>
      <c r="G639" s="963"/>
      <c r="H639" s="168" t="s">
        <v>12</v>
      </c>
      <c r="I639" s="944"/>
      <c r="J639" s="944"/>
      <c r="K639" s="945"/>
      <c r="L639" s="831">
        <f t="shared" ref="L639:N639" ca="1" si="269">L640+L641</f>
        <v>0</v>
      </c>
      <c r="M639" s="831">
        <f t="shared" si="269"/>
        <v>0</v>
      </c>
      <c r="N639" s="831">
        <f t="shared" si="269"/>
        <v>0</v>
      </c>
      <c r="O639" s="831">
        <f t="shared" ref="O639:O641" ca="1" si="270">IF(L639&gt;0,N639*100/L639,0)</f>
        <v>0</v>
      </c>
      <c r="P639" s="831">
        <f t="shared" ref="P639:P641" si="271">IF(M639&gt;0,N639*100/M639,0)</f>
        <v>0</v>
      </c>
      <c r="Q639" s="1244"/>
      <c r="R639" s="1244"/>
      <c r="S639" s="1244"/>
      <c r="T639" s="1244"/>
      <c r="U639" s="1244"/>
      <c r="V639" s="1244"/>
      <c r="W639" s="1244"/>
      <c r="X639" s="1244"/>
      <c r="Y639" s="1244"/>
      <c r="Z639" s="1244"/>
    </row>
    <row r="640" spans="1:26" ht="18.75" hidden="1">
      <c r="A640" s="1260"/>
      <c r="B640" s="1265"/>
      <c r="C640" s="1261"/>
      <c r="D640" s="1261"/>
      <c r="E640" s="1261" t="s">
        <v>18</v>
      </c>
      <c r="F640" s="1261"/>
      <c r="G640" s="1263"/>
      <c r="H640" s="165" t="s">
        <v>12</v>
      </c>
      <c r="I640" s="947"/>
      <c r="J640" s="947"/>
      <c r="K640" s="948"/>
      <c r="L640" s="837">
        <v>0</v>
      </c>
      <c r="M640" s="837">
        <v>0</v>
      </c>
      <c r="N640" s="837">
        <v>0</v>
      </c>
      <c r="O640" s="837">
        <f t="shared" si="270"/>
        <v>0</v>
      </c>
      <c r="P640" s="837">
        <f t="shared" si="271"/>
        <v>0</v>
      </c>
      <c r="Q640" s="1264"/>
      <c r="R640" s="1264"/>
      <c r="S640" s="1264"/>
      <c r="T640" s="1264"/>
      <c r="U640" s="1264"/>
      <c r="V640" s="1264"/>
      <c r="W640" s="1264"/>
      <c r="X640" s="1264"/>
      <c r="Y640" s="1264"/>
      <c r="Z640" s="1264"/>
    </row>
    <row r="641" spans="1:26" ht="18.75" hidden="1">
      <c r="A641" s="1260"/>
      <c r="B641" s="1265"/>
      <c r="C641" s="1261"/>
      <c r="D641" s="1261"/>
      <c r="E641" s="1261" t="s">
        <v>19</v>
      </c>
      <c r="F641" s="1261"/>
      <c r="G641" s="1263"/>
      <c r="H641" s="169" t="s">
        <v>12</v>
      </c>
      <c r="I641" s="947"/>
      <c r="J641" s="947"/>
      <c r="K641" s="948"/>
      <c r="L641" s="837">
        <f ca="1">IFERROR(__xludf.DUMMYFUNCTION("IMPORTRANGE(""https://docs.google.com/spreadsheets/d/1QqKyyYR6Q21VydFLVH3TRQUabQu_ym0Zz7PgGX0-kHA/edit?usp=sharing"",""แผน!HQ17"")"),0)</f>
        <v>0</v>
      </c>
      <c r="M641" s="837">
        <v>0</v>
      </c>
      <c r="N641" s="837">
        <v>0</v>
      </c>
      <c r="O641" s="837">
        <f t="shared" ca="1" si="270"/>
        <v>0</v>
      </c>
      <c r="P641" s="837">
        <f t="shared" si="271"/>
        <v>0</v>
      </c>
      <c r="Q641" s="1264"/>
      <c r="R641" s="1264"/>
      <c r="S641" s="1264"/>
      <c r="T641" s="1264"/>
      <c r="U641" s="1264"/>
      <c r="V641" s="1264"/>
      <c r="W641" s="1264"/>
      <c r="X641" s="1264"/>
      <c r="Y641" s="1264"/>
      <c r="Z641" s="1264"/>
    </row>
    <row r="642" spans="1:26" ht="19.5">
      <c r="A642" s="1267"/>
      <c r="B642" s="1268"/>
      <c r="C642" s="1243" t="s">
        <v>16</v>
      </c>
      <c r="D642" s="1320" t="s">
        <v>38</v>
      </c>
      <c r="E642" s="1271"/>
      <c r="F642" s="1271"/>
      <c r="G642" s="1272"/>
      <c r="H642" s="954"/>
      <c r="I642" s="944"/>
      <c r="J642" s="944"/>
      <c r="K642" s="945"/>
      <c r="L642" s="945"/>
      <c r="M642" s="945"/>
      <c r="N642" s="945"/>
      <c r="O642" s="945"/>
      <c r="P642" s="945"/>
      <c r="Q642" s="1244"/>
      <c r="R642" s="1244"/>
      <c r="S642" s="1244"/>
      <c r="T642" s="1244"/>
      <c r="U642" s="1244"/>
      <c r="V642" s="1244"/>
      <c r="W642" s="1244"/>
      <c r="X642" s="1244"/>
      <c r="Y642" s="1244"/>
      <c r="Z642" s="1244"/>
    </row>
    <row r="643" spans="1:26" ht="18.75">
      <c r="A643" s="1368"/>
      <c r="B643" s="1242"/>
      <c r="C643" s="1243"/>
      <c r="D643" s="961"/>
      <c r="E643" s="1017" t="s">
        <v>271</v>
      </c>
      <c r="F643" s="961"/>
      <c r="G643" s="954"/>
      <c r="H643" s="730" t="s">
        <v>272</v>
      </c>
      <c r="I643" s="830">
        <f ca="1">IFERROR(__xludf.DUMMYFUNCTION("IMPORTRANGE(""https://docs.google.com/spreadsheets/d/1QqKyyYR6Q21VydFLVH3TRQUabQu_ym0Zz7PgGX0-kHA/edit?usp=sharing"",""แผน!HR17"")"),0)</f>
        <v>0</v>
      </c>
      <c r="J643" s="959">
        <v>0</v>
      </c>
      <c r="K643" s="945">
        <f t="shared" ref="K643:K652" ca="1" si="272">IF(I643&gt;0,J643*100/I643,0)</f>
        <v>0</v>
      </c>
      <c r="L643" s="945"/>
      <c r="M643" s="945"/>
      <c r="N643" s="831"/>
      <c r="O643" s="945"/>
      <c r="P643" s="945"/>
      <c r="Q643" s="1244"/>
      <c r="R643" s="1244"/>
      <c r="S643" s="1244"/>
      <c r="T643" s="1244"/>
      <c r="U643" s="1244"/>
      <c r="V643" s="1244"/>
      <c r="W643" s="1244"/>
      <c r="X643" s="1244"/>
      <c r="Y643" s="1244"/>
      <c r="Z643" s="1244"/>
    </row>
    <row r="644" spans="1:26" ht="18.75">
      <c r="A644" s="1368"/>
      <c r="B644" s="1242"/>
      <c r="C644" s="1243"/>
      <c r="D644" s="961"/>
      <c r="E644" s="1017" t="s">
        <v>273</v>
      </c>
      <c r="F644" s="961"/>
      <c r="G644" s="954"/>
      <c r="H644" s="730" t="s">
        <v>274</v>
      </c>
      <c r="I644" s="830">
        <f ca="1">IFERROR(__xludf.DUMMYFUNCTION("IMPORTRANGE(""https://docs.google.com/spreadsheets/d/1QqKyyYR6Q21VydFLVH3TRQUabQu_ym0Zz7PgGX0-kHA/edit?usp=sharing"",""แผน!HR17"")"),0)</f>
        <v>0</v>
      </c>
      <c r="J644" s="959">
        <v>0</v>
      </c>
      <c r="K644" s="945">
        <f t="shared" ca="1" si="272"/>
        <v>0</v>
      </c>
      <c r="L644" s="945"/>
      <c r="M644" s="945"/>
      <c r="N644" s="831"/>
      <c r="O644" s="945"/>
      <c r="P644" s="945"/>
      <c r="Q644" s="1244"/>
      <c r="R644" s="1244"/>
      <c r="S644" s="1244"/>
      <c r="T644" s="1244"/>
      <c r="U644" s="1244"/>
      <c r="V644" s="1244"/>
      <c r="W644" s="1244"/>
      <c r="X644" s="1244"/>
      <c r="Y644" s="1244"/>
      <c r="Z644" s="1244"/>
    </row>
    <row r="645" spans="1:26" ht="18.75">
      <c r="A645" s="1368"/>
      <c r="B645" s="1242"/>
      <c r="C645" s="1243"/>
      <c r="D645" s="961"/>
      <c r="E645" s="1017" t="s">
        <v>275</v>
      </c>
      <c r="F645" s="961"/>
      <c r="G645" s="954"/>
      <c r="H645" s="730" t="s">
        <v>34</v>
      </c>
      <c r="I645" s="830">
        <v>0</v>
      </c>
      <c r="J645" s="830">
        <f ca="1">IFERROR(__xludf.DUMMYFUNCTION("IMPORTRANGE(""https://docs.google.com/spreadsheets/d/1XWAQStnk-4SwqDmLtmXYiTMKHgktTP8We1SCoS47DrQ/edit?usp=sharing"",""จัดที่ดิน!AS17"")"),46)</f>
        <v>46</v>
      </c>
      <c r="K645" s="945">
        <f t="shared" si="272"/>
        <v>0</v>
      </c>
      <c r="L645" s="945"/>
      <c r="M645" s="945"/>
      <c r="N645" s="831"/>
      <c r="O645" s="945"/>
      <c r="P645" s="945"/>
      <c r="Q645" s="1244"/>
      <c r="R645" s="1244"/>
      <c r="S645" s="1244"/>
      <c r="T645" s="1244"/>
      <c r="U645" s="1244"/>
      <c r="V645" s="1244"/>
      <c r="W645" s="1244"/>
      <c r="X645" s="1244"/>
      <c r="Y645" s="1244"/>
      <c r="Z645" s="1244"/>
    </row>
    <row r="646" spans="1:26" ht="18.75">
      <c r="A646" s="1368"/>
      <c r="B646" s="1242"/>
      <c r="C646" s="1243"/>
      <c r="D646" s="961"/>
      <c r="E646" s="961"/>
      <c r="F646" s="961"/>
      <c r="G646" s="954"/>
      <c r="H646" s="730" t="s">
        <v>46</v>
      </c>
      <c r="I646" s="830">
        <v>0</v>
      </c>
      <c r="J646" s="830">
        <f ca="1">IFERROR(__xludf.DUMMYFUNCTION("IMPORTRANGE(""https://docs.google.com/spreadsheets/d/1XWAQStnk-4SwqDmLtmXYiTMKHgktTP8We1SCoS47DrQ/edit?usp=sharing"",""จัดที่ดิน!AT17"")"),23.06)</f>
        <v>23.06</v>
      </c>
      <c r="K646" s="831">
        <f t="shared" si="272"/>
        <v>0</v>
      </c>
      <c r="L646" s="945"/>
      <c r="M646" s="945"/>
      <c r="N646" s="831"/>
      <c r="O646" s="945"/>
      <c r="P646" s="945"/>
      <c r="Q646" s="1244"/>
      <c r="R646" s="1244"/>
      <c r="S646" s="1244"/>
      <c r="T646" s="1244"/>
      <c r="U646" s="1244"/>
      <c r="V646" s="1244"/>
      <c r="W646" s="1244"/>
      <c r="X646" s="1244"/>
      <c r="Y646" s="1244"/>
      <c r="Z646" s="1244"/>
    </row>
    <row r="647" spans="1:26" ht="18.75">
      <c r="A647" s="1368"/>
      <c r="B647" s="1242"/>
      <c r="C647" s="1243"/>
      <c r="D647" s="961"/>
      <c r="E647" s="1017" t="s">
        <v>162</v>
      </c>
      <c r="F647" s="961"/>
      <c r="G647" s="954"/>
      <c r="H647" s="730" t="s">
        <v>35</v>
      </c>
      <c r="I647" s="830">
        <f ca="1">IFERROR(__xludf.DUMMYFUNCTION("IMPORTRANGE(""https://docs.google.com/spreadsheets/d/1QqKyyYR6Q21VydFLVH3TRQUabQu_ym0Zz7PgGX0-kHA/edit?usp=sharing"",""แผน!HS17"")"),250)</f>
        <v>250</v>
      </c>
      <c r="J647" s="830">
        <f ca="1">IFERROR(__xludf.DUMMYFUNCTION("IMPORTRANGE(""https://docs.google.com/spreadsheets/d/1XWAQStnk-4SwqDmLtmXYiTMKHgktTP8We1SCoS47DrQ/edit?usp=sharing"",""จัดที่ดิน!AU17"")"),14)</f>
        <v>14</v>
      </c>
      <c r="K647" s="945">
        <f t="shared" ca="1" si="272"/>
        <v>5.6</v>
      </c>
      <c r="L647" s="945"/>
      <c r="M647" s="945"/>
      <c r="N647" s="945"/>
      <c r="O647" s="945"/>
      <c r="P647" s="945"/>
      <c r="Q647" s="1244"/>
      <c r="R647" s="1244"/>
      <c r="S647" s="1244"/>
      <c r="T647" s="1244"/>
      <c r="U647" s="1244"/>
      <c r="V647" s="1244"/>
      <c r="W647" s="1244"/>
      <c r="X647" s="1244"/>
      <c r="Y647" s="1244"/>
      <c r="Z647" s="1244"/>
    </row>
    <row r="648" spans="1:26" ht="18.75">
      <c r="A648" s="1368"/>
      <c r="B648" s="1242"/>
      <c r="C648" s="1243"/>
      <c r="D648" s="961"/>
      <c r="E648" s="961"/>
      <c r="F648" s="961"/>
      <c r="G648" s="954"/>
      <c r="H648" s="730" t="s">
        <v>46</v>
      </c>
      <c r="I648" s="830">
        <v>0</v>
      </c>
      <c r="J648" s="830">
        <f ca="1">IFERROR(__xludf.DUMMYFUNCTION("IMPORTRANGE(""https://docs.google.com/spreadsheets/d/1XWAQStnk-4SwqDmLtmXYiTMKHgktTP8We1SCoS47DrQ/edit?usp=sharing"",""จัดที่ดิน!AV17"")"),7.93)</f>
        <v>7.93</v>
      </c>
      <c r="K648" s="831">
        <f t="shared" si="272"/>
        <v>0</v>
      </c>
      <c r="L648" s="945"/>
      <c r="M648" s="945"/>
      <c r="N648" s="945"/>
      <c r="O648" s="945"/>
      <c r="P648" s="945"/>
      <c r="Q648" s="1244"/>
      <c r="R648" s="1244"/>
      <c r="S648" s="1244"/>
      <c r="T648" s="1244"/>
      <c r="U648" s="1244"/>
      <c r="V648" s="1244"/>
      <c r="W648" s="1244"/>
      <c r="X648" s="1244"/>
      <c r="Y648" s="1244"/>
      <c r="Z648" s="1244"/>
    </row>
    <row r="649" spans="1:26" ht="18.75">
      <c r="A649" s="1368"/>
      <c r="B649" s="1242"/>
      <c r="C649" s="1243"/>
      <c r="D649" s="961"/>
      <c r="E649" s="1017" t="s">
        <v>276</v>
      </c>
      <c r="F649" s="961"/>
      <c r="G649" s="954"/>
      <c r="H649" s="730" t="s">
        <v>35</v>
      </c>
      <c r="I649" s="830">
        <f ca="1">IFERROR(__xludf.DUMMYFUNCTION("IMPORTRANGE(""https://docs.google.com/spreadsheets/d/1QqKyyYR6Q21VydFLVH3TRQUabQu_ym0Zz7PgGX0-kHA/edit?usp=sharing"",""แผน!HS17"")"),250)</f>
        <v>250</v>
      </c>
      <c r="J649" s="830">
        <f ca="1">IFERROR(__xludf.DUMMYFUNCTION("IMPORTRANGE(""https://docs.google.com/spreadsheets/d/1XWAQStnk-4SwqDmLtmXYiTMKHgktTP8We1SCoS47DrQ/edit?usp=sharing"",""จัดที่ดิน!AW17"")"),0)</f>
        <v>0</v>
      </c>
      <c r="K649" s="945">
        <f t="shared" ca="1" si="272"/>
        <v>0</v>
      </c>
      <c r="L649" s="945"/>
      <c r="M649" s="945"/>
      <c r="N649" s="945"/>
      <c r="O649" s="945"/>
      <c r="P649" s="945"/>
      <c r="Q649" s="1244"/>
      <c r="R649" s="1244"/>
      <c r="S649" s="1244"/>
      <c r="T649" s="1244"/>
      <c r="U649" s="1244"/>
      <c r="V649" s="1244"/>
      <c r="W649" s="1244"/>
      <c r="X649" s="1244"/>
      <c r="Y649" s="1244"/>
      <c r="Z649" s="1244"/>
    </row>
    <row r="650" spans="1:26" ht="18.75">
      <c r="A650" s="1368"/>
      <c r="B650" s="1242"/>
      <c r="C650" s="1243"/>
      <c r="D650" s="961"/>
      <c r="E650" s="961"/>
      <c r="F650" s="961"/>
      <c r="G650" s="954"/>
      <c r="H650" s="730" t="s">
        <v>46</v>
      </c>
      <c r="I650" s="830">
        <v>0</v>
      </c>
      <c r="J650" s="830">
        <f ca="1">IFERROR(__xludf.DUMMYFUNCTION("IMPORTRANGE(""https://docs.google.com/spreadsheets/d/1XWAQStnk-4SwqDmLtmXYiTMKHgktTP8We1SCoS47DrQ/edit?usp=sharing"",""จัดที่ดิน!AX17"")"),0)</f>
        <v>0</v>
      </c>
      <c r="K650" s="831">
        <f t="shared" si="272"/>
        <v>0</v>
      </c>
      <c r="L650" s="945"/>
      <c r="M650" s="945"/>
      <c r="N650" s="945"/>
      <c r="O650" s="945"/>
      <c r="P650" s="945"/>
      <c r="Q650" s="1244"/>
      <c r="R650" s="1244"/>
      <c r="S650" s="1244"/>
      <c r="T650" s="1244"/>
      <c r="U650" s="1244"/>
      <c r="V650" s="1244"/>
      <c r="W650" s="1244"/>
      <c r="X650" s="1244"/>
      <c r="Y650" s="1244"/>
      <c r="Z650" s="1244"/>
    </row>
    <row r="651" spans="1:26" ht="18.75">
      <c r="A651" s="1368"/>
      <c r="B651" s="1242"/>
      <c r="C651" s="1243"/>
      <c r="D651" s="961"/>
      <c r="E651" s="1017" t="s">
        <v>277</v>
      </c>
      <c r="F651" s="961"/>
      <c r="G651" s="954"/>
      <c r="H651" s="730" t="s">
        <v>35</v>
      </c>
      <c r="I651" s="830">
        <f ca="1">IFERROR(__xludf.DUMMYFUNCTION("IMPORTRANGE(""https://docs.google.com/spreadsheets/d/1QqKyyYR6Q21VydFLVH3TRQUabQu_ym0Zz7PgGX0-kHA/edit?usp=sharing"",""แผน!HS17"")"),250)</f>
        <v>250</v>
      </c>
      <c r="J651" s="830">
        <f ca="1">IFERROR(__xludf.DUMMYFUNCTION("IMPORTRANGE(""https://docs.google.com/spreadsheets/d/1XWAQStnk-4SwqDmLtmXYiTMKHgktTP8We1SCoS47DrQ/edit?usp=sharing"",""จัดที่ดิน!AY17"")"),0)</f>
        <v>0</v>
      </c>
      <c r="K651" s="945">
        <f t="shared" ca="1" si="272"/>
        <v>0</v>
      </c>
      <c r="L651" s="945"/>
      <c r="M651" s="945"/>
      <c r="N651" s="945"/>
      <c r="O651" s="945"/>
      <c r="P651" s="945"/>
      <c r="Q651" s="1244"/>
      <c r="R651" s="1244"/>
      <c r="S651" s="1244"/>
      <c r="T651" s="1244"/>
      <c r="U651" s="1244"/>
      <c r="V651" s="1244"/>
      <c r="W651" s="1244"/>
      <c r="X651" s="1244"/>
      <c r="Y651" s="1244"/>
      <c r="Z651" s="1244"/>
    </row>
    <row r="652" spans="1:26" ht="18.75">
      <c r="A652" s="1369"/>
      <c r="B652" s="1370"/>
      <c r="C652" s="1371"/>
      <c r="D652" s="1116"/>
      <c r="E652" s="1116"/>
      <c r="F652" s="1116"/>
      <c r="G652" s="1361"/>
      <c r="H652" s="468" t="s">
        <v>46</v>
      </c>
      <c r="I652" s="1085">
        <v>0</v>
      </c>
      <c r="J652" s="1085">
        <f ca="1">IFERROR(__xludf.DUMMYFUNCTION("IMPORTRANGE(""https://docs.google.com/spreadsheets/d/1XWAQStnk-4SwqDmLtmXYiTMKHgktTP8We1SCoS47DrQ/edit?usp=sharing"",""จัดที่ดิน!AZ17"")"),0)</f>
        <v>0</v>
      </c>
      <c r="K652" s="1182">
        <f t="shared" si="272"/>
        <v>0</v>
      </c>
      <c r="L652" s="1086"/>
      <c r="M652" s="1086"/>
      <c r="N652" s="1086"/>
      <c r="O652" s="1086"/>
      <c r="P652" s="1086"/>
      <c r="Q652" s="1244"/>
      <c r="R652" s="1244"/>
      <c r="S652" s="1244"/>
      <c r="T652" s="1244"/>
      <c r="U652" s="1244"/>
      <c r="V652" s="1244"/>
      <c r="W652" s="1244"/>
      <c r="X652" s="1244"/>
      <c r="Y652" s="1244"/>
      <c r="Z652" s="1244"/>
    </row>
    <row r="653" spans="1:26" ht="19.5" hidden="1">
      <c r="A653" s="716">
        <v>8</v>
      </c>
      <c r="B653" s="1362" t="s">
        <v>278</v>
      </c>
      <c r="C653" s="1363"/>
      <c r="D653" s="1363"/>
      <c r="E653" s="1363"/>
      <c r="F653" s="1363"/>
      <c r="G653" s="1364"/>
      <c r="H653" s="1364"/>
      <c r="I653" s="1372"/>
      <c r="J653" s="1372"/>
      <c r="K653" s="1367"/>
      <c r="L653" s="1367"/>
      <c r="M653" s="1367"/>
      <c r="N653" s="1367"/>
      <c r="O653" s="1367"/>
      <c r="P653" s="1367"/>
      <c r="Q653" s="1244"/>
      <c r="R653" s="1244"/>
      <c r="S653" s="1244"/>
      <c r="T653" s="1244"/>
      <c r="U653" s="1244"/>
      <c r="V653" s="1244"/>
      <c r="W653" s="1244"/>
      <c r="X653" s="1244"/>
      <c r="Y653" s="1244"/>
      <c r="Z653" s="1244"/>
    </row>
    <row r="654" spans="1:26" ht="19.5" hidden="1">
      <c r="A654" s="1315"/>
      <c r="B654" s="1314" t="s">
        <v>279</v>
      </c>
      <c r="C654" s="1315"/>
      <c r="D654" s="1315"/>
      <c r="E654" s="1315"/>
      <c r="F654" s="1315"/>
      <c r="G654" s="1316"/>
      <c r="H654" s="673" t="s">
        <v>46</v>
      </c>
      <c r="I654" s="1317">
        <f t="shared" ref="I654:J654" ca="1" si="273">I669</f>
        <v>0</v>
      </c>
      <c r="J654" s="1317">
        <f t="shared" si="273"/>
        <v>0</v>
      </c>
      <c r="K654" s="1318">
        <f ca="1">IF(I654&gt;0,J654*100/I654,0)</f>
        <v>0</v>
      </c>
      <c r="L654" s="1319"/>
      <c r="M654" s="1319"/>
      <c r="N654" s="1319"/>
      <c r="O654" s="1319"/>
      <c r="P654" s="1319"/>
      <c r="Q654" s="1244"/>
      <c r="R654" s="1244"/>
      <c r="S654" s="1244"/>
      <c r="T654" s="1244"/>
      <c r="U654" s="1244"/>
      <c r="V654" s="1244"/>
      <c r="W654" s="1244"/>
      <c r="X654" s="1244"/>
      <c r="Y654" s="1244"/>
      <c r="Z654" s="1244"/>
    </row>
    <row r="655" spans="1:26" ht="19.5" hidden="1">
      <c r="A655" s="1259"/>
      <c r="B655" s="1243"/>
      <c r="C655" s="1243" t="s">
        <v>16</v>
      </c>
      <c r="D655" s="1507" t="s">
        <v>17</v>
      </c>
      <c r="E655" s="1485"/>
      <c r="F655" s="1485"/>
      <c r="G655" s="963"/>
      <c r="H655" s="563" t="s">
        <v>12</v>
      </c>
      <c r="I655" s="830"/>
      <c r="J655" s="830"/>
      <c r="K655" s="831"/>
      <c r="L655" s="967">
        <f t="shared" ref="L655:N655" ca="1" si="274">L656+L657</f>
        <v>0</v>
      </c>
      <c r="M655" s="967">
        <f t="shared" si="274"/>
        <v>0</v>
      </c>
      <c r="N655" s="967">
        <f t="shared" si="274"/>
        <v>0</v>
      </c>
      <c r="O655" s="967">
        <f t="shared" ref="O655:O660" ca="1" si="275">IF(L655&gt;0,N655*100/L655,0)</f>
        <v>0</v>
      </c>
      <c r="P655" s="967">
        <f t="shared" ref="P655:P660" si="276">IF(M655&gt;0,N655*100/M655,0)</f>
        <v>0</v>
      </c>
      <c r="Q655" s="1244"/>
      <c r="R655" s="1244"/>
      <c r="S655" s="1244"/>
      <c r="T655" s="1244"/>
      <c r="U655" s="1244"/>
      <c r="V655" s="1244"/>
      <c r="W655" s="1244"/>
      <c r="X655" s="1244"/>
      <c r="Y655" s="1244"/>
      <c r="Z655" s="1244"/>
    </row>
    <row r="656" spans="1:26" ht="18.75" hidden="1">
      <c r="A656" s="1260"/>
      <c r="B656" s="1261"/>
      <c r="C656" s="1261"/>
      <c r="D656" s="1262"/>
      <c r="E656" s="1261" t="s">
        <v>184</v>
      </c>
      <c r="F656" s="1261"/>
      <c r="G656" s="1263"/>
      <c r="H656" s="165" t="s">
        <v>12</v>
      </c>
      <c r="I656" s="836"/>
      <c r="J656" s="836"/>
      <c r="K656" s="837"/>
      <c r="L656" s="837">
        <f t="shared" ref="L656:N657" si="277">L659+L666</f>
        <v>0</v>
      </c>
      <c r="M656" s="837">
        <f t="shared" si="277"/>
        <v>0</v>
      </c>
      <c r="N656" s="837">
        <f t="shared" si="277"/>
        <v>0</v>
      </c>
      <c r="O656" s="837">
        <f t="shared" si="275"/>
        <v>0</v>
      </c>
      <c r="P656" s="837">
        <f t="shared" si="276"/>
        <v>0</v>
      </c>
      <c r="Q656" s="1264"/>
      <c r="R656" s="1264"/>
      <c r="S656" s="1264"/>
      <c r="T656" s="1264"/>
      <c r="U656" s="1264"/>
      <c r="V656" s="1264"/>
      <c r="W656" s="1264"/>
      <c r="X656" s="1264"/>
      <c r="Y656" s="1264"/>
      <c r="Z656" s="1264"/>
    </row>
    <row r="657" spans="1:26" ht="18.75" hidden="1">
      <c r="A657" s="1260"/>
      <c r="B657" s="1265"/>
      <c r="C657" s="1261"/>
      <c r="D657" s="1262"/>
      <c r="E657" s="1261" t="s">
        <v>185</v>
      </c>
      <c r="F657" s="1261"/>
      <c r="G657" s="1263"/>
      <c r="H657" s="165" t="s">
        <v>12</v>
      </c>
      <c r="I657" s="836"/>
      <c r="J657" s="836"/>
      <c r="K657" s="837"/>
      <c r="L657" s="837">
        <f t="shared" ca="1" si="277"/>
        <v>0</v>
      </c>
      <c r="M657" s="837">
        <f t="shared" si="277"/>
        <v>0</v>
      </c>
      <c r="N657" s="837">
        <f t="shared" si="277"/>
        <v>0</v>
      </c>
      <c r="O657" s="837">
        <f t="shared" ca="1" si="275"/>
        <v>0</v>
      </c>
      <c r="P657" s="837">
        <f t="shared" si="276"/>
        <v>0</v>
      </c>
      <c r="Q657" s="1264"/>
      <c r="R657" s="1264"/>
      <c r="S657" s="1264"/>
      <c r="T657" s="1264"/>
      <c r="U657" s="1264"/>
      <c r="V657" s="1264"/>
      <c r="W657" s="1264"/>
      <c r="X657" s="1264"/>
      <c r="Y657" s="1264"/>
      <c r="Z657" s="1264"/>
    </row>
    <row r="658" spans="1:26" ht="18.75" hidden="1">
      <c r="A658" s="1259"/>
      <c r="B658" s="1242"/>
      <c r="C658" s="1243"/>
      <c r="D658" s="1266" t="s">
        <v>20</v>
      </c>
      <c r="E658" s="1243"/>
      <c r="F658" s="1243"/>
      <c r="G658" s="963"/>
      <c r="H658" s="778" t="s">
        <v>12</v>
      </c>
      <c r="I658" s="944"/>
      <c r="J658" s="944"/>
      <c r="K658" s="945"/>
      <c r="L658" s="831">
        <f t="shared" ref="L658:N658" ca="1" si="278">L659+L660</f>
        <v>0</v>
      </c>
      <c r="M658" s="831">
        <f t="shared" si="278"/>
        <v>0</v>
      </c>
      <c r="N658" s="831">
        <f t="shared" si="278"/>
        <v>0</v>
      </c>
      <c r="O658" s="831">
        <f t="shared" ca="1" si="275"/>
        <v>0</v>
      </c>
      <c r="P658" s="831">
        <f t="shared" si="276"/>
        <v>0</v>
      </c>
      <c r="Q658" s="1244"/>
      <c r="R658" s="1244"/>
      <c r="S658" s="1244"/>
      <c r="T658" s="1244"/>
      <c r="U658" s="1244"/>
      <c r="V658" s="1244"/>
      <c r="W658" s="1244"/>
      <c r="X658" s="1244"/>
      <c r="Y658" s="1244"/>
      <c r="Z658" s="1244"/>
    </row>
    <row r="659" spans="1:26" ht="18.75" hidden="1">
      <c r="A659" s="1260"/>
      <c r="B659" s="1265"/>
      <c r="C659" s="1261"/>
      <c r="D659" s="1262"/>
      <c r="E659" s="1261" t="s">
        <v>184</v>
      </c>
      <c r="F659" s="1261"/>
      <c r="G659" s="1263"/>
      <c r="H659" s="165" t="s">
        <v>12</v>
      </c>
      <c r="I659" s="836"/>
      <c r="J659" s="836"/>
      <c r="K659" s="837"/>
      <c r="L659" s="837">
        <v>0</v>
      </c>
      <c r="M659" s="837">
        <v>0</v>
      </c>
      <c r="N659" s="837">
        <v>0</v>
      </c>
      <c r="O659" s="837">
        <f t="shared" si="275"/>
        <v>0</v>
      </c>
      <c r="P659" s="837">
        <f t="shared" si="276"/>
        <v>0</v>
      </c>
      <c r="Q659" s="1264"/>
      <c r="R659" s="1264"/>
      <c r="S659" s="1264"/>
      <c r="T659" s="1264"/>
      <c r="U659" s="1264"/>
      <c r="V659" s="1264"/>
      <c r="W659" s="1264"/>
      <c r="X659" s="1264"/>
      <c r="Y659" s="1264"/>
      <c r="Z659" s="1264"/>
    </row>
    <row r="660" spans="1:26" ht="18.75" hidden="1">
      <c r="A660" s="1260"/>
      <c r="B660" s="1265"/>
      <c r="C660" s="1261"/>
      <c r="D660" s="1262"/>
      <c r="E660" s="1261" t="s">
        <v>185</v>
      </c>
      <c r="F660" s="1261"/>
      <c r="G660" s="1263"/>
      <c r="H660" s="165" t="s">
        <v>12</v>
      </c>
      <c r="I660" s="836"/>
      <c r="J660" s="836"/>
      <c r="K660" s="837"/>
      <c r="L660" s="837">
        <f ca="1">IFERROR(__xludf.DUMMYFUNCTION("IMPORTRANGE(""https://docs.google.com/spreadsheets/d/1QqKyyYR6Q21VydFLVH3TRQUabQu_ym0Zz7PgGX0-kHA/edit?usp=sharing"",""แผน!HV17"")"),0)</f>
        <v>0</v>
      </c>
      <c r="M660" s="837">
        <v>0</v>
      </c>
      <c r="N660" s="837">
        <f>N661+N662+N663+N664</f>
        <v>0</v>
      </c>
      <c r="O660" s="837">
        <f t="shared" ca="1" si="275"/>
        <v>0</v>
      </c>
      <c r="P660" s="837">
        <f t="shared" si="276"/>
        <v>0</v>
      </c>
      <c r="Q660" s="1264"/>
      <c r="R660" s="1264"/>
      <c r="S660" s="1264"/>
      <c r="T660" s="1264"/>
      <c r="U660" s="1264"/>
      <c r="V660" s="1264"/>
      <c r="W660" s="1264"/>
      <c r="X660" s="1264"/>
      <c r="Y660" s="1264"/>
      <c r="Z660" s="1264"/>
    </row>
    <row r="661" spans="1:26" ht="18.75" hidden="1">
      <c r="A661" s="1241"/>
      <c r="B661" s="1242"/>
      <c r="C661" s="1243"/>
      <c r="D661" s="1243"/>
      <c r="E661" s="1243"/>
      <c r="F661" s="1243" t="s">
        <v>186</v>
      </c>
      <c r="G661" s="963"/>
      <c r="H661" s="778" t="s">
        <v>12</v>
      </c>
      <c r="I661" s="830"/>
      <c r="J661" s="830"/>
      <c r="K661" s="831"/>
      <c r="L661" s="831"/>
      <c r="M661" s="831"/>
      <c r="N661" s="1031">
        <v>0</v>
      </c>
      <c r="O661" s="831"/>
      <c r="P661" s="831"/>
      <c r="Q661" s="1244"/>
      <c r="R661" s="1244"/>
      <c r="S661" s="1244"/>
      <c r="T661" s="1244"/>
      <c r="U661" s="1244"/>
      <c r="V661" s="1244"/>
      <c r="W661" s="1244"/>
      <c r="X661" s="1244"/>
      <c r="Y661" s="1244"/>
      <c r="Z661" s="1244"/>
    </row>
    <row r="662" spans="1:26" ht="18.75" hidden="1">
      <c r="A662" s="1241"/>
      <c r="B662" s="1242"/>
      <c r="C662" s="1243"/>
      <c r="D662" s="1243"/>
      <c r="E662" s="1243"/>
      <c r="F662" s="1243" t="s">
        <v>187</v>
      </c>
      <c r="G662" s="963"/>
      <c r="H662" s="778" t="s">
        <v>12</v>
      </c>
      <c r="I662" s="830"/>
      <c r="J662" s="830"/>
      <c r="K662" s="831"/>
      <c r="L662" s="831"/>
      <c r="M662" s="831"/>
      <c r="N662" s="1031">
        <v>0</v>
      </c>
      <c r="O662" s="831"/>
      <c r="P662" s="831"/>
      <c r="Q662" s="1244"/>
      <c r="R662" s="1244"/>
      <c r="S662" s="1244"/>
      <c r="T662" s="1244"/>
      <c r="U662" s="1244"/>
      <c r="V662" s="1244"/>
      <c r="W662" s="1244"/>
      <c r="X662" s="1244"/>
      <c r="Y662" s="1244"/>
      <c r="Z662" s="1244"/>
    </row>
    <row r="663" spans="1:26" ht="18.75" hidden="1">
      <c r="A663" s="1241"/>
      <c r="B663" s="1242"/>
      <c r="C663" s="1242"/>
      <c r="D663" s="1243"/>
      <c r="E663" s="1243"/>
      <c r="F663" s="1243" t="s">
        <v>188</v>
      </c>
      <c r="G663" s="963"/>
      <c r="H663" s="778" t="s">
        <v>12</v>
      </c>
      <c r="I663" s="830"/>
      <c r="J663" s="830"/>
      <c r="K663" s="831"/>
      <c r="L663" s="831"/>
      <c r="M663" s="831"/>
      <c r="N663" s="1031">
        <v>0</v>
      </c>
      <c r="O663" s="831"/>
      <c r="P663" s="831"/>
      <c r="Q663" s="1244"/>
      <c r="R663" s="1244"/>
      <c r="S663" s="1244"/>
      <c r="T663" s="1244"/>
      <c r="U663" s="1244"/>
      <c r="V663" s="1244"/>
      <c r="W663" s="1244"/>
      <c r="X663" s="1244"/>
      <c r="Y663" s="1244"/>
      <c r="Z663" s="1244"/>
    </row>
    <row r="664" spans="1:26" ht="18.75" hidden="1">
      <c r="A664" s="1241"/>
      <c r="B664" s="1242"/>
      <c r="C664" s="1242"/>
      <c r="D664" s="1242"/>
      <c r="E664" s="1243"/>
      <c r="F664" s="1243" t="s">
        <v>189</v>
      </c>
      <c r="G664" s="963"/>
      <c r="H664" s="778" t="s">
        <v>12</v>
      </c>
      <c r="I664" s="830"/>
      <c r="J664" s="830"/>
      <c r="K664" s="831"/>
      <c r="L664" s="831"/>
      <c r="M664" s="831"/>
      <c r="N664" s="1031">
        <v>0</v>
      </c>
      <c r="O664" s="831"/>
      <c r="P664" s="831"/>
      <c r="Q664" s="1244"/>
      <c r="R664" s="1244"/>
      <c r="S664" s="1244"/>
      <c r="T664" s="1244"/>
      <c r="U664" s="1244"/>
      <c r="V664" s="1244"/>
      <c r="W664" s="1244"/>
      <c r="X664" s="1244"/>
      <c r="Y664" s="1244"/>
      <c r="Z664" s="1244"/>
    </row>
    <row r="665" spans="1:26" ht="18.75" hidden="1">
      <c r="A665" s="1259"/>
      <c r="B665" s="1242"/>
      <c r="C665" s="1242"/>
      <c r="D665" s="1266" t="s">
        <v>21</v>
      </c>
      <c r="E665" s="1243"/>
      <c r="F665" s="1243"/>
      <c r="G665" s="963"/>
      <c r="H665" s="168" t="s">
        <v>12</v>
      </c>
      <c r="I665" s="944"/>
      <c r="J665" s="944"/>
      <c r="K665" s="945"/>
      <c r="L665" s="831">
        <f t="shared" ref="L665:N665" si="279">L666+L667</f>
        <v>0</v>
      </c>
      <c r="M665" s="831">
        <f t="shared" si="279"/>
        <v>0</v>
      </c>
      <c r="N665" s="831">
        <f t="shared" si="279"/>
        <v>0</v>
      </c>
      <c r="O665" s="831">
        <f t="shared" ref="O665:O667" si="280">IF(L665&gt;0,N665*100/L665,0)</f>
        <v>0</v>
      </c>
      <c r="P665" s="831">
        <f t="shared" ref="P665:P667" si="281">IF(M665&gt;0,N665*100/M665,0)</f>
        <v>0</v>
      </c>
      <c r="Q665" s="1244"/>
      <c r="R665" s="1244"/>
      <c r="S665" s="1244"/>
      <c r="T665" s="1244"/>
      <c r="U665" s="1244"/>
      <c r="V665" s="1244"/>
      <c r="W665" s="1244"/>
      <c r="X665" s="1244"/>
      <c r="Y665" s="1244"/>
      <c r="Z665" s="1244"/>
    </row>
    <row r="666" spans="1:26" ht="18.75" hidden="1">
      <c r="A666" s="1260"/>
      <c r="B666" s="1265"/>
      <c r="C666" s="1265"/>
      <c r="D666" s="1265"/>
      <c r="E666" s="1261" t="s">
        <v>18</v>
      </c>
      <c r="F666" s="1261"/>
      <c r="G666" s="1263"/>
      <c r="H666" s="165" t="s">
        <v>12</v>
      </c>
      <c r="I666" s="947"/>
      <c r="J666" s="947"/>
      <c r="K666" s="948"/>
      <c r="L666" s="837">
        <v>0</v>
      </c>
      <c r="M666" s="837">
        <v>0</v>
      </c>
      <c r="N666" s="837">
        <v>0</v>
      </c>
      <c r="O666" s="837">
        <f t="shared" si="280"/>
        <v>0</v>
      </c>
      <c r="P666" s="837">
        <f t="shared" si="281"/>
        <v>0</v>
      </c>
      <c r="Q666" s="1264"/>
      <c r="R666" s="1264"/>
      <c r="S666" s="1264"/>
      <c r="T666" s="1264"/>
      <c r="U666" s="1264"/>
      <c r="V666" s="1264"/>
      <c r="W666" s="1264"/>
      <c r="X666" s="1264"/>
      <c r="Y666" s="1264"/>
      <c r="Z666" s="1264"/>
    </row>
    <row r="667" spans="1:26" ht="18.75" hidden="1">
      <c r="A667" s="1260"/>
      <c r="B667" s="1265"/>
      <c r="C667" s="1265"/>
      <c r="D667" s="1265"/>
      <c r="E667" s="1261" t="s">
        <v>19</v>
      </c>
      <c r="F667" s="1261"/>
      <c r="G667" s="1263"/>
      <c r="H667" s="169" t="s">
        <v>12</v>
      </c>
      <c r="I667" s="947"/>
      <c r="J667" s="947"/>
      <c r="K667" s="948"/>
      <c r="L667" s="837">
        <v>0</v>
      </c>
      <c r="M667" s="837">
        <v>0</v>
      </c>
      <c r="N667" s="837">
        <v>0</v>
      </c>
      <c r="O667" s="837">
        <f t="shared" si="280"/>
        <v>0</v>
      </c>
      <c r="P667" s="837">
        <f t="shared" si="281"/>
        <v>0</v>
      </c>
      <c r="Q667" s="1264"/>
      <c r="R667" s="1264"/>
      <c r="S667" s="1264"/>
      <c r="T667" s="1264"/>
      <c r="U667" s="1264"/>
      <c r="V667" s="1264"/>
      <c r="W667" s="1264"/>
      <c r="X667" s="1264"/>
      <c r="Y667" s="1264"/>
      <c r="Z667" s="1264"/>
    </row>
    <row r="668" spans="1:26" ht="19.5" hidden="1">
      <c r="A668" s="1267"/>
      <c r="B668" s="1268"/>
      <c r="C668" s="1242" t="s">
        <v>16</v>
      </c>
      <c r="D668" s="1269" t="s">
        <v>38</v>
      </c>
      <c r="E668" s="1271"/>
      <c r="F668" s="1271"/>
      <c r="G668" s="1272"/>
      <c r="H668" s="954"/>
      <c r="I668" s="944"/>
      <c r="J668" s="944"/>
      <c r="K668" s="945"/>
      <c r="L668" s="945"/>
      <c r="M668" s="945"/>
      <c r="N668" s="945"/>
      <c r="O668" s="945"/>
      <c r="P668" s="945"/>
      <c r="Q668" s="1244"/>
      <c r="R668" s="1244"/>
      <c r="S668" s="1244"/>
      <c r="T668" s="1244"/>
      <c r="U668" s="1244"/>
      <c r="V668" s="1244"/>
      <c r="W668" s="1244"/>
      <c r="X668" s="1244"/>
      <c r="Y668" s="1244"/>
      <c r="Z668" s="1244"/>
    </row>
    <row r="669" spans="1:26" ht="19.5" hidden="1">
      <c r="A669" s="1267"/>
      <c r="B669" s="1268"/>
      <c r="C669" s="1268"/>
      <c r="D669" s="1268" t="s">
        <v>280</v>
      </c>
      <c r="E669" s="961"/>
      <c r="F669" s="961"/>
      <c r="G669" s="954"/>
      <c r="H669" s="733" t="s">
        <v>46</v>
      </c>
      <c r="I669" s="966">
        <f ca="1">IFERROR(__xludf.DUMMYFUNCTION("IMPORTRANGE(""https://docs.google.com/spreadsheets/d/1QqKyyYR6Q21VydFLVH3TRQUabQu_ym0Zz7PgGX0-kHA/edit?usp=sharing"",""แผน!IA17"")"),0)</f>
        <v>0</v>
      </c>
      <c r="J669" s="966">
        <f>J675</f>
        <v>0</v>
      </c>
      <c r="K669" s="967">
        <f ca="1">IF(I669&gt;0,J669*100/I669,0)</f>
        <v>0</v>
      </c>
      <c r="L669" s="945"/>
      <c r="M669" s="945"/>
      <c r="N669" s="945"/>
      <c r="O669" s="945"/>
      <c r="P669" s="945"/>
      <c r="Q669" s="1244"/>
      <c r="R669" s="1244"/>
      <c r="S669" s="1244"/>
      <c r="T669" s="1244"/>
      <c r="U669" s="1244"/>
      <c r="V669" s="1244"/>
      <c r="W669" s="1244"/>
      <c r="X669" s="1244"/>
      <c r="Y669" s="1244"/>
      <c r="Z669" s="1244"/>
    </row>
    <row r="670" spans="1:26" ht="18.75" hidden="1">
      <c r="A670" s="1267"/>
      <c r="B670" s="1268"/>
      <c r="C670" s="1268"/>
      <c r="D670" s="1268"/>
      <c r="E670" s="961" t="s">
        <v>281</v>
      </c>
      <c r="F670" s="961"/>
      <c r="G670" s="954"/>
      <c r="H670" s="730" t="s">
        <v>66</v>
      </c>
      <c r="I670" s="830">
        <f ca="1">IFERROR(__xludf.DUMMYFUNCTION("IMPORTRANGE(""https://docs.google.com/spreadsheets/d/1QqKyyYR6Q21VydFLVH3TRQUabQu_ym0Zz7PgGX0-kHA/edit?usp=sharing"",""แผน!HZ17"")"),0)</f>
        <v>0</v>
      </c>
      <c r="J670" s="959">
        <v>0</v>
      </c>
      <c r="K670" s="831">
        <f ca="1">IF(I670&gt;0,(J670*100)/I670,0)</f>
        <v>0</v>
      </c>
      <c r="L670" s="945"/>
      <c r="M670" s="945"/>
      <c r="N670" s="945"/>
      <c r="O670" s="945"/>
      <c r="P670" s="945"/>
      <c r="Q670" s="1244"/>
      <c r="R670" s="1244"/>
      <c r="S670" s="1244"/>
      <c r="T670" s="1244"/>
      <c r="U670" s="1244"/>
      <c r="V670" s="1244"/>
      <c r="W670" s="1244"/>
      <c r="X670" s="1244"/>
      <c r="Y670" s="1244"/>
      <c r="Z670" s="1244"/>
    </row>
    <row r="671" spans="1:26" ht="18.75" hidden="1">
      <c r="A671" s="1267"/>
      <c r="B671" s="1268"/>
      <c r="C671" s="1268"/>
      <c r="D671" s="1268"/>
      <c r="E671" s="961" t="s">
        <v>282</v>
      </c>
      <c r="F671" s="961"/>
      <c r="G671" s="954"/>
      <c r="H671" s="730" t="s">
        <v>66</v>
      </c>
      <c r="I671" s="830">
        <f ca="1">IFERROR(__xludf.DUMMYFUNCTION("IMPORTRANGE(""https://docs.google.com/spreadsheets/d/1QqKyyYR6Q21VydFLVH3TRQUabQu_ym0Zz7PgGX0-kHA/edit?usp=sharing"",""แผน!HZ17"")"),0)</f>
        <v>0</v>
      </c>
      <c r="J671" s="959">
        <v>0</v>
      </c>
      <c r="K671" s="831">
        <f ca="1">IF(I$671&gt;0,J671*100/I$671,0)</f>
        <v>0</v>
      </c>
      <c r="L671" s="945"/>
      <c r="M671" s="945"/>
      <c r="N671" s="945"/>
      <c r="O671" s="945"/>
      <c r="P671" s="945"/>
      <c r="Q671" s="1244"/>
      <c r="R671" s="1244"/>
      <c r="S671" s="1244"/>
      <c r="T671" s="1244"/>
      <c r="U671" s="1244"/>
      <c r="V671" s="1244"/>
      <c r="W671" s="1244"/>
      <c r="X671" s="1244"/>
      <c r="Y671" s="1244"/>
      <c r="Z671" s="1244"/>
    </row>
    <row r="672" spans="1:26" ht="18.75" hidden="1">
      <c r="A672" s="1267"/>
      <c r="B672" s="1268"/>
      <c r="C672" s="1268"/>
      <c r="D672" s="1268"/>
      <c r="E672" s="961" t="s">
        <v>283</v>
      </c>
      <c r="F672" s="961"/>
      <c r="G672" s="954"/>
      <c r="H672" s="730" t="s">
        <v>46</v>
      </c>
      <c r="I672" s="830"/>
      <c r="J672" s="959">
        <v>0</v>
      </c>
      <c r="K672" s="831">
        <f t="shared" ref="K672:K675" ca="1" si="282">IF(I$669&gt;0,J672*100/I$669,0)</f>
        <v>0</v>
      </c>
      <c r="L672" s="945"/>
      <c r="M672" s="945"/>
      <c r="N672" s="945"/>
      <c r="O672" s="945"/>
      <c r="P672" s="945"/>
      <c r="Q672" s="1244"/>
      <c r="R672" s="1244"/>
      <c r="S672" s="1244"/>
      <c r="T672" s="1244"/>
      <c r="U672" s="1244"/>
      <c r="V672" s="1244"/>
      <c r="W672" s="1244"/>
      <c r="X672" s="1244"/>
      <c r="Y672" s="1244"/>
      <c r="Z672" s="1244"/>
    </row>
    <row r="673" spans="1:26" ht="18.75" hidden="1">
      <c r="A673" s="1267"/>
      <c r="B673" s="1268"/>
      <c r="C673" s="1268"/>
      <c r="D673" s="1268"/>
      <c r="E673" s="961" t="s">
        <v>284</v>
      </c>
      <c r="F673" s="961"/>
      <c r="G673" s="954"/>
      <c r="H673" s="730" t="s">
        <v>46</v>
      </c>
      <c r="I673" s="830"/>
      <c r="J673" s="959">
        <v>0</v>
      </c>
      <c r="K673" s="831">
        <f t="shared" ca="1" si="282"/>
        <v>0</v>
      </c>
      <c r="L673" s="945"/>
      <c r="M673" s="945"/>
      <c r="N673" s="945"/>
      <c r="O673" s="945"/>
      <c r="P673" s="945"/>
      <c r="Q673" s="1244"/>
      <c r="R673" s="1244"/>
      <c r="S673" s="1244"/>
      <c r="T673" s="1244"/>
      <c r="U673" s="1244"/>
      <c r="V673" s="1244"/>
      <c r="W673" s="1244"/>
      <c r="X673" s="1244"/>
      <c r="Y673" s="1244"/>
      <c r="Z673" s="1244"/>
    </row>
    <row r="674" spans="1:26" ht="18.75" hidden="1">
      <c r="A674" s="1267"/>
      <c r="B674" s="1268"/>
      <c r="C674" s="1268"/>
      <c r="D674" s="1268"/>
      <c r="E674" s="961" t="s">
        <v>285</v>
      </c>
      <c r="F674" s="961"/>
      <c r="G674" s="954"/>
      <c r="H674" s="730" t="s">
        <v>46</v>
      </c>
      <c r="I674" s="830"/>
      <c r="J674" s="959">
        <v>0</v>
      </c>
      <c r="K674" s="831">
        <f t="shared" ca="1" si="282"/>
        <v>0</v>
      </c>
      <c r="L674" s="945"/>
      <c r="M674" s="945"/>
      <c r="N674" s="945"/>
      <c r="O674" s="945"/>
      <c r="P674" s="945"/>
      <c r="Q674" s="1244"/>
      <c r="R674" s="1244"/>
      <c r="S674" s="1244"/>
      <c r="T674" s="1244"/>
      <c r="U674" s="1244"/>
      <c r="V674" s="1244"/>
      <c r="W674" s="1244"/>
      <c r="X674" s="1244"/>
      <c r="Y674" s="1244"/>
      <c r="Z674" s="1244"/>
    </row>
    <row r="675" spans="1:26" ht="19.5" hidden="1">
      <c r="A675" s="1267"/>
      <c r="B675" s="1268"/>
      <c r="C675" s="1268"/>
      <c r="D675" s="1268"/>
      <c r="E675" s="961" t="s">
        <v>286</v>
      </c>
      <c r="F675" s="961"/>
      <c r="G675" s="954"/>
      <c r="H675" s="730" t="s">
        <v>46</v>
      </c>
      <c r="I675" s="830"/>
      <c r="J675" s="966">
        <f>J676+J677</f>
        <v>0</v>
      </c>
      <c r="K675" s="967">
        <f t="shared" ca="1" si="282"/>
        <v>0</v>
      </c>
      <c r="L675" s="945"/>
      <c r="M675" s="945"/>
      <c r="N675" s="945"/>
      <c r="O675" s="945"/>
      <c r="P675" s="945"/>
      <c r="Q675" s="1244"/>
      <c r="R675" s="1244"/>
      <c r="S675" s="1244"/>
      <c r="T675" s="1244"/>
      <c r="U675" s="1244"/>
      <c r="V675" s="1244"/>
      <c r="W675" s="1244"/>
      <c r="X675" s="1244"/>
      <c r="Y675" s="1244"/>
      <c r="Z675" s="1244"/>
    </row>
    <row r="676" spans="1:26" ht="18.75" hidden="1">
      <c r="A676" s="1267"/>
      <c r="B676" s="1268"/>
      <c r="C676" s="1268"/>
      <c r="D676" s="1268"/>
      <c r="E676" s="961"/>
      <c r="F676" s="961" t="s">
        <v>287</v>
      </c>
      <c r="G676" s="954"/>
      <c r="H676" s="730" t="s">
        <v>46</v>
      </c>
      <c r="I676" s="830"/>
      <c r="J676" s="959">
        <v>0</v>
      </c>
      <c r="K676" s="831"/>
      <c r="L676" s="945"/>
      <c r="M676" s="945"/>
      <c r="N676" s="945"/>
      <c r="O676" s="945"/>
      <c r="P676" s="945"/>
      <c r="Q676" s="1244"/>
      <c r="R676" s="1244"/>
      <c r="S676" s="1244"/>
      <c r="T676" s="1244"/>
      <c r="U676" s="1244"/>
      <c r="V676" s="1244"/>
      <c r="W676" s="1244"/>
      <c r="X676" s="1244"/>
      <c r="Y676" s="1244"/>
      <c r="Z676" s="1244"/>
    </row>
    <row r="677" spans="1:26" ht="18.75" hidden="1">
      <c r="A677" s="1267"/>
      <c r="B677" s="1268"/>
      <c r="C677" s="1268"/>
      <c r="D677" s="1268"/>
      <c r="E677" s="961"/>
      <c r="F677" s="961" t="s">
        <v>288</v>
      </c>
      <c r="G677" s="954"/>
      <c r="H677" s="730" t="s">
        <v>46</v>
      </c>
      <c r="I677" s="830"/>
      <c r="J677" s="959">
        <v>0</v>
      </c>
      <c r="K677" s="831"/>
      <c r="L677" s="945"/>
      <c r="M677" s="945"/>
      <c r="N677" s="945"/>
      <c r="O677" s="945"/>
      <c r="P677" s="945"/>
      <c r="Q677" s="1244"/>
      <c r="R677" s="1244"/>
      <c r="S677" s="1244"/>
      <c r="T677" s="1244"/>
      <c r="U677" s="1244"/>
      <c r="V677" s="1244"/>
      <c r="W677" s="1244"/>
      <c r="X677" s="1244"/>
      <c r="Y677" s="1244"/>
      <c r="Z677" s="1244"/>
    </row>
    <row r="678" spans="1:26" ht="19.5" hidden="1">
      <c r="A678" s="1267"/>
      <c r="B678" s="1268"/>
      <c r="C678" s="1268"/>
      <c r="D678" s="1268" t="s">
        <v>289</v>
      </c>
      <c r="E678" s="961"/>
      <c r="F678" s="961"/>
      <c r="G678" s="954"/>
      <c r="H678" s="730" t="s">
        <v>46</v>
      </c>
      <c r="I678" s="966">
        <f ca="1">IFERROR(__xludf.DUMMYFUNCTION("IMPORTRANGE(""https://docs.google.com/spreadsheets/d/1QqKyyYR6Q21VydFLVH3TRQUabQu_ym0Zz7PgGX0-kHA/edit?usp=sharing"",""แผน!IB17"")"),0)</f>
        <v>0</v>
      </c>
      <c r="J678" s="966">
        <f>J679</f>
        <v>0</v>
      </c>
      <c r="K678" s="967">
        <f ca="1">IF(I678&gt;0,J678*100/I678,0)</f>
        <v>0</v>
      </c>
      <c r="L678" s="945"/>
      <c r="M678" s="945"/>
      <c r="N678" s="945"/>
      <c r="O678" s="945"/>
      <c r="P678" s="945"/>
      <c r="Q678" s="1244"/>
      <c r="R678" s="1244"/>
      <c r="S678" s="1244"/>
      <c r="T678" s="1244"/>
      <c r="U678" s="1244"/>
      <c r="V678" s="1244"/>
      <c r="W678" s="1244"/>
      <c r="X678" s="1244"/>
      <c r="Y678" s="1244"/>
      <c r="Z678" s="1244"/>
    </row>
    <row r="679" spans="1:26" ht="18.75" hidden="1">
      <c r="A679" s="1267"/>
      <c r="B679" s="1268"/>
      <c r="C679" s="1268"/>
      <c r="D679" s="1268"/>
      <c r="E679" s="961" t="s">
        <v>290</v>
      </c>
      <c r="F679" s="961"/>
      <c r="G679" s="954"/>
      <c r="H679" s="730" t="s">
        <v>46</v>
      </c>
      <c r="I679" s="830"/>
      <c r="J679" s="830">
        <f>J680+J681</f>
        <v>0</v>
      </c>
      <c r="K679" s="831"/>
      <c r="L679" s="945"/>
      <c r="M679" s="945"/>
      <c r="N679" s="945"/>
      <c r="O679" s="945"/>
      <c r="P679" s="945"/>
      <c r="Q679" s="1244"/>
      <c r="R679" s="1244"/>
      <c r="S679" s="1244"/>
      <c r="T679" s="1244"/>
      <c r="U679" s="1244"/>
      <c r="V679" s="1244"/>
      <c r="W679" s="1244"/>
      <c r="X679" s="1244"/>
      <c r="Y679" s="1244"/>
      <c r="Z679" s="1244"/>
    </row>
    <row r="680" spans="1:26" ht="18.75" hidden="1">
      <c r="A680" s="1267"/>
      <c r="B680" s="1268"/>
      <c r="C680" s="1268"/>
      <c r="D680" s="1268"/>
      <c r="E680" s="961"/>
      <c r="F680" s="961" t="s">
        <v>287</v>
      </c>
      <c r="G680" s="954"/>
      <c r="H680" s="730" t="s">
        <v>46</v>
      </c>
      <c r="I680" s="830"/>
      <c r="J680" s="959">
        <v>0</v>
      </c>
      <c r="K680" s="831"/>
      <c r="L680" s="945"/>
      <c r="M680" s="945"/>
      <c r="N680" s="945"/>
      <c r="O680" s="945"/>
      <c r="P680" s="945"/>
      <c r="Q680" s="1244"/>
      <c r="R680" s="1244"/>
      <c r="S680" s="1244"/>
      <c r="T680" s="1244"/>
      <c r="U680" s="1244"/>
      <c r="V680" s="1244"/>
      <c r="W680" s="1244"/>
      <c r="X680" s="1244"/>
      <c r="Y680" s="1244"/>
      <c r="Z680" s="1244"/>
    </row>
    <row r="681" spans="1:26" ht="18.75" hidden="1">
      <c r="A681" s="1267"/>
      <c r="B681" s="1268"/>
      <c r="C681" s="1268"/>
      <c r="D681" s="1268"/>
      <c r="E681" s="961"/>
      <c r="F681" s="961" t="s">
        <v>288</v>
      </c>
      <c r="G681" s="954"/>
      <c r="H681" s="730" t="s">
        <v>46</v>
      </c>
      <c r="I681" s="830"/>
      <c r="J681" s="959">
        <v>0</v>
      </c>
      <c r="K681" s="831"/>
      <c r="L681" s="945"/>
      <c r="M681" s="945"/>
      <c r="N681" s="945"/>
      <c r="O681" s="945"/>
      <c r="P681" s="945"/>
      <c r="Q681" s="1244"/>
      <c r="R681" s="1244"/>
      <c r="S681" s="1244"/>
      <c r="T681" s="1244"/>
      <c r="U681" s="1244"/>
      <c r="V681" s="1244"/>
      <c r="W681" s="1244"/>
      <c r="X681" s="1244"/>
      <c r="Y681" s="1244"/>
      <c r="Z681" s="1244"/>
    </row>
    <row r="682" spans="1:26" ht="18.75" hidden="1">
      <c r="A682" s="1267"/>
      <c r="B682" s="1268"/>
      <c r="C682" s="1268"/>
      <c r="D682" s="1268"/>
      <c r="E682" s="961" t="s">
        <v>291</v>
      </c>
      <c r="F682" s="961"/>
      <c r="G682" s="954"/>
      <c r="H682" s="730" t="s">
        <v>46</v>
      </c>
      <c r="I682" s="830"/>
      <c r="J682" s="959">
        <v>0</v>
      </c>
      <c r="K682" s="831"/>
      <c r="L682" s="945"/>
      <c r="M682" s="945"/>
      <c r="N682" s="945"/>
      <c r="O682" s="945"/>
      <c r="P682" s="945"/>
      <c r="Q682" s="1244"/>
      <c r="R682" s="1244"/>
      <c r="S682" s="1244"/>
      <c r="T682" s="1244"/>
      <c r="U682" s="1244"/>
      <c r="V682" s="1244"/>
      <c r="W682" s="1244"/>
      <c r="X682" s="1244"/>
      <c r="Y682" s="1244"/>
      <c r="Z682" s="1244"/>
    </row>
    <row r="683" spans="1:26" ht="18.75" hidden="1">
      <c r="A683" s="1267"/>
      <c r="B683" s="1268"/>
      <c r="C683" s="1268"/>
      <c r="D683" s="1268"/>
      <c r="E683" s="961"/>
      <c r="F683" s="961" t="s">
        <v>292</v>
      </c>
      <c r="G683" s="954"/>
      <c r="H683" s="730" t="s">
        <v>46</v>
      </c>
      <c r="I683" s="830"/>
      <c r="J683" s="959">
        <v>0</v>
      </c>
      <c r="K683" s="831"/>
      <c r="L683" s="945"/>
      <c r="M683" s="945"/>
      <c r="N683" s="945"/>
      <c r="O683" s="945"/>
      <c r="P683" s="945"/>
      <c r="Q683" s="1244"/>
      <c r="R683" s="1244"/>
      <c r="S683" s="1244"/>
      <c r="T683" s="1244"/>
      <c r="U683" s="1244"/>
      <c r="V683" s="1244"/>
      <c r="W683" s="1244"/>
      <c r="X683" s="1244"/>
      <c r="Y683" s="1244"/>
      <c r="Z683" s="1244"/>
    </row>
    <row r="684" spans="1:26" ht="19.5" hidden="1">
      <c r="A684" s="1373"/>
      <c r="B684" s="1374" t="s">
        <v>293</v>
      </c>
      <c r="C684" s="1373"/>
      <c r="D684" s="1373"/>
      <c r="E684" s="1373"/>
      <c r="F684" s="1373"/>
      <c r="G684" s="1375"/>
      <c r="H684" s="1375"/>
      <c r="I684" s="1376"/>
      <c r="J684" s="1376"/>
      <c r="K684" s="1377"/>
      <c r="L684" s="1377"/>
      <c r="M684" s="1377"/>
      <c r="N684" s="1377"/>
      <c r="O684" s="1377"/>
      <c r="P684" s="1377"/>
      <c r="Q684" s="1244"/>
      <c r="R684" s="1244"/>
      <c r="S684" s="1244"/>
      <c r="T684" s="1244"/>
      <c r="U684" s="1244"/>
      <c r="V684" s="1244"/>
      <c r="W684" s="1244"/>
      <c r="X684" s="1244"/>
      <c r="Y684" s="1244"/>
      <c r="Z684" s="1244"/>
    </row>
    <row r="685" spans="1:26" ht="19.5" hidden="1">
      <c r="A685" s="1259"/>
      <c r="B685" s="1243"/>
      <c r="C685" s="1243" t="s">
        <v>16</v>
      </c>
      <c r="D685" s="1507" t="s">
        <v>17</v>
      </c>
      <c r="E685" s="1485"/>
      <c r="F685" s="1485"/>
      <c r="G685" s="963"/>
      <c r="H685" s="563" t="s">
        <v>12</v>
      </c>
      <c r="I685" s="830"/>
      <c r="J685" s="830"/>
      <c r="K685" s="831"/>
      <c r="L685" s="967">
        <f t="shared" ref="L685:N685" ca="1" si="283">L686+L687</f>
        <v>0</v>
      </c>
      <c r="M685" s="967">
        <f t="shared" si="283"/>
        <v>0</v>
      </c>
      <c r="N685" s="967">
        <f t="shared" si="283"/>
        <v>0</v>
      </c>
      <c r="O685" s="967">
        <f t="shared" ref="O685:O688" ca="1" si="284">IF(L685&gt;0,N685*100/L685,0)</f>
        <v>0</v>
      </c>
      <c r="P685" s="967">
        <f t="shared" ref="P685:P688" si="285">IF(M685&gt;0,N685*100/M685,0)</f>
        <v>0</v>
      </c>
      <c r="Q685" s="1244"/>
      <c r="R685" s="1244"/>
      <c r="S685" s="1244"/>
      <c r="T685" s="1244"/>
      <c r="U685" s="1244"/>
      <c r="V685" s="1244"/>
      <c r="W685" s="1244"/>
      <c r="X685" s="1244"/>
      <c r="Y685" s="1244"/>
      <c r="Z685" s="1244"/>
    </row>
    <row r="686" spans="1:26" ht="18.75" hidden="1">
      <c r="A686" s="1260"/>
      <c r="B686" s="1261"/>
      <c r="C686" s="1261"/>
      <c r="D686" s="1262"/>
      <c r="E686" s="1261" t="s">
        <v>184</v>
      </c>
      <c r="F686" s="1261"/>
      <c r="G686" s="1263"/>
      <c r="H686" s="165" t="s">
        <v>12</v>
      </c>
      <c r="I686" s="836"/>
      <c r="J686" s="836"/>
      <c r="K686" s="837"/>
      <c r="L686" s="837">
        <f t="shared" ref="L686:N687" si="286">L689+L696</f>
        <v>0</v>
      </c>
      <c r="M686" s="837">
        <f t="shared" si="286"/>
        <v>0</v>
      </c>
      <c r="N686" s="837">
        <f t="shared" si="286"/>
        <v>0</v>
      </c>
      <c r="O686" s="837">
        <f t="shared" si="284"/>
        <v>0</v>
      </c>
      <c r="P686" s="837">
        <f t="shared" si="285"/>
        <v>0</v>
      </c>
      <c r="Q686" s="1264"/>
      <c r="R686" s="1264"/>
      <c r="S686" s="1264"/>
      <c r="T686" s="1264"/>
      <c r="U686" s="1264"/>
      <c r="V686" s="1264"/>
      <c r="W686" s="1264"/>
      <c r="X686" s="1264"/>
      <c r="Y686" s="1264"/>
      <c r="Z686" s="1264"/>
    </row>
    <row r="687" spans="1:26" ht="18.75" hidden="1">
      <c r="A687" s="1260"/>
      <c r="B687" s="1265"/>
      <c r="C687" s="1261"/>
      <c r="D687" s="1262"/>
      <c r="E687" s="1261" t="s">
        <v>185</v>
      </c>
      <c r="F687" s="1261"/>
      <c r="G687" s="1263"/>
      <c r="H687" s="165" t="s">
        <v>12</v>
      </c>
      <c r="I687" s="836"/>
      <c r="J687" s="836"/>
      <c r="K687" s="837"/>
      <c r="L687" s="837">
        <f t="shared" ca="1" si="286"/>
        <v>0</v>
      </c>
      <c r="M687" s="837">
        <f t="shared" si="286"/>
        <v>0</v>
      </c>
      <c r="N687" s="837">
        <f t="shared" si="286"/>
        <v>0</v>
      </c>
      <c r="O687" s="837">
        <f t="shared" ca="1" si="284"/>
        <v>0</v>
      </c>
      <c r="P687" s="837">
        <f t="shared" si="285"/>
        <v>0</v>
      </c>
      <c r="Q687" s="1264"/>
      <c r="R687" s="1264"/>
      <c r="S687" s="1264"/>
      <c r="T687" s="1264"/>
      <c r="U687" s="1264"/>
      <c r="V687" s="1264"/>
      <c r="W687" s="1264"/>
      <c r="X687" s="1264"/>
      <c r="Y687" s="1264"/>
      <c r="Z687" s="1264"/>
    </row>
    <row r="688" spans="1:26" ht="18.75" hidden="1">
      <c r="A688" s="1259"/>
      <c r="B688" s="1242"/>
      <c r="C688" s="1243"/>
      <c r="D688" s="1266" t="s">
        <v>20</v>
      </c>
      <c r="E688" s="1243"/>
      <c r="F688" s="1243"/>
      <c r="G688" s="963"/>
      <c r="H688" s="778" t="s">
        <v>12</v>
      </c>
      <c r="I688" s="944"/>
      <c r="J688" s="944"/>
      <c r="K688" s="945"/>
      <c r="L688" s="831">
        <f t="shared" ref="L688:N688" ca="1" si="287">L689+L690</f>
        <v>0</v>
      </c>
      <c r="M688" s="831">
        <f t="shared" si="287"/>
        <v>0</v>
      </c>
      <c r="N688" s="831">
        <f t="shared" si="287"/>
        <v>0</v>
      </c>
      <c r="O688" s="831">
        <f t="shared" ca="1" si="284"/>
        <v>0</v>
      </c>
      <c r="P688" s="831">
        <f t="shared" si="285"/>
        <v>0</v>
      </c>
      <c r="Q688" s="1244"/>
      <c r="R688" s="1244"/>
      <c r="S688" s="1244"/>
      <c r="T688" s="1244"/>
      <c r="U688" s="1244"/>
      <c r="V688" s="1244"/>
      <c r="W688" s="1244"/>
      <c r="X688" s="1244"/>
      <c r="Y688" s="1244"/>
      <c r="Z688" s="1244"/>
    </row>
    <row r="689" spans="1:26" ht="18.75" hidden="1">
      <c r="A689" s="1260"/>
      <c r="B689" s="1265"/>
      <c r="C689" s="1261"/>
      <c r="D689" s="1262"/>
      <c r="E689" s="1261" t="s">
        <v>184</v>
      </c>
      <c r="F689" s="1261"/>
      <c r="G689" s="1263"/>
      <c r="H689" s="165" t="s">
        <v>12</v>
      </c>
      <c r="I689" s="836"/>
      <c r="J689" s="836"/>
      <c r="K689" s="837"/>
      <c r="L689" s="837">
        <v>0</v>
      </c>
      <c r="M689" s="837">
        <v>0</v>
      </c>
      <c r="N689" s="837">
        <v>0</v>
      </c>
      <c r="O689" s="837"/>
      <c r="P689" s="837"/>
      <c r="Q689" s="1264"/>
      <c r="R689" s="1264"/>
      <c r="S689" s="1264"/>
      <c r="T689" s="1264"/>
      <c r="U689" s="1264"/>
      <c r="V689" s="1264"/>
      <c r="W689" s="1264"/>
      <c r="X689" s="1264"/>
      <c r="Y689" s="1264"/>
      <c r="Z689" s="1264"/>
    </row>
    <row r="690" spans="1:26" ht="18.75" hidden="1">
      <c r="A690" s="1260"/>
      <c r="B690" s="1265"/>
      <c r="C690" s="1261"/>
      <c r="D690" s="1262"/>
      <c r="E690" s="1261" t="s">
        <v>185</v>
      </c>
      <c r="F690" s="1261"/>
      <c r="G690" s="1263"/>
      <c r="H690" s="165" t="s">
        <v>12</v>
      </c>
      <c r="I690" s="836"/>
      <c r="J690" s="836"/>
      <c r="K690" s="837"/>
      <c r="L690" s="837">
        <f ca="1">IFERROR(__xludf.DUMMYFUNCTION("IMPORTRANGE(""https://docs.google.com/spreadsheets/d/1QqKyyYR6Q21VydFLVH3TRQUabQu_ym0Zz7PgGX0-kHA/edit?usp=sharing"",""แผน!HW17"")"),0)</f>
        <v>0</v>
      </c>
      <c r="M690" s="837">
        <v>0</v>
      </c>
      <c r="N690" s="837">
        <f>N691+N692+N693+N694</f>
        <v>0</v>
      </c>
      <c r="O690" s="837">
        <f ca="1">IF(L690&gt;0,N690*100/L690,0)</f>
        <v>0</v>
      </c>
      <c r="P690" s="837">
        <f>IF(M690&gt;0,N690*100/M690,0)</f>
        <v>0</v>
      </c>
      <c r="Q690" s="1264"/>
      <c r="R690" s="1264"/>
      <c r="S690" s="1264"/>
      <c r="T690" s="1264"/>
      <c r="U690" s="1264"/>
      <c r="V690" s="1264"/>
      <c r="W690" s="1264"/>
      <c r="X690" s="1264"/>
      <c r="Y690" s="1264"/>
      <c r="Z690" s="1264"/>
    </row>
    <row r="691" spans="1:26" ht="18.75" hidden="1">
      <c r="A691" s="1241"/>
      <c r="B691" s="1242"/>
      <c r="C691" s="1243"/>
      <c r="D691" s="1243"/>
      <c r="E691" s="1243"/>
      <c r="F691" s="1243" t="s">
        <v>186</v>
      </c>
      <c r="G691" s="963"/>
      <c r="H691" s="778" t="s">
        <v>12</v>
      </c>
      <c r="I691" s="830"/>
      <c r="J691" s="830"/>
      <c r="K691" s="831"/>
      <c r="L691" s="831"/>
      <c r="M691" s="831"/>
      <c r="N691" s="1031">
        <v>0</v>
      </c>
      <c r="O691" s="831"/>
      <c r="P691" s="831"/>
      <c r="Q691" s="1244"/>
      <c r="R691" s="1244"/>
      <c r="S691" s="1244"/>
      <c r="T691" s="1244"/>
      <c r="U691" s="1244"/>
      <c r="V691" s="1244"/>
      <c r="W691" s="1244"/>
      <c r="X691" s="1244"/>
      <c r="Y691" s="1244"/>
      <c r="Z691" s="1244"/>
    </row>
    <row r="692" spans="1:26" ht="18.75" hidden="1">
      <c r="A692" s="1241"/>
      <c r="B692" s="1242"/>
      <c r="C692" s="1243"/>
      <c r="D692" s="1243"/>
      <c r="E692" s="1243"/>
      <c r="F692" s="1243" t="s">
        <v>187</v>
      </c>
      <c r="G692" s="963"/>
      <c r="H692" s="778" t="s">
        <v>12</v>
      </c>
      <c r="I692" s="830"/>
      <c r="J692" s="830"/>
      <c r="K692" s="831"/>
      <c r="L692" s="831"/>
      <c r="M692" s="831"/>
      <c r="N692" s="1031">
        <v>0</v>
      </c>
      <c r="O692" s="831"/>
      <c r="P692" s="831"/>
      <c r="Q692" s="1244"/>
      <c r="R692" s="1244"/>
      <c r="S692" s="1244"/>
      <c r="T692" s="1244"/>
      <c r="U692" s="1244"/>
      <c r="V692" s="1244"/>
      <c r="W692" s="1244"/>
      <c r="X692" s="1244"/>
      <c r="Y692" s="1244"/>
      <c r="Z692" s="1244"/>
    </row>
    <row r="693" spans="1:26" ht="18.75" hidden="1">
      <c r="A693" s="1241"/>
      <c r="B693" s="1242"/>
      <c r="C693" s="1243"/>
      <c r="D693" s="1243"/>
      <c r="E693" s="1243"/>
      <c r="F693" s="1243" t="s">
        <v>188</v>
      </c>
      <c r="G693" s="963"/>
      <c r="H693" s="778" t="s">
        <v>12</v>
      </c>
      <c r="I693" s="830"/>
      <c r="J693" s="830"/>
      <c r="K693" s="831"/>
      <c r="L693" s="831"/>
      <c r="M693" s="831"/>
      <c r="N693" s="1031">
        <v>0</v>
      </c>
      <c r="O693" s="831"/>
      <c r="P693" s="831"/>
      <c r="Q693" s="1244"/>
      <c r="R693" s="1244"/>
      <c r="S693" s="1244"/>
      <c r="T693" s="1244"/>
      <c r="U693" s="1244"/>
      <c r="V693" s="1244"/>
      <c r="W693" s="1244"/>
      <c r="X693" s="1244"/>
      <c r="Y693" s="1244"/>
      <c r="Z693" s="1244"/>
    </row>
    <row r="694" spans="1:26" ht="18.75" hidden="1">
      <c r="A694" s="1241"/>
      <c r="B694" s="1242"/>
      <c r="C694" s="1243"/>
      <c r="D694" s="1243"/>
      <c r="E694" s="1243"/>
      <c r="F694" s="1243" t="s">
        <v>189</v>
      </c>
      <c r="G694" s="963"/>
      <c r="H694" s="778" t="s">
        <v>12</v>
      </c>
      <c r="I694" s="830"/>
      <c r="J694" s="830"/>
      <c r="K694" s="831"/>
      <c r="L694" s="831"/>
      <c r="M694" s="831"/>
      <c r="N694" s="1031">
        <v>0</v>
      </c>
      <c r="O694" s="831"/>
      <c r="P694" s="831"/>
      <c r="Q694" s="1244"/>
      <c r="R694" s="1244"/>
      <c r="S694" s="1244"/>
      <c r="T694" s="1244"/>
      <c r="U694" s="1244"/>
      <c r="V694" s="1244"/>
      <c r="W694" s="1244"/>
      <c r="X694" s="1244"/>
      <c r="Y694" s="1244"/>
      <c r="Z694" s="1244"/>
    </row>
    <row r="695" spans="1:26" ht="18.75" hidden="1">
      <c r="A695" s="1259"/>
      <c r="B695" s="1242"/>
      <c r="C695" s="1243"/>
      <c r="D695" s="1266" t="s">
        <v>21</v>
      </c>
      <c r="E695" s="1243"/>
      <c r="F695" s="1243"/>
      <c r="G695" s="963"/>
      <c r="H695" s="168" t="s">
        <v>12</v>
      </c>
      <c r="I695" s="944"/>
      <c r="J695" s="944"/>
      <c r="K695" s="945"/>
      <c r="L695" s="831">
        <f t="shared" ref="L695:N695" si="288">L696+L697</f>
        <v>0</v>
      </c>
      <c r="M695" s="831">
        <f t="shared" si="288"/>
        <v>0</v>
      </c>
      <c r="N695" s="831">
        <f t="shared" si="288"/>
        <v>0</v>
      </c>
      <c r="O695" s="831">
        <f t="shared" ref="O695:O697" si="289">IF(L695&gt;0,N695*100/L695,0)</f>
        <v>0</v>
      </c>
      <c r="P695" s="831">
        <f t="shared" ref="P695:P697" si="290">IF(M695&gt;0,N695*100/M695,0)</f>
        <v>0</v>
      </c>
      <c r="Q695" s="1244"/>
      <c r="R695" s="1244"/>
      <c r="S695" s="1244"/>
      <c r="T695" s="1244"/>
      <c r="U695" s="1244"/>
      <c r="V695" s="1244"/>
      <c r="W695" s="1244"/>
      <c r="X695" s="1244"/>
      <c r="Y695" s="1244"/>
      <c r="Z695" s="1244"/>
    </row>
    <row r="696" spans="1:26" ht="18.75" hidden="1">
      <c r="A696" s="1260"/>
      <c r="B696" s="1265"/>
      <c r="C696" s="1261"/>
      <c r="D696" s="1261"/>
      <c r="E696" s="1261" t="s">
        <v>18</v>
      </c>
      <c r="F696" s="1261"/>
      <c r="G696" s="1263"/>
      <c r="H696" s="165" t="s">
        <v>12</v>
      </c>
      <c r="I696" s="947"/>
      <c r="J696" s="947"/>
      <c r="K696" s="948"/>
      <c r="L696" s="837">
        <v>0</v>
      </c>
      <c r="M696" s="837">
        <v>0</v>
      </c>
      <c r="N696" s="837">
        <v>0</v>
      </c>
      <c r="O696" s="837">
        <f t="shared" si="289"/>
        <v>0</v>
      </c>
      <c r="P696" s="837">
        <f t="shared" si="290"/>
        <v>0</v>
      </c>
      <c r="Q696" s="1264"/>
      <c r="R696" s="1264"/>
      <c r="S696" s="1264"/>
      <c r="T696" s="1264"/>
      <c r="U696" s="1264"/>
      <c r="V696" s="1264"/>
      <c r="W696" s="1264"/>
      <c r="X696" s="1264"/>
      <c r="Y696" s="1264"/>
      <c r="Z696" s="1264"/>
    </row>
    <row r="697" spans="1:26" ht="18.75" hidden="1">
      <c r="A697" s="1260"/>
      <c r="B697" s="1265"/>
      <c r="C697" s="1261"/>
      <c r="D697" s="1261"/>
      <c r="E697" s="1261" t="s">
        <v>19</v>
      </c>
      <c r="F697" s="1261"/>
      <c r="G697" s="1263"/>
      <c r="H697" s="169" t="s">
        <v>12</v>
      </c>
      <c r="I697" s="947"/>
      <c r="J697" s="947"/>
      <c r="K697" s="948"/>
      <c r="L697" s="837">
        <v>0</v>
      </c>
      <c r="M697" s="837">
        <v>0</v>
      </c>
      <c r="N697" s="837">
        <v>0</v>
      </c>
      <c r="O697" s="837">
        <f t="shared" si="289"/>
        <v>0</v>
      </c>
      <c r="P697" s="837">
        <f t="shared" si="290"/>
        <v>0</v>
      </c>
      <c r="Q697" s="1264"/>
      <c r="R697" s="1264"/>
      <c r="S697" s="1264"/>
      <c r="T697" s="1264"/>
      <c r="U697" s="1264"/>
      <c r="V697" s="1264"/>
      <c r="W697" s="1264"/>
      <c r="X697" s="1264"/>
      <c r="Y697" s="1264"/>
      <c r="Z697" s="1264"/>
    </row>
    <row r="698" spans="1:26" ht="19.5" hidden="1">
      <c r="A698" s="1267"/>
      <c r="B698" s="1268"/>
      <c r="C698" s="1243" t="s">
        <v>16</v>
      </c>
      <c r="D698" s="1378" t="s">
        <v>38</v>
      </c>
      <c r="E698" s="1271"/>
      <c r="F698" s="1271"/>
      <c r="G698" s="1272"/>
      <c r="H698" s="954"/>
      <c r="I698" s="944"/>
      <c r="J698" s="944"/>
      <c r="K698" s="945"/>
      <c r="L698" s="945"/>
      <c r="M698" s="945"/>
      <c r="N698" s="945"/>
      <c r="O698" s="945"/>
      <c r="P698" s="945"/>
      <c r="Q698" s="1244"/>
      <c r="R698" s="1244"/>
      <c r="S698" s="1244"/>
      <c r="T698" s="1244"/>
      <c r="U698" s="1244"/>
      <c r="V698" s="1244"/>
      <c r="W698" s="1244"/>
      <c r="X698" s="1244"/>
      <c r="Y698" s="1244"/>
      <c r="Z698" s="1244"/>
    </row>
    <row r="699" spans="1:26" ht="18.75" hidden="1">
      <c r="A699" s="1368"/>
      <c r="B699" s="1243"/>
      <c r="C699" s="1243"/>
      <c r="D699" s="1243" t="s">
        <v>294</v>
      </c>
      <c r="E699" s="1243"/>
      <c r="F699" s="1243"/>
      <c r="G699" s="963"/>
      <c r="H699" s="730" t="s">
        <v>46</v>
      </c>
      <c r="I699" s="1379">
        <f ca="1">IFERROR(__xludf.DUMMYFUNCTION("IMPORTRANGE(""https://docs.google.com/spreadsheets/d/1QqKyyYR6Q21VydFLVH3TRQUabQu_ym0Zz7PgGX0-kHA/edit?usp=sharing"",""แผน!IC17"")"),0)</f>
        <v>0</v>
      </c>
      <c r="J699" s="830">
        <f ca="1">IFERROR(__xludf.DUMMYFUNCTION("IMPORTRANGE(""https://docs.google.com/spreadsheets/d/1XWAQStnk-4SwqDmLtmXYiTMKHgktTP8We1SCoS47DrQ/edit?usp=sharing"",""จัดที่ดิน!BB17"")"),0)</f>
        <v>0</v>
      </c>
      <c r="K699" s="831">
        <f t="shared" ref="K699:K701" ca="1" si="291">IF(I699&gt;0,J699*100/I699,0)</f>
        <v>0</v>
      </c>
      <c r="L699" s="831"/>
      <c r="M699" s="963"/>
      <c r="N699" s="1380"/>
      <c r="O699" s="831"/>
      <c r="P699" s="831"/>
      <c r="Q699" s="1244"/>
      <c r="R699" s="1244"/>
      <c r="S699" s="1244"/>
      <c r="T699" s="1244"/>
      <c r="U699" s="1244"/>
      <c r="V699" s="1244"/>
      <c r="W699" s="1244"/>
      <c r="X699" s="1244"/>
      <c r="Y699" s="1244"/>
      <c r="Z699" s="1244"/>
    </row>
    <row r="700" spans="1:26" ht="18.75" hidden="1">
      <c r="A700" s="1368"/>
      <c r="B700" s="1243"/>
      <c r="C700" s="1243"/>
      <c r="D700" s="1243" t="s">
        <v>295</v>
      </c>
      <c r="E700" s="1243"/>
      <c r="F700" s="1243"/>
      <c r="G700" s="963"/>
      <c r="H700" s="730" t="s">
        <v>35</v>
      </c>
      <c r="I700" s="1379">
        <f ca="1">IFERROR(__xludf.DUMMYFUNCTION("IMPORTRANGE(""https://docs.google.com/spreadsheets/d/1QqKyyYR6Q21VydFLVH3TRQUabQu_ym0Zz7PgGX0-kHA/edit?usp=sharing"",""แผน!ID17"")"),0)</f>
        <v>0</v>
      </c>
      <c r="J700" s="830">
        <f ca="1">IFERROR(__xludf.DUMMYFUNCTION("IMPORTRANGE(""https://docs.google.com/spreadsheets/d/1XWAQStnk-4SwqDmLtmXYiTMKHgktTP8We1SCoS47DrQ/edit?usp=sharing"",""จัดที่ดิน!BD17"")"),0)</f>
        <v>0</v>
      </c>
      <c r="K700" s="831">
        <f t="shared" ca="1" si="291"/>
        <v>0</v>
      </c>
      <c r="L700" s="831"/>
      <c r="M700" s="963"/>
      <c r="N700" s="1380"/>
      <c r="O700" s="831"/>
      <c r="P700" s="831"/>
      <c r="Q700" s="1244"/>
      <c r="R700" s="1244"/>
      <c r="S700" s="1244"/>
      <c r="T700" s="1244"/>
      <c r="U700" s="1244"/>
      <c r="V700" s="1244"/>
      <c r="W700" s="1244"/>
      <c r="X700" s="1244"/>
      <c r="Y700" s="1244"/>
      <c r="Z700" s="1244"/>
    </row>
    <row r="701" spans="1:26" ht="19.5" hidden="1">
      <c r="A701" s="1368"/>
      <c r="B701" s="1243"/>
      <c r="C701" s="1243"/>
      <c r="D701" s="1243" t="s">
        <v>296</v>
      </c>
      <c r="E701" s="1243"/>
      <c r="F701" s="1243"/>
      <c r="G701" s="963"/>
      <c r="H701" s="733" t="s">
        <v>46</v>
      </c>
      <c r="I701" s="1381">
        <f ca="1">IFERROR(__xludf.DUMMYFUNCTION("IMPORTRANGE(""https://docs.google.com/spreadsheets/d/1QqKyyYR6Q21VydFLVH3TRQUabQu_ym0Zz7PgGX0-kHA/edit?usp=sharing"",""แผน!IE17"")"),0)</f>
        <v>0</v>
      </c>
      <c r="J701" s="966">
        <f>J704+J707</f>
        <v>0</v>
      </c>
      <c r="K701" s="967">
        <f t="shared" ca="1" si="291"/>
        <v>0</v>
      </c>
      <c r="L701" s="831"/>
      <c r="M701" s="963"/>
      <c r="N701" s="1380"/>
      <c r="O701" s="831"/>
      <c r="P701" s="831"/>
      <c r="Q701" s="1244"/>
      <c r="R701" s="1244"/>
      <c r="S701" s="1244"/>
      <c r="T701" s="1244"/>
      <c r="U701" s="1244"/>
      <c r="V701" s="1244"/>
      <c r="W701" s="1244"/>
      <c r="X701" s="1244"/>
      <c r="Y701" s="1244"/>
      <c r="Z701" s="1244"/>
    </row>
    <row r="702" spans="1:26" ht="18.75" hidden="1">
      <c r="A702" s="1368"/>
      <c r="B702" s="1243"/>
      <c r="C702" s="1243"/>
      <c r="D702" s="1243"/>
      <c r="E702" s="1243" t="s">
        <v>297</v>
      </c>
      <c r="F702" s="1243"/>
      <c r="G702" s="963"/>
      <c r="H702" s="730" t="s">
        <v>35</v>
      </c>
      <c r="I702" s="1379"/>
      <c r="J702" s="959">
        <v>0</v>
      </c>
      <c r="K702" s="831"/>
      <c r="L702" s="831"/>
      <c r="M702" s="963"/>
      <c r="N702" s="1380"/>
      <c r="O702" s="831"/>
      <c r="P702" s="831"/>
      <c r="Q702" s="1244"/>
      <c r="R702" s="1244"/>
      <c r="S702" s="1244"/>
      <c r="T702" s="1244"/>
      <c r="U702" s="1244"/>
      <c r="V702" s="1244"/>
      <c r="W702" s="1244"/>
      <c r="X702" s="1244"/>
      <c r="Y702" s="1244"/>
      <c r="Z702" s="1244"/>
    </row>
    <row r="703" spans="1:26" ht="18.75" hidden="1">
      <c r="A703" s="1368"/>
      <c r="B703" s="1243"/>
      <c r="C703" s="1243"/>
      <c r="D703" s="1243"/>
      <c r="E703" s="1243"/>
      <c r="F703" s="1243"/>
      <c r="G703" s="963"/>
      <c r="H703" s="730" t="s">
        <v>34</v>
      </c>
      <c r="I703" s="1379"/>
      <c r="J703" s="959">
        <v>0</v>
      </c>
      <c r="K703" s="831"/>
      <c r="L703" s="831"/>
      <c r="M703" s="963"/>
      <c r="N703" s="1380"/>
      <c r="O703" s="831"/>
      <c r="P703" s="831"/>
      <c r="Q703" s="1244"/>
      <c r="R703" s="1244"/>
      <c r="S703" s="1244"/>
      <c r="T703" s="1244"/>
      <c r="U703" s="1244"/>
      <c r="V703" s="1244"/>
      <c r="W703" s="1244"/>
      <c r="X703" s="1244"/>
      <c r="Y703" s="1244"/>
      <c r="Z703" s="1244"/>
    </row>
    <row r="704" spans="1:26" ht="18.75" hidden="1">
      <c r="A704" s="1368"/>
      <c r="B704" s="1243"/>
      <c r="C704" s="1243"/>
      <c r="D704" s="1243"/>
      <c r="E704" s="1243"/>
      <c r="F704" s="1243"/>
      <c r="G704" s="963"/>
      <c r="H704" s="730" t="s">
        <v>46</v>
      </c>
      <c r="I704" s="1379">
        <f ca="1">IFERROR(__xludf.DUMMYFUNCTION("IMPORTRANGE(""https://docs.google.com/spreadsheets/d/1QqKyyYR6Q21VydFLVH3TRQUabQu_ym0Zz7PgGX0-kHA/edit?usp=sharing"",""แผน!IF17"")"),0)</f>
        <v>0</v>
      </c>
      <c r="J704" s="959">
        <v>0</v>
      </c>
      <c r="K704" s="831"/>
      <c r="L704" s="831"/>
      <c r="M704" s="963"/>
      <c r="N704" s="1380"/>
      <c r="O704" s="831"/>
      <c r="P704" s="831"/>
      <c r="Q704" s="1244"/>
      <c r="R704" s="1244"/>
      <c r="S704" s="1244"/>
      <c r="T704" s="1244"/>
      <c r="U704" s="1244"/>
      <c r="V704" s="1244"/>
      <c r="W704" s="1244"/>
      <c r="X704" s="1244"/>
      <c r="Y704" s="1244"/>
      <c r="Z704" s="1244"/>
    </row>
    <row r="705" spans="1:26" ht="18.75" hidden="1">
      <c r="A705" s="1368"/>
      <c r="B705" s="1243"/>
      <c r="C705" s="1243"/>
      <c r="D705" s="1243"/>
      <c r="E705" s="1243" t="s">
        <v>298</v>
      </c>
      <c r="F705" s="1243"/>
      <c r="G705" s="963"/>
      <c r="H705" s="730" t="s">
        <v>35</v>
      </c>
      <c r="I705" s="1379"/>
      <c r="J705" s="959">
        <v>0</v>
      </c>
      <c r="K705" s="831"/>
      <c r="L705" s="831"/>
      <c r="M705" s="963"/>
      <c r="N705" s="1380"/>
      <c r="O705" s="831"/>
      <c r="P705" s="831"/>
      <c r="Q705" s="1244"/>
      <c r="R705" s="1244"/>
      <c r="S705" s="1244"/>
      <c r="T705" s="1244"/>
      <c r="U705" s="1244"/>
      <c r="V705" s="1244"/>
      <c r="W705" s="1244"/>
      <c r="X705" s="1244"/>
      <c r="Y705" s="1244"/>
      <c r="Z705" s="1244"/>
    </row>
    <row r="706" spans="1:26" ht="18.75" hidden="1">
      <c r="A706" s="1368"/>
      <c r="B706" s="1243"/>
      <c r="C706" s="1243"/>
      <c r="D706" s="1243"/>
      <c r="E706" s="1243"/>
      <c r="F706" s="1243"/>
      <c r="G706" s="963"/>
      <c r="H706" s="730" t="s">
        <v>34</v>
      </c>
      <c r="I706" s="1379"/>
      <c r="J706" s="959">
        <v>0</v>
      </c>
      <c r="K706" s="831"/>
      <c r="L706" s="831"/>
      <c r="M706" s="963"/>
      <c r="N706" s="1380"/>
      <c r="O706" s="831"/>
      <c r="P706" s="831"/>
      <c r="Q706" s="1244"/>
      <c r="R706" s="1244"/>
      <c r="S706" s="1244"/>
      <c r="T706" s="1244"/>
      <c r="U706" s="1244"/>
      <c r="V706" s="1244"/>
      <c r="W706" s="1244"/>
      <c r="X706" s="1244"/>
      <c r="Y706" s="1244"/>
      <c r="Z706" s="1244"/>
    </row>
    <row r="707" spans="1:26" ht="18.75" hidden="1">
      <c r="A707" s="1368"/>
      <c r="B707" s="1243"/>
      <c r="C707" s="1243"/>
      <c r="D707" s="1243"/>
      <c r="E707" s="1243"/>
      <c r="F707" s="1243"/>
      <c r="G707" s="963"/>
      <c r="H707" s="730" t="s">
        <v>46</v>
      </c>
      <c r="I707" s="1379">
        <f ca="1">IFERROR(__xludf.DUMMYFUNCTION("IMPORTRANGE(""https://docs.google.com/spreadsheets/d/1QqKyyYR6Q21VydFLVH3TRQUabQu_ym0Zz7PgGX0-kHA/edit?usp=sharing"",""แผน!IG17"")"),0)</f>
        <v>0</v>
      </c>
      <c r="J707" s="959">
        <v>0</v>
      </c>
      <c r="K707" s="831"/>
      <c r="L707" s="831"/>
      <c r="M707" s="963"/>
      <c r="N707" s="1380"/>
      <c r="O707" s="831"/>
      <c r="P707" s="831"/>
      <c r="Q707" s="1244"/>
      <c r="R707" s="1244"/>
      <c r="S707" s="1244"/>
      <c r="T707" s="1244"/>
      <c r="U707" s="1244"/>
      <c r="V707" s="1244"/>
      <c r="W707" s="1244"/>
      <c r="X707" s="1244"/>
      <c r="Y707" s="1244"/>
      <c r="Z707" s="1244"/>
    </row>
    <row r="708" spans="1:26" ht="19.5" hidden="1">
      <c r="A708" s="1368"/>
      <c r="B708" s="1243"/>
      <c r="C708" s="1243"/>
      <c r="D708" s="1322" t="s">
        <v>299</v>
      </c>
      <c r="E708" s="1243"/>
      <c r="F708" s="1243"/>
      <c r="G708" s="963"/>
      <c r="H708" s="733" t="s">
        <v>46</v>
      </c>
      <c r="I708" s="1381">
        <f ca="1">IFERROR(__xludf.DUMMYFUNCTION("IMPORTRANGE(""https://docs.google.com/spreadsheets/d/1QqKyyYR6Q21VydFLVH3TRQUabQu_ym0Zz7PgGX0-kHA/edit?usp=sharing"",""แผน!IH17"")"),0)</f>
        <v>0</v>
      </c>
      <c r="J708" s="966">
        <f>J714+J717</f>
        <v>0</v>
      </c>
      <c r="K708" s="967">
        <f ca="1">IF(I708&gt;0,J708*100/I708,0)</f>
        <v>0</v>
      </c>
      <c r="L708" s="831"/>
      <c r="M708" s="963"/>
      <c r="N708" s="1380"/>
      <c r="O708" s="831"/>
      <c r="P708" s="831"/>
      <c r="Q708" s="1244"/>
      <c r="R708" s="1244"/>
      <c r="S708" s="1244"/>
      <c r="T708" s="1244"/>
      <c r="U708" s="1244"/>
      <c r="V708" s="1244"/>
      <c r="W708" s="1244"/>
      <c r="X708" s="1244"/>
      <c r="Y708" s="1244"/>
      <c r="Z708" s="1244"/>
    </row>
    <row r="709" spans="1:26" ht="18.75" hidden="1">
      <c r="A709" s="1368"/>
      <c r="B709" s="1243"/>
      <c r="C709" s="1243"/>
      <c r="D709" s="1243"/>
      <c r="E709" s="1243" t="s">
        <v>300</v>
      </c>
      <c r="F709" s="1243"/>
      <c r="G709" s="963"/>
      <c r="H709" s="730" t="s">
        <v>34</v>
      </c>
      <c r="I709" s="1379"/>
      <c r="J709" s="959">
        <v>0</v>
      </c>
      <c r="K709" s="831"/>
      <c r="L709" s="1380"/>
      <c r="M709" s="963"/>
      <c r="N709" s="1380"/>
      <c r="O709" s="831"/>
      <c r="P709" s="831"/>
      <c r="Q709" s="1244"/>
      <c r="R709" s="1244"/>
      <c r="S709" s="1244"/>
      <c r="T709" s="1244"/>
      <c r="U709" s="1244"/>
      <c r="V709" s="1244"/>
      <c r="W709" s="1244"/>
      <c r="X709" s="1244"/>
      <c r="Y709" s="1244"/>
      <c r="Z709" s="1244"/>
    </row>
    <row r="710" spans="1:26" ht="18.75" hidden="1">
      <c r="A710" s="1368"/>
      <c r="B710" s="1243"/>
      <c r="C710" s="1243"/>
      <c r="D710" s="1243"/>
      <c r="E710" s="1243"/>
      <c r="F710" s="1243"/>
      <c r="G710" s="963"/>
      <c r="H710" s="730" t="s">
        <v>46</v>
      </c>
      <c r="I710" s="1379"/>
      <c r="J710" s="959">
        <v>0</v>
      </c>
      <c r="K710" s="831"/>
      <c r="L710" s="1380"/>
      <c r="M710" s="963"/>
      <c r="N710" s="1380"/>
      <c r="O710" s="831"/>
      <c r="P710" s="831"/>
      <c r="Q710" s="1244"/>
      <c r="R710" s="1244"/>
      <c r="S710" s="1244"/>
      <c r="T710" s="1244"/>
      <c r="U710" s="1244"/>
      <c r="V710" s="1244"/>
      <c r="W710" s="1244"/>
      <c r="X710" s="1244"/>
      <c r="Y710" s="1244"/>
      <c r="Z710" s="1244"/>
    </row>
    <row r="711" spans="1:26" ht="18.75" hidden="1">
      <c r="A711" s="1368"/>
      <c r="B711" s="1243"/>
      <c r="C711" s="1243"/>
      <c r="D711" s="1243"/>
      <c r="E711" s="1243" t="s">
        <v>301</v>
      </c>
      <c r="F711" s="1243"/>
      <c r="G711" s="963"/>
      <c r="H711" s="954"/>
      <c r="I711" s="1379"/>
      <c r="J711" s="830"/>
      <c r="K711" s="831"/>
      <c r="L711" s="1380"/>
      <c r="M711" s="963"/>
      <c r="N711" s="1380"/>
      <c r="O711" s="831"/>
      <c r="P711" s="831"/>
      <c r="Q711" s="1244"/>
      <c r="R711" s="1244"/>
      <c r="S711" s="1244"/>
      <c r="T711" s="1244"/>
      <c r="U711" s="1244"/>
      <c r="V711" s="1244"/>
      <c r="W711" s="1244"/>
      <c r="X711" s="1244"/>
      <c r="Y711" s="1244"/>
      <c r="Z711" s="1244"/>
    </row>
    <row r="712" spans="1:26" ht="18.75" hidden="1">
      <c r="A712" s="1368"/>
      <c r="B712" s="1243"/>
      <c r="C712" s="1243"/>
      <c r="D712" s="1243"/>
      <c r="E712" s="1243"/>
      <c r="F712" s="1243" t="s">
        <v>302</v>
      </c>
      <c r="G712" s="963"/>
      <c r="H712" s="730" t="s">
        <v>35</v>
      </c>
      <c r="I712" s="1379"/>
      <c r="J712" s="959">
        <v>0</v>
      </c>
      <c r="K712" s="831"/>
      <c r="L712" s="1380"/>
      <c r="M712" s="963"/>
      <c r="N712" s="1380"/>
      <c r="O712" s="831"/>
      <c r="P712" s="831"/>
      <c r="Q712" s="1244"/>
      <c r="R712" s="1244"/>
      <c r="S712" s="1244"/>
      <c r="T712" s="1244"/>
      <c r="U712" s="1244"/>
      <c r="V712" s="1244"/>
      <c r="W712" s="1244"/>
      <c r="X712" s="1244"/>
      <c r="Y712" s="1244"/>
      <c r="Z712" s="1244"/>
    </row>
    <row r="713" spans="1:26" ht="18.75" hidden="1">
      <c r="A713" s="1368"/>
      <c r="B713" s="1243"/>
      <c r="C713" s="1243"/>
      <c r="D713" s="1243"/>
      <c r="E713" s="1243"/>
      <c r="F713" s="1243"/>
      <c r="G713" s="963"/>
      <c r="H713" s="730" t="s">
        <v>34</v>
      </c>
      <c r="I713" s="1379"/>
      <c r="J713" s="959">
        <v>0</v>
      </c>
      <c r="K713" s="831"/>
      <c r="L713" s="1380"/>
      <c r="M713" s="963"/>
      <c r="N713" s="1380"/>
      <c r="O713" s="831"/>
      <c r="P713" s="831"/>
      <c r="Q713" s="1244"/>
      <c r="R713" s="1244"/>
      <c r="S713" s="1244"/>
      <c r="T713" s="1244"/>
      <c r="U713" s="1244"/>
      <c r="V713" s="1244"/>
      <c r="W713" s="1244"/>
      <c r="X713" s="1244"/>
      <c r="Y713" s="1244"/>
      <c r="Z713" s="1244"/>
    </row>
    <row r="714" spans="1:26" ht="18.75" hidden="1">
      <c r="A714" s="1368"/>
      <c r="B714" s="1243"/>
      <c r="C714" s="1243"/>
      <c r="D714" s="1243"/>
      <c r="E714" s="1243"/>
      <c r="F714" s="1243"/>
      <c r="G714" s="963"/>
      <c r="H714" s="730" t="s">
        <v>46</v>
      </c>
      <c r="I714" s="1379"/>
      <c r="J714" s="959">
        <v>0</v>
      </c>
      <c r="K714" s="831"/>
      <c r="L714" s="1380"/>
      <c r="M714" s="963"/>
      <c r="N714" s="1380"/>
      <c r="O714" s="831"/>
      <c r="P714" s="831"/>
      <c r="Q714" s="1244"/>
      <c r="R714" s="1244"/>
      <c r="S714" s="1244"/>
      <c r="T714" s="1244"/>
      <c r="U714" s="1244"/>
      <c r="V714" s="1244"/>
      <c r="W714" s="1244"/>
      <c r="X714" s="1244"/>
      <c r="Y714" s="1244"/>
      <c r="Z714" s="1244"/>
    </row>
    <row r="715" spans="1:26" ht="18.75" hidden="1">
      <c r="A715" s="1368"/>
      <c r="B715" s="1243"/>
      <c r="C715" s="1243"/>
      <c r="D715" s="1243"/>
      <c r="E715" s="1243"/>
      <c r="F715" s="1243" t="s">
        <v>303</v>
      </c>
      <c r="G715" s="963"/>
      <c r="H715" s="730" t="s">
        <v>35</v>
      </c>
      <c r="I715" s="1379"/>
      <c r="J715" s="959">
        <v>0</v>
      </c>
      <c r="K715" s="831"/>
      <c r="L715" s="1380"/>
      <c r="M715" s="963"/>
      <c r="N715" s="1380"/>
      <c r="O715" s="831"/>
      <c r="P715" s="831"/>
      <c r="Q715" s="1244"/>
      <c r="R715" s="1244"/>
      <c r="S715" s="1244"/>
      <c r="T715" s="1244"/>
      <c r="U715" s="1244"/>
      <c r="V715" s="1244"/>
      <c r="W715" s="1244"/>
      <c r="X715" s="1244"/>
      <c r="Y715" s="1244"/>
      <c r="Z715" s="1244"/>
    </row>
    <row r="716" spans="1:26" ht="18.75" hidden="1">
      <c r="A716" s="1368"/>
      <c r="B716" s="1243"/>
      <c r="C716" s="1243"/>
      <c r="D716" s="1243"/>
      <c r="E716" s="1243"/>
      <c r="F716" s="1243"/>
      <c r="G716" s="963"/>
      <c r="H716" s="730" t="s">
        <v>34</v>
      </c>
      <c r="I716" s="1379"/>
      <c r="J716" s="959">
        <v>0</v>
      </c>
      <c r="K716" s="831"/>
      <c r="L716" s="1380"/>
      <c r="M716" s="963"/>
      <c r="N716" s="1380"/>
      <c r="O716" s="831"/>
      <c r="P716" s="831"/>
      <c r="Q716" s="1244"/>
      <c r="R716" s="1244"/>
      <c r="S716" s="1244"/>
      <c r="T716" s="1244"/>
      <c r="U716" s="1244"/>
      <c r="V716" s="1244"/>
      <c r="W716" s="1244"/>
      <c r="X716" s="1244"/>
      <c r="Y716" s="1244"/>
      <c r="Z716" s="1244"/>
    </row>
    <row r="717" spans="1:26" ht="18.75" hidden="1">
      <c r="A717" s="1368"/>
      <c r="B717" s="1243"/>
      <c r="C717" s="1243"/>
      <c r="D717" s="1243"/>
      <c r="E717" s="1243"/>
      <c r="F717" s="1243"/>
      <c r="G717" s="963"/>
      <c r="H717" s="730" t="s">
        <v>46</v>
      </c>
      <c r="I717" s="1379"/>
      <c r="J717" s="959">
        <v>0</v>
      </c>
      <c r="K717" s="831"/>
      <c r="L717" s="1380"/>
      <c r="M717" s="963"/>
      <c r="N717" s="1380"/>
      <c r="O717" s="831"/>
      <c r="P717" s="831"/>
      <c r="Q717" s="1244"/>
      <c r="R717" s="1244"/>
      <c r="S717" s="1244"/>
      <c r="T717" s="1244"/>
      <c r="U717" s="1244"/>
      <c r="V717" s="1244"/>
      <c r="W717" s="1244"/>
      <c r="X717" s="1244"/>
      <c r="Y717" s="1244"/>
      <c r="Z717" s="1244"/>
    </row>
    <row r="718" spans="1:26" ht="18.75" hidden="1">
      <c r="A718" s="1368"/>
      <c r="B718" s="1243"/>
      <c r="C718" s="1243"/>
      <c r="D718" s="1243" t="s">
        <v>304</v>
      </c>
      <c r="E718" s="1243"/>
      <c r="F718" s="1243"/>
      <c r="G718" s="963"/>
      <c r="H718" s="730" t="s">
        <v>35</v>
      </c>
      <c r="I718" s="1379"/>
      <c r="J718" s="830">
        <f ca="1">IFERROR(__xludf.DUMMYFUNCTION("IMPORTRANGE(""https://docs.google.com/spreadsheets/d/1XWAQStnk-4SwqDmLtmXYiTMKHgktTP8We1SCoS47DrQ/edit?usp=sharing"",""จัดที่ดิน!BF17"")"),0)</f>
        <v>0</v>
      </c>
      <c r="K718" s="831"/>
      <c r="L718" s="831"/>
      <c r="M718" s="963"/>
      <c r="N718" s="1380"/>
      <c r="O718" s="831"/>
      <c r="P718" s="831"/>
      <c r="Q718" s="1244"/>
      <c r="R718" s="1244"/>
      <c r="S718" s="1244"/>
      <c r="T718" s="1244"/>
      <c r="U718" s="1244"/>
      <c r="V718" s="1244"/>
      <c r="W718" s="1244"/>
      <c r="X718" s="1244"/>
      <c r="Y718" s="1244"/>
      <c r="Z718" s="1244"/>
    </row>
    <row r="719" spans="1:26" ht="18.75" hidden="1">
      <c r="A719" s="1368"/>
      <c r="B719" s="1243"/>
      <c r="C719" s="1243"/>
      <c r="D719" s="1243"/>
      <c r="E719" s="1243"/>
      <c r="F719" s="1243"/>
      <c r="G719" s="963"/>
      <c r="H719" s="730" t="s">
        <v>34</v>
      </c>
      <c r="I719" s="1379"/>
      <c r="J719" s="830">
        <f ca="1">IFERROR(__xludf.DUMMYFUNCTION("IMPORTRANGE(""https://docs.google.com/spreadsheets/d/1XWAQStnk-4SwqDmLtmXYiTMKHgktTP8We1SCoS47DrQ/edit?usp=sharing"",""จัดที่ดิน!BG17"")"),0)</f>
        <v>0</v>
      </c>
      <c r="K719" s="831"/>
      <c r="L719" s="1380"/>
      <c r="M719" s="963"/>
      <c r="N719" s="1380"/>
      <c r="O719" s="831"/>
      <c r="P719" s="831"/>
      <c r="Q719" s="1244"/>
      <c r="R719" s="1244"/>
      <c r="S719" s="1244"/>
      <c r="T719" s="1244"/>
      <c r="U719" s="1244"/>
      <c r="V719" s="1244"/>
      <c r="W719" s="1244"/>
      <c r="X719" s="1244"/>
      <c r="Y719" s="1244"/>
      <c r="Z719" s="1244"/>
    </row>
    <row r="720" spans="1:26" ht="18.75" hidden="1">
      <c r="A720" s="1368"/>
      <c r="B720" s="1243"/>
      <c r="C720" s="1243"/>
      <c r="D720" s="1243"/>
      <c r="E720" s="1243"/>
      <c r="F720" s="1243"/>
      <c r="G720" s="963"/>
      <c r="H720" s="730" t="s">
        <v>46</v>
      </c>
      <c r="I720" s="1379">
        <f ca="1">IFERROR(__xludf.DUMMYFUNCTION("IMPORTRANGE(""https://docs.google.com/spreadsheets/d/1QqKyyYR6Q21VydFLVH3TRQUabQu_ym0Zz7PgGX0-kHA/edit?usp=sharing"",""แผน!II17"")"),0)</f>
        <v>0</v>
      </c>
      <c r="J720" s="830">
        <f ca="1">IFERROR(__xludf.DUMMYFUNCTION("IMPORTRANGE(""https://docs.google.com/spreadsheets/d/1XWAQStnk-4SwqDmLtmXYiTMKHgktTP8We1SCoS47DrQ/edit?usp=sharing"",""จัดที่ดิน!BH17"")"),0)</f>
        <v>0</v>
      </c>
      <c r="K720" s="831">
        <f t="shared" ref="K720:K723" ca="1" si="292">IF(I720&gt;0,J720*100/I720,0)</f>
        <v>0</v>
      </c>
      <c r="L720" s="1380"/>
      <c r="M720" s="963"/>
      <c r="N720" s="1380"/>
      <c r="O720" s="831"/>
      <c r="P720" s="831"/>
      <c r="Q720" s="1244"/>
      <c r="R720" s="1244"/>
      <c r="S720" s="1244"/>
      <c r="T720" s="1244"/>
      <c r="U720" s="1244"/>
      <c r="V720" s="1244"/>
      <c r="W720" s="1244"/>
      <c r="X720" s="1244"/>
      <c r="Y720" s="1244"/>
      <c r="Z720" s="1244"/>
    </row>
    <row r="721" spans="1:26" ht="19.5" hidden="1">
      <c r="A721" s="1368"/>
      <c r="B721" s="1243"/>
      <c r="C721" s="1243"/>
      <c r="D721" s="1243" t="s">
        <v>305</v>
      </c>
      <c r="E721" s="1243"/>
      <c r="F721" s="1243"/>
      <c r="G721" s="963"/>
      <c r="H721" s="733" t="s">
        <v>35</v>
      </c>
      <c r="I721" s="1381">
        <f ca="1">IFERROR(__xludf.DUMMYFUNCTION("IMPORTRANGE(""https://docs.google.com/spreadsheets/d/1QqKyyYR6Q21VydFLVH3TRQUabQu_ym0Zz7PgGX0-kHA/edit?usp=sharing"",""แผน!IJ17"")"),0)</f>
        <v>0</v>
      </c>
      <c r="J721" s="966">
        <f ca="1">J723+J726</f>
        <v>0</v>
      </c>
      <c r="K721" s="967">
        <f t="shared" ca="1" si="292"/>
        <v>0</v>
      </c>
      <c r="L721" s="1380"/>
      <c r="M721" s="963"/>
      <c r="N721" s="1380"/>
      <c r="O721" s="831"/>
      <c r="P721" s="831"/>
      <c r="Q721" s="1244"/>
      <c r="R721" s="1244"/>
      <c r="S721" s="1244"/>
      <c r="T721" s="1244"/>
      <c r="U721" s="1244"/>
      <c r="V721" s="1244"/>
      <c r="W721" s="1244"/>
      <c r="X721" s="1244"/>
      <c r="Y721" s="1244"/>
      <c r="Z721" s="1244"/>
    </row>
    <row r="722" spans="1:26" ht="19.5" hidden="1">
      <c r="A722" s="1368"/>
      <c r="B722" s="1243"/>
      <c r="C722" s="1243"/>
      <c r="D722" s="1243"/>
      <c r="E722" s="1243"/>
      <c r="F722" s="1243"/>
      <c r="G722" s="963"/>
      <c r="H722" s="733" t="s">
        <v>46</v>
      </c>
      <c r="I722" s="1381">
        <f ca="1">IFERROR(__xludf.DUMMYFUNCTION("IMPORTRANGE(""https://docs.google.com/spreadsheets/d/1QqKyyYR6Q21VydFLVH3TRQUabQu_ym0Zz7PgGX0-kHA/edit?usp=sharing"",""แผน!IK17"")"),0)</f>
        <v>0</v>
      </c>
      <c r="J722" s="966">
        <f ca="1">J725+J728</f>
        <v>0</v>
      </c>
      <c r="K722" s="967">
        <f t="shared" ca="1" si="292"/>
        <v>0</v>
      </c>
      <c r="L722" s="831"/>
      <c r="M722" s="963"/>
      <c r="N722" s="1380"/>
      <c r="O722" s="831"/>
      <c r="P722" s="831"/>
      <c r="Q722" s="1244"/>
      <c r="R722" s="1244"/>
      <c r="S722" s="1244"/>
      <c r="T722" s="1244"/>
      <c r="U722" s="1244"/>
      <c r="V722" s="1244"/>
      <c r="W722" s="1244"/>
      <c r="X722" s="1244"/>
      <c r="Y722" s="1244"/>
      <c r="Z722" s="1244"/>
    </row>
    <row r="723" spans="1:26" ht="18.75" hidden="1">
      <c r="A723" s="1368"/>
      <c r="B723" s="1243"/>
      <c r="C723" s="1243"/>
      <c r="D723" s="1243"/>
      <c r="E723" s="1243" t="s">
        <v>306</v>
      </c>
      <c r="F723" s="1243"/>
      <c r="G723" s="963"/>
      <c r="H723" s="730" t="s">
        <v>35</v>
      </c>
      <c r="I723" s="1379">
        <f ca="1">IFERROR(__xludf.DUMMYFUNCTION("IMPORTRANGE(""https://docs.google.com/spreadsheets/d/1QqKyyYR6Q21VydFLVH3TRQUabQu_ym0Zz7PgGX0-kHA/edit?usp=sharing"",""แผน!IL17"")"),0)</f>
        <v>0</v>
      </c>
      <c r="J723" s="830">
        <f ca="1">IFERROR(__xludf.DUMMYFUNCTION("IMPORTRANGE(""https://docs.google.com/spreadsheets/d/1XWAQStnk-4SwqDmLtmXYiTMKHgktTP8We1SCoS47DrQ/edit?usp=sharing"",""จัดที่ดิน!BM17"")"),0)</f>
        <v>0</v>
      </c>
      <c r="K723" s="831">
        <f t="shared" ca="1" si="292"/>
        <v>0</v>
      </c>
      <c r="L723" s="831"/>
      <c r="M723" s="963"/>
      <c r="N723" s="1380"/>
      <c r="O723" s="831"/>
      <c r="P723" s="831"/>
      <c r="Q723" s="1244"/>
      <c r="R723" s="1244"/>
      <c r="S723" s="1244"/>
      <c r="T723" s="1244"/>
      <c r="U723" s="1244"/>
      <c r="V723" s="1244"/>
      <c r="W723" s="1244"/>
      <c r="X723" s="1244"/>
      <c r="Y723" s="1244"/>
      <c r="Z723" s="1244"/>
    </row>
    <row r="724" spans="1:26" ht="18.75" hidden="1">
      <c r="A724" s="1368"/>
      <c r="B724" s="1243"/>
      <c r="C724" s="1243"/>
      <c r="D724" s="1243"/>
      <c r="E724" s="1243"/>
      <c r="F724" s="1243"/>
      <c r="G724" s="963"/>
      <c r="H724" s="730" t="s">
        <v>34</v>
      </c>
      <c r="I724" s="1379"/>
      <c r="J724" s="830">
        <f ca="1">IFERROR(__xludf.DUMMYFUNCTION("IMPORTRANGE(""https://docs.google.com/spreadsheets/d/1XWAQStnk-4SwqDmLtmXYiTMKHgktTP8We1SCoS47DrQ/edit?usp=sharing"",""จัดที่ดิน!BN17"")"),0)</f>
        <v>0</v>
      </c>
      <c r="K724" s="831"/>
      <c r="L724" s="1380"/>
      <c r="M724" s="963"/>
      <c r="N724" s="1380"/>
      <c r="O724" s="831"/>
      <c r="P724" s="831"/>
      <c r="Q724" s="1244"/>
      <c r="R724" s="1244"/>
      <c r="S724" s="1244"/>
      <c r="T724" s="1244"/>
      <c r="U724" s="1244"/>
      <c r="V724" s="1244"/>
      <c r="W724" s="1244"/>
      <c r="X724" s="1244"/>
      <c r="Y724" s="1244"/>
      <c r="Z724" s="1244"/>
    </row>
    <row r="725" spans="1:26" ht="18.75" hidden="1">
      <c r="A725" s="1368"/>
      <c r="B725" s="1243"/>
      <c r="C725" s="1243"/>
      <c r="D725" s="1243"/>
      <c r="E725" s="1243"/>
      <c r="F725" s="1243"/>
      <c r="G725" s="963"/>
      <c r="H725" s="730" t="s">
        <v>46</v>
      </c>
      <c r="I725" s="1379">
        <f ca="1">IFERROR(__xludf.DUMMYFUNCTION("IMPORTRANGE(""https://docs.google.com/spreadsheets/d/1QqKyyYR6Q21VydFLVH3TRQUabQu_ym0Zz7PgGX0-kHA/edit?usp=sharing"",""แผน!IM17"")"),0)</f>
        <v>0</v>
      </c>
      <c r="J725" s="830">
        <f ca="1">IFERROR(__xludf.DUMMYFUNCTION("IMPORTRANGE(""https://docs.google.com/spreadsheets/d/1XWAQStnk-4SwqDmLtmXYiTMKHgktTP8We1SCoS47DrQ/edit?usp=sharing"",""จัดที่ดิน!BO17"")"),0)</f>
        <v>0</v>
      </c>
      <c r="K725" s="831">
        <f t="shared" ref="K725:K726" ca="1" si="293">IF(I725&gt;0,J725*100/I725,0)</f>
        <v>0</v>
      </c>
      <c r="L725" s="1380"/>
      <c r="M725" s="963"/>
      <c r="N725" s="1380"/>
      <c r="O725" s="831"/>
      <c r="P725" s="831"/>
      <c r="Q725" s="1244"/>
      <c r="R725" s="1244"/>
      <c r="S725" s="1244"/>
      <c r="T725" s="1244"/>
      <c r="U725" s="1244"/>
      <c r="V725" s="1244"/>
      <c r="W725" s="1244"/>
      <c r="X725" s="1244"/>
      <c r="Y725" s="1244"/>
      <c r="Z725" s="1244"/>
    </row>
    <row r="726" spans="1:26" ht="18.75" hidden="1">
      <c r="A726" s="1368"/>
      <c r="B726" s="1243"/>
      <c r="C726" s="1243"/>
      <c r="D726" s="1243"/>
      <c r="E726" s="1243" t="s">
        <v>307</v>
      </c>
      <c r="F726" s="1243"/>
      <c r="G726" s="963"/>
      <c r="H726" s="730" t="s">
        <v>35</v>
      </c>
      <c r="I726" s="1379">
        <f ca="1">IFERROR(__xludf.DUMMYFUNCTION("IMPORTRANGE(""https://docs.google.com/spreadsheets/d/1QqKyyYR6Q21VydFLVH3TRQUabQu_ym0Zz7PgGX0-kHA/edit?usp=sharing"",""แผน!IN17"")"),0)</f>
        <v>0</v>
      </c>
      <c r="J726" s="830">
        <f ca="1">IFERROR(__xludf.DUMMYFUNCTION("IMPORTRANGE(""https://docs.google.com/spreadsheets/d/1XWAQStnk-4SwqDmLtmXYiTMKHgktTP8We1SCoS47DrQ/edit?usp=sharing"",""จัดที่ดิน!BR17"")"),0)</f>
        <v>0</v>
      </c>
      <c r="K726" s="831">
        <f t="shared" ca="1" si="293"/>
        <v>0</v>
      </c>
      <c r="L726" s="831"/>
      <c r="M726" s="963"/>
      <c r="N726" s="1380"/>
      <c r="O726" s="831"/>
      <c r="P726" s="831"/>
      <c r="Q726" s="1244"/>
      <c r="R726" s="1244"/>
      <c r="S726" s="1244"/>
      <c r="T726" s="1244"/>
      <c r="U726" s="1244"/>
      <c r="V726" s="1244"/>
      <c r="W726" s="1244"/>
      <c r="X726" s="1244"/>
      <c r="Y726" s="1244"/>
      <c r="Z726" s="1244"/>
    </row>
    <row r="727" spans="1:26" ht="18.75" hidden="1">
      <c r="A727" s="1368"/>
      <c r="B727" s="1243"/>
      <c r="C727" s="1243"/>
      <c r="D727" s="1243"/>
      <c r="E727" s="1243"/>
      <c r="F727" s="1243"/>
      <c r="G727" s="963"/>
      <c r="H727" s="730" t="s">
        <v>34</v>
      </c>
      <c r="I727" s="1379"/>
      <c r="J727" s="830">
        <f ca="1">IFERROR(__xludf.DUMMYFUNCTION("IMPORTRANGE(""https://docs.google.com/spreadsheets/d/1XWAQStnk-4SwqDmLtmXYiTMKHgktTP8We1SCoS47DrQ/edit?usp=sharing"",""จัดที่ดิน!BS17"")"),0)</f>
        <v>0</v>
      </c>
      <c r="K727" s="831"/>
      <c r="L727" s="1380"/>
      <c r="M727" s="963"/>
      <c r="N727" s="1380"/>
      <c r="O727" s="831"/>
      <c r="P727" s="831"/>
      <c r="Q727" s="1244"/>
      <c r="R727" s="1244"/>
      <c r="S727" s="1244"/>
      <c r="T727" s="1244"/>
      <c r="U727" s="1244"/>
      <c r="V727" s="1244"/>
      <c r="W727" s="1244"/>
      <c r="X727" s="1244"/>
      <c r="Y727" s="1244"/>
      <c r="Z727" s="1244"/>
    </row>
    <row r="728" spans="1:26" ht="18.75" hidden="1">
      <c r="A728" s="1368"/>
      <c r="B728" s="1243"/>
      <c r="C728" s="1243"/>
      <c r="D728" s="1243"/>
      <c r="E728" s="1243"/>
      <c r="F728" s="1243"/>
      <c r="G728" s="963"/>
      <c r="H728" s="730" t="s">
        <v>46</v>
      </c>
      <c r="I728" s="1379">
        <f ca="1">IFERROR(__xludf.DUMMYFUNCTION("IMPORTRANGE(""https://docs.google.com/spreadsheets/d/1QqKyyYR6Q21VydFLVH3TRQUabQu_ym0Zz7PgGX0-kHA/edit?usp=sharing"",""แผน!IO17"")"),0)</f>
        <v>0</v>
      </c>
      <c r="J728" s="830">
        <f ca="1">IFERROR(__xludf.DUMMYFUNCTION("IMPORTRANGE(""https://docs.google.com/spreadsheets/d/1XWAQStnk-4SwqDmLtmXYiTMKHgktTP8We1SCoS47DrQ/edit?usp=sharing"",""จัดที่ดิน!BT17"")"),0)</f>
        <v>0</v>
      </c>
      <c r="K728" s="831">
        <f t="shared" ref="K728:K729" ca="1" si="294">IF(I728&gt;0,J728*100/I728,0)</f>
        <v>0</v>
      </c>
      <c r="L728" s="1380"/>
      <c r="M728" s="963"/>
      <c r="N728" s="1380"/>
      <c r="O728" s="831"/>
      <c r="P728" s="831"/>
      <c r="Q728" s="1244"/>
      <c r="R728" s="1244"/>
      <c r="S728" s="1244"/>
      <c r="T728" s="1244"/>
      <c r="U728" s="1244"/>
      <c r="V728" s="1244"/>
      <c r="W728" s="1244"/>
      <c r="X728" s="1244"/>
      <c r="Y728" s="1244"/>
      <c r="Z728" s="1244"/>
    </row>
    <row r="729" spans="1:26" ht="19.5" hidden="1">
      <c r="A729" s="1368"/>
      <c r="B729" s="1243"/>
      <c r="C729" s="1243"/>
      <c r="D729" s="1243" t="s">
        <v>308</v>
      </c>
      <c r="E729" s="1243"/>
      <c r="F729" s="1243"/>
      <c r="G729" s="963"/>
      <c r="H729" s="733" t="s">
        <v>46</v>
      </c>
      <c r="I729" s="1381">
        <f ca="1">IFERROR(__xludf.DUMMYFUNCTION("IMPORTRANGE(""https://docs.google.com/spreadsheets/d/1QqKyyYR6Q21VydFLVH3TRQUabQu_ym0Zz7PgGX0-kHA/edit?usp=sharing"",""แผน!IP17"")"),0)</f>
        <v>0</v>
      </c>
      <c r="J729" s="966">
        <f>J732+J735</f>
        <v>0</v>
      </c>
      <c r="K729" s="967">
        <f t="shared" ca="1" si="294"/>
        <v>0</v>
      </c>
      <c r="L729" s="831"/>
      <c r="M729" s="963"/>
      <c r="N729" s="1380"/>
      <c r="O729" s="831"/>
      <c r="P729" s="831"/>
      <c r="Q729" s="1244"/>
      <c r="R729" s="1244"/>
      <c r="S729" s="1244"/>
      <c r="T729" s="1244"/>
      <c r="U729" s="1244"/>
      <c r="V729" s="1244"/>
      <c r="W729" s="1244"/>
      <c r="X729" s="1244"/>
      <c r="Y729" s="1244"/>
      <c r="Z729" s="1244"/>
    </row>
    <row r="730" spans="1:26" ht="18.75" hidden="1">
      <c r="A730" s="1368"/>
      <c r="B730" s="1243"/>
      <c r="C730" s="1243"/>
      <c r="D730" s="1243"/>
      <c r="E730" s="1243" t="s">
        <v>309</v>
      </c>
      <c r="F730" s="1243"/>
      <c r="G730" s="963"/>
      <c r="H730" s="730" t="s">
        <v>35</v>
      </c>
      <c r="I730" s="1379"/>
      <c r="J730" s="959">
        <v>0</v>
      </c>
      <c r="K730" s="831"/>
      <c r="L730" s="1380"/>
      <c r="M730" s="831"/>
      <c r="N730" s="1380"/>
      <c r="O730" s="831"/>
      <c r="P730" s="831"/>
      <c r="Q730" s="1244"/>
      <c r="R730" s="1244"/>
      <c r="S730" s="1244"/>
      <c r="T730" s="1244"/>
      <c r="U730" s="1244"/>
      <c r="V730" s="1244"/>
      <c r="W730" s="1244"/>
      <c r="X730" s="1244"/>
      <c r="Y730" s="1244"/>
      <c r="Z730" s="1244"/>
    </row>
    <row r="731" spans="1:26" ht="18.75" hidden="1">
      <c r="A731" s="1368"/>
      <c r="B731" s="1243"/>
      <c r="C731" s="1243"/>
      <c r="D731" s="1243"/>
      <c r="E731" s="1243"/>
      <c r="F731" s="1243"/>
      <c r="G731" s="963"/>
      <c r="H731" s="730" t="s">
        <v>34</v>
      </c>
      <c r="I731" s="1379"/>
      <c r="J731" s="959">
        <v>0</v>
      </c>
      <c r="K731" s="831"/>
      <c r="L731" s="1380"/>
      <c r="M731" s="831"/>
      <c r="N731" s="1380"/>
      <c r="O731" s="831"/>
      <c r="P731" s="831"/>
      <c r="Q731" s="1244"/>
      <c r="R731" s="1244"/>
      <c r="S731" s="1244"/>
      <c r="T731" s="1244"/>
      <c r="U731" s="1244"/>
      <c r="V731" s="1244"/>
      <c r="W731" s="1244"/>
      <c r="X731" s="1244"/>
      <c r="Y731" s="1244"/>
      <c r="Z731" s="1244"/>
    </row>
    <row r="732" spans="1:26" ht="18.75" hidden="1">
      <c r="A732" s="1368"/>
      <c r="B732" s="1243"/>
      <c r="C732" s="1243"/>
      <c r="D732" s="1243"/>
      <c r="E732" s="1243"/>
      <c r="F732" s="1243"/>
      <c r="G732" s="963"/>
      <c r="H732" s="730" t="s">
        <v>46</v>
      </c>
      <c r="I732" s="1379"/>
      <c r="J732" s="959">
        <v>0</v>
      </c>
      <c r="K732" s="831"/>
      <c r="L732" s="1380"/>
      <c r="M732" s="831"/>
      <c r="N732" s="1380"/>
      <c r="O732" s="831"/>
      <c r="P732" s="831"/>
      <c r="Q732" s="1244"/>
      <c r="R732" s="1244"/>
      <c r="S732" s="1244"/>
      <c r="T732" s="1244"/>
      <c r="U732" s="1244"/>
      <c r="V732" s="1244"/>
      <c r="W732" s="1244"/>
      <c r="X732" s="1244"/>
      <c r="Y732" s="1244"/>
      <c r="Z732" s="1244"/>
    </row>
    <row r="733" spans="1:26" ht="18.75" hidden="1">
      <c r="A733" s="1368"/>
      <c r="B733" s="1243"/>
      <c r="C733" s="1243"/>
      <c r="D733" s="1243"/>
      <c r="E733" s="1243" t="s">
        <v>310</v>
      </c>
      <c r="F733" s="1243"/>
      <c r="G733" s="963"/>
      <c r="H733" s="730" t="s">
        <v>35</v>
      </c>
      <c r="I733" s="1379"/>
      <c r="J733" s="959">
        <v>0</v>
      </c>
      <c r="K733" s="831"/>
      <c r="L733" s="1380"/>
      <c r="M733" s="831"/>
      <c r="N733" s="1380"/>
      <c r="O733" s="831"/>
      <c r="P733" s="831"/>
      <c r="Q733" s="1244"/>
      <c r="R733" s="1244"/>
      <c r="S733" s="1244"/>
      <c r="T733" s="1244"/>
      <c r="U733" s="1244"/>
      <c r="V733" s="1244"/>
      <c r="W733" s="1244"/>
      <c r="X733" s="1244"/>
      <c r="Y733" s="1244"/>
      <c r="Z733" s="1244"/>
    </row>
    <row r="734" spans="1:26" ht="18.75" hidden="1">
      <c r="A734" s="1368"/>
      <c r="B734" s="1243"/>
      <c r="C734" s="1243"/>
      <c r="D734" s="1243"/>
      <c r="E734" s="1243"/>
      <c r="F734" s="1243"/>
      <c r="G734" s="963"/>
      <c r="H734" s="730" t="s">
        <v>34</v>
      </c>
      <c r="I734" s="1379"/>
      <c r="J734" s="959">
        <v>0</v>
      </c>
      <c r="K734" s="831"/>
      <c r="L734" s="1380"/>
      <c r="M734" s="831"/>
      <c r="N734" s="1380"/>
      <c r="O734" s="831"/>
      <c r="P734" s="831"/>
      <c r="Q734" s="1244"/>
      <c r="R734" s="1244"/>
      <c r="S734" s="1244"/>
      <c r="T734" s="1244"/>
      <c r="U734" s="1244"/>
      <c r="V734" s="1244"/>
      <c r="W734" s="1244"/>
      <c r="X734" s="1244"/>
      <c r="Y734" s="1244"/>
      <c r="Z734" s="1244"/>
    </row>
    <row r="735" spans="1:26" ht="19.5" hidden="1">
      <c r="A735" s="1382"/>
      <c r="B735" s="1383" t="s">
        <v>311</v>
      </c>
      <c r="C735" s="1116"/>
      <c r="D735" s="1116"/>
      <c r="E735" s="1116"/>
      <c r="F735" s="1116"/>
      <c r="G735" s="1361"/>
      <c r="H735" s="391" t="s">
        <v>46</v>
      </c>
      <c r="I735" s="1384"/>
      <c r="J735" s="1118">
        <v>0</v>
      </c>
      <c r="K735" s="1182"/>
      <c r="L735" s="1385"/>
      <c r="M735" s="1182"/>
      <c r="N735" s="1385"/>
      <c r="O735" s="1182"/>
      <c r="P735" s="1182"/>
      <c r="Q735" s="1244"/>
      <c r="R735" s="1244"/>
      <c r="S735" s="1244"/>
      <c r="T735" s="1244"/>
      <c r="U735" s="1244"/>
      <c r="V735" s="1244"/>
      <c r="W735" s="1244"/>
      <c r="X735" s="1244"/>
      <c r="Y735" s="1244"/>
      <c r="Z735" s="1244"/>
    </row>
    <row r="736" spans="1:26" ht="19.5" hidden="1">
      <c r="A736" s="740">
        <v>9</v>
      </c>
      <c r="B736" s="1386" t="s">
        <v>312</v>
      </c>
      <c r="C736" s="1387"/>
      <c r="D736" s="1387"/>
      <c r="E736" s="1387"/>
      <c r="F736" s="1387"/>
      <c r="G736" s="1388"/>
      <c r="H736" s="744" t="s">
        <v>46</v>
      </c>
      <c r="I736" s="1389"/>
      <c r="J736" s="1389">
        <f>J751</f>
        <v>0</v>
      </c>
      <c r="K736" s="1390">
        <f>IF(I736&gt;0,J736*100/I736,0)</f>
        <v>0</v>
      </c>
      <c r="L736" s="1391"/>
      <c r="M736" s="1391"/>
      <c r="N736" s="1391"/>
      <c r="O736" s="1391"/>
      <c r="P736" s="1391"/>
      <c r="Q736" s="1264"/>
      <c r="R736" s="1264"/>
      <c r="S736" s="1264"/>
      <c r="T736" s="1264"/>
      <c r="U736" s="1264"/>
      <c r="V736" s="1264"/>
      <c r="W736" s="1264"/>
      <c r="X736" s="1264"/>
      <c r="Y736" s="1264"/>
      <c r="Z736" s="1264"/>
    </row>
    <row r="737" spans="1:26" ht="19.5" hidden="1">
      <c r="A737" s="1260"/>
      <c r="B737" s="1261"/>
      <c r="C737" s="1261" t="s">
        <v>16</v>
      </c>
      <c r="D737" s="1508" t="s">
        <v>17</v>
      </c>
      <c r="E737" s="1485"/>
      <c r="F737" s="1485"/>
      <c r="G737" s="1263"/>
      <c r="H737" s="612" t="s">
        <v>12</v>
      </c>
      <c r="I737" s="836"/>
      <c r="J737" s="836"/>
      <c r="K737" s="837"/>
      <c r="L737" s="1292">
        <f t="shared" ref="L737:N737" si="295">L738+L739</f>
        <v>0</v>
      </c>
      <c r="M737" s="1292">
        <f t="shared" si="295"/>
        <v>0</v>
      </c>
      <c r="N737" s="1292">
        <f t="shared" si="295"/>
        <v>0</v>
      </c>
      <c r="O737" s="1292">
        <f t="shared" ref="O737:O742" si="296">IF(L737&gt;0,N737*100/L737,0)</f>
        <v>0</v>
      </c>
      <c r="P737" s="1292">
        <f t="shared" ref="P737:P742" si="297">IF(M737&gt;0,N737*100/M737,0)</f>
        <v>0</v>
      </c>
      <c r="Q737" s="1264"/>
      <c r="R737" s="1264"/>
      <c r="S737" s="1264"/>
      <c r="T737" s="1264"/>
      <c r="U737" s="1264"/>
      <c r="V737" s="1264"/>
      <c r="W737" s="1264"/>
      <c r="X737" s="1264"/>
      <c r="Y737" s="1264"/>
      <c r="Z737" s="1264"/>
    </row>
    <row r="738" spans="1:26" ht="18.75" hidden="1">
      <c r="A738" s="1260"/>
      <c r="B738" s="1261"/>
      <c r="C738" s="1261"/>
      <c r="D738" s="1262"/>
      <c r="E738" s="1261" t="s">
        <v>184</v>
      </c>
      <c r="F738" s="1261"/>
      <c r="G738" s="1263"/>
      <c r="H738" s="165" t="s">
        <v>12</v>
      </c>
      <c r="I738" s="836"/>
      <c r="J738" s="836"/>
      <c r="K738" s="837"/>
      <c r="L738" s="837">
        <f t="shared" ref="L738:N739" si="298">L741+L748</f>
        <v>0</v>
      </c>
      <c r="M738" s="837">
        <f t="shared" si="298"/>
        <v>0</v>
      </c>
      <c r="N738" s="837">
        <f t="shared" si="298"/>
        <v>0</v>
      </c>
      <c r="O738" s="837">
        <f t="shared" si="296"/>
        <v>0</v>
      </c>
      <c r="P738" s="837">
        <f t="shared" si="297"/>
        <v>0</v>
      </c>
      <c r="Q738" s="1264"/>
      <c r="R738" s="1264"/>
      <c r="S738" s="1264"/>
      <c r="T738" s="1264"/>
      <c r="U738" s="1264"/>
      <c r="V738" s="1264"/>
      <c r="W738" s="1264"/>
      <c r="X738" s="1264"/>
      <c r="Y738" s="1264"/>
      <c r="Z738" s="1264"/>
    </row>
    <row r="739" spans="1:26" ht="18.75" hidden="1">
      <c r="A739" s="1260"/>
      <c r="B739" s="1265"/>
      <c r="C739" s="1261"/>
      <c r="D739" s="1262"/>
      <c r="E739" s="1261" t="s">
        <v>185</v>
      </c>
      <c r="F739" s="1261"/>
      <c r="G739" s="1263"/>
      <c r="H739" s="165" t="s">
        <v>12</v>
      </c>
      <c r="I739" s="836"/>
      <c r="J739" s="836"/>
      <c r="K739" s="837"/>
      <c r="L739" s="837">
        <f t="shared" si="298"/>
        <v>0</v>
      </c>
      <c r="M739" s="837">
        <f t="shared" si="298"/>
        <v>0</v>
      </c>
      <c r="N739" s="837">
        <f t="shared" si="298"/>
        <v>0</v>
      </c>
      <c r="O739" s="837">
        <f t="shared" si="296"/>
        <v>0</v>
      </c>
      <c r="P739" s="837">
        <f t="shared" si="297"/>
        <v>0</v>
      </c>
      <c r="Q739" s="1264"/>
      <c r="R739" s="1264"/>
      <c r="S739" s="1264"/>
      <c r="T739" s="1264"/>
      <c r="U739" s="1264"/>
      <c r="V739" s="1264"/>
      <c r="W739" s="1264"/>
      <c r="X739" s="1264"/>
      <c r="Y739" s="1264"/>
      <c r="Z739" s="1264"/>
    </row>
    <row r="740" spans="1:26" ht="19.5" hidden="1">
      <c r="A740" s="1260"/>
      <c r="B740" s="1265"/>
      <c r="C740" s="1261"/>
      <c r="D740" s="1392" t="s">
        <v>20</v>
      </c>
      <c r="E740" s="1261"/>
      <c r="F740" s="1261"/>
      <c r="G740" s="1263"/>
      <c r="H740" s="612" t="s">
        <v>12</v>
      </c>
      <c r="I740" s="947"/>
      <c r="J740" s="947"/>
      <c r="K740" s="948"/>
      <c r="L740" s="1292">
        <f t="shared" ref="L740:N740" si="299">L741+L742</f>
        <v>0</v>
      </c>
      <c r="M740" s="1292">
        <f t="shared" si="299"/>
        <v>0</v>
      </c>
      <c r="N740" s="1292">
        <f t="shared" si="299"/>
        <v>0</v>
      </c>
      <c r="O740" s="1292">
        <f t="shared" si="296"/>
        <v>0</v>
      </c>
      <c r="P740" s="1292">
        <f t="shared" si="297"/>
        <v>0</v>
      </c>
      <c r="Q740" s="1264"/>
      <c r="R740" s="1264"/>
      <c r="S740" s="1264"/>
      <c r="T740" s="1264"/>
      <c r="U740" s="1264"/>
      <c r="V740" s="1264"/>
      <c r="W740" s="1264"/>
      <c r="X740" s="1264"/>
      <c r="Y740" s="1264"/>
      <c r="Z740" s="1264"/>
    </row>
    <row r="741" spans="1:26" ht="18.75" hidden="1">
      <c r="A741" s="1260"/>
      <c r="B741" s="1265"/>
      <c r="C741" s="1261"/>
      <c r="D741" s="1262"/>
      <c r="E741" s="1261" t="s">
        <v>184</v>
      </c>
      <c r="F741" s="1261"/>
      <c r="G741" s="1263"/>
      <c r="H741" s="165" t="s">
        <v>12</v>
      </c>
      <c r="I741" s="836"/>
      <c r="J741" s="836"/>
      <c r="K741" s="837"/>
      <c r="L741" s="837">
        <v>0</v>
      </c>
      <c r="M741" s="837">
        <v>0</v>
      </c>
      <c r="N741" s="837">
        <v>0</v>
      </c>
      <c r="O741" s="837">
        <f t="shared" si="296"/>
        <v>0</v>
      </c>
      <c r="P741" s="837">
        <f t="shared" si="297"/>
        <v>0</v>
      </c>
      <c r="Q741" s="1264"/>
      <c r="R741" s="1264"/>
      <c r="S741" s="1264"/>
      <c r="T741" s="1264"/>
      <c r="U741" s="1264"/>
      <c r="V741" s="1264"/>
      <c r="W741" s="1264"/>
      <c r="X741" s="1264"/>
      <c r="Y741" s="1264"/>
      <c r="Z741" s="1264"/>
    </row>
    <row r="742" spans="1:26" ht="18.75" hidden="1">
      <c r="A742" s="1260"/>
      <c r="B742" s="1265"/>
      <c r="C742" s="1261"/>
      <c r="D742" s="1262"/>
      <c r="E742" s="1261" t="s">
        <v>185</v>
      </c>
      <c r="F742" s="1261"/>
      <c r="G742" s="1263"/>
      <c r="H742" s="165" t="s">
        <v>12</v>
      </c>
      <c r="I742" s="836"/>
      <c r="J742" s="836"/>
      <c r="K742" s="837"/>
      <c r="L742" s="837">
        <v>0</v>
      </c>
      <c r="M742" s="837">
        <v>0</v>
      </c>
      <c r="N742" s="837">
        <f>N743+N744+N745+N746</f>
        <v>0</v>
      </c>
      <c r="O742" s="837">
        <f t="shared" si="296"/>
        <v>0</v>
      </c>
      <c r="P742" s="837">
        <f t="shared" si="297"/>
        <v>0</v>
      </c>
      <c r="Q742" s="1264"/>
      <c r="R742" s="1264"/>
      <c r="S742" s="1264"/>
      <c r="T742" s="1264"/>
      <c r="U742" s="1264"/>
      <c r="V742" s="1264"/>
      <c r="W742" s="1264"/>
      <c r="X742" s="1264"/>
      <c r="Y742" s="1264"/>
      <c r="Z742" s="1264"/>
    </row>
    <row r="743" spans="1:26" ht="18.75" hidden="1">
      <c r="A743" s="1294"/>
      <c r="B743" s="1265"/>
      <c r="C743" s="1261"/>
      <c r="D743" s="1261"/>
      <c r="E743" s="1261"/>
      <c r="F743" s="1261" t="s">
        <v>186</v>
      </c>
      <c r="G743" s="1263"/>
      <c r="H743" s="165" t="s">
        <v>12</v>
      </c>
      <c r="I743" s="836"/>
      <c r="J743" s="836"/>
      <c r="K743" s="837"/>
      <c r="L743" s="837"/>
      <c r="M743" s="837"/>
      <c r="N743" s="837"/>
      <c r="O743" s="837"/>
      <c r="P743" s="837"/>
      <c r="Q743" s="1264"/>
      <c r="R743" s="1264"/>
      <c r="S743" s="1264"/>
      <c r="T743" s="1264"/>
      <c r="U743" s="1264"/>
      <c r="V743" s="1264"/>
      <c r="W743" s="1264"/>
      <c r="X743" s="1264"/>
      <c r="Y743" s="1264"/>
      <c r="Z743" s="1264"/>
    </row>
    <row r="744" spans="1:26" ht="18.75" hidden="1">
      <c r="A744" s="1294"/>
      <c r="B744" s="1265"/>
      <c r="C744" s="1261"/>
      <c r="D744" s="1261"/>
      <c r="E744" s="1261"/>
      <c r="F744" s="1261" t="s">
        <v>187</v>
      </c>
      <c r="G744" s="1263"/>
      <c r="H744" s="165" t="s">
        <v>12</v>
      </c>
      <c r="I744" s="836"/>
      <c r="J744" s="836"/>
      <c r="K744" s="837"/>
      <c r="L744" s="837"/>
      <c r="M744" s="837"/>
      <c r="N744" s="837"/>
      <c r="O744" s="837"/>
      <c r="P744" s="837"/>
      <c r="Q744" s="1264"/>
      <c r="R744" s="1264"/>
      <c r="S744" s="1264"/>
      <c r="T744" s="1264"/>
      <c r="U744" s="1264"/>
      <c r="V744" s="1264"/>
      <c r="W744" s="1264"/>
      <c r="X744" s="1264"/>
      <c r="Y744" s="1264"/>
      <c r="Z744" s="1264"/>
    </row>
    <row r="745" spans="1:26" ht="18.75" hidden="1">
      <c r="A745" s="1294"/>
      <c r="B745" s="1265"/>
      <c r="C745" s="1261"/>
      <c r="D745" s="1261"/>
      <c r="E745" s="1261"/>
      <c r="F745" s="1261" t="s">
        <v>188</v>
      </c>
      <c r="G745" s="1263"/>
      <c r="H745" s="165" t="s">
        <v>12</v>
      </c>
      <c r="I745" s="836"/>
      <c r="J745" s="836"/>
      <c r="K745" s="837"/>
      <c r="L745" s="837"/>
      <c r="M745" s="837"/>
      <c r="N745" s="837"/>
      <c r="O745" s="837"/>
      <c r="P745" s="837"/>
      <c r="Q745" s="1264"/>
      <c r="R745" s="1264"/>
      <c r="S745" s="1264"/>
      <c r="T745" s="1264"/>
      <c r="U745" s="1264"/>
      <c r="V745" s="1264"/>
      <c r="W745" s="1264"/>
      <c r="X745" s="1264"/>
      <c r="Y745" s="1264"/>
      <c r="Z745" s="1264"/>
    </row>
    <row r="746" spans="1:26" ht="18.75" hidden="1">
      <c r="A746" s="1294"/>
      <c r="B746" s="1265"/>
      <c r="C746" s="1261"/>
      <c r="D746" s="1261"/>
      <c r="E746" s="1261"/>
      <c r="F746" s="1261" t="s">
        <v>189</v>
      </c>
      <c r="G746" s="1263"/>
      <c r="H746" s="165" t="s">
        <v>12</v>
      </c>
      <c r="I746" s="836"/>
      <c r="J746" s="836"/>
      <c r="K746" s="837"/>
      <c r="L746" s="837"/>
      <c r="M746" s="837"/>
      <c r="N746" s="837"/>
      <c r="O746" s="837"/>
      <c r="P746" s="837"/>
      <c r="Q746" s="1264"/>
      <c r="R746" s="1264"/>
      <c r="S746" s="1264"/>
      <c r="T746" s="1264"/>
      <c r="U746" s="1264"/>
      <c r="V746" s="1264"/>
      <c r="W746" s="1264"/>
      <c r="X746" s="1264"/>
      <c r="Y746" s="1264"/>
      <c r="Z746" s="1264"/>
    </row>
    <row r="747" spans="1:26" ht="19.5" hidden="1">
      <c r="A747" s="1260"/>
      <c r="B747" s="1265"/>
      <c r="C747" s="1261"/>
      <c r="D747" s="1392" t="s">
        <v>21</v>
      </c>
      <c r="E747" s="1261"/>
      <c r="F747" s="1261"/>
      <c r="G747" s="1263"/>
      <c r="H747" s="749" t="s">
        <v>12</v>
      </c>
      <c r="I747" s="947"/>
      <c r="J747" s="947"/>
      <c r="K747" s="948"/>
      <c r="L747" s="1292">
        <f t="shared" ref="L747:N747" si="300">L748+L749</f>
        <v>0</v>
      </c>
      <c r="M747" s="1292">
        <f t="shared" si="300"/>
        <v>0</v>
      </c>
      <c r="N747" s="1292">
        <f t="shared" si="300"/>
        <v>0</v>
      </c>
      <c r="O747" s="1292">
        <f t="shared" ref="O747:O749" si="301">IF(L747&gt;0,N747*100/L747,0)</f>
        <v>0</v>
      </c>
      <c r="P747" s="1292">
        <f t="shared" ref="P747:P749" si="302">IF(M747&gt;0,N747*100/M747,0)</f>
        <v>0</v>
      </c>
      <c r="Q747" s="1264"/>
      <c r="R747" s="1264"/>
      <c r="S747" s="1264"/>
      <c r="T747" s="1264"/>
      <c r="U747" s="1264"/>
      <c r="V747" s="1264"/>
      <c r="W747" s="1264"/>
      <c r="X747" s="1264"/>
      <c r="Y747" s="1264"/>
      <c r="Z747" s="1264"/>
    </row>
    <row r="748" spans="1:26" ht="18.75" hidden="1">
      <c r="A748" s="1260"/>
      <c r="B748" s="1265"/>
      <c r="C748" s="1261"/>
      <c r="D748" s="1261"/>
      <c r="E748" s="1261" t="s">
        <v>18</v>
      </c>
      <c r="F748" s="1261"/>
      <c r="G748" s="1263"/>
      <c r="H748" s="165" t="s">
        <v>12</v>
      </c>
      <c r="I748" s="947"/>
      <c r="J748" s="947"/>
      <c r="K748" s="948"/>
      <c r="L748" s="837">
        <v>0</v>
      </c>
      <c r="M748" s="837">
        <v>0</v>
      </c>
      <c r="N748" s="837">
        <v>0</v>
      </c>
      <c r="O748" s="837">
        <f t="shared" si="301"/>
        <v>0</v>
      </c>
      <c r="P748" s="837">
        <f t="shared" si="302"/>
        <v>0</v>
      </c>
      <c r="Q748" s="1264"/>
      <c r="R748" s="1264"/>
      <c r="S748" s="1264"/>
      <c r="T748" s="1264"/>
      <c r="U748" s="1264"/>
      <c r="V748" s="1264"/>
      <c r="W748" s="1264"/>
      <c r="X748" s="1264"/>
      <c r="Y748" s="1264"/>
      <c r="Z748" s="1264"/>
    </row>
    <row r="749" spans="1:26" ht="18.75" hidden="1">
      <c r="A749" s="1260"/>
      <c r="B749" s="1265"/>
      <c r="C749" s="1261"/>
      <c r="D749" s="1261"/>
      <c r="E749" s="1261" t="s">
        <v>19</v>
      </c>
      <c r="F749" s="1261"/>
      <c r="G749" s="1263"/>
      <c r="H749" s="169" t="s">
        <v>12</v>
      </c>
      <c r="I749" s="947"/>
      <c r="J749" s="947"/>
      <c r="K749" s="948"/>
      <c r="L749" s="837">
        <v>0</v>
      </c>
      <c r="M749" s="837">
        <v>0</v>
      </c>
      <c r="N749" s="837">
        <v>0</v>
      </c>
      <c r="O749" s="837">
        <f t="shared" si="301"/>
        <v>0</v>
      </c>
      <c r="P749" s="837">
        <f t="shared" si="302"/>
        <v>0</v>
      </c>
      <c r="Q749" s="1264"/>
      <c r="R749" s="1264"/>
      <c r="S749" s="1264"/>
      <c r="T749" s="1264"/>
      <c r="U749" s="1264"/>
      <c r="V749" s="1264"/>
      <c r="W749" s="1264"/>
      <c r="X749" s="1264"/>
      <c r="Y749" s="1264"/>
      <c r="Z749" s="1264"/>
    </row>
    <row r="750" spans="1:26" ht="19.5" hidden="1">
      <c r="A750" s="1273"/>
      <c r="B750" s="1274"/>
      <c r="C750" s="1261" t="s">
        <v>16</v>
      </c>
      <c r="D750" s="1393" t="s">
        <v>38</v>
      </c>
      <c r="E750" s="1296"/>
      <c r="F750" s="1296"/>
      <c r="G750" s="1297"/>
      <c r="H750" s="1060"/>
      <c r="I750" s="947"/>
      <c r="J750" s="947"/>
      <c r="K750" s="948"/>
      <c r="L750" s="948"/>
      <c r="M750" s="948"/>
      <c r="N750" s="948"/>
      <c r="O750" s="948"/>
      <c r="P750" s="948"/>
      <c r="Q750" s="1264"/>
      <c r="R750" s="1264"/>
      <c r="S750" s="1264"/>
      <c r="T750" s="1264"/>
      <c r="U750" s="1264"/>
      <c r="V750" s="1264"/>
      <c r="W750" s="1264"/>
      <c r="X750" s="1264"/>
      <c r="Y750" s="1264"/>
      <c r="Z750" s="1264"/>
    </row>
    <row r="751" spans="1:26" ht="18.75" hidden="1">
      <c r="A751" s="1294"/>
      <c r="B751" s="1265"/>
      <c r="C751" s="1261"/>
      <c r="D751" s="1261"/>
      <c r="E751" s="1261" t="s">
        <v>313</v>
      </c>
      <c r="F751" s="1261"/>
      <c r="G751" s="1263"/>
      <c r="H751" s="165" t="s">
        <v>46</v>
      </c>
      <c r="I751" s="836"/>
      <c r="J751" s="836"/>
      <c r="K751" s="837"/>
      <c r="L751" s="837"/>
      <c r="M751" s="837"/>
      <c r="N751" s="837"/>
      <c r="O751" s="837"/>
      <c r="P751" s="837"/>
      <c r="Q751" s="1264"/>
      <c r="R751" s="1264"/>
      <c r="S751" s="1264"/>
      <c r="T751" s="1264"/>
      <c r="U751" s="1264"/>
      <c r="V751" s="1264"/>
      <c r="W751" s="1264"/>
      <c r="X751" s="1264"/>
      <c r="Y751" s="1264"/>
      <c r="Z751" s="1264"/>
    </row>
    <row r="752" spans="1:26" ht="18.75" hidden="1">
      <c r="A752" s="1294"/>
      <c r="B752" s="1265"/>
      <c r="C752" s="1261"/>
      <c r="D752" s="1261"/>
      <c r="E752" s="1261"/>
      <c r="F752" s="1261"/>
      <c r="G752" s="1263"/>
      <c r="H752" s="165" t="s">
        <v>314</v>
      </c>
      <c r="I752" s="836"/>
      <c r="J752" s="836"/>
      <c r="K752" s="837"/>
      <c r="L752" s="837"/>
      <c r="M752" s="837"/>
      <c r="N752" s="837"/>
      <c r="O752" s="837"/>
      <c r="P752" s="837"/>
      <c r="Q752" s="1264"/>
      <c r="R752" s="1264"/>
      <c r="S752" s="1264"/>
      <c r="T752" s="1264"/>
      <c r="U752" s="1264"/>
      <c r="V752" s="1264"/>
      <c r="W752" s="1264"/>
      <c r="X752" s="1264"/>
      <c r="Y752" s="1264"/>
      <c r="Z752" s="1264"/>
    </row>
    <row r="753" spans="1:26" ht="19.5" hidden="1">
      <c r="A753" s="751">
        <v>10</v>
      </c>
      <c r="B753" s="1394" t="s">
        <v>315</v>
      </c>
      <c r="C753" s="1395"/>
      <c r="D753" s="1395"/>
      <c r="E753" s="1395"/>
      <c r="F753" s="1395"/>
      <c r="G753" s="1396"/>
      <c r="H753" s="755" t="s">
        <v>46</v>
      </c>
      <c r="I753" s="1397"/>
      <c r="J753" s="1397">
        <f>J768</f>
        <v>0</v>
      </c>
      <c r="K753" s="1398">
        <f>IF(I753&gt;0,J753*100/I753,0)</f>
        <v>0</v>
      </c>
      <c r="L753" s="1399"/>
      <c r="M753" s="1399"/>
      <c r="N753" s="1399"/>
      <c r="O753" s="1399"/>
      <c r="P753" s="1399"/>
      <c r="Q753" s="1264"/>
      <c r="R753" s="1264"/>
      <c r="S753" s="1264"/>
      <c r="T753" s="1264"/>
      <c r="U753" s="1264"/>
      <c r="V753" s="1264"/>
      <c r="W753" s="1264"/>
      <c r="X753" s="1264"/>
      <c r="Y753" s="1264"/>
      <c r="Z753" s="1264"/>
    </row>
    <row r="754" spans="1:26" ht="19.5" hidden="1">
      <c r="A754" s="1260"/>
      <c r="B754" s="1261"/>
      <c r="C754" s="1261" t="s">
        <v>16</v>
      </c>
      <c r="D754" s="1508" t="s">
        <v>17</v>
      </c>
      <c r="E754" s="1485"/>
      <c r="F754" s="1485"/>
      <c r="G754" s="1263"/>
      <c r="H754" s="612" t="s">
        <v>12</v>
      </c>
      <c r="I754" s="836"/>
      <c r="J754" s="836"/>
      <c r="K754" s="837"/>
      <c r="L754" s="1292">
        <f t="shared" ref="L754:N754" si="303">L755+L756</f>
        <v>0</v>
      </c>
      <c r="M754" s="1292">
        <f t="shared" si="303"/>
        <v>0</v>
      </c>
      <c r="N754" s="1292">
        <f t="shared" si="303"/>
        <v>0</v>
      </c>
      <c r="O754" s="1292">
        <f t="shared" ref="O754:O759" si="304">IF(L754&gt;0,N754*100/L754,0)</f>
        <v>0</v>
      </c>
      <c r="P754" s="1292">
        <f t="shared" ref="P754:P759" si="305">IF(M754&gt;0,N754*100/M754,0)</f>
        <v>0</v>
      </c>
      <c r="Q754" s="1264"/>
      <c r="R754" s="1264"/>
      <c r="S754" s="1264"/>
      <c r="T754" s="1264"/>
      <c r="U754" s="1264"/>
      <c r="V754" s="1264"/>
      <c r="W754" s="1264"/>
      <c r="X754" s="1264"/>
      <c r="Y754" s="1264"/>
      <c r="Z754" s="1264"/>
    </row>
    <row r="755" spans="1:26" ht="18.75" hidden="1">
      <c r="A755" s="1260"/>
      <c r="B755" s="1261"/>
      <c r="C755" s="1261"/>
      <c r="D755" s="1262"/>
      <c r="E755" s="1261" t="s">
        <v>184</v>
      </c>
      <c r="F755" s="1261"/>
      <c r="G755" s="1263"/>
      <c r="H755" s="165" t="s">
        <v>12</v>
      </c>
      <c r="I755" s="836"/>
      <c r="J755" s="836"/>
      <c r="K755" s="837"/>
      <c r="L755" s="837">
        <f t="shared" ref="L755:N756" si="306">L758+L765</f>
        <v>0</v>
      </c>
      <c r="M755" s="837">
        <f t="shared" si="306"/>
        <v>0</v>
      </c>
      <c r="N755" s="837">
        <f t="shared" si="306"/>
        <v>0</v>
      </c>
      <c r="O755" s="837">
        <f t="shared" si="304"/>
        <v>0</v>
      </c>
      <c r="P755" s="837">
        <f t="shared" si="305"/>
        <v>0</v>
      </c>
      <c r="Q755" s="1264"/>
      <c r="R755" s="1264"/>
      <c r="S755" s="1264"/>
      <c r="T755" s="1264"/>
      <c r="U755" s="1264"/>
      <c r="V755" s="1264"/>
      <c r="W755" s="1264"/>
      <c r="X755" s="1264"/>
      <c r="Y755" s="1264"/>
      <c r="Z755" s="1264"/>
    </row>
    <row r="756" spans="1:26" ht="18.75" hidden="1">
      <c r="A756" s="1260"/>
      <c r="B756" s="1265"/>
      <c r="C756" s="1261"/>
      <c r="D756" s="1262"/>
      <c r="E756" s="1261" t="s">
        <v>185</v>
      </c>
      <c r="F756" s="1261"/>
      <c r="G756" s="1263"/>
      <c r="H756" s="165" t="s">
        <v>12</v>
      </c>
      <c r="I756" s="836"/>
      <c r="J756" s="836"/>
      <c r="K756" s="837"/>
      <c r="L756" s="837">
        <f t="shared" si="306"/>
        <v>0</v>
      </c>
      <c r="M756" s="837">
        <f t="shared" si="306"/>
        <v>0</v>
      </c>
      <c r="N756" s="837">
        <f t="shared" si="306"/>
        <v>0</v>
      </c>
      <c r="O756" s="837">
        <f t="shared" si="304"/>
        <v>0</v>
      </c>
      <c r="P756" s="837">
        <f t="shared" si="305"/>
        <v>0</v>
      </c>
      <c r="Q756" s="1264"/>
      <c r="R756" s="1264"/>
      <c r="S756" s="1264"/>
      <c r="T756" s="1264"/>
      <c r="U756" s="1264"/>
      <c r="V756" s="1264"/>
      <c r="W756" s="1264"/>
      <c r="X756" s="1264"/>
      <c r="Y756" s="1264"/>
      <c r="Z756" s="1264"/>
    </row>
    <row r="757" spans="1:26" ht="19.5" hidden="1">
      <c r="A757" s="1260"/>
      <c r="B757" s="1265"/>
      <c r="C757" s="1261"/>
      <c r="D757" s="1392" t="s">
        <v>20</v>
      </c>
      <c r="E757" s="1261"/>
      <c r="F757" s="1261"/>
      <c r="G757" s="1263"/>
      <c r="H757" s="612" t="s">
        <v>12</v>
      </c>
      <c r="I757" s="947"/>
      <c r="J757" s="947"/>
      <c r="K757" s="948"/>
      <c r="L757" s="1292">
        <f t="shared" ref="L757:N757" si="307">L758+L759</f>
        <v>0</v>
      </c>
      <c r="M757" s="1292">
        <f t="shared" si="307"/>
        <v>0</v>
      </c>
      <c r="N757" s="1292">
        <f t="shared" si="307"/>
        <v>0</v>
      </c>
      <c r="O757" s="1292">
        <f t="shared" si="304"/>
        <v>0</v>
      </c>
      <c r="P757" s="1292">
        <f t="shared" si="305"/>
        <v>0</v>
      </c>
      <c r="Q757" s="1264"/>
      <c r="R757" s="1264"/>
      <c r="S757" s="1264"/>
      <c r="T757" s="1264"/>
      <c r="U757" s="1264"/>
      <c r="V757" s="1264"/>
      <c r="W757" s="1264"/>
      <c r="X757" s="1264"/>
      <c r="Y757" s="1264"/>
      <c r="Z757" s="1264"/>
    </row>
    <row r="758" spans="1:26" ht="18.75" hidden="1">
      <c r="A758" s="1260"/>
      <c r="B758" s="1265"/>
      <c r="C758" s="1261"/>
      <c r="D758" s="1262"/>
      <c r="E758" s="1261" t="s">
        <v>184</v>
      </c>
      <c r="F758" s="1261"/>
      <c r="G758" s="1263"/>
      <c r="H758" s="165" t="s">
        <v>12</v>
      </c>
      <c r="I758" s="836"/>
      <c r="J758" s="836"/>
      <c r="K758" s="837"/>
      <c r="L758" s="837">
        <v>0</v>
      </c>
      <c r="M758" s="837">
        <v>0</v>
      </c>
      <c r="N758" s="837">
        <v>0</v>
      </c>
      <c r="O758" s="837">
        <f t="shared" si="304"/>
        <v>0</v>
      </c>
      <c r="P758" s="837">
        <f t="shared" si="305"/>
        <v>0</v>
      </c>
      <c r="Q758" s="1264"/>
      <c r="R758" s="1264"/>
      <c r="S758" s="1264"/>
      <c r="T758" s="1264"/>
      <c r="U758" s="1264"/>
      <c r="V758" s="1264"/>
      <c r="W758" s="1264"/>
      <c r="X758" s="1264"/>
      <c r="Y758" s="1264"/>
      <c r="Z758" s="1264"/>
    </row>
    <row r="759" spans="1:26" ht="18.75" hidden="1">
      <c r="A759" s="1260"/>
      <c r="B759" s="1265"/>
      <c r="C759" s="1261"/>
      <c r="D759" s="1262"/>
      <c r="E759" s="1261" t="s">
        <v>185</v>
      </c>
      <c r="F759" s="1261"/>
      <c r="G759" s="1263"/>
      <c r="H759" s="165" t="s">
        <v>12</v>
      </c>
      <c r="I759" s="836"/>
      <c r="J759" s="836"/>
      <c r="K759" s="837"/>
      <c r="L759" s="837">
        <v>0</v>
      </c>
      <c r="M759" s="837">
        <v>0</v>
      </c>
      <c r="N759" s="837">
        <f>N760+N761+N762+N763</f>
        <v>0</v>
      </c>
      <c r="O759" s="837">
        <f t="shared" si="304"/>
        <v>0</v>
      </c>
      <c r="P759" s="837">
        <f t="shared" si="305"/>
        <v>0</v>
      </c>
      <c r="Q759" s="1264"/>
      <c r="R759" s="1264"/>
      <c r="S759" s="1264"/>
      <c r="T759" s="1264"/>
      <c r="U759" s="1264"/>
      <c r="V759" s="1264"/>
      <c r="W759" s="1264"/>
      <c r="X759" s="1264"/>
      <c r="Y759" s="1264"/>
      <c r="Z759" s="1264"/>
    </row>
    <row r="760" spans="1:26" ht="18.75" hidden="1">
      <c r="A760" s="1294"/>
      <c r="B760" s="1265"/>
      <c r="C760" s="1261"/>
      <c r="D760" s="1261"/>
      <c r="E760" s="1261"/>
      <c r="F760" s="1261" t="s">
        <v>186</v>
      </c>
      <c r="G760" s="1263"/>
      <c r="H760" s="165" t="s">
        <v>12</v>
      </c>
      <c r="I760" s="836"/>
      <c r="J760" s="836"/>
      <c r="K760" s="837"/>
      <c r="L760" s="837"/>
      <c r="M760" s="837"/>
      <c r="N760" s="837"/>
      <c r="O760" s="837"/>
      <c r="P760" s="837"/>
      <c r="Q760" s="1264"/>
      <c r="R760" s="1264"/>
      <c r="S760" s="1264"/>
      <c r="T760" s="1264"/>
      <c r="U760" s="1264"/>
      <c r="V760" s="1264"/>
      <c r="W760" s="1264"/>
      <c r="X760" s="1264"/>
      <c r="Y760" s="1264"/>
      <c r="Z760" s="1264"/>
    </row>
    <row r="761" spans="1:26" ht="18.75" hidden="1">
      <c r="A761" s="1294"/>
      <c r="B761" s="1265"/>
      <c r="C761" s="1261"/>
      <c r="D761" s="1261"/>
      <c r="E761" s="1261"/>
      <c r="F761" s="1261" t="s">
        <v>187</v>
      </c>
      <c r="G761" s="1263"/>
      <c r="H761" s="165" t="s">
        <v>12</v>
      </c>
      <c r="I761" s="836"/>
      <c r="J761" s="836"/>
      <c r="K761" s="837"/>
      <c r="L761" s="837"/>
      <c r="M761" s="837"/>
      <c r="N761" s="837"/>
      <c r="O761" s="837"/>
      <c r="P761" s="837"/>
      <c r="Q761" s="1264"/>
      <c r="R761" s="1264"/>
      <c r="S761" s="1264"/>
      <c r="T761" s="1264"/>
      <c r="U761" s="1264"/>
      <c r="V761" s="1264"/>
      <c r="W761" s="1264"/>
      <c r="X761" s="1264"/>
      <c r="Y761" s="1264"/>
      <c r="Z761" s="1264"/>
    </row>
    <row r="762" spans="1:26" ht="18.75" hidden="1">
      <c r="A762" s="1294"/>
      <c r="B762" s="1265"/>
      <c r="C762" s="1261"/>
      <c r="D762" s="1261"/>
      <c r="E762" s="1261"/>
      <c r="F762" s="1261" t="s">
        <v>188</v>
      </c>
      <c r="G762" s="1263"/>
      <c r="H762" s="165" t="s">
        <v>12</v>
      </c>
      <c r="I762" s="836"/>
      <c r="J762" s="836"/>
      <c r="K762" s="837"/>
      <c r="L762" s="837"/>
      <c r="M762" s="837"/>
      <c r="N762" s="837"/>
      <c r="O762" s="837"/>
      <c r="P762" s="837"/>
      <c r="Q762" s="1264"/>
      <c r="R762" s="1264"/>
      <c r="S762" s="1264"/>
      <c r="T762" s="1264"/>
      <c r="U762" s="1264"/>
      <c r="V762" s="1264"/>
      <c r="W762" s="1264"/>
      <c r="X762" s="1264"/>
      <c r="Y762" s="1264"/>
      <c r="Z762" s="1264"/>
    </row>
    <row r="763" spans="1:26" ht="18.75" hidden="1">
      <c r="A763" s="1294"/>
      <c r="B763" s="1265"/>
      <c r="C763" s="1261"/>
      <c r="D763" s="1261"/>
      <c r="E763" s="1261"/>
      <c r="F763" s="1261" t="s">
        <v>189</v>
      </c>
      <c r="G763" s="1263"/>
      <c r="H763" s="165" t="s">
        <v>12</v>
      </c>
      <c r="I763" s="836"/>
      <c r="J763" s="836"/>
      <c r="K763" s="837"/>
      <c r="L763" s="837"/>
      <c r="M763" s="837"/>
      <c r="N763" s="837"/>
      <c r="O763" s="837"/>
      <c r="P763" s="837"/>
      <c r="Q763" s="1264"/>
      <c r="R763" s="1264"/>
      <c r="S763" s="1264"/>
      <c r="T763" s="1264"/>
      <c r="U763" s="1264"/>
      <c r="V763" s="1264"/>
      <c r="W763" s="1264"/>
      <c r="X763" s="1264"/>
      <c r="Y763" s="1264"/>
      <c r="Z763" s="1264"/>
    </row>
    <row r="764" spans="1:26" ht="19.5" hidden="1">
      <c r="A764" s="1260"/>
      <c r="B764" s="1265"/>
      <c r="C764" s="1261"/>
      <c r="D764" s="1392" t="s">
        <v>21</v>
      </c>
      <c r="E764" s="1261"/>
      <c r="F764" s="1261"/>
      <c r="G764" s="1263"/>
      <c r="H764" s="749" t="s">
        <v>12</v>
      </c>
      <c r="I764" s="947"/>
      <c r="J764" s="947"/>
      <c r="K764" s="948"/>
      <c r="L764" s="1292">
        <f t="shared" ref="L764:N764" si="308">L765+L766</f>
        <v>0</v>
      </c>
      <c r="M764" s="1292">
        <f t="shared" si="308"/>
        <v>0</v>
      </c>
      <c r="N764" s="1292">
        <f t="shared" si="308"/>
        <v>0</v>
      </c>
      <c r="O764" s="1292">
        <f t="shared" ref="O764:O766" si="309">IF(L764&gt;0,N764*100/L764,0)</f>
        <v>0</v>
      </c>
      <c r="P764" s="1292">
        <f t="shared" ref="P764:P766" si="310">IF(M764&gt;0,N764*100/M764,0)</f>
        <v>0</v>
      </c>
      <c r="Q764" s="1264"/>
      <c r="R764" s="1264"/>
      <c r="S764" s="1264"/>
      <c r="T764" s="1264"/>
      <c r="U764" s="1264"/>
      <c r="V764" s="1264"/>
      <c r="W764" s="1264"/>
      <c r="X764" s="1264"/>
      <c r="Y764" s="1264"/>
      <c r="Z764" s="1264"/>
    </row>
    <row r="765" spans="1:26" ht="18.75" hidden="1">
      <c r="A765" s="1260"/>
      <c r="B765" s="1265"/>
      <c r="C765" s="1261"/>
      <c r="D765" s="1261"/>
      <c r="E765" s="1261" t="s">
        <v>18</v>
      </c>
      <c r="F765" s="1261"/>
      <c r="G765" s="1263"/>
      <c r="H765" s="165" t="s">
        <v>12</v>
      </c>
      <c r="I765" s="947"/>
      <c r="J765" s="947"/>
      <c r="K765" s="948"/>
      <c r="L765" s="837">
        <v>0</v>
      </c>
      <c r="M765" s="837">
        <v>0</v>
      </c>
      <c r="N765" s="837">
        <v>0</v>
      </c>
      <c r="O765" s="837">
        <f t="shared" si="309"/>
        <v>0</v>
      </c>
      <c r="P765" s="837">
        <f t="shared" si="310"/>
        <v>0</v>
      </c>
      <c r="Q765" s="1264"/>
      <c r="R765" s="1264"/>
      <c r="S765" s="1264"/>
      <c r="T765" s="1264"/>
      <c r="U765" s="1264"/>
      <c r="V765" s="1264"/>
      <c r="W765" s="1264"/>
      <c r="X765" s="1264"/>
      <c r="Y765" s="1264"/>
      <c r="Z765" s="1264"/>
    </row>
    <row r="766" spans="1:26" ht="18.75" hidden="1">
      <c r="A766" s="1260"/>
      <c r="B766" s="1265"/>
      <c r="C766" s="1261"/>
      <c r="D766" s="1261"/>
      <c r="E766" s="1261" t="s">
        <v>19</v>
      </c>
      <c r="F766" s="1261"/>
      <c r="G766" s="1263"/>
      <c r="H766" s="169" t="s">
        <v>12</v>
      </c>
      <c r="I766" s="947"/>
      <c r="J766" s="947"/>
      <c r="K766" s="948"/>
      <c r="L766" s="837">
        <v>0</v>
      </c>
      <c r="M766" s="837">
        <v>0</v>
      </c>
      <c r="N766" s="837">
        <v>0</v>
      </c>
      <c r="O766" s="837">
        <f t="shared" si="309"/>
        <v>0</v>
      </c>
      <c r="P766" s="837">
        <f t="shared" si="310"/>
        <v>0</v>
      </c>
      <c r="Q766" s="1264"/>
      <c r="R766" s="1264"/>
      <c r="S766" s="1264"/>
      <c r="T766" s="1264"/>
      <c r="U766" s="1264"/>
      <c r="V766" s="1264"/>
      <c r="W766" s="1264"/>
      <c r="X766" s="1264"/>
      <c r="Y766" s="1264"/>
      <c r="Z766" s="1264"/>
    </row>
    <row r="767" spans="1:26" ht="19.5" hidden="1">
      <c r="A767" s="1273"/>
      <c r="B767" s="1274"/>
      <c r="C767" s="1261" t="s">
        <v>16</v>
      </c>
      <c r="D767" s="1393" t="s">
        <v>38</v>
      </c>
      <c r="E767" s="1296"/>
      <c r="F767" s="1296"/>
      <c r="G767" s="1297"/>
      <c r="H767" s="1060"/>
      <c r="I767" s="947"/>
      <c r="J767" s="947"/>
      <c r="K767" s="948"/>
      <c r="L767" s="948"/>
      <c r="M767" s="948"/>
      <c r="N767" s="948"/>
      <c r="O767" s="948"/>
      <c r="P767" s="948"/>
      <c r="Q767" s="1264"/>
      <c r="R767" s="1264"/>
      <c r="S767" s="1264"/>
      <c r="T767" s="1264"/>
      <c r="U767" s="1264"/>
      <c r="V767" s="1264"/>
      <c r="W767" s="1264"/>
      <c r="X767" s="1264"/>
      <c r="Y767" s="1264"/>
      <c r="Z767" s="1264"/>
    </row>
    <row r="768" spans="1:26" ht="18.75" hidden="1">
      <c r="A768" s="1294"/>
      <c r="B768" s="1265"/>
      <c r="C768" s="1261"/>
      <c r="D768" s="1261"/>
      <c r="E768" s="1261" t="s">
        <v>316</v>
      </c>
      <c r="F768" s="1261"/>
      <c r="G768" s="1263"/>
      <c r="H768" s="165" t="s">
        <v>46</v>
      </c>
      <c r="I768" s="836"/>
      <c r="J768" s="836"/>
      <c r="K768" s="837"/>
      <c r="L768" s="837"/>
      <c r="M768" s="837"/>
      <c r="N768" s="837"/>
      <c r="O768" s="837"/>
      <c r="P768" s="837"/>
      <c r="Q768" s="1264"/>
      <c r="R768" s="1264"/>
      <c r="S768" s="1264"/>
      <c r="T768" s="1264"/>
      <c r="U768" s="1264"/>
      <c r="V768" s="1264"/>
      <c r="W768" s="1264"/>
      <c r="X768" s="1264"/>
      <c r="Y768" s="1264"/>
      <c r="Z768" s="1264"/>
    </row>
    <row r="769" spans="1:26" ht="19.5" hidden="1">
      <c r="A769" s="759">
        <v>11</v>
      </c>
      <c r="B769" s="1400" t="s">
        <v>317</v>
      </c>
      <c r="C769" s="1401"/>
      <c r="D769" s="1401"/>
      <c r="E769" s="1401"/>
      <c r="F769" s="1401"/>
      <c r="G769" s="1402"/>
      <c r="H769" s="763" t="s">
        <v>46</v>
      </c>
      <c r="I769" s="1403"/>
      <c r="J769" s="1403">
        <f>J784</f>
        <v>0</v>
      </c>
      <c r="K769" s="1404">
        <f>IF(I769&gt;0,J769*100/I769,0)</f>
        <v>0</v>
      </c>
      <c r="L769" s="1405"/>
      <c r="M769" s="1405"/>
      <c r="N769" s="1405"/>
      <c r="O769" s="1405"/>
      <c r="P769" s="1405"/>
      <c r="Q769" s="1264"/>
      <c r="R769" s="1264"/>
      <c r="S769" s="1264"/>
      <c r="T769" s="1264"/>
      <c r="U769" s="1264"/>
      <c r="V769" s="1264"/>
      <c r="W769" s="1264"/>
      <c r="X769" s="1264"/>
      <c r="Y769" s="1264"/>
      <c r="Z769" s="1264"/>
    </row>
    <row r="770" spans="1:26" ht="19.5" hidden="1">
      <c r="A770" s="1260"/>
      <c r="B770" s="1261"/>
      <c r="C770" s="1261" t="s">
        <v>16</v>
      </c>
      <c r="D770" s="1508" t="s">
        <v>17</v>
      </c>
      <c r="E770" s="1485"/>
      <c r="F770" s="1485"/>
      <c r="G770" s="1263"/>
      <c r="H770" s="612" t="s">
        <v>12</v>
      </c>
      <c r="I770" s="836"/>
      <c r="J770" s="836"/>
      <c r="K770" s="837"/>
      <c r="L770" s="1292">
        <f t="shared" ref="L770:N770" si="311">L771+L772</f>
        <v>0</v>
      </c>
      <c r="M770" s="1292">
        <f t="shared" si="311"/>
        <v>0</v>
      </c>
      <c r="N770" s="1292">
        <f t="shared" si="311"/>
        <v>0</v>
      </c>
      <c r="O770" s="1292">
        <f t="shared" ref="O770:O775" si="312">IF(L770&gt;0,N770*100/L770,0)</f>
        <v>0</v>
      </c>
      <c r="P770" s="1292">
        <f t="shared" ref="P770:P775" si="313">IF(M770&gt;0,N770*100/M770,0)</f>
        <v>0</v>
      </c>
      <c r="Q770" s="1264"/>
      <c r="R770" s="1264"/>
      <c r="S770" s="1264"/>
      <c r="T770" s="1264"/>
      <c r="U770" s="1264"/>
      <c r="V770" s="1264"/>
      <c r="W770" s="1264"/>
      <c r="X770" s="1264"/>
      <c r="Y770" s="1264"/>
      <c r="Z770" s="1264"/>
    </row>
    <row r="771" spans="1:26" ht="18.75" hidden="1">
      <c r="A771" s="1260"/>
      <c r="B771" s="1261"/>
      <c r="C771" s="1261"/>
      <c r="D771" s="1262"/>
      <c r="E771" s="1261" t="s">
        <v>184</v>
      </c>
      <c r="F771" s="1261"/>
      <c r="G771" s="1263"/>
      <c r="H771" s="165" t="s">
        <v>12</v>
      </c>
      <c r="I771" s="836"/>
      <c r="J771" s="836"/>
      <c r="K771" s="837"/>
      <c r="L771" s="837">
        <f t="shared" ref="L771:N772" si="314">L774+L781</f>
        <v>0</v>
      </c>
      <c r="M771" s="837">
        <f t="shared" si="314"/>
        <v>0</v>
      </c>
      <c r="N771" s="837">
        <f t="shared" si="314"/>
        <v>0</v>
      </c>
      <c r="O771" s="837">
        <f t="shared" si="312"/>
        <v>0</v>
      </c>
      <c r="P771" s="837">
        <f t="shared" si="313"/>
        <v>0</v>
      </c>
      <c r="Q771" s="1264"/>
      <c r="R771" s="1264"/>
      <c r="S771" s="1264"/>
      <c r="T771" s="1264"/>
      <c r="U771" s="1264"/>
      <c r="V771" s="1264"/>
      <c r="W771" s="1264"/>
      <c r="X771" s="1264"/>
      <c r="Y771" s="1264"/>
      <c r="Z771" s="1264"/>
    </row>
    <row r="772" spans="1:26" ht="18.75" hidden="1">
      <c r="A772" s="1260"/>
      <c r="B772" s="1265"/>
      <c r="C772" s="1261"/>
      <c r="D772" s="1262"/>
      <c r="E772" s="1261" t="s">
        <v>185</v>
      </c>
      <c r="F772" s="1261"/>
      <c r="G772" s="1263"/>
      <c r="H772" s="165" t="s">
        <v>12</v>
      </c>
      <c r="I772" s="836"/>
      <c r="J772" s="836"/>
      <c r="K772" s="837"/>
      <c r="L772" s="837">
        <f t="shared" si="314"/>
        <v>0</v>
      </c>
      <c r="M772" s="837">
        <f t="shared" si="314"/>
        <v>0</v>
      </c>
      <c r="N772" s="837">
        <f t="shared" si="314"/>
        <v>0</v>
      </c>
      <c r="O772" s="837">
        <f t="shared" si="312"/>
        <v>0</v>
      </c>
      <c r="P772" s="837">
        <f t="shared" si="313"/>
        <v>0</v>
      </c>
      <c r="Q772" s="1264"/>
      <c r="R772" s="1264"/>
      <c r="S772" s="1264"/>
      <c r="T772" s="1264"/>
      <c r="U772" s="1264"/>
      <c r="V772" s="1264"/>
      <c r="W772" s="1264"/>
      <c r="X772" s="1264"/>
      <c r="Y772" s="1264"/>
      <c r="Z772" s="1264"/>
    </row>
    <row r="773" spans="1:26" ht="19.5" hidden="1">
      <c r="A773" s="1260"/>
      <c r="B773" s="1265"/>
      <c r="C773" s="1261"/>
      <c r="D773" s="1392" t="s">
        <v>20</v>
      </c>
      <c r="E773" s="1261"/>
      <c r="F773" s="1261"/>
      <c r="G773" s="1263"/>
      <c r="H773" s="612" t="s">
        <v>12</v>
      </c>
      <c r="I773" s="947"/>
      <c r="J773" s="947"/>
      <c r="K773" s="948"/>
      <c r="L773" s="1292">
        <f t="shared" ref="L773:N773" si="315">L774+L775</f>
        <v>0</v>
      </c>
      <c r="M773" s="1292">
        <f t="shared" si="315"/>
        <v>0</v>
      </c>
      <c r="N773" s="1292">
        <f t="shared" si="315"/>
        <v>0</v>
      </c>
      <c r="O773" s="1292">
        <f t="shared" si="312"/>
        <v>0</v>
      </c>
      <c r="P773" s="1292">
        <f t="shared" si="313"/>
        <v>0</v>
      </c>
      <c r="Q773" s="1264"/>
      <c r="R773" s="1264"/>
      <c r="S773" s="1264"/>
      <c r="T773" s="1264"/>
      <c r="U773" s="1264"/>
      <c r="V773" s="1264"/>
      <c r="W773" s="1264"/>
      <c r="X773" s="1264"/>
      <c r="Y773" s="1264"/>
      <c r="Z773" s="1264"/>
    </row>
    <row r="774" spans="1:26" ht="18.75" hidden="1">
      <c r="A774" s="1260"/>
      <c r="B774" s="1265"/>
      <c r="C774" s="1261"/>
      <c r="D774" s="1262"/>
      <c r="E774" s="1261" t="s">
        <v>184</v>
      </c>
      <c r="F774" s="1261"/>
      <c r="G774" s="1263"/>
      <c r="H774" s="165" t="s">
        <v>12</v>
      </c>
      <c r="I774" s="836"/>
      <c r="J774" s="836"/>
      <c r="K774" s="837"/>
      <c r="L774" s="837">
        <v>0</v>
      </c>
      <c r="M774" s="837">
        <v>0</v>
      </c>
      <c r="N774" s="837">
        <v>0</v>
      </c>
      <c r="O774" s="837">
        <f t="shared" si="312"/>
        <v>0</v>
      </c>
      <c r="P774" s="837">
        <f t="shared" si="313"/>
        <v>0</v>
      </c>
      <c r="Q774" s="1264"/>
      <c r="R774" s="1264"/>
      <c r="S774" s="1264"/>
      <c r="T774" s="1264"/>
      <c r="U774" s="1264"/>
      <c r="V774" s="1264"/>
      <c r="W774" s="1264"/>
      <c r="X774" s="1264"/>
      <c r="Y774" s="1264"/>
      <c r="Z774" s="1264"/>
    </row>
    <row r="775" spans="1:26" ht="18.75" hidden="1">
      <c r="A775" s="1260"/>
      <c r="B775" s="1265"/>
      <c r="C775" s="1261"/>
      <c r="D775" s="1262"/>
      <c r="E775" s="1261" t="s">
        <v>185</v>
      </c>
      <c r="F775" s="1261"/>
      <c r="G775" s="1263"/>
      <c r="H775" s="165" t="s">
        <v>12</v>
      </c>
      <c r="I775" s="836"/>
      <c r="J775" s="836"/>
      <c r="K775" s="837"/>
      <c r="L775" s="837">
        <v>0</v>
      </c>
      <c r="M775" s="837">
        <v>0</v>
      </c>
      <c r="N775" s="837">
        <f>N776+N777+N778+N779</f>
        <v>0</v>
      </c>
      <c r="O775" s="837">
        <f t="shared" si="312"/>
        <v>0</v>
      </c>
      <c r="P775" s="837">
        <f t="shared" si="313"/>
        <v>0</v>
      </c>
      <c r="Q775" s="1264"/>
      <c r="R775" s="1264"/>
      <c r="S775" s="1264"/>
      <c r="T775" s="1264"/>
      <c r="U775" s="1264"/>
      <c r="V775" s="1264"/>
      <c r="W775" s="1264"/>
      <c r="X775" s="1264"/>
      <c r="Y775" s="1264"/>
      <c r="Z775" s="1264"/>
    </row>
    <row r="776" spans="1:26" ht="18.75" hidden="1">
      <c r="A776" s="1294"/>
      <c r="B776" s="1265"/>
      <c r="C776" s="1261"/>
      <c r="D776" s="1261"/>
      <c r="E776" s="1261"/>
      <c r="F776" s="1261" t="s">
        <v>186</v>
      </c>
      <c r="G776" s="1263"/>
      <c r="H776" s="165" t="s">
        <v>12</v>
      </c>
      <c r="I776" s="836"/>
      <c r="J776" s="836"/>
      <c r="K776" s="837"/>
      <c r="L776" s="837"/>
      <c r="M776" s="837"/>
      <c r="N776" s="837"/>
      <c r="O776" s="837"/>
      <c r="P776" s="837"/>
      <c r="Q776" s="1264"/>
      <c r="R776" s="1264"/>
      <c r="S776" s="1264"/>
      <c r="T776" s="1264"/>
      <c r="U776" s="1264"/>
      <c r="V776" s="1264"/>
      <c r="W776" s="1264"/>
      <c r="X776" s="1264"/>
      <c r="Y776" s="1264"/>
      <c r="Z776" s="1264"/>
    </row>
    <row r="777" spans="1:26" ht="18.75" hidden="1">
      <c r="A777" s="1294"/>
      <c r="B777" s="1265"/>
      <c r="C777" s="1261"/>
      <c r="D777" s="1261"/>
      <c r="E777" s="1261"/>
      <c r="F777" s="1261" t="s">
        <v>187</v>
      </c>
      <c r="G777" s="1263"/>
      <c r="H777" s="165" t="s">
        <v>12</v>
      </c>
      <c r="I777" s="836"/>
      <c r="J777" s="836"/>
      <c r="K777" s="837"/>
      <c r="L777" s="837"/>
      <c r="M777" s="837"/>
      <c r="N777" s="837"/>
      <c r="O777" s="837"/>
      <c r="P777" s="837"/>
      <c r="Q777" s="1264"/>
      <c r="R777" s="1264"/>
      <c r="S777" s="1264"/>
      <c r="T777" s="1264"/>
      <c r="U777" s="1264"/>
      <c r="V777" s="1264"/>
      <c r="W777" s="1264"/>
      <c r="X777" s="1264"/>
      <c r="Y777" s="1264"/>
      <c r="Z777" s="1264"/>
    </row>
    <row r="778" spans="1:26" ht="18.75" hidden="1">
      <c r="A778" s="1294"/>
      <c r="B778" s="1265"/>
      <c r="C778" s="1261"/>
      <c r="D778" s="1261"/>
      <c r="E778" s="1261"/>
      <c r="F778" s="1261" t="s">
        <v>188</v>
      </c>
      <c r="G778" s="1263"/>
      <c r="H778" s="165" t="s">
        <v>12</v>
      </c>
      <c r="I778" s="836"/>
      <c r="J778" s="836"/>
      <c r="K778" s="837"/>
      <c r="L778" s="837"/>
      <c r="M778" s="837"/>
      <c r="N778" s="837"/>
      <c r="O778" s="837"/>
      <c r="P778" s="837"/>
      <c r="Q778" s="1264"/>
      <c r="R778" s="1264"/>
      <c r="S778" s="1264"/>
      <c r="T778" s="1264"/>
      <c r="U778" s="1264"/>
      <c r="V778" s="1264"/>
      <c r="W778" s="1264"/>
      <c r="X778" s="1264"/>
      <c r="Y778" s="1264"/>
      <c r="Z778" s="1264"/>
    </row>
    <row r="779" spans="1:26" ht="18.75" hidden="1">
      <c r="A779" s="1294"/>
      <c r="B779" s="1265"/>
      <c r="C779" s="1261"/>
      <c r="D779" s="1261"/>
      <c r="E779" s="1261"/>
      <c r="F779" s="1261" t="s">
        <v>189</v>
      </c>
      <c r="G779" s="1263"/>
      <c r="H779" s="165" t="s">
        <v>12</v>
      </c>
      <c r="I779" s="836"/>
      <c r="J779" s="836"/>
      <c r="K779" s="837"/>
      <c r="L779" s="837"/>
      <c r="M779" s="837"/>
      <c r="N779" s="837"/>
      <c r="O779" s="837"/>
      <c r="P779" s="837"/>
      <c r="Q779" s="1264"/>
      <c r="R779" s="1264"/>
      <c r="S779" s="1264"/>
      <c r="T779" s="1264"/>
      <c r="U779" s="1264"/>
      <c r="V779" s="1264"/>
      <c r="W779" s="1264"/>
      <c r="X779" s="1264"/>
      <c r="Y779" s="1264"/>
      <c r="Z779" s="1264"/>
    </row>
    <row r="780" spans="1:26" ht="19.5" hidden="1">
      <c r="A780" s="1260"/>
      <c r="B780" s="1265"/>
      <c r="C780" s="1261"/>
      <c r="D780" s="1392" t="s">
        <v>21</v>
      </c>
      <c r="E780" s="1261"/>
      <c r="F780" s="1261"/>
      <c r="G780" s="1263"/>
      <c r="H780" s="749" t="s">
        <v>12</v>
      </c>
      <c r="I780" s="947"/>
      <c r="J780" s="947"/>
      <c r="K780" s="948"/>
      <c r="L780" s="1292">
        <f t="shared" ref="L780:N780" si="316">L781+L782</f>
        <v>0</v>
      </c>
      <c r="M780" s="1292">
        <f t="shared" si="316"/>
        <v>0</v>
      </c>
      <c r="N780" s="1292">
        <f t="shared" si="316"/>
        <v>0</v>
      </c>
      <c r="O780" s="1292">
        <f t="shared" ref="O780:O782" si="317">IF(L780&gt;0,N780*100/L780,0)</f>
        <v>0</v>
      </c>
      <c r="P780" s="1292">
        <f t="shared" ref="P780:P782" si="318">IF(M780&gt;0,N780*100/M780,0)</f>
        <v>0</v>
      </c>
      <c r="Q780" s="1264"/>
      <c r="R780" s="1264"/>
      <c r="S780" s="1264"/>
      <c r="T780" s="1264"/>
      <c r="U780" s="1264"/>
      <c r="V780" s="1264"/>
      <c r="W780" s="1264"/>
      <c r="X780" s="1264"/>
      <c r="Y780" s="1264"/>
      <c r="Z780" s="1264"/>
    </row>
    <row r="781" spans="1:26" ht="18.75" hidden="1">
      <c r="A781" s="1260"/>
      <c r="B781" s="1265"/>
      <c r="C781" s="1261"/>
      <c r="D781" s="1261"/>
      <c r="E781" s="1261" t="s">
        <v>18</v>
      </c>
      <c r="F781" s="1261"/>
      <c r="G781" s="1263"/>
      <c r="H781" s="165" t="s">
        <v>12</v>
      </c>
      <c r="I781" s="947"/>
      <c r="J781" s="947"/>
      <c r="K781" s="948"/>
      <c r="L781" s="837">
        <v>0</v>
      </c>
      <c r="M781" s="837">
        <v>0</v>
      </c>
      <c r="N781" s="837">
        <v>0</v>
      </c>
      <c r="O781" s="837">
        <f t="shared" si="317"/>
        <v>0</v>
      </c>
      <c r="P781" s="837">
        <f t="shared" si="318"/>
        <v>0</v>
      </c>
      <c r="Q781" s="1264"/>
      <c r="R781" s="1264"/>
      <c r="S781" s="1264"/>
      <c r="T781" s="1264"/>
      <c r="U781" s="1264"/>
      <c r="V781" s="1264"/>
      <c r="W781" s="1264"/>
      <c r="X781" s="1264"/>
      <c r="Y781" s="1264"/>
      <c r="Z781" s="1264"/>
    </row>
    <row r="782" spans="1:26" ht="18.75" hidden="1">
      <c r="A782" s="1260"/>
      <c r="B782" s="1265"/>
      <c r="C782" s="1261"/>
      <c r="D782" s="1261"/>
      <c r="E782" s="1261" t="s">
        <v>19</v>
      </c>
      <c r="F782" s="1261"/>
      <c r="G782" s="1263"/>
      <c r="H782" s="169" t="s">
        <v>12</v>
      </c>
      <c r="I782" s="947"/>
      <c r="J782" s="947"/>
      <c r="K782" s="948"/>
      <c r="L782" s="837">
        <v>0</v>
      </c>
      <c r="M782" s="837">
        <v>0</v>
      </c>
      <c r="N782" s="837">
        <v>0</v>
      </c>
      <c r="O782" s="837">
        <f t="shared" si="317"/>
        <v>0</v>
      </c>
      <c r="P782" s="837">
        <f t="shared" si="318"/>
        <v>0</v>
      </c>
      <c r="Q782" s="1264"/>
      <c r="R782" s="1264"/>
      <c r="S782" s="1264"/>
      <c r="T782" s="1264"/>
      <c r="U782" s="1264"/>
      <c r="V782" s="1264"/>
      <c r="W782" s="1264"/>
      <c r="X782" s="1264"/>
      <c r="Y782" s="1264"/>
      <c r="Z782" s="1264"/>
    </row>
    <row r="783" spans="1:26" ht="19.5" hidden="1">
      <c r="A783" s="1273"/>
      <c r="B783" s="1274"/>
      <c r="C783" s="1261" t="s">
        <v>16</v>
      </c>
      <c r="D783" s="1393" t="s">
        <v>38</v>
      </c>
      <c r="E783" s="1296"/>
      <c r="F783" s="1296"/>
      <c r="G783" s="1297"/>
      <c r="H783" s="1406"/>
      <c r="I783" s="947"/>
      <c r="J783" s="947"/>
      <c r="K783" s="948"/>
      <c r="L783" s="948"/>
      <c r="M783" s="948"/>
      <c r="N783" s="948"/>
      <c r="O783" s="948"/>
      <c r="P783" s="948"/>
      <c r="Q783" s="1264"/>
      <c r="R783" s="1264"/>
      <c r="S783" s="1264"/>
      <c r="T783" s="1264"/>
      <c r="U783" s="1264"/>
      <c r="V783" s="1264"/>
      <c r="W783" s="1264"/>
      <c r="X783" s="1264"/>
      <c r="Y783" s="1264"/>
      <c r="Z783" s="1264"/>
    </row>
    <row r="784" spans="1:26" ht="18.75" hidden="1">
      <c r="A784" s="1294"/>
      <c r="B784" s="1265"/>
      <c r="C784" s="1261"/>
      <c r="D784" s="1261"/>
      <c r="E784" s="1261" t="s">
        <v>318</v>
      </c>
      <c r="F784" s="1261"/>
      <c r="G784" s="1263"/>
      <c r="H784" s="165" t="s">
        <v>46</v>
      </c>
      <c r="I784" s="836"/>
      <c r="J784" s="836"/>
      <c r="K784" s="837"/>
      <c r="L784" s="837"/>
      <c r="M784" s="837"/>
      <c r="N784" s="837"/>
      <c r="O784" s="837"/>
      <c r="P784" s="837"/>
      <c r="Q784" s="1264"/>
      <c r="R784" s="1264"/>
      <c r="S784" s="1264"/>
      <c r="T784" s="1264"/>
      <c r="U784" s="1264"/>
      <c r="V784" s="1264"/>
      <c r="W784" s="1264"/>
      <c r="X784" s="1264"/>
      <c r="Y784" s="1264"/>
      <c r="Z784" s="1264"/>
    </row>
    <row r="785" spans="1:26" ht="19.5" hidden="1">
      <c r="A785" s="768">
        <v>12</v>
      </c>
      <c r="B785" s="1407" t="s">
        <v>319</v>
      </c>
      <c r="C785" s="1408"/>
      <c r="D785" s="1408"/>
      <c r="E785" s="1408"/>
      <c r="F785" s="1408"/>
      <c r="G785" s="1409"/>
      <c r="H785" s="772" t="s">
        <v>46</v>
      </c>
      <c r="I785" s="1436">
        <f ca="1">I800</f>
        <v>0</v>
      </c>
      <c r="J785" s="1410">
        <f ca="1">J801</f>
        <v>0</v>
      </c>
      <c r="K785" s="1411">
        <f ca="1">IF(I785&gt;0,J785*100/I785,0)</f>
        <v>0</v>
      </c>
      <c r="L785" s="1412"/>
      <c r="M785" s="1412"/>
      <c r="N785" s="1412"/>
      <c r="O785" s="1412"/>
      <c r="P785" s="1412"/>
      <c r="Q785" s="1244"/>
      <c r="R785" s="1244"/>
      <c r="S785" s="1244"/>
      <c r="T785" s="1244"/>
      <c r="U785" s="1244"/>
      <c r="V785" s="1244"/>
      <c r="W785" s="1244"/>
      <c r="X785" s="1244"/>
      <c r="Y785" s="1244"/>
      <c r="Z785" s="1244"/>
    </row>
    <row r="786" spans="1:26" ht="19.5" hidden="1">
      <c r="A786" s="1259"/>
      <c r="B786" s="1242"/>
      <c r="C786" s="1243" t="s">
        <v>16</v>
      </c>
      <c r="D786" s="1507" t="s">
        <v>17</v>
      </c>
      <c r="E786" s="1485"/>
      <c r="F786" s="1485"/>
      <c r="G786" s="963"/>
      <c r="H786" s="563" t="s">
        <v>12</v>
      </c>
      <c r="I786" s="830"/>
      <c r="J786" s="830"/>
      <c r="K786" s="831"/>
      <c r="L786" s="967">
        <f t="shared" ref="L786:N786" ca="1" si="319">L787+L788</f>
        <v>0</v>
      </c>
      <c r="M786" s="967">
        <f t="shared" si="319"/>
        <v>0</v>
      </c>
      <c r="N786" s="967">
        <f t="shared" si="319"/>
        <v>0</v>
      </c>
      <c r="O786" s="967">
        <f t="shared" ref="O786:O791" ca="1" si="320">IF(L786&gt;0,N786*100/L786,0)</f>
        <v>0</v>
      </c>
      <c r="P786" s="967">
        <f t="shared" ref="P786:P791" si="321">IF(M786&gt;0,N786*100/M786,0)</f>
        <v>0</v>
      </c>
      <c r="Q786" s="1244"/>
      <c r="R786" s="1244"/>
      <c r="S786" s="1244"/>
      <c r="T786" s="1244"/>
      <c r="U786" s="1244"/>
      <c r="V786" s="1244"/>
      <c r="W786" s="1244"/>
      <c r="X786" s="1244"/>
      <c r="Y786" s="1244"/>
      <c r="Z786" s="1244"/>
    </row>
    <row r="787" spans="1:26" ht="18.75" hidden="1">
      <c r="A787" s="1260"/>
      <c r="B787" s="1265"/>
      <c r="C787" s="1261"/>
      <c r="D787" s="1262"/>
      <c r="E787" s="1261" t="s">
        <v>184</v>
      </c>
      <c r="F787" s="1261"/>
      <c r="G787" s="1263"/>
      <c r="H787" s="165" t="s">
        <v>12</v>
      </c>
      <c r="I787" s="836"/>
      <c r="J787" s="836"/>
      <c r="K787" s="837"/>
      <c r="L787" s="837">
        <f t="shared" ref="L787:N788" si="322">L790+L797</f>
        <v>0</v>
      </c>
      <c r="M787" s="837">
        <f t="shared" si="322"/>
        <v>0</v>
      </c>
      <c r="N787" s="837">
        <f t="shared" si="322"/>
        <v>0</v>
      </c>
      <c r="O787" s="837">
        <f t="shared" si="320"/>
        <v>0</v>
      </c>
      <c r="P787" s="837">
        <f t="shared" si="321"/>
        <v>0</v>
      </c>
      <c r="Q787" s="1264"/>
      <c r="R787" s="1264"/>
      <c r="S787" s="1264"/>
      <c r="T787" s="1264"/>
      <c r="U787" s="1264"/>
      <c r="V787" s="1264"/>
      <c r="W787" s="1264"/>
      <c r="X787" s="1264"/>
      <c r="Y787" s="1264"/>
      <c r="Z787" s="1264"/>
    </row>
    <row r="788" spans="1:26" ht="18.75" hidden="1">
      <c r="A788" s="1260"/>
      <c r="B788" s="1265"/>
      <c r="C788" s="1265"/>
      <c r="D788" s="1274"/>
      <c r="E788" s="1261" t="s">
        <v>185</v>
      </c>
      <c r="F788" s="1261"/>
      <c r="G788" s="1263"/>
      <c r="H788" s="165" t="s">
        <v>12</v>
      </c>
      <c r="I788" s="836"/>
      <c r="J788" s="836"/>
      <c r="K788" s="837"/>
      <c r="L788" s="837">
        <f t="shared" ca="1" si="322"/>
        <v>0</v>
      </c>
      <c r="M788" s="837">
        <f t="shared" si="322"/>
        <v>0</v>
      </c>
      <c r="N788" s="837">
        <f t="shared" si="322"/>
        <v>0</v>
      </c>
      <c r="O788" s="837">
        <f t="shared" ca="1" si="320"/>
        <v>0</v>
      </c>
      <c r="P788" s="837">
        <f t="shared" si="321"/>
        <v>0</v>
      </c>
      <c r="Q788" s="1264"/>
      <c r="R788" s="1264"/>
      <c r="S788" s="1264"/>
      <c r="T788" s="1264"/>
      <c r="U788" s="1264"/>
      <c r="V788" s="1264"/>
      <c r="W788" s="1264"/>
      <c r="X788" s="1264"/>
      <c r="Y788" s="1264"/>
      <c r="Z788" s="1264"/>
    </row>
    <row r="789" spans="1:26" ht="18.75" hidden="1">
      <c r="A789" s="1259"/>
      <c r="B789" s="1242"/>
      <c r="C789" s="1242"/>
      <c r="D789" s="1266" t="s">
        <v>20</v>
      </c>
      <c r="E789" s="1243"/>
      <c r="F789" s="1243"/>
      <c r="G789" s="963"/>
      <c r="H789" s="778" t="s">
        <v>12</v>
      </c>
      <c r="I789" s="944"/>
      <c r="J789" s="944"/>
      <c r="K789" s="945"/>
      <c r="L789" s="831">
        <f t="shared" ref="L789:N789" ca="1" si="323">L790+L791</f>
        <v>0</v>
      </c>
      <c r="M789" s="831">
        <f t="shared" si="323"/>
        <v>0</v>
      </c>
      <c r="N789" s="831">
        <f t="shared" si="323"/>
        <v>0</v>
      </c>
      <c r="O789" s="831">
        <f t="shared" ca="1" si="320"/>
        <v>0</v>
      </c>
      <c r="P789" s="831">
        <f t="shared" si="321"/>
        <v>0</v>
      </c>
      <c r="Q789" s="1244"/>
      <c r="R789" s="1244"/>
      <c r="S789" s="1244"/>
      <c r="T789" s="1244"/>
      <c r="U789" s="1244"/>
      <c r="V789" s="1244"/>
      <c r="W789" s="1244"/>
      <c r="X789" s="1244"/>
      <c r="Y789" s="1244"/>
      <c r="Z789" s="1244"/>
    </row>
    <row r="790" spans="1:26" ht="18.75" hidden="1">
      <c r="A790" s="1260"/>
      <c r="B790" s="1265"/>
      <c r="C790" s="1265"/>
      <c r="D790" s="1274"/>
      <c r="E790" s="1261" t="s">
        <v>184</v>
      </c>
      <c r="F790" s="1261"/>
      <c r="G790" s="1263"/>
      <c r="H790" s="165" t="s">
        <v>12</v>
      </c>
      <c r="I790" s="836"/>
      <c r="J790" s="836"/>
      <c r="K790" s="837"/>
      <c r="L790" s="837">
        <v>0</v>
      </c>
      <c r="M790" s="837">
        <v>0</v>
      </c>
      <c r="N790" s="837">
        <v>0</v>
      </c>
      <c r="O790" s="837">
        <f t="shared" si="320"/>
        <v>0</v>
      </c>
      <c r="P790" s="837">
        <f t="shared" si="321"/>
        <v>0</v>
      </c>
      <c r="Q790" s="1264"/>
      <c r="R790" s="1264"/>
      <c r="S790" s="1264"/>
      <c r="T790" s="1264"/>
      <c r="U790" s="1264"/>
      <c r="V790" s="1264"/>
      <c r="W790" s="1264"/>
      <c r="X790" s="1264"/>
      <c r="Y790" s="1264"/>
      <c r="Z790" s="1264"/>
    </row>
    <row r="791" spans="1:26" ht="18.75" hidden="1">
      <c r="A791" s="1260"/>
      <c r="B791" s="1265"/>
      <c r="C791" s="1265"/>
      <c r="D791" s="1274"/>
      <c r="E791" s="1261" t="s">
        <v>185</v>
      </c>
      <c r="F791" s="1261"/>
      <c r="G791" s="1263"/>
      <c r="H791" s="165" t="s">
        <v>12</v>
      </c>
      <c r="I791" s="836"/>
      <c r="J791" s="836"/>
      <c r="K791" s="837"/>
      <c r="L791" s="837">
        <f ca="1">IFERROR(__xludf.DUMMYFUNCTION("IMPORTRANGE(""https://docs.google.com/spreadsheets/d/1QqKyyYR6Q21VydFLVH3TRQUabQu_ym0Zz7PgGX0-kHA/edit?usp=sharing"",""แผน!JJ17"")"),0)</f>
        <v>0</v>
      </c>
      <c r="M791" s="837">
        <v>0</v>
      </c>
      <c r="N791" s="837">
        <f>N792+N793+N794+N795</f>
        <v>0</v>
      </c>
      <c r="O791" s="837">
        <f t="shared" ca="1" si="320"/>
        <v>0</v>
      </c>
      <c r="P791" s="837">
        <f t="shared" si="321"/>
        <v>0</v>
      </c>
      <c r="Q791" s="1264"/>
      <c r="R791" s="1264"/>
      <c r="S791" s="1264"/>
      <c r="T791" s="1264"/>
      <c r="U791" s="1264"/>
      <c r="V791" s="1264"/>
      <c r="W791" s="1264"/>
      <c r="X791" s="1264"/>
      <c r="Y791" s="1264"/>
      <c r="Z791" s="1264"/>
    </row>
    <row r="792" spans="1:26" ht="18.75" hidden="1">
      <c r="A792" s="1241"/>
      <c r="B792" s="1242"/>
      <c r="C792" s="1243"/>
      <c r="D792" s="1243"/>
      <c r="E792" s="1243"/>
      <c r="F792" s="1243" t="s">
        <v>186</v>
      </c>
      <c r="G792" s="963"/>
      <c r="H792" s="778" t="s">
        <v>12</v>
      </c>
      <c r="I792" s="830"/>
      <c r="J792" s="830"/>
      <c r="K792" s="831"/>
      <c r="L792" s="831"/>
      <c r="M792" s="831"/>
      <c r="N792" s="1031">
        <v>0</v>
      </c>
      <c r="O792" s="831"/>
      <c r="P792" s="831"/>
      <c r="Q792" s="1244"/>
      <c r="R792" s="1244"/>
      <c r="S792" s="1244"/>
      <c r="T792" s="1244"/>
      <c r="U792" s="1244"/>
      <c r="V792" s="1244"/>
      <c r="W792" s="1244"/>
      <c r="X792" s="1244"/>
      <c r="Y792" s="1244"/>
      <c r="Z792" s="1244"/>
    </row>
    <row r="793" spans="1:26" ht="18.75" hidden="1">
      <c r="A793" s="1241"/>
      <c r="B793" s="1242"/>
      <c r="C793" s="1243"/>
      <c r="D793" s="1243"/>
      <c r="E793" s="1243"/>
      <c r="F793" s="1243" t="s">
        <v>187</v>
      </c>
      <c r="G793" s="963"/>
      <c r="H793" s="778" t="s">
        <v>12</v>
      </c>
      <c r="I793" s="830"/>
      <c r="J793" s="830"/>
      <c r="K793" s="831"/>
      <c r="L793" s="831"/>
      <c r="M793" s="831"/>
      <c r="N793" s="1031">
        <v>0</v>
      </c>
      <c r="O793" s="831"/>
      <c r="P793" s="831"/>
      <c r="Q793" s="1244"/>
      <c r="R793" s="1244"/>
      <c r="S793" s="1244"/>
      <c r="T793" s="1244"/>
      <c r="U793" s="1244"/>
      <c r="V793" s="1244"/>
      <c r="W793" s="1244"/>
      <c r="X793" s="1244"/>
      <c r="Y793" s="1244"/>
      <c r="Z793" s="1244"/>
    </row>
    <row r="794" spans="1:26" ht="18.75" hidden="1">
      <c r="A794" s="1241"/>
      <c r="B794" s="1242"/>
      <c r="C794" s="1243"/>
      <c r="D794" s="1243"/>
      <c r="E794" s="1243"/>
      <c r="F794" s="1243" t="s">
        <v>188</v>
      </c>
      <c r="G794" s="963"/>
      <c r="H794" s="778" t="s">
        <v>12</v>
      </c>
      <c r="I794" s="830"/>
      <c r="J794" s="830"/>
      <c r="K794" s="831"/>
      <c r="L794" s="831"/>
      <c r="M794" s="831"/>
      <c r="N794" s="1031">
        <v>0</v>
      </c>
      <c r="O794" s="831"/>
      <c r="P794" s="831"/>
      <c r="Q794" s="1244"/>
      <c r="R794" s="1244"/>
      <c r="S794" s="1244"/>
      <c r="T794" s="1244"/>
      <c r="U794" s="1244"/>
      <c r="V794" s="1244"/>
      <c r="W794" s="1244"/>
      <c r="X794" s="1244"/>
      <c r="Y794" s="1244"/>
      <c r="Z794" s="1244"/>
    </row>
    <row r="795" spans="1:26" ht="18.75" hidden="1">
      <c r="A795" s="1241"/>
      <c r="B795" s="1242"/>
      <c r="C795" s="1243"/>
      <c r="D795" s="1243"/>
      <c r="E795" s="1243"/>
      <c r="F795" s="1243" t="s">
        <v>189</v>
      </c>
      <c r="G795" s="963"/>
      <c r="H795" s="778" t="s">
        <v>12</v>
      </c>
      <c r="I795" s="830"/>
      <c r="J795" s="830"/>
      <c r="K795" s="831"/>
      <c r="L795" s="831"/>
      <c r="M795" s="831"/>
      <c r="N795" s="1031">
        <v>0</v>
      </c>
      <c r="O795" s="831"/>
      <c r="P795" s="831"/>
      <c r="Q795" s="1244"/>
      <c r="R795" s="1244"/>
      <c r="S795" s="1244"/>
      <c r="T795" s="1244"/>
      <c r="U795" s="1244"/>
      <c r="V795" s="1244"/>
      <c r="W795" s="1244"/>
      <c r="X795" s="1244"/>
      <c r="Y795" s="1244"/>
      <c r="Z795" s="1244"/>
    </row>
    <row r="796" spans="1:26" ht="18.75" hidden="1">
      <c r="A796" s="1259"/>
      <c r="B796" s="1242"/>
      <c r="C796" s="1243"/>
      <c r="D796" s="1266" t="s">
        <v>21</v>
      </c>
      <c r="E796" s="1243"/>
      <c r="F796" s="1243"/>
      <c r="G796" s="963"/>
      <c r="H796" s="168" t="s">
        <v>12</v>
      </c>
      <c r="I796" s="944"/>
      <c r="J796" s="944"/>
      <c r="K796" s="945"/>
      <c r="L796" s="831">
        <f t="shared" ref="L796:N796" si="324">L797+L798</f>
        <v>0</v>
      </c>
      <c r="M796" s="831">
        <f t="shared" si="324"/>
        <v>0</v>
      </c>
      <c r="N796" s="831">
        <f t="shared" si="324"/>
        <v>0</v>
      </c>
      <c r="O796" s="831">
        <f t="shared" ref="O796:O798" si="325">IF(L796&gt;0,N796*100/L796,0)</f>
        <v>0</v>
      </c>
      <c r="P796" s="831">
        <f t="shared" ref="P796:P798" si="326">IF(M796&gt;0,N796*100/M796,0)</f>
        <v>0</v>
      </c>
      <c r="Q796" s="1244"/>
      <c r="R796" s="1244"/>
      <c r="S796" s="1244"/>
      <c r="T796" s="1244"/>
      <c r="U796" s="1244"/>
      <c r="V796" s="1244"/>
      <c r="W796" s="1244"/>
      <c r="X796" s="1244"/>
      <c r="Y796" s="1244"/>
      <c r="Z796" s="1244"/>
    </row>
    <row r="797" spans="1:26" ht="18.75" hidden="1">
      <c r="A797" s="1260"/>
      <c r="B797" s="1265"/>
      <c r="C797" s="1261"/>
      <c r="D797" s="1261"/>
      <c r="E797" s="1261" t="s">
        <v>18</v>
      </c>
      <c r="F797" s="1261"/>
      <c r="G797" s="1263"/>
      <c r="H797" s="165" t="s">
        <v>12</v>
      </c>
      <c r="I797" s="947"/>
      <c r="J797" s="947"/>
      <c r="K797" s="948"/>
      <c r="L797" s="837">
        <v>0</v>
      </c>
      <c r="M797" s="837">
        <v>0</v>
      </c>
      <c r="N797" s="837">
        <v>0</v>
      </c>
      <c r="O797" s="837">
        <f t="shared" si="325"/>
        <v>0</v>
      </c>
      <c r="P797" s="837">
        <f t="shared" si="326"/>
        <v>0</v>
      </c>
      <c r="Q797" s="1264"/>
      <c r="R797" s="1264"/>
      <c r="S797" s="1264"/>
      <c r="T797" s="1264"/>
      <c r="U797" s="1264"/>
      <c r="V797" s="1264"/>
      <c r="W797" s="1264"/>
      <c r="X797" s="1264"/>
      <c r="Y797" s="1264"/>
      <c r="Z797" s="1264"/>
    </row>
    <row r="798" spans="1:26" ht="18.75" hidden="1">
      <c r="A798" s="1260"/>
      <c r="B798" s="1265"/>
      <c r="C798" s="1261"/>
      <c r="D798" s="1261"/>
      <c r="E798" s="1261" t="s">
        <v>19</v>
      </c>
      <c r="F798" s="1261"/>
      <c r="G798" s="1263"/>
      <c r="H798" s="169" t="s">
        <v>12</v>
      </c>
      <c r="I798" s="947"/>
      <c r="J798" s="947"/>
      <c r="K798" s="948"/>
      <c r="L798" s="837">
        <v>0</v>
      </c>
      <c r="M798" s="837">
        <v>0</v>
      </c>
      <c r="N798" s="837">
        <v>0</v>
      </c>
      <c r="O798" s="837">
        <f t="shared" si="325"/>
        <v>0</v>
      </c>
      <c r="P798" s="837">
        <f t="shared" si="326"/>
        <v>0</v>
      </c>
      <c r="Q798" s="1264"/>
      <c r="R798" s="1264"/>
      <c r="S798" s="1264"/>
      <c r="T798" s="1264"/>
      <c r="U798" s="1264"/>
      <c r="V798" s="1264"/>
      <c r="W798" s="1264"/>
      <c r="X798" s="1264"/>
      <c r="Y798" s="1264"/>
      <c r="Z798" s="1264"/>
    </row>
    <row r="799" spans="1:26" ht="19.5" hidden="1">
      <c r="A799" s="1267"/>
      <c r="B799" s="1268"/>
      <c r="C799" s="1243" t="s">
        <v>16</v>
      </c>
      <c r="D799" s="1378" t="s">
        <v>38</v>
      </c>
      <c r="E799" s="1271"/>
      <c r="F799" s="1271"/>
      <c r="G799" s="1272"/>
      <c r="H799" s="1413"/>
      <c r="I799" s="944"/>
      <c r="J799" s="944"/>
      <c r="K799" s="945"/>
      <c r="L799" s="945"/>
      <c r="M799" s="945"/>
      <c r="N799" s="945"/>
      <c r="O799" s="945"/>
      <c r="P799" s="945"/>
      <c r="Q799" s="1244"/>
      <c r="R799" s="1244"/>
      <c r="S799" s="1244"/>
      <c r="T799" s="1244"/>
      <c r="U799" s="1244"/>
      <c r="V799" s="1244"/>
      <c r="W799" s="1244"/>
      <c r="X799" s="1244"/>
      <c r="Y799" s="1244"/>
      <c r="Z799" s="1244"/>
    </row>
    <row r="800" spans="1:26" ht="18.75" hidden="1">
      <c r="A800" s="1267"/>
      <c r="B800" s="1268"/>
      <c r="C800" s="1268"/>
      <c r="D800" s="1268"/>
      <c r="E800" s="961"/>
      <c r="F800" s="961" t="s">
        <v>320</v>
      </c>
      <c r="G800" s="954"/>
      <c r="H800" s="777" t="s">
        <v>34</v>
      </c>
      <c r="I800" s="944">
        <f ca="1">IFERROR(__xludf.DUMMYFUNCTION("IMPORTRANGE(""https://docs.google.com/spreadsheets/d/1QqKyyYR6Q21VydFLVH3TRQUabQu_ym0Zz7PgGX0-kHA/edit?usp=sharing"",""แผน!JN17"")"),0)</f>
        <v>0</v>
      </c>
      <c r="J800" s="944">
        <f ca="1">IFERROR(__xludf.DUMMYFUNCTION("IMPORTRANGE(""https://docs.google.com/spreadsheets/d/1MaWodYyGHDf7siQLGxnXhG4mBNTNIuy296niS2xXulU/edit?usp=sharing"",""RTK!H17"")"),0)</f>
        <v>0</v>
      </c>
      <c r="K800" s="831">
        <f ca="1">IF(I800&gt;0,J800*100/I800,0)</f>
        <v>0</v>
      </c>
      <c r="L800" s="831"/>
      <c r="M800" s="831"/>
      <c r="N800" s="831"/>
      <c r="O800" s="945"/>
      <c r="P800" s="945"/>
      <c r="Q800" s="1244"/>
      <c r="R800" s="1244"/>
      <c r="S800" s="1244"/>
      <c r="T800" s="1244"/>
      <c r="U800" s="1244"/>
      <c r="V800" s="1244"/>
      <c r="W800" s="1244"/>
      <c r="X800" s="1244"/>
      <c r="Y800" s="1244"/>
      <c r="Z800" s="1244"/>
    </row>
    <row r="801" spans="1:26" ht="18.75" hidden="1">
      <c r="A801" s="1267"/>
      <c r="B801" s="1268"/>
      <c r="C801" s="1268"/>
      <c r="D801" s="1268"/>
      <c r="E801" s="961"/>
      <c r="F801" s="961"/>
      <c r="G801" s="954"/>
      <c r="H801" s="778" t="s">
        <v>46</v>
      </c>
      <c r="I801" s="944"/>
      <c r="J801" s="830">
        <f ca="1">IFERROR(__xludf.DUMMYFUNCTION("IMPORTRANGE(""https://docs.google.com/spreadsheets/d/1MaWodYyGHDf7siQLGxnXhG4mBNTNIuy296niS2xXulU/edit?usp=sharing"",""RTK!I17"")"),0)</f>
        <v>0</v>
      </c>
      <c r="K801" s="831"/>
      <c r="L801" s="831"/>
      <c r="M801" s="831"/>
      <c r="N801" s="831"/>
      <c r="O801" s="945"/>
      <c r="P801" s="945"/>
      <c r="Q801" s="1244"/>
      <c r="R801" s="1244"/>
      <c r="S801" s="1244"/>
      <c r="T801" s="1244"/>
      <c r="U801" s="1244"/>
      <c r="V801" s="1244"/>
      <c r="W801" s="1244"/>
      <c r="X801" s="1244"/>
      <c r="Y801" s="1244"/>
      <c r="Z801" s="1244"/>
    </row>
    <row r="802" spans="1:26" ht="18.75" hidden="1">
      <c r="A802" s="1273"/>
      <c r="B802" s="1274"/>
      <c r="C802" s="1274"/>
      <c r="D802" s="1274"/>
      <c r="E802" s="1262"/>
      <c r="F802" s="1262" t="s">
        <v>321</v>
      </c>
      <c r="G802" s="1060"/>
      <c r="H802" s="619" t="s">
        <v>46</v>
      </c>
      <c r="I802" s="947"/>
      <c r="J802" s="836"/>
      <c r="K802" s="948">
        <f>IF(I802&gt;0,J802*100/I802,0)</f>
        <v>0</v>
      </c>
      <c r="L802" s="948"/>
      <c r="M802" s="948"/>
      <c r="N802" s="948"/>
      <c r="O802" s="948"/>
      <c r="P802" s="948"/>
      <c r="Q802" s="1264"/>
      <c r="R802" s="1264"/>
      <c r="S802" s="1264"/>
      <c r="T802" s="1264"/>
      <c r="U802" s="1264"/>
      <c r="V802" s="1264"/>
      <c r="W802" s="1264"/>
      <c r="X802" s="1264"/>
      <c r="Y802" s="1264"/>
      <c r="Z802" s="1264"/>
    </row>
    <row r="803" spans="1:26" ht="18.75" hidden="1">
      <c r="A803" s="1273"/>
      <c r="B803" s="1274"/>
      <c r="C803" s="1274"/>
      <c r="D803" s="1274"/>
      <c r="E803" s="1262"/>
      <c r="F803" s="1262"/>
      <c r="G803" s="1060"/>
      <c r="H803" s="619" t="s">
        <v>34</v>
      </c>
      <c r="I803" s="947"/>
      <c r="J803" s="836"/>
      <c r="K803" s="948"/>
      <c r="L803" s="948"/>
      <c r="M803" s="948"/>
      <c r="N803" s="948"/>
      <c r="O803" s="948"/>
      <c r="P803" s="948"/>
      <c r="Q803" s="1264"/>
      <c r="R803" s="1264"/>
      <c r="S803" s="1264"/>
      <c r="T803" s="1264"/>
      <c r="U803" s="1264"/>
      <c r="V803" s="1264"/>
      <c r="W803" s="1264"/>
      <c r="X803" s="1264"/>
      <c r="Y803" s="1264"/>
      <c r="Z803" s="1264"/>
    </row>
    <row r="804" spans="1:26" ht="19.5" hidden="1">
      <c r="A804" s="759">
        <v>13</v>
      </c>
      <c r="B804" s="1400" t="s">
        <v>322</v>
      </c>
      <c r="C804" s="1401"/>
      <c r="D804" s="1419"/>
      <c r="E804" s="1401"/>
      <c r="F804" s="1401"/>
      <c r="G804" s="1402"/>
      <c r="H804" s="763" t="s">
        <v>46</v>
      </c>
      <c r="I804" s="1403"/>
      <c r="J804" s="1403">
        <f>J819</f>
        <v>0</v>
      </c>
      <c r="K804" s="1404">
        <f>IF(I804&gt;0,J804*100/I804,0)</f>
        <v>0</v>
      </c>
      <c r="L804" s="1405"/>
      <c r="M804" s="1405"/>
      <c r="N804" s="1405"/>
      <c r="O804" s="1405"/>
      <c r="P804" s="1405"/>
      <c r="Q804" s="1264"/>
      <c r="R804" s="1264"/>
      <c r="S804" s="1264"/>
      <c r="T804" s="1264"/>
      <c r="U804" s="1264"/>
      <c r="V804" s="1264"/>
      <c r="W804" s="1264"/>
      <c r="X804" s="1264"/>
      <c r="Y804" s="1264"/>
      <c r="Z804" s="1264"/>
    </row>
    <row r="805" spans="1:26" ht="19.5" hidden="1">
      <c r="A805" s="1260"/>
      <c r="B805" s="1261"/>
      <c r="C805" s="1261" t="s">
        <v>16</v>
      </c>
      <c r="D805" s="1508" t="s">
        <v>17</v>
      </c>
      <c r="E805" s="1485"/>
      <c r="F805" s="1485"/>
      <c r="G805" s="1263"/>
      <c r="H805" s="612" t="s">
        <v>12</v>
      </c>
      <c r="I805" s="836"/>
      <c r="J805" s="836"/>
      <c r="K805" s="837"/>
      <c r="L805" s="1292">
        <f t="shared" ref="L805:N805" si="327">L806+L807</f>
        <v>0</v>
      </c>
      <c r="M805" s="1292">
        <f t="shared" si="327"/>
        <v>0</v>
      </c>
      <c r="N805" s="1292">
        <f t="shared" si="327"/>
        <v>0</v>
      </c>
      <c r="O805" s="1292">
        <f t="shared" ref="O805:O810" si="328">IF(L805&gt;0,N805*100/L805,0)</f>
        <v>0</v>
      </c>
      <c r="P805" s="1292">
        <f t="shared" ref="P805:P810" si="329">IF(M805&gt;0,N805*100/M805,0)</f>
        <v>0</v>
      </c>
      <c r="Q805" s="1264"/>
      <c r="R805" s="1264"/>
      <c r="S805" s="1264"/>
      <c r="T805" s="1264"/>
      <c r="U805" s="1264"/>
      <c r="V805" s="1264"/>
      <c r="W805" s="1264"/>
      <c r="X805" s="1264"/>
      <c r="Y805" s="1264"/>
      <c r="Z805" s="1264"/>
    </row>
    <row r="806" spans="1:26" ht="18.75" hidden="1">
      <c r="A806" s="1260"/>
      <c r="B806" s="1261"/>
      <c r="C806" s="1261"/>
      <c r="D806" s="1274"/>
      <c r="E806" s="1261" t="s">
        <v>184</v>
      </c>
      <c r="F806" s="1261"/>
      <c r="G806" s="1263"/>
      <c r="H806" s="165" t="s">
        <v>12</v>
      </c>
      <c r="I806" s="836"/>
      <c r="J806" s="836"/>
      <c r="K806" s="837"/>
      <c r="L806" s="837">
        <f t="shared" ref="L806:N807" si="330">L809+L816</f>
        <v>0</v>
      </c>
      <c r="M806" s="837">
        <f t="shared" si="330"/>
        <v>0</v>
      </c>
      <c r="N806" s="837">
        <f t="shared" si="330"/>
        <v>0</v>
      </c>
      <c r="O806" s="837">
        <f t="shared" si="328"/>
        <v>0</v>
      </c>
      <c r="P806" s="837">
        <f t="shared" si="329"/>
        <v>0</v>
      </c>
      <c r="Q806" s="1264"/>
      <c r="R806" s="1264"/>
      <c r="S806" s="1264"/>
      <c r="T806" s="1264"/>
      <c r="U806" s="1264"/>
      <c r="V806" s="1264"/>
      <c r="W806" s="1264"/>
      <c r="X806" s="1264"/>
      <c r="Y806" s="1264"/>
      <c r="Z806" s="1264"/>
    </row>
    <row r="807" spans="1:26" ht="18.75" hidden="1">
      <c r="A807" s="1260"/>
      <c r="B807" s="1261"/>
      <c r="C807" s="1261"/>
      <c r="D807" s="1274"/>
      <c r="E807" s="1261" t="s">
        <v>185</v>
      </c>
      <c r="F807" s="1261"/>
      <c r="G807" s="1263"/>
      <c r="H807" s="165" t="s">
        <v>12</v>
      </c>
      <c r="I807" s="836"/>
      <c r="J807" s="836"/>
      <c r="K807" s="837"/>
      <c r="L807" s="837">
        <f t="shared" si="330"/>
        <v>0</v>
      </c>
      <c r="M807" s="837">
        <f t="shared" si="330"/>
        <v>0</v>
      </c>
      <c r="N807" s="837">
        <f t="shared" si="330"/>
        <v>0</v>
      </c>
      <c r="O807" s="837">
        <f t="shared" si="328"/>
        <v>0</v>
      </c>
      <c r="P807" s="837">
        <f t="shared" si="329"/>
        <v>0</v>
      </c>
      <c r="Q807" s="1264"/>
      <c r="R807" s="1264"/>
      <c r="S807" s="1264"/>
      <c r="T807" s="1264"/>
      <c r="U807" s="1264"/>
      <c r="V807" s="1264"/>
      <c r="W807" s="1264"/>
      <c r="X807" s="1264"/>
      <c r="Y807" s="1264"/>
      <c r="Z807" s="1264"/>
    </row>
    <row r="808" spans="1:26" ht="19.5" hidden="1">
      <c r="A808" s="1260"/>
      <c r="B808" s="1265"/>
      <c r="C808" s="1261"/>
      <c r="D808" s="1509" t="s">
        <v>20</v>
      </c>
      <c r="E808" s="1485"/>
      <c r="F808" s="1485"/>
      <c r="G808" s="1263"/>
      <c r="H808" s="612" t="s">
        <v>12</v>
      </c>
      <c r="I808" s="947"/>
      <c r="J808" s="947"/>
      <c r="K808" s="948"/>
      <c r="L808" s="1292">
        <f t="shared" ref="L808:N808" si="331">L809+L810</f>
        <v>0</v>
      </c>
      <c r="M808" s="1292">
        <f t="shared" si="331"/>
        <v>0</v>
      </c>
      <c r="N808" s="1292">
        <f t="shared" si="331"/>
        <v>0</v>
      </c>
      <c r="O808" s="1292">
        <f t="shared" si="328"/>
        <v>0</v>
      </c>
      <c r="P808" s="1292">
        <f t="shared" si="329"/>
        <v>0</v>
      </c>
      <c r="Q808" s="1264"/>
      <c r="R808" s="1264"/>
      <c r="S808" s="1264"/>
      <c r="T808" s="1264"/>
      <c r="U808" s="1264"/>
      <c r="V808" s="1264"/>
      <c r="W808" s="1264"/>
      <c r="X808" s="1264"/>
      <c r="Y808" s="1264"/>
      <c r="Z808" s="1264"/>
    </row>
    <row r="809" spans="1:26" ht="18.75" hidden="1">
      <c r="A809" s="1260"/>
      <c r="B809" s="1261"/>
      <c r="C809" s="1261"/>
      <c r="D809" s="1274"/>
      <c r="E809" s="1261" t="s">
        <v>184</v>
      </c>
      <c r="F809" s="1261"/>
      <c r="G809" s="1263"/>
      <c r="H809" s="165" t="s">
        <v>12</v>
      </c>
      <c r="I809" s="836"/>
      <c r="J809" s="836"/>
      <c r="K809" s="837"/>
      <c r="L809" s="837">
        <v>0</v>
      </c>
      <c r="M809" s="837">
        <v>0</v>
      </c>
      <c r="N809" s="837">
        <v>0</v>
      </c>
      <c r="O809" s="837">
        <f t="shared" si="328"/>
        <v>0</v>
      </c>
      <c r="P809" s="837">
        <f t="shared" si="329"/>
        <v>0</v>
      </c>
      <c r="Q809" s="1264"/>
      <c r="R809" s="1264"/>
      <c r="S809" s="1264"/>
      <c r="T809" s="1264"/>
      <c r="U809" s="1264"/>
      <c r="V809" s="1264"/>
      <c r="W809" s="1264"/>
      <c r="X809" s="1264"/>
      <c r="Y809" s="1264"/>
      <c r="Z809" s="1264"/>
    </row>
    <row r="810" spans="1:26" ht="18.75" hidden="1">
      <c r="A810" s="1260"/>
      <c r="B810" s="1261"/>
      <c r="C810" s="1261"/>
      <c r="D810" s="1274"/>
      <c r="E810" s="1261" t="s">
        <v>185</v>
      </c>
      <c r="F810" s="1261"/>
      <c r="G810" s="1263"/>
      <c r="H810" s="165" t="s">
        <v>12</v>
      </c>
      <c r="I810" s="836"/>
      <c r="J810" s="836"/>
      <c r="K810" s="837"/>
      <c r="L810" s="837">
        <v>0</v>
      </c>
      <c r="M810" s="837">
        <v>0</v>
      </c>
      <c r="N810" s="837">
        <f>N811+N812+N813+N814</f>
        <v>0</v>
      </c>
      <c r="O810" s="837">
        <f t="shared" si="328"/>
        <v>0</v>
      </c>
      <c r="P810" s="837">
        <f t="shared" si="329"/>
        <v>0</v>
      </c>
      <c r="Q810" s="1264"/>
      <c r="R810" s="1264"/>
      <c r="S810" s="1264"/>
      <c r="T810" s="1264"/>
      <c r="U810" s="1264"/>
      <c r="V810" s="1264"/>
      <c r="W810" s="1264"/>
      <c r="X810" s="1264"/>
      <c r="Y810" s="1264"/>
      <c r="Z810" s="1264"/>
    </row>
    <row r="811" spans="1:26" ht="18.75" hidden="1">
      <c r="A811" s="1294"/>
      <c r="B811" s="1265"/>
      <c r="C811" s="1261"/>
      <c r="D811" s="1265"/>
      <c r="E811" s="1261"/>
      <c r="F811" s="1261" t="s">
        <v>186</v>
      </c>
      <c r="G811" s="1263"/>
      <c r="H811" s="165" t="s">
        <v>12</v>
      </c>
      <c r="I811" s="836"/>
      <c r="J811" s="836"/>
      <c r="K811" s="837"/>
      <c r="L811" s="837"/>
      <c r="M811" s="837"/>
      <c r="N811" s="837"/>
      <c r="O811" s="837"/>
      <c r="P811" s="837"/>
      <c r="Q811" s="1264"/>
      <c r="R811" s="1264"/>
      <c r="S811" s="1264"/>
      <c r="T811" s="1264"/>
      <c r="U811" s="1264"/>
      <c r="V811" s="1264"/>
      <c r="W811" s="1264"/>
      <c r="X811" s="1264"/>
      <c r="Y811" s="1264"/>
      <c r="Z811" s="1264"/>
    </row>
    <row r="812" spans="1:26" ht="18.75" hidden="1">
      <c r="A812" s="1294"/>
      <c r="B812" s="1265"/>
      <c r="C812" s="1261"/>
      <c r="D812" s="1265"/>
      <c r="E812" s="1261"/>
      <c r="F812" s="1261" t="s">
        <v>187</v>
      </c>
      <c r="G812" s="1263"/>
      <c r="H812" s="165" t="s">
        <v>12</v>
      </c>
      <c r="I812" s="836"/>
      <c r="J812" s="836"/>
      <c r="K812" s="837"/>
      <c r="L812" s="837"/>
      <c r="M812" s="837"/>
      <c r="N812" s="837"/>
      <c r="O812" s="837"/>
      <c r="P812" s="837"/>
      <c r="Q812" s="1264"/>
      <c r="R812" s="1264"/>
      <c r="S812" s="1264"/>
      <c r="T812" s="1264"/>
      <c r="U812" s="1264"/>
      <c r="V812" s="1264"/>
      <c r="W812" s="1264"/>
      <c r="X812" s="1264"/>
      <c r="Y812" s="1264"/>
      <c r="Z812" s="1264"/>
    </row>
    <row r="813" spans="1:26" ht="18.75" hidden="1">
      <c r="A813" s="1294"/>
      <c r="B813" s="1265"/>
      <c r="C813" s="1261"/>
      <c r="D813" s="1265"/>
      <c r="E813" s="1261"/>
      <c r="F813" s="1261" t="s">
        <v>188</v>
      </c>
      <c r="G813" s="1263"/>
      <c r="H813" s="165" t="s">
        <v>12</v>
      </c>
      <c r="I813" s="836"/>
      <c r="J813" s="836"/>
      <c r="K813" s="837"/>
      <c r="L813" s="837"/>
      <c r="M813" s="837"/>
      <c r="N813" s="837"/>
      <c r="O813" s="837"/>
      <c r="P813" s="837"/>
      <c r="Q813" s="1264"/>
      <c r="R813" s="1264"/>
      <c r="S813" s="1264"/>
      <c r="T813" s="1264"/>
      <c r="U813" s="1264"/>
      <c r="V813" s="1264"/>
      <c r="W813" s="1264"/>
      <c r="X813" s="1264"/>
      <c r="Y813" s="1264"/>
      <c r="Z813" s="1264"/>
    </row>
    <row r="814" spans="1:26" ht="18.75" hidden="1">
      <c r="A814" s="1294"/>
      <c r="B814" s="1265"/>
      <c r="C814" s="1261"/>
      <c r="D814" s="1265"/>
      <c r="E814" s="1261"/>
      <c r="F814" s="1261" t="s">
        <v>189</v>
      </c>
      <c r="G814" s="1263"/>
      <c r="H814" s="165" t="s">
        <v>12</v>
      </c>
      <c r="I814" s="836"/>
      <c r="J814" s="836"/>
      <c r="K814" s="837"/>
      <c r="L814" s="837"/>
      <c r="M814" s="837"/>
      <c r="N814" s="837"/>
      <c r="O814" s="837"/>
      <c r="P814" s="837"/>
      <c r="Q814" s="1264"/>
      <c r="R814" s="1264"/>
      <c r="S814" s="1264"/>
      <c r="T814" s="1264"/>
      <c r="U814" s="1264"/>
      <c r="V814" s="1264"/>
      <c r="W814" s="1264"/>
      <c r="X814" s="1264"/>
      <c r="Y814" s="1264"/>
      <c r="Z814" s="1264"/>
    </row>
    <row r="815" spans="1:26" ht="19.5" hidden="1">
      <c r="A815" s="1260"/>
      <c r="B815" s="1265"/>
      <c r="C815" s="1261"/>
      <c r="D815" s="1509" t="s">
        <v>21</v>
      </c>
      <c r="E815" s="1485"/>
      <c r="F815" s="1485"/>
      <c r="G815" s="1263"/>
      <c r="H815" s="749" t="s">
        <v>12</v>
      </c>
      <c r="I815" s="947"/>
      <c r="J815" s="947"/>
      <c r="K815" s="948"/>
      <c r="L815" s="1292">
        <f t="shared" ref="L815:N815" si="332">L816+L817</f>
        <v>0</v>
      </c>
      <c r="M815" s="1292">
        <f t="shared" si="332"/>
        <v>0</v>
      </c>
      <c r="N815" s="1292">
        <f t="shared" si="332"/>
        <v>0</v>
      </c>
      <c r="O815" s="1292">
        <f t="shared" ref="O815:O817" si="333">IF(L815&gt;0,N815*100/L815,0)</f>
        <v>0</v>
      </c>
      <c r="P815" s="1292">
        <f t="shared" ref="P815:P817" si="334">IF(M815&gt;0,N815*100/M815,0)</f>
        <v>0</v>
      </c>
      <c r="Q815" s="1264"/>
      <c r="R815" s="1264"/>
      <c r="S815" s="1264"/>
      <c r="T815" s="1264"/>
      <c r="U815" s="1264"/>
      <c r="V815" s="1264"/>
      <c r="W815" s="1264"/>
      <c r="X815" s="1264"/>
      <c r="Y815" s="1264"/>
      <c r="Z815" s="1264"/>
    </row>
    <row r="816" spans="1:26" ht="18.75" hidden="1">
      <c r="A816" s="1260"/>
      <c r="B816" s="1265"/>
      <c r="C816" s="1261"/>
      <c r="D816" s="1265"/>
      <c r="E816" s="1261" t="s">
        <v>18</v>
      </c>
      <c r="F816" s="1261"/>
      <c r="G816" s="1263"/>
      <c r="H816" s="165" t="s">
        <v>12</v>
      </c>
      <c r="I816" s="947"/>
      <c r="J816" s="947"/>
      <c r="K816" s="948"/>
      <c r="L816" s="837">
        <v>0</v>
      </c>
      <c r="M816" s="837">
        <v>0</v>
      </c>
      <c r="N816" s="837">
        <v>0</v>
      </c>
      <c r="O816" s="837">
        <f t="shared" si="333"/>
        <v>0</v>
      </c>
      <c r="P816" s="837">
        <f t="shared" si="334"/>
        <v>0</v>
      </c>
      <c r="Q816" s="1264"/>
      <c r="R816" s="1264"/>
      <c r="S816" s="1264"/>
      <c r="T816" s="1264"/>
      <c r="U816" s="1264"/>
      <c r="V816" s="1264"/>
      <c r="W816" s="1264"/>
      <c r="X816" s="1264"/>
      <c r="Y816" s="1264"/>
      <c r="Z816" s="1264"/>
    </row>
    <row r="817" spans="1:26" ht="18.75" hidden="1">
      <c r="A817" s="1260"/>
      <c r="B817" s="1265"/>
      <c r="C817" s="1261"/>
      <c r="D817" s="1265"/>
      <c r="E817" s="1261" t="s">
        <v>19</v>
      </c>
      <c r="F817" s="1261"/>
      <c r="G817" s="1263"/>
      <c r="H817" s="169" t="s">
        <v>12</v>
      </c>
      <c r="I817" s="947"/>
      <c r="J817" s="947"/>
      <c r="K817" s="948"/>
      <c r="L817" s="837">
        <v>0</v>
      </c>
      <c r="M817" s="837">
        <v>0</v>
      </c>
      <c r="N817" s="837">
        <v>0</v>
      </c>
      <c r="O817" s="837">
        <f t="shared" si="333"/>
        <v>0</v>
      </c>
      <c r="P817" s="837">
        <f t="shared" si="334"/>
        <v>0</v>
      </c>
      <c r="Q817" s="1264"/>
      <c r="R817" s="1264"/>
      <c r="S817" s="1264"/>
      <c r="T817" s="1264"/>
      <c r="U817" s="1264"/>
      <c r="V817" s="1264"/>
      <c r="W817" s="1264"/>
      <c r="X817" s="1264"/>
      <c r="Y817" s="1264"/>
      <c r="Z817" s="1264"/>
    </row>
    <row r="818" spans="1:26" ht="19.5" hidden="1">
      <c r="A818" s="1273"/>
      <c r="B818" s="1274"/>
      <c r="C818" s="1261" t="s">
        <v>16</v>
      </c>
      <c r="D818" s="1420" t="s">
        <v>38</v>
      </c>
      <c r="E818" s="1296"/>
      <c r="F818" s="1296"/>
      <c r="G818" s="1297"/>
      <c r="H818" s="1060"/>
      <c r="I818" s="947"/>
      <c r="J818" s="947"/>
      <c r="K818" s="948"/>
      <c r="L818" s="948"/>
      <c r="M818" s="948"/>
      <c r="N818" s="948"/>
      <c r="O818" s="948"/>
      <c r="P818" s="948"/>
      <c r="Q818" s="1264"/>
      <c r="R818" s="1264"/>
      <c r="S818" s="1264"/>
      <c r="T818" s="1264"/>
      <c r="U818" s="1264"/>
      <c r="V818" s="1264"/>
      <c r="W818" s="1264"/>
      <c r="X818" s="1264"/>
      <c r="Y818" s="1264"/>
      <c r="Z818" s="1264"/>
    </row>
    <row r="819" spans="1:26" ht="19.5" hidden="1" thickBot="1">
      <c r="A819" s="1421"/>
      <c r="B819" s="1422"/>
      <c r="C819" s="1423"/>
      <c r="D819" s="1422"/>
      <c r="E819" s="1423" t="s">
        <v>323</v>
      </c>
      <c r="F819" s="1423"/>
      <c r="G819" s="1424"/>
      <c r="H819" s="792" t="s">
        <v>46</v>
      </c>
      <c r="I819" s="1425"/>
      <c r="J819" s="1425"/>
      <c r="K819" s="1426"/>
      <c r="L819" s="1426"/>
      <c r="M819" s="1426"/>
      <c r="N819" s="1426"/>
      <c r="O819" s="1426"/>
      <c r="P819" s="1426"/>
      <c r="Q819" s="1264"/>
      <c r="R819" s="1264"/>
      <c r="S819" s="1264"/>
      <c r="T819" s="1264"/>
      <c r="U819" s="1264"/>
      <c r="V819" s="1264"/>
      <c r="W819" s="1264"/>
      <c r="X819" s="1264"/>
      <c r="Y819" s="1264"/>
      <c r="Z819" s="1264"/>
    </row>
    <row r="820" spans="1:26" ht="19.5">
      <c r="A820" s="1427" t="s">
        <v>333</v>
      </c>
      <c r="B820" s="1428"/>
      <c r="C820" s="1428"/>
      <c r="D820" s="1429"/>
      <c r="E820" s="1428"/>
      <c r="F820" s="1428"/>
      <c r="G820" s="1430"/>
      <c r="H820" s="143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32"/>
      <c r="J820" s="1432"/>
      <c r="K820" s="1433"/>
      <c r="L820" s="1433"/>
      <c r="M820" s="1433"/>
      <c r="N820" s="1433"/>
      <c r="O820" s="1433"/>
      <c r="P820" s="1433"/>
      <c r="Q820" s="1244"/>
      <c r="R820" s="1244"/>
      <c r="S820" s="1244"/>
      <c r="T820" s="1244"/>
      <c r="U820" s="1244"/>
      <c r="V820" s="1244"/>
      <c r="W820" s="1244"/>
      <c r="X820" s="1244"/>
      <c r="Y820" s="1244"/>
      <c r="Z820" s="1244"/>
    </row>
    <row r="821" spans="1:26" ht="18.75">
      <c r="A821" s="1368"/>
      <c r="B821" s="1243" t="s">
        <v>325</v>
      </c>
      <c r="C821" s="1243"/>
      <c r="D821" s="1242"/>
      <c r="E821" s="1243"/>
      <c r="F821" s="1243"/>
      <c r="G821" s="963"/>
      <c r="H821" s="590" t="s">
        <v>12</v>
      </c>
      <c r="I821" s="830">
        <f ca="1">IFERROR(__xludf.DUMMYFUNCTION("IMPORTRANGE(""https://docs.google.com/spreadsheets/d/19vJNZY_5yjcGF2XGBMNZRCAIB0Kwfpjp8YEOfu-bneM/edit?usp=sharing"",""งานกองทุน!D17"")"),2510000)</f>
        <v>2510000</v>
      </c>
      <c r="J821" s="830">
        <f ca="1">IFERROR(__xludf.DUMMYFUNCTION("IMPORTRANGE(""https://docs.google.com/spreadsheets/d/19vJNZY_5yjcGF2XGBMNZRCAIB0Kwfpjp8YEOfu-bneM/edit?usp=sharing"",""งานกองทุน!F17"")"),1025098.32)</f>
        <v>1025098.32</v>
      </c>
      <c r="K821" s="831">
        <f t="shared" ref="K821:K828" ca="1" si="335">IF(I821&gt;0,J821*100/I821,0)</f>
        <v>40.840570517928285</v>
      </c>
      <c r="L821" s="831"/>
      <c r="M821" s="831"/>
      <c r="N821" s="831"/>
      <c r="O821" s="831"/>
      <c r="P821" s="831"/>
      <c r="Q821" s="1244"/>
      <c r="R821" s="1244"/>
      <c r="S821" s="1244"/>
      <c r="T821" s="1244"/>
      <c r="U821" s="1244"/>
      <c r="V821" s="1244"/>
      <c r="W821" s="1244"/>
      <c r="X821" s="1244"/>
      <c r="Y821" s="1244"/>
      <c r="Z821" s="1244"/>
    </row>
    <row r="822" spans="1:26" ht="18.75">
      <c r="A822" s="1368"/>
      <c r="B822" s="1243"/>
      <c r="C822" s="1243"/>
      <c r="D822" s="1242"/>
      <c r="E822" s="1243"/>
      <c r="F822" s="1243"/>
      <c r="G822" s="963"/>
      <c r="H822" s="590" t="s">
        <v>35</v>
      </c>
      <c r="I822" s="830">
        <f ca="1">IFERROR(__xludf.DUMMYFUNCTION("IMPORTRANGE(""https://docs.google.com/spreadsheets/d/19vJNZY_5yjcGF2XGBMNZRCAIB0Kwfpjp8YEOfu-bneM/edit?usp=sharing"",""งานกองทุน!C17"")"),224)</f>
        <v>224</v>
      </c>
      <c r="J822" s="830">
        <f ca="1">IFERROR(__xludf.DUMMYFUNCTION("IMPORTRANGE(""https://docs.google.com/spreadsheets/d/19vJNZY_5yjcGF2XGBMNZRCAIB0Kwfpjp8YEOfu-bneM/edit?usp=sharing"",""งานกองทุน!E17"")"),68)</f>
        <v>68</v>
      </c>
      <c r="K822" s="831">
        <f t="shared" ca="1" si="335"/>
        <v>30.357142857142858</v>
      </c>
      <c r="L822" s="831"/>
      <c r="M822" s="831"/>
      <c r="N822" s="831"/>
      <c r="O822" s="831"/>
      <c r="P822" s="831"/>
      <c r="Q822" s="1244"/>
      <c r="R822" s="1244"/>
      <c r="S822" s="1244"/>
      <c r="T822" s="1244"/>
      <c r="U822" s="1244"/>
      <c r="V822" s="1244"/>
      <c r="W822" s="1244"/>
      <c r="X822" s="1244"/>
      <c r="Y822" s="1244"/>
      <c r="Z822" s="1244"/>
    </row>
    <row r="823" spans="1:26" ht="18.75">
      <c r="A823" s="1368"/>
      <c r="B823" s="1243" t="s">
        <v>326</v>
      </c>
      <c r="C823" s="1243"/>
      <c r="D823" s="1242"/>
      <c r="E823" s="1243"/>
      <c r="F823" s="1243"/>
      <c r="G823" s="963"/>
      <c r="H823" s="590" t="s">
        <v>12</v>
      </c>
      <c r="I823" s="830">
        <f ca="1">IFERROR(__xludf.DUMMYFUNCTION("IMPORTRANGE(""https://docs.google.com/spreadsheets/d/19vJNZY_5yjcGF2XGBMNZRCAIB0Kwfpjp8YEOfu-bneM/edit?usp=sharing"",""งานกองทุน!I17"")"),8058489.72)</f>
        <v>8058489.7199999997</v>
      </c>
      <c r="J823" s="830">
        <f ca="1">IFERROR(__xludf.DUMMYFUNCTION("IMPORTRANGE(""https://docs.google.com/spreadsheets/d/19vJNZY_5yjcGF2XGBMNZRCAIB0Kwfpjp8YEOfu-bneM/edit?usp=sharing"",""งานกองทุน!K17"")"),392163.5)</f>
        <v>392163.5</v>
      </c>
      <c r="K823" s="831">
        <f t="shared" ca="1" si="335"/>
        <v>4.8664639855121639</v>
      </c>
      <c r="L823" s="831"/>
      <c r="M823" s="831"/>
      <c r="N823" s="831"/>
      <c r="O823" s="831"/>
      <c r="P823" s="831"/>
      <c r="Q823" s="1244"/>
      <c r="R823" s="1244"/>
      <c r="S823" s="1244"/>
      <c r="T823" s="1244"/>
      <c r="U823" s="1244"/>
      <c r="V823" s="1244"/>
      <c r="W823" s="1244"/>
      <c r="X823" s="1244"/>
      <c r="Y823" s="1244"/>
      <c r="Z823" s="1244"/>
    </row>
    <row r="824" spans="1:26" ht="18.75">
      <c r="A824" s="1368"/>
      <c r="B824" s="1243"/>
      <c r="C824" s="1243"/>
      <c r="D824" s="1242"/>
      <c r="E824" s="1243"/>
      <c r="F824" s="1243"/>
      <c r="G824" s="963"/>
      <c r="H824" s="590" t="s">
        <v>35</v>
      </c>
      <c r="I824" s="830">
        <f ca="1">IFERROR(__xludf.DUMMYFUNCTION("IMPORTRANGE(""https://docs.google.com/spreadsheets/d/19vJNZY_5yjcGF2XGBMNZRCAIB0Kwfpjp8YEOfu-bneM/edit?usp=sharing"",""งานกองทุน!H17"")"),314)</f>
        <v>314</v>
      </c>
      <c r="J824" s="830">
        <f ca="1">IFERROR(__xludf.DUMMYFUNCTION("IMPORTRANGE(""https://docs.google.com/spreadsheets/d/19vJNZY_5yjcGF2XGBMNZRCAIB0Kwfpjp8YEOfu-bneM/edit?usp=sharing"",""งานกองทุน!J17"")"),120)</f>
        <v>120</v>
      </c>
      <c r="K824" s="831">
        <f t="shared" ca="1" si="335"/>
        <v>38.216560509554142</v>
      </c>
      <c r="L824" s="831"/>
      <c r="M824" s="831"/>
      <c r="N824" s="831"/>
      <c r="O824" s="831"/>
      <c r="P824" s="831"/>
      <c r="Q824" s="1244"/>
      <c r="R824" s="1244"/>
      <c r="S824" s="1244"/>
      <c r="T824" s="1244"/>
      <c r="U824" s="1244"/>
      <c r="V824" s="1244"/>
      <c r="W824" s="1244"/>
      <c r="X824" s="1244"/>
      <c r="Y824" s="1244"/>
      <c r="Z824" s="1244"/>
    </row>
    <row r="825" spans="1:26" ht="18.75">
      <c r="A825" s="1368"/>
      <c r="B825" s="1243" t="s">
        <v>327</v>
      </c>
      <c r="C825" s="1243"/>
      <c r="D825" s="1242"/>
      <c r="E825" s="1243"/>
      <c r="F825" s="1243"/>
      <c r="G825" s="963"/>
      <c r="H825" s="590" t="s">
        <v>12</v>
      </c>
      <c r="I825" s="830">
        <f ca="1">IFERROR(__xludf.DUMMYFUNCTION("IMPORTRANGE(""https://docs.google.com/spreadsheets/d/19vJNZY_5yjcGF2XGBMNZRCAIB0Kwfpjp8YEOfu-bneM/edit?usp=sharing"",""งานกองทุน!N17"")"),0)</f>
        <v>0</v>
      </c>
      <c r="J825" s="830">
        <f ca="1">IFERROR(__xludf.DUMMYFUNCTION("IMPORTRANGE(""https://docs.google.com/spreadsheets/d/19vJNZY_5yjcGF2XGBMNZRCAIB0Kwfpjp8YEOfu-bneM/edit?usp=sharing"",""งานกองทุน!P17"")"),0)</f>
        <v>0</v>
      </c>
      <c r="K825" s="831">
        <f t="shared" ca="1" si="335"/>
        <v>0</v>
      </c>
      <c r="L825" s="831"/>
      <c r="M825" s="831"/>
      <c r="N825" s="831"/>
      <c r="O825" s="831"/>
      <c r="P825" s="831"/>
      <c r="Q825" s="1244"/>
      <c r="R825" s="1244"/>
      <c r="S825" s="1244"/>
      <c r="T825" s="1244"/>
      <c r="U825" s="1244"/>
      <c r="V825" s="1244"/>
      <c r="W825" s="1244"/>
      <c r="X825" s="1244"/>
      <c r="Y825" s="1244"/>
      <c r="Z825" s="1244"/>
    </row>
    <row r="826" spans="1:26" ht="18.75">
      <c r="A826" s="1368"/>
      <c r="B826" s="1243"/>
      <c r="C826" s="1243"/>
      <c r="D826" s="1242"/>
      <c r="E826" s="1243"/>
      <c r="F826" s="1243"/>
      <c r="G826" s="963"/>
      <c r="H826" s="590" t="s">
        <v>35</v>
      </c>
      <c r="I826" s="830">
        <f ca="1">IFERROR(__xludf.DUMMYFUNCTION("IMPORTRANGE(""https://docs.google.com/spreadsheets/d/19vJNZY_5yjcGF2XGBMNZRCAIB0Kwfpjp8YEOfu-bneM/edit?usp=sharing"",""งานกองทุน!M17"")"),0)</f>
        <v>0</v>
      </c>
      <c r="J826" s="830">
        <f ca="1">IFERROR(__xludf.DUMMYFUNCTION("IMPORTRANGE(""https://docs.google.com/spreadsheets/d/19vJNZY_5yjcGF2XGBMNZRCAIB0Kwfpjp8YEOfu-bneM/edit?usp=sharing"",""งานกองทุน!O17"")"),0)</f>
        <v>0</v>
      </c>
      <c r="K826" s="831">
        <f t="shared" ca="1" si="335"/>
        <v>0</v>
      </c>
      <c r="L826" s="831"/>
      <c r="M826" s="831"/>
      <c r="N826" s="831"/>
      <c r="O826" s="831"/>
      <c r="P826" s="831"/>
      <c r="Q826" s="1244"/>
      <c r="R826" s="1244"/>
      <c r="S826" s="1244"/>
      <c r="T826" s="1244"/>
      <c r="U826" s="1244"/>
      <c r="V826" s="1244"/>
      <c r="W826" s="1244"/>
      <c r="X826" s="1244"/>
      <c r="Y826" s="1244"/>
      <c r="Z826" s="1244"/>
    </row>
    <row r="827" spans="1:26" ht="18.75">
      <c r="A827" s="1368"/>
      <c r="B827" s="1243" t="s">
        <v>328</v>
      </c>
      <c r="C827" s="1243"/>
      <c r="D827" s="1242"/>
      <c r="E827" s="1243"/>
      <c r="F827" s="1243"/>
      <c r="G827" s="963"/>
      <c r="H827" s="590" t="s">
        <v>12</v>
      </c>
      <c r="I827" s="830">
        <f ca="1">IFERROR(__xludf.DUMMYFUNCTION("IMPORTRANGE(""https://docs.google.com/spreadsheets/d/19vJNZY_5yjcGF2XGBMNZRCAIB0Kwfpjp8YEOfu-bneM/edit?usp=sharing"",""งานกองทุน!S17"")"),2900000)</f>
        <v>2900000</v>
      </c>
      <c r="J827" s="830">
        <f ca="1">IFERROR(__xludf.DUMMYFUNCTION("IMPORTRANGE(""https://docs.google.com/spreadsheets/d/19vJNZY_5yjcGF2XGBMNZRCAIB0Kwfpjp8YEOfu-bneM/edit?usp=sharing"",""งานกองทุน!U17"")"),0)</f>
        <v>0</v>
      </c>
      <c r="K827" s="831">
        <f t="shared" ca="1" si="335"/>
        <v>0</v>
      </c>
      <c r="L827" s="831"/>
      <c r="M827" s="831"/>
      <c r="N827" s="831"/>
      <c r="O827" s="831"/>
      <c r="P827" s="831"/>
      <c r="Q827" s="1244"/>
      <c r="R827" s="1244"/>
      <c r="S827" s="1244"/>
      <c r="T827" s="1244"/>
      <c r="U827" s="1244"/>
      <c r="V827" s="1244"/>
      <c r="W827" s="1244"/>
      <c r="X827" s="1244"/>
      <c r="Y827" s="1244"/>
      <c r="Z827" s="1244"/>
    </row>
    <row r="828" spans="1:26" ht="18.75">
      <c r="A828" s="1369"/>
      <c r="B828" s="1371"/>
      <c r="C828" s="1371"/>
      <c r="D828" s="1370"/>
      <c r="E828" s="1371"/>
      <c r="F828" s="1371"/>
      <c r="G828" s="1434"/>
      <c r="H828" s="802" t="s">
        <v>35</v>
      </c>
      <c r="I828" s="1085">
        <f ca="1">IFERROR(__xludf.DUMMYFUNCTION("IMPORTRANGE(""https://docs.google.com/spreadsheets/d/19vJNZY_5yjcGF2XGBMNZRCAIB0Kwfpjp8YEOfu-bneM/edit?usp=sharing"",""งานกองทุน!R17"")"),116)</f>
        <v>116</v>
      </c>
      <c r="J828" s="1085">
        <f ca="1">IFERROR(__xludf.DUMMYFUNCTION("IMPORTRANGE(""https://docs.google.com/spreadsheets/d/19vJNZY_5yjcGF2XGBMNZRCAIB0Kwfpjp8YEOfu-bneM/edit?usp=sharing"",""งานกองทุน!T17"")"),0)</f>
        <v>0</v>
      </c>
      <c r="K828" s="1182">
        <f t="shared" ca="1" si="335"/>
        <v>0</v>
      </c>
      <c r="L828" s="1182"/>
      <c r="M828" s="1182"/>
      <c r="N828" s="1182"/>
      <c r="O828" s="1182"/>
      <c r="P828" s="1182"/>
      <c r="Q828" s="1244"/>
      <c r="R828" s="1244"/>
      <c r="S828" s="1244"/>
      <c r="T828" s="1244"/>
      <c r="U828" s="1244"/>
      <c r="V828" s="1244"/>
      <c r="W828" s="1244"/>
      <c r="X828" s="1244"/>
      <c r="Y828" s="1244"/>
      <c r="Z828" s="124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58D71-4662-495D-8C00-5D01243C8F87}">
  <sheetPr>
    <outlinePr summaryBelow="0" summaryRight="0"/>
    <pageSetUpPr fitToPage="1"/>
  </sheetPr>
  <dimension ref="A1:Z828"/>
  <sheetViews>
    <sheetView view="pageBreakPreview" topLeftCell="C1" zoomScale="60" zoomScaleNormal="85" workbookViewId="0">
      <pane ySplit="6" topLeftCell="A7" activePane="bottomLeft" state="frozen"/>
      <selection activeCell="Q24" sqref="Q24"/>
      <selection pane="bottomLeft" activeCell="Q24" sqref="Q24"/>
    </sheetView>
  </sheetViews>
  <sheetFormatPr defaultColWidth="12.5703125" defaultRowHeight="15.75" customHeight="1"/>
  <cols>
    <col min="1" max="3" width="3.28515625" style="803" customWidth="1"/>
    <col min="4" max="6" width="5.85546875" style="803" customWidth="1"/>
    <col min="7" max="7" width="56.42578125" style="803" customWidth="1"/>
    <col min="8" max="8" width="9.42578125" style="803" customWidth="1"/>
    <col min="9" max="10" width="18.7109375" style="803" bestFit="1" customWidth="1"/>
    <col min="11" max="11" width="12.5703125" style="803" bestFit="1" customWidth="1"/>
    <col min="12" max="14" width="21.28515625" style="803" bestFit="1" customWidth="1"/>
    <col min="15" max="15" width="20.140625" style="803" bestFit="1" customWidth="1"/>
    <col min="16" max="16" width="22" style="803" bestFit="1" customWidth="1"/>
    <col min="17" max="16384" width="12.5703125" style="803"/>
  </cols>
  <sheetData>
    <row r="1" spans="1:26" ht="19.5">
      <c r="A1" s="1498" t="s">
        <v>0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</row>
    <row r="2" spans="1:26" ht="19.5">
      <c r="A2" s="1498" t="s">
        <v>338</v>
      </c>
      <c r="B2" s="1516"/>
      <c r="C2" s="1516"/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  <c r="O2" s="1516"/>
      <c r="P2" s="1516"/>
    </row>
    <row r="3" spans="1:26" ht="19.5">
      <c r="A3" s="1498" t="s">
        <v>329</v>
      </c>
      <c r="B3" s="1516"/>
      <c r="C3" s="1516"/>
      <c r="D3" s="1516"/>
      <c r="E3" s="1516"/>
      <c r="F3" s="1516"/>
      <c r="G3" s="1516"/>
      <c r="H3" s="1516"/>
      <c r="I3" s="1516"/>
      <c r="J3" s="1516"/>
      <c r="K3" s="1516"/>
      <c r="L3" s="1516"/>
      <c r="M3" s="1516"/>
      <c r="N3" s="1516"/>
      <c r="O3" s="1516"/>
      <c r="P3" s="1516"/>
    </row>
    <row r="4" spans="1:26" ht="12.75">
      <c r="A4" s="804"/>
      <c r="B4" s="804"/>
      <c r="C4" s="804"/>
      <c r="D4" s="804"/>
      <c r="E4" s="804"/>
      <c r="F4" s="804"/>
      <c r="G4" s="804"/>
      <c r="H4" s="804"/>
      <c r="I4" s="804"/>
      <c r="J4" s="805"/>
      <c r="K4" s="806"/>
      <c r="L4" s="805"/>
      <c r="M4" s="805"/>
      <c r="N4" s="805"/>
      <c r="O4" s="804"/>
      <c r="P4" s="804"/>
    </row>
    <row r="5" spans="1:26" ht="19.5">
      <c r="A5" s="1504" t="s">
        <v>2</v>
      </c>
      <c r="B5" s="1516"/>
      <c r="C5" s="1516"/>
      <c r="D5" s="1516"/>
      <c r="E5" s="1516"/>
      <c r="F5" s="1516"/>
      <c r="G5" s="1505"/>
      <c r="H5" s="1500" t="s">
        <v>3</v>
      </c>
      <c r="I5" s="1501" t="s">
        <v>4</v>
      </c>
      <c r="J5" s="1494"/>
      <c r="K5" s="1495"/>
      <c r="L5" s="1502" t="s">
        <v>5</v>
      </c>
      <c r="M5" s="1495"/>
      <c r="N5" s="1503" t="s">
        <v>6</v>
      </c>
      <c r="O5" s="1494"/>
      <c r="P5" s="1495"/>
    </row>
    <row r="6" spans="1:26" ht="19.5">
      <c r="A6" s="1506"/>
      <c r="B6" s="1494"/>
      <c r="C6" s="1494"/>
      <c r="D6" s="1494"/>
      <c r="E6" s="1494"/>
      <c r="F6" s="1494"/>
      <c r="G6" s="1495"/>
      <c r="H6" s="14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12" t="s">
        <v>15</v>
      </c>
      <c r="B7" s="1494"/>
      <c r="C7" s="1494"/>
      <c r="D7" s="1494"/>
      <c r="E7" s="1494"/>
      <c r="F7" s="1494"/>
      <c r="G7" s="1495"/>
      <c r="H7" s="807"/>
      <c r="I7" s="808"/>
      <c r="J7" s="808"/>
      <c r="K7" s="809"/>
      <c r="L7" s="809"/>
      <c r="M7" s="809"/>
      <c r="N7" s="809"/>
      <c r="O7" s="809"/>
      <c r="P7" s="809"/>
    </row>
    <row r="8" spans="1:26" ht="19.5">
      <c r="A8" s="810"/>
      <c r="B8" s="811"/>
      <c r="C8" s="812" t="s">
        <v>16</v>
      </c>
      <c r="D8" s="813" t="s">
        <v>17</v>
      </c>
      <c r="E8" s="811"/>
      <c r="F8" s="811"/>
      <c r="G8" s="814"/>
      <c r="H8" s="19" t="s">
        <v>12</v>
      </c>
      <c r="I8" s="815"/>
      <c r="J8" s="815"/>
      <c r="K8" s="816"/>
      <c r="L8" s="817">
        <f t="shared" ref="L8:N8" ca="1" si="0">L9+L10</f>
        <v>7819267</v>
      </c>
      <c r="M8" s="817">
        <f t="shared" ca="1" si="0"/>
        <v>3632700.7199999997</v>
      </c>
      <c r="N8" s="817">
        <f t="shared" ca="1" si="0"/>
        <v>2725216.02</v>
      </c>
      <c r="O8" s="817">
        <f t="shared" ref="O8:O16" ca="1" si="1">IF(L8&gt;0,N8*100/L8,0)</f>
        <v>34.852576590619044</v>
      </c>
      <c r="P8" s="817">
        <f t="shared" ref="P8:P16" ca="1" si="2">IF(M8&gt;0,N8*100/M8,0)</f>
        <v>75.019007346137784</v>
      </c>
      <c r="Q8" s="818"/>
      <c r="R8" s="818"/>
      <c r="S8" s="818"/>
      <c r="T8" s="818"/>
      <c r="U8" s="818"/>
      <c r="V8" s="818"/>
      <c r="W8" s="818"/>
      <c r="X8" s="818"/>
      <c r="Y8" s="818"/>
      <c r="Z8" s="818"/>
    </row>
    <row r="9" spans="1:26" ht="18.75" hidden="1">
      <c r="A9" s="819"/>
      <c r="B9" s="820"/>
      <c r="C9" s="820"/>
      <c r="D9" s="820"/>
      <c r="E9" s="821" t="s">
        <v>18</v>
      </c>
      <c r="F9" s="820"/>
      <c r="G9" s="822"/>
      <c r="H9" s="28" t="s">
        <v>12</v>
      </c>
      <c r="I9" s="823"/>
      <c r="J9" s="823"/>
      <c r="K9" s="824"/>
      <c r="L9" s="824">
        <f t="shared" ref="L9:N10" si="3">L12+L15</f>
        <v>0</v>
      </c>
      <c r="M9" s="824">
        <f t="shared" si="3"/>
        <v>0</v>
      </c>
      <c r="N9" s="824">
        <f t="shared" si="3"/>
        <v>0</v>
      </c>
      <c r="O9" s="824">
        <f t="shared" si="1"/>
        <v>0</v>
      </c>
      <c r="P9" s="824">
        <f t="shared" si="2"/>
        <v>0</v>
      </c>
      <c r="Q9" s="825"/>
      <c r="R9" s="825"/>
      <c r="S9" s="825"/>
      <c r="T9" s="825"/>
      <c r="U9" s="825"/>
      <c r="V9" s="825"/>
      <c r="W9" s="825"/>
      <c r="X9" s="825"/>
      <c r="Y9" s="825"/>
      <c r="Z9" s="825"/>
    </row>
    <row r="10" spans="1:26" ht="18.75" hidden="1">
      <c r="A10" s="819"/>
      <c r="B10" s="820"/>
      <c r="C10" s="820"/>
      <c r="D10" s="820"/>
      <c r="E10" s="821" t="s">
        <v>19</v>
      </c>
      <c r="F10" s="820"/>
      <c r="G10" s="822"/>
      <c r="H10" s="28" t="s">
        <v>12</v>
      </c>
      <c r="I10" s="823"/>
      <c r="J10" s="823"/>
      <c r="K10" s="824"/>
      <c r="L10" s="824">
        <f t="shared" ca="1" si="3"/>
        <v>7819267</v>
      </c>
      <c r="M10" s="824">
        <f t="shared" ca="1" si="3"/>
        <v>3632700.7199999997</v>
      </c>
      <c r="N10" s="824">
        <f t="shared" ca="1" si="3"/>
        <v>2725216.02</v>
      </c>
      <c r="O10" s="824">
        <f t="shared" ca="1" si="1"/>
        <v>34.852576590619044</v>
      </c>
      <c r="P10" s="824">
        <f t="shared" ca="1" si="2"/>
        <v>75.019007346137784</v>
      </c>
      <c r="Q10" s="825"/>
      <c r="R10" s="825"/>
      <c r="S10" s="825"/>
      <c r="T10" s="825"/>
      <c r="U10" s="825"/>
      <c r="V10" s="825"/>
      <c r="W10" s="825"/>
      <c r="X10" s="825"/>
      <c r="Y10" s="825"/>
      <c r="Z10" s="825"/>
    </row>
    <row r="11" spans="1:26" ht="18.75">
      <c r="A11" s="826"/>
      <c r="B11" s="827"/>
      <c r="C11" s="827"/>
      <c r="D11" s="828" t="s">
        <v>20</v>
      </c>
      <c r="E11" s="827"/>
      <c r="F11" s="827"/>
      <c r="G11" s="829"/>
      <c r="H11" s="590" t="s">
        <v>12</v>
      </c>
      <c r="I11" s="830"/>
      <c r="J11" s="830"/>
      <c r="K11" s="831"/>
      <c r="L11" s="831">
        <f t="shared" ref="L11:N11" ca="1" si="4">L12+L13</f>
        <v>7545267</v>
      </c>
      <c r="M11" s="831">
        <f t="shared" ca="1" si="4"/>
        <v>3372500.7199999997</v>
      </c>
      <c r="N11" s="831">
        <f t="shared" ca="1" si="4"/>
        <v>2465016.02</v>
      </c>
      <c r="O11" s="831">
        <f t="shared" ca="1" si="1"/>
        <v>32.669699031193993</v>
      </c>
      <c r="P11" s="831">
        <f t="shared" ca="1" si="2"/>
        <v>73.091638064943098</v>
      </c>
      <c r="Q11" s="818"/>
      <c r="R11" s="818"/>
      <c r="S11" s="818"/>
      <c r="T11" s="818"/>
      <c r="U11" s="818"/>
      <c r="V11" s="818"/>
      <c r="W11" s="818"/>
      <c r="X11" s="818"/>
      <c r="Y11" s="818"/>
      <c r="Z11" s="818"/>
    </row>
    <row r="12" spans="1:26" ht="18.75" hidden="1">
      <c r="A12" s="832"/>
      <c r="B12" s="833"/>
      <c r="C12" s="833"/>
      <c r="D12" s="833"/>
      <c r="E12" s="834" t="s">
        <v>18</v>
      </c>
      <c r="F12" s="833"/>
      <c r="G12" s="835"/>
      <c r="H12" s="43" t="s">
        <v>12</v>
      </c>
      <c r="I12" s="836"/>
      <c r="J12" s="836"/>
      <c r="K12" s="837"/>
      <c r="L12" s="837">
        <f t="shared" ref="L12:N13" si="5">L22+L32</f>
        <v>0</v>
      </c>
      <c r="M12" s="837">
        <f t="shared" si="5"/>
        <v>0</v>
      </c>
      <c r="N12" s="837">
        <f t="shared" si="5"/>
        <v>0</v>
      </c>
      <c r="O12" s="837">
        <f t="shared" si="1"/>
        <v>0</v>
      </c>
      <c r="P12" s="837">
        <f t="shared" si="2"/>
        <v>0</v>
      </c>
      <c r="Q12" s="825"/>
      <c r="R12" s="825"/>
      <c r="S12" s="825"/>
      <c r="T12" s="825"/>
      <c r="U12" s="825"/>
      <c r="V12" s="825"/>
      <c r="W12" s="825"/>
      <c r="X12" s="825"/>
      <c r="Y12" s="825"/>
      <c r="Z12" s="825"/>
    </row>
    <row r="13" spans="1:26" ht="18.75" hidden="1">
      <c r="A13" s="832"/>
      <c r="B13" s="833"/>
      <c r="C13" s="833"/>
      <c r="D13" s="833"/>
      <c r="E13" s="834" t="s">
        <v>19</v>
      </c>
      <c r="F13" s="833"/>
      <c r="G13" s="835"/>
      <c r="H13" s="43" t="s">
        <v>12</v>
      </c>
      <c r="I13" s="836"/>
      <c r="J13" s="836"/>
      <c r="K13" s="837"/>
      <c r="L13" s="837">
        <f t="shared" ca="1" si="5"/>
        <v>7545267</v>
      </c>
      <c r="M13" s="837">
        <f t="shared" ca="1" si="5"/>
        <v>3372500.7199999997</v>
      </c>
      <c r="N13" s="837">
        <f t="shared" ca="1" si="5"/>
        <v>2465016.02</v>
      </c>
      <c r="O13" s="837">
        <f t="shared" ca="1" si="1"/>
        <v>32.669699031193993</v>
      </c>
      <c r="P13" s="837">
        <f t="shared" ca="1" si="2"/>
        <v>73.091638064943098</v>
      </c>
      <c r="Q13" s="825"/>
      <c r="R13" s="825"/>
      <c r="S13" s="825"/>
      <c r="T13" s="825"/>
      <c r="U13" s="825"/>
      <c r="V13" s="825"/>
      <c r="W13" s="825"/>
      <c r="X13" s="825"/>
      <c r="Y13" s="825"/>
      <c r="Z13" s="825"/>
    </row>
    <row r="14" spans="1:26" ht="18.75">
      <c r="A14" s="826"/>
      <c r="B14" s="827"/>
      <c r="C14" s="827"/>
      <c r="D14" s="828" t="s">
        <v>21</v>
      </c>
      <c r="E14" s="827"/>
      <c r="F14" s="827"/>
      <c r="G14" s="829"/>
      <c r="H14" s="590" t="s">
        <v>12</v>
      </c>
      <c r="I14" s="830"/>
      <c r="J14" s="830"/>
      <c r="K14" s="831"/>
      <c r="L14" s="831">
        <f t="shared" ref="L14:N14" ca="1" si="6">L15+L16</f>
        <v>274000</v>
      </c>
      <c r="M14" s="831">
        <f t="shared" ca="1" si="6"/>
        <v>260200</v>
      </c>
      <c r="N14" s="831">
        <f t="shared" ca="1" si="6"/>
        <v>260200</v>
      </c>
      <c r="O14" s="831">
        <f t="shared" ca="1" si="1"/>
        <v>94.96350364963503</v>
      </c>
      <c r="P14" s="831">
        <f t="shared" ca="1" si="2"/>
        <v>100</v>
      </c>
      <c r="Q14" s="818"/>
      <c r="R14" s="818"/>
      <c r="S14" s="818"/>
      <c r="T14" s="818"/>
      <c r="U14" s="818"/>
      <c r="V14" s="818"/>
      <c r="W14" s="818"/>
      <c r="X14" s="818"/>
      <c r="Y14" s="818"/>
      <c r="Z14" s="818"/>
    </row>
    <row r="15" spans="1:26" ht="18.75" hidden="1">
      <c r="A15" s="832"/>
      <c r="B15" s="833"/>
      <c r="C15" s="833"/>
      <c r="D15" s="833"/>
      <c r="E15" s="834" t="s">
        <v>18</v>
      </c>
      <c r="F15" s="833"/>
      <c r="G15" s="835"/>
      <c r="H15" s="43" t="s">
        <v>12</v>
      </c>
      <c r="I15" s="836"/>
      <c r="J15" s="836"/>
      <c r="K15" s="837"/>
      <c r="L15" s="837">
        <f t="shared" ref="L15:N16" si="7">L25+L35</f>
        <v>0</v>
      </c>
      <c r="M15" s="837">
        <f t="shared" si="7"/>
        <v>0</v>
      </c>
      <c r="N15" s="837">
        <f t="shared" si="7"/>
        <v>0</v>
      </c>
      <c r="O15" s="837">
        <f t="shared" si="1"/>
        <v>0</v>
      </c>
      <c r="P15" s="837">
        <f t="shared" si="2"/>
        <v>0</v>
      </c>
      <c r="Q15" s="825"/>
      <c r="R15" s="825"/>
      <c r="S15" s="825"/>
      <c r="T15" s="825"/>
      <c r="U15" s="825"/>
      <c r="V15" s="825"/>
      <c r="W15" s="825"/>
      <c r="X15" s="825"/>
      <c r="Y15" s="825"/>
      <c r="Z15" s="825"/>
    </row>
    <row r="16" spans="1:26" ht="18.75" hidden="1">
      <c r="A16" s="838"/>
      <c r="B16" s="839"/>
      <c r="C16" s="839"/>
      <c r="D16" s="839"/>
      <c r="E16" s="840" t="s">
        <v>19</v>
      </c>
      <c r="F16" s="839"/>
      <c r="G16" s="841"/>
      <c r="H16" s="50" t="s">
        <v>12</v>
      </c>
      <c r="I16" s="842"/>
      <c r="J16" s="842"/>
      <c r="K16" s="843"/>
      <c r="L16" s="843">
        <f t="shared" ca="1" si="7"/>
        <v>274000</v>
      </c>
      <c r="M16" s="843">
        <f t="shared" ca="1" si="7"/>
        <v>260200</v>
      </c>
      <c r="N16" s="843">
        <f t="shared" ca="1" si="7"/>
        <v>260200</v>
      </c>
      <c r="O16" s="843">
        <f t="shared" ca="1" si="1"/>
        <v>94.96350364963503</v>
      </c>
      <c r="P16" s="843">
        <f t="shared" ca="1" si="2"/>
        <v>100</v>
      </c>
      <c r="Q16" s="825"/>
      <c r="R16" s="825"/>
      <c r="S16" s="825"/>
      <c r="T16" s="825"/>
      <c r="U16" s="825"/>
      <c r="V16" s="825"/>
      <c r="W16" s="825"/>
      <c r="X16" s="825"/>
      <c r="Y16" s="825"/>
      <c r="Z16" s="825"/>
    </row>
    <row r="17" spans="1:26" ht="19.5">
      <c r="A17" s="1512" t="s">
        <v>22</v>
      </c>
      <c r="B17" s="1494"/>
      <c r="C17" s="1494"/>
      <c r="D17" s="1494"/>
      <c r="E17" s="1494"/>
      <c r="F17" s="1494"/>
      <c r="G17" s="1495"/>
      <c r="H17" s="807"/>
      <c r="I17" s="808"/>
      <c r="J17" s="808"/>
      <c r="K17" s="809"/>
      <c r="L17" s="809"/>
      <c r="M17" s="809"/>
      <c r="N17" s="809"/>
      <c r="O17" s="809"/>
      <c r="P17" s="809"/>
    </row>
    <row r="18" spans="1:26" ht="19.5">
      <c r="A18" s="810"/>
      <c r="B18" s="811"/>
      <c r="C18" s="812" t="s">
        <v>16</v>
      </c>
      <c r="D18" s="813" t="s">
        <v>17</v>
      </c>
      <c r="E18" s="811"/>
      <c r="F18" s="811"/>
      <c r="G18" s="814"/>
      <c r="H18" s="19" t="s">
        <v>12</v>
      </c>
      <c r="I18" s="815"/>
      <c r="J18" s="815"/>
      <c r="K18" s="816"/>
      <c r="L18" s="817">
        <f t="shared" ref="L18:N18" ca="1" si="8">L19+L20</f>
        <v>4469706</v>
      </c>
      <c r="M18" s="817">
        <f t="shared" ca="1" si="8"/>
        <v>3632700.7199999997</v>
      </c>
      <c r="N18" s="817">
        <f t="shared" ca="1" si="8"/>
        <v>2122468.3200000003</v>
      </c>
      <c r="O18" s="817">
        <f t="shared" ref="O18:O26" ca="1" si="9">IF(L18&gt;0,N18*100/L18,0)</f>
        <v>47.485635968003272</v>
      </c>
      <c r="P18" s="817">
        <f t="shared" ref="P18:P26" ca="1" si="10">IF(M18&gt;0,N18*100/M18,0)</f>
        <v>58.426732164162438</v>
      </c>
      <c r="Q18" s="818"/>
      <c r="R18" s="818"/>
      <c r="S18" s="818"/>
      <c r="T18" s="818"/>
      <c r="U18" s="818"/>
      <c r="V18" s="818"/>
      <c r="W18" s="818"/>
      <c r="X18" s="818"/>
      <c r="Y18" s="818"/>
      <c r="Z18" s="818"/>
    </row>
    <row r="19" spans="1:26" ht="18.75" hidden="1">
      <c r="A19" s="819"/>
      <c r="B19" s="820"/>
      <c r="C19" s="820"/>
      <c r="D19" s="820"/>
      <c r="E19" s="821" t="s">
        <v>18</v>
      </c>
      <c r="F19" s="820"/>
      <c r="G19" s="822"/>
      <c r="H19" s="28" t="s">
        <v>12</v>
      </c>
      <c r="I19" s="823"/>
      <c r="J19" s="823"/>
      <c r="K19" s="824"/>
      <c r="L19" s="824">
        <f t="shared" ref="L19:N20" si="11">L22+L25</f>
        <v>0</v>
      </c>
      <c r="M19" s="824">
        <f t="shared" si="11"/>
        <v>0</v>
      </c>
      <c r="N19" s="824">
        <f t="shared" si="11"/>
        <v>0</v>
      </c>
      <c r="O19" s="824">
        <f t="shared" si="9"/>
        <v>0</v>
      </c>
      <c r="P19" s="824">
        <f t="shared" si="10"/>
        <v>0</v>
      </c>
      <c r="Q19" s="825"/>
      <c r="R19" s="825"/>
      <c r="S19" s="825"/>
      <c r="T19" s="825"/>
      <c r="U19" s="825"/>
      <c r="V19" s="825"/>
      <c r="W19" s="825"/>
      <c r="X19" s="825"/>
      <c r="Y19" s="825"/>
      <c r="Z19" s="825"/>
    </row>
    <row r="20" spans="1:26" ht="18.75" hidden="1">
      <c r="A20" s="819"/>
      <c r="B20" s="820"/>
      <c r="C20" s="820"/>
      <c r="D20" s="820"/>
      <c r="E20" s="821" t="s">
        <v>19</v>
      </c>
      <c r="F20" s="820"/>
      <c r="G20" s="822"/>
      <c r="H20" s="28" t="s">
        <v>12</v>
      </c>
      <c r="I20" s="823"/>
      <c r="J20" s="823"/>
      <c r="K20" s="824"/>
      <c r="L20" s="824">
        <f t="shared" ca="1" si="11"/>
        <v>4469706</v>
      </c>
      <c r="M20" s="824">
        <f t="shared" ca="1" si="11"/>
        <v>3632700.7199999997</v>
      </c>
      <c r="N20" s="824">
        <f t="shared" ca="1" si="11"/>
        <v>2122468.3200000003</v>
      </c>
      <c r="O20" s="824">
        <f t="shared" ca="1" si="9"/>
        <v>47.485635968003272</v>
      </c>
      <c r="P20" s="824">
        <f t="shared" ca="1" si="10"/>
        <v>58.426732164162438</v>
      </c>
      <c r="Q20" s="825"/>
      <c r="R20" s="825"/>
      <c r="S20" s="825"/>
      <c r="T20" s="825"/>
      <c r="U20" s="825"/>
      <c r="V20" s="825"/>
      <c r="W20" s="825"/>
      <c r="X20" s="825"/>
      <c r="Y20" s="825"/>
      <c r="Z20" s="825"/>
    </row>
    <row r="21" spans="1:26" ht="18.75">
      <c r="A21" s="826"/>
      <c r="B21" s="827"/>
      <c r="C21" s="827"/>
      <c r="D21" s="828" t="s">
        <v>20</v>
      </c>
      <c r="E21" s="827"/>
      <c r="F21" s="827"/>
      <c r="G21" s="829"/>
      <c r="H21" s="590" t="s">
        <v>12</v>
      </c>
      <c r="I21" s="830"/>
      <c r="J21" s="830"/>
      <c r="K21" s="831"/>
      <c r="L21" s="831">
        <f t="shared" ref="L21:N21" ca="1" si="12">L22+L23</f>
        <v>4195706</v>
      </c>
      <c r="M21" s="831">
        <f t="shared" ca="1" si="12"/>
        <v>3372500.7199999997</v>
      </c>
      <c r="N21" s="831">
        <f t="shared" ca="1" si="12"/>
        <v>1862268.32</v>
      </c>
      <c r="O21" s="831">
        <f t="shared" ca="1" si="9"/>
        <v>44.385100385966034</v>
      </c>
      <c r="P21" s="831">
        <f t="shared" ca="1" si="10"/>
        <v>55.219211932444011</v>
      </c>
      <c r="Q21" s="818"/>
      <c r="R21" s="818"/>
      <c r="S21" s="818"/>
      <c r="T21" s="818"/>
      <c r="U21" s="818"/>
      <c r="V21" s="818"/>
      <c r="W21" s="818"/>
      <c r="X21" s="818"/>
      <c r="Y21" s="818"/>
      <c r="Z21" s="818"/>
    </row>
    <row r="22" spans="1:26" ht="18.75" hidden="1">
      <c r="A22" s="832"/>
      <c r="B22" s="833"/>
      <c r="C22" s="833"/>
      <c r="D22" s="833"/>
      <c r="E22" s="834" t="s">
        <v>18</v>
      </c>
      <c r="F22" s="833"/>
      <c r="G22" s="835"/>
      <c r="H22" s="43" t="s">
        <v>12</v>
      </c>
      <c r="I22" s="836"/>
      <c r="J22" s="836"/>
      <c r="K22" s="837"/>
      <c r="L22" s="837">
        <f t="shared" ref="L22:N23" si="13">L45+L57+L70+L92+L123+L136+L153+L185+L169+L265+L281+L302+L319+L332+L349+L393+L406</f>
        <v>0</v>
      </c>
      <c r="M22" s="837">
        <f t="shared" si="13"/>
        <v>0</v>
      </c>
      <c r="N22" s="837">
        <f t="shared" si="13"/>
        <v>0</v>
      </c>
      <c r="O22" s="837">
        <f t="shared" si="9"/>
        <v>0</v>
      </c>
      <c r="P22" s="837">
        <f t="shared" si="10"/>
        <v>0</v>
      </c>
      <c r="Q22" s="825"/>
      <c r="R22" s="825"/>
      <c r="S22" s="825"/>
      <c r="T22" s="825"/>
      <c r="U22" s="825"/>
      <c r="V22" s="825"/>
      <c r="W22" s="825"/>
      <c r="X22" s="825"/>
      <c r="Y22" s="825"/>
      <c r="Z22" s="825"/>
    </row>
    <row r="23" spans="1:26" ht="18.75" hidden="1">
      <c r="A23" s="832"/>
      <c r="B23" s="833"/>
      <c r="C23" s="833"/>
      <c r="D23" s="833"/>
      <c r="E23" s="834" t="s">
        <v>19</v>
      </c>
      <c r="F23" s="833"/>
      <c r="G23" s="835"/>
      <c r="H23" s="43" t="s">
        <v>12</v>
      </c>
      <c r="I23" s="836"/>
      <c r="J23" s="836"/>
      <c r="K23" s="837"/>
      <c r="L23" s="837">
        <f t="shared" ca="1" si="13"/>
        <v>4195706</v>
      </c>
      <c r="M23" s="837">
        <f t="shared" ca="1" si="13"/>
        <v>3372500.7199999997</v>
      </c>
      <c r="N23" s="837">
        <f t="shared" ca="1" si="13"/>
        <v>1862268.32</v>
      </c>
      <c r="O23" s="837">
        <f t="shared" ca="1" si="9"/>
        <v>44.385100385966034</v>
      </c>
      <c r="P23" s="837">
        <f t="shared" ca="1" si="10"/>
        <v>55.219211932444011</v>
      </c>
      <c r="Q23" s="825"/>
      <c r="R23" s="825"/>
      <c r="S23" s="825"/>
      <c r="T23" s="825"/>
      <c r="U23" s="825"/>
      <c r="V23" s="825"/>
      <c r="W23" s="825"/>
      <c r="X23" s="825"/>
      <c r="Y23" s="825"/>
      <c r="Z23" s="825"/>
    </row>
    <row r="24" spans="1:26" ht="18.75">
      <c r="A24" s="826"/>
      <c r="B24" s="827"/>
      <c r="C24" s="827"/>
      <c r="D24" s="828" t="s">
        <v>21</v>
      </c>
      <c r="E24" s="827"/>
      <c r="F24" s="827"/>
      <c r="G24" s="829"/>
      <c r="H24" s="590" t="s">
        <v>12</v>
      </c>
      <c r="I24" s="830"/>
      <c r="J24" s="830"/>
      <c r="K24" s="831"/>
      <c r="L24" s="831">
        <f t="shared" ref="L24:N24" ca="1" si="14">L25+L26</f>
        <v>274000</v>
      </c>
      <c r="M24" s="831">
        <f t="shared" ca="1" si="14"/>
        <v>260200</v>
      </c>
      <c r="N24" s="831">
        <f t="shared" ca="1" si="14"/>
        <v>260200</v>
      </c>
      <c r="O24" s="831">
        <f t="shared" ca="1" si="9"/>
        <v>94.96350364963503</v>
      </c>
      <c r="P24" s="831">
        <f t="shared" ca="1" si="10"/>
        <v>100</v>
      </c>
      <c r="Q24" s="818"/>
      <c r="R24" s="818"/>
      <c r="S24" s="818"/>
      <c r="T24" s="818"/>
      <c r="U24" s="818"/>
      <c r="V24" s="818"/>
      <c r="W24" s="818"/>
      <c r="X24" s="818"/>
      <c r="Y24" s="818"/>
      <c r="Z24" s="818"/>
    </row>
    <row r="25" spans="1:26" ht="18.75" hidden="1">
      <c r="A25" s="832"/>
      <c r="B25" s="833"/>
      <c r="C25" s="833"/>
      <c r="D25" s="833"/>
      <c r="E25" s="834" t="s">
        <v>18</v>
      </c>
      <c r="F25" s="833"/>
      <c r="G25" s="835"/>
      <c r="H25" s="43" t="s">
        <v>12</v>
      </c>
      <c r="I25" s="836"/>
      <c r="J25" s="836"/>
      <c r="K25" s="837"/>
      <c r="L25" s="837">
        <f t="shared" ref="L25:N26" si="15">L48+L60+L73+L95+L126+L139+L156+L188+L172+L268+L284+L305+L322+L335+L352+L396+L409</f>
        <v>0</v>
      </c>
      <c r="M25" s="837">
        <f t="shared" si="15"/>
        <v>0</v>
      </c>
      <c r="N25" s="837">
        <f t="shared" si="15"/>
        <v>0</v>
      </c>
      <c r="O25" s="837">
        <f t="shared" si="9"/>
        <v>0</v>
      </c>
      <c r="P25" s="837">
        <f t="shared" si="10"/>
        <v>0</v>
      </c>
      <c r="Q25" s="825"/>
      <c r="R25" s="825"/>
      <c r="S25" s="825"/>
      <c r="T25" s="825"/>
      <c r="U25" s="825"/>
      <c r="V25" s="825"/>
      <c r="W25" s="825"/>
      <c r="X25" s="825"/>
      <c r="Y25" s="825"/>
      <c r="Z25" s="825"/>
    </row>
    <row r="26" spans="1:26" ht="18.75" hidden="1">
      <c r="A26" s="838"/>
      <c r="B26" s="839"/>
      <c r="C26" s="839"/>
      <c r="D26" s="839"/>
      <c r="E26" s="840" t="s">
        <v>19</v>
      </c>
      <c r="F26" s="839"/>
      <c r="G26" s="841"/>
      <c r="H26" s="50" t="s">
        <v>12</v>
      </c>
      <c r="I26" s="842"/>
      <c r="J26" s="842"/>
      <c r="K26" s="843"/>
      <c r="L26" s="843">
        <f t="shared" ca="1" si="15"/>
        <v>274000</v>
      </c>
      <c r="M26" s="843">
        <f t="shared" ca="1" si="15"/>
        <v>260200</v>
      </c>
      <c r="N26" s="843">
        <f t="shared" ca="1" si="15"/>
        <v>260200</v>
      </c>
      <c r="O26" s="843">
        <f t="shared" ca="1" si="9"/>
        <v>94.96350364963503</v>
      </c>
      <c r="P26" s="843">
        <f t="shared" ca="1" si="10"/>
        <v>100</v>
      </c>
      <c r="Q26" s="825"/>
      <c r="R26" s="825"/>
      <c r="S26" s="825"/>
      <c r="T26" s="825"/>
      <c r="U26" s="825"/>
      <c r="V26" s="825"/>
      <c r="W26" s="825"/>
      <c r="X26" s="825"/>
      <c r="Y26" s="825"/>
      <c r="Z26" s="825"/>
    </row>
    <row r="27" spans="1:26" ht="19.5">
      <c r="A27" s="1512" t="s">
        <v>23</v>
      </c>
      <c r="B27" s="1494"/>
      <c r="C27" s="1494"/>
      <c r="D27" s="1494"/>
      <c r="E27" s="1494"/>
      <c r="F27" s="1494"/>
      <c r="G27" s="1495"/>
      <c r="H27" s="807"/>
      <c r="I27" s="808"/>
      <c r="J27" s="808"/>
      <c r="K27" s="809"/>
      <c r="L27" s="809"/>
      <c r="M27" s="809"/>
      <c r="N27" s="809"/>
      <c r="O27" s="809"/>
      <c r="P27" s="809"/>
    </row>
    <row r="28" spans="1:26" ht="19.5">
      <c r="A28" s="810"/>
      <c r="B28" s="811"/>
      <c r="C28" s="812" t="s">
        <v>16</v>
      </c>
      <c r="D28" s="813" t="s">
        <v>17</v>
      </c>
      <c r="E28" s="811"/>
      <c r="F28" s="811"/>
      <c r="G28" s="814"/>
      <c r="H28" s="19" t="s">
        <v>12</v>
      </c>
      <c r="I28" s="815"/>
      <c r="J28" s="815"/>
      <c r="K28" s="816"/>
      <c r="L28" s="817">
        <f t="shared" ref="L28:N28" ca="1" si="16">L29+L30</f>
        <v>3349561</v>
      </c>
      <c r="M28" s="817">
        <f t="shared" si="16"/>
        <v>0</v>
      </c>
      <c r="N28" s="817">
        <f t="shared" si="16"/>
        <v>602747.69999999995</v>
      </c>
      <c r="O28" s="817">
        <f t="shared" ref="O28:O37" ca="1" si="17">IF(L28&gt;0,N28*100/L28,0)</f>
        <v>17.994826784763731</v>
      </c>
      <c r="P28" s="817">
        <f t="shared" ref="P28:P37" si="18">IF(M28&gt;0,N28*100/M28,0)</f>
        <v>0</v>
      </c>
      <c r="Q28" s="818"/>
      <c r="R28" s="818"/>
      <c r="S28" s="818"/>
      <c r="T28" s="818"/>
      <c r="U28" s="818"/>
      <c r="V28" s="818"/>
      <c r="W28" s="818"/>
      <c r="X28" s="818"/>
      <c r="Y28" s="818"/>
      <c r="Z28" s="818"/>
    </row>
    <row r="29" spans="1:26" ht="18.75" hidden="1">
      <c r="A29" s="819"/>
      <c r="B29" s="820"/>
      <c r="C29" s="820"/>
      <c r="D29" s="820"/>
      <c r="E29" s="821" t="s">
        <v>18</v>
      </c>
      <c r="F29" s="820"/>
      <c r="G29" s="822"/>
      <c r="H29" s="28" t="s">
        <v>12</v>
      </c>
      <c r="I29" s="823"/>
      <c r="J29" s="823"/>
      <c r="K29" s="824"/>
      <c r="L29" s="824">
        <f t="shared" ref="L29:N30" si="19">L32+L35</f>
        <v>0</v>
      </c>
      <c r="M29" s="824">
        <f t="shared" si="19"/>
        <v>0</v>
      </c>
      <c r="N29" s="824">
        <f t="shared" si="19"/>
        <v>0</v>
      </c>
      <c r="O29" s="824">
        <f t="shared" si="17"/>
        <v>0</v>
      </c>
      <c r="P29" s="824">
        <f t="shared" si="18"/>
        <v>0</v>
      </c>
      <c r="Q29" s="825"/>
      <c r="R29" s="825"/>
      <c r="S29" s="825"/>
      <c r="T29" s="825"/>
      <c r="U29" s="825"/>
      <c r="V29" s="825"/>
      <c r="W29" s="825"/>
      <c r="X29" s="825"/>
      <c r="Y29" s="825"/>
      <c r="Z29" s="825"/>
    </row>
    <row r="30" spans="1:26" ht="18.75" hidden="1">
      <c r="A30" s="819"/>
      <c r="B30" s="820"/>
      <c r="C30" s="820"/>
      <c r="D30" s="820"/>
      <c r="E30" s="821" t="s">
        <v>19</v>
      </c>
      <c r="F30" s="820"/>
      <c r="G30" s="822"/>
      <c r="H30" s="28" t="s">
        <v>12</v>
      </c>
      <c r="I30" s="823"/>
      <c r="J30" s="823"/>
      <c r="K30" s="824"/>
      <c r="L30" s="824">
        <f t="shared" ca="1" si="19"/>
        <v>3349561</v>
      </c>
      <c r="M30" s="824">
        <f t="shared" si="19"/>
        <v>0</v>
      </c>
      <c r="N30" s="824">
        <f t="shared" si="19"/>
        <v>602747.69999999995</v>
      </c>
      <c r="O30" s="824">
        <f t="shared" ca="1" si="17"/>
        <v>17.994826784763731</v>
      </c>
      <c r="P30" s="824">
        <f t="shared" si="18"/>
        <v>0</v>
      </c>
      <c r="Q30" s="825"/>
      <c r="R30" s="825"/>
      <c r="S30" s="825"/>
      <c r="T30" s="825"/>
      <c r="U30" s="825"/>
      <c r="V30" s="825"/>
      <c r="W30" s="825"/>
      <c r="X30" s="825"/>
      <c r="Y30" s="825"/>
      <c r="Z30" s="825"/>
    </row>
    <row r="31" spans="1:26" ht="18.75">
      <c r="A31" s="826"/>
      <c r="B31" s="827"/>
      <c r="C31" s="827"/>
      <c r="D31" s="828" t="s">
        <v>20</v>
      </c>
      <c r="E31" s="827"/>
      <c r="F31" s="827"/>
      <c r="G31" s="829"/>
      <c r="H31" s="590" t="s">
        <v>12</v>
      </c>
      <c r="I31" s="830"/>
      <c r="J31" s="830"/>
      <c r="K31" s="831"/>
      <c r="L31" s="831">
        <f t="shared" ref="L31:N31" ca="1" si="20">L32+L33</f>
        <v>3349561</v>
      </c>
      <c r="M31" s="831">
        <f t="shared" si="20"/>
        <v>0</v>
      </c>
      <c r="N31" s="831">
        <f t="shared" si="20"/>
        <v>602747.69999999995</v>
      </c>
      <c r="O31" s="831">
        <f t="shared" ca="1" si="17"/>
        <v>17.994826784763731</v>
      </c>
      <c r="P31" s="831">
        <f t="shared" si="18"/>
        <v>0</v>
      </c>
      <c r="Q31" s="818"/>
      <c r="R31" s="818"/>
      <c r="S31" s="818"/>
      <c r="T31" s="818"/>
      <c r="U31" s="818"/>
      <c r="V31" s="818"/>
      <c r="W31" s="818"/>
      <c r="X31" s="818"/>
      <c r="Y31" s="818"/>
      <c r="Z31" s="818"/>
    </row>
    <row r="32" spans="1:26" ht="18.75" hidden="1">
      <c r="A32" s="832"/>
      <c r="B32" s="833"/>
      <c r="C32" s="833"/>
      <c r="D32" s="833"/>
      <c r="E32" s="834" t="s">
        <v>18</v>
      </c>
      <c r="F32" s="833"/>
      <c r="G32" s="835"/>
      <c r="H32" s="43" t="s">
        <v>12</v>
      </c>
      <c r="I32" s="836"/>
      <c r="J32" s="836"/>
      <c r="K32" s="837"/>
      <c r="L32" s="837">
        <f t="shared" ref="L32:N33" si="21">L423+L448+L471+L506+L527+L548+L633+L659+L689+L741+L758+L774+L790+L809</f>
        <v>0</v>
      </c>
      <c r="M32" s="837">
        <f t="shared" si="21"/>
        <v>0</v>
      </c>
      <c r="N32" s="837">
        <f t="shared" si="21"/>
        <v>0</v>
      </c>
      <c r="O32" s="837">
        <f t="shared" si="17"/>
        <v>0</v>
      </c>
      <c r="P32" s="837">
        <f t="shared" si="18"/>
        <v>0</v>
      </c>
      <c r="Q32" s="825"/>
      <c r="R32" s="825"/>
      <c r="S32" s="825"/>
      <c r="T32" s="825"/>
      <c r="U32" s="825"/>
      <c r="V32" s="825"/>
      <c r="W32" s="825"/>
      <c r="X32" s="825"/>
      <c r="Y32" s="825"/>
      <c r="Z32" s="825"/>
    </row>
    <row r="33" spans="1:26" ht="18.75" hidden="1">
      <c r="A33" s="832"/>
      <c r="B33" s="833"/>
      <c r="C33" s="833"/>
      <c r="D33" s="833"/>
      <c r="E33" s="834" t="s">
        <v>19</v>
      </c>
      <c r="F33" s="833"/>
      <c r="G33" s="835"/>
      <c r="H33" s="43" t="s">
        <v>12</v>
      </c>
      <c r="I33" s="836"/>
      <c r="J33" s="836"/>
      <c r="K33" s="837"/>
      <c r="L33" s="837">
        <f t="shared" ca="1" si="21"/>
        <v>3349561</v>
      </c>
      <c r="M33" s="837">
        <f t="shared" si="21"/>
        <v>0</v>
      </c>
      <c r="N33" s="837">
        <f t="shared" si="21"/>
        <v>602747.69999999995</v>
      </c>
      <c r="O33" s="837">
        <f t="shared" ca="1" si="17"/>
        <v>17.994826784763731</v>
      </c>
      <c r="P33" s="837">
        <f t="shared" si="18"/>
        <v>0</v>
      </c>
      <c r="Q33" s="825"/>
      <c r="R33" s="825"/>
      <c r="S33" s="825"/>
      <c r="T33" s="825"/>
      <c r="U33" s="825"/>
      <c r="V33" s="825"/>
      <c r="W33" s="825"/>
      <c r="X33" s="825"/>
      <c r="Y33" s="825"/>
      <c r="Z33" s="825"/>
    </row>
    <row r="34" spans="1:26" ht="18.75">
      <c r="A34" s="826"/>
      <c r="B34" s="827"/>
      <c r="C34" s="827"/>
      <c r="D34" s="828" t="s">
        <v>21</v>
      </c>
      <c r="E34" s="827"/>
      <c r="F34" s="827"/>
      <c r="G34" s="829"/>
      <c r="H34" s="590" t="s">
        <v>12</v>
      </c>
      <c r="I34" s="830"/>
      <c r="J34" s="830"/>
      <c r="K34" s="831"/>
      <c r="L34" s="831">
        <f t="shared" ref="L34:N34" ca="1" si="22">L35+L36</f>
        <v>0</v>
      </c>
      <c r="M34" s="831">
        <f t="shared" si="22"/>
        <v>0</v>
      </c>
      <c r="N34" s="831">
        <f t="shared" si="22"/>
        <v>0</v>
      </c>
      <c r="O34" s="831">
        <f t="shared" ca="1" si="17"/>
        <v>0</v>
      </c>
      <c r="P34" s="831">
        <f t="shared" si="18"/>
        <v>0</v>
      </c>
      <c r="Q34" s="818"/>
      <c r="R34" s="818"/>
      <c r="S34" s="818"/>
      <c r="T34" s="818"/>
      <c r="U34" s="818"/>
      <c r="V34" s="818"/>
      <c r="W34" s="818"/>
      <c r="X34" s="818"/>
      <c r="Y34" s="818"/>
      <c r="Z34" s="818"/>
    </row>
    <row r="35" spans="1:26" ht="18.75" hidden="1">
      <c r="A35" s="832"/>
      <c r="B35" s="833"/>
      <c r="C35" s="833"/>
      <c r="D35" s="833"/>
      <c r="E35" s="834" t="s">
        <v>18</v>
      </c>
      <c r="F35" s="833"/>
      <c r="G35" s="835"/>
      <c r="H35" s="43" t="s">
        <v>12</v>
      </c>
      <c r="I35" s="836"/>
      <c r="J35" s="836"/>
      <c r="K35" s="837"/>
      <c r="L35" s="837">
        <f t="shared" ref="L35:N36" si="23">L430+L455+L478+L513+L534+L556+L640+L666+L696+L748+L765+L781+L797+L816</f>
        <v>0</v>
      </c>
      <c r="M35" s="837">
        <f t="shared" si="23"/>
        <v>0</v>
      </c>
      <c r="N35" s="837">
        <f t="shared" si="23"/>
        <v>0</v>
      </c>
      <c r="O35" s="837">
        <f t="shared" si="17"/>
        <v>0</v>
      </c>
      <c r="P35" s="837">
        <f t="shared" si="18"/>
        <v>0</v>
      </c>
      <c r="Q35" s="825"/>
      <c r="R35" s="825"/>
      <c r="S35" s="825"/>
      <c r="T35" s="825"/>
      <c r="U35" s="825"/>
      <c r="V35" s="825"/>
      <c r="W35" s="825"/>
      <c r="X35" s="825"/>
      <c r="Y35" s="825"/>
      <c r="Z35" s="825"/>
    </row>
    <row r="36" spans="1:26" ht="18.75" hidden="1">
      <c r="A36" s="838"/>
      <c r="B36" s="839"/>
      <c r="C36" s="839"/>
      <c r="D36" s="839"/>
      <c r="E36" s="840" t="s">
        <v>19</v>
      </c>
      <c r="F36" s="839"/>
      <c r="G36" s="841"/>
      <c r="H36" s="50" t="s">
        <v>12</v>
      </c>
      <c r="I36" s="842"/>
      <c r="J36" s="842"/>
      <c r="K36" s="843"/>
      <c r="L36" s="843">
        <f t="shared" ca="1" si="23"/>
        <v>0</v>
      </c>
      <c r="M36" s="843">
        <f t="shared" si="23"/>
        <v>0</v>
      </c>
      <c r="N36" s="843">
        <f t="shared" si="23"/>
        <v>0</v>
      </c>
      <c r="O36" s="843">
        <f t="shared" ca="1" si="17"/>
        <v>0</v>
      </c>
      <c r="P36" s="843">
        <f t="shared" si="18"/>
        <v>0</v>
      </c>
      <c r="Q36" s="825"/>
      <c r="R36" s="825"/>
      <c r="S36" s="825"/>
      <c r="T36" s="825"/>
      <c r="U36" s="825"/>
      <c r="V36" s="825"/>
      <c r="W36" s="825"/>
      <c r="X36" s="825"/>
      <c r="Y36" s="825"/>
      <c r="Z36" s="825"/>
    </row>
    <row r="37" spans="1:26" ht="19.5">
      <c r="A37" s="844" t="s">
        <v>24</v>
      </c>
      <c r="B37" s="845"/>
      <c r="C37" s="845"/>
      <c r="D37" s="845"/>
      <c r="E37" s="845"/>
      <c r="F37" s="845"/>
      <c r="G37" s="846"/>
      <c r="H37" s="847"/>
      <c r="I37" s="848"/>
      <c r="J37" s="848"/>
      <c r="K37" s="849"/>
      <c r="L37" s="850">
        <f t="shared" ref="L37:N37" ca="1" si="24">L41+L53+L66+L88+L119+L132+L149+L165+L181+L261+L277+L298+L315+L328+L345+L389+L402</f>
        <v>4469706</v>
      </c>
      <c r="M37" s="850">
        <f t="shared" ca="1" si="24"/>
        <v>3632700.7199999997</v>
      </c>
      <c r="N37" s="850">
        <f t="shared" ca="1" si="24"/>
        <v>2122468.3200000003</v>
      </c>
      <c r="O37" s="850">
        <f t="shared" ca="1" si="17"/>
        <v>47.485635968003272</v>
      </c>
      <c r="P37" s="850">
        <f t="shared" ca="1" si="18"/>
        <v>58.426732164162438</v>
      </c>
    </row>
    <row r="38" spans="1:26" ht="19.5">
      <c r="A38" s="851" t="s">
        <v>25</v>
      </c>
      <c r="B38" s="852"/>
      <c r="C38" s="852"/>
      <c r="D38" s="852"/>
      <c r="E38" s="852"/>
      <c r="F38" s="852"/>
      <c r="G38" s="853"/>
      <c r="H38" s="854"/>
      <c r="I38" s="855"/>
      <c r="J38" s="855"/>
      <c r="K38" s="856"/>
      <c r="L38" s="856"/>
      <c r="M38" s="856"/>
      <c r="N38" s="856"/>
      <c r="O38" s="856"/>
      <c r="P38" s="856"/>
    </row>
    <row r="39" spans="1:26" ht="19.5">
      <c r="A39" s="857"/>
      <c r="B39" s="858" t="s">
        <v>26</v>
      </c>
      <c r="C39" s="859"/>
      <c r="D39" s="859"/>
      <c r="E39" s="859"/>
      <c r="F39" s="859"/>
      <c r="G39" s="860"/>
      <c r="H39" s="861"/>
      <c r="I39" s="862"/>
      <c r="J39" s="862"/>
      <c r="K39" s="863"/>
      <c r="L39" s="863"/>
      <c r="M39" s="863"/>
      <c r="N39" s="863"/>
      <c r="O39" s="863"/>
      <c r="P39" s="863"/>
    </row>
    <row r="40" spans="1:26" ht="19.5">
      <c r="A40" s="864"/>
      <c r="B40" s="1513" t="s">
        <v>27</v>
      </c>
      <c r="C40" s="1485"/>
      <c r="D40" s="1485"/>
      <c r="E40" s="1485"/>
      <c r="F40" s="1485"/>
      <c r="G40" s="1491"/>
      <c r="H40" s="865"/>
      <c r="I40" s="866"/>
      <c r="J40" s="866"/>
      <c r="K40" s="867"/>
      <c r="L40" s="867"/>
      <c r="M40" s="867"/>
      <c r="N40" s="867"/>
      <c r="O40" s="867"/>
      <c r="P40" s="867"/>
    </row>
    <row r="41" spans="1:26" ht="19.5">
      <c r="A41" s="868"/>
      <c r="B41" s="869"/>
      <c r="C41" s="870" t="s">
        <v>16</v>
      </c>
      <c r="D41" s="871" t="s">
        <v>17</v>
      </c>
      <c r="E41" s="869"/>
      <c r="F41" s="869"/>
      <c r="G41" s="872"/>
      <c r="H41" s="82" t="s">
        <v>12</v>
      </c>
      <c r="I41" s="873"/>
      <c r="J41" s="873"/>
      <c r="K41" s="874"/>
      <c r="L41" s="875">
        <f t="shared" ref="L41:N41" ca="1" si="25">L42+L43</f>
        <v>563696</v>
      </c>
      <c r="M41" s="875">
        <f t="shared" ca="1" si="25"/>
        <v>576830.71999999997</v>
      </c>
      <c r="N41" s="875">
        <f t="shared" ca="1" si="25"/>
        <v>347943</v>
      </c>
      <c r="O41" s="875">
        <f t="shared" ref="O41:O49" ca="1" si="26">IF(L41&gt;0,N41*100/L41,0)</f>
        <v>61.725291646561267</v>
      </c>
      <c r="P41" s="875">
        <f t="shared" ref="P41:P49" ca="1" si="27">IF(M41&gt;0,N41*100/M41,0)</f>
        <v>60.319776311497421</v>
      </c>
      <c r="Q41" s="818"/>
      <c r="R41" s="818"/>
      <c r="S41" s="818"/>
      <c r="T41" s="818"/>
      <c r="U41" s="818"/>
      <c r="V41" s="818"/>
      <c r="W41" s="818"/>
      <c r="X41" s="818"/>
      <c r="Y41" s="818"/>
      <c r="Z41" s="818"/>
    </row>
    <row r="42" spans="1:26" ht="18.75" hidden="1">
      <c r="A42" s="876"/>
      <c r="B42" s="877"/>
      <c r="C42" s="877"/>
      <c r="D42" s="877"/>
      <c r="E42" s="878" t="s">
        <v>18</v>
      </c>
      <c r="F42" s="877"/>
      <c r="G42" s="879"/>
      <c r="H42" s="90" t="s">
        <v>12</v>
      </c>
      <c r="I42" s="880"/>
      <c r="J42" s="880"/>
      <c r="K42" s="881"/>
      <c r="L42" s="881">
        <f t="shared" ref="L42:N43" si="28">L45+L48</f>
        <v>0</v>
      </c>
      <c r="M42" s="881">
        <f t="shared" si="28"/>
        <v>0</v>
      </c>
      <c r="N42" s="881">
        <f t="shared" si="28"/>
        <v>0</v>
      </c>
      <c r="O42" s="881">
        <f t="shared" si="26"/>
        <v>0</v>
      </c>
      <c r="P42" s="881">
        <f t="shared" si="27"/>
        <v>0</v>
      </c>
      <c r="Q42" s="825"/>
      <c r="R42" s="825"/>
      <c r="S42" s="825"/>
      <c r="T42" s="825"/>
      <c r="U42" s="825"/>
      <c r="V42" s="825"/>
      <c r="W42" s="825"/>
      <c r="X42" s="825"/>
      <c r="Y42" s="825"/>
      <c r="Z42" s="825"/>
    </row>
    <row r="43" spans="1:26" ht="18.75" hidden="1">
      <c r="A43" s="876"/>
      <c r="B43" s="877"/>
      <c r="C43" s="877"/>
      <c r="D43" s="877"/>
      <c r="E43" s="878" t="s">
        <v>19</v>
      </c>
      <c r="F43" s="877"/>
      <c r="G43" s="879"/>
      <c r="H43" s="90" t="s">
        <v>12</v>
      </c>
      <c r="I43" s="880"/>
      <c r="J43" s="880"/>
      <c r="K43" s="881"/>
      <c r="L43" s="881">
        <f t="shared" ca="1" si="28"/>
        <v>563696</v>
      </c>
      <c r="M43" s="881">
        <f t="shared" ca="1" si="28"/>
        <v>576830.71999999997</v>
      </c>
      <c r="N43" s="881">
        <f t="shared" ca="1" si="28"/>
        <v>347943</v>
      </c>
      <c r="O43" s="881">
        <f t="shared" ca="1" si="26"/>
        <v>61.725291646561267</v>
      </c>
      <c r="P43" s="881">
        <f t="shared" ca="1" si="27"/>
        <v>60.319776311497421</v>
      </c>
      <c r="Q43" s="825"/>
      <c r="R43" s="825"/>
      <c r="S43" s="825"/>
      <c r="T43" s="825"/>
      <c r="U43" s="825"/>
      <c r="V43" s="825"/>
      <c r="W43" s="825"/>
      <c r="X43" s="825"/>
      <c r="Y43" s="825"/>
      <c r="Z43" s="825"/>
    </row>
    <row r="44" spans="1:26" ht="18.75">
      <c r="A44" s="826"/>
      <c r="B44" s="827"/>
      <c r="C44" s="827"/>
      <c r="D44" s="828" t="s">
        <v>20</v>
      </c>
      <c r="E44" s="827"/>
      <c r="F44" s="827"/>
      <c r="G44" s="829"/>
      <c r="H44" s="590" t="s">
        <v>12</v>
      </c>
      <c r="I44" s="830"/>
      <c r="J44" s="830"/>
      <c r="K44" s="831"/>
      <c r="L44" s="831">
        <f t="shared" ref="L44:N44" ca="1" si="29">L45+L46</f>
        <v>563696</v>
      </c>
      <c r="M44" s="831">
        <f t="shared" ca="1" si="29"/>
        <v>576830.71999999997</v>
      </c>
      <c r="N44" s="831">
        <f t="shared" ca="1" si="29"/>
        <v>347943</v>
      </c>
      <c r="O44" s="831">
        <f t="shared" ca="1" si="26"/>
        <v>61.725291646561267</v>
      </c>
      <c r="P44" s="831">
        <f t="shared" ca="1" si="27"/>
        <v>60.319776311497421</v>
      </c>
      <c r="Q44" s="818"/>
      <c r="R44" s="818"/>
      <c r="S44" s="818"/>
      <c r="T44" s="818"/>
      <c r="U44" s="818"/>
      <c r="V44" s="818"/>
      <c r="W44" s="818"/>
      <c r="X44" s="818"/>
      <c r="Y44" s="818"/>
      <c r="Z44" s="818"/>
    </row>
    <row r="45" spans="1:26" ht="18.75" hidden="1">
      <c r="A45" s="832"/>
      <c r="B45" s="833"/>
      <c r="C45" s="833"/>
      <c r="D45" s="833"/>
      <c r="E45" s="834" t="s">
        <v>18</v>
      </c>
      <c r="F45" s="833"/>
      <c r="G45" s="835"/>
      <c r="H45" s="43" t="s">
        <v>12</v>
      </c>
      <c r="I45" s="836"/>
      <c r="J45" s="836"/>
      <c r="K45" s="837"/>
      <c r="L45" s="837">
        <v>0</v>
      </c>
      <c r="M45" s="837">
        <v>0</v>
      </c>
      <c r="N45" s="837">
        <v>0</v>
      </c>
      <c r="O45" s="837">
        <f t="shared" si="26"/>
        <v>0</v>
      </c>
      <c r="P45" s="837">
        <f t="shared" si="27"/>
        <v>0</v>
      </c>
      <c r="Q45" s="825"/>
      <c r="R45" s="825"/>
      <c r="S45" s="825"/>
      <c r="T45" s="825"/>
      <c r="U45" s="825"/>
      <c r="V45" s="825"/>
      <c r="W45" s="825"/>
      <c r="X45" s="825"/>
      <c r="Y45" s="825"/>
      <c r="Z45" s="825"/>
    </row>
    <row r="46" spans="1:26" ht="18.75" hidden="1">
      <c r="A46" s="832"/>
      <c r="B46" s="833"/>
      <c r="C46" s="833"/>
      <c r="D46" s="833"/>
      <c r="E46" s="834" t="s">
        <v>19</v>
      </c>
      <c r="F46" s="833"/>
      <c r="G46" s="835"/>
      <c r="H46" s="43" t="s">
        <v>12</v>
      </c>
      <c r="I46" s="836"/>
      <c r="J46" s="836"/>
      <c r="K46" s="837"/>
      <c r="L46" s="837">
        <f ca="1">IFERROR(__xludf.DUMMYFUNCTION("IMPORTRANGE(""https://docs.google.com/spreadsheets/d/1MeEWN-I1oV_STSDYn1IFDPWt_1FKiwhDph83XaGc0o0/edit?usp=sharing"",""งบพรบ!M18"")"),563696)</f>
        <v>563696</v>
      </c>
      <c r="M46" s="837">
        <f ca="1">IFERROR(__xludf.DUMMYFUNCTION("IMPORTRANGE(""https://docs.google.com/spreadsheets/d/1MeEWN-I1oV_STSDYn1IFDPWt_1FKiwhDph83XaGc0o0/edit?usp=sharing"",""งบพรบ!R18"")"),576830.72)</f>
        <v>576830.71999999997</v>
      </c>
      <c r="N46" s="837">
        <f ca="1">IFERROR(__xludf.DUMMYFUNCTION("IMPORTRANGE(""https://docs.google.com/spreadsheets/d/1MeEWN-I1oV_STSDYn1IFDPWt_1FKiwhDph83XaGc0o0/edit?usp=sharing"",""งบพรบ!T18"")"),347943)</f>
        <v>347943</v>
      </c>
      <c r="O46" s="837">
        <f t="shared" ca="1" si="26"/>
        <v>61.725291646561267</v>
      </c>
      <c r="P46" s="837">
        <f t="shared" ca="1" si="27"/>
        <v>60.319776311497421</v>
      </c>
      <c r="Q46" s="825"/>
      <c r="R46" s="825"/>
      <c r="S46" s="825"/>
      <c r="T46" s="825"/>
      <c r="U46" s="825"/>
      <c r="V46" s="825"/>
      <c r="W46" s="825"/>
      <c r="X46" s="825"/>
      <c r="Y46" s="825"/>
      <c r="Z46" s="825"/>
    </row>
    <row r="47" spans="1:26" ht="18.75">
      <c r="A47" s="826"/>
      <c r="B47" s="827"/>
      <c r="C47" s="827"/>
      <c r="D47" s="828" t="s">
        <v>21</v>
      </c>
      <c r="E47" s="827"/>
      <c r="F47" s="827"/>
      <c r="G47" s="829"/>
      <c r="H47" s="590" t="s">
        <v>12</v>
      </c>
      <c r="I47" s="830"/>
      <c r="J47" s="830"/>
      <c r="K47" s="831"/>
      <c r="L47" s="831">
        <f t="shared" ref="L47:N47" ca="1" si="30">L48+L49</f>
        <v>0</v>
      </c>
      <c r="M47" s="831">
        <f t="shared" ca="1" si="30"/>
        <v>0</v>
      </c>
      <c r="N47" s="831">
        <f t="shared" ca="1" si="30"/>
        <v>0</v>
      </c>
      <c r="O47" s="831">
        <f t="shared" ca="1" si="26"/>
        <v>0</v>
      </c>
      <c r="P47" s="831">
        <f t="shared" ca="1" si="27"/>
        <v>0</v>
      </c>
      <c r="Q47" s="818"/>
      <c r="R47" s="818"/>
      <c r="S47" s="818"/>
      <c r="T47" s="818"/>
      <c r="U47" s="818"/>
      <c r="V47" s="818"/>
      <c r="W47" s="818"/>
      <c r="X47" s="818"/>
      <c r="Y47" s="818"/>
      <c r="Z47" s="818"/>
    </row>
    <row r="48" spans="1:26" ht="18.75" hidden="1">
      <c r="A48" s="832"/>
      <c r="B48" s="833"/>
      <c r="C48" s="833"/>
      <c r="D48" s="833"/>
      <c r="E48" s="834" t="s">
        <v>18</v>
      </c>
      <c r="F48" s="833"/>
      <c r="G48" s="835"/>
      <c r="H48" s="43" t="s">
        <v>12</v>
      </c>
      <c r="I48" s="836"/>
      <c r="J48" s="836"/>
      <c r="K48" s="837"/>
      <c r="L48" s="837">
        <v>0</v>
      </c>
      <c r="M48" s="837">
        <v>0</v>
      </c>
      <c r="N48" s="837">
        <v>0</v>
      </c>
      <c r="O48" s="837">
        <f t="shared" si="26"/>
        <v>0</v>
      </c>
      <c r="P48" s="837">
        <f t="shared" si="27"/>
        <v>0</v>
      </c>
      <c r="Q48" s="825"/>
      <c r="R48" s="825"/>
      <c r="S48" s="825"/>
      <c r="T48" s="825"/>
      <c r="U48" s="825"/>
      <c r="V48" s="825"/>
      <c r="W48" s="825"/>
      <c r="X48" s="825"/>
      <c r="Y48" s="825"/>
      <c r="Z48" s="825"/>
    </row>
    <row r="49" spans="1:26" ht="18.75" hidden="1">
      <c r="A49" s="838"/>
      <c r="B49" s="839"/>
      <c r="C49" s="839"/>
      <c r="D49" s="839"/>
      <c r="E49" s="840" t="s">
        <v>19</v>
      </c>
      <c r="F49" s="839"/>
      <c r="G49" s="841"/>
      <c r="H49" s="50" t="s">
        <v>12</v>
      </c>
      <c r="I49" s="842"/>
      <c r="J49" s="842"/>
      <c r="K49" s="843"/>
      <c r="L49" s="843">
        <f ca="1">IFERROR(__xludf.DUMMYFUNCTION("IMPORTRANGE(""https://docs.google.com/spreadsheets/d/1MeEWN-I1oV_STSDYn1IFDPWt_1FKiwhDph83XaGc0o0/edit?usp=sharing"",""งบพรบ!P18"")"),0)</f>
        <v>0</v>
      </c>
      <c r="M49" s="843">
        <f ca="1">IFERROR(__xludf.DUMMYFUNCTION("IMPORTRANGE(""https://docs.google.com/spreadsheets/d/1MeEWN-I1oV_STSDYn1IFDPWt_1FKiwhDph83XaGc0o0/edit?usp=sharing"",""งบพรบ!S18"")"),0)</f>
        <v>0</v>
      </c>
      <c r="N49" s="843">
        <f ca="1">IFERROR(__xludf.DUMMYFUNCTION("IMPORTRANGE(""https://docs.google.com/spreadsheets/d/1MeEWN-I1oV_STSDYn1IFDPWt_1FKiwhDph83XaGc0o0/edit?usp=sharing"",""งบพรบ!U18"")"),0)</f>
        <v>0</v>
      </c>
      <c r="O49" s="843">
        <f t="shared" ca="1" si="26"/>
        <v>0</v>
      </c>
      <c r="P49" s="843">
        <f t="shared" ca="1" si="27"/>
        <v>0</v>
      </c>
      <c r="Q49" s="825"/>
      <c r="R49" s="825"/>
      <c r="S49" s="825"/>
      <c r="T49" s="825"/>
      <c r="U49" s="825"/>
      <c r="V49" s="825"/>
      <c r="W49" s="825"/>
      <c r="X49" s="825"/>
      <c r="Y49" s="825"/>
      <c r="Z49" s="825"/>
    </row>
    <row r="50" spans="1:26" ht="19.5">
      <c r="A50" s="1514" t="s">
        <v>28</v>
      </c>
      <c r="B50" s="1494"/>
      <c r="C50" s="1494"/>
      <c r="D50" s="1494"/>
      <c r="E50" s="1494"/>
      <c r="F50" s="1494"/>
      <c r="G50" s="1495"/>
      <c r="H50" s="882"/>
      <c r="I50" s="883"/>
      <c r="J50" s="883"/>
      <c r="K50" s="884"/>
      <c r="L50" s="884"/>
      <c r="M50" s="884"/>
      <c r="N50" s="884"/>
      <c r="O50" s="884"/>
      <c r="P50" s="884"/>
    </row>
    <row r="51" spans="1:26" ht="19.5">
      <c r="A51" s="885"/>
      <c r="B51" s="1515" t="s">
        <v>29</v>
      </c>
      <c r="C51" s="1485"/>
      <c r="D51" s="1485"/>
      <c r="E51" s="1485"/>
      <c r="F51" s="1485"/>
      <c r="G51" s="1491"/>
      <c r="H51" s="886"/>
      <c r="I51" s="887"/>
      <c r="J51" s="887"/>
      <c r="K51" s="888"/>
      <c r="L51" s="888"/>
      <c r="M51" s="888"/>
      <c r="N51" s="888"/>
      <c r="O51" s="888"/>
      <c r="P51" s="888"/>
    </row>
    <row r="52" spans="1:26" ht="19.5">
      <c r="A52" s="889"/>
      <c r="B52" s="890" t="s">
        <v>30</v>
      </c>
      <c r="C52" s="891"/>
      <c r="D52" s="891"/>
      <c r="E52" s="891"/>
      <c r="F52" s="891"/>
      <c r="G52" s="892"/>
      <c r="H52" s="893"/>
      <c r="I52" s="894"/>
      <c r="J52" s="894"/>
      <c r="K52" s="895"/>
      <c r="L52" s="895"/>
      <c r="M52" s="895"/>
      <c r="N52" s="895"/>
      <c r="O52" s="895"/>
      <c r="P52" s="895"/>
    </row>
    <row r="53" spans="1:26" ht="19.5">
      <c r="A53" s="896"/>
      <c r="B53" s="897"/>
      <c r="C53" s="898" t="s">
        <v>16</v>
      </c>
      <c r="D53" s="899" t="s">
        <v>17</v>
      </c>
      <c r="E53" s="897"/>
      <c r="F53" s="897"/>
      <c r="G53" s="900"/>
      <c r="H53" s="113" t="s">
        <v>12</v>
      </c>
      <c r="I53" s="901"/>
      <c r="J53" s="901"/>
      <c r="K53" s="902"/>
      <c r="L53" s="903">
        <f t="shared" ref="L53:N53" ca="1" si="31">L54+L55</f>
        <v>952700</v>
      </c>
      <c r="M53" s="903">
        <f t="shared" ca="1" si="31"/>
        <v>714525</v>
      </c>
      <c r="N53" s="903">
        <f t="shared" ca="1" si="31"/>
        <v>500847.98</v>
      </c>
      <c r="O53" s="903">
        <f t="shared" ref="O53:O61" ca="1" si="32">IF(L53&gt;0,N53*100/L53,0)</f>
        <v>52.571426472131833</v>
      </c>
      <c r="P53" s="903">
        <f t="shared" ref="P53:P61" ca="1" si="33">IF(M53&gt;0,N53*100/M53,0)</f>
        <v>70.095235296175787</v>
      </c>
      <c r="Q53" s="818"/>
      <c r="R53" s="818"/>
      <c r="S53" s="818"/>
      <c r="T53" s="818"/>
      <c r="U53" s="818"/>
      <c r="V53" s="818"/>
      <c r="W53" s="818"/>
      <c r="X53" s="818"/>
      <c r="Y53" s="818"/>
      <c r="Z53" s="818"/>
    </row>
    <row r="54" spans="1:26" ht="18.75" hidden="1">
      <c r="A54" s="904"/>
      <c r="B54" s="905"/>
      <c r="C54" s="905"/>
      <c r="D54" s="905"/>
      <c r="E54" s="906" t="s">
        <v>18</v>
      </c>
      <c r="F54" s="905"/>
      <c r="G54" s="907"/>
      <c r="H54" s="121" t="s">
        <v>12</v>
      </c>
      <c r="I54" s="908"/>
      <c r="J54" s="908"/>
      <c r="K54" s="909"/>
      <c r="L54" s="909">
        <f t="shared" ref="L54:N55" si="34">L57+L60</f>
        <v>0</v>
      </c>
      <c r="M54" s="909">
        <f t="shared" si="34"/>
        <v>0</v>
      </c>
      <c r="N54" s="909">
        <f t="shared" si="34"/>
        <v>0</v>
      </c>
      <c r="O54" s="909">
        <f t="shared" si="32"/>
        <v>0</v>
      </c>
      <c r="P54" s="909">
        <f t="shared" si="33"/>
        <v>0</v>
      </c>
      <c r="Q54" s="825"/>
      <c r="R54" s="825"/>
      <c r="S54" s="825"/>
      <c r="T54" s="825"/>
      <c r="U54" s="825"/>
      <c r="V54" s="825"/>
      <c r="W54" s="825"/>
      <c r="X54" s="825"/>
      <c r="Y54" s="825"/>
      <c r="Z54" s="825"/>
    </row>
    <row r="55" spans="1:26" ht="18.75" hidden="1">
      <c r="A55" s="904"/>
      <c r="B55" s="905"/>
      <c r="C55" s="905"/>
      <c r="D55" s="905"/>
      <c r="E55" s="906" t="s">
        <v>19</v>
      </c>
      <c r="F55" s="905"/>
      <c r="G55" s="907"/>
      <c r="H55" s="121" t="s">
        <v>12</v>
      </c>
      <c r="I55" s="908"/>
      <c r="J55" s="908"/>
      <c r="K55" s="909"/>
      <c r="L55" s="909">
        <f t="shared" ca="1" si="34"/>
        <v>952700</v>
      </c>
      <c r="M55" s="909">
        <f t="shared" ca="1" si="34"/>
        <v>714525</v>
      </c>
      <c r="N55" s="909">
        <f t="shared" ca="1" si="34"/>
        <v>500847.98</v>
      </c>
      <c r="O55" s="909">
        <f t="shared" ca="1" si="32"/>
        <v>52.571426472131833</v>
      </c>
      <c r="P55" s="909">
        <f t="shared" ca="1" si="33"/>
        <v>70.095235296175787</v>
      </c>
      <c r="Q55" s="825"/>
      <c r="R55" s="825"/>
      <c r="S55" s="825"/>
      <c r="T55" s="825"/>
      <c r="U55" s="825"/>
      <c r="V55" s="825"/>
      <c r="W55" s="825"/>
      <c r="X55" s="825"/>
      <c r="Y55" s="825"/>
      <c r="Z55" s="825"/>
    </row>
    <row r="56" spans="1:26" ht="18.75">
      <c r="A56" s="826"/>
      <c r="B56" s="827"/>
      <c r="C56" s="827"/>
      <c r="D56" s="828" t="s">
        <v>20</v>
      </c>
      <c r="E56" s="827"/>
      <c r="F56" s="827"/>
      <c r="G56" s="829"/>
      <c r="H56" s="590" t="s">
        <v>12</v>
      </c>
      <c r="I56" s="830"/>
      <c r="J56" s="830"/>
      <c r="K56" s="831"/>
      <c r="L56" s="831">
        <f t="shared" ref="L56:N56" ca="1" si="35">L57+L58</f>
        <v>952700</v>
      </c>
      <c r="M56" s="831">
        <f t="shared" ca="1" si="35"/>
        <v>714525</v>
      </c>
      <c r="N56" s="831">
        <f t="shared" ca="1" si="35"/>
        <v>500847.98</v>
      </c>
      <c r="O56" s="831">
        <f t="shared" ca="1" si="32"/>
        <v>52.571426472131833</v>
      </c>
      <c r="P56" s="831">
        <f t="shared" ca="1" si="33"/>
        <v>70.095235296175787</v>
      </c>
      <c r="Q56" s="818"/>
      <c r="R56" s="818"/>
      <c r="S56" s="818"/>
      <c r="T56" s="818"/>
      <c r="U56" s="818"/>
      <c r="V56" s="818"/>
      <c r="W56" s="818"/>
      <c r="X56" s="818"/>
      <c r="Y56" s="818"/>
      <c r="Z56" s="818"/>
    </row>
    <row r="57" spans="1:26" ht="18.75" hidden="1">
      <c r="A57" s="832"/>
      <c r="B57" s="833"/>
      <c r="C57" s="833"/>
      <c r="D57" s="833"/>
      <c r="E57" s="834" t="s">
        <v>18</v>
      </c>
      <c r="F57" s="833"/>
      <c r="G57" s="835"/>
      <c r="H57" s="43" t="s">
        <v>12</v>
      </c>
      <c r="I57" s="836"/>
      <c r="J57" s="836"/>
      <c r="K57" s="837"/>
      <c r="L57" s="837">
        <v>0</v>
      </c>
      <c r="M57" s="837">
        <v>0</v>
      </c>
      <c r="N57" s="837">
        <v>0</v>
      </c>
      <c r="O57" s="837">
        <f t="shared" si="32"/>
        <v>0</v>
      </c>
      <c r="P57" s="837">
        <f t="shared" si="33"/>
        <v>0</v>
      </c>
      <c r="Q57" s="825"/>
      <c r="R57" s="825"/>
      <c r="S57" s="825"/>
      <c r="T57" s="825"/>
      <c r="U57" s="825"/>
      <c r="V57" s="825"/>
      <c r="W57" s="825"/>
      <c r="X57" s="825"/>
      <c r="Y57" s="825"/>
      <c r="Z57" s="825"/>
    </row>
    <row r="58" spans="1:26" ht="18.75" hidden="1">
      <c r="A58" s="832"/>
      <c r="B58" s="833"/>
      <c r="C58" s="833"/>
      <c r="D58" s="833"/>
      <c r="E58" s="834" t="s">
        <v>19</v>
      </c>
      <c r="F58" s="833"/>
      <c r="G58" s="835"/>
      <c r="H58" s="43" t="s">
        <v>12</v>
      </c>
      <c r="I58" s="836"/>
      <c r="J58" s="836"/>
      <c r="K58" s="837"/>
      <c r="L58" s="837">
        <f ca="1">IFERROR(__xludf.DUMMYFUNCTION("IMPORTRANGE(""https://docs.google.com/spreadsheets/d/1MeEWN-I1oV_STSDYn1IFDPWt_1FKiwhDph83XaGc0o0/edit?usp=sharing"",""งบพรบ!W18"")"),952700)</f>
        <v>952700</v>
      </c>
      <c r="M58" s="837">
        <f ca="1">IFERROR(__xludf.DUMMYFUNCTION("IMPORTRANGE(""https://docs.google.com/spreadsheets/d/1MeEWN-I1oV_STSDYn1IFDPWt_1FKiwhDph83XaGc0o0/edit?usp=sharing"",""งบพรบ!AB18"")"),714525)</f>
        <v>714525</v>
      </c>
      <c r="N58" s="837">
        <f ca="1">IFERROR(__xludf.DUMMYFUNCTION("IMPORTRANGE(""https://docs.google.com/spreadsheets/d/1MeEWN-I1oV_STSDYn1IFDPWt_1FKiwhDph83XaGc0o0/edit?usp=sharing"",""งบพรบ!AD18"")"),500847.98)</f>
        <v>500847.98</v>
      </c>
      <c r="O58" s="837">
        <f t="shared" ca="1" si="32"/>
        <v>52.571426472131833</v>
      </c>
      <c r="P58" s="837">
        <f t="shared" ca="1" si="33"/>
        <v>70.095235296175787</v>
      </c>
      <c r="Q58" s="825"/>
      <c r="R58" s="825"/>
      <c r="S58" s="825"/>
      <c r="T58" s="825"/>
      <c r="U58" s="825"/>
      <c r="V58" s="825"/>
      <c r="W58" s="825"/>
      <c r="X58" s="825"/>
      <c r="Y58" s="825"/>
      <c r="Z58" s="825"/>
    </row>
    <row r="59" spans="1:26" ht="18.75">
      <c r="A59" s="826"/>
      <c r="B59" s="827"/>
      <c r="C59" s="827"/>
      <c r="D59" s="828" t="s">
        <v>21</v>
      </c>
      <c r="E59" s="827"/>
      <c r="F59" s="827"/>
      <c r="G59" s="829"/>
      <c r="H59" s="590" t="s">
        <v>12</v>
      </c>
      <c r="I59" s="830"/>
      <c r="J59" s="830"/>
      <c r="K59" s="831"/>
      <c r="L59" s="831">
        <f t="shared" ref="L59:N59" ca="1" si="36">L60+L61</f>
        <v>0</v>
      </c>
      <c r="M59" s="831">
        <f t="shared" ca="1" si="36"/>
        <v>0</v>
      </c>
      <c r="N59" s="831">
        <f t="shared" ca="1" si="36"/>
        <v>0</v>
      </c>
      <c r="O59" s="831">
        <f t="shared" ca="1" si="32"/>
        <v>0</v>
      </c>
      <c r="P59" s="831">
        <f t="shared" ca="1" si="33"/>
        <v>0</v>
      </c>
      <c r="Q59" s="818"/>
      <c r="R59" s="818"/>
      <c r="S59" s="818"/>
      <c r="T59" s="818"/>
      <c r="U59" s="818"/>
      <c r="V59" s="818"/>
      <c r="W59" s="818"/>
      <c r="X59" s="818"/>
      <c r="Y59" s="818"/>
      <c r="Z59" s="818"/>
    </row>
    <row r="60" spans="1:26" ht="18.75" hidden="1">
      <c r="A60" s="832"/>
      <c r="B60" s="833"/>
      <c r="C60" s="833"/>
      <c r="D60" s="833"/>
      <c r="E60" s="834" t="s">
        <v>18</v>
      </c>
      <c r="F60" s="833"/>
      <c r="G60" s="835"/>
      <c r="H60" s="43" t="s">
        <v>12</v>
      </c>
      <c r="I60" s="836"/>
      <c r="J60" s="836"/>
      <c r="K60" s="837"/>
      <c r="L60" s="837">
        <v>0</v>
      </c>
      <c r="M60" s="837">
        <v>0</v>
      </c>
      <c r="N60" s="837">
        <v>0</v>
      </c>
      <c r="O60" s="837">
        <f t="shared" si="32"/>
        <v>0</v>
      </c>
      <c r="P60" s="837">
        <f t="shared" si="33"/>
        <v>0</v>
      </c>
      <c r="Q60" s="825"/>
      <c r="R60" s="825"/>
      <c r="S60" s="825"/>
      <c r="T60" s="825"/>
      <c r="U60" s="825"/>
      <c r="V60" s="825"/>
      <c r="W60" s="825"/>
      <c r="X60" s="825"/>
      <c r="Y60" s="825"/>
      <c r="Z60" s="825"/>
    </row>
    <row r="61" spans="1:26" ht="18.75" hidden="1">
      <c r="A61" s="838"/>
      <c r="B61" s="839"/>
      <c r="C61" s="839"/>
      <c r="D61" s="839"/>
      <c r="E61" s="840" t="s">
        <v>19</v>
      </c>
      <c r="F61" s="839"/>
      <c r="G61" s="841"/>
      <c r="H61" s="50" t="s">
        <v>12</v>
      </c>
      <c r="I61" s="842"/>
      <c r="J61" s="842"/>
      <c r="K61" s="843"/>
      <c r="L61" s="843">
        <f ca="1">IFERROR(__xludf.DUMMYFUNCTION("IMPORTRANGE(""https://docs.google.com/spreadsheets/d/1MeEWN-I1oV_STSDYn1IFDPWt_1FKiwhDph83XaGc0o0/edit?usp=sharing"",""งบพรบ!Z18"")"),0)</f>
        <v>0</v>
      </c>
      <c r="M61" s="843">
        <f ca="1">IFERROR(__xludf.DUMMYFUNCTION("IMPORTRANGE(""https://docs.google.com/spreadsheets/d/1MeEWN-I1oV_STSDYn1IFDPWt_1FKiwhDph83XaGc0o0/edit?usp=sharing"",""งบพรบ!AC18"")"),0)</f>
        <v>0</v>
      </c>
      <c r="N61" s="843">
        <f ca="1">IFERROR(__xludf.DUMMYFUNCTION("IMPORTRANGE(""https://docs.google.com/spreadsheets/d/1MeEWN-I1oV_STSDYn1IFDPWt_1FKiwhDph83XaGc0o0/edit?usp=sharing"",""งบพรบ!AE18"")"),0)</f>
        <v>0</v>
      </c>
      <c r="O61" s="843">
        <f t="shared" ca="1" si="32"/>
        <v>0</v>
      </c>
      <c r="P61" s="843">
        <f t="shared" ca="1" si="33"/>
        <v>0</v>
      </c>
      <c r="Q61" s="825"/>
      <c r="R61" s="825"/>
      <c r="S61" s="825"/>
      <c r="T61" s="825"/>
      <c r="U61" s="825"/>
      <c r="V61" s="825"/>
      <c r="W61" s="825"/>
      <c r="X61" s="825"/>
      <c r="Y61" s="825"/>
      <c r="Z61" s="825"/>
    </row>
    <row r="62" spans="1:26" ht="19.5">
      <c r="A62" s="910" t="s">
        <v>31</v>
      </c>
      <c r="B62" s="911"/>
      <c r="C62" s="911"/>
      <c r="D62" s="911"/>
      <c r="E62" s="912"/>
      <c r="F62" s="912"/>
      <c r="G62" s="913"/>
      <c r="H62" s="914"/>
      <c r="I62" s="915"/>
      <c r="J62" s="915"/>
      <c r="K62" s="916"/>
      <c r="L62" s="916"/>
      <c r="M62" s="916"/>
      <c r="N62" s="916"/>
      <c r="O62" s="916"/>
      <c r="P62" s="916"/>
    </row>
    <row r="63" spans="1:26" ht="19.5">
      <c r="A63" s="917" t="s">
        <v>32</v>
      </c>
      <c r="B63" s="918"/>
      <c r="C63" s="919"/>
      <c r="D63" s="918"/>
      <c r="E63" s="918"/>
      <c r="F63" s="918"/>
      <c r="G63" s="920"/>
      <c r="H63" s="921"/>
      <c r="I63" s="922"/>
      <c r="J63" s="922"/>
      <c r="K63" s="923"/>
      <c r="L63" s="923"/>
      <c r="M63" s="923"/>
      <c r="N63" s="923"/>
      <c r="O63" s="923"/>
      <c r="P63" s="923"/>
    </row>
    <row r="64" spans="1:26" ht="19.5">
      <c r="A64" s="924"/>
      <c r="B64" s="925" t="s">
        <v>33</v>
      </c>
      <c r="C64" s="926"/>
      <c r="D64" s="927"/>
      <c r="E64" s="926"/>
      <c r="F64" s="926"/>
      <c r="G64" s="928"/>
      <c r="H64" s="205" t="s">
        <v>34</v>
      </c>
      <c r="I64" s="929">
        <f t="shared" ref="I64:J65" ca="1" si="37">I76</f>
        <v>1</v>
      </c>
      <c r="J64" s="929">
        <f t="shared" si="37"/>
        <v>0</v>
      </c>
      <c r="K64" s="930">
        <f t="shared" ref="K64:K65" ca="1" si="38">IF(I64&gt;0,J64*100/I64,0)</f>
        <v>0</v>
      </c>
      <c r="L64" s="931"/>
      <c r="M64" s="931"/>
      <c r="N64" s="931"/>
      <c r="O64" s="931"/>
      <c r="P64" s="931"/>
    </row>
    <row r="65" spans="1:26" ht="19.5">
      <c r="A65" s="924"/>
      <c r="B65" s="926"/>
      <c r="C65" s="926"/>
      <c r="D65" s="927"/>
      <c r="E65" s="926"/>
      <c r="F65" s="926"/>
      <c r="G65" s="928"/>
      <c r="H65" s="205" t="s">
        <v>35</v>
      </c>
      <c r="I65" s="929">
        <f t="shared" ca="1" si="37"/>
        <v>40</v>
      </c>
      <c r="J65" s="929">
        <f t="shared" si="37"/>
        <v>31</v>
      </c>
      <c r="K65" s="930">
        <f t="shared" ca="1" si="38"/>
        <v>77.5</v>
      </c>
      <c r="L65" s="931"/>
      <c r="M65" s="931"/>
      <c r="N65" s="931"/>
      <c r="O65" s="931"/>
      <c r="P65" s="931"/>
    </row>
    <row r="66" spans="1:26" ht="19.5">
      <c r="A66" s="932"/>
      <c r="B66" s="933"/>
      <c r="C66" s="934" t="s">
        <v>16</v>
      </c>
      <c r="D66" s="935" t="s">
        <v>17</v>
      </c>
      <c r="E66" s="933"/>
      <c r="F66" s="933"/>
      <c r="G66" s="936"/>
      <c r="H66" s="152" t="s">
        <v>12</v>
      </c>
      <c r="I66" s="937"/>
      <c r="J66" s="937"/>
      <c r="K66" s="938"/>
      <c r="L66" s="939">
        <f t="shared" ref="L66:N66" ca="1" si="39">L67+L68</f>
        <v>1039000</v>
      </c>
      <c r="M66" s="939">
        <f t="shared" ca="1" si="39"/>
        <v>759000</v>
      </c>
      <c r="N66" s="939">
        <f t="shared" ca="1" si="39"/>
        <v>368258.04</v>
      </c>
      <c r="O66" s="939">
        <f t="shared" ref="O66:O74" ca="1" si="40">IF(L66&gt;0,N66*100/L66,0)</f>
        <v>35.443507218479304</v>
      </c>
      <c r="P66" s="939">
        <f t="shared" ref="P66:P74" ca="1" si="41">IF(M66&gt;0,N66*100/M66,0)</f>
        <v>48.518845849802375</v>
      </c>
      <c r="Q66" s="818"/>
      <c r="R66" s="818"/>
      <c r="S66" s="818"/>
      <c r="T66" s="818"/>
      <c r="U66" s="818"/>
      <c r="V66" s="818"/>
      <c r="W66" s="818"/>
      <c r="X66" s="818"/>
      <c r="Y66" s="818"/>
      <c r="Z66" s="818"/>
    </row>
    <row r="67" spans="1:26" ht="18.75" hidden="1">
      <c r="A67" s="940"/>
      <c r="B67" s="833"/>
      <c r="C67" s="833"/>
      <c r="D67" s="833"/>
      <c r="E67" s="834" t="s">
        <v>18</v>
      </c>
      <c r="F67" s="833"/>
      <c r="G67" s="941"/>
      <c r="H67" s="158" t="s">
        <v>12</v>
      </c>
      <c r="I67" s="836"/>
      <c r="J67" s="836"/>
      <c r="K67" s="837"/>
      <c r="L67" s="837">
        <f t="shared" ref="L67:N68" si="42">L70+L73</f>
        <v>0</v>
      </c>
      <c r="M67" s="837">
        <f t="shared" si="42"/>
        <v>0</v>
      </c>
      <c r="N67" s="837">
        <f t="shared" si="42"/>
        <v>0</v>
      </c>
      <c r="O67" s="837">
        <f t="shared" si="40"/>
        <v>0</v>
      </c>
      <c r="P67" s="837">
        <f t="shared" si="41"/>
        <v>0</v>
      </c>
      <c r="Q67" s="825"/>
      <c r="R67" s="825"/>
      <c r="S67" s="825"/>
      <c r="T67" s="825"/>
      <c r="U67" s="825"/>
      <c r="V67" s="825"/>
      <c r="W67" s="825"/>
      <c r="X67" s="825"/>
      <c r="Y67" s="825"/>
      <c r="Z67" s="825"/>
    </row>
    <row r="68" spans="1:26" ht="18.75" hidden="1">
      <c r="A68" s="940"/>
      <c r="B68" s="833"/>
      <c r="C68" s="833"/>
      <c r="D68" s="833"/>
      <c r="E68" s="834" t="s">
        <v>19</v>
      </c>
      <c r="F68" s="833"/>
      <c r="G68" s="941"/>
      <c r="H68" s="158" t="s">
        <v>12</v>
      </c>
      <c r="I68" s="836"/>
      <c r="J68" s="836"/>
      <c r="K68" s="837"/>
      <c r="L68" s="837">
        <f t="shared" ca="1" si="42"/>
        <v>1039000</v>
      </c>
      <c r="M68" s="837">
        <f t="shared" ca="1" si="42"/>
        <v>759000</v>
      </c>
      <c r="N68" s="837">
        <f t="shared" ca="1" si="42"/>
        <v>368258.04</v>
      </c>
      <c r="O68" s="837">
        <f t="shared" ca="1" si="40"/>
        <v>35.443507218479304</v>
      </c>
      <c r="P68" s="837">
        <f t="shared" ca="1" si="41"/>
        <v>48.518845849802375</v>
      </c>
      <c r="Q68" s="825"/>
      <c r="R68" s="825"/>
      <c r="S68" s="825"/>
      <c r="T68" s="825"/>
      <c r="U68" s="825"/>
      <c r="V68" s="825"/>
      <c r="W68" s="825"/>
      <c r="X68" s="825"/>
      <c r="Y68" s="825"/>
      <c r="Z68" s="825"/>
    </row>
    <row r="69" spans="1:26" ht="18.75">
      <c r="A69" s="942"/>
      <c r="B69" s="827"/>
      <c r="C69" s="943"/>
      <c r="D69" s="828" t="s">
        <v>20</v>
      </c>
      <c r="E69" s="827"/>
      <c r="F69" s="827"/>
      <c r="G69" s="829"/>
      <c r="H69" s="778" t="s">
        <v>12</v>
      </c>
      <c r="I69" s="944"/>
      <c r="J69" s="944"/>
      <c r="K69" s="945"/>
      <c r="L69" s="831">
        <f t="shared" ref="L69:N69" ca="1" si="43">L70+L71</f>
        <v>1039000</v>
      </c>
      <c r="M69" s="831">
        <f t="shared" ca="1" si="43"/>
        <v>759000</v>
      </c>
      <c r="N69" s="831">
        <f t="shared" ca="1" si="43"/>
        <v>368258.04</v>
      </c>
      <c r="O69" s="831">
        <f t="shared" ca="1" si="40"/>
        <v>35.443507218479304</v>
      </c>
      <c r="P69" s="831">
        <f t="shared" ca="1" si="41"/>
        <v>48.518845849802375</v>
      </c>
      <c r="Q69" s="818"/>
      <c r="R69" s="818"/>
      <c r="S69" s="818"/>
      <c r="T69" s="818"/>
      <c r="U69" s="818"/>
      <c r="V69" s="818"/>
      <c r="W69" s="818"/>
      <c r="X69" s="818"/>
      <c r="Y69" s="818"/>
      <c r="Z69" s="818"/>
    </row>
    <row r="70" spans="1:26" ht="19.5" hidden="1">
      <c r="A70" s="940"/>
      <c r="B70" s="833"/>
      <c r="C70" s="946"/>
      <c r="D70" s="833"/>
      <c r="E70" s="834" t="s">
        <v>36</v>
      </c>
      <c r="F70" s="833"/>
      <c r="G70" s="941"/>
      <c r="H70" s="165" t="s">
        <v>12</v>
      </c>
      <c r="I70" s="947"/>
      <c r="J70" s="947"/>
      <c r="K70" s="948"/>
      <c r="L70" s="837">
        <v>0</v>
      </c>
      <c r="M70" s="837">
        <v>0</v>
      </c>
      <c r="N70" s="837">
        <v>0</v>
      </c>
      <c r="O70" s="837">
        <f t="shared" si="40"/>
        <v>0</v>
      </c>
      <c r="P70" s="837">
        <f t="shared" si="41"/>
        <v>0</v>
      </c>
      <c r="Q70" s="825"/>
      <c r="R70" s="825"/>
      <c r="S70" s="825"/>
      <c r="T70" s="825"/>
      <c r="U70" s="825"/>
      <c r="V70" s="825"/>
      <c r="W70" s="825"/>
      <c r="X70" s="825"/>
      <c r="Y70" s="825"/>
      <c r="Z70" s="825"/>
    </row>
    <row r="71" spans="1:26" ht="19.5" hidden="1">
      <c r="A71" s="940"/>
      <c r="B71" s="833"/>
      <c r="C71" s="946"/>
      <c r="D71" s="833"/>
      <c r="E71" s="834" t="s">
        <v>37</v>
      </c>
      <c r="F71" s="833"/>
      <c r="G71" s="941"/>
      <c r="H71" s="165" t="s">
        <v>12</v>
      </c>
      <c r="I71" s="947"/>
      <c r="J71" s="947"/>
      <c r="K71" s="948"/>
      <c r="L71" s="837">
        <f ca="1">IFERROR(__xludf.DUMMYFUNCTION("IMPORTRANGE(""https://docs.google.com/spreadsheets/d/1MeEWN-I1oV_STSDYn1IFDPWt_1FKiwhDph83XaGc0o0/edit?usp=sharing"",""งบพรบ!AG18"")"),1039000)</f>
        <v>1039000</v>
      </c>
      <c r="M71" s="837">
        <f ca="1">IFERROR(__xludf.DUMMYFUNCTION("IMPORTRANGE(""https://docs.google.com/spreadsheets/d/1MeEWN-I1oV_STSDYn1IFDPWt_1FKiwhDph83XaGc0o0/edit?usp=sharing"",""งบพรบ!AL18"")"),759000)</f>
        <v>759000</v>
      </c>
      <c r="N71" s="837">
        <f ca="1">IFERROR(__xludf.DUMMYFUNCTION("IMPORTRANGE(""https://docs.google.com/spreadsheets/d/1MeEWN-I1oV_STSDYn1IFDPWt_1FKiwhDph83XaGc0o0/edit?usp=sharing"",""งบพรบ!AN18"")"),368258.04)</f>
        <v>368258.04</v>
      </c>
      <c r="O71" s="837">
        <f t="shared" ca="1" si="40"/>
        <v>35.443507218479304</v>
      </c>
      <c r="P71" s="837">
        <f t="shared" ca="1" si="41"/>
        <v>48.518845849802375</v>
      </c>
      <c r="Q71" s="825"/>
      <c r="R71" s="825"/>
      <c r="S71" s="825"/>
      <c r="T71" s="825"/>
      <c r="U71" s="825"/>
      <c r="V71" s="825"/>
      <c r="W71" s="825"/>
      <c r="X71" s="825"/>
      <c r="Y71" s="825"/>
      <c r="Z71" s="825"/>
    </row>
    <row r="72" spans="1:26" ht="18.75">
      <c r="A72" s="942"/>
      <c r="B72" s="827"/>
      <c r="C72" s="943"/>
      <c r="D72" s="828" t="s">
        <v>21</v>
      </c>
      <c r="E72" s="827"/>
      <c r="F72" s="827"/>
      <c r="G72" s="829"/>
      <c r="H72" s="168" t="s">
        <v>12</v>
      </c>
      <c r="I72" s="944"/>
      <c r="J72" s="944"/>
      <c r="K72" s="945"/>
      <c r="L72" s="831">
        <f t="shared" ref="L72:N72" ca="1" si="44">L73+L74</f>
        <v>0</v>
      </c>
      <c r="M72" s="831">
        <f t="shared" ca="1" si="44"/>
        <v>0</v>
      </c>
      <c r="N72" s="831">
        <f t="shared" ca="1" si="44"/>
        <v>0</v>
      </c>
      <c r="O72" s="831">
        <f t="shared" ca="1" si="40"/>
        <v>0</v>
      </c>
      <c r="P72" s="831">
        <f t="shared" ca="1" si="41"/>
        <v>0</v>
      </c>
      <c r="Q72" s="818"/>
      <c r="R72" s="818"/>
      <c r="S72" s="818"/>
      <c r="T72" s="818"/>
      <c r="U72" s="818"/>
      <c r="V72" s="818"/>
      <c r="W72" s="818"/>
      <c r="X72" s="818"/>
      <c r="Y72" s="818"/>
      <c r="Z72" s="818"/>
    </row>
    <row r="73" spans="1:26" ht="19.5" hidden="1">
      <c r="A73" s="940"/>
      <c r="B73" s="833"/>
      <c r="C73" s="946"/>
      <c r="D73" s="833"/>
      <c r="E73" s="834" t="s">
        <v>18</v>
      </c>
      <c r="F73" s="833"/>
      <c r="G73" s="941"/>
      <c r="H73" s="165" t="s">
        <v>12</v>
      </c>
      <c r="I73" s="947"/>
      <c r="J73" s="947"/>
      <c r="K73" s="948"/>
      <c r="L73" s="837">
        <v>0</v>
      </c>
      <c r="M73" s="837"/>
      <c r="N73" s="837"/>
      <c r="O73" s="837">
        <f t="shared" si="40"/>
        <v>0</v>
      </c>
      <c r="P73" s="837">
        <f t="shared" si="41"/>
        <v>0</v>
      </c>
      <c r="Q73" s="825"/>
      <c r="R73" s="825"/>
      <c r="S73" s="825"/>
      <c r="T73" s="825"/>
      <c r="U73" s="825"/>
      <c r="V73" s="825"/>
      <c r="W73" s="825"/>
      <c r="X73" s="825"/>
      <c r="Y73" s="825"/>
      <c r="Z73" s="825"/>
    </row>
    <row r="74" spans="1:26" ht="19.5" hidden="1">
      <c r="A74" s="940"/>
      <c r="B74" s="833"/>
      <c r="C74" s="946"/>
      <c r="D74" s="833"/>
      <c r="E74" s="834" t="s">
        <v>19</v>
      </c>
      <c r="F74" s="833"/>
      <c r="G74" s="941"/>
      <c r="H74" s="169" t="s">
        <v>12</v>
      </c>
      <c r="I74" s="947"/>
      <c r="J74" s="947"/>
      <c r="K74" s="948"/>
      <c r="L74" s="837">
        <f ca="1">IFERROR(__xludf.DUMMYFUNCTION("IMPORTRANGE(""https://docs.google.com/spreadsheets/d/1MeEWN-I1oV_STSDYn1IFDPWt_1FKiwhDph83XaGc0o0/edit?usp=sharing"",""งบพรบ!AJ18"")"),0)</f>
        <v>0</v>
      </c>
      <c r="M74" s="837">
        <f ca="1">IFERROR(__xludf.DUMMYFUNCTION("IMPORTRANGE(""https://docs.google.com/spreadsheets/d/1MeEWN-I1oV_STSDYn1IFDPWt_1FKiwhDph83XaGc0o0/edit?usp=sharing"",""งบพรบ!AM18"")"),0)</f>
        <v>0</v>
      </c>
      <c r="N74" s="837">
        <f ca="1">IFERROR(__xludf.DUMMYFUNCTION("IMPORTRANGE(""https://docs.google.com/spreadsheets/d/1MeEWN-I1oV_STSDYn1IFDPWt_1FKiwhDph83XaGc0o0/edit?usp=sharing"",""งบพรบ!AO18"")"),0)</f>
        <v>0</v>
      </c>
      <c r="O74" s="837">
        <f t="shared" ca="1" si="40"/>
        <v>0</v>
      </c>
      <c r="P74" s="837">
        <f t="shared" ca="1" si="41"/>
        <v>0</v>
      </c>
      <c r="Q74" s="825"/>
      <c r="R74" s="825"/>
      <c r="S74" s="825"/>
      <c r="T74" s="825"/>
      <c r="U74" s="825"/>
      <c r="V74" s="825"/>
      <c r="W74" s="825"/>
      <c r="X74" s="825"/>
      <c r="Y74" s="825"/>
      <c r="Z74" s="825"/>
    </row>
    <row r="75" spans="1:26" ht="19.5">
      <c r="A75" s="949"/>
      <c r="B75" s="950"/>
      <c r="C75" s="946" t="s">
        <v>16</v>
      </c>
      <c r="D75" s="951" t="s">
        <v>38</v>
      </c>
      <c r="E75" s="952"/>
      <c r="F75" s="952"/>
      <c r="G75" s="953"/>
      <c r="H75" s="954"/>
      <c r="I75" s="944"/>
      <c r="J75" s="944"/>
      <c r="K75" s="945"/>
      <c r="L75" s="945"/>
      <c r="M75" s="945"/>
      <c r="N75" s="945"/>
      <c r="O75" s="945"/>
      <c r="P75" s="945"/>
    </row>
    <row r="76" spans="1:26" ht="19.5">
      <c r="A76" s="949"/>
      <c r="B76" s="950"/>
      <c r="C76" s="950"/>
      <c r="D76" s="955" t="s">
        <v>39</v>
      </c>
      <c r="E76" s="956"/>
      <c r="F76" s="957"/>
      <c r="G76" s="958"/>
      <c r="H76" s="180" t="s">
        <v>34</v>
      </c>
      <c r="I76" s="830">
        <f t="shared" ref="I76:J77" ca="1" si="45">I78+I80+I82</f>
        <v>1</v>
      </c>
      <c r="J76" s="830">
        <f t="shared" si="45"/>
        <v>0</v>
      </c>
      <c r="K76" s="945">
        <f t="shared" ref="K76:K84" ca="1" si="46">IF(I76&gt;0,J76*100/I76,0)</f>
        <v>0</v>
      </c>
      <c r="L76" s="945"/>
      <c r="M76" s="945"/>
      <c r="N76" s="945"/>
      <c r="O76" s="945"/>
      <c r="P76" s="945"/>
    </row>
    <row r="77" spans="1:26" ht="19.5">
      <c r="A77" s="949"/>
      <c r="B77" s="950"/>
      <c r="C77" s="950"/>
      <c r="D77" s="950"/>
      <c r="E77" s="957"/>
      <c r="F77" s="957"/>
      <c r="G77" s="958"/>
      <c r="H77" s="180" t="s">
        <v>35</v>
      </c>
      <c r="I77" s="830">
        <f t="shared" ca="1" si="45"/>
        <v>40</v>
      </c>
      <c r="J77" s="830">
        <f t="shared" si="45"/>
        <v>31</v>
      </c>
      <c r="K77" s="945">
        <f t="shared" ca="1" si="46"/>
        <v>77.5</v>
      </c>
      <c r="L77" s="945"/>
      <c r="M77" s="945"/>
      <c r="N77" s="945"/>
      <c r="O77" s="945"/>
      <c r="P77" s="945"/>
    </row>
    <row r="78" spans="1:26" ht="18.75">
      <c r="A78" s="949"/>
      <c r="B78" s="950"/>
      <c r="C78" s="950"/>
      <c r="D78" s="950"/>
      <c r="E78" s="956" t="s">
        <v>40</v>
      </c>
      <c r="F78" s="956"/>
      <c r="G78" s="958"/>
      <c r="H78" s="730" t="s">
        <v>34</v>
      </c>
      <c r="I78" s="944">
        <f ca="1">IFERROR(__xludf.DUMMYFUNCTION("IMPORTRANGE(""https://docs.google.com/spreadsheets/d/1QqKyyYR6Q21VydFLVH3TRQUabQu_ym0Zz7PgGX0-kHA/edit?usp=sharing"",""แผน!H18"")"),0)</f>
        <v>0</v>
      </c>
      <c r="J78" s="959">
        <v>0</v>
      </c>
      <c r="K78" s="945">
        <f t="shared" ca="1" si="46"/>
        <v>0</v>
      </c>
      <c r="L78" s="945"/>
      <c r="M78" s="945"/>
      <c r="N78" s="945"/>
      <c r="O78" s="945"/>
      <c r="P78" s="945"/>
    </row>
    <row r="79" spans="1:26" ht="18.75">
      <c r="A79" s="949"/>
      <c r="B79" s="950"/>
      <c r="C79" s="950"/>
      <c r="D79" s="950"/>
      <c r="E79" s="957"/>
      <c r="F79" s="957"/>
      <c r="G79" s="958"/>
      <c r="H79" s="730" t="s">
        <v>35</v>
      </c>
      <c r="I79" s="944">
        <f ca="1">IFERROR(__xludf.DUMMYFUNCTION("IMPORTRANGE(""https://docs.google.com/spreadsheets/d/1QqKyyYR6Q21VydFLVH3TRQUabQu_ym0Zz7PgGX0-kHA/edit?usp=sharing"",""แผน!I18"")"),0)</f>
        <v>0</v>
      </c>
      <c r="J79" s="959">
        <v>0</v>
      </c>
      <c r="K79" s="945">
        <f t="shared" ca="1" si="46"/>
        <v>0</v>
      </c>
      <c r="L79" s="945"/>
      <c r="M79" s="945"/>
      <c r="N79" s="945"/>
      <c r="O79" s="945"/>
      <c r="P79" s="945"/>
    </row>
    <row r="80" spans="1:26" ht="18.75">
      <c r="A80" s="949"/>
      <c r="B80" s="950"/>
      <c r="C80" s="950"/>
      <c r="D80" s="950"/>
      <c r="E80" s="956" t="s">
        <v>41</v>
      </c>
      <c r="F80" s="956"/>
      <c r="G80" s="958"/>
      <c r="H80" s="730" t="s">
        <v>34</v>
      </c>
      <c r="I80" s="944">
        <f ca="1">IFERROR(__xludf.DUMMYFUNCTION("IMPORTRANGE(""https://docs.google.com/spreadsheets/d/1QqKyyYR6Q21VydFLVH3TRQUabQu_ym0Zz7PgGX0-kHA/edit?usp=sharing"",""แผน!F18"")"),0)</f>
        <v>0</v>
      </c>
      <c r="J80" s="959">
        <v>0</v>
      </c>
      <c r="K80" s="945">
        <f t="shared" ca="1" si="46"/>
        <v>0</v>
      </c>
      <c r="L80" s="945"/>
      <c r="M80" s="945"/>
      <c r="N80" s="945"/>
      <c r="O80" s="945"/>
      <c r="P80" s="945"/>
    </row>
    <row r="81" spans="1:26" ht="18.75">
      <c r="A81" s="949"/>
      <c r="B81" s="950"/>
      <c r="C81" s="950"/>
      <c r="D81" s="950"/>
      <c r="E81" s="957"/>
      <c r="F81" s="957"/>
      <c r="G81" s="958"/>
      <c r="H81" s="730" t="s">
        <v>35</v>
      </c>
      <c r="I81" s="944">
        <f ca="1">IFERROR(__xludf.DUMMYFUNCTION("IMPORTRANGE(""https://docs.google.com/spreadsheets/d/1QqKyyYR6Q21VydFLVH3TRQUabQu_ym0Zz7PgGX0-kHA/edit?usp=sharing"",""แผน!G18"")"),0)</f>
        <v>0</v>
      </c>
      <c r="J81" s="959">
        <v>0</v>
      </c>
      <c r="K81" s="945">
        <f t="shared" ca="1" si="46"/>
        <v>0</v>
      </c>
      <c r="L81" s="945"/>
      <c r="M81" s="945"/>
      <c r="N81" s="945"/>
      <c r="O81" s="945"/>
      <c r="P81" s="945"/>
    </row>
    <row r="82" spans="1:26" ht="18.75">
      <c r="A82" s="949"/>
      <c r="B82" s="950"/>
      <c r="C82" s="950"/>
      <c r="D82" s="950"/>
      <c r="E82" s="956" t="s">
        <v>42</v>
      </c>
      <c r="F82" s="956"/>
      <c r="G82" s="958"/>
      <c r="H82" s="730" t="s">
        <v>34</v>
      </c>
      <c r="I82" s="944">
        <f ca="1">IFERROR(__xludf.DUMMYFUNCTION("IMPORTRANGE(""https://docs.google.com/spreadsheets/d/1QqKyyYR6Q21VydFLVH3TRQUabQu_ym0Zz7PgGX0-kHA/edit?usp=sharing"",""แผน!D18"")"),1)</f>
        <v>1</v>
      </c>
      <c r="J82" s="959">
        <v>0</v>
      </c>
      <c r="K82" s="945">
        <f t="shared" ca="1" si="46"/>
        <v>0</v>
      </c>
      <c r="L82" s="945"/>
      <c r="M82" s="945"/>
      <c r="N82" s="945"/>
      <c r="O82" s="945"/>
      <c r="P82" s="945"/>
    </row>
    <row r="83" spans="1:26" ht="18.75">
      <c r="A83" s="949"/>
      <c r="B83" s="950"/>
      <c r="C83" s="950"/>
      <c r="D83" s="950"/>
      <c r="E83" s="957"/>
      <c r="F83" s="957"/>
      <c r="G83" s="958"/>
      <c r="H83" s="730" t="s">
        <v>35</v>
      </c>
      <c r="I83" s="944">
        <f ca="1">IFERROR(__xludf.DUMMYFUNCTION("IMPORTRANGE(""https://docs.google.com/spreadsheets/d/1QqKyyYR6Q21VydFLVH3TRQUabQu_ym0Zz7PgGX0-kHA/edit?usp=sharing"",""แผน!E18"")"),40)</f>
        <v>40</v>
      </c>
      <c r="J83" s="959">
        <v>31</v>
      </c>
      <c r="K83" s="945">
        <f t="shared" ca="1" si="46"/>
        <v>77.5</v>
      </c>
      <c r="L83" s="945"/>
      <c r="M83" s="945"/>
      <c r="N83" s="945"/>
      <c r="O83" s="945"/>
      <c r="P83" s="945"/>
    </row>
    <row r="84" spans="1:26" ht="18.75">
      <c r="A84" s="949"/>
      <c r="B84" s="950"/>
      <c r="C84" s="950"/>
      <c r="D84" s="955" t="s">
        <v>43</v>
      </c>
      <c r="E84" s="956"/>
      <c r="F84" s="957"/>
      <c r="G84" s="958"/>
      <c r="H84" s="777" t="s">
        <v>34</v>
      </c>
      <c r="I84" s="944">
        <f ca="1">IFERROR(__xludf.DUMMYFUNCTION("IMPORTRANGE(""https://docs.google.com/spreadsheets/d/1QqKyyYR6Q21VydFLVH3TRQUabQu_ym0Zz7PgGX0-kHA/edit?usp=sharing"",""แผน!J18"")"),1)</f>
        <v>1</v>
      </c>
      <c r="J84" s="959">
        <v>0</v>
      </c>
      <c r="K84" s="945">
        <f t="shared" ca="1" si="46"/>
        <v>0</v>
      </c>
      <c r="L84" s="945"/>
      <c r="M84" s="945"/>
      <c r="N84" s="945"/>
      <c r="O84" s="945"/>
      <c r="P84" s="945"/>
    </row>
    <row r="85" spans="1:26" ht="19.5">
      <c r="A85" s="917" t="s">
        <v>44</v>
      </c>
      <c r="B85" s="918"/>
      <c r="C85" s="919"/>
      <c r="D85" s="918"/>
      <c r="E85" s="918"/>
      <c r="F85" s="918"/>
      <c r="G85" s="920"/>
      <c r="H85" s="921"/>
      <c r="I85" s="922"/>
      <c r="J85" s="922"/>
      <c r="K85" s="923"/>
      <c r="L85" s="923"/>
      <c r="M85" s="923"/>
      <c r="N85" s="923"/>
      <c r="O85" s="923"/>
      <c r="P85" s="923"/>
    </row>
    <row r="86" spans="1:26" ht="19.5">
      <c r="A86" s="924"/>
      <c r="B86" s="925" t="s">
        <v>45</v>
      </c>
      <c r="C86" s="926"/>
      <c r="D86" s="927"/>
      <c r="E86" s="926"/>
      <c r="F86" s="926"/>
      <c r="G86" s="928"/>
      <c r="H86" s="205" t="s">
        <v>46</v>
      </c>
      <c r="I86" s="929">
        <f t="shared" ref="I86:J87" ca="1" si="47">I98</f>
        <v>30</v>
      </c>
      <c r="J86" s="929">
        <f t="shared" si="47"/>
        <v>30</v>
      </c>
      <c r="K86" s="930">
        <f t="shared" ref="K86:K87" ca="1" si="48">IF(I86&gt;0,J86*100/I86,0)</f>
        <v>100</v>
      </c>
      <c r="L86" s="931"/>
      <c r="M86" s="931"/>
      <c r="N86" s="931"/>
      <c r="O86" s="931"/>
      <c r="P86" s="931"/>
    </row>
    <row r="87" spans="1:26" ht="19.5">
      <c r="A87" s="924"/>
      <c r="B87" s="926"/>
      <c r="C87" s="926"/>
      <c r="D87" s="927"/>
      <c r="E87" s="926"/>
      <c r="F87" s="926"/>
      <c r="G87" s="928"/>
      <c r="H87" s="205" t="s">
        <v>35</v>
      </c>
      <c r="I87" s="929">
        <f t="shared" ca="1" si="47"/>
        <v>10</v>
      </c>
      <c r="J87" s="929">
        <f t="shared" si="47"/>
        <v>10</v>
      </c>
      <c r="K87" s="930">
        <f t="shared" ca="1" si="48"/>
        <v>100</v>
      </c>
      <c r="L87" s="931"/>
      <c r="M87" s="931"/>
      <c r="N87" s="931"/>
      <c r="O87" s="931"/>
      <c r="P87" s="931"/>
    </row>
    <row r="88" spans="1:26" ht="19.5">
      <c r="A88" s="932"/>
      <c r="B88" s="933"/>
      <c r="C88" s="934" t="s">
        <v>16</v>
      </c>
      <c r="D88" s="935" t="s">
        <v>17</v>
      </c>
      <c r="E88" s="933"/>
      <c r="F88" s="933"/>
      <c r="G88" s="936"/>
      <c r="H88" s="152" t="s">
        <v>12</v>
      </c>
      <c r="I88" s="937"/>
      <c r="J88" s="937"/>
      <c r="K88" s="938"/>
      <c r="L88" s="939">
        <f t="shared" ref="L88:N88" ca="1" si="49">L89+L90</f>
        <v>86040</v>
      </c>
      <c r="M88" s="939">
        <f t="shared" ca="1" si="49"/>
        <v>79340</v>
      </c>
      <c r="N88" s="939">
        <f t="shared" ca="1" si="49"/>
        <v>63579</v>
      </c>
      <c r="O88" s="939">
        <f t="shared" ref="O88:O96" ca="1" si="50">IF(L88&gt;0,N88*100/L88,0)</f>
        <v>73.894700139470018</v>
      </c>
      <c r="P88" s="939">
        <f t="shared" ref="P88:P96" ca="1" si="51">IF(M88&gt;0,N88*100/M88,0)</f>
        <v>80.134862616586844</v>
      </c>
      <c r="Q88" s="818"/>
      <c r="R88" s="818"/>
      <c r="S88" s="818"/>
      <c r="T88" s="818"/>
      <c r="U88" s="818"/>
      <c r="V88" s="818"/>
      <c r="W88" s="818"/>
      <c r="X88" s="818"/>
      <c r="Y88" s="818"/>
      <c r="Z88" s="818"/>
    </row>
    <row r="89" spans="1:26" ht="18.75" hidden="1">
      <c r="A89" s="940"/>
      <c r="B89" s="833"/>
      <c r="C89" s="833"/>
      <c r="D89" s="833"/>
      <c r="E89" s="834" t="s">
        <v>18</v>
      </c>
      <c r="F89" s="833"/>
      <c r="G89" s="941"/>
      <c r="H89" s="158" t="s">
        <v>12</v>
      </c>
      <c r="I89" s="836"/>
      <c r="J89" s="836"/>
      <c r="K89" s="837"/>
      <c r="L89" s="837">
        <f t="shared" ref="L89:N90" si="52">L92+L95</f>
        <v>0</v>
      </c>
      <c r="M89" s="837">
        <f t="shared" si="52"/>
        <v>0</v>
      </c>
      <c r="N89" s="837">
        <f t="shared" si="52"/>
        <v>0</v>
      </c>
      <c r="O89" s="837">
        <f t="shared" si="50"/>
        <v>0</v>
      </c>
      <c r="P89" s="837">
        <f t="shared" si="51"/>
        <v>0</v>
      </c>
      <c r="Q89" s="825"/>
      <c r="R89" s="825"/>
      <c r="S89" s="825"/>
      <c r="T89" s="825"/>
      <c r="U89" s="825"/>
      <c r="V89" s="825"/>
      <c r="W89" s="825"/>
      <c r="X89" s="825"/>
      <c r="Y89" s="825"/>
      <c r="Z89" s="825"/>
    </row>
    <row r="90" spans="1:26" ht="18.75" hidden="1">
      <c r="A90" s="940"/>
      <c r="B90" s="833"/>
      <c r="C90" s="833"/>
      <c r="D90" s="833"/>
      <c r="E90" s="834" t="s">
        <v>19</v>
      </c>
      <c r="F90" s="833"/>
      <c r="G90" s="941"/>
      <c r="H90" s="158" t="s">
        <v>12</v>
      </c>
      <c r="I90" s="836"/>
      <c r="J90" s="836"/>
      <c r="K90" s="837"/>
      <c r="L90" s="837">
        <f t="shared" ca="1" si="52"/>
        <v>86040</v>
      </c>
      <c r="M90" s="837">
        <f t="shared" ca="1" si="52"/>
        <v>79340</v>
      </c>
      <c r="N90" s="837">
        <f t="shared" ca="1" si="52"/>
        <v>63579</v>
      </c>
      <c r="O90" s="837">
        <f t="shared" ca="1" si="50"/>
        <v>73.894700139470018</v>
      </c>
      <c r="P90" s="837">
        <f t="shared" ca="1" si="51"/>
        <v>80.134862616586844</v>
      </c>
      <c r="Q90" s="825"/>
      <c r="R90" s="825"/>
      <c r="S90" s="825"/>
      <c r="T90" s="825"/>
      <c r="U90" s="825"/>
      <c r="V90" s="825"/>
      <c r="W90" s="825"/>
      <c r="X90" s="825"/>
      <c r="Y90" s="825"/>
      <c r="Z90" s="825"/>
    </row>
    <row r="91" spans="1:26" ht="18.75">
      <c r="A91" s="942"/>
      <c r="B91" s="827"/>
      <c r="C91" s="943"/>
      <c r="D91" s="828" t="s">
        <v>20</v>
      </c>
      <c r="E91" s="827"/>
      <c r="F91" s="827"/>
      <c r="G91" s="829"/>
      <c r="H91" s="778" t="s">
        <v>12</v>
      </c>
      <c r="I91" s="944"/>
      <c r="J91" s="944"/>
      <c r="K91" s="945"/>
      <c r="L91" s="831">
        <f t="shared" ref="L91:N91" ca="1" si="53">L92+L93</f>
        <v>86040</v>
      </c>
      <c r="M91" s="831">
        <f t="shared" ca="1" si="53"/>
        <v>79340</v>
      </c>
      <c r="N91" s="831">
        <f t="shared" ca="1" si="53"/>
        <v>63579</v>
      </c>
      <c r="O91" s="831">
        <f t="shared" ca="1" si="50"/>
        <v>73.894700139470018</v>
      </c>
      <c r="P91" s="831">
        <f t="shared" ca="1" si="51"/>
        <v>80.134862616586844</v>
      </c>
      <c r="Q91" s="818"/>
      <c r="R91" s="818"/>
      <c r="S91" s="818"/>
      <c r="T91" s="818"/>
      <c r="U91" s="818"/>
      <c r="V91" s="818"/>
      <c r="W91" s="818"/>
      <c r="X91" s="818"/>
      <c r="Y91" s="818"/>
      <c r="Z91" s="818"/>
    </row>
    <row r="92" spans="1:26" ht="19.5" hidden="1">
      <c r="A92" s="940"/>
      <c r="B92" s="833"/>
      <c r="C92" s="946"/>
      <c r="D92" s="833"/>
      <c r="E92" s="834" t="s">
        <v>36</v>
      </c>
      <c r="F92" s="833"/>
      <c r="G92" s="941"/>
      <c r="H92" s="165" t="s">
        <v>12</v>
      </c>
      <c r="I92" s="947"/>
      <c r="J92" s="947"/>
      <c r="K92" s="948"/>
      <c r="L92" s="837">
        <v>0</v>
      </c>
      <c r="M92" s="837">
        <v>0</v>
      </c>
      <c r="N92" s="837">
        <v>0</v>
      </c>
      <c r="O92" s="837">
        <f t="shared" si="50"/>
        <v>0</v>
      </c>
      <c r="P92" s="837">
        <f t="shared" si="51"/>
        <v>0</v>
      </c>
      <c r="Q92" s="825"/>
      <c r="R92" s="825"/>
      <c r="S92" s="825"/>
      <c r="T92" s="825"/>
      <c r="U92" s="825"/>
      <c r="V92" s="825"/>
      <c r="W92" s="825"/>
      <c r="X92" s="825"/>
      <c r="Y92" s="825"/>
      <c r="Z92" s="825"/>
    </row>
    <row r="93" spans="1:26" ht="19.5" hidden="1">
      <c r="A93" s="940"/>
      <c r="B93" s="833"/>
      <c r="C93" s="946"/>
      <c r="D93" s="833"/>
      <c r="E93" s="834" t="s">
        <v>37</v>
      </c>
      <c r="F93" s="833"/>
      <c r="G93" s="941"/>
      <c r="H93" s="165" t="s">
        <v>12</v>
      </c>
      <c r="I93" s="947"/>
      <c r="J93" s="947"/>
      <c r="K93" s="948"/>
      <c r="L93" s="837">
        <f ca="1">IFERROR(__xludf.DUMMYFUNCTION("IMPORTRANGE(""https://docs.google.com/spreadsheets/d/1MeEWN-I1oV_STSDYn1IFDPWt_1FKiwhDph83XaGc0o0/edit?usp=sharing"",""งบพรบ!AQ18"")"),86040)</f>
        <v>86040</v>
      </c>
      <c r="M93" s="837">
        <f ca="1">IFERROR(__xludf.DUMMYFUNCTION("IMPORTRANGE(""https://docs.google.com/spreadsheets/d/1MeEWN-I1oV_STSDYn1IFDPWt_1FKiwhDph83XaGc0o0/edit?usp=sharing"",""งบพรบ!AV18"")"),79340)</f>
        <v>79340</v>
      </c>
      <c r="N93" s="837">
        <f ca="1">IFERROR(__xludf.DUMMYFUNCTION("IMPORTRANGE(""https://docs.google.com/spreadsheets/d/1MeEWN-I1oV_STSDYn1IFDPWt_1FKiwhDph83XaGc0o0/edit?usp=sharing"",""งบพรบ!AX18"")"),63579)</f>
        <v>63579</v>
      </c>
      <c r="O93" s="837">
        <f t="shared" ca="1" si="50"/>
        <v>73.894700139470018</v>
      </c>
      <c r="P93" s="837">
        <f t="shared" ca="1" si="51"/>
        <v>80.134862616586844</v>
      </c>
      <c r="Q93" s="825"/>
      <c r="R93" s="825"/>
      <c r="S93" s="825"/>
      <c r="T93" s="825"/>
      <c r="U93" s="825"/>
      <c r="V93" s="825"/>
      <c r="W93" s="825"/>
      <c r="X93" s="825"/>
      <c r="Y93" s="825"/>
      <c r="Z93" s="825"/>
    </row>
    <row r="94" spans="1:26" ht="18.75">
      <c r="A94" s="942"/>
      <c r="B94" s="827"/>
      <c r="C94" s="943"/>
      <c r="D94" s="828" t="s">
        <v>21</v>
      </c>
      <c r="E94" s="827"/>
      <c r="F94" s="827"/>
      <c r="G94" s="829"/>
      <c r="H94" s="168" t="s">
        <v>12</v>
      </c>
      <c r="I94" s="944"/>
      <c r="J94" s="944"/>
      <c r="K94" s="945"/>
      <c r="L94" s="831">
        <f t="shared" ref="L94:N94" ca="1" si="54">L95+L96</f>
        <v>0</v>
      </c>
      <c r="M94" s="831">
        <f t="shared" ca="1" si="54"/>
        <v>0</v>
      </c>
      <c r="N94" s="831">
        <f t="shared" ca="1" si="54"/>
        <v>0</v>
      </c>
      <c r="O94" s="831">
        <f t="shared" ca="1" si="50"/>
        <v>0</v>
      </c>
      <c r="P94" s="831">
        <f t="shared" ca="1" si="51"/>
        <v>0</v>
      </c>
      <c r="Q94" s="818"/>
      <c r="R94" s="818"/>
      <c r="S94" s="818"/>
      <c r="T94" s="818"/>
      <c r="U94" s="818"/>
      <c r="V94" s="818"/>
      <c r="W94" s="818"/>
      <c r="X94" s="818"/>
      <c r="Y94" s="818"/>
      <c r="Z94" s="818"/>
    </row>
    <row r="95" spans="1:26" ht="19.5" hidden="1">
      <c r="A95" s="940"/>
      <c r="B95" s="833"/>
      <c r="C95" s="946"/>
      <c r="D95" s="833"/>
      <c r="E95" s="834" t="s">
        <v>18</v>
      </c>
      <c r="F95" s="833"/>
      <c r="G95" s="941"/>
      <c r="H95" s="165" t="s">
        <v>12</v>
      </c>
      <c r="I95" s="947"/>
      <c r="J95" s="947"/>
      <c r="K95" s="948"/>
      <c r="L95" s="837">
        <v>0</v>
      </c>
      <c r="M95" s="837">
        <v>0</v>
      </c>
      <c r="N95" s="837">
        <v>0</v>
      </c>
      <c r="O95" s="837">
        <f t="shared" si="50"/>
        <v>0</v>
      </c>
      <c r="P95" s="837">
        <f t="shared" si="51"/>
        <v>0</v>
      </c>
      <c r="Q95" s="825"/>
      <c r="R95" s="825"/>
      <c r="S95" s="825"/>
      <c r="T95" s="825"/>
      <c r="U95" s="825"/>
      <c r="V95" s="825"/>
      <c r="W95" s="825"/>
      <c r="X95" s="825"/>
      <c r="Y95" s="825"/>
      <c r="Z95" s="825"/>
    </row>
    <row r="96" spans="1:26" ht="19.5" hidden="1">
      <c r="A96" s="940"/>
      <c r="B96" s="833"/>
      <c r="C96" s="946"/>
      <c r="D96" s="833"/>
      <c r="E96" s="834" t="s">
        <v>19</v>
      </c>
      <c r="F96" s="833"/>
      <c r="G96" s="941"/>
      <c r="H96" s="169" t="s">
        <v>12</v>
      </c>
      <c r="I96" s="947"/>
      <c r="J96" s="947"/>
      <c r="K96" s="948"/>
      <c r="L96" s="837">
        <f ca="1">IFERROR(__xludf.DUMMYFUNCTION("IMPORTRANGE(""https://docs.google.com/spreadsheets/d/1MeEWN-I1oV_STSDYn1IFDPWt_1FKiwhDph83XaGc0o0/edit?usp=sharing"",""งบพรบ!AT18"")"),0)</f>
        <v>0</v>
      </c>
      <c r="M96" s="837">
        <f ca="1">IFERROR(__xludf.DUMMYFUNCTION("IMPORTRANGE(""https://docs.google.com/spreadsheets/d/1MeEWN-I1oV_STSDYn1IFDPWt_1FKiwhDph83XaGc0o0/edit?usp=sharing"",""งบพรบ!AW18"")"),0)</f>
        <v>0</v>
      </c>
      <c r="N96" s="837">
        <f ca="1">IFERROR(__xludf.DUMMYFUNCTION("IMPORTRANGE(""https://docs.google.com/spreadsheets/d/1MeEWN-I1oV_STSDYn1IFDPWt_1FKiwhDph83XaGc0o0/edit?usp=sharing"",""งบพรบ!AY18"")"),0)</f>
        <v>0</v>
      </c>
      <c r="O96" s="837">
        <f t="shared" ca="1" si="50"/>
        <v>0</v>
      </c>
      <c r="P96" s="837">
        <f t="shared" ca="1" si="51"/>
        <v>0</v>
      </c>
      <c r="Q96" s="825"/>
      <c r="R96" s="825"/>
      <c r="S96" s="825"/>
      <c r="T96" s="825"/>
      <c r="U96" s="825"/>
      <c r="V96" s="825"/>
      <c r="W96" s="825"/>
      <c r="X96" s="825"/>
      <c r="Y96" s="825"/>
      <c r="Z96" s="825"/>
    </row>
    <row r="97" spans="1:16" ht="19.5">
      <c r="A97" s="949"/>
      <c r="B97" s="950"/>
      <c r="C97" s="946" t="s">
        <v>16</v>
      </c>
      <c r="D97" s="951" t="s">
        <v>38</v>
      </c>
      <c r="E97" s="952"/>
      <c r="F97" s="952"/>
      <c r="G97" s="953"/>
      <c r="H97" s="954"/>
      <c r="I97" s="944"/>
      <c r="J97" s="830"/>
      <c r="K97" s="831"/>
      <c r="L97" s="831"/>
      <c r="M97" s="831"/>
      <c r="N97" s="831"/>
      <c r="O97" s="945"/>
      <c r="P97" s="945"/>
    </row>
    <row r="98" spans="1:16" ht="18.75">
      <c r="A98" s="949"/>
      <c r="B98" s="950"/>
      <c r="C98" s="950"/>
      <c r="D98" s="956" t="s">
        <v>47</v>
      </c>
      <c r="E98" s="956"/>
      <c r="F98" s="957"/>
      <c r="G98" s="958"/>
      <c r="H98" s="590" t="s">
        <v>46</v>
      </c>
      <c r="I98" s="830">
        <f ca="1">IFERROR(__xludf.DUMMYFUNCTION("IMPORTRANGE(""https://docs.google.com/spreadsheets/d/1QqKyyYR6Q21VydFLVH3TRQUabQu_ym0Zz7PgGX0-kHA/edit?usp=sharing"",""แผน!K18"")"),30)</f>
        <v>30</v>
      </c>
      <c r="J98" s="830">
        <f>J102</f>
        <v>30</v>
      </c>
      <c r="K98" s="831">
        <f t="shared" ref="K98:K100" ca="1" si="55">IF(I98&gt;0,J98*100/I98,0)</f>
        <v>100</v>
      </c>
      <c r="L98" s="831"/>
      <c r="M98" s="831"/>
      <c r="N98" s="831"/>
      <c r="O98" s="945"/>
      <c r="P98" s="945"/>
    </row>
    <row r="99" spans="1:16" ht="18.75">
      <c r="A99" s="949"/>
      <c r="B99" s="950"/>
      <c r="C99" s="950"/>
      <c r="D99" s="956" t="s">
        <v>48</v>
      </c>
      <c r="E99" s="956"/>
      <c r="F99" s="957"/>
      <c r="G99" s="958"/>
      <c r="H99" s="590" t="s">
        <v>35</v>
      </c>
      <c r="I99" s="830">
        <f ca="1">IFERROR(__xludf.DUMMYFUNCTION("IMPORTRANGE(""https://docs.google.com/spreadsheets/d/1QqKyyYR6Q21VydFLVH3TRQUabQu_ym0Zz7PgGX0-kHA/edit?usp=sharing"",""แผน!L18"")"),10)</f>
        <v>10</v>
      </c>
      <c r="J99" s="830">
        <f>J104</f>
        <v>10</v>
      </c>
      <c r="K99" s="831">
        <f t="shared" ca="1" si="55"/>
        <v>100</v>
      </c>
      <c r="L99" s="831"/>
      <c r="M99" s="831"/>
      <c r="N99" s="831"/>
      <c r="O99" s="945"/>
      <c r="P99" s="945"/>
    </row>
    <row r="100" spans="1:16" ht="18.75">
      <c r="A100" s="949"/>
      <c r="B100" s="950"/>
      <c r="C100" s="950"/>
      <c r="D100" s="950"/>
      <c r="E100" s="957"/>
      <c r="F100" s="957"/>
      <c r="G100" s="958"/>
      <c r="H100" s="590" t="s">
        <v>49</v>
      </c>
      <c r="I100" s="830">
        <f ca="1">IFERROR(__xludf.DUMMYFUNCTION("IMPORTRANGE(""https://docs.google.com/spreadsheets/d/1QqKyyYR6Q21VydFLVH3TRQUabQu_ym0Zz7PgGX0-kHA/edit?usp=sharing"",""แผน!M18"")"),2)</f>
        <v>2</v>
      </c>
      <c r="J100" s="830">
        <f>J107+J110</f>
        <v>0</v>
      </c>
      <c r="K100" s="831">
        <f t="shared" ca="1" si="55"/>
        <v>0</v>
      </c>
      <c r="L100" s="831"/>
      <c r="M100" s="831"/>
      <c r="N100" s="831"/>
      <c r="O100" s="945"/>
      <c r="P100" s="945"/>
    </row>
    <row r="101" spans="1:16" ht="19.5">
      <c r="A101" s="949"/>
      <c r="B101" s="950"/>
      <c r="C101" s="950"/>
      <c r="D101" s="957"/>
      <c r="E101" s="960" t="s">
        <v>50</v>
      </c>
      <c r="F101" s="957"/>
      <c r="G101" s="958"/>
      <c r="H101" s="590"/>
      <c r="I101" s="830"/>
      <c r="J101" s="830"/>
      <c r="K101" s="831"/>
      <c r="L101" s="831"/>
      <c r="M101" s="831"/>
      <c r="N101" s="831"/>
      <c r="O101" s="945"/>
      <c r="P101" s="945"/>
    </row>
    <row r="102" spans="1:16" ht="18.75">
      <c r="A102" s="949"/>
      <c r="B102" s="950"/>
      <c r="C102" s="950"/>
      <c r="D102" s="957"/>
      <c r="E102" s="961" t="s">
        <v>47</v>
      </c>
      <c r="F102" s="957"/>
      <c r="G102" s="958"/>
      <c r="H102" s="590" t="s">
        <v>46</v>
      </c>
      <c r="I102" s="830">
        <f ca="1">IFERROR(__xludf.DUMMYFUNCTION("IMPORTRANGE(""https://docs.google.com/spreadsheets/d/1QqKyyYR6Q21VydFLVH3TRQUabQu_ym0Zz7PgGX0-kHA/edit?usp=sharing"",""แผน!N18"")"),30)</f>
        <v>30</v>
      </c>
      <c r="J102" s="959">
        <v>30</v>
      </c>
      <c r="K102" s="831">
        <f t="shared" ref="K102:K104" ca="1" si="56">IF(I102&gt;0,J102*100/I102,0)</f>
        <v>100</v>
      </c>
      <c r="L102" s="831"/>
      <c r="M102" s="831"/>
      <c r="N102" s="831"/>
      <c r="O102" s="945"/>
      <c r="P102" s="945"/>
    </row>
    <row r="103" spans="1:16" ht="19.5">
      <c r="A103" s="949"/>
      <c r="B103" s="950"/>
      <c r="C103" s="950"/>
      <c r="D103" s="957"/>
      <c r="E103" s="956" t="s">
        <v>51</v>
      </c>
      <c r="F103" s="957"/>
      <c r="G103" s="958"/>
      <c r="H103" s="590" t="s">
        <v>35</v>
      </c>
      <c r="I103" s="830">
        <f ca="1">IFERROR(__xludf.DUMMYFUNCTION("IMPORTRANGE(""https://docs.google.com/spreadsheets/d/1QqKyyYR6Q21VydFLVH3TRQUabQu_ym0Zz7PgGX0-kHA/edit?usp=sharing"",""แผน!O18"")"),10)</f>
        <v>10</v>
      </c>
      <c r="J103" s="959">
        <v>10</v>
      </c>
      <c r="K103" s="831">
        <f t="shared" ca="1" si="56"/>
        <v>100</v>
      </c>
      <c r="L103" s="831"/>
      <c r="M103" s="831"/>
      <c r="N103" s="831"/>
      <c r="O103" s="945"/>
      <c r="P103" s="945"/>
    </row>
    <row r="104" spans="1:16" ht="18.75">
      <c r="A104" s="949"/>
      <c r="B104" s="950"/>
      <c r="C104" s="950"/>
      <c r="D104" s="957"/>
      <c r="E104" s="962" t="s">
        <v>52</v>
      </c>
      <c r="F104" s="957"/>
      <c r="G104" s="958"/>
      <c r="H104" s="590" t="s">
        <v>35</v>
      </c>
      <c r="I104" s="830">
        <f ca="1">IFERROR(__xludf.DUMMYFUNCTION("IMPORTRANGE(""https://docs.google.com/spreadsheets/d/1QqKyyYR6Q21VydFLVH3TRQUabQu_ym0Zz7PgGX0-kHA/edit?usp=sharing"",""แผน!O18"")"),10)</f>
        <v>10</v>
      </c>
      <c r="J104" s="959">
        <v>10</v>
      </c>
      <c r="K104" s="831">
        <f t="shared" ca="1" si="56"/>
        <v>100</v>
      </c>
      <c r="L104" s="831"/>
      <c r="M104" s="831"/>
      <c r="N104" s="831"/>
      <c r="O104" s="945"/>
      <c r="P104" s="945"/>
    </row>
    <row r="105" spans="1:16" ht="19.5">
      <c r="A105" s="949"/>
      <c r="B105" s="950"/>
      <c r="C105" s="950"/>
      <c r="D105" s="957"/>
      <c r="E105" s="960" t="s">
        <v>53</v>
      </c>
      <c r="F105" s="957"/>
      <c r="G105" s="958"/>
      <c r="H105" s="963"/>
      <c r="I105" s="830"/>
      <c r="J105" s="830"/>
      <c r="K105" s="831"/>
      <c r="L105" s="831"/>
      <c r="M105" s="831"/>
      <c r="N105" s="831"/>
      <c r="O105" s="945"/>
      <c r="P105" s="945"/>
    </row>
    <row r="106" spans="1:16" ht="19.5">
      <c r="A106" s="949"/>
      <c r="B106" s="950"/>
      <c r="C106" s="950"/>
      <c r="D106" s="957"/>
      <c r="E106" s="956" t="s">
        <v>54</v>
      </c>
      <c r="F106" s="957"/>
      <c r="G106" s="958"/>
      <c r="H106" s="590" t="s">
        <v>49</v>
      </c>
      <c r="I106" s="830">
        <f ca="1">IFERROR(__xludf.DUMMYFUNCTION("IMPORTRANGE(""https://docs.google.com/spreadsheets/d/1QqKyyYR6Q21VydFLVH3TRQUabQu_ym0Zz7PgGX0-kHA/edit?usp=sharing"",""แผน!P18"")"),1)</f>
        <v>1</v>
      </c>
      <c r="J106" s="959">
        <v>0</v>
      </c>
      <c r="K106" s="831">
        <f t="shared" ref="K106:K107" ca="1" si="57">IF(I106&gt;0,J106*100/I106,0)</f>
        <v>0</v>
      </c>
      <c r="L106" s="831"/>
      <c r="M106" s="831"/>
      <c r="N106" s="831"/>
      <c r="O106" s="945"/>
      <c r="P106" s="945"/>
    </row>
    <row r="107" spans="1:16" ht="18.75">
      <c r="A107" s="949"/>
      <c r="B107" s="950"/>
      <c r="C107" s="950"/>
      <c r="D107" s="957"/>
      <c r="E107" s="962" t="s">
        <v>55</v>
      </c>
      <c r="F107" s="957"/>
      <c r="G107" s="958"/>
      <c r="H107" s="590" t="s">
        <v>49</v>
      </c>
      <c r="I107" s="830">
        <f ca="1">IFERROR(__xludf.DUMMYFUNCTION("IMPORTRANGE(""https://docs.google.com/spreadsheets/d/1QqKyyYR6Q21VydFLVH3TRQUabQu_ym0Zz7PgGX0-kHA/edit?usp=sharing"",""แผน!P18"")"),1)</f>
        <v>1</v>
      </c>
      <c r="J107" s="959">
        <v>0</v>
      </c>
      <c r="K107" s="831">
        <f t="shared" ca="1" si="57"/>
        <v>0</v>
      </c>
      <c r="L107" s="831"/>
      <c r="M107" s="831"/>
      <c r="N107" s="831"/>
      <c r="O107" s="945"/>
      <c r="P107" s="945"/>
    </row>
    <row r="108" spans="1:16" ht="19.5">
      <c r="A108" s="949"/>
      <c r="B108" s="950"/>
      <c r="C108" s="950"/>
      <c r="D108" s="957"/>
      <c r="E108" s="960" t="s">
        <v>56</v>
      </c>
      <c r="F108" s="957"/>
      <c r="G108" s="958"/>
      <c r="H108" s="963"/>
      <c r="I108" s="830"/>
      <c r="J108" s="830"/>
      <c r="K108" s="831"/>
      <c r="L108" s="831"/>
      <c r="M108" s="831"/>
      <c r="N108" s="831"/>
      <c r="O108" s="945"/>
      <c r="P108" s="945"/>
    </row>
    <row r="109" spans="1:16" ht="19.5">
      <c r="A109" s="949"/>
      <c r="B109" s="950"/>
      <c r="C109" s="950"/>
      <c r="D109" s="957"/>
      <c r="E109" s="956" t="s">
        <v>57</v>
      </c>
      <c r="F109" s="957"/>
      <c r="G109" s="958"/>
      <c r="H109" s="590" t="s">
        <v>49</v>
      </c>
      <c r="I109" s="830">
        <f ca="1">IFERROR(__xludf.DUMMYFUNCTION("IMPORTRANGE(""https://docs.google.com/spreadsheets/d/1QqKyyYR6Q21VydFLVH3TRQUabQu_ym0Zz7PgGX0-kHA/edit?usp=sharing"",""แผน!Q18"")"),1)</f>
        <v>1</v>
      </c>
      <c r="J109" s="959">
        <v>0</v>
      </c>
      <c r="K109" s="831">
        <f t="shared" ref="K109:K116" ca="1" si="58">IF(I109&gt;0,J109*100/I109,0)</f>
        <v>0</v>
      </c>
      <c r="L109" s="831"/>
      <c r="M109" s="831"/>
      <c r="N109" s="831"/>
      <c r="O109" s="945"/>
      <c r="P109" s="945"/>
    </row>
    <row r="110" spans="1:16" ht="18.75">
      <c r="A110" s="949"/>
      <c r="B110" s="950"/>
      <c r="C110" s="950"/>
      <c r="D110" s="957"/>
      <c r="E110" s="964" t="s">
        <v>58</v>
      </c>
      <c r="F110" s="957"/>
      <c r="G110" s="958"/>
      <c r="H110" s="590" t="s">
        <v>49</v>
      </c>
      <c r="I110" s="830">
        <f ca="1">IFERROR(__xludf.DUMMYFUNCTION("IMPORTRANGE(""https://docs.google.com/spreadsheets/d/1QqKyyYR6Q21VydFLVH3TRQUabQu_ym0Zz7PgGX0-kHA/edit?usp=sharing"",""แผน!Q18"")"),1)</f>
        <v>1</v>
      </c>
      <c r="J110" s="959">
        <v>0</v>
      </c>
      <c r="K110" s="831">
        <f t="shared" ca="1" si="58"/>
        <v>0</v>
      </c>
      <c r="L110" s="831"/>
      <c r="M110" s="831"/>
      <c r="N110" s="831"/>
      <c r="O110" s="945"/>
      <c r="P110" s="945"/>
    </row>
    <row r="111" spans="1:16" ht="19.5">
      <c r="A111" s="949"/>
      <c r="B111" s="950"/>
      <c r="C111" s="950"/>
      <c r="D111" s="960" t="s">
        <v>59</v>
      </c>
      <c r="E111" s="960"/>
      <c r="F111" s="957"/>
      <c r="G111" s="958"/>
      <c r="H111" s="733" t="s">
        <v>35</v>
      </c>
      <c r="I111" s="965">
        <f ca="1">IFERROR(__xludf.DUMMYFUNCTION("IMPORTRANGE(""https://docs.google.com/spreadsheets/d/1QqKyyYR6Q21VydFLVH3TRQUabQu_ym0Zz7PgGX0-kHA/edit?usp=sharing"",""แผน!R18"")"),10)</f>
        <v>10</v>
      </c>
      <c r="J111" s="966">
        <f>J114</f>
        <v>0</v>
      </c>
      <c r="K111" s="967">
        <f t="shared" ca="1" si="58"/>
        <v>0</v>
      </c>
      <c r="L111" s="831"/>
      <c r="M111" s="831"/>
      <c r="N111" s="831"/>
      <c r="O111" s="945"/>
      <c r="P111" s="945"/>
    </row>
    <row r="112" spans="1:16" ht="19.5">
      <c r="A112" s="949"/>
      <c r="B112" s="950"/>
      <c r="C112" s="950"/>
      <c r="D112" s="950"/>
      <c r="E112" s="957"/>
      <c r="F112" s="957"/>
      <c r="G112" s="958"/>
      <c r="H112" s="196" t="s">
        <v>49</v>
      </c>
      <c r="I112" s="965">
        <f t="shared" ref="I112:J112" ca="1" si="59">I115+I116</f>
        <v>2</v>
      </c>
      <c r="J112" s="966">
        <f t="shared" si="59"/>
        <v>0</v>
      </c>
      <c r="K112" s="967">
        <f t="shared" ca="1" si="58"/>
        <v>0</v>
      </c>
      <c r="L112" s="831"/>
      <c r="M112" s="831"/>
      <c r="N112" s="831"/>
      <c r="O112" s="945"/>
      <c r="P112" s="945"/>
    </row>
    <row r="113" spans="1:26" ht="19.5">
      <c r="A113" s="949"/>
      <c r="B113" s="950"/>
      <c r="C113" s="950"/>
      <c r="D113" s="950"/>
      <c r="E113" s="968" t="s">
        <v>60</v>
      </c>
      <c r="F113" s="957"/>
      <c r="G113" s="958"/>
      <c r="H113" s="198" t="s">
        <v>35</v>
      </c>
      <c r="I113" s="944">
        <f ca="1">IFERROR(__xludf.DUMMYFUNCTION("IMPORTRANGE(""https://docs.google.com/spreadsheets/d/1QqKyyYR6Q21VydFLVH3TRQUabQu_ym0Zz7PgGX0-kHA/edit?usp=sharing"",""แผน!R18"")"),10)</f>
        <v>10</v>
      </c>
      <c r="J113" s="959">
        <v>0</v>
      </c>
      <c r="K113" s="831">
        <f t="shared" ca="1" si="58"/>
        <v>0</v>
      </c>
      <c r="L113" s="831"/>
      <c r="M113" s="831"/>
      <c r="N113" s="831"/>
      <c r="O113" s="945"/>
      <c r="P113" s="945"/>
    </row>
    <row r="114" spans="1:26" ht="19.5">
      <c r="A114" s="949"/>
      <c r="B114" s="950"/>
      <c r="C114" s="950"/>
      <c r="D114" s="950"/>
      <c r="E114" s="956" t="s">
        <v>61</v>
      </c>
      <c r="F114" s="957"/>
      <c r="G114" s="958"/>
      <c r="H114" s="199" t="s">
        <v>35</v>
      </c>
      <c r="I114" s="944">
        <f ca="1">IFERROR(__xludf.DUMMYFUNCTION("IMPORTRANGE(""https://docs.google.com/spreadsheets/d/1QqKyyYR6Q21VydFLVH3TRQUabQu_ym0Zz7PgGX0-kHA/edit?usp=sharing"",""แผน!R18"")"),10)</f>
        <v>10</v>
      </c>
      <c r="J114" s="959">
        <v>0</v>
      </c>
      <c r="K114" s="831">
        <f t="shared" ca="1" si="58"/>
        <v>0</v>
      </c>
      <c r="L114" s="831"/>
      <c r="M114" s="831"/>
      <c r="N114" s="831"/>
      <c r="O114" s="945"/>
      <c r="P114" s="945"/>
    </row>
    <row r="115" spans="1:26" ht="18.75">
      <c r="A115" s="949"/>
      <c r="B115" s="950"/>
      <c r="C115" s="950"/>
      <c r="D115" s="950"/>
      <c r="E115" s="956" t="s">
        <v>62</v>
      </c>
      <c r="F115" s="957"/>
      <c r="G115" s="958"/>
      <c r="H115" s="199" t="s">
        <v>49</v>
      </c>
      <c r="I115" s="944">
        <f ca="1">IFERROR(__xludf.DUMMYFUNCTION("IMPORTRANGE(""https://docs.google.com/spreadsheets/d/1QqKyyYR6Q21VydFLVH3TRQUabQu_ym0Zz7PgGX0-kHA/edit?usp=sharing"",""แผน!S18"")"),1)</f>
        <v>1</v>
      </c>
      <c r="J115" s="959">
        <v>0</v>
      </c>
      <c r="K115" s="831">
        <f t="shared" ca="1" si="58"/>
        <v>0</v>
      </c>
      <c r="L115" s="831"/>
      <c r="M115" s="831"/>
      <c r="N115" s="831"/>
      <c r="O115" s="945"/>
      <c r="P115" s="945"/>
    </row>
    <row r="116" spans="1:26" ht="18.75">
      <c r="A116" s="949"/>
      <c r="B116" s="950"/>
      <c r="C116" s="950"/>
      <c r="D116" s="950"/>
      <c r="E116" s="956" t="s">
        <v>63</v>
      </c>
      <c r="F116" s="957"/>
      <c r="G116" s="958"/>
      <c r="H116" s="199" t="s">
        <v>49</v>
      </c>
      <c r="I116" s="944">
        <f ca="1">IFERROR(__xludf.DUMMYFUNCTION("IMPORTRANGE(""https://docs.google.com/spreadsheets/d/1QqKyyYR6Q21VydFLVH3TRQUabQu_ym0Zz7PgGX0-kHA/edit?usp=sharing"",""แผน!T18"")"),1)</f>
        <v>1</v>
      </c>
      <c r="J116" s="959">
        <v>0</v>
      </c>
      <c r="K116" s="831">
        <f t="shared" ca="1" si="58"/>
        <v>0</v>
      </c>
      <c r="L116" s="831"/>
      <c r="M116" s="831"/>
      <c r="N116" s="831"/>
      <c r="O116" s="945"/>
      <c r="P116" s="945"/>
    </row>
    <row r="117" spans="1:26" ht="19.5">
      <c r="A117" s="917" t="s">
        <v>64</v>
      </c>
      <c r="B117" s="918"/>
      <c r="C117" s="969"/>
      <c r="D117" s="918"/>
      <c r="E117" s="918"/>
      <c r="F117" s="918"/>
      <c r="G117" s="918"/>
      <c r="H117" s="970"/>
      <c r="I117" s="971"/>
      <c r="J117" s="971"/>
      <c r="K117" s="972"/>
      <c r="L117" s="923"/>
      <c r="M117" s="923"/>
      <c r="N117" s="923"/>
      <c r="O117" s="923"/>
      <c r="P117" s="923"/>
    </row>
    <row r="118" spans="1:26" ht="19.5">
      <c r="A118" s="924"/>
      <c r="B118" s="925" t="s">
        <v>65</v>
      </c>
      <c r="C118" s="973"/>
      <c r="D118" s="927"/>
      <c r="E118" s="926"/>
      <c r="F118" s="926"/>
      <c r="G118" s="928"/>
      <c r="H118" s="205" t="s">
        <v>66</v>
      </c>
      <c r="I118" s="974">
        <v>2</v>
      </c>
      <c r="J118" s="974">
        <f>J438+J440</f>
        <v>2</v>
      </c>
      <c r="K118" s="931">
        <f>IF(I118&gt;0,J118*100/I118,0)</f>
        <v>100</v>
      </c>
      <c r="L118" s="931"/>
      <c r="M118" s="931"/>
      <c r="N118" s="931"/>
      <c r="O118" s="931"/>
      <c r="P118" s="931"/>
    </row>
    <row r="119" spans="1:26" ht="19.5">
      <c r="A119" s="932"/>
      <c r="B119" s="933"/>
      <c r="C119" s="934" t="s">
        <v>16</v>
      </c>
      <c r="D119" s="935" t="s">
        <v>17</v>
      </c>
      <c r="E119" s="933"/>
      <c r="F119" s="933"/>
      <c r="G119" s="936"/>
      <c r="H119" s="152" t="s">
        <v>12</v>
      </c>
      <c r="I119" s="937"/>
      <c r="J119" s="937"/>
      <c r="K119" s="938"/>
      <c r="L119" s="939">
        <f t="shared" ref="L119:N119" ca="1" si="60">L120+L121</f>
        <v>0</v>
      </c>
      <c r="M119" s="939">
        <f t="shared" ca="1" si="60"/>
        <v>0</v>
      </c>
      <c r="N119" s="939">
        <f t="shared" ca="1" si="60"/>
        <v>0</v>
      </c>
      <c r="O119" s="939">
        <f t="shared" ref="O119:O127" ca="1" si="61">IF(L119&gt;0,N119*100/L119,0)</f>
        <v>0</v>
      </c>
      <c r="P119" s="939">
        <f t="shared" ref="P119:P127" ca="1" si="62">IF(M119&gt;0,N119*100/M119,0)</f>
        <v>0</v>
      </c>
      <c r="Q119" s="818"/>
      <c r="R119" s="818"/>
      <c r="S119" s="818"/>
      <c r="T119" s="818"/>
      <c r="U119" s="818"/>
      <c r="V119" s="818"/>
      <c r="W119" s="818"/>
      <c r="X119" s="818"/>
      <c r="Y119" s="818"/>
      <c r="Z119" s="818"/>
    </row>
    <row r="120" spans="1:26" ht="18.75" hidden="1">
      <c r="A120" s="940"/>
      <c r="B120" s="833"/>
      <c r="C120" s="833"/>
      <c r="D120" s="833"/>
      <c r="E120" s="834" t="s">
        <v>18</v>
      </c>
      <c r="F120" s="833"/>
      <c r="G120" s="941"/>
      <c r="H120" s="158" t="s">
        <v>12</v>
      </c>
      <c r="I120" s="836"/>
      <c r="J120" s="836"/>
      <c r="K120" s="837"/>
      <c r="L120" s="837">
        <f t="shared" ref="L120:N121" si="63">L123+L126</f>
        <v>0</v>
      </c>
      <c r="M120" s="837">
        <f t="shared" si="63"/>
        <v>0</v>
      </c>
      <c r="N120" s="837">
        <f t="shared" si="63"/>
        <v>0</v>
      </c>
      <c r="O120" s="837">
        <f t="shared" si="61"/>
        <v>0</v>
      </c>
      <c r="P120" s="837">
        <f t="shared" si="62"/>
        <v>0</v>
      </c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</row>
    <row r="121" spans="1:26" ht="18.75" hidden="1">
      <c r="A121" s="940"/>
      <c r="B121" s="833"/>
      <c r="C121" s="833"/>
      <c r="D121" s="833"/>
      <c r="E121" s="834" t="s">
        <v>19</v>
      </c>
      <c r="F121" s="833"/>
      <c r="G121" s="941"/>
      <c r="H121" s="158" t="s">
        <v>12</v>
      </c>
      <c r="I121" s="836"/>
      <c r="J121" s="836"/>
      <c r="K121" s="837"/>
      <c r="L121" s="837">
        <f t="shared" ca="1" si="63"/>
        <v>0</v>
      </c>
      <c r="M121" s="837">
        <f t="shared" ca="1" si="63"/>
        <v>0</v>
      </c>
      <c r="N121" s="837">
        <f t="shared" ca="1" si="63"/>
        <v>0</v>
      </c>
      <c r="O121" s="837">
        <f t="shared" ca="1" si="61"/>
        <v>0</v>
      </c>
      <c r="P121" s="837">
        <f t="shared" ca="1" si="62"/>
        <v>0</v>
      </c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</row>
    <row r="122" spans="1:26" ht="18.75" hidden="1">
      <c r="A122" s="942"/>
      <c r="B122" s="827"/>
      <c r="C122" s="943"/>
      <c r="D122" s="828" t="s">
        <v>20</v>
      </c>
      <c r="E122" s="827"/>
      <c r="F122" s="827"/>
      <c r="G122" s="829"/>
      <c r="H122" s="778" t="s">
        <v>12</v>
      </c>
      <c r="I122" s="944"/>
      <c r="J122" s="944"/>
      <c r="K122" s="945"/>
      <c r="L122" s="831">
        <f t="shared" ref="L122:N122" ca="1" si="64">L123+L124</f>
        <v>0</v>
      </c>
      <c r="M122" s="831">
        <f t="shared" ca="1" si="64"/>
        <v>0</v>
      </c>
      <c r="N122" s="831">
        <f t="shared" ca="1" si="64"/>
        <v>0</v>
      </c>
      <c r="O122" s="831">
        <f t="shared" ca="1" si="61"/>
        <v>0</v>
      </c>
      <c r="P122" s="831">
        <f t="shared" ca="1" si="62"/>
        <v>0</v>
      </c>
      <c r="Q122" s="818"/>
      <c r="R122" s="818"/>
      <c r="S122" s="818"/>
      <c r="T122" s="818"/>
      <c r="U122" s="818"/>
      <c r="V122" s="818"/>
      <c r="W122" s="818"/>
      <c r="X122" s="818"/>
      <c r="Y122" s="818"/>
      <c r="Z122" s="818"/>
    </row>
    <row r="123" spans="1:26" ht="18.75" hidden="1">
      <c r="A123" s="940"/>
      <c r="B123" s="833"/>
      <c r="C123" s="834"/>
      <c r="D123" s="833"/>
      <c r="E123" s="834" t="s">
        <v>36</v>
      </c>
      <c r="F123" s="833"/>
      <c r="G123" s="941"/>
      <c r="H123" s="165" t="s">
        <v>12</v>
      </c>
      <c r="I123" s="947"/>
      <c r="J123" s="947"/>
      <c r="K123" s="948"/>
      <c r="L123" s="837">
        <v>0</v>
      </c>
      <c r="M123" s="837">
        <v>0</v>
      </c>
      <c r="N123" s="837">
        <v>0</v>
      </c>
      <c r="O123" s="837">
        <f t="shared" si="61"/>
        <v>0</v>
      </c>
      <c r="P123" s="837">
        <f t="shared" si="62"/>
        <v>0</v>
      </c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</row>
    <row r="124" spans="1:26" ht="18.75" hidden="1">
      <c r="A124" s="940"/>
      <c r="B124" s="833"/>
      <c r="C124" s="834"/>
      <c r="D124" s="833"/>
      <c r="E124" s="834" t="s">
        <v>37</v>
      </c>
      <c r="F124" s="833"/>
      <c r="G124" s="941"/>
      <c r="H124" s="165" t="s">
        <v>12</v>
      </c>
      <c r="I124" s="947"/>
      <c r="J124" s="947"/>
      <c r="K124" s="948"/>
      <c r="L124" s="837">
        <f ca="1">IFERROR(__xludf.DUMMYFUNCTION("IMPORTRANGE(""https://docs.google.com/spreadsheets/d/1MeEWN-I1oV_STSDYn1IFDPWt_1FKiwhDph83XaGc0o0/edit?usp=sharing"",""งบพรบ!BA18"")"),0)</f>
        <v>0</v>
      </c>
      <c r="M124" s="837">
        <f ca="1">IFERROR(__xludf.DUMMYFUNCTION("IMPORTRANGE(""https://docs.google.com/spreadsheets/d/1MeEWN-I1oV_STSDYn1IFDPWt_1FKiwhDph83XaGc0o0/edit?usp=sharing"",""งบพรบ!BF18"")"),0)</f>
        <v>0</v>
      </c>
      <c r="N124" s="837">
        <f ca="1">IFERROR(__xludf.DUMMYFUNCTION("IMPORTRANGE(""https://docs.google.com/spreadsheets/d/1MeEWN-I1oV_STSDYn1IFDPWt_1FKiwhDph83XaGc0o0/edit?usp=sharing"",""งบพรบ!BH18"")"),0)</f>
        <v>0</v>
      </c>
      <c r="O124" s="837">
        <f t="shared" ca="1" si="61"/>
        <v>0</v>
      </c>
      <c r="P124" s="837">
        <f t="shared" ca="1" si="62"/>
        <v>0</v>
      </c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</row>
    <row r="125" spans="1:26" ht="18.75" hidden="1">
      <c r="A125" s="942"/>
      <c r="B125" s="827"/>
      <c r="C125" s="943"/>
      <c r="D125" s="828" t="s">
        <v>21</v>
      </c>
      <c r="E125" s="827"/>
      <c r="F125" s="827"/>
      <c r="G125" s="829"/>
      <c r="H125" s="168" t="s">
        <v>12</v>
      </c>
      <c r="I125" s="944"/>
      <c r="J125" s="944"/>
      <c r="K125" s="945"/>
      <c r="L125" s="831">
        <f t="shared" ref="L125:N125" ca="1" si="65">L126+L127</f>
        <v>0</v>
      </c>
      <c r="M125" s="831">
        <f t="shared" ca="1" si="65"/>
        <v>0</v>
      </c>
      <c r="N125" s="831">
        <f t="shared" ca="1" si="65"/>
        <v>0</v>
      </c>
      <c r="O125" s="831">
        <f t="shared" ca="1" si="61"/>
        <v>0</v>
      </c>
      <c r="P125" s="831">
        <f t="shared" ca="1" si="62"/>
        <v>0</v>
      </c>
      <c r="Q125" s="818"/>
      <c r="R125" s="818"/>
      <c r="S125" s="818"/>
      <c r="T125" s="818"/>
      <c r="U125" s="818"/>
      <c r="V125" s="818"/>
      <c r="W125" s="818"/>
      <c r="X125" s="818"/>
      <c r="Y125" s="818"/>
      <c r="Z125" s="818"/>
    </row>
    <row r="126" spans="1:26" ht="19.5" hidden="1">
      <c r="A126" s="940"/>
      <c r="B126" s="833"/>
      <c r="C126" s="946"/>
      <c r="D126" s="833"/>
      <c r="E126" s="834" t="s">
        <v>18</v>
      </c>
      <c r="F126" s="833"/>
      <c r="G126" s="941"/>
      <c r="H126" s="165" t="s">
        <v>12</v>
      </c>
      <c r="I126" s="947"/>
      <c r="J126" s="947"/>
      <c r="K126" s="948"/>
      <c r="L126" s="837">
        <v>0</v>
      </c>
      <c r="M126" s="837">
        <v>0</v>
      </c>
      <c r="N126" s="837">
        <v>0</v>
      </c>
      <c r="O126" s="837">
        <f t="shared" si="61"/>
        <v>0</v>
      </c>
      <c r="P126" s="837">
        <f t="shared" si="62"/>
        <v>0</v>
      </c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</row>
    <row r="127" spans="1:26" ht="19.5" hidden="1">
      <c r="A127" s="940"/>
      <c r="B127" s="833"/>
      <c r="C127" s="946"/>
      <c r="D127" s="833"/>
      <c r="E127" s="834" t="s">
        <v>19</v>
      </c>
      <c r="F127" s="833"/>
      <c r="G127" s="941"/>
      <c r="H127" s="169" t="s">
        <v>12</v>
      </c>
      <c r="I127" s="947"/>
      <c r="J127" s="947"/>
      <c r="K127" s="948"/>
      <c r="L127" s="837">
        <f ca="1">IFERROR(__xludf.DUMMYFUNCTION("IMPORTRANGE(""https://docs.google.com/spreadsheets/d/1MeEWN-I1oV_STSDYn1IFDPWt_1FKiwhDph83XaGc0o0/edit?usp=sharing"",""งบพรบ!BD18"")"),0)</f>
        <v>0</v>
      </c>
      <c r="M127" s="837">
        <f ca="1">IFERROR(__xludf.DUMMYFUNCTION("IMPORTRANGE(""https://docs.google.com/spreadsheets/d/1MeEWN-I1oV_STSDYn1IFDPWt_1FKiwhDph83XaGc0o0/edit?usp=sharing"",""งบพรบ!BG18"")"),0)</f>
        <v>0</v>
      </c>
      <c r="N127" s="837">
        <f ca="1">IFERROR(__xludf.DUMMYFUNCTION("IMPORTRANGE(""https://docs.google.com/spreadsheets/d/1MeEWN-I1oV_STSDYn1IFDPWt_1FKiwhDph83XaGc0o0/edit?usp=sharing"",""งบพรบ!BI18"")"),0)</f>
        <v>0</v>
      </c>
      <c r="O127" s="837">
        <f t="shared" ca="1" si="61"/>
        <v>0</v>
      </c>
      <c r="P127" s="837">
        <f t="shared" ca="1" si="62"/>
        <v>0</v>
      </c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</row>
    <row r="128" spans="1:26" ht="19.5">
      <c r="A128" s="917" t="s">
        <v>67</v>
      </c>
      <c r="B128" s="918"/>
      <c r="C128" s="969"/>
      <c r="D128" s="918"/>
      <c r="E128" s="918"/>
      <c r="F128" s="918"/>
      <c r="G128" s="918"/>
      <c r="H128" s="970"/>
      <c r="I128" s="971"/>
      <c r="J128" s="971"/>
      <c r="K128" s="972"/>
      <c r="L128" s="923"/>
      <c r="M128" s="923"/>
      <c r="N128" s="923"/>
      <c r="O128" s="923"/>
      <c r="P128" s="923"/>
    </row>
    <row r="129" spans="1:26" ht="19.5">
      <c r="A129" s="924"/>
      <c r="B129" s="925" t="s">
        <v>68</v>
      </c>
      <c r="C129" s="973"/>
      <c r="D129" s="927"/>
      <c r="E129" s="926"/>
      <c r="F129" s="926"/>
      <c r="G129" s="926"/>
      <c r="H129" s="207"/>
      <c r="I129" s="974"/>
      <c r="J129" s="974"/>
      <c r="K129" s="931"/>
      <c r="L129" s="931"/>
      <c r="M129" s="931"/>
      <c r="N129" s="931"/>
      <c r="O129" s="931"/>
      <c r="P129" s="931"/>
    </row>
    <row r="130" spans="1:26" ht="19.5">
      <c r="A130" s="924"/>
      <c r="B130" s="925"/>
      <c r="C130" s="975" t="s">
        <v>69</v>
      </c>
      <c r="D130" s="927"/>
      <c r="E130" s="926"/>
      <c r="F130" s="926"/>
      <c r="G130" s="928"/>
      <c r="H130" s="205" t="s">
        <v>66</v>
      </c>
      <c r="I130" s="929">
        <f t="shared" ref="I130:J130" ca="1" si="66">I146</f>
        <v>1</v>
      </c>
      <c r="J130" s="929">
        <f t="shared" si="66"/>
        <v>1</v>
      </c>
      <c r="K130" s="930">
        <f t="shared" ref="K130:K131" ca="1" si="67">IF(I130&gt;0,J130*100/I130,0)</f>
        <v>100</v>
      </c>
      <c r="L130" s="931"/>
      <c r="M130" s="931"/>
      <c r="N130" s="931"/>
      <c r="O130" s="931"/>
      <c r="P130" s="931"/>
    </row>
    <row r="131" spans="1:26" ht="19.5">
      <c r="A131" s="924"/>
      <c r="B131" s="925"/>
      <c r="C131" s="975" t="s">
        <v>70</v>
      </c>
      <c r="D131" s="927"/>
      <c r="E131" s="926"/>
      <c r="F131" s="926"/>
      <c r="G131" s="928"/>
      <c r="H131" s="205" t="s">
        <v>35</v>
      </c>
      <c r="I131" s="929">
        <f t="shared" ref="I131:J131" ca="1" si="68">I143</f>
        <v>10</v>
      </c>
      <c r="J131" s="929">
        <f t="shared" ca="1" si="68"/>
        <v>10</v>
      </c>
      <c r="K131" s="930">
        <f t="shared" ca="1" si="67"/>
        <v>100</v>
      </c>
      <c r="L131" s="931"/>
      <c r="M131" s="931"/>
      <c r="N131" s="931"/>
      <c r="O131" s="931"/>
      <c r="P131" s="931"/>
    </row>
    <row r="132" spans="1:26" ht="19.5">
      <c r="A132" s="932"/>
      <c r="B132" s="933"/>
      <c r="C132" s="934" t="s">
        <v>16</v>
      </c>
      <c r="D132" s="935" t="s">
        <v>17</v>
      </c>
      <c r="E132" s="933"/>
      <c r="F132" s="933"/>
      <c r="G132" s="936"/>
      <c r="H132" s="152" t="s">
        <v>12</v>
      </c>
      <c r="I132" s="937"/>
      <c r="J132" s="937"/>
      <c r="K132" s="938"/>
      <c r="L132" s="939">
        <f t="shared" ref="L132:N132" ca="1" si="69">L133+L134</f>
        <v>239255</v>
      </c>
      <c r="M132" s="939">
        <f t="shared" ca="1" si="69"/>
        <v>212600</v>
      </c>
      <c r="N132" s="939">
        <f t="shared" ca="1" si="69"/>
        <v>166364</v>
      </c>
      <c r="O132" s="939">
        <f t="shared" ref="O132:O140" ca="1" si="70">IF(L132&gt;0,N132*100/L132,0)</f>
        <v>69.534179014022698</v>
      </c>
      <c r="P132" s="939">
        <f t="shared" ref="P132:P140" ca="1" si="71">IF(M132&gt;0,N132*100/M132,0)</f>
        <v>78.252116650987773</v>
      </c>
      <c r="Q132" s="818"/>
      <c r="R132" s="818"/>
      <c r="S132" s="818"/>
      <c r="T132" s="818"/>
      <c r="U132" s="818"/>
      <c r="V132" s="818"/>
      <c r="W132" s="818"/>
      <c r="X132" s="818"/>
      <c r="Y132" s="818"/>
      <c r="Z132" s="818"/>
    </row>
    <row r="133" spans="1:26" ht="18.75" hidden="1">
      <c r="A133" s="940"/>
      <c r="B133" s="833"/>
      <c r="C133" s="833"/>
      <c r="D133" s="833"/>
      <c r="E133" s="834" t="s">
        <v>18</v>
      </c>
      <c r="F133" s="833"/>
      <c r="G133" s="941"/>
      <c r="H133" s="158" t="s">
        <v>12</v>
      </c>
      <c r="I133" s="836"/>
      <c r="J133" s="836"/>
      <c r="K133" s="837"/>
      <c r="L133" s="837">
        <f t="shared" ref="L133:N134" si="72">L136+L139</f>
        <v>0</v>
      </c>
      <c r="M133" s="837">
        <f t="shared" si="72"/>
        <v>0</v>
      </c>
      <c r="N133" s="837">
        <f t="shared" si="72"/>
        <v>0</v>
      </c>
      <c r="O133" s="837">
        <f t="shared" si="70"/>
        <v>0</v>
      </c>
      <c r="P133" s="837">
        <f t="shared" si="71"/>
        <v>0</v>
      </c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</row>
    <row r="134" spans="1:26" ht="18.75" hidden="1">
      <c r="A134" s="940"/>
      <c r="B134" s="833"/>
      <c r="C134" s="833"/>
      <c r="D134" s="833"/>
      <c r="E134" s="834" t="s">
        <v>19</v>
      </c>
      <c r="F134" s="833"/>
      <c r="G134" s="941"/>
      <c r="H134" s="158" t="s">
        <v>12</v>
      </c>
      <c r="I134" s="836"/>
      <c r="J134" s="836"/>
      <c r="K134" s="837"/>
      <c r="L134" s="837">
        <f t="shared" ca="1" si="72"/>
        <v>239255</v>
      </c>
      <c r="M134" s="837">
        <f t="shared" ca="1" si="72"/>
        <v>212600</v>
      </c>
      <c r="N134" s="837">
        <f t="shared" ca="1" si="72"/>
        <v>166364</v>
      </c>
      <c r="O134" s="837">
        <f t="shared" ca="1" si="70"/>
        <v>69.534179014022698</v>
      </c>
      <c r="P134" s="837">
        <f t="shared" ca="1" si="71"/>
        <v>78.252116650987773</v>
      </c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</row>
    <row r="135" spans="1:26" ht="18.75">
      <c r="A135" s="942"/>
      <c r="B135" s="827"/>
      <c r="C135" s="943"/>
      <c r="D135" s="828" t="s">
        <v>20</v>
      </c>
      <c r="E135" s="827"/>
      <c r="F135" s="827"/>
      <c r="G135" s="829"/>
      <c r="H135" s="778" t="s">
        <v>12</v>
      </c>
      <c r="I135" s="944"/>
      <c r="J135" s="944"/>
      <c r="K135" s="945"/>
      <c r="L135" s="831">
        <f t="shared" ref="L135:N135" ca="1" si="73">L136+L137</f>
        <v>136255</v>
      </c>
      <c r="M135" s="831">
        <f t="shared" ca="1" si="73"/>
        <v>109600</v>
      </c>
      <c r="N135" s="831">
        <f t="shared" ca="1" si="73"/>
        <v>63364</v>
      </c>
      <c r="O135" s="831">
        <f t="shared" ca="1" si="70"/>
        <v>46.503981505265862</v>
      </c>
      <c r="P135" s="831">
        <f t="shared" ca="1" si="71"/>
        <v>57.813868613138688</v>
      </c>
      <c r="Q135" s="818"/>
      <c r="R135" s="818"/>
      <c r="S135" s="818"/>
      <c r="T135" s="818"/>
      <c r="U135" s="818"/>
      <c r="V135" s="818"/>
      <c r="W135" s="818"/>
      <c r="X135" s="818"/>
      <c r="Y135" s="818"/>
      <c r="Z135" s="818"/>
    </row>
    <row r="136" spans="1:26" ht="19.5" hidden="1">
      <c r="A136" s="940"/>
      <c r="B136" s="833"/>
      <c r="C136" s="946"/>
      <c r="D136" s="833"/>
      <c r="E136" s="834" t="s">
        <v>36</v>
      </c>
      <c r="F136" s="833"/>
      <c r="G136" s="941"/>
      <c r="H136" s="165" t="s">
        <v>12</v>
      </c>
      <c r="I136" s="947"/>
      <c r="J136" s="947"/>
      <c r="K136" s="948"/>
      <c r="L136" s="837">
        <v>0</v>
      </c>
      <c r="M136" s="837">
        <v>0</v>
      </c>
      <c r="N136" s="837">
        <v>0</v>
      </c>
      <c r="O136" s="837">
        <f t="shared" si="70"/>
        <v>0</v>
      </c>
      <c r="P136" s="837">
        <f t="shared" si="71"/>
        <v>0</v>
      </c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</row>
    <row r="137" spans="1:26" ht="19.5" hidden="1">
      <c r="A137" s="940"/>
      <c r="B137" s="833"/>
      <c r="C137" s="946"/>
      <c r="D137" s="833"/>
      <c r="E137" s="834" t="s">
        <v>37</v>
      </c>
      <c r="F137" s="833"/>
      <c r="G137" s="941"/>
      <c r="H137" s="165" t="s">
        <v>12</v>
      </c>
      <c r="I137" s="947"/>
      <c r="J137" s="947"/>
      <c r="K137" s="948"/>
      <c r="L137" s="837">
        <f ca="1">IFERROR(__xludf.DUMMYFUNCTION("IMPORTRANGE(""https://docs.google.com/spreadsheets/d/1MeEWN-I1oV_STSDYn1IFDPWt_1FKiwhDph83XaGc0o0/edit?usp=sharing"",""งบพรบ!BK18"")"),136255)</f>
        <v>136255</v>
      </c>
      <c r="M137" s="837">
        <f ca="1">IFERROR(__xludf.DUMMYFUNCTION("IMPORTRANGE(""https://docs.google.com/spreadsheets/d/1MeEWN-I1oV_STSDYn1IFDPWt_1FKiwhDph83XaGc0o0/edit?usp=sharing"",""งบพรบ!BP18"")"),109600)</f>
        <v>109600</v>
      </c>
      <c r="N137" s="837">
        <f ca="1">IFERROR(__xludf.DUMMYFUNCTION("IMPORTRANGE(""https://docs.google.com/spreadsheets/d/1MeEWN-I1oV_STSDYn1IFDPWt_1FKiwhDph83XaGc0o0/edit?usp=sharing"",""งบพรบ!BR18"")"),63364)</f>
        <v>63364</v>
      </c>
      <c r="O137" s="837">
        <f t="shared" ca="1" si="70"/>
        <v>46.503981505265862</v>
      </c>
      <c r="P137" s="837">
        <f t="shared" ca="1" si="71"/>
        <v>57.813868613138688</v>
      </c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</row>
    <row r="138" spans="1:26" ht="18.75">
      <c r="A138" s="942"/>
      <c r="B138" s="827"/>
      <c r="C138" s="943"/>
      <c r="D138" s="828" t="s">
        <v>21</v>
      </c>
      <c r="E138" s="827"/>
      <c r="F138" s="827"/>
      <c r="G138" s="829"/>
      <c r="H138" s="168" t="s">
        <v>12</v>
      </c>
      <c r="I138" s="944"/>
      <c r="J138" s="944"/>
      <c r="K138" s="945"/>
      <c r="L138" s="831">
        <f t="shared" ref="L138:N138" ca="1" si="74">L139+L140</f>
        <v>103000</v>
      </c>
      <c r="M138" s="831">
        <f t="shared" ca="1" si="74"/>
        <v>103000</v>
      </c>
      <c r="N138" s="831">
        <f t="shared" ca="1" si="74"/>
        <v>103000</v>
      </c>
      <c r="O138" s="831">
        <f t="shared" ca="1" si="70"/>
        <v>100</v>
      </c>
      <c r="P138" s="831">
        <f t="shared" ca="1" si="71"/>
        <v>100</v>
      </c>
      <c r="Q138" s="818"/>
      <c r="R138" s="818"/>
      <c r="S138" s="818"/>
      <c r="T138" s="818"/>
      <c r="U138" s="818"/>
      <c r="V138" s="818"/>
      <c r="W138" s="818"/>
      <c r="X138" s="818"/>
      <c r="Y138" s="818"/>
      <c r="Z138" s="818"/>
    </row>
    <row r="139" spans="1:26" ht="19.5" hidden="1">
      <c r="A139" s="940"/>
      <c r="B139" s="833"/>
      <c r="C139" s="946"/>
      <c r="D139" s="833"/>
      <c r="E139" s="834" t="s">
        <v>18</v>
      </c>
      <c r="F139" s="833"/>
      <c r="G139" s="941"/>
      <c r="H139" s="165" t="s">
        <v>12</v>
      </c>
      <c r="I139" s="947"/>
      <c r="J139" s="947"/>
      <c r="K139" s="948"/>
      <c r="L139" s="837">
        <v>0</v>
      </c>
      <c r="M139" s="837">
        <v>0</v>
      </c>
      <c r="N139" s="837">
        <v>0</v>
      </c>
      <c r="O139" s="837">
        <f t="shared" si="70"/>
        <v>0</v>
      </c>
      <c r="P139" s="837">
        <f t="shared" si="71"/>
        <v>0</v>
      </c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</row>
    <row r="140" spans="1:26" ht="19.5" hidden="1">
      <c r="A140" s="940"/>
      <c r="B140" s="833"/>
      <c r="C140" s="946"/>
      <c r="D140" s="833"/>
      <c r="E140" s="834" t="s">
        <v>19</v>
      </c>
      <c r="F140" s="833"/>
      <c r="G140" s="941"/>
      <c r="H140" s="169" t="s">
        <v>12</v>
      </c>
      <c r="I140" s="947"/>
      <c r="J140" s="947"/>
      <c r="K140" s="948"/>
      <c r="L140" s="837">
        <f ca="1">IFERROR(__xludf.DUMMYFUNCTION("IMPORTRANGE(""https://docs.google.com/spreadsheets/d/1MeEWN-I1oV_STSDYn1IFDPWt_1FKiwhDph83XaGc0o0/edit?usp=sharing"",""งบพรบ!BN18"")"),103000)</f>
        <v>103000</v>
      </c>
      <c r="M140" s="837">
        <f ca="1">IFERROR(__xludf.DUMMYFUNCTION("IMPORTRANGE(""https://docs.google.com/spreadsheets/d/1MeEWN-I1oV_STSDYn1IFDPWt_1FKiwhDph83XaGc0o0/edit?usp=sharing"",""งบพรบ!BQ18"")"),103000)</f>
        <v>103000</v>
      </c>
      <c r="N140" s="837">
        <f ca="1">IFERROR(__xludf.DUMMYFUNCTION("IMPORTRANGE(""https://docs.google.com/spreadsheets/d/1MeEWN-I1oV_STSDYn1IFDPWt_1FKiwhDph83XaGc0o0/edit?usp=sharing"",""งบพรบ!BS18"")"),103000)</f>
        <v>103000</v>
      </c>
      <c r="O140" s="837">
        <f t="shared" ca="1" si="70"/>
        <v>100</v>
      </c>
      <c r="P140" s="837">
        <f t="shared" ca="1" si="71"/>
        <v>100</v>
      </c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</row>
    <row r="141" spans="1:26" ht="19.5">
      <c r="A141" s="949"/>
      <c r="B141" s="950"/>
      <c r="C141" s="934" t="s">
        <v>16</v>
      </c>
      <c r="D141" s="951" t="s">
        <v>38</v>
      </c>
      <c r="E141" s="952"/>
      <c r="F141" s="952"/>
      <c r="G141" s="953"/>
      <c r="H141" s="168"/>
      <c r="I141" s="830"/>
      <c r="J141" s="830"/>
      <c r="K141" s="831"/>
      <c r="L141" s="831"/>
      <c r="M141" s="831"/>
      <c r="N141" s="831"/>
      <c r="O141" s="831"/>
      <c r="P141" s="831"/>
    </row>
    <row r="142" spans="1:26" ht="19.5">
      <c r="A142" s="942"/>
      <c r="B142" s="827"/>
      <c r="C142" s="976"/>
      <c r="D142" s="943" t="s">
        <v>71</v>
      </c>
      <c r="E142" s="828"/>
      <c r="F142" s="827"/>
      <c r="G142" s="977"/>
      <c r="H142" s="168"/>
      <c r="I142" s="830"/>
      <c r="J142" s="959">
        <v>0</v>
      </c>
      <c r="K142" s="831"/>
      <c r="L142" s="831"/>
      <c r="M142" s="831"/>
      <c r="N142" s="831"/>
      <c r="O142" s="831"/>
      <c r="P142" s="831"/>
    </row>
    <row r="143" spans="1:26" ht="19.5">
      <c r="A143" s="942"/>
      <c r="B143" s="827"/>
      <c r="C143" s="976"/>
      <c r="D143" s="943" t="s">
        <v>72</v>
      </c>
      <c r="E143" s="828"/>
      <c r="F143" s="827"/>
      <c r="G143" s="977"/>
      <c r="H143" s="168" t="s">
        <v>35</v>
      </c>
      <c r="I143" s="830">
        <f ca="1">I145</f>
        <v>10</v>
      </c>
      <c r="J143" s="830">
        <f ca="1">IF(AND(J144&gt;=I144,J145&gt;=I145),J145,0)</f>
        <v>10</v>
      </c>
      <c r="K143" s="831">
        <f t="shared" ref="K143:K146" ca="1" si="75">IF(I143&gt;0,J143*100/I143,0)</f>
        <v>100</v>
      </c>
      <c r="L143" s="831"/>
      <c r="M143" s="831"/>
      <c r="N143" s="831"/>
      <c r="O143" s="831"/>
      <c r="P143" s="831"/>
    </row>
    <row r="144" spans="1:26" ht="19.5">
      <c r="A144" s="942"/>
      <c r="B144" s="827"/>
      <c r="C144" s="976"/>
      <c r="D144" s="957"/>
      <c r="E144" s="943" t="s">
        <v>73</v>
      </c>
      <c r="F144" s="827"/>
      <c r="G144" s="977"/>
      <c r="H144" s="168" t="s">
        <v>35</v>
      </c>
      <c r="I144" s="830">
        <f ca="1">IFERROR(__xludf.DUMMYFUNCTION("IMPORTRANGE(""https://docs.google.com/spreadsheets/d/1QqKyyYR6Q21VydFLVH3TRQUabQu_ym0Zz7PgGX0-kHA/edit?usp=sharing"",""แผน!U18"")"),5)</f>
        <v>5</v>
      </c>
      <c r="J144" s="959">
        <v>5</v>
      </c>
      <c r="K144" s="831">
        <f t="shared" ca="1" si="75"/>
        <v>100</v>
      </c>
      <c r="L144" s="831"/>
      <c r="M144" s="831"/>
      <c r="N144" s="831"/>
      <c r="O144" s="831"/>
      <c r="P144" s="831"/>
    </row>
    <row r="145" spans="1:26" ht="19.5">
      <c r="A145" s="942"/>
      <c r="B145" s="827"/>
      <c r="C145" s="976"/>
      <c r="D145" s="957"/>
      <c r="E145" s="943" t="s">
        <v>74</v>
      </c>
      <c r="F145" s="827"/>
      <c r="G145" s="977"/>
      <c r="H145" s="168" t="s">
        <v>35</v>
      </c>
      <c r="I145" s="830">
        <f ca="1">IFERROR(__xludf.DUMMYFUNCTION("IMPORTRANGE(""https://docs.google.com/spreadsheets/d/1QqKyyYR6Q21VydFLVH3TRQUabQu_ym0Zz7PgGX0-kHA/edit?usp=sharing"",""แผน!V18"")"),10)</f>
        <v>10</v>
      </c>
      <c r="J145" s="959">
        <v>10</v>
      </c>
      <c r="K145" s="831">
        <f t="shared" ca="1" si="75"/>
        <v>100</v>
      </c>
      <c r="L145" s="831"/>
      <c r="M145" s="831"/>
      <c r="N145" s="831"/>
      <c r="O145" s="831"/>
      <c r="P145" s="831"/>
    </row>
    <row r="146" spans="1:26" ht="19.5">
      <c r="A146" s="942"/>
      <c r="B146" s="827"/>
      <c r="C146" s="976"/>
      <c r="D146" s="943" t="s">
        <v>75</v>
      </c>
      <c r="E146" s="828"/>
      <c r="F146" s="827"/>
      <c r="G146" s="977"/>
      <c r="H146" s="168" t="s">
        <v>66</v>
      </c>
      <c r="I146" s="830">
        <f ca="1">IFERROR(__xludf.DUMMYFUNCTION("IMPORTRANGE(""https://docs.google.com/spreadsheets/d/1QqKyyYR6Q21VydFLVH3TRQUabQu_ym0Zz7PgGX0-kHA/edit?usp=sharing"",""แผน!W18"")"),1)</f>
        <v>1</v>
      </c>
      <c r="J146" s="959">
        <v>1</v>
      </c>
      <c r="K146" s="831">
        <f t="shared" ca="1" si="75"/>
        <v>100</v>
      </c>
      <c r="L146" s="831"/>
      <c r="M146" s="831"/>
      <c r="N146" s="831"/>
      <c r="O146" s="831"/>
      <c r="P146" s="831"/>
    </row>
    <row r="147" spans="1:26" ht="19.5">
      <c r="A147" s="917" t="s">
        <v>76</v>
      </c>
      <c r="B147" s="918"/>
      <c r="C147" s="969"/>
      <c r="D147" s="918"/>
      <c r="E147" s="918"/>
      <c r="F147" s="918"/>
      <c r="G147" s="918"/>
      <c r="H147" s="970"/>
      <c r="I147" s="971"/>
      <c r="J147" s="971"/>
      <c r="K147" s="972"/>
      <c r="L147" s="923"/>
      <c r="M147" s="923"/>
      <c r="N147" s="923"/>
      <c r="O147" s="923"/>
      <c r="P147" s="923"/>
    </row>
    <row r="148" spans="1:26" ht="19.5">
      <c r="A148" s="978"/>
      <c r="B148" s="925" t="s">
        <v>77</v>
      </c>
      <c r="C148" s="925"/>
      <c r="D148" s="925"/>
      <c r="E148" s="979"/>
      <c r="F148" s="980"/>
      <c r="G148" s="981"/>
      <c r="H148" s="221" t="s">
        <v>35</v>
      </c>
      <c r="I148" s="929">
        <f t="shared" ref="I148:J148" ca="1" si="76">I159</f>
        <v>20</v>
      </c>
      <c r="J148" s="929">
        <f t="shared" si="76"/>
        <v>20</v>
      </c>
      <c r="K148" s="930">
        <f ca="1">IF(I148&gt;0,J148*100/I148,0)</f>
        <v>100</v>
      </c>
      <c r="L148" s="930"/>
      <c r="M148" s="930"/>
      <c r="N148" s="930"/>
      <c r="O148" s="930"/>
      <c r="P148" s="930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32"/>
      <c r="B149" s="933"/>
      <c r="C149" s="934" t="s">
        <v>16</v>
      </c>
      <c r="D149" s="935" t="s">
        <v>17</v>
      </c>
      <c r="E149" s="933"/>
      <c r="F149" s="933"/>
      <c r="G149" s="936"/>
      <c r="H149" s="152" t="s">
        <v>12</v>
      </c>
      <c r="I149" s="937"/>
      <c r="J149" s="937"/>
      <c r="K149" s="938"/>
      <c r="L149" s="939">
        <f t="shared" ref="L149:N149" ca="1" si="77">L150+L151</f>
        <v>10000</v>
      </c>
      <c r="M149" s="939">
        <f t="shared" ca="1" si="77"/>
        <v>12000</v>
      </c>
      <c r="N149" s="939">
        <f t="shared" ca="1" si="77"/>
        <v>11730</v>
      </c>
      <c r="O149" s="939">
        <f t="shared" ref="O149:O157" ca="1" si="78">IF(L149&gt;0,N149*100/L149,0)</f>
        <v>117.3</v>
      </c>
      <c r="P149" s="939">
        <f t="shared" ref="P149:P157" ca="1" si="79">IF(M149&gt;0,N149*100/M149,0)</f>
        <v>97.75</v>
      </c>
      <c r="Q149" s="818"/>
      <c r="R149" s="818"/>
      <c r="S149" s="818"/>
      <c r="T149" s="818"/>
      <c r="U149" s="818"/>
      <c r="V149" s="818"/>
      <c r="W149" s="818"/>
      <c r="X149" s="818"/>
      <c r="Y149" s="818"/>
      <c r="Z149" s="818"/>
    </row>
    <row r="150" spans="1:26" ht="18.75" hidden="1">
      <c r="A150" s="940"/>
      <c r="B150" s="833"/>
      <c r="C150" s="833"/>
      <c r="D150" s="833"/>
      <c r="E150" s="834" t="s">
        <v>18</v>
      </c>
      <c r="F150" s="833"/>
      <c r="G150" s="941"/>
      <c r="H150" s="158" t="s">
        <v>12</v>
      </c>
      <c r="I150" s="836"/>
      <c r="J150" s="836"/>
      <c r="K150" s="837"/>
      <c r="L150" s="837">
        <f t="shared" ref="L150:N151" si="80">L153+L156</f>
        <v>0</v>
      </c>
      <c r="M150" s="837">
        <f t="shared" si="80"/>
        <v>0</v>
      </c>
      <c r="N150" s="837">
        <f t="shared" si="80"/>
        <v>0</v>
      </c>
      <c r="O150" s="837">
        <f t="shared" si="78"/>
        <v>0</v>
      </c>
      <c r="P150" s="837">
        <f t="shared" si="79"/>
        <v>0</v>
      </c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</row>
    <row r="151" spans="1:26" ht="18.75" hidden="1">
      <c r="A151" s="940"/>
      <c r="B151" s="833"/>
      <c r="C151" s="833"/>
      <c r="D151" s="833"/>
      <c r="E151" s="834" t="s">
        <v>19</v>
      </c>
      <c r="F151" s="833"/>
      <c r="G151" s="941"/>
      <c r="H151" s="158" t="s">
        <v>12</v>
      </c>
      <c r="I151" s="836"/>
      <c r="J151" s="836"/>
      <c r="K151" s="837"/>
      <c r="L151" s="837">
        <f t="shared" ca="1" si="80"/>
        <v>10000</v>
      </c>
      <c r="M151" s="837">
        <f t="shared" ca="1" si="80"/>
        <v>12000</v>
      </c>
      <c r="N151" s="837">
        <f t="shared" ca="1" si="80"/>
        <v>11730</v>
      </c>
      <c r="O151" s="837">
        <f t="shared" ca="1" si="78"/>
        <v>117.3</v>
      </c>
      <c r="P151" s="837">
        <f t="shared" ca="1" si="79"/>
        <v>97.75</v>
      </c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</row>
    <row r="152" spans="1:26" ht="18.75">
      <c r="A152" s="942"/>
      <c r="B152" s="827"/>
      <c r="C152" s="943"/>
      <c r="D152" s="828" t="s">
        <v>20</v>
      </c>
      <c r="E152" s="827"/>
      <c r="F152" s="827"/>
      <c r="G152" s="829"/>
      <c r="H152" s="778" t="s">
        <v>12</v>
      </c>
      <c r="I152" s="944"/>
      <c r="J152" s="944"/>
      <c r="K152" s="945"/>
      <c r="L152" s="831">
        <f t="shared" ref="L152:N152" ca="1" si="81">L153+L154</f>
        <v>10000</v>
      </c>
      <c r="M152" s="831">
        <f t="shared" ca="1" si="81"/>
        <v>12000</v>
      </c>
      <c r="N152" s="831">
        <f t="shared" ca="1" si="81"/>
        <v>11730</v>
      </c>
      <c r="O152" s="831">
        <f t="shared" ca="1" si="78"/>
        <v>117.3</v>
      </c>
      <c r="P152" s="831">
        <f t="shared" ca="1" si="79"/>
        <v>97.75</v>
      </c>
      <c r="Q152" s="818"/>
      <c r="R152" s="818"/>
      <c r="S152" s="818"/>
      <c r="T152" s="818"/>
      <c r="U152" s="818"/>
      <c r="V152" s="818"/>
      <c r="W152" s="818"/>
      <c r="X152" s="818"/>
      <c r="Y152" s="818"/>
      <c r="Z152" s="818"/>
    </row>
    <row r="153" spans="1:26" ht="19.5" hidden="1">
      <c r="A153" s="940"/>
      <c r="B153" s="833"/>
      <c r="C153" s="946"/>
      <c r="D153" s="833"/>
      <c r="E153" s="834" t="s">
        <v>36</v>
      </c>
      <c r="F153" s="833"/>
      <c r="G153" s="941"/>
      <c r="H153" s="165" t="s">
        <v>12</v>
      </c>
      <c r="I153" s="947"/>
      <c r="J153" s="947"/>
      <c r="K153" s="948"/>
      <c r="L153" s="837">
        <v>0</v>
      </c>
      <c r="M153" s="837">
        <v>0</v>
      </c>
      <c r="N153" s="837">
        <v>0</v>
      </c>
      <c r="O153" s="837">
        <f t="shared" si="78"/>
        <v>0</v>
      </c>
      <c r="P153" s="837">
        <f t="shared" si="79"/>
        <v>0</v>
      </c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</row>
    <row r="154" spans="1:26" ht="19.5" hidden="1">
      <c r="A154" s="940"/>
      <c r="B154" s="833"/>
      <c r="C154" s="946"/>
      <c r="D154" s="833"/>
      <c r="E154" s="834" t="s">
        <v>37</v>
      </c>
      <c r="F154" s="833"/>
      <c r="G154" s="941"/>
      <c r="H154" s="165" t="s">
        <v>12</v>
      </c>
      <c r="I154" s="947"/>
      <c r="J154" s="947"/>
      <c r="K154" s="948"/>
      <c r="L154" s="837">
        <f ca="1">IFERROR(__xludf.DUMMYFUNCTION("IMPORTRANGE(""https://docs.google.com/spreadsheets/d/1MeEWN-I1oV_STSDYn1IFDPWt_1FKiwhDph83XaGc0o0/edit?usp=sharing"",""งบพรบ!BU18"")"),10000)</f>
        <v>10000</v>
      </c>
      <c r="M154" s="837">
        <f ca="1">IFERROR(__xludf.DUMMYFUNCTION("IMPORTRANGE(""https://docs.google.com/spreadsheets/d/1MeEWN-I1oV_STSDYn1IFDPWt_1FKiwhDph83XaGc0o0/edit?usp=sharing"",""งบพรบ!BZ18"")"),12000)</f>
        <v>12000</v>
      </c>
      <c r="N154" s="837">
        <f ca="1">IFERROR(__xludf.DUMMYFUNCTION("IMPORTRANGE(""https://docs.google.com/spreadsheets/d/1MeEWN-I1oV_STSDYn1IFDPWt_1FKiwhDph83XaGc0o0/edit?usp=sharing"",""งบพรบ!CB18"")"),11730)</f>
        <v>11730</v>
      </c>
      <c r="O154" s="837">
        <f t="shared" ca="1" si="78"/>
        <v>117.3</v>
      </c>
      <c r="P154" s="837">
        <f t="shared" ca="1" si="79"/>
        <v>97.75</v>
      </c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</row>
    <row r="155" spans="1:26" ht="18.75">
      <c r="A155" s="942"/>
      <c r="B155" s="827"/>
      <c r="C155" s="943"/>
      <c r="D155" s="828" t="s">
        <v>21</v>
      </c>
      <c r="E155" s="827"/>
      <c r="F155" s="827"/>
      <c r="G155" s="829"/>
      <c r="H155" s="168" t="s">
        <v>12</v>
      </c>
      <c r="I155" s="944"/>
      <c r="J155" s="944"/>
      <c r="K155" s="945"/>
      <c r="L155" s="831">
        <f t="shared" ref="L155:N155" ca="1" si="82">L156+L157</f>
        <v>0</v>
      </c>
      <c r="M155" s="831">
        <f t="shared" ca="1" si="82"/>
        <v>0</v>
      </c>
      <c r="N155" s="831">
        <f t="shared" ca="1" si="82"/>
        <v>0</v>
      </c>
      <c r="O155" s="831">
        <f t="shared" ca="1" si="78"/>
        <v>0</v>
      </c>
      <c r="P155" s="831">
        <f t="shared" ca="1" si="79"/>
        <v>0</v>
      </c>
      <c r="Q155" s="818"/>
      <c r="R155" s="818"/>
      <c r="S155" s="818"/>
      <c r="T155" s="818"/>
      <c r="U155" s="818"/>
      <c r="V155" s="818"/>
      <c r="W155" s="818"/>
      <c r="X155" s="818"/>
      <c r="Y155" s="818"/>
      <c r="Z155" s="818"/>
    </row>
    <row r="156" spans="1:26" ht="19.5" hidden="1">
      <c r="A156" s="940"/>
      <c r="B156" s="833"/>
      <c r="C156" s="946"/>
      <c r="D156" s="833"/>
      <c r="E156" s="834" t="s">
        <v>18</v>
      </c>
      <c r="F156" s="833"/>
      <c r="G156" s="941"/>
      <c r="H156" s="165" t="s">
        <v>12</v>
      </c>
      <c r="I156" s="947"/>
      <c r="J156" s="947"/>
      <c r="K156" s="948"/>
      <c r="L156" s="837">
        <v>0</v>
      </c>
      <c r="M156" s="837">
        <v>0</v>
      </c>
      <c r="N156" s="837">
        <v>0</v>
      </c>
      <c r="O156" s="837">
        <f t="shared" si="78"/>
        <v>0</v>
      </c>
      <c r="P156" s="837">
        <f t="shared" si="79"/>
        <v>0</v>
      </c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</row>
    <row r="157" spans="1:26" ht="19.5" hidden="1">
      <c r="A157" s="940"/>
      <c r="B157" s="833"/>
      <c r="C157" s="946"/>
      <c r="D157" s="833"/>
      <c r="E157" s="834" t="s">
        <v>19</v>
      </c>
      <c r="F157" s="833"/>
      <c r="G157" s="941"/>
      <c r="H157" s="169" t="s">
        <v>12</v>
      </c>
      <c r="I157" s="947"/>
      <c r="J157" s="947"/>
      <c r="K157" s="948"/>
      <c r="L157" s="837">
        <f ca="1">IFERROR(__xludf.DUMMYFUNCTION("IMPORTRANGE(""https://docs.google.com/spreadsheets/d/1MeEWN-I1oV_STSDYn1IFDPWt_1FKiwhDph83XaGc0o0/edit?usp=sharing"",""งบพรบ!BX18"")"),0)</f>
        <v>0</v>
      </c>
      <c r="M157" s="837">
        <f ca="1">IFERROR(__xludf.DUMMYFUNCTION("IMPORTRANGE(""https://docs.google.com/spreadsheets/d/1MeEWN-I1oV_STSDYn1IFDPWt_1FKiwhDph83XaGc0o0/edit?usp=sharing"",""งบพรบ!CA18"")"),0)</f>
        <v>0</v>
      </c>
      <c r="N157" s="837">
        <f ca="1">IFERROR(__xludf.DUMMYFUNCTION("IMPORTRANGE(""https://docs.google.com/spreadsheets/d/1MeEWN-I1oV_STSDYn1IFDPWt_1FKiwhDph83XaGc0o0/edit?usp=sharing"",""งบพรบ!CC18"")"),0)</f>
        <v>0</v>
      </c>
      <c r="O157" s="837">
        <f t="shared" ca="1" si="78"/>
        <v>0</v>
      </c>
      <c r="P157" s="837">
        <f t="shared" ca="1" si="79"/>
        <v>0</v>
      </c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</row>
    <row r="158" spans="1:26" ht="19.5">
      <c r="A158" s="949"/>
      <c r="B158" s="950"/>
      <c r="C158" s="946" t="s">
        <v>16</v>
      </c>
      <c r="D158" s="951" t="s">
        <v>38</v>
      </c>
      <c r="E158" s="952"/>
      <c r="F158" s="952"/>
      <c r="G158" s="953"/>
      <c r="H158" s="168"/>
      <c r="I158" s="830"/>
      <c r="J158" s="830"/>
      <c r="K158" s="831"/>
      <c r="L158" s="831"/>
      <c r="M158" s="831"/>
      <c r="N158" s="831"/>
      <c r="O158" s="831"/>
      <c r="P158" s="831"/>
    </row>
    <row r="159" spans="1:26" ht="19.5">
      <c r="A159" s="942"/>
      <c r="B159" s="827"/>
      <c r="C159" s="976"/>
      <c r="D159" s="943" t="s">
        <v>78</v>
      </c>
      <c r="E159" s="828"/>
      <c r="F159" s="827"/>
      <c r="G159" s="977"/>
      <c r="H159" s="168" t="s">
        <v>35</v>
      </c>
      <c r="I159" s="830">
        <f ca="1">IFERROR(__xludf.DUMMYFUNCTION("IMPORTRANGE(""https://docs.google.com/spreadsheets/d/1QqKyyYR6Q21VydFLVH3TRQUabQu_ym0Zz7PgGX0-kHA/edit?usp=sharing"",""แผน!X18"")"),20)</f>
        <v>20</v>
      </c>
      <c r="J159" s="959">
        <v>20</v>
      </c>
      <c r="K159" s="831">
        <f ca="1">IF(I159&gt;0,J159*100/I159,0)</f>
        <v>100</v>
      </c>
      <c r="L159" s="831"/>
      <c r="M159" s="831"/>
      <c r="N159" s="831"/>
      <c r="O159" s="831"/>
      <c r="P159" s="831"/>
    </row>
    <row r="160" spans="1:26" ht="19.5" hidden="1">
      <c r="A160" s="940"/>
      <c r="B160" s="833"/>
      <c r="C160" s="946"/>
      <c r="D160" s="834" t="s">
        <v>79</v>
      </c>
      <c r="E160" s="982"/>
      <c r="F160" s="833"/>
      <c r="G160" s="941"/>
      <c r="H160" s="169" t="s">
        <v>35</v>
      </c>
      <c r="I160" s="836"/>
      <c r="J160" s="836"/>
      <c r="K160" s="837"/>
      <c r="L160" s="837"/>
      <c r="M160" s="837"/>
      <c r="N160" s="837"/>
      <c r="O160" s="837"/>
      <c r="P160" s="83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983"/>
      <c r="B161" s="984"/>
      <c r="C161" s="985"/>
      <c r="D161" s="986" t="s">
        <v>80</v>
      </c>
      <c r="E161" s="987"/>
      <c r="F161" s="984"/>
      <c r="G161" s="988"/>
      <c r="H161" s="232" t="s">
        <v>35</v>
      </c>
      <c r="I161" s="989"/>
      <c r="J161" s="989"/>
      <c r="K161" s="990"/>
      <c r="L161" s="990"/>
      <c r="M161" s="990"/>
      <c r="N161" s="990"/>
      <c r="O161" s="990"/>
      <c r="P161" s="990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991" t="s">
        <v>81</v>
      </c>
      <c r="B162" s="992"/>
      <c r="C162" s="992"/>
      <c r="D162" s="992"/>
      <c r="E162" s="993"/>
      <c r="F162" s="993"/>
      <c r="G162" s="994"/>
      <c r="H162" s="995"/>
      <c r="I162" s="996"/>
      <c r="J162" s="996"/>
      <c r="K162" s="997"/>
      <c r="L162" s="997"/>
      <c r="M162" s="997"/>
      <c r="N162" s="997"/>
      <c r="O162" s="997"/>
      <c r="P162" s="997"/>
    </row>
    <row r="163" spans="1:26" ht="19.5">
      <c r="A163" s="998" t="s">
        <v>82</v>
      </c>
      <c r="B163" s="999"/>
      <c r="C163" s="999"/>
      <c r="D163" s="1000"/>
      <c r="E163" s="1000"/>
      <c r="F163" s="1000"/>
      <c r="G163" s="1001"/>
      <c r="H163" s="1002"/>
      <c r="I163" s="1003"/>
      <c r="J163" s="1003"/>
      <c r="K163" s="1004"/>
      <c r="L163" s="1004"/>
      <c r="M163" s="1004"/>
      <c r="N163" s="1004"/>
      <c r="O163" s="1004"/>
      <c r="P163" s="1004"/>
    </row>
    <row r="164" spans="1:26" ht="19.5">
      <c r="A164" s="1005"/>
      <c r="B164" s="1006" t="s">
        <v>83</v>
      </c>
      <c r="C164" s="1007"/>
      <c r="D164" s="952"/>
      <c r="E164" s="952"/>
      <c r="F164" s="952"/>
      <c r="G164" s="953"/>
      <c r="H164" s="252" t="s">
        <v>35</v>
      </c>
      <c r="I164" s="1008">
        <f t="shared" ref="I164:J164" ca="1" si="83">I174+I177</f>
        <v>11</v>
      </c>
      <c r="J164" s="1008">
        <f t="shared" si="83"/>
        <v>11</v>
      </c>
      <c r="K164" s="1009">
        <f ca="1">IF(I164&gt;0,J164*100/I164,0)</f>
        <v>100</v>
      </c>
      <c r="L164" s="1010"/>
      <c r="M164" s="1010"/>
      <c r="N164" s="1010"/>
      <c r="O164" s="1010"/>
      <c r="P164" s="1010"/>
    </row>
    <row r="165" spans="1:26" ht="19.5">
      <c r="A165" s="932"/>
      <c r="B165" s="933"/>
      <c r="C165" s="934" t="s">
        <v>16</v>
      </c>
      <c r="D165" s="935" t="s">
        <v>17</v>
      </c>
      <c r="E165" s="933"/>
      <c r="F165" s="933"/>
      <c r="G165" s="936"/>
      <c r="H165" s="152" t="s">
        <v>12</v>
      </c>
      <c r="I165" s="937"/>
      <c r="J165" s="937"/>
      <c r="K165" s="938"/>
      <c r="L165" s="939">
        <f t="shared" ref="L165:N165" ca="1" si="84">L166+L167</f>
        <v>22055</v>
      </c>
      <c r="M165" s="939">
        <f t="shared" ca="1" si="84"/>
        <v>36175</v>
      </c>
      <c r="N165" s="939">
        <f t="shared" ca="1" si="84"/>
        <v>36175</v>
      </c>
      <c r="O165" s="939">
        <f t="shared" ref="O165:O173" ca="1" si="85">IF(L165&gt;0,N165*100/L165,0)</f>
        <v>164.0217637723872</v>
      </c>
      <c r="P165" s="939">
        <f t="shared" ref="P165:P173" ca="1" si="86">IF(M165&gt;0,N165*100/M165,0)</f>
        <v>100</v>
      </c>
      <c r="Q165" s="818"/>
      <c r="R165" s="818"/>
      <c r="S165" s="818"/>
      <c r="T165" s="818"/>
      <c r="U165" s="818"/>
      <c r="V165" s="818"/>
      <c r="W165" s="818"/>
      <c r="X165" s="818"/>
      <c r="Y165" s="818"/>
      <c r="Z165" s="818"/>
    </row>
    <row r="166" spans="1:26" ht="18.75" hidden="1">
      <c r="A166" s="940"/>
      <c r="B166" s="833"/>
      <c r="C166" s="833"/>
      <c r="D166" s="833"/>
      <c r="E166" s="834" t="s">
        <v>18</v>
      </c>
      <c r="F166" s="833"/>
      <c r="G166" s="941"/>
      <c r="H166" s="158" t="s">
        <v>12</v>
      </c>
      <c r="I166" s="836"/>
      <c r="J166" s="836"/>
      <c r="K166" s="837"/>
      <c r="L166" s="837">
        <f t="shared" ref="L166:N167" si="87">L169+L172</f>
        <v>0</v>
      </c>
      <c r="M166" s="837">
        <f t="shared" si="87"/>
        <v>0</v>
      </c>
      <c r="N166" s="837">
        <f t="shared" si="87"/>
        <v>0</v>
      </c>
      <c r="O166" s="837">
        <f t="shared" si="85"/>
        <v>0</v>
      </c>
      <c r="P166" s="837">
        <f t="shared" si="86"/>
        <v>0</v>
      </c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</row>
    <row r="167" spans="1:26" ht="18.75" hidden="1">
      <c r="A167" s="940"/>
      <c r="B167" s="833"/>
      <c r="C167" s="833"/>
      <c r="D167" s="833"/>
      <c r="E167" s="834" t="s">
        <v>19</v>
      </c>
      <c r="F167" s="833"/>
      <c r="G167" s="941"/>
      <c r="H167" s="158" t="s">
        <v>12</v>
      </c>
      <c r="I167" s="836"/>
      <c r="J167" s="836"/>
      <c r="K167" s="837"/>
      <c r="L167" s="837">
        <f t="shared" ca="1" si="87"/>
        <v>22055</v>
      </c>
      <c r="M167" s="837">
        <f t="shared" ca="1" si="87"/>
        <v>36175</v>
      </c>
      <c r="N167" s="837">
        <f t="shared" ca="1" si="87"/>
        <v>36175</v>
      </c>
      <c r="O167" s="837">
        <f t="shared" ca="1" si="85"/>
        <v>164.0217637723872</v>
      </c>
      <c r="P167" s="837">
        <f t="shared" ca="1" si="86"/>
        <v>100</v>
      </c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</row>
    <row r="168" spans="1:26" ht="18.75">
      <c r="A168" s="942"/>
      <c r="B168" s="827"/>
      <c r="C168" s="943"/>
      <c r="D168" s="828" t="s">
        <v>20</v>
      </c>
      <c r="E168" s="827"/>
      <c r="F168" s="827"/>
      <c r="G168" s="829"/>
      <c r="H168" s="778" t="s">
        <v>12</v>
      </c>
      <c r="I168" s="944"/>
      <c r="J168" s="944"/>
      <c r="K168" s="945"/>
      <c r="L168" s="831">
        <f t="shared" ref="L168:N168" ca="1" si="88">L169+L170</f>
        <v>22055</v>
      </c>
      <c r="M168" s="831">
        <f t="shared" ca="1" si="88"/>
        <v>36175</v>
      </c>
      <c r="N168" s="831">
        <f t="shared" ca="1" si="88"/>
        <v>36175</v>
      </c>
      <c r="O168" s="831">
        <f t="shared" ca="1" si="85"/>
        <v>164.0217637723872</v>
      </c>
      <c r="P168" s="831">
        <f t="shared" ca="1" si="86"/>
        <v>100</v>
      </c>
      <c r="Q168" s="818"/>
      <c r="R168" s="818"/>
      <c r="S168" s="818"/>
      <c r="T168" s="818"/>
      <c r="U168" s="818"/>
      <c r="V168" s="818"/>
      <c r="W168" s="818"/>
      <c r="X168" s="818"/>
      <c r="Y168" s="818"/>
      <c r="Z168" s="818"/>
    </row>
    <row r="169" spans="1:26" ht="19.5" hidden="1">
      <c r="A169" s="940"/>
      <c r="B169" s="833"/>
      <c r="C169" s="946"/>
      <c r="D169" s="833"/>
      <c r="E169" s="834" t="s">
        <v>36</v>
      </c>
      <c r="F169" s="833"/>
      <c r="G169" s="941"/>
      <c r="H169" s="165" t="s">
        <v>12</v>
      </c>
      <c r="I169" s="947"/>
      <c r="J169" s="947"/>
      <c r="K169" s="948"/>
      <c r="L169" s="837">
        <v>0</v>
      </c>
      <c r="M169" s="837">
        <v>0</v>
      </c>
      <c r="N169" s="837">
        <v>0</v>
      </c>
      <c r="O169" s="837">
        <f t="shared" si="85"/>
        <v>0</v>
      </c>
      <c r="P169" s="837">
        <f t="shared" si="86"/>
        <v>0</v>
      </c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</row>
    <row r="170" spans="1:26" ht="19.5" hidden="1">
      <c r="A170" s="940"/>
      <c r="B170" s="833"/>
      <c r="C170" s="946"/>
      <c r="D170" s="833"/>
      <c r="E170" s="834" t="s">
        <v>37</v>
      </c>
      <c r="F170" s="833"/>
      <c r="G170" s="941"/>
      <c r="H170" s="165" t="s">
        <v>12</v>
      </c>
      <c r="I170" s="947"/>
      <c r="J170" s="947"/>
      <c r="K170" s="948"/>
      <c r="L170" s="837">
        <f ca="1">IFERROR(__xludf.DUMMYFUNCTION("IMPORTRANGE(""https://docs.google.com/spreadsheets/d/1MeEWN-I1oV_STSDYn1IFDPWt_1FKiwhDph83XaGc0o0/edit?usp=sharing"",""งบพรบ!CE18"")"),22055)</f>
        <v>22055</v>
      </c>
      <c r="M170" s="837">
        <f ca="1">IFERROR(__xludf.DUMMYFUNCTION("IMPORTRANGE(""https://docs.google.com/spreadsheets/d/1MeEWN-I1oV_STSDYn1IFDPWt_1FKiwhDph83XaGc0o0/edit?usp=sharing"",""งบพรบ!CJ18"")"),36175)</f>
        <v>36175</v>
      </c>
      <c r="N170" s="837">
        <f ca="1">IFERROR(__xludf.DUMMYFUNCTION("IMPORTRANGE(""https://docs.google.com/spreadsheets/d/1MeEWN-I1oV_STSDYn1IFDPWt_1FKiwhDph83XaGc0o0/edit?usp=sharing"",""งบพรบ!CL18"")"),36175)</f>
        <v>36175</v>
      </c>
      <c r="O170" s="837">
        <f t="shared" ca="1" si="85"/>
        <v>164.0217637723872</v>
      </c>
      <c r="P170" s="837">
        <f t="shared" ca="1" si="86"/>
        <v>100</v>
      </c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</row>
    <row r="171" spans="1:26" ht="18.75">
      <c r="A171" s="942"/>
      <c r="B171" s="827"/>
      <c r="C171" s="943"/>
      <c r="D171" s="828" t="s">
        <v>21</v>
      </c>
      <c r="E171" s="827"/>
      <c r="F171" s="827"/>
      <c r="G171" s="829"/>
      <c r="H171" s="168" t="s">
        <v>12</v>
      </c>
      <c r="I171" s="944"/>
      <c r="J171" s="944"/>
      <c r="K171" s="945"/>
      <c r="L171" s="831">
        <f t="shared" ref="L171:N171" ca="1" si="89">L172+L173</f>
        <v>0</v>
      </c>
      <c r="M171" s="831">
        <f t="shared" ca="1" si="89"/>
        <v>0</v>
      </c>
      <c r="N171" s="831">
        <f t="shared" ca="1" si="89"/>
        <v>0</v>
      </c>
      <c r="O171" s="831">
        <f t="shared" ca="1" si="85"/>
        <v>0</v>
      </c>
      <c r="P171" s="831">
        <f t="shared" ca="1" si="86"/>
        <v>0</v>
      </c>
      <c r="Q171" s="818"/>
      <c r="R171" s="818"/>
      <c r="S171" s="818"/>
      <c r="T171" s="818"/>
      <c r="U171" s="818"/>
      <c r="V171" s="818"/>
      <c r="W171" s="818"/>
      <c r="X171" s="818"/>
      <c r="Y171" s="818"/>
      <c r="Z171" s="818"/>
    </row>
    <row r="172" spans="1:26" ht="19.5" hidden="1">
      <c r="A172" s="940"/>
      <c r="B172" s="833"/>
      <c r="C172" s="946"/>
      <c r="D172" s="833"/>
      <c r="E172" s="834" t="s">
        <v>18</v>
      </c>
      <c r="F172" s="833"/>
      <c r="G172" s="941"/>
      <c r="H172" s="165" t="s">
        <v>12</v>
      </c>
      <c r="I172" s="947"/>
      <c r="J172" s="947"/>
      <c r="K172" s="948"/>
      <c r="L172" s="837">
        <v>0</v>
      </c>
      <c r="M172" s="837">
        <v>0</v>
      </c>
      <c r="N172" s="837">
        <v>0</v>
      </c>
      <c r="O172" s="837">
        <f t="shared" si="85"/>
        <v>0</v>
      </c>
      <c r="P172" s="837">
        <f t="shared" si="86"/>
        <v>0</v>
      </c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</row>
    <row r="173" spans="1:26" ht="19.5" hidden="1">
      <c r="A173" s="940"/>
      <c r="B173" s="833"/>
      <c r="C173" s="946"/>
      <c r="D173" s="833"/>
      <c r="E173" s="834" t="s">
        <v>19</v>
      </c>
      <c r="F173" s="833"/>
      <c r="G173" s="941"/>
      <c r="H173" s="169" t="s">
        <v>12</v>
      </c>
      <c r="I173" s="947"/>
      <c r="J173" s="947"/>
      <c r="K173" s="948"/>
      <c r="L173" s="837">
        <f ca="1">IFERROR(__xludf.DUMMYFUNCTION("IMPORTRANGE(""https://docs.google.com/spreadsheets/d/1MeEWN-I1oV_STSDYn1IFDPWt_1FKiwhDph83XaGc0o0/edit?usp=sharing"",""งบพรบ!CH18"")"),0)</f>
        <v>0</v>
      </c>
      <c r="M173" s="837">
        <f ca="1">IFERROR(__xludf.DUMMYFUNCTION("IMPORTRANGE(""https://docs.google.com/spreadsheets/d/1MeEWN-I1oV_STSDYn1IFDPWt_1FKiwhDph83XaGc0o0/edit?usp=sharing"",""งบพรบ!CK18"")"),0)</f>
        <v>0</v>
      </c>
      <c r="N173" s="837">
        <f ca="1">IFERROR(__xludf.DUMMYFUNCTION("IMPORTRANGE(""https://docs.google.com/spreadsheets/d/1MeEWN-I1oV_STSDYn1IFDPWt_1FKiwhDph83XaGc0o0/edit?usp=sharing"",""งบพรบ!CM18"")"),0)</f>
        <v>0</v>
      </c>
      <c r="O173" s="837">
        <f t="shared" ca="1" si="85"/>
        <v>0</v>
      </c>
      <c r="P173" s="837">
        <f t="shared" ca="1" si="86"/>
        <v>0</v>
      </c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</row>
    <row r="174" spans="1:26" ht="19.5">
      <c r="A174" s="1011"/>
      <c r="B174" s="1012"/>
      <c r="C174" s="1013" t="s">
        <v>84</v>
      </c>
      <c r="D174" s="1012"/>
      <c r="E174" s="1012"/>
      <c r="F174" s="1012"/>
      <c r="G174" s="1014"/>
      <c r="H174" s="260" t="s">
        <v>35</v>
      </c>
      <c r="I174" s="1015">
        <f t="shared" ref="I174:J174" ca="1" si="90">I176</f>
        <v>11</v>
      </c>
      <c r="J174" s="1015">
        <f t="shared" si="90"/>
        <v>11</v>
      </c>
      <c r="K174" s="1016">
        <f ca="1">IF(I174&gt;0,J174*100/I174,0)</f>
        <v>100</v>
      </c>
      <c r="L174" s="1016"/>
      <c r="M174" s="1016"/>
      <c r="N174" s="1016"/>
      <c r="O174" s="1016"/>
      <c r="P174" s="1016"/>
    </row>
    <row r="175" spans="1:26" ht="19.5">
      <c r="A175" s="949"/>
      <c r="B175" s="950"/>
      <c r="C175" s="946" t="s">
        <v>16</v>
      </c>
      <c r="D175" s="951" t="s">
        <v>38</v>
      </c>
      <c r="E175" s="952"/>
      <c r="F175" s="952"/>
      <c r="G175" s="953"/>
      <c r="H175" s="954"/>
      <c r="I175" s="944"/>
      <c r="J175" s="944"/>
      <c r="K175" s="945"/>
      <c r="L175" s="945"/>
      <c r="M175" s="945"/>
      <c r="N175" s="945"/>
      <c r="O175" s="945"/>
      <c r="P175" s="945"/>
    </row>
    <row r="176" spans="1:26" ht="18.75">
      <c r="A176" s="949"/>
      <c r="B176" s="950"/>
      <c r="C176" s="950"/>
      <c r="D176" s="1017" t="s">
        <v>85</v>
      </c>
      <c r="E176" s="957"/>
      <c r="F176" s="957"/>
      <c r="G176" s="958"/>
      <c r="H176" s="590" t="s">
        <v>35</v>
      </c>
      <c r="I176" s="830">
        <f ca="1">IFERROR(__xludf.DUMMYFUNCTION("IMPORTRANGE(""https://docs.google.com/spreadsheets/d/1QqKyyYR6Q21VydFLVH3TRQUabQu_ym0Zz7PgGX0-kHA/edit?usp=sharing"",""แผน!Y18"")"),11)</f>
        <v>11</v>
      </c>
      <c r="J176" s="959">
        <v>11</v>
      </c>
      <c r="K176" s="945">
        <f ca="1">IF(I176&gt;0,J176*100/I176,0)</f>
        <v>100</v>
      </c>
      <c r="L176" s="945"/>
      <c r="M176" s="945"/>
      <c r="N176" s="945"/>
      <c r="O176" s="945"/>
      <c r="P176" s="945"/>
    </row>
    <row r="177" spans="1:26" ht="19.5" hidden="1">
      <c r="A177" s="1011"/>
      <c r="B177" s="1018"/>
      <c r="C177" s="1019" t="s">
        <v>86</v>
      </c>
      <c r="D177" s="1018"/>
      <c r="E177" s="1012"/>
      <c r="F177" s="1012"/>
      <c r="G177" s="1014"/>
      <c r="H177" s="266" t="s">
        <v>35</v>
      </c>
      <c r="I177" s="1015"/>
      <c r="J177" s="1015">
        <f>J179</f>
        <v>0</v>
      </c>
      <c r="K177" s="1016"/>
      <c r="L177" s="1016"/>
      <c r="M177" s="1016"/>
      <c r="N177" s="1016"/>
      <c r="O177" s="1016"/>
      <c r="P177" s="1016"/>
    </row>
    <row r="178" spans="1:26" ht="19.5" hidden="1">
      <c r="A178" s="949"/>
      <c r="B178" s="950"/>
      <c r="C178" s="946" t="s">
        <v>16</v>
      </c>
      <c r="D178" s="1020" t="s">
        <v>38</v>
      </c>
      <c r="E178" s="952"/>
      <c r="F178" s="952"/>
      <c r="G178" s="953"/>
      <c r="H178" s="954"/>
      <c r="I178" s="944"/>
      <c r="J178" s="944"/>
      <c r="K178" s="945"/>
      <c r="L178" s="945"/>
      <c r="M178" s="945"/>
      <c r="N178" s="945"/>
      <c r="O178" s="945"/>
      <c r="P178" s="945"/>
    </row>
    <row r="179" spans="1:26" ht="18.75" hidden="1">
      <c r="A179" s="949"/>
      <c r="B179" s="950"/>
      <c r="C179" s="950"/>
      <c r="D179" s="1021" t="s">
        <v>87</v>
      </c>
      <c r="E179" s="957"/>
      <c r="F179" s="1022"/>
      <c r="G179" s="958"/>
      <c r="H179" s="43" t="s">
        <v>35</v>
      </c>
      <c r="I179" s="830"/>
      <c r="J179" s="830"/>
      <c r="K179" s="945"/>
      <c r="L179" s="945"/>
      <c r="M179" s="945"/>
      <c r="N179" s="945"/>
      <c r="O179" s="945"/>
      <c r="P179" s="945"/>
    </row>
    <row r="180" spans="1:26" ht="19.5">
      <c r="A180" s="1005"/>
      <c r="B180" s="1006" t="s">
        <v>88</v>
      </c>
      <c r="C180" s="1007"/>
      <c r="D180" s="952"/>
      <c r="E180" s="952"/>
      <c r="F180" s="952"/>
      <c r="G180" s="953"/>
      <c r="H180" s="252" t="s">
        <v>35</v>
      </c>
      <c r="I180" s="1008">
        <f t="shared" ref="I180:J180" ca="1" si="91">I225+I226</f>
        <v>0</v>
      </c>
      <c r="J180" s="1008">
        <f t="shared" si="91"/>
        <v>0</v>
      </c>
      <c r="K180" s="1009">
        <f ca="1">IF(I180&gt;0,J180*100/I180,0)</f>
        <v>0</v>
      </c>
      <c r="L180" s="1010"/>
      <c r="M180" s="1010"/>
      <c r="N180" s="1010"/>
      <c r="O180" s="1010"/>
      <c r="P180" s="1010"/>
    </row>
    <row r="181" spans="1:26" ht="19.5">
      <c r="A181" s="932"/>
      <c r="B181" s="933"/>
      <c r="C181" s="934" t="s">
        <v>16</v>
      </c>
      <c r="D181" s="935" t="s">
        <v>17</v>
      </c>
      <c r="E181" s="933"/>
      <c r="F181" s="933"/>
      <c r="G181" s="936"/>
      <c r="H181" s="152" t="s">
        <v>12</v>
      </c>
      <c r="I181" s="937"/>
      <c r="J181" s="937"/>
      <c r="K181" s="938"/>
      <c r="L181" s="939">
        <f t="shared" ref="L181:N181" ca="1" si="92">L182+L183</f>
        <v>107000</v>
      </c>
      <c r="M181" s="939">
        <f t="shared" ca="1" si="92"/>
        <v>80500</v>
      </c>
      <c r="N181" s="939">
        <f t="shared" ca="1" si="92"/>
        <v>42420</v>
      </c>
      <c r="O181" s="939">
        <f t="shared" ref="O181:O189" ca="1" si="93">IF(L181&gt;0,N181*100/L181,0)</f>
        <v>39.644859813084111</v>
      </c>
      <c r="P181" s="939">
        <f t="shared" ref="P181:P189" ca="1" si="94">IF(M181&gt;0,N181*100/M181,0)</f>
        <v>52.695652173913047</v>
      </c>
      <c r="Q181" s="818"/>
      <c r="R181" s="818"/>
      <c r="S181" s="818"/>
      <c r="T181" s="818"/>
      <c r="U181" s="818"/>
      <c r="V181" s="818"/>
      <c r="W181" s="818"/>
      <c r="X181" s="818"/>
      <c r="Y181" s="818"/>
      <c r="Z181" s="818"/>
    </row>
    <row r="182" spans="1:26" ht="18.75" hidden="1">
      <c r="A182" s="940"/>
      <c r="B182" s="833"/>
      <c r="C182" s="833"/>
      <c r="D182" s="833"/>
      <c r="E182" s="834" t="s">
        <v>18</v>
      </c>
      <c r="F182" s="833"/>
      <c r="G182" s="941"/>
      <c r="H182" s="158" t="s">
        <v>12</v>
      </c>
      <c r="I182" s="836"/>
      <c r="J182" s="836"/>
      <c r="K182" s="837"/>
      <c r="L182" s="837">
        <f t="shared" ref="L182:N183" si="95">L185+L188</f>
        <v>0</v>
      </c>
      <c r="M182" s="837">
        <f t="shared" si="95"/>
        <v>0</v>
      </c>
      <c r="N182" s="837">
        <f t="shared" si="95"/>
        <v>0</v>
      </c>
      <c r="O182" s="837">
        <f t="shared" si="93"/>
        <v>0</v>
      </c>
      <c r="P182" s="837">
        <f t="shared" si="94"/>
        <v>0</v>
      </c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</row>
    <row r="183" spans="1:26" ht="18.75" hidden="1">
      <c r="A183" s="940"/>
      <c r="B183" s="833"/>
      <c r="C183" s="833"/>
      <c r="D183" s="833"/>
      <c r="E183" s="834" t="s">
        <v>19</v>
      </c>
      <c r="F183" s="833"/>
      <c r="G183" s="941"/>
      <c r="H183" s="158" t="s">
        <v>12</v>
      </c>
      <c r="I183" s="836"/>
      <c r="J183" s="836"/>
      <c r="K183" s="837"/>
      <c r="L183" s="837">
        <f t="shared" ca="1" si="95"/>
        <v>107000</v>
      </c>
      <c r="M183" s="837">
        <f t="shared" ca="1" si="95"/>
        <v>80500</v>
      </c>
      <c r="N183" s="837">
        <f t="shared" ca="1" si="95"/>
        <v>42420</v>
      </c>
      <c r="O183" s="837">
        <f t="shared" ca="1" si="93"/>
        <v>39.644859813084111</v>
      </c>
      <c r="P183" s="837">
        <f t="shared" ca="1" si="94"/>
        <v>52.695652173913047</v>
      </c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</row>
    <row r="184" spans="1:26" ht="18.75">
      <c r="A184" s="942"/>
      <c r="B184" s="827"/>
      <c r="C184" s="943"/>
      <c r="D184" s="828" t="s">
        <v>20</v>
      </c>
      <c r="E184" s="827"/>
      <c r="F184" s="827"/>
      <c r="G184" s="829"/>
      <c r="H184" s="778" t="s">
        <v>12</v>
      </c>
      <c r="I184" s="944"/>
      <c r="J184" s="944"/>
      <c r="K184" s="945"/>
      <c r="L184" s="831">
        <f t="shared" ref="L184:N184" ca="1" si="96">L185+L186</f>
        <v>107000</v>
      </c>
      <c r="M184" s="831">
        <f t="shared" ca="1" si="96"/>
        <v>80500</v>
      </c>
      <c r="N184" s="831">
        <f t="shared" ca="1" si="96"/>
        <v>42420</v>
      </c>
      <c r="O184" s="831">
        <f t="shared" ca="1" si="93"/>
        <v>39.644859813084111</v>
      </c>
      <c r="P184" s="831">
        <f t="shared" ca="1" si="94"/>
        <v>52.695652173913047</v>
      </c>
      <c r="Q184" s="818"/>
      <c r="R184" s="818"/>
      <c r="S184" s="818"/>
      <c r="T184" s="818"/>
      <c r="U184" s="818"/>
      <c r="V184" s="818"/>
      <c r="W184" s="818"/>
      <c r="X184" s="818"/>
      <c r="Y184" s="818"/>
      <c r="Z184" s="818"/>
    </row>
    <row r="185" spans="1:26" ht="19.5" hidden="1">
      <c r="A185" s="940"/>
      <c r="B185" s="833"/>
      <c r="C185" s="946"/>
      <c r="D185" s="833"/>
      <c r="E185" s="834" t="s">
        <v>36</v>
      </c>
      <c r="F185" s="833"/>
      <c r="G185" s="941"/>
      <c r="H185" s="165" t="s">
        <v>12</v>
      </c>
      <c r="I185" s="947"/>
      <c r="J185" s="947"/>
      <c r="K185" s="948"/>
      <c r="L185" s="837">
        <v>0</v>
      </c>
      <c r="M185" s="837">
        <v>0</v>
      </c>
      <c r="N185" s="837">
        <v>0</v>
      </c>
      <c r="O185" s="837">
        <f t="shared" si="93"/>
        <v>0</v>
      </c>
      <c r="P185" s="837">
        <f t="shared" si="94"/>
        <v>0</v>
      </c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</row>
    <row r="186" spans="1:26" ht="19.5" hidden="1">
      <c r="A186" s="940"/>
      <c r="B186" s="833"/>
      <c r="C186" s="946"/>
      <c r="D186" s="833"/>
      <c r="E186" s="834" t="s">
        <v>37</v>
      </c>
      <c r="F186" s="833"/>
      <c r="G186" s="941"/>
      <c r="H186" s="165" t="s">
        <v>12</v>
      </c>
      <c r="I186" s="947"/>
      <c r="J186" s="947"/>
      <c r="K186" s="948"/>
      <c r="L186" s="837">
        <f ca="1">IFERROR(__xludf.DUMMYFUNCTION("IMPORTRANGE(""https://docs.google.com/spreadsheets/d/1MeEWN-I1oV_STSDYn1IFDPWt_1FKiwhDph83XaGc0o0/edit?usp=sharing"",""งบพรบ!CO18"")"),107000)</f>
        <v>107000</v>
      </c>
      <c r="M186" s="837">
        <f ca="1">IFERROR(__xludf.DUMMYFUNCTION("IMPORTRANGE(""https://docs.google.com/spreadsheets/d/1MeEWN-I1oV_STSDYn1IFDPWt_1FKiwhDph83XaGc0o0/edit?usp=sharing"",""งบพรบ!CT18"")"),80500)</f>
        <v>80500</v>
      </c>
      <c r="N186" s="837">
        <f ca="1">IFERROR(__xludf.DUMMYFUNCTION("IMPORTRANGE(""https://docs.google.com/spreadsheets/d/1MeEWN-I1oV_STSDYn1IFDPWt_1FKiwhDph83XaGc0o0/edit?usp=sharing"",""งบพรบ!CV18"")"),42420)</f>
        <v>42420</v>
      </c>
      <c r="O186" s="837">
        <f t="shared" ca="1" si="93"/>
        <v>39.644859813084111</v>
      </c>
      <c r="P186" s="837">
        <f t="shared" ca="1" si="94"/>
        <v>52.695652173913047</v>
      </c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</row>
    <row r="187" spans="1:26" ht="18.75">
      <c r="A187" s="942"/>
      <c r="B187" s="827"/>
      <c r="C187" s="943"/>
      <c r="D187" s="828" t="s">
        <v>21</v>
      </c>
      <c r="E187" s="827"/>
      <c r="F187" s="827"/>
      <c r="G187" s="829"/>
      <c r="H187" s="168" t="s">
        <v>12</v>
      </c>
      <c r="I187" s="944"/>
      <c r="J187" s="944"/>
      <c r="K187" s="945"/>
      <c r="L187" s="831">
        <f t="shared" ref="L187:N187" ca="1" si="97">L188+L189</f>
        <v>0</v>
      </c>
      <c r="M187" s="831">
        <f t="shared" ca="1" si="97"/>
        <v>0</v>
      </c>
      <c r="N187" s="831">
        <f t="shared" ca="1" si="97"/>
        <v>0</v>
      </c>
      <c r="O187" s="831">
        <f t="shared" ca="1" si="93"/>
        <v>0</v>
      </c>
      <c r="P187" s="831">
        <f t="shared" ca="1" si="94"/>
        <v>0</v>
      </c>
      <c r="Q187" s="818"/>
      <c r="R187" s="818"/>
      <c r="S187" s="818"/>
      <c r="T187" s="818"/>
      <c r="U187" s="818"/>
      <c r="V187" s="818"/>
      <c r="W187" s="818"/>
      <c r="X187" s="818"/>
      <c r="Y187" s="818"/>
      <c r="Z187" s="818"/>
    </row>
    <row r="188" spans="1:26" ht="19.5" hidden="1">
      <c r="A188" s="940"/>
      <c r="B188" s="833"/>
      <c r="C188" s="946"/>
      <c r="D188" s="833"/>
      <c r="E188" s="834" t="s">
        <v>18</v>
      </c>
      <c r="F188" s="833"/>
      <c r="G188" s="941"/>
      <c r="H188" s="165" t="s">
        <v>12</v>
      </c>
      <c r="I188" s="947"/>
      <c r="J188" s="947"/>
      <c r="K188" s="948"/>
      <c r="L188" s="837">
        <v>0</v>
      </c>
      <c r="M188" s="837">
        <v>0</v>
      </c>
      <c r="N188" s="837">
        <v>0</v>
      </c>
      <c r="O188" s="837">
        <f t="shared" si="93"/>
        <v>0</v>
      </c>
      <c r="P188" s="837">
        <f t="shared" si="94"/>
        <v>0</v>
      </c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</row>
    <row r="189" spans="1:26" ht="19.5" hidden="1">
      <c r="A189" s="940"/>
      <c r="B189" s="833"/>
      <c r="C189" s="946"/>
      <c r="D189" s="833"/>
      <c r="E189" s="834" t="s">
        <v>19</v>
      </c>
      <c r="F189" s="833"/>
      <c r="G189" s="941"/>
      <c r="H189" s="169" t="s">
        <v>12</v>
      </c>
      <c r="I189" s="947"/>
      <c r="J189" s="947"/>
      <c r="K189" s="948"/>
      <c r="L189" s="837">
        <f ca="1">IFERROR(__xludf.DUMMYFUNCTION("IMPORTRANGE(""https://docs.google.com/spreadsheets/d/1MeEWN-I1oV_STSDYn1IFDPWt_1FKiwhDph83XaGc0o0/edit?usp=sharing"",""งบพรบ!CR18"")"),0)</f>
        <v>0</v>
      </c>
      <c r="M189" s="837">
        <f ca="1">IFERROR(__xludf.DUMMYFUNCTION("IMPORTRANGE(""https://docs.google.com/spreadsheets/d/1MeEWN-I1oV_STSDYn1IFDPWt_1FKiwhDph83XaGc0o0/edit?usp=sharing"",""งบพรบ!CU18"")"),0)</f>
        <v>0</v>
      </c>
      <c r="N189" s="837">
        <f ca="1">IFERROR(__xludf.DUMMYFUNCTION("IMPORTRANGE(""https://docs.google.com/spreadsheets/d/1MeEWN-I1oV_STSDYn1IFDPWt_1FKiwhDph83XaGc0o0/edit?usp=sharing"",""งบพรบ!CW18"")"),0)</f>
        <v>0</v>
      </c>
      <c r="O189" s="837">
        <f t="shared" ca="1" si="93"/>
        <v>0</v>
      </c>
      <c r="P189" s="837">
        <f t="shared" ca="1" si="94"/>
        <v>0</v>
      </c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</row>
    <row r="190" spans="1:26" ht="19.5">
      <c r="A190" s="1011"/>
      <c r="B190" s="1018"/>
      <c r="C190" s="1023" t="s">
        <v>89</v>
      </c>
      <c r="D190" s="1012"/>
      <c r="E190" s="1012"/>
      <c r="F190" s="1012"/>
      <c r="G190" s="1014"/>
      <c r="H190" s="260" t="s">
        <v>90</v>
      </c>
      <c r="I190" s="1024">
        <f t="shared" ref="I190:J190" ca="1" si="98">I193</f>
        <v>4</v>
      </c>
      <c r="J190" s="1024">
        <f t="shared" si="98"/>
        <v>1</v>
      </c>
      <c r="K190" s="1025">
        <f ca="1">IF(I190&gt;0,J190*100/I190,0)</f>
        <v>25</v>
      </c>
      <c r="L190" s="1016"/>
      <c r="M190" s="1016"/>
      <c r="N190" s="1016"/>
      <c r="O190" s="1016"/>
      <c r="P190" s="1016"/>
    </row>
    <row r="191" spans="1:26" ht="19.5">
      <c r="A191" s="932"/>
      <c r="B191" s="933"/>
      <c r="C191" s="934" t="s">
        <v>16</v>
      </c>
      <c r="D191" s="1026" t="s">
        <v>17</v>
      </c>
      <c r="E191" s="933"/>
      <c r="F191" s="933"/>
      <c r="G191" s="936"/>
      <c r="H191" s="275" t="s">
        <v>12</v>
      </c>
      <c r="I191" s="937"/>
      <c r="J191" s="937"/>
      <c r="K191" s="938"/>
      <c r="L191" s="939">
        <f ca="1">IFERROR(__xludf.DUMMYFUNCTION("IMPORTRANGE(""https://docs.google.com/spreadsheets/d/1QqKyyYR6Q21VydFLVH3TRQUabQu_ym0Zz7PgGX0-kHA/edit?usp=sharing"",""แผน!Z18"")"),6000)</f>
        <v>6000</v>
      </c>
      <c r="M191" s="939"/>
      <c r="N191" s="1027">
        <v>0</v>
      </c>
      <c r="O191" s="939">
        <f ca="1">IF(L191&gt;0,N191*100/L191,0)</f>
        <v>0</v>
      </c>
      <c r="P191" s="939">
        <f>IF(M191&gt;0,N191*100/M191,0)</f>
        <v>0</v>
      </c>
      <c r="Q191" s="818"/>
      <c r="R191" s="818"/>
      <c r="S191" s="818"/>
      <c r="T191" s="818"/>
      <c r="U191" s="818"/>
      <c r="V191" s="818"/>
      <c r="W191" s="818"/>
      <c r="X191" s="818"/>
      <c r="Y191" s="818"/>
      <c r="Z191" s="818"/>
    </row>
    <row r="192" spans="1:26" ht="19.5">
      <c r="A192" s="949"/>
      <c r="B192" s="950"/>
      <c r="C192" s="976" t="s">
        <v>16</v>
      </c>
      <c r="D192" s="951" t="s">
        <v>38</v>
      </c>
      <c r="E192" s="952"/>
      <c r="F192" s="952"/>
      <c r="G192" s="953"/>
      <c r="H192" s="954"/>
      <c r="I192" s="830"/>
      <c r="J192" s="830"/>
      <c r="K192" s="831"/>
      <c r="L192" s="831"/>
      <c r="M192" s="831"/>
      <c r="N192" s="831"/>
      <c r="O192" s="831"/>
      <c r="P192" s="831"/>
      <c r="Q192" s="818"/>
      <c r="R192" s="818"/>
      <c r="S192" s="818"/>
      <c r="T192" s="818"/>
      <c r="U192" s="818"/>
      <c r="V192" s="818"/>
      <c r="W192" s="818"/>
      <c r="X192" s="818"/>
      <c r="Y192" s="818"/>
      <c r="Z192" s="818"/>
    </row>
    <row r="193" spans="1:26" ht="18.75">
      <c r="A193" s="949"/>
      <c r="B193" s="950"/>
      <c r="C193" s="950"/>
      <c r="D193" s="956" t="s">
        <v>91</v>
      </c>
      <c r="E193" s="957"/>
      <c r="F193" s="957"/>
      <c r="G193" s="958"/>
      <c r="H193" s="730" t="s">
        <v>90</v>
      </c>
      <c r="I193" s="830">
        <f ca="1">IFERROR(__xludf.DUMMYFUNCTION("IMPORTRANGE(""https://docs.google.com/spreadsheets/d/1QqKyyYR6Q21VydFLVH3TRQUabQu_ym0Zz7PgGX0-kHA/edit?usp=sharing"",""แผน!AC18"")"),4)</f>
        <v>4</v>
      </c>
      <c r="J193" s="959">
        <v>1</v>
      </c>
      <c r="K193" s="831">
        <f ca="1">IF(I193&gt;0,J193*100/I193,0)</f>
        <v>25</v>
      </c>
      <c r="L193" s="831"/>
      <c r="M193" s="831"/>
      <c r="N193" s="831"/>
      <c r="O193" s="831"/>
      <c r="P193" s="831"/>
      <c r="Q193" s="818"/>
      <c r="R193" s="818"/>
      <c r="S193" s="818"/>
      <c r="T193" s="818"/>
      <c r="U193" s="818"/>
      <c r="V193" s="818"/>
      <c r="W193" s="818"/>
      <c r="X193" s="818"/>
      <c r="Y193" s="818"/>
      <c r="Z193" s="818"/>
    </row>
    <row r="194" spans="1:26" ht="18.75">
      <c r="A194" s="949"/>
      <c r="B194" s="950"/>
      <c r="C194" s="950"/>
      <c r="D194" s="956" t="s">
        <v>92</v>
      </c>
      <c r="E194" s="957"/>
      <c r="F194" s="957"/>
      <c r="G194" s="958"/>
      <c r="H194" s="277" t="s">
        <v>35</v>
      </c>
      <c r="I194" s="830"/>
      <c r="J194" s="830">
        <f>J195+J196</f>
        <v>27</v>
      </c>
      <c r="K194" s="831"/>
      <c r="L194" s="831"/>
      <c r="M194" s="831"/>
      <c r="N194" s="831"/>
      <c r="O194" s="831"/>
      <c r="P194" s="831"/>
      <c r="Q194" s="818"/>
      <c r="R194" s="818"/>
      <c r="S194" s="818"/>
      <c r="T194" s="818"/>
      <c r="U194" s="818"/>
      <c r="V194" s="818"/>
      <c r="W194" s="818"/>
      <c r="X194" s="818"/>
      <c r="Y194" s="818"/>
      <c r="Z194" s="818"/>
    </row>
    <row r="195" spans="1:26" ht="18.75">
      <c r="A195" s="949"/>
      <c r="B195" s="950"/>
      <c r="C195" s="950"/>
      <c r="D195" s="950"/>
      <c r="E195" s="956" t="s">
        <v>93</v>
      </c>
      <c r="F195" s="957"/>
      <c r="G195" s="958"/>
      <c r="H195" s="277" t="s">
        <v>35</v>
      </c>
      <c r="I195" s="830"/>
      <c r="J195" s="959">
        <v>27</v>
      </c>
      <c r="K195" s="831"/>
      <c r="L195" s="831"/>
      <c r="M195" s="831"/>
      <c r="N195" s="831"/>
      <c r="O195" s="831"/>
      <c r="P195" s="831"/>
      <c r="Q195" s="818"/>
      <c r="R195" s="818"/>
      <c r="S195" s="818"/>
      <c r="T195" s="818"/>
      <c r="U195" s="818"/>
      <c r="V195" s="818"/>
      <c r="W195" s="818"/>
      <c r="X195" s="818"/>
      <c r="Y195" s="818"/>
      <c r="Z195" s="818"/>
    </row>
    <row r="196" spans="1:26" ht="18.75">
      <c r="A196" s="949"/>
      <c r="B196" s="950"/>
      <c r="C196" s="950"/>
      <c r="D196" s="950"/>
      <c r="E196" s="956" t="s">
        <v>94</v>
      </c>
      <c r="F196" s="957"/>
      <c r="G196" s="958"/>
      <c r="H196" s="277" t="s">
        <v>35</v>
      </c>
      <c r="I196" s="830"/>
      <c r="J196" s="959">
        <v>0</v>
      </c>
      <c r="K196" s="831"/>
      <c r="L196" s="831"/>
      <c r="M196" s="831"/>
      <c r="N196" s="831"/>
      <c r="O196" s="831"/>
      <c r="P196" s="831"/>
      <c r="Q196" s="818"/>
      <c r="R196" s="818"/>
      <c r="S196" s="818"/>
      <c r="T196" s="818"/>
      <c r="U196" s="818"/>
      <c r="V196" s="818"/>
      <c r="W196" s="818"/>
      <c r="X196" s="818"/>
      <c r="Y196" s="818"/>
      <c r="Z196" s="818"/>
    </row>
    <row r="197" spans="1:26" ht="19.5">
      <c r="A197" s="1011"/>
      <c r="B197" s="1018"/>
      <c r="C197" s="1023" t="s">
        <v>95</v>
      </c>
      <c r="D197" s="1012"/>
      <c r="E197" s="1012"/>
      <c r="F197" s="1012"/>
      <c r="G197" s="1014"/>
      <c r="H197" s="278" t="s">
        <v>96</v>
      </c>
      <c r="I197" s="1024">
        <f t="shared" ref="I197:J197" ca="1" si="99">I204</f>
        <v>5</v>
      </c>
      <c r="J197" s="1024">
        <f t="shared" si="99"/>
        <v>0</v>
      </c>
      <c r="K197" s="1025">
        <f ca="1">IF(I197&gt;0,J197*100/I197,0)</f>
        <v>0</v>
      </c>
      <c r="L197" s="1016"/>
      <c r="M197" s="1016"/>
      <c r="N197" s="1016"/>
      <c r="O197" s="1016"/>
      <c r="P197" s="1016"/>
    </row>
    <row r="198" spans="1:26" ht="19.5">
      <c r="A198" s="932"/>
      <c r="B198" s="933"/>
      <c r="C198" s="934" t="s">
        <v>16</v>
      </c>
      <c r="D198" s="1026" t="s">
        <v>17</v>
      </c>
      <c r="E198" s="933"/>
      <c r="F198" s="933"/>
      <c r="G198" s="936"/>
      <c r="H198" s="275" t="s">
        <v>12</v>
      </c>
      <c r="I198" s="1028"/>
      <c r="J198" s="1028"/>
      <c r="K198" s="1029"/>
      <c r="L198" s="939">
        <f ca="1">L199+L200+L201+L202</f>
        <v>70000</v>
      </c>
      <c r="M198" s="939"/>
      <c r="N198" s="939">
        <f>N199+N200+N201+N202</f>
        <v>0</v>
      </c>
      <c r="O198" s="939">
        <f ca="1">IF(L198&gt;0,N198*100/L198,0)</f>
        <v>0</v>
      </c>
      <c r="P198" s="939">
        <f>IF(M198&gt;0,N198*100/M198,0)</f>
        <v>0</v>
      </c>
      <c r="Q198" s="818"/>
      <c r="R198" s="818"/>
      <c r="S198" s="818"/>
      <c r="T198" s="818"/>
      <c r="U198" s="818"/>
      <c r="V198" s="818"/>
      <c r="W198" s="818"/>
      <c r="X198" s="818"/>
      <c r="Y198" s="818"/>
      <c r="Z198" s="818"/>
    </row>
    <row r="199" spans="1:26" ht="18.75">
      <c r="A199" s="942"/>
      <c r="B199" s="1030"/>
      <c r="C199" s="827"/>
      <c r="D199" s="943" t="s">
        <v>97</v>
      </c>
      <c r="E199" s="827"/>
      <c r="F199" s="827"/>
      <c r="G199" s="829"/>
      <c r="H199" s="778" t="s">
        <v>12</v>
      </c>
      <c r="I199" s="944"/>
      <c r="J199" s="944"/>
      <c r="K199" s="945"/>
      <c r="L199" s="831">
        <f ca="1">IFERROR(__xludf.DUMMYFUNCTION("IMPORTRANGE(""https://docs.google.com/spreadsheets/d/1QqKyyYR6Q21VydFLVH3TRQUabQu_ym0Zz7PgGX0-kHA/edit?usp=sharing"",""แผน!AE18"")"),5000)</f>
        <v>5000</v>
      </c>
      <c r="M199" s="831"/>
      <c r="N199" s="1031">
        <v>0</v>
      </c>
      <c r="O199" s="831"/>
      <c r="P199" s="831"/>
      <c r="Q199" s="818"/>
      <c r="R199" s="818"/>
      <c r="S199" s="818"/>
      <c r="T199" s="818"/>
      <c r="U199" s="818"/>
      <c r="V199" s="818"/>
      <c r="W199" s="818"/>
      <c r="X199" s="818"/>
      <c r="Y199" s="818"/>
      <c r="Z199" s="818"/>
    </row>
    <row r="200" spans="1:26" ht="19.5">
      <c r="A200" s="1032"/>
      <c r="B200" s="1030"/>
      <c r="C200" s="976"/>
      <c r="D200" s="943" t="s">
        <v>98</v>
      </c>
      <c r="E200" s="827"/>
      <c r="F200" s="827"/>
      <c r="G200" s="829"/>
      <c r="H200" s="590" t="s">
        <v>12</v>
      </c>
      <c r="I200" s="830"/>
      <c r="J200" s="830"/>
      <c r="K200" s="831"/>
      <c r="L200" s="831">
        <f ca="1">IFERROR(__xludf.DUMMYFUNCTION("IMPORTRANGE(""https://docs.google.com/spreadsheets/d/1QqKyyYR6Q21VydFLVH3TRQUabQu_ym0Zz7PgGX0-kHA/edit?usp=sharing"",""แผน!AF18"")"),40000)</f>
        <v>40000</v>
      </c>
      <c r="M200" s="831"/>
      <c r="N200" s="1031">
        <v>0</v>
      </c>
      <c r="O200" s="831"/>
      <c r="P200" s="831"/>
      <c r="Q200" s="1033"/>
      <c r="R200" s="1033"/>
      <c r="S200" s="1033"/>
      <c r="T200" s="1033"/>
      <c r="U200" s="1033"/>
      <c r="V200" s="1033"/>
      <c r="W200" s="1033"/>
      <c r="X200" s="1033"/>
      <c r="Y200" s="1033"/>
      <c r="Z200" s="1033"/>
    </row>
    <row r="201" spans="1:26" ht="19.5">
      <c r="A201" s="1032"/>
      <c r="B201" s="1030"/>
      <c r="C201" s="976"/>
      <c r="D201" s="943" t="s">
        <v>99</v>
      </c>
      <c r="E201" s="827"/>
      <c r="F201" s="827"/>
      <c r="G201" s="829"/>
      <c r="H201" s="590" t="s">
        <v>12</v>
      </c>
      <c r="I201" s="830"/>
      <c r="J201" s="830"/>
      <c r="K201" s="831"/>
      <c r="L201" s="831">
        <f ca="1">IFERROR(__xludf.DUMMYFUNCTION("IMPORTRANGE(""https://docs.google.com/spreadsheets/d/1QqKyyYR6Q21VydFLVH3TRQUabQu_ym0Zz7PgGX0-kHA/edit?usp=sharing"",""แผน!AG18"")"),20000)</f>
        <v>20000</v>
      </c>
      <c r="M201" s="831"/>
      <c r="N201" s="1031">
        <v>0</v>
      </c>
      <c r="O201" s="831"/>
      <c r="P201" s="831"/>
      <c r="Q201" s="1033"/>
      <c r="R201" s="1033"/>
      <c r="S201" s="1033"/>
      <c r="T201" s="1033"/>
      <c r="U201" s="1033"/>
      <c r="V201" s="1033"/>
      <c r="W201" s="1033"/>
      <c r="X201" s="1033"/>
      <c r="Y201" s="1033"/>
      <c r="Z201" s="1033"/>
    </row>
    <row r="202" spans="1:26" ht="19.5">
      <c r="A202" s="1032"/>
      <c r="B202" s="1030"/>
      <c r="C202" s="976"/>
      <c r="D202" s="943" t="s">
        <v>100</v>
      </c>
      <c r="E202" s="827"/>
      <c r="F202" s="827"/>
      <c r="G202" s="829"/>
      <c r="H202" s="590" t="s">
        <v>12</v>
      </c>
      <c r="I202" s="830"/>
      <c r="J202" s="830"/>
      <c r="K202" s="831"/>
      <c r="L202" s="831">
        <f ca="1">IFERROR(__xludf.DUMMYFUNCTION("IMPORTRANGE(""https://docs.google.com/spreadsheets/d/1QqKyyYR6Q21VydFLVH3TRQUabQu_ym0Zz7PgGX0-kHA/edit?usp=sharing"",""แผน!AH18"")"),5000)</f>
        <v>5000</v>
      </c>
      <c r="M202" s="831"/>
      <c r="N202" s="1031">
        <v>0</v>
      </c>
      <c r="O202" s="831"/>
      <c r="P202" s="831"/>
      <c r="Q202" s="1033"/>
      <c r="R202" s="1033"/>
      <c r="S202" s="1033"/>
      <c r="T202" s="1033"/>
      <c r="U202" s="1033"/>
      <c r="V202" s="1033"/>
      <c r="W202" s="1033"/>
      <c r="X202" s="1033"/>
      <c r="Y202" s="1033"/>
      <c r="Z202" s="1033"/>
    </row>
    <row r="203" spans="1:26" ht="19.5">
      <c r="A203" s="949"/>
      <c r="B203" s="950"/>
      <c r="C203" s="976" t="s">
        <v>16</v>
      </c>
      <c r="D203" s="951" t="s">
        <v>38</v>
      </c>
      <c r="E203" s="952"/>
      <c r="F203" s="952"/>
      <c r="G203" s="953"/>
      <c r="H203" s="954"/>
      <c r="I203" s="944"/>
      <c r="J203" s="944"/>
      <c r="K203" s="945"/>
      <c r="L203" s="945"/>
      <c r="M203" s="945"/>
      <c r="N203" s="945"/>
      <c r="O203" s="945"/>
      <c r="P203" s="945"/>
      <c r="Q203" s="818"/>
      <c r="R203" s="818"/>
      <c r="S203" s="818"/>
      <c r="T203" s="818"/>
      <c r="U203" s="818"/>
      <c r="V203" s="818"/>
      <c r="W203" s="818"/>
      <c r="X203" s="818"/>
      <c r="Y203" s="818"/>
      <c r="Z203" s="818"/>
    </row>
    <row r="204" spans="1:26" ht="18.75">
      <c r="A204" s="949"/>
      <c r="B204" s="950"/>
      <c r="C204" s="950"/>
      <c r="D204" s="955" t="s">
        <v>101</v>
      </c>
      <c r="E204" s="957"/>
      <c r="F204" s="957"/>
      <c r="G204" s="958"/>
      <c r="H204" s="954" t="s">
        <v>96</v>
      </c>
      <c r="I204" s="830">
        <f ca="1">IFERROR(__xludf.DUMMYFUNCTION("IMPORTRANGE(""https://docs.google.com/spreadsheets/d/1QqKyyYR6Q21VydFLVH3TRQUabQu_ym0Zz7PgGX0-kHA/edit?usp=sharing"",""แผน!AI18"")"),5)</f>
        <v>5</v>
      </c>
      <c r="J204" s="959">
        <v>0</v>
      </c>
      <c r="K204" s="945">
        <f ca="1">IF(I204&gt;0,J204*100/I204,0)</f>
        <v>0</v>
      </c>
      <c r="L204" s="831"/>
      <c r="M204" s="831"/>
      <c r="N204" s="831"/>
      <c r="O204" s="831"/>
      <c r="P204" s="831"/>
      <c r="Q204" s="818"/>
      <c r="R204" s="818"/>
      <c r="S204" s="818"/>
      <c r="T204" s="818"/>
      <c r="U204" s="818"/>
      <c r="V204" s="818"/>
      <c r="W204" s="818"/>
      <c r="X204" s="818"/>
      <c r="Y204" s="818"/>
      <c r="Z204" s="818"/>
    </row>
    <row r="205" spans="1:26" ht="18.75">
      <c r="A205" s="949"/>
      <c r="B205" s="950"/>
      <c r="C205" s="950"/>
      <c r="D205" s="956" t="s">
        <v>59</v>
      </c>
      <c r="E205" s="957"/>
      <c r="F205" s="957"/>
      <c r="G205" s="958"/>
      <c r="H205" s="954"/>
      <c r="I205" s="830"/>
      <c r="J205" s="830"/>
      <c r="K205" s="945"/>
      <c r="L205" s="831"/>
      <c r="M205" s="831"/>
      <c r="N205" s="831"/>
      <c r="O205" s="831"/>
      <c r="P205" s="831"/>
      <c r="Q205" s="818"/>
      <c r="R205" s="818"/>
      <c r="S205" s="818"/>
      <c r="T205" s="818"/>
      <c r="U205" s="818"/>
      <c r="V205" s="818"/>
      <c r="W205" s="818"/>
      <c r="X205" s="818"/>
      <c r="Y205" s="818"/>
      <c r="Z205" s="818"/>
    </row>
    <row r="206" spans="1:26" ht="18.75">
      <c r="A206" s="949"/>
      <c r="B206" s="950"/>
      <c r="C206" s="950"/>
      <c r="D206" s="957"/>
      <c r="E206" s="968" t="s">
        <v>102</v>
      </c>
      <c r="F206" s="1034"/>
      <c r="G206" s="1035"/>
      <c r="H206" s="1036" t="s">
        <v>96</v>
      </c>
      <c r="I206" s="830">
        <v>5</v>
      </c>
      <c r="J206" s="959">
        <v>0</v>
      </c>
      <c r="K206" s="945">
        <f t="shared" ref="K206:K208" si="100">IF(I206&gt;0,J206*100/I206,0)</f>
        <v>0</v>
      </c>
      <c r="L206" s="831"/>
      <c r="M206" s="831"/>
      <c r="N206" s="831"/>
      <c r="O206" s="831"/>
      <c r="P206" s="831"/>
      <c r="Q206" s="818"/>
      <c r="R206" s="818"/>
      <c r="S206" s="818"/>
      <c r="T206" s="818"/>
      <c r="U206" s="818"/>
      <c r="V206" s="818"/>
      <c r="W206" s="818"/>
      <c r="X206" s="818"/>
      <c r="Y206" s="818"/>
      <c r="Z206" s="818"/>
    </row>
    <row r="207" spans="1:26" ht="18.75">
      <c r="A207" s="949"/>
      <c r="B207" s="950"/>
      <c r="C207" s="950"/>
      <c r="D207" s="956"/>
      <c r="E207" s="956" t="s">
        <v>103</v>
      </c>
      <c r="F207" s="957"/>
      <c r="G207" s="957"/>
      <c r="H207" s="290" t="s">
        <v>104</v>
      </c>
      <c r="I207" s="830">
        <v>1</v>
      </c>
      <c r="J207" s="959">
        <v>0</v>
      </c>
      <c r="K207" s="945">
        <f t="shared" si="100"/>
        <v>0</v>
      </c>
      <c r="L207" s="831"/>
      <c r="M207" s="831"/>
      <c r="N207" s="831"/>
      <c r="O207" s="831"/>
      <c r="P207" s="831"/>
      <c r="Q207" s="818"/>
      <c r="R207" s="818"/>
      <c r="S207" s="818"/>
      <c r="T207" s="818"/>
      <c r="U207" s="818"/>
      <c r="V207" s="818"/>
      <c r="W207" s="818"/>
      <c r="X207" s="818"/>
      <c r="Y207" s="818"/>
      <c r="Z207" s="818"/>
    </row>
    <row r="208" spans="1:26" ht="19.5" hidden="1">
      <c r="A208" s="1011"/>
      <c r="B208" s="1018"/>
      <c r="C208" s="1023" t="s">
        <v>105</v>
      </c>
      <c r="D208" s="1012"/>
      <c r="E208" s="1012"/>
      <c r="F208" s="1037"/>
      <c r="G208" s="1014"/>
      <c r="H208" s="278" t="s">
        <v>96</v>
      </c>
      <c r="I208" s="1024">
        <f t="shared" ref="I208:J208" ca="1" si="101">I215</f>
        <v>0</v>
      </c>
      <c r="J208" s="1024">
        <f t="shared" si="101"/>
        <v>0</v>
      </c>
      <c r="K208" s="1025">
        <f t="shared" ca="1" si="100"/>
        <v>0</v>
      </c>
      <c r="L208" s="1016"/>
      <c r="M208" s="1016"/>
      <c r="N208" s="1016"/>
      <c r="O208" s="1016"/>
      <c r="P208" s="1016"/>
    </row>
    <row r="209" spans="1:26" ht="19.5" hidden="1">
      <c r="A209" s="932"/>
      <c r="B209" s="933"/>
      <c r="C209" s="934" t="s">
        <v>16</v>
      </c>
      <c r="D209" s="1026" t="s">
        <v>17</v>
      </c>
      <c r="E209" s="933"/>
      <c r="F209" s="933"/>
      <c r="G209" s="936"/>
      <c r="H209" s="275" t="s">
        <v>12</v>
      </c>
      <c r="I209" s="1028"/>
      <c r="J209" s="1028"/>
      <c r="K209" s="1029"/>
      <c r="L209" s="939">
        <f ca="1">L210+L211+L212</f>
        <v>0</v>
      </c>
      <c r="M209" s="939"/>
      <c r="N209" s="939">
        <f>N210+N211+N212</f>
        <v>0</v>
      </c>
      <c r="O209" s="939">
        <f ca="1">IF(L209&gt;0,N209*100/L209,0)</f>
        <v>0</v>
      </c>
      <c r="P209" s="939">
        <f>IF(M209&gt;0,N209*100/M209,0)</f>
        <v>0</v>
      </c>
      <c r="Q209" s="818"/>
      <c r="R209" s="818"/>
      <c r="S209" s="818"/>
      <c r="T209" s="818"/>
      <c r="U209" s="818"/>
      <c r="V209" s="818"/>
      <c r="W209" s="818"/>
      <c r="X209" s="818"/>
      <c r="Y209" s="818"/>
      <c r="Z209" s="818"/>
    </row>
    <row r="210" spans="1:26" ht="18.75" hidden="1">
      <c r="A210" s="942"/>
      <c r="B210" s="1030"/>
      <c r="C210" s="827"/>
      <c r="D210" s="943" t="s">
        <v>97</v>
      </c>
      <c r="E210" s="827"/>
      <c r="F210" s="827"/>
      <c r="G210" s="829"/>
      <c r="H210" s="778" t="s">
        <v>12</v>
      </c>
      <c r="I210" s="944"/>
      <c r="J210" s="944"/>
      <c r="K210" s="945"/>
      <c r="L210" s="831">
        <f ca="1">IFERROR(__xludf.DUMMYFUNCTION("IMPORTRANGE(""https://docs.google.com/spreadsheets/d/1QqKyyYR6Q21VydFLVH3TRQUabQu_ym0Zz7PgGX0-kHA/edit?usp=sharing"",""แผน!AK18"")"),0)</f>
        <v>0</v>
      </c>
      <c r="M210" s="831"/>
      <c r="N210" s="1031">
        <v>0</v>
      </c>
      <c r="O210" s="831"/>
      <c r="P210" s="831"/>
      <c r="Q210" s="818"/>
      <c r="R210" s="818"/>
      <c r="S210" s="818"/>
      <c r="T210" s="818"/>
      <c r="U210" s="818"/>
      <c r="V210" s="818"/>
      <c r="W210" s="818"/>
      <c r="X210" s="818"/>
      <c r="Y210" s="818"/>
      <c r="Z210" s="818"/>
    </row>
    <row r="211" spans="1:26" ht="19.5" hidden="1">
      <c r="A211" s="1032"/>
      <c r="B211" s="1030"/>
      <c r="C211" s="1038"/>
      <c r="D211" s="943" t="s">
        <v>99</v>
      </c>
      <c r="E211" s="827"/>
      <c r="F211" s="827"/>
      <c r="G211" s="829"/>
      <c r="H211" s="778" t="s">
        <v>12</v>
      </c>
      <c r="I211" s="830"/>
      <c r="J211" s="830"/>
      <c r="K211" s="831"/>
      <c r="L211" s="831">
        <f ca="1">IFERROR(__xludf.DUMMYFUNCTION("IMPORTRANGE(""https://docs.google.com/spreadsheets/d/1QqKyyYR6Q21VydFLVH3TRQUabQu_ym0Zz7PgGX0-kHA/edit?usp=sharing"",""แผน!AL18"")"),0)</f>
        <v>0</v>
      </c>
      <c r="M211" s="831"/>
      <c r="N211" s="1031">
        <v>0</v>
      </c>
      <c r="O211" s="831"/>
      <c r="P211" s="831"/>
      <c r="Q211" s="1033"/>
      <c r="R211" s="1033"/>
      <c r="S211" s="1033"/>
      <c r="T211" s="1033"/>
      <c r="U211" s="1033"/>
      <c r="V211" s="1033"/>
      <c r="W211" s="1033"/>
      <c r="X211" s="1033"/>
      <c r="Y211" s="1033"/>
      <c r="Z211" s="1033"/>
    </row>
    <row r="212" spans="1:26" ht="19.5" hidden="1">
      <c r="A212" s="1032"/>
      <c r="B212" s="1030"/>
      <c r="C212" s="1038"/>
      <c r="D212" s="943" t="s">
        <v>98</v>
      </c>
      <c r="E212" s="827"/>
      <c r="F212" s="827"/>
      <c r="G212" s="829"/>
      <c r="H212" s="778" t="s">
        <v>12</v>
      </c>
      <c r="I212" s="830"/>
      <c r="J212" s="830"/>
      <c r="K212" s="831"/>
      <c r="L212" s="831">
        <f ca="1">IFERROR(__xludf.DUMMYFUNCTION("IMPORTRANGE(""https://docs.google.com/spreadsheets/d/1QqKyyYR6Q21VydFLVH3TRQUabQu_ym0Zz7PgGX0-kHA/edit?usp=sharing"",""แผน!AM18"")"),0)</f>
        <v>0</v>
      </c>
      <c r="M212" s="831"/>
      <c r="N212" s="1031">
        <v>0</v>
      </c>
      <c r="O212" s="831"/>
      <c r="P212" s="831"/>
      <c r="Q212" s="1033"/>
      <c r="R212" s="1033"/>
      <c r="S212" s="1033"/>
      <c r="T212" s="1033"/>
      <c r="U212" s="1033"/>
      <c r="V212" s="1033"/>
      <c r="W212" s="1033"/>
      <c r="X212" s="1033"/>
      <c r="Y212" s="1033"/>
      <c r="Z212" s="1033"/>
    </row>
    <row r="213" spans="1:26" ht="19.5" hidden="1">
      <c r="A213" s="949"/>
      <c r="B213" s="950"/>
      <c r="C213" s="1038" t="s">
        <v>16</v>
      </c>
      <c r="D213" s="951" t="s">
        <v>38</v>
      </c>
      <c r="E213" s="952"/>
      <c r="F213" s="952"/>
      <c r="G213" s="953"/>
      <c r="H213" s="954"/>
      <c r="I213" s="944"/>
      <c r="J213" s="830"/>
      <c r="K213" s="831"/>
      <c r="L213" s="831"/>
      <c r="M213" s="831"/>
      <c r="N213" s="831"/>
      <c r="O213" s="945"/>
      <c r="P213" s="945"/>
      <c r="Q213" s="818"/>
      <c r="R213" s="818"/>
      <c r="S213" s="818"/>
      <c r="T213" s="818"/>
      <c r="U213" s="818"/>
      <c r="V213" s="818"/>
      <c r="W213" s="818"/>
      <c r="X213" s="818"/>
      <c r="Y213" s="818"/>
      <c r="Z213" s="818"/>
    </row>
    <row r="214" spans="1:26" ht="18.75" hidden="1">
      <c r="A214" s="949"/>
      <c r="B214" s="950"/>
      <c r="C214" s="950"/>
      <c r="D214" s="955" t="s">
        <v>106</v>
      </c>
      <c r="E214" s="957"/>
      <c r="F214" s="957"/>
      <c r="G214" s="958"/>
      <c r="H214" s="954" t="s">
        <v>96</v>
      </c>
      <c r="I214" s="830">
        <f ca="1">IFERROR(__xludf.DUMMYFUNCTION("IMPORTRANGE(""https://docs.google.com/spreadsheets/d/1QqKyyYR6Q21VydFLVH3TRQUabQu_ym0Zz7PgGX0-kHA/edit?usp=sharing"",""แผน!AN18"")"),0)</f>
        <v>0</v>
      </c>
      <c r="J214" s="959">
        <v>0</v>
      </c>
      <c r="K214" s="831">
        <f t="shared" ref="K214:K216" ca="1" si="102">IF(I214&gt;0,J214*100/I214,0)</f>
        <v>0</v>
      </c>
      <c r="L214" s="831"/>
      <c r="M214" s="831"/>
      <c r="N214" s="831"/>
      <c r="O214" s="831"/>
      <c r="P214" s="831"/>
      <c r="Q214" s="818"/>
      <c r="R214" s="818"/>
      <c r="S214" s="818"/>
      <c r="T214" s="818"/>
      <c r="U214" s="818"/>
      <c r="V214" s="818"/>
      <c r="W214" s="818"/>
      <c r="X214" s="818"/>
      <c r="Y214" s="818"/>
      <c r="Z214" s="818"/>
    </row>
    <row r="215" spans="1:26" ht="18.75" hidden="1">
      <c r="A215" s="949"/>
      <c r="B215" s="950"/>
      <c r="C215" s="950"/>
      <c r="D215" s="955" t="s">
        <v>107</v>
      </c>
      <c r="E215" s="957"/>
      <c r="F215" s="957"/>
      <c r="G215" s="958"/>
      <c r="H215" s="954" t="s">
        <v>96</v>
      </c>
      <c r="I215" s="830">
        <f ca="1">IFERROR(__xludf.DUMMYFUNCTION("IMPORTRANGE(""https://docs.google.com/spreadsheets/d/1QqKyyYR6Q21VydFLVH3TRQUabQu_ym0Zz7PgGX0-kHA/edit?usp=sharing"",""แผน!AN18"")"),0)</f>
        <v>0</v>
      </c>
      <c r="J215" s="959">
        <v>0</v>
      </c>
      <c r="K215" s="831">
        <f t="shared" ca="1" si="102"/>
        <v>0</v>
      </c>
      <c r="L215" s="831"/>
      <c r="M215" s="831"/>
      <c r="N215" s="831"/>
      <c r="O215" s="831"/>
      <c r="P215" s="831"/>
      <c r="Q215" s="818"/>
      <c r="R215" s="818"/>
      <c r="S215" s="818"/>
      <c r="T215" s="818"/>
      <c r="U215" s="818"/>
      <c r="V215" s="818"/>
      <c r="W215" s="818"/>
      <c r="X215" s="818"/>
      <c r="Y215" s="818"/>
      <c r="Z215" s="818"/>
    </row>
    <row r="216" spans="1:26" ht="19.5">
      <c r="A216" s="1011"/>
      <c r="B216" s="1018"/>
      <c r="C216" s="1023" t="s">
        <v>108</v>
      </c>
      <c r="D216" s="1012"/>
      <c r="E216" s="1012"/>
      <c r="F216" s="1037"/>
      <c r="G216" s="1014"/>
      <c r="H216" s="260" t="s">
        <v>109</v>
      </c>
      <c r="I216" s="1024">
        <f t="shared" ref="I216:J216" ca="1" si="103">I224</f>
        <v>100000</v>
      </c>
      <c r="J216" s="1024">
        <f t="shared" si="103"/>
        <v>0</v>
      </c>
      <c r="K216" s="1025">
        <f t="shared" ca="1" si="102"/>
        <v>0</v>
      </c>
      <c r="L216" s="1016"/>
      <c r="M216" s="1016"/>
      <c r="N216" s="1016"/>
      <c r="O216" s="1016"/>
      <c r="P216" s="1016"/>
    </row>
    <row r="217" spans="1:26" ht="19.5">
      <c r="A217" s="932"/>
      <c r="B217" s="933"/>
      <c r="C217" s="934" t="s">
        <v>16</v>
      </c>
      <c r="D217" s="1026" t="s">
        <v>17</v>
      </c>
      <c r="E217" s="933"/>
      <c r="F217" s="933"/>
      <c r="G217" s="936"/>
      <c r="H217" s="275" t="s">
        <v>12</v>
      </c>
      <c r="I217" s="1028"/>
      <c r="J217" s="1028"/>
      <c r="K217" s="1029"/>
      <c r="L217" s="939">
        <f ca="1">L218+L219+L220</f>
        <v>31000</v>
      </c>
      <c r="M217" s="939"/>
      <c r="N217" s="939">
        <f>N218+N219+N220</f>
        <v>0</v>
      </c>
      <c r="O217" s="939">
        <f ca="1">IF(L217&gt;0,N217*100/L217,0)</f>
        <v>0</v>
      </c>
      <c r="P217" s="939">
        <f>IF(M217&gt;0,N217*100/M217,0)</f>
        <v>0</v>
      </c>
      <c r="Q217" s="818"/>
      <c r="R217" s="818"/>
      <c r="S217" s="818"/>
      <c r="T217" s="818"/>
      <c r="U217" s="818"/>
      <c r="V217" s="818"/>
      <c r="W217" s="818"/>
      <c r="X217" s="818"/>
      <c r="Y217" s="818"/>
      <c r="Z217" s="818"/>
    </row>
    <row r="218" spans="1:26" ht="18.75">
      <c r="A218" s="942"/>
      <c r="B218" s="1030"/>
      <c r="C218" s="827"/>
      <c r="D218" s="943" t="s">
        <v>97</v>
      </c>
      <c r="E218" s="827"/>
      <c r="F218" s="827"/>
      <c r="G218" s="829"/>
      <c r="H218" s="778" t="s">
        <v>12</v>
      </c>
      <c r="I218" s="944"/>
      <c r="J218" s="944"/>
      <c r="K218" s="945"/>
      <c r="L218" s="831">
        <f ca="1">IFERROR(__xludf.DUMMYFUNCTION("IMPORTRANGE(""https://docs.google.com/spreadsheets/d/1QqKyyYR6Q21VydFLVH3TRQUabQu_ym0Zz7PgGX0-kHA/edit?usp=sharing"",""แผน!AP18"")"),6000)</f>
        <v>6000</v>
      </c>
      <c r="M218" s="831"/>
      <c r="N218" s="1031">
        <v>0</v>
      </c>
      <c r="O218" s="831"/>
      <c r="P218" s="831"/>
      <c r="Q218" s="818"/>
      <c r="R218" s="818"/>
      <c r="S218" s="818"/>
      <c r="T218" s="818"/>
      <c r="U218" s="818"/>
      <c r="V218" s="818"/>
      <c r="W218" s="818"/>
      <c r="X218" s="818"/>
      <c r="Y218" s="818"/>
      <c r="Z218" s="818"/>
    </row>
    <row r="219" spans="1:26" ht="19.5">
      <c r="A219" s="1032"/>
      <c r="B219" s="1030"/>
      <c r="C219" s="1038"/>
      <c r="D219" s="943" t="s">
        <v>110</v>
      </c>
      <c r="E219" s="827"/>
      <c r="F219" s="827"/>
      <c r="G219" s="829"/>
      <c r="H219" s="778" t="s">
        <v>12</v>
      </c>
      <c r="I219" s="830"/>
      <c r="J219" s="830"/>
      <c r="K219" s="831"/>
      <c r="L219" s="831">
        <f ca="1">IFERROR(__xludf.DUMMYFUNCTION("IMPORTRANGE(""https://docs.google.com/spreadsheets/d/1QqKyyYR6Q21VydFLVH3TRQUabQu_ym0Zz7PgGX0-kHA/edit?usp=sharing"",""แผน!AQ18"")"),25000)</f>
        <v>25000</v>
      </c>
      <c r="M219" s="831"/>
      <c r="N219" s="1031">
        <v>0</v>
      </c>
      <c r="O219" s="831"/>
      <c r="P219" s="831"/>
      <c r="Q219" s="1033"/>
      <c r="R219" s="1033"/>
      <c r="S219" s="1033"/>
      <c r="T219" s="1033"/>
      <c r="U219" s="1033"/>
      <c r="V219" s="1033"/>
      <c r="W219" s="1033"/>
      <c r="X219" s="1033"/>
      <c r="Y219" s="1033"/>
      <c r="Z219" s="1033"/>
    </row>
    <row r="220" spans="1:26" ht="19.5">
      <c r="A220" s="1032"/>
      <c r="B220" s="1030"/>
      <c r="C220" s="1038"/>
      <c r="D220" s="943" t="s">
        <v>98</v>
      </c>
      <c r="E220" s="827"/>
      <c r="F220" s="827"/>
      <c r="G220" s="829"/>
      <c r="H220" s="778" t="s">
        <v>12</v>
      </c>
      <c r="I220" s="830"/>
      <c r="J220" s="830"/>
      <c r="K220" s="831"/>
      <c r="L220" s="831">
        <f ca="1">IFERROR(__xludf.DUMMYFUNCTION("IMPORTRANGE(""https://docs.google.com/spreadsheets/d/1QqKyyYR6Q21VydFLVH3TRQUabQu_ym0Zz7PgGX0-kHA/edit?usp=sharing"",""แผน!AR18"")"),0)</f>
        <v>0</v>
      </c>
      <c r="M220" s="831"/>
      <c r="N220" s="1031">
        <v>0</v>
      </c>
      <c r="O220" s="831"/>
      <c r="P220" s="831"/>
      <c r="Q220" s="1033"/>
      <c r="R220" s="1033"/>
      <c r="S220" s="1033"/>
      <c r="T220" s="1033"/>
      <c r="U220" s="1033"/>
      <c r="V220" s="1033"/>
      <c r="W220" s="1033"/>
      <c r="X220" s="1033"/>
      <c r="Y220" s="1033"/>
      <c r="Z220" s="1033"/>
    </row>
    <row r="221" spans="1:26" ht="19.5">
      <c r="A221" s="949"/>
      <c r="B221" s="950"/>
      <c r="C221" s="1038" t="s">
        <v>16</v>
      </c>
      <c r="D221" s="951" t="s">
        <v>38</v>
      </c>
      <c r="E221" s="952"/>
      <c r="F221" s="952"/>
      <c r="G221" s="953"/>
      <c r="H221" s="954"/>
      <c r="I221" s="944"/>
      <c r="J221" s="944"/>
      <c r="K221" s="945"/>
      <c r="L221" s="945"/>
      <c r="M221" s="945"/>
      <c r="N221" s="945"/>
      <c r="O221" s="945"/>
      <c r="P221" s="945"/>
      <c r="Q221" s="818"/>
      <c r="R221" s="818"/>
      <c r="S221" s="818"/>
      <c r="T221" s="818"/>
      <c r="U221" s="818"/>
      <c r="V221" s="818"/>
      <c r="W221" s="818"/>
      <c r="X221" s="818"/>
      <c r="Y221" s="818"/>
      <c r="Z221" s="818"/>
    </row>
    <row r="222" spans="1:26" ht="18.75">
      <c r="A222" s="949"/>
      <c r="B222" s="950"/>
      <c r="C222" s="950"/>
      <c r="D222" s="943" t="s">
        <v>111</v>
      </c>
      <c r="E222" s="957"/>
      <c r="F222" s="957"/>
      <c r="G222" s="958"/>
      <c r="H222" s="954"/>
      <c r="I222" s="830"/>
      <c r="J222" s="830"/>
      <c r="K222" s="945"/>
      <c r="L222" s="945"/>
      <c r="M222" s="945"/>
      <c r="N222" s="945"/>
      <c r="O222" s="945"/>
      <c r="P222" s="945"/>
      <c r="Q222" s="818"/>
      <c r="R222" s="818"/>
      <c r="S222" s="818"/>
      <c r="T222" s="818"/>
      <c r="U222" s="818"/>
      <c r="V222" s="818"/>
      <c r="W222" s="818"/>
      <c r="X222" s="818"/>
      <c r="Y222" s="818"/>
      <c r="Z222" s="818"/>
    </row>
    <row r="223" spans="1:26" ht="18.75">
      <c r="A223" s="949"/>
      <c r="B223" s="950"/>
      <c r="C223" s="950"/>
      <c r="D223" s="950"/>
      <c r="E223" s="955" t="s">
        <v>112</v>
      </c>
      <c r="F223" s="957"/>
      <c r="G223" s="958"/>
      <c r="H223" s="730" t="s">
        <v>109</v>
      </c>
      <c r="I223" s="830">
        <f ca="1">IFERROR(__xludf.DUMMYFUNCTION("IMPORTRANGE(""https://docs.google.com/spreadsheets/d/1QqKyyYR6Q21VydFLVH3TRQUabQu_ym0Zz7PgGX0-kHA/edit?usp=sharing"",""แผน!AT18"")"),100000)</f>
        <v>100000</v>
      </c>
      <c r="J223" s="959">
        <v>100000</v>
      </c>
      <c r="K223" s="945">
        <f t="shared" ref="K223:K226" ca="1" si="104">IF(I223&gt;0,J223*100/I223,0)</f>
        <v>100</v>
      </c>
      <c r="L223" s="945"/>
      <c r="M223" s="945"/>
      <c r="N223" s="945"/>
      <c r="O223" s="945"/>
      <c r="P223" s="945"/>
      <c r="Q223" s="818"/>
      <c r="R223" s="818"/>
      <c r="S223" s="818"/>
      <c r="T223" s="818"/>
      <c r="U223" s="818"/>
      <c r="V223" s="818"/>
      <c r="W223" s="818"/>
      <c r="X223" s="818"/>
      <c r="Y223" s="818"/>
      <c r="Z223" s="818"/>
    </row>
    <row r="224" spans="1:26" ht="18.75">
      <c r="A224" s="949"/>
      <c r="B224" s="950"/>
      <c r="C224" s="950"/>
      <c r="D224" s="950"/>
      <c r="E224" s="955" t="s">
        <v>113</v>
      </c>
      <c r="F224" s="957"/>
      <c r="G224" s="958"/>
      <c r="H224" s="730" t="s">
        <v>109</v>
      </c>
      <c r="I224" s="830">
        <f ca="1">IFERROR(__xludf.DUMMYFUNCTION("IMPORTRANGE(""https://docs.google.com/spreadsheets/d/1QqKyyYR6Q21VydFLVH3TRQUabQu_ym0Zz7PgGX0-kHA/edit?usp=sharing"",""แผน!AT18"")"),100000)</f>
        <v>100000</v>
      </c>
      <c r="J224" s="959">
        <v>0</v>
      </c>
      <c r="K224" s="945">
        <f t="shared" ca="1" si="104"/>
        <v>0</v>
      </c>
      <c r="L224" s="831"/>
      <c r="M224" s="831"/>
      <c r="N224" s="831"/>
      <c r="O224" s="831"/>
      <c r="P224" s="831"/>
      <c r="Q224" s="818"/>
      <c r="R224" s="818"/>
      <c r="S224" s="818"/>
      <c r="T224" s="818"/>
      <c r="U224" s="818"/>
      <c r="V224" s="818"/>
      <c r="W224" s="818"/>
      <c r="X224" s="818"/>
      <c r="Y224" s="818"/>
      <c r="Z224" s="818"/>
    </row>
    <row r="225" spans="1:26" ht="18.75">
      <c r="A225" s="949"/>
      <c r="B225" s="950"/>
      <c r="C225" s="950"/>
      <c r="D225" s="943" t="s">
        <v>114</v>
      </c>
      <c r="E225" s="957"/>
      <c r="F225" s="957"/>
      <c r="G225" s="958"/>
      <c r="H225" s="730" t="s">
        <v>35</v>
      </c>
      <c r="I225" s="830">
        <f ca="1">IFERROR(__xludf.DUMMYFUNCTION("IMPORTRANGE(""https://docs.google.com/spreadsheets/d/1QqKyyYR6Q21VydFLVH3TRQUabQu_ym0Zz7PgGX0-kHA/edit?usp=sharing"",""แผน!AS18"")"),0)</f>
        <v>0</v>
      </c>
      <c r="J225" s="959">
        <v>0</v>
      </c>
      <c r="K225" s="945">
        <f t="shared" ca="1" si="104"/>
        <v>0</v>
      </c>
      <c r="L225" s="831"/>
      <c r="M225" s="831"/>
      <c r="N225" s="831"/>
      <c r="O225" s="831"/>
      <c r="P225" s="831"/>
      <c r="Q225" s="818"/>
      <c r="R225" s="818"/>
      <c r="S225" s="818"/>
      <c r="T225" s="818"/>
      <c r="U225" s="818"/>
      <c r="V225" s="818"/>
      <c r="W225" s="818"/>
      <c r="X225" s="818"/>
      <c r="Y225" s="818"/>
      <c r="Z225" s="818"/>
    </row>
    <row r="226" spans="1:26" ht="19.5" hidden="1">
      <c r="A226" s="1011"/>
      <c r="B226" s="1018"/>
      <c r="C226" s="1039" t="s">
        <v>115</v>
      </c>
      <c r="D226" s="1012"/>
      <c r="E226" s="1012"/>
      <c r="F226" s="1012"/>
      <c r="G226" s="1014"/>
      <c r="H226" s="266" t="s">
        <v>35</v>
      </c>
      <c r="I226" s="1040">
        <f t="shared" ref="I226:J226" ca="1" si="105">I237+I248</f>
        <v>0</v>
      </c>
      <c r="J226" s="1040">
        <f t="shared" si="105"/>
        <v>0</v>
      </c>
      <c r="K226" s="1041">
        <f t="shared" ca="1" si="104"/>
        <v>0</v>
      </c>
      <c r="L226" s="1016"/>
      <c r="M226" s="1016"/>
      <c r="N226" s="1016"/>
      <c r="O226" s="1016"/>
      <c r="P226" s="1016"/>
    </row>
    <row r="227" spans="1:26" ht="19.5" hidden="1">
      <c r="A227" s="1042"/>
      <c r="B227" s="1043"/>
      <c r="C227" s="1044" t="s">
        <v>16</v>
      </c>
      <c r="D227" s="1045" t="s">
        <v>17</v>
      </c>
      <c r="E227" s="1043"/>
      <c r="F227" s="1043"/>
      <c r="G227" s="1046"/>
      <c r="H227" s="1047" t="s">
        <v>12</v>
      </c>
      <c r="I227" s="1048"/>
      <c r="J227" s="1048"/>
      <c r="K227" s="1049"/>
      <c r="L227" s="1050">
        <f t="shared" ref="L227:L231" ca="1" si="106">L238+L249</f>
        <v>0</v>
      </c>
      <c r="M227" s="1050"/>
      <c r="N227" s="1050">
        <f t="shared" ref="N227:N231" si="107">N238+N249</f>
        <v>0</v>
      </c>
      <c r="O227" s="1051"/>
      <c r="P227" s="1051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</row>
    <row r="228" spans="1:26" ht="18.75" hidden="1">
      <c r="A228" s="940"/>
      <c r="B228" s="1052"/>
      <c r="C228" s="833"/>
      <c r="D228" s="834" t="s">
        <v>97</v>
      </c>
      <c r="E228" s="833"/>
      <c r="F228" s="833"/>
      <c r="G228" s="835"/>
      <c r="H228" s="165" t="s">
        <v>12</v>
      </c>
      <c r="I228" s="947"/>
      <c r="J228" s="947"/>
      <c r="K228" s="948"/>
      <c r="L228" s="837">
        <f t="shared" ca="1" si="106"/>
        <v>0</v>
      </c>
      <c r="M228" s="837"/>
      <c r="N228" s="837">
        <f t="shared" si="107"/>
        <v>0</v>
      </c>
      <c r="O228" s="837"/>
      <c r="P228" s="837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</row>
    <row r="229" spans="1:26" ht="19.5" hidden="1">
      <c r="A229" s="1053"/>
      <c r="B229" s="1052"/>
      <c r="C229" s="1054"/>
      <c r="D229" s="834" t="s">
        <v>98</v>
      </c>
      <c r="E229" s="833"/>
      <c r="F229" s="833"/>
      <c r="G229" s="835"/>
      <c r="H229" s="165" t="s">
        <v>12</v>
      </c>
      <c r="I229" s="836"/>
      <c r="J229" s="836"/>
      <c r="K229" s="837"/>
      <c r="L229" s="837">
        <f t="shared" ca="1" si="106"/>
        <v>0</v>
      </c>
      <c r="M229" s="837"/>
      <c r="N229" s="837">
        <f t="shared" si="107"/>
        <v>0</v>
      </c>
      <c r="O229" s="837"/>
      <c r="P229" s="837"/>
      <c r="Q229" s="1055"/>
      <c r="R229" s="1055"/>
      <c r="S229" s="1055"/>
      <c r="T229" s="1055"/>
      <c r="U229" s="1055"/>
      <c r="V229" s="1055"/>
      <c r="W229" s="1055"/>
      <c r="X229" s="1055"/>
      <c r="Y229" s="1055"/>
      <c r="Z229" s="1055"/>
    </row>
    <row r="230" spans="1:26" ht="19.5" hidden="1">
      <c r="A230" s="1053"/>
      <c r="B230" s="1052"/>
      <c r="C230" s="1054"/>
      <c r="D230" s="834" t="s">
        <v>116</v>
      </c>
      <c r="E230" s="833"/>
      <c r="F230" s="833"/>
      <c r="G230" s="835"/>
      <c r="H230" s="165" t="s">
        <v>12</v>
      </c>
      <c r="I230" s="836"/>
      <c r="J230" s="836"/>
      <c r="K230" s="837"/>
      <c r="L230" s="837">
        <f t="shared" ca="1" si="106"/>
        <v>0</v>
      </c>
      <c r="M230" s="837"/>
      <c r="N230" s="837">
        <f t="shared" si="107"/>
        <v>0</v>
      </c>
      <c r="O230" s="837"/>
      <c r="P230" s="837"/>
      <c r="Q230" s="1055"/>
      <c r="R230" s="1055"/>
      <c r="S230" s="1055"/>
      <c r="T230" s="1055"/>
      <c r="U230" s="1055"/>
      <c r="V230" s="1055"/>
      <c r="W230" s="1055"/>
      <c r="X230" s="1055"/>
      <c r="Y230" s="1055"/>
      <c r="Z230" s="1055"/>
    </row>
    <row r="231" spans="1:26" ht="19.5" hidden="1">
      <c r="A231" s="1053"/>
      <c r="B231" s="1052"/>
      <c r="C231" s="1054"/>
      <c r="D231" s="834" t="s">
        <v>100</v>
      </c>
      <c r="E231" s="833"/>
      <c r="F231" s="833"/>
      <c r="G231" s="835"/>
      <c r="H231" s="165" t="s">
        <v>12</v>
      </c>
      <c r="I231" s="836"/>
      <c r="J231" s="836"/>
      <c r="K231" s="837"/>
      <c r="L231" s="837">
        <f t="shared" ca="1" si="106"/>
        <v>0</v>
      </c>
      <c r="M231" s="837"/>
      <c r="N231" s="837">
        <f t="shared" si="107"/>
        <v>0</v>
      </c>
      <c r="O231" s="837"/>
      <c r="P231" s="837"/>
      <c r="Q231" s="1055"/>
      <c r="R231" s="1055"/>
      <c r="S231" s="1055"/>
      <c r="T231" s="1055"/>
      <c r="U231" s="1055"/>
      <c r="V231" s="1055"/>
      <c r="W231" s="1055"/>
      <c r="X231" s="1055"/>
      <c r="Y231" s="1055"/>
      <c r="Z231" s="1055"/>
    </row>
    <row r="232" spans="1:26" ht="19.5" hidden="1">
      <c r="A232" s="1056"/>
      <c r="B232" s="1057"/>
      <c r="C232" s="1054" t="s">
        <v>16</v>
      </c>
      <c r="D232" s="1020" t="s">
        <v>38</v>
      </c>
      <c r="E232" s="1058"/>
      <c r="F232" s="1058"/>
      <c r="G232" s="1059"/>
      <c r="H232" s="1060"/>
      <c r="I232" s="947"/>
      <c r="J232" s="836"/>
      <c r="K232" s="837"/>
      <c r="L232" s="837"/>
      <c r="M232" s="837"/>
      <c r="N232" s="837"/>
      <c r="O232" s="948"/>
      <c r="P232" s="948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</row>
    <row r="233" spans="1:26" ht="18.75" hidden="1">
      <c r="A233" s="1056"/>
      <c r="B233" s="1057"/>
      <c r="C233" s="1057"/>
      <c r="D233" s="1022" t="s">
        <v>117</v>
      </c>
      <c r="E233" s="1061"/>
      <c r="F233" s="1061"/>
      <c r="G233" s="1062"/>
      <c r="H233" s="583" t="s">
        <v>35</v>
      </c>
      <c r="I233" s="836">
        <f t="shared" ref="I233:J233" ca="1" si="108">I244+I255</f>
        <v>0</v>
      </c>
      <c r="J233" s="836">
        <f t="shared" si="108"/>
        <v>0</v>
      </c>
      <c r="K233" s="837">
        <f ca="1">IF(I233&gt;0,J233*100/I233,0)</f>
        <v>0</v>
      </c>
      <c r="L233" s="837"/>
      <c r="M233" s="837"/>
      <c r="N233" s="837"/>
      <c r="O233" s="837"/>
      <c r="P233" s="837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</row>
    <row r="234" spans="1:26" ht="18.75" hidden="1">
      <c r="A234" s="1056"/>
      <c r="B234" s="1057"/>
      <c r="C234" s="1057"/>
      <c r="D234" s="1063" t="s">
        <v>43</v>
      </c>
      <c r="E234" s="1061"/>
      <c r="F234" s="1061"/>
      <c r="G234" s="1062"/>
      <c r="H234" s="583"/>
      <c r="I234" s="836"/>
      <c r="J234" s="836"/>
      <c r="K234" s="837"/>
      <c r="L234" s="837"/>
      <c r="M234" s="837"/>
      <c r="N234" s="837"/>
      <c r="O234" s="948"/>
      <c r="P234" s="948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</row>
    <row r="235" spans="1:26" ht="18.75" hidden="1">
      <c r="A235" s="1056"/>
      <c r="B235" s="1057"/>
      <c r="C235" s="1057"/>
      <c r="D235" s="1057"/>
      <c r="E235" s="1021" t="s">
        <v>118</v>
      </c>
      <c r="F235" s="1061"/>
      <c r="G235" s="1062"/>
      <c r="H235" s="583" t="s">
        <v>35</v>
      </c>
      <c r="I235" s="836">
        <f t="shared" ref="I235:J236" si="109">I246+I257</f>
        <v>0</v>
      </c>
      <c r="J235" s="836">
        <f t="shared" si="109"/>
        <v>0</v>
      </c>
      <c r="K235" s="837">
        <f t="shared" ref="K235:K237" si="110">IF(I235&gt;0,J235*100/I235,0)</f>
        <v>0</v>
      </c>
      <c r="L235" s="837"/>
      <c r="M235" s="837"/>
      <c r="N235" s="837"/>
      <c r="O235" s="837"/>
      <c r="P235" s="837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</row>
    <row r="236" spans="1:26" ht="18.75" hidden="1">
      <c r="A236" s="1056"/>
      <c r="B236" s="1057"/>
      <c r="C236" s="1057"/>
      <c r="D236" s="1057"/>
      <c r="E236" s="1021" t="s">
        <v>119</v>
      </c>
      <c r="F236" s="1061"/>
      <c r="G236" s="1062"/>
      <c r="H236" s="583" t="s">
        <v>66</v>
      </c>
      <c r="I236" s="836">
        <f t="shared" si="109"/>
        <v>0</v>
      </c>
      <c r="J236" s="836">
        <f t="shared" si="109"/>
        <v>0</v>
      </c>
      <c r="K236" s="837">
        <f t="shared" si="110"/>
        <v>0</v>
      </c>
      <c r="L236" s="837"/>
      <c r="M236" s="837"/>
      <c r="N236" s="837"/>
      <c r="O236" s="837"/>
      <c r="P236" s="837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</row>
    <row r="237" spans="1:26" ht="19.5" hidden="1">
      <c r="A237" s="1011"/>
      <c r="B237" s="1018"/>
      <c r="C237" s="1023" t="s">
        <v>331</v>
      </c>
      <c r="D237" s="1012"/>
      <c r="E237" s="1012"/>
      <c r="F237" s="1012"/>
      <c r="G237" s="1014"/>
      <c r="H237" s="260" t="s">
        <v>35</v>
      </c>
      <c r="I237" s="1024">
        <f t="shared" ref="I237:J237" ca="1" si="111">I244</f>
        <v>0</v>
      </c>
      <c r="J237" s="1024">
        <f t="shared" si="111"/>
        <v>0</v>
      </c>
      <c r="K237" s="1025">
        <f t="shared" ca="1" si="110"/>
        <v>0</v>
      </c>
      <c r="L237" s="1016"/>
      <c r="M237" s="1016"/>
      <c r="N237" s="1016"/>
      <c r="O237" s="1016"/>
      <c r="P237" s="1016"/>
    </row>
    <row r="238" spans="1:26" ht="19.5" hidden="1">
      <c r="A238" s="932"/>
      <c r="B238" s="933"/>
      <c r="C238" s="934" t="s">
        <v>16</v>
      </c>
      <c r="D238" s="935" t="s">
        <v>17</v>
      </c>
      <c r="E238" s="933"/>
      <c r="F238" s="933"/>
      <c r="G238" s="936"/>
      <c r="H238" s="275" t="s">
        <v>12</v>
      </c>
      <c r="I238" s="1028"/>
      <c r="J238" s="1028"/>
      <c r="K238" s="1029"/>
      <c r="L238" s="939">
        <f ca="1">L239+L240+L241+L242</f>
        <v>0</v>
      </c>
      <c r="M238" s="939"/>
      <c r="N238" s="939">
        <f>N239+N240+N241+N242</f>
        <v>0</v>
      </c>
      <c r="O238" s="939">
        <f ca="1">IF(L238&gt;0,N238*100/L238,0)</f>
        <v>0</v>
      </c>
      <c r="P238" s="939">
        <f>IF(M238&gt;0,N238*100/M238,0)</f>
        <v>0</v>
      </c>
      <c r="Q238" s="818"/>
      <c r="R238" s="818"/>
      <c r="S238" s="818"/>
      <c r="T238" s="818"/>
      <c r="U238" s="818"/>
      <c r="V238" s="818"/>
      <c r="W238" s="818"/>
      <c r="X238" s="818"/>
      <c r="Y238" s="818"/>
      <c r="Z238" s="818"/>
    </row>
    <row r="239" spans="1:26" ht="18.75" hidden="1">
      <c r="A239" s="1064"/>
      <c r="B239" s="1065"/>
      <c r="C239" s="1066"/>
      <c r="D239" s="1067" t="s">
        <v>97</v>
      </c>
      <c r="E239" s="1066"/>
      <c r="F239" s="1066"/>
      <c r="G239" s="1068"/>
      <c r="H239" s="319" t="s">
        <v>12</v>
      </c>
      <c r="I239" s="1069"/>
      <c r="J239" s="1069"/>
      <c r="K239" s="1070"/>
      <c r="L239" s="1071">
        <f ca="1">IFERROR(__xludf.DUMMYFUNCTION("IMPORTRANGE(""https://docs.google.com/spreadsheets/d/1QqKyyYR6Q21VydFLVH3TRQUabQu_ym0Zz7PgGX0-kHA/edit?usp=sharing"",""แผน!AV18"")"),0)</f>
        <v>0</v>
      </c>
      <c r="M239" s="1071"/>
      <c r="N239" s="1072">
        <v>0</v>
      </c>
      <c r="O239" s="1071"/>
      <c r="P239" s="1071"/>
      <c r="Q239" s="1073"/>
      <c r="R239" s="1073"/>
      <c r="S239" s="1073"/>
      <c r="T239" s="1073"/>
      <c r="U239" s="1073"/>
      <c r="V239" s="1073"/>
      <c r="W239" s="1073"/>
      <c r="X239" s="1073"/>
      <c r="Y239" s="1073"/>
      <c r="Z239" s="1073"/>
    </row>
    <row r="240" spans="1:26" ht="19.5" hidden="1">
      <c r="A240" s="1074"/>
      <c r="B240" s="1065"/>
      <c r="C240" s="1075"/>
      <c r="D240" s="1067" t="s">
        <v>98</v>
      </c>
      <c r="E240" s="1066"/>
      <c r="F240" s="1066"/>
      <c r="G240" s="1068"/>
      <c r="H240" s="319" t="s">
        <v>12</v>
      </c>
      <c r="I240" s="1076"/>
      <c r="J240" s="1076"/>
      <c r="K240" s="1071"/>
      <c r="L240" s="1071">
        <f ca="1">IFERROR(__xludf.DUMMYFUNCTION("IMPORTRANGE(""https://docs.google.com/spreadsheets/d/1QqKyyYR6Q21VydFLVH3TRQUabQu_ym0Zz7PgGX0-kHA/edit?usp=sharing"",""แผน!AW18"")"),0)</f>
        <v>0</v>
      </c>
      <c r="M240" s="1071"/>
      <c r="N240" s="1072">
        <v>0</v>
      </c>
      <c r="O240" s="1071"/>
      <c r="P240" s="1071"/>
      <c r="Q240" s="1077"/>
      <c r="R240" s="1077"/>
      <c r="S240" s="1077"/>
      <c r="T240" s="1077"/>
      <c r="U240" s="1077"/>
      <c r="V240" s="1077"/>
      <c r="W240" s="1077"/>
      <c r="X240" s="1077"/>
      <c r="Y240" s="1077"/>
      <c r="Z240" s="1077"/>
    </row>
    <row r="241" spans="1:26" ht="19.5" hidden="1">
      <c r="A241" s="1074"/>
      <c r="B241" s="1065"/>
      <c r="C241" s="1075"/>
      <c r="D241" s="1067" t="s">
        <v>116</v>
      </c>
      <c r="E241" s="1066"/>
      <c r="F241" s="1066"/>
      <c r="G241" s="1068"/>
      <c r="H241" s="319" t="s">
        <v>12</v>
      </c>
      <c r="I241" s="1076"/>
      <c r="J241" s="1076"/>
      <c r="K241" s="1071"/>
      <c r="L241" s="1071">
        <f ca="1">IFERROR(__xludf.DUMMYFUNCTION("IMPORTRANGE(""https://docs.google.com/spreadsheets/d/1QqKyyYR6Q21VydFLVH3TRQUabQu_ym0Zz7PgGX0-kHA/edit?usp=sharing"",""แผน!AX18"")"),0)</f>
        <v>0</v>
      </c>
      <c r="M241" s="1071"/>
      <c r="N241" s="1072">
        <v>0</v>
      </c>
      <c r="O241" s="1071"/>
      <c r="P241" s="1071"/>
      <c r="Q241" s="1077"/>
      <c r="R241" s="1077"/>
      <c r="S241" s="1077"/>
      <c r="T241" s="1077"/>
      <c r="U241" s="1077"/>
      <c r="V241" s="1077"/>
      <c r="W241" s="1077"/>
      <c r="X241" s="1077"/>
      <c r="Y241" s="1077"/>
      <c r="Z241" s="1077"/>
    </row>
    <row r="242" spans="1:26" ht="19.5" hidden="1">
      <c r="A242" s="1074"/>
      <c r="B242" s="1065"/>
      <c r="C242" s="1075"/>
      <c r="D242" s="1067" t="s">
        <v>100</v>
      </c>
      <c r="E242" s="1066"/>
      <c r="F242" s="1066"/>
      <c r="G242" s="1068"/>
      <c r="H242" s="319" t="s">
        <v>12</v>
      </c>
      <c r="I242" s="1076"/>
      <c r="J242" s="1076"/>
      <c r="K242" s="1071"/>
      <c r="L242" s="1071">
        <f ca="1">IFERROR(__xludf.DUMMYFUNCTION("IMPORTRANGE(""https://docs.google.com/spreadsheets/d/1QqKyyYR6Q21VydFLVH3TRQUabQu_ym0Zz7PgGX0-kHA/edit?usp=sharing"",""แผน!AY18"")"),0)</f>
        <v>0</v>
      </c>
      <c r="M242" s="1071"/>
      <c r="N242" s="1072">
        <v>0</v>
      </c>
      <c r="O242" s="1071"/>
      <c r="P242" s="1071"/>
      <c r="Q242" s="1077"/>
      <c r="R242" s="1077"/>
      <c r="S242" s="1077"/>
      <c r="T242" s="1077"/>
      <c r="U242" s="1077"/>
      <c r="V242" s="1077"/>
      <c r="W242" s="1077"/>
      <c r="X242" s="1077"/>
      <c r="Y242" s="1077"/>
      <c r="Z242" s="1077"/>
    </row>
    <row r="243" spans="1:26" ht="19.5" hidden="1">
      <c r="A243" s="949"/>
      <c r="B243" s="950"/>
      <c r="C243" s="1038" t="s">
        <v>16</v>
      </c>
      <c r="D243" s="951" t="s">
        <v>38</v>
      </c>
      <c r="E243" s="952"/>
      <c r="F243" s="952"/>
      <c r="G243" s="953"/>
      <c r="H243" s="954"/>
      <c r="I243" s="944"/>
      <c r="J243" s="830"/>
      <c r="K243" s="831"/>
      <c r="L243" s="831"/>
      <c r="M243" s="831"/>
      <c r="N243" s="831"/>
      <c r="O243" s="945"/>
      <c r="P243" s="945"/>
      <c r="Q243" s="818"/>
      <c r="R243" s="818"/>
      <c r="S243" s="818"/>
      <c r="T243" s="818"/>
      <c r="U243" s="818"/>
      <c r="V243" s="818"/>
      <c r="W243" s="818"/>
      <c r="X243" s="818"/>
      <c r="Y243" s="818"/>
      <c r="Z243" s="818"/>
    </row>
    <row r="244" spans="1:26" ht="18.75" hidden="1">
      <c r="A244" s="949"/>
      <c r="B244" s="950"/>
      <c r="C244" s="950"/>
      <c r="D244" s="956" t="s">
        <v>117</v>
      </c>
      <c r="E244" s="957"/>
      <c r="F244" s="957"/>
      <c r="G244" s="958"/>
      <c r="H244" s="730" t="s">
        <v>35</v>
      </c>
      <c r="I244" s="830">
        <f ca="1">IFERROR(__xludf.DUMMYFUNCTION("IMPORTRANGE(""https://docs.google.com/spreadsheets/d/1QqKyyYR6Q21VydFLVH3TRQUabQu_ym0Zz7PgGX0-kHA/edit?usp=sharing"",""แผน!BE18"")"),0)</f>
        <v>0</v>
      </c>
      <c r="J244" s="959">
        <v>0</v>
      </c>
      <c r="K244" s="831">
        <f ca="1">IF(I244&gt;0,J244*100/I244,0)</f>
        <v>0</v>
      </c>
      <c r="L244" s="831"/>
      <c r="M244" s="831"/>
      <c r="N244" s="831"/>
      <c r="O244" s="831"/>
      <c r="P244" s="831"/>
      <c r="Q244" s="818"/>
      <c r="R244" s="818"/>
      <c r="S244" s="818"/>
      <c r="T244" s="818"/>
      <c r="U244" s="818"/>
      <c r="V244" s="818"/>
      <c r="W244" s="818"/>
      <c r="X244" s="818"/>
      <c r="Y244" s="818"/>
      <c r="Z244" s="818"/>
    </row>
    <row r="245" spans="1:26" ht="18.75" hidden="1">
      <c r="A245" s="949"/>
      <c r="B245" s="950"/>
      <c r="C245" s="950"/>
      <c r="D245" s="1078" t="s">
        <v>43</v>
      </c>
      <c r="E245" s="957"/>
      <c r="F245" s="957"/>
      <c r="G245" s="958"/>
      <c r="H245" s="730"/>
      <c r="I245" s="830"/>
      <c r="J245" s="830"/>
      <c r="K245" s="831"/>
      <c r="L245" s="831"/>
      <c r="M245" s="831"/>
      <c r="N245" s="831"/>
      <c r="O245" s="945"/>
      <c r="P245" s="945"/>
      <c r="Q245" s="818"/>
      <c r="R245" s="818"/>
      <c r="S245" s="818"/>
      <c r="T245" s="818"/>
      <c r="U245" s="818"/>
      <c r="V245" s="818"/>
      <c r="W245" s="818"/>
      <c r="X245" s="818"/>
      <c r="Y245" s="818"/>
      <c r="Z245" s="818"/>
    </row>
    <row r="246" spans="1:26" ht="18.75" hidden="1">
      <c r="A246" s="949"/>
      <c r="B246" s="950"/>
      <c r="C246" s="950"/>
      <c r="D246" s="950"/>
      <c r="E246" s="955" t="s">
        <v>118</v>
      </c>
      <c r="F246" s="957"/>
      <c r="G246" s="958"/>
      <c r="H246" s="730" t="s">
        <v>35</v>
      </c>
      <c r="I246" s="830"/>
      <c r="J246" s="959">
        <v>0</v>
      </c>
      <c r="K246" s="831">
        <f t="shared" ref="K246:K248" si="112">IF(I246&gt;0,J246*100/I246,0)</f>
        <v>0</v>
      </c>
      <c r="L246" s="831"/>
      <c r="M246" s="831"/>
      <c r="N246" s="831"/>
      <c r="O246" s="831"/>
      <c r="P246" s="831"/>
      <c r="Q246" s="818"/>
      <c r="R246" s="818"/>
      <c r="S246" s="818"/>
      <c r="T246" s="818"/>
      <c r="U246" s="818"/>
      <c r="V246" s="818"/>
      <c r="W246" s="818"/>
      <c r="X246" s="818"/>
      <c r="Y246" s="818"/>
      <c r="Z246" s="818"/>
    </row>
    <row r="247" spans="1:26" ht="18.75" hidden="1">
      <c r="A247" s="949"/>
      <c r="B247" s="950"/>
      <c r="C247" s="950"/>
      <c r="D247" s="950"/>
      <c r="E247" s="955" t="s">
        <v>119</v>
      </c>
      <c r="F247" s="957"/>
      <c r="G247" s="958"/>
      <c r="H247" s="730" t="s">
        <v>66</v>
      </c>
      <c r="I247" s="830"/>
      <c r="J247" s="959">
        <v>0</v>
      </c>
      <c r="K247" s="831">
        <f t="shared" si="112"/>
        <v>0</v>
      </c>
      <c r="L247" s="831"/>
      <c r="M247" s="831"/>
      <c r="N247" s="831"/>
      <c r="O247" s="831"/>
      <c r="P247" s="831"/>
      <c r="Q247" s="818"/>
      <c r="R247" s="818"/>
      <c r="S247" s="818"/>
      <c r="T247" s="818"/>
      <c r="U247" s="818"/>
      <c r="V247" s="818"/>
      <c r="W247" s="818"/>
      <c r="X247" s="818"/>
      <c r="Y247" s="818"/>
      <c r="Z247" s="818"/>
    </row>
    <row r="248" spans="1:26" ht="19.5" hidden="1">
      <c r="A248" s="1011"/>
      <c r="B248" s="1018"/>
      <c r="C248" s="1023" t="s">
        <v>332</v>
      </c>
      <c r="D248" s="1012"/>
      <c r="E248" s="1012"/>
      <c r="F248" s="1012"/>
      <c r="G248" s="1014"/>
      <c r="H248" s="260" t="s">
        <v>35</v>
      </c>
      <c r="I248" s="1024">
        <f t="shared" ref="I248:J248" ca="1" si="113">I255</f>
        <v>0</v>
      </c>
      <c r="J248" s="1024">
        <f t="shared" si="113"/>
        <v>0</v>
      </c>
      <c r="K248" s="1025">
        <f t="shared" ca="1" si="112"/>
        <v>0</v>
      </c>
      <c r="L248" s="1016"/>
      <c r="M248" s="1016"/>
      <c r="N248" s="1016"/>
      <c r="O248" s="1016"/>
      <c r="P248" s="1016"/>
    </row>
    <row r="249" spans="1:26" ht="19.5" hidden="1">
      <c r="A249" s="932"/>
      <c r="B249" s="933"/>
      <c r="C249" s="934" t="s">
        <v>16</v>
      </c>
      <c r="D249" s="1026" t="s">
        <v>17</v>
      </c>
      <c r="E249" s="933"/>
      <c r="F249" s="933"/>
      <c r="G249" s="936"/>
      <c r="H249" s="275" t="s">
        <v>12</v>
      </c>
      <c r="I249" s="1028"/>
      <c r="J249" s="1028"/>
      <c r="K249" s="1029"/>
      <c r="L249" s="939">
        <f ca="1">L250+L251+L252+L253</f>
        <v>0</v>
      </c>
      <c r="M249" s="939"/>
      <c r="N249" s="939">
        <f>N250+N251+N252+N253</f>
        <v>0</v>
      </c>
      <c r="O249" s="939">
        <f ca="1">IF(L249&gt;0,N249*100/L249,0)</f>
        <v>0</v>
      </c>
      <c r="P249" s="939">
        <f>IF(M249&gt;0,N249*100/M249,0)</f>
        <v>0</v>
      </c>
      <c r="Q249" s="818"/>
      <c r="R249" s="818"/>
      <c r="S249" s="818"/>
      <c r="T249" s="818"/>
      <c r="U249" s="818"/>
      <c r="V249" s="818"/>
      <c r="W249" s="818"/>
      <c r="X249" s="818"/>
      <c r="Y249" s="818"/>
      <c r="Z249" s="818"/>
    </row>
    <row r="250" spans="1:26" ht="18.75" hidden="1">
      <c r="A250" s="1064"/>
      <c r="B250" s="1065"/>
      <c r="C250" s="1066"/>
      <c r="D250" s="1067" t="s">
        <v>97</v>
      </c>
      <c r="E250" s="1066"/>
      <c r="F250" s="1066"/>
      <c r="G250" s="1068"/>
      <c r="H250" s="319" t="s">
        <v>12</v>
      </c>
      <c r="I250" s="1069"/>
      <c r="J250" s="1069"/>
      <c r="K250" s="1070"/>
      <c r="L250" s="1071">
        <f ca="1">IFERROR(__xludf.DUMMYFUNCTION("IMPORTRANGE(""https://docs.google.com/spreadsheets/d/1QqKyyYR6Q21VydFLVH3TRQUabQu_ym0Zz7PgGX0-kHA/edit?usp=sharing"",""แผน!AZ18"")"),0)</f>
        <v>0</v>
      </c>
      <c r="M250" s="1071"/>
      <c r="N250" s="1072">
        <v>0</v>
      </c>
      <c r="O250" s="1071"/>
      <c r="P250" s="1071"/>
      <c r="Q250" s="1073"/>
      <c r="R250" s="1073"/>
      <c r="S250" s="1073"/>
      <c r="T250" s="1073"/>
      <c r="U250" s="1073"/>
      <c r="V250" s="1073"/>
      <c r="W250" s="1073"/>
      <c r="X250" s="1073"/>
      <c r="Y250" s="1073"/>
      <c r="Z250" s="1073"/>
    </row>
    <row r="251" spans="1:26" ht="19.5" hidden="1">
      <c r="A251" s="1074"/>
      <c r="B251" s="1065"/>
      <c r="C251" s="1075"/>
      <c r="D251" s="1067" t="s">
        <v>98</v>
      </c>
      <c r="E251" s="1066"/>
      <c r="F251" s="1066"/>
      <c r="G251" s="1068"/>
      <c r="H251" s="319" t="s">
        <v>12</v>
      </c>
      <c r="I251" s="1076"/>
      <c r="J251" s="1076"/>
      <c r="K251" s="1071"/>
      <c r="L251" s="1071">
        <f ca="1">IFERROR(__xludf.DUMMYFUNCTION("IMPORTRANGE(""https://docs.google.com/spreadsheets/d/1QqKyyYR6Q21VydFLVH3TRQUabQu_ym0Zz7PgGX0-kHA/edit?usp=sharing"",""แผน!BA18"")"),0)</f>
        <v>0</v>
      </c>
      <c r="M251" s="1071"/>
      <c r="N251" s="1072">
        <v>0</v>
      </c>
      <c r="O251" s="1071"/>
      <c r="P251" s="1071"/>
      <c r="Q251" s="1077"/>
      <c r="R251" s="1077"/>
      <c r="S251" s="1077"/>
      <c r="T251" s="1077"/>
      <c r="U251" s="1077"/>
      <c r="V251" s="1077"/>
      <c r="W251" s="1077"/>
      <c r="X251" s="1077"/>
      <c r="Y251" s="1077"/>
      <c r="Z251" s="1077"/>
    </row>
    <row r="252" spans="1:26" ht="19.5" hidden="1">
      <c r="A252" s="1074"/>
      <c r="B252" s="1065"/>
      <c r="C252" s="1075"/>
      <c r="D252" s="1067" t="s">
        <v>116</v>
      </c>
      <c r="E252" s="1066"/>
      <c r="F252" s="1066"/>
      <c r="G252" s="1068"/>
      <c r="H252" s="319" t="s">
        <v>12</v>
      </c>
      <c r="I252" s="1076"/>
      <c r="J252" s="1076"/>
      <c r="K252" s="1071"/>
      <c r="L252" s="1071">
        <f ca="1">IFERROR(__xludf.DUMMYFUNCTION("IMPORTRANGE(""https://docs.google.com/spreadsheets/d/1QqKyyYR6Q21VydFLVH3TRQUabQu_ym0Zz7PgGX0-kHA/edit?usp=sharing"",""แผน!BB18"")"),0)</f>
        <v>0</v>
      </c>
      <c r="M252" s="1071"/>
      <c r="N252" s="1072">
        <v>0</v>
      </c>
      <c r="O252" s="1071"/>
      <c r="P252" s="1071"/>
      <c r="Q252" s="1077"/>
      <c r="R252" s="1077"/>
      <c r="S252" s="1077"/>
      <c r="T252" s="1077"/>
      <c r="U252" s="1077"/>
      <c r="V252" s="1077"/>
      <c r="W252" s="1077"/>
      <c r="X252" s="1077"/>
      <c r="Y252" s="1077"/>
      <c r="Z252" s="1077"/>
    </row>
    <row r="253" spans="1:26" ht="19.5" hidden="1">
      <c r="A253" s="1074"/>
      <c r="B253" s="1065"/>
      <c r="C253" s="1075"/>
      <c r="D253" s="1067" t="s">
        <v>100</v>
      </c>
      <c r="E253" s="1066"/>
      <c r="F253" s="1066"/>
      <c r="G253" s="1068"/>
      <c r="H253" s="319" t="s">
        <v>12</v>
      </c>
      <c r="I253" s="1076"/>
      <c r="J253" s="1076"/>
      <c r="K253" s="1071"/>
      <c r="L253" s="1071">
        <f ca="1">IFERROR(__xludf.DUMMYFUNCTION("IMPORTRANGE(""https://docs.google.com/spreadsheets/d/1QqKyyYR6Q21VydFLVH3TRQUabQu_ym0Zz7PgGX0-kHA/edit?usp=sharing"",""แผน!BC18"")"),0)</f>
        <v>0</v>
      </c>
      <c r="M253" s="1071"/>
      <c r="N253" s="1072">
        <v>0</v>
      </c>
      <c r="O253" s="1071"/>
      <c r="P253" s="1071"/>
      <c r="Q253" s="1077"/>
      <c r="R253" s="1077"/>
      <c r="S253" s="1077"/>
      <c r="T253" s="1077"/>
      <c r="U253" s="1077"/>
      <c r="V253" s="1077"/>
      <c r="W253" s="1077"/>
      <c r="X253" s="1077"/>
      <c r="Y253" s="1077"/>
      <c r="Z253" s="1077"/>
    </row>
    <row r="254" spans="1:26" ht="19.5" hidden="1">
      <c r="A254" s="949"/>
      <c r="B254" s="950"/>
      <c r="C254" s="1038" t="s">
        <v>16</v>
      </c>
      <c r="D254" s="951" t="s">
        <v>38</v>
      </c>
      <c r="E254" s="952"/>
      <c r="F254" s="952"/>
      <c r="G254" s="953"/>
      <c r="H254" s="954"/>
      <c r="I254" s="944"/>
      <c r="J254" s="830"/>
      <c r="K254" s="831"/>
      <c r="L254" s="831"/>
      <c r="M254" s="831"/>
      <c r="N254" s="831"/>
      <c r="O254" s="945"/>
      <c r="P254" s="945"/>
      <c r="Q254" s="818"/>
      <c r="R254" s="818"/>
      <c r="S254" s="818"/>
      <c r="T254" s="818"/>
      <c r="U254" s="818"/>
      <c r="V254" s="818"/>
      <c r="W254" s="818"/>
      <c r="X254" s="818"/>
      <c r="Y254" s="818"/>
      <c r="Z254" s="818"/>
    </row>
    <row r="255" spans="1:26" ht="18.75" hidden="1">
      <c r="A255" s="949"/>
      <c r="B255" s="950"/>
      <c r="C255" s="950"/>
      <c r="D255" s="956" t="s">
        <v>117</v>
      </c>
      <c r="E255" s="957"/>
      <c r="F255" s="957"/>
      <c r="G255" s="958"/>
      <c r="H255" s="730" t="s">
        <v>35</v>
      </c>
      <c r="I255" s="830">
        <f ca="1">IFERROR(__xludf.DUMMYFUNCTION("IMPORTRANGE(""https://docs.google.com/spreadsheets/d/1QqKyyYR6Q21VydFLVH3TRQUabQu_ym0Zz7PgGX0-kHA/edit?usp=sharing"",""แผน!BF18"")"),0)</f>
        <v>0</v>
      </c>
      <c r="J255" s="959">
        <v>0</v>
      </c>
      <c r="K255" s="831">
        <f ca="1">IF(I255&gt;0,J255*100/I255,0)</f>
        <v>0</v>
      </c>
      <c r="L255" s="831"/>
      <c r="M255" s="831"/>
      <c r="N255" s="831"/>
      <c r="O255" s="831"/>
      <c r="P255" s="831"/>
      <c r="Q255" s="818"/>
      <c r="R255" s="818"/>
      <c r="S255" s="818"/>
      <c r="T255" s="818"/>
      <c r="U255" s="818"/>
      <c r="V255" s="818"/>
      <c r="W255" s="818"/>
      <c r="X255" s="818"/>
      <c r="Y255" s="818"/>
      <c r="Z255" s="818"/>
    </row>
    <row r="256" spans="1:26" ht="18.75" hidden="1">
      <c r="A256" s="949"/>
      <c r="B256" s="950"/>
      <c r="C256" s="950"/>
      <c r="D256" s="1078" t="s">
        <v>43</v>
      </c>
      <c r="E256" s="957"/>
      <c r="F256" s="957"/>
      <c r="G256" s="958"/>
      <c r="H256" s="730"/>
      <c r="I256" s="830"/>
      <c r="J256" s="830"/>
      <c r="K256" s="831"/>
      <c r="L256" s="831"/>
      <c r="M256" s="831"/>
      <c r="N256" s="831"/>
      <c r="O256" s="945"/>
      <c r="P256" s="945"/>
      <c r="Q256" s="818"/>
      <c r="R256" s="818"/>
      <c r="S256" s="818"/>
      <c r="T256" s="818"/>
      <c r="U256" s="818"/>
      <c r="V256" s="818"/>
      <c r="W256" s="818"/>
      <c r="X256" s="818"/>
      <c r="Y256" s="818"/>
      <c r="Z256" s="818"/>
    </row>
    <row r="257" spans="1:26" ht="18.75" hidden="1">
      <c r="A257" s="949"/>
      <c r="B257" s="950"/>
      <c r="C257" s="950"/>
      <c r="D257" s="950"/>
      <c r="E257" s="955" t="s">
        <v>118</v>
      </c>
      <c r="F257" s="957"/>
      <c r="G257" s="958"/>
      <c r="H257" s="730" t="s">
        <v>35</v>
      </c>
      <c r="I257" s="830"/>
      <c r="J257" s="959">
        <v>0</v>
      </c>
      <c r="K257" s="831">
        <f t="shared" ref="K257:K258" si="114">IF(I257&gt;0,J257*100/I257,0)</f>
        <v>0</v>
      </c>
      <c r="L257" s="831"/>
      <c r="M257" s="831"/>
      <c r="N257" s="831"/>
      <c r="O257" s="831"/>
      <c r="P257" s="831"/>
      <c r="Q257" s="818"/>
      <c r="R257" s="818"/>
      <c r="S257" s="818"/>
      <c r="T257" s="818"/>
      <c r="U257" s="818"/>
      <c r="V257" s="818"/>
      <c r="W257" s="818"/>
      <c r="X257" s="818"/>
      <c r="Y257" s="818"/>
      <c r="Z257" s="818"/>
    </row>
    <row r="258" spans="1:26" ht="18.75" hidden="1">
      <c r="A258" s="949"/>
      <c r="B258" s="950"/>
      <c r="C258" s="950"/>
      <c r="D258" s="950"/>
      <c r="E258" s="955" t="s">
        <v>119</v>
      </c>
      <c r="F258" s="957"/>
      <c r="G258" s="958"/>
      <c r="H258" s="730" t="s">
        <v>66</v>
      </c>
      <c r="I258" s="830"/>
      <c r="J258" s="959">
        <v>0</v>
      </c>
      <c r="K258" s="831">
        <f t="shared" si="114"/>
        <v>0</v>
      </c>
      <c r="L258" s="831"/>
      <c r="M258" s="831"/>
      <c r="N258" s="831"/>
      <c r="O258" s="831"/>
      <c r="P258" s="831"/>
      <c r="Q258" s="818"/>
      <c r="R258" s="818"/>
      <c r="S258" s="818"/>
      <c r="T258" s="818"/>
      <c r="U258" s="818"/>
      <c r="V258" s="818"/>
      <c r="W258" s="818"/>
      <c r="X258" s="818"/>
      <c r="Y258" s="818"/>
      <c r="Z258" s="818"/>
    </row>
    <row r="259" spans="1:26" ht="19.5">
      <c r="A259" s="998" t="s">
        <v>122</v>
      </c>
      <c r="B259" s="999"/>
      <c r="C259" s="999"/>
      <c r="D259" s="1000"/>
      <c r="E259" s="1000"/>
      <c r="F259" s="1000"/>
      <c r="G259" s="1001"/>
      <c r="H259" s="1002"/>
      <c r="I259" s="1003"/>
      <c r="J259" s="1003"/>
      <c r="K259" s="1004"/>
      <c r="L259" s="1004"/>
      <c r="M259" s="1004"/>
      <c r="N259" s="1004"/>
      <c r="O259" s="1004"/>
      <c r="P259" s="1004"/>
    </row>
    <row r="260" spans="1:26" ht="19.5">
      <c r="A260" s="1005"/>
      <c r="B260" s="1006" t="s">
        <v>123</v>
      </c>
      <c r="C260" s="1007"/>
      <c r="D260" s="952"/>
      <c r="E260" s="952"/>
      <c r="F260" s="952"/>
      <c r="G260" s="953"/>
      <c r="H260" s="252" t="s">
        <v>35</v>
      </c>
      <c r="I260" s="1008">
        <f t="shared" ref="I260:J260" ca="1" si="115">I271</f>
        <v>22</v>
      </c>
      <c r="J260" s="1008">
        <f t="shared" si="115"/>
        <v>22</v>
      </c>
      <c r="K260" s="1009">
        <f ca="1">IF(I260&gt;0,J260*100/I260,0)</f>
        <v>100</v>
      </c>
      <c r="L260" s="1010"/>
      <c r="M260" s="1010"/>
      <c r="N260" s="1010"/>
      <c r="O260" s="1010"/>
      <c r="P260" s="1010"/>
    </row>
    <row r="261" spans="1:26" ht="19.5">
      <c r="A261" s="932"/>
      <c r="B261" s="933"/>
      <c r="C261" s="934" t="s">
        <v>16</v>
      </c>
      <c r="D261" s="935" t="s">
        <v>17</v>
      </c>
      <c r="E261" s="933"/>
      <c r="F261" s="933"/>
      <c r="G261" s="936"/>
      <c r="H261" s="152" t="s">
        <v>12</v>
      </c>
      <c r="I261" s="937"/>
      <c r="J261" s="937"/>
      <c r="K261" s="938"/>
      <c r="L261" s="939">
        <f t="shared" ref="L261:N261" ca="1" si="116">L262+L263</f>
        <v>26900</v>
      </c>
      <c r="M261" s="939">
        <f t="shared" ca="1" si="116"/>
        <v>23900</v>
      </c>
      <c r="N261" s="939">
        <f t="shared" ca="1" si="116"/>
        <v>21780</v>
      </c>
      <c r="O261" s="939">
        <f t="shared" ref="O261:O269" ca="1" si="117">IF(L261&gt;0,N261*100/L261,0)</f>
        <v>80.966542750929364</v>
      </c>
      <c r="P261" s="939">
        <f t="shared" ref="P261:P269" ca="1" si="118">IF(M261&gt;0,N261*100/M261,0)</f>
        <v>91.129707112970706</v>
      </c>
      <c r="Q261" s="818"/>
      <c r="R261" s="818"/>
      <c r="S261" s="818"/>
      <c r="T261" s="818"/>
      <c r="U261" s="818"/>
      <c r="V261" s="818"/>
      <c r="W261" s="818"/>
      <c r="X261" s="818"/>
      <c r="Y261" s="818"/>
      <c r="Z261" s="818"/>
    </row>
    <row r="262" spans="1:26" ht="18.75" hidden="1">
      <c r="A262" s="940"/>
      <c r="B262" s="833"/>
      <c r="C262" s="833"/>
      <c r="D262" s="833"/>
      <c r="E262" s="834" t="s">
        <v>18</v>
      </c>
      <c r="F262" s="833"/>
      <c r="G262" s="941"/>
      <c r="H262" s="158" t="s">
        <v>12</v>
      </c>
      <c r="I262" s="836"/>
      <c r="J262" s="836"/>
      <c r="K262" s="837"/>
      <c r="L262" s="837">
        <f t="shared" ref="L262:N263" si="119">L265+L268</f>
        <v>0</v>
      </c>
      <c r="M262" s="837">
        <f t="shared" si="119"/>
        <v>0</v>
      </c>
      <c r="N262" s="837">
        <f t="shared" si="119"/>
        <v>0</v>
      </c>
      <c r="O262" s="837">
        <f t="shared" si="117"/>
        <v>0</v>
      </c>
      <c r="P262" s="837">
        <f t="shared" si="118"/>
        <v>0</v>
      </c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</row>
    <row r="263" spans="1:26" ht="18.75" hidden="1">
      <c r="A263" s="940"/>
      <c r="B263" s="833"/>
      <c r="C263" s="833"/>
      <c r="D263" s="833"/>
      <c r="E263" s="834" t="s">
        <v>19</v>
      </c>
      <c r="F263" s="833"/>
      <c r="G263" s="941"/>
      <c r="H263" s="158" t="s">
        <v>12</v>
      </c>
      <c r="I263" s="836"/>
      <c r="J263" s="836"/>
      <c r="K263" s="837"/>
      <c r="L263" s="837">
        <f t="shared" ca="1" si="119"/>
        <v>26900</v>
      </c>
      <c r="M263" s="837">
        <f t="shared" ca="1" si="119"/>
        <v>23900</v>
      </c>
      <c r="N263" s="837">
        <f t="shared" ca="1" si="119"/>
        <v>21780</v>
      </c>
      <c r="O263" s="837">
        <f t="shared" ca="1" si="117"/>
        <v>80.966542750929364</v>
      </c>
      <c r="P263" s="837">
        <f t="shared" ca="1" si="118"/>
        <v>91.129707112970706</v>
      </c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</row>
    <row r="264" spans="1:26" ht="18.75">
      <c r="A264" s="942"/>
      <c r="B264" s="827"/>
      <c r="C264" s="943"/>
      <c r="D264" s="828" t="s">
        <v>20</v>
      </c>
      <c r="E264" s="827"/>
      <c r="F264" s="827"/>
      <c r="G264" s="829"/>
      <c r="H264" s="778" t="s">
        <v>12</v>
      </c>
      <c r="I264" s="944"/>
      <c r="J264" s="944"/>
      <c r="K264" s="945"/>
      <c r="L264" s="831">
        <f t="shared" ref="L264:N264" ca="1" si="120">L265+L266</f>
        <v>26900</v>
      </c>
      <c r="M264" s="831">
        <f t="shared" ca="1" si="120"/>
        <v>23900</v>
      </c>
      <c r="N264" s="831">
        <f t="shared" ca="1" si="120"/>
        <v>21780</v>
      </c>
      <c r="O264" s="831">
        <f t="shared" ca="1" si="117"/>
        <v>80.966542750929364</v>
      </c>
      <c r="P264" s="831">
        <f t="shared" ca="1" si="118"/>
        <v>91.129707112970706</v>
      </c>
      <c r="Q264" s="818"/>
      <c r="R264" s="818"/>
      <c r="S264" s="818"/>
      <c r="T264" s="818"/>
      <c r="U264" s="818"/>
      <c r="V264" s="818"/>
      <c r="W264" s="818"/>
      <c r="X264" s="818"/>
      <c r="Y264" s="818"/>
      <c r="Z264" s="818"/>
    </row>
    <row r="265" spans="1:26" ht="19.5" hidden="1">
      <c r="A265" s="940"/>
      <c r="B265" s="833"/>
      <c r="C265" s="946"/>
      <c r="D265" s="833"/>
      <c r="E265" s="834" t="s">
        <v>36</v>
      </c>
      <c r="F265" s="833"/>
      <c r="G265" s="941"/>
      <c r="H265" s="165" t="s">
        <v>12</v>
      </c>
      <c r="I265" s="947"/>
      <c r="J265" s="947"/>
      <c r="K265" s="948"/>
      <c r="L265" s="837">
        <v>0</v>
      </c>
      <c r="M265" s="837">
        <v>0</v>
      </c>
      <c r="N265" s="837">
        <v>0</v>
      </c>
      <c r="O265" s="837">
        <f t="shared" si="117"/>
        <v>0</v>
      </c>
      <c r="P265" s="837">
        <f t="shared" si="118"/>
        <v>0</v>
      </c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</row>
    <row r="266" spans="1:26" ht="19.5" hidden="1">
      <c r="A266" s="940"/>
      <c r="B266" s="833"/>
      <c r="C266" s="946"/>
      <c r="D266" s="833"/>
      <c r="E266" s="834" t="s">
        <v>37</v>
      </c>
      <c r="F266" s="833"/>
      <c r="G266" s="941"/>
      <c r="H266" s="165" t="s">
        <v>12</v>
      </c>
      <c r="I266" s="947"/>
      <c r="J266" s="947"/>
      <c r="K266" s="948"/>
      <c r="L266" s="837">
        <f ca="1">IFERROR(__xludf.DUMMYFUNCTION("IMPORTRANGE(""https://docs.google.com/spreadsheets/d/1MeEWN-I1oV_STSDYn1IFDPWt_1FKiwhDph83XaGc0o0/edit?usp=sharing"",""งบพรบ!CY18"")"),26900)</f>
        <v>26900</v>
      </c>
      <c r="M266" s="837">
        <f ca="1">IFERROR(__xludf.DUMMYFUNCTION("IMPORTRANGE(""https://docs.google.com/spreadsheets/d/1MeEWN-I1oV_STSDYn1IFDPWt_1FKiwhDph83XaGc0o0/edit?usp=sharing"",""งบพรบ!DD18"")"),23900)</f>
        <v>23900</v>
      </c>
      <c r="N266" s="837">
        <f ca="1">IFERROR(__xludf.DUMMYFUNCTION("IMPORTRANGE(""https://docs.google.com/spreadsheets/d/1MeEWN-I1oV_STSDYn1IFDPWt_1FKiwhDph83XaGc0o0/edit?usp=sharing"",""งบพรบ!DF18"")"),21780)</f>
        <v>21780</v>
      </c>
      <c r="O266" s="837">
        <f t="shared" ca="1" si="117"/>
        <v>80.966542750929364</v>
      </c>
      <c r="P266" s="837">
        <f t="shared" ca="1" si="118"/>
        <v>91.129707112970706</v>
      </c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</row>
    <row r="267" spans="1:26" ht="18.75">
      <c r="A267" s="942"/>
      <c r="B267" s="827"/>
      <c r="C267" s="943"/>
      <c r="D267" s="828" t="s">
        <v>21</v>
      </c>
      <c r="E267" s="827"/>
      <c r="F267" s="827"/>
      <c r="G267" s="829"/>
      <c r="H267" s="168" t="s">
        <v>12</v>
      </c>
      <c r="I267" s="944"/>
      <c r="J267" s="944"/>
      <c r="K267" s="945"/>
      <c r="L267" s="831">
        <f t="shared" ref="L267:N267" ca="1" si="121">L268+L269</f>
        <v>0</v>
      </c>
      <c r="M267" s="831">
        <f t="shared" ca="1" si="121"/>
        <v>0</v>
      </c>
      <c r="N267" s="831">
        <f t="shared" ca="1" si="121"/>
        <v>0</v>
      </c>
      <c r="O267" s="831">
        <f t="shared" ca="1" si="117"/>
        <v>0</v>
      </c>
      <c r="P267" s="831">
        <f t="shared" ca="1" si="118"/>
        <v>0</v>
      </c>
      <c r="Q267" s="818"/>
      <c r="R267" s="818"/>
      <c r="S267" s="818"/>
      <c r="T267" s="818"/>
      <c r="U267" s="818"/>
      <c r="V267" s="818"/>
      <c r="W267" s="818"/>
      <c r="X267" s="818"/>
      <c r="Y267" s="818"/>
      <c r="Z267" s="818"/>
    </row>
    <row r="268" spans="1:26" ht="19.5" hidden="1">
      <c r="A268" s="940"/>
      <c r="B268" s="833"/>
      <c r="C268" s="946"/>
      <c r="D268" s="833"/>
      <c r="E268" s="834" t="s">
        <v>18</v>
      </c>
      <c r="F268" s="833"/>
      <c r="G268" s="941"/>
      <c r="H268" s="165" t="s">
        <v>12</v>
      </c>
      <c r="I268" s="947"/>
      <c r="J268" s="947"/>
      <c r="K268" s="948"/>
      <c r="L268" s="837">
        <v>0</v>
      </c>
      <c r="M268" s="837">
        <v>0</v>
      </c>
      <c r="N268" s="837">
        <v>0</v>
      </c>
      <c r="O268" s="837">
        <f t="shared" si="117"/>
        <v>0</v>
      </c>
      <c r="P268" s="837">
        <f t="shared" si="118"/>
        <v>0</v>
      </c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</row>
    <row r="269" spans="1:26" ht="19.5" hidden="1">
      <c r="A269" s="940"/>
      <c r="B269" s="833"/>
      <c r="C269" s="946"/>
      <c r="D269" s="833"/>
      <c r="E269" s="834" t="s">
        <v>19</v>
      </c>
      <c r="F269" s="833"/>
      <c r="G269" s="941"/>
      <c r="H269" s="169" t="s">
        <v>12</v>
      </c>
      <c r="I269" s="947"/>
      <c r="J269" s="947"/>
      <c r="K269" s="948"/>
      <c r="L269" s="837">
        <f ca="1">IFERROR(__xludf.DUMMYFUNCTION("IMPORTRANGE(""https://docs.google.com/spreadsheets/d/1MeEWN-I1oV_STSDYn1IFDPWt_1FKiwhDph83XaGc0o0/edit?usp=sharing"",""งบพรบ!DB18"")"),0)</f>
        <v>0</v>
      </c>
      <c r="M269" s="837">
        <f ca="1">IFERROR(__xludf.DUMMYFUNCTION("IMPORTRANGE(""https://docs.google.com/spreadsheets/d/1MeEWN-I1oV_STSDYn1IFDPWt_1FKiwhDph83XaGc0o0/edit?usp=sharing"",""งบพรบ!DE18"")"),0)</f>
        <v>0</v>
      </c>
      <c r="N269" s="837">
        <f ca="1">IFERROR(__xludf.DUMMYFUNCTION("IMPORTRANGE(""https://docs.google.com/spreadsheets/d/1MeEWN-I1oV_STSDYn1IFDPWt_1FKiwhDph83XaGc0o0/edit?usp=sharing"",""งบพรบ!DG18"")"),0)</f>
        <v>0</v>
      </c>
      <c r="O269" s="837">
        <f t="shared" ca="1" si="117"/>
        <v>0</v>
      </c>
      <c r="P269" s="837">
        <f t="shared" ca="1" si="118"/>
        <v>0</v>
      </c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</row>
    <row r="270" spans="1:26" ht="19.5">
      <c r="A270" s="949"/>
      <c r="B270" s="950"/>
      <c r="C270" s="943" t="s">
        <v>16</v>
      </c>
      <c r="D270" s="951" t="s">
        <v>38</v>
      </c>
      <c r="E270" s="952"/>
      <c r="F270" s="952"/>
      <c r="G270" s="953"/>
      <c r="H270" s="954"/>
      <c r="I270" s="944"/>
      <c r="J270" s="944"/>
      <c r="K270" s="945"/>
      <c r="L270" s="945"/>
      <c r="M270" s="945"/>
      <c r="N270" s="945"/>
      <c r="O270" s="945"/>
      <c r="P270" s="945"/>
    </row>
    <row r="271" spans="1:26" ht="18.75">
      <c r="A271" s="949"/>
      <c r="B271" s="950"/>
      <c r="C271" s="950"/>
      <c r="D271" s="1079" t="s">
        <v>124</v>
      </c>
      <c r="E271" s="957"/>
      <c r="F271" s="1022"/>
      <c r="G271" s="958"/>
      <c r="H271" s="346" t="s">
        <v>35</v>
      </c>
      <c r="I271" s="830">
        <f ca="1">IFERROR(__xludf.DUMMYFUNCTION("IMPORTRANGE(""https://docs.google.com/spreadsheets/d/1QqKyyYR6Q21VydFLVH3TRQUabQu_ym0Zz7PgGX0-kHA/edit?usp=sharing"",""แผน!EA18"")"),22)</f>
        <v>22</v>
      </c>
      <c r="J271" s="959">
        <v>22</v>
      </c>
      <c r="K271" s="945">
        <f ca="1">IF(I271&gt;0,J271*100/I271,0)</f>
        <v>100</v>
      </c>
      <c r="L271" s="945"/>
      <c r="M271" s="945"/>
      <c r="N271" s="945"/>
      <c r="O271" s="945"/>
      <c r="P271" s="945"/>
    </row>
    <row r="272" spans="1:26" ht="18.75" hidden="1">
      <c r="A272" s="1080"/>
      <c r="B272" s="1081"/>
      <c r="C272" s="1081"/>
      <c r="D272" s="1082" t="s">
        <v>125</v>
      </c>
      <c r="E272" s="1083"/>
      <c r="F272" s="1083"/>
      <c r="G272" s="1084"/>
      <c r="H272" s="50" t="s">
        <v>35</v>
      </c>
      <c r="I272" s="1085">
        <v>0</v>
      </c>
      <c r="J272" s="1085">
        <v>0</v>
      </c>
      <c r="K272" s="1086">
        <v>0</v>
      </c>
      <c r="L272" s="1086"/>
      <c r="M272" s="1086"/>
      <c r="N272" s="1086"/>
      <c r="O272" s="1086"/>
      <c r="P272" s="1086"/>
    </row>
    <row r="273" spans="1:26" ht="19.5">
      <c r="A273" s="1087" t="s">
        <v>126</v>
      </c>
      <c r="B273" s="1088"/>
      <c r="C273" s="1088"/>
      <c r="D273" s="1088"/>
      <c r="E273" s="1089"/>
      <c r="F273" s="1089"/>
      <c r="G273" s="1090"/>
      <c r="H273" s="1091"/>
      <c r="I273" s="1092"/>
      <c r="J273" s="1092"/>
      <c r="K273" s="1093"/>
      <c r="L273" s="1093"/>
      <c r="M273" s="1093"/>
      <c r="N273" s="1093"/>
      <c r="O273" s="1093"/>
      <c r="P273" s="1093"/>
    </row>
    <row r="274" spans="1:26" ht="19.5">
      <c r="A274" s="1094" t="s">
        <v>127</v>
      </c>
      <c r="B274" s="1095"/>
      <c r="C274" s="1096"/>
      <c r="D274" s="1095"/>
      <c r="E274" s="1095"/>
      <c r="F274" s="1095"/>
      <c r="G274" s="1095"/>
      <c r="H274" s="1097"/>
      <c r="I274" s="1098"/>
      <c r="J274" s="1099"/>
      <c r="K274" s="1100"/>
      <c r="L274" s="1100"/>
      <c r="M274" s="1100"/>
      <c r="N274" s="1100"/>
      <c r="O274" s="1100"/>
      <c r="P274" s="1100"/>
    </row>
    <row r="275" spans="1:26" ht="19.5">
      <c r="A275" s="1101"/>
      <c r="B275" s="1102" t="s">
        <v>128</v>
      </c>
      <c r="C275" s="1103"/>
      <c r="D275" s="1104"/>
      <c r="E275" s="1103"/>
      <c r="F275" s="1103"/>
      <c r="G275" s="1105"/>
      <c r="H275" s="374" t="s">
        <v>35</v>
      </c>
      <c r="I275" s="1106">
        <f t="shared" ref="I275:J275" ca="1" si="122">I288</f>
        <v>50</v>
      </c>
      <c r="J275" s="1106">
        <f t="shared" ca="1" si="122"/>
        <v>0</v>
      </c>
      <c r="K275" s="1107">
        <f t="shared" ref="K275:K276" ca="1" si="123">IF(I275&gt;0,J275*100/I275,0)</f>
        <v>0</v>
      </c>
      <c r="L275" s="1108"/>
      <c r="M275" s="1108"/>
      <c r="N275" s="1108"/>
      <c r="O275" s="1108"/>
      <c r="P275" s="1108"/>
    </row>
    <row r="276" spans="1:26" ht="19.5">
      <c r="A276" s="1101"/>
      <c r="B276" s="1102"/>
      <c r="C276" s="1103"/>
      <c r="D276" s="1104"/>
      <c r="E276" s="1103"/>
      <c r="F276" s="1103"/>
      <c r="G276" s="1105"/>
      <c r="H276" s="374" t="s">
        <v>46</v>
      </c>
      <c r="I276" s="1106">
        <f t="shared" ref="I276:J276" ca="1" si="124">I287</f>
        <v>500</v>
      </c>
      <c r="J276" s="1106">
        <f t="shared" si="124"/>
        <v>0</v>
      </c>
      <c r="K276" s="1107">
        <f t="shared" ca="1" si="123"/>
        <v>0</v>
      </c>
      <c r="L276" s="1108"/>
      <c r="M276" s="1108"/>
      <c r="N276" s="1108"/>
      <c r="O276" s="1108"/>
      <c r="P276" s="1108"/>
    </row>
    <row r="277" spans="1:26" ht="19.5">
      <c r="A277" s="932"/>
      <c r="B277" s="933"/>
      <c r="C277" s="934" t="s">
        <v>16</v>
      </c>
      <c r="D277" s="935" t="s">
        <v>17</v>
      </c>
      <c r="E277" s="933"/>
      <c r="F277" s="933"/>
      <c r="G277" s="936"/>
      <c r="H277" s="152" t="s">
        <v>12</v>
      </c>
      <c r="I277" s="937"/>
      <c r="J277" s="937"/>
      <c r="K277" s="938"/>
      <c r="L277" s="939">
        <f t="shared" ref="L277:N277" ca="1" si="125">L278+L279</f>
        <v>335110</v>
      </c>
      <c r="M277" s="939">
        <f t="shared" ca="1" si="125"/>
        <v>296660</v>
      </c>
      <c r="N277" s="939">
        <f t="shared" ca="1" si="125"/>
        <v>57223.3</v>
      </c>
      <c r="O277" s="939">
        <f t="shared" ref="O277:O285" ca="1" si="126">IF(L277&gt;0,N277*100/L277,0)</f>
        <v>17.075975052967681</v>
      </c>
      <c r="P277" s="939">
        <f t="shared" ref="P277:P285" ca="1" si="127">IF(M277&gt;0,N277*100/M277,0)</f>
        <v>19.289186273848852</v>
      </c>
      <c r="Q277" s="818"/>
      <c r="R277" s="818"/>
      <c r="S277" s="818"/>
      <c r="T277" s="818"/>
      <c r="U277" s="818"/>
      <c r="V277" s="818"/>
      <c r="W277" s="818"/>
      <c r="X277" s="818"/>
      <c r="Y277" s="818"/>
      <c r="Z277" s="818"/>
    </row>
    <row r="278" spans="1:26" ht="18.75" hidden="1">
      <c r="A278" s="940"/>
      <c r="B278" s="833"/>
      <c r="C278" s="833"/>
      <c r="D278" s="833"/>
      <c r="E278" s="834" t="s">
        <v>18</v>
      </c>
      <c r="F278" s="833"/>
      <c r="G278" s="941"/>
      <c r="H278" s="158" t="s">
        <v>12</v>
      </c>
      <c r="I278" s="836"/>
      <c r="J278" s="836"/>
      <c r="K278" s="837"/>
      <c r="L278" s="837">
        <f t="shared" ref="L278:N279" si="128">L281+L284</f>
        <v>0</v>
      </c>
      <c r="M278" s="837">
        <f t="shared" si="128"/>
        <v>0</v>
      </c>
      <c r="N278" s="837">
        <f t="shared" si="128"/>
        <v>0</v>
      </c>
      <c r="O278" s="837">
        <f t="shared" si="126"/>
        <v>0</v>
      </c>
      <c r="P278" s="837">
        <f t="shared" si="127"/>
        <v>0</v>
      </c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</row>
    <row r="279" spans="1:26" ht="18.75" hidden="1">
      <c r="A279" s="940"/>
      <c r="B279" s="833"/>
      <c r="C279" s="833"/>
      <c r="D279" s="833"/>
      <c r="E279" s="834" t="s">
        <v>19</v>
      </c>
      <c r="F279" s="833"/>
      <c r="G279" s="941"/>
      <c r="H279" s="158" t="s">
        <v>12</v>
      </c>
      <c r="I279" s="836"/>
      <c r="J279" s="836"/>
      <c r="K279" s="837"/>
      <c r="L279" s="837">
        <f t="shared" ca="1" si="128"/>
        <v>335110</v>
      </c>
      <c r="M279" s="837">
        <f t="shared" ca="1" si="128"/>
        <v>296660</v>
      </c>
      <c r="N279" s="837">
        <f t="shared" ca="1" si="128"/>
        <v>57223.3</v>
      </c>
      <c r="O279" s="837">
        <f t="shared" ca="1" si="126"/>
        <v>17.075975052967681</v>
      </c>
      <c r="P279" s="837">
        <f t="shared" ca="1" si="127"/>
        <v>19.289186273848852</v>
      </c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</row>
    <row r="280" spans="1:26" ht="18.75">
      <c r="A280" s="942"/>
      <c r="B280" s="827"/>
      <c r="C280" s="943"/>
      <c r="D280" s="828" t="s">
        <v>20</v>
      </c>
      <c r="E280" s="827"/>
      <c r="F280" s="827"/>
      <c r="G280" s="829"/>
      <c r="H280" s="778" t="s">
        <v>12</v>
      </c>
      <c r="I280" s="944"/>
      <c r="J280" s="944"/>
      <c r="K280" s="945"/>
      <c r="L280" s="831">
        <f t="shared" ref="L280:N280" ca="1" si="129">L281+L282</f>
        <v>335110</v>
      </c>
      <c r="M280" s="831">
        <f t="shared" ca="1" si="129"/>
        <v>296660</v>
      </c>
      <c r="N280" s="831">
        <f t="shared" ca="1" si="129"/>
        <v>57223.3</v>
      </c>
      <c r="O280" s="831">
        <f t="shared" ca="1" si="126"/>
        <v>17.075975052967681</v>
      </c>
      <c r="P280" s="831">
        <f t="shared" ca="1" si="127"/>
        <v>19.289186273848852</v>
      </c>
      <c r="Q280" s="818"/>
      <c r="R280" s="818"/>
      <c r="S280" s="818"/>
      <c r="T280" s="818"/>
      <c r="U280" s="818"/>
      <c r="V280" s="818"/>
      <c r="W280" s="818"/>
      <c r="X280" s="818"/>
      <c r="Y280" s="818"/>
      <c r="Z280" s="818"/>
    </row>
    <row r="281" spans="1:26" ht="19.5" hidden="1">
      <c r="A281" s="940"/>
      <c r="B281" s="833"/>
      <c r="C281" s="946"/>
      <c r="D281" s="833"/>
      <c r="E281" s="834" t="s">
        <v>36</v>
      </c>
      <c r="F281" s="833"/>
      <c r="G281" s="941"/>
      <c r="H281" s="165" t="s">
        <v>12</v>
      </c>
      <c r="I281" s="947"/>
      <c r="J281" s="947"/>
      <c r="K281" s="948"/>
      <c r="L281" s="837">
        <v>0</v>
      </c>
      <c r="M281" s="837">
        <v>0</v>
      </c>
      <c r="N281" s="837">
        <v>0</v>
      </c>
      <c r="O281" s="837">
        <f t="shared" si="126"/>
        <v>0</v>
      </c>
      <c r="P281" s="837">
        <f t="shared" si="127"/>
        <v>0</v>
      </c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</row>
    <row r="282" spans="1:26" ht="19.5" hidden="1">
      <c r="A282" s="940"/>
      <c r="B282" s="833"/>
      <c r="C282" s="946"/>
      <c r="D282" s="833"/>
      <c r="E282" s="834" t="s">
        <v>37</v>
      </c>
      <c r="F282" s="833"/>
      <c r="G282" s="941"/>
      <c r="H282" s="165" t="s">
        <v>12</v>
      </c>
      <c r="I282" s="947"/>
      <c r="J282" s="947"/>
      <c r="K282" s="948"/>
      <c r="L282" s="837">
        <f ca="1">IFERROR(__xludf.DUMMYFUNCTION("IMPORTRANGE(""https://docs.google.com/spreadsheets/d/1MeEWN-I1oV_STSDYn1IFDPWt_1FKiwhDph83XaGc0o0/edit?usp=sharing"",""งบพรบ!DI18"")"),335110)</f>
        <v>335110</v>
      </c>
      <c r="M282" s="837">
        <f ca="1">IFERROR(__xludf.DUMMYFUNCTION("IMPORTRANGE(""https://docs.google.com/spreadsheets/d/1MeEWN-I1oV_STSDYn1IFDPWt_1FKiwhDph83XaGc0o0/edit?usp=sharing"",""งบพรบ!DN18"")"),296660)</f>
        <v>296660</v>
      </c>
      <c r="N282" s="837">
        <f ca="1">IFERROR(__xludf.DUMMYFUNCTION("IMPORTRANGE(""https://docs.google.com/spreadsheets/d/1MeEWN-I1oV_STSDYn1IFDPWt_1FKiwhDph83XaGc0o0/edit?usp=sharing"",""งบพรบ!DP18"")"),57223.3)</f>
        <v>57223.3</v>
      </c>
      <c r="O282" s="837">
        <f t="shared" ca="1" si="126"/>
        <v>17.075975052967681</v>
      </c>
      <c r="P282" s="837">
        <f t="shared" ca="1" si="127"/>
        <v>19.289186273848852</v>
      </c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</row>
    <row r="283" spans="1:26" ht="18.75">
      <c r="A283" s="942"/>
      <c r="B283" s="827"/>
      <c r="C283" s="943"/>
      <c r="D283" s="828" t="s">
        <v>21</v>
      </c>
      <c r="E283" s="827"/>
      <c r="F283" s="827"/>
      <c r="G283" s="829"/>
      <c r="H283" s="168" t="s">
        <v>12</v>
      </c>
      <c r="I283" s="944"/>
      <c r="J283" s="944"/>
      <c r="K283" s="945"/>
      <c r="L283" s="831">
        <f t="shared" ref="L283:N283" ca="1" si="130">L284+L285</f>
        <v>0</v>
      </c>
      <c r="M283" s="831">
        <f t="shared" ca="1" si="130"/>
        <v>0</v>
      </c>
      <c r="N283" s="831">
        <f t="shared" ca="1" si="130"/>
        <v>0</v>
      </c>
      <c r="O283" s="831">
        <f t="shared" ca="1" si="126"/>
        <v>0</v>
      </c>
      <c r="P283" s="831">
        <f t="shared" ca="1" si="127"/>
        <v>0</v>
      </c>
      <c r="Q283" s="818"/>
      <c r="R283" s="818"/>
      <c r="S283" s="818"/>
      <c r="T283" s="818"/>
      <c r="U283" s="818"/>
      <c r="V283" s="818"/>
      <c r="W283" s="818"/>
      <c r="X283" s="818"/>
      <c r="Y283" s="818"/>
      <c r="Z283" s="818"/>
    </row>
    <row r="284" spans="1:26" ht="19.5" hidden="1">
      <c r="A284" s="940"/>
      <c r="B284" s="833"/>
      <c r="C284" s="946"/>
      <c r="D284" s="833"/>
      <c r="E284" s="834" t="s">
        <v>18</v>
      </c>
      <c r="F284" s="833"/>
      <c r="G284" s="941"/>
      <c r="H284" s="165" t="s">
        <v>12</v>
      </c>
      <c r="I284" s="947"/>
      <c r="J284" s="947"/>
      <c r="K284" s="948"/>
      <c r="L284" s="837">
        <v>0</v>
      </c>
      <c r="M284" s="837">
        <v>0</v>
      </c>
      <c r="N284" s="837">
        <v>0</v>
      </c>
      <c r="O284" s="837">
        <f t="shared" si="126"/>
        <v>0</v>
      </c>
      <c r="P284" s="837">
        <f t="shared" si="127"/>
        <v>0</v>
      </c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</row>
    <row r="285" spans="1:26" ht="19.5" hidden="1">
      <c r="A285" s="940"/>
      <c r="B285" s="833"/>
      <c r="C285" s="946"/>
      <c r="D285" s="833"/>
      <c r="E285" s="834" t="s">
        <v>19</v>
      </c>
      <c r="F285" s="833"/>
      <c r="G285" s="941"/>
      <c r="H285" s="169" t="s">
        <v>12</v>
      </c>
      <c r="I285" s="947"/>
      <c r="J285" s="947"/>
      <c r="K285" s="948"/>
      <c r="L285" s="837">
        <f ca="1">IFERROR(__xludf.DUMMYFUNCTION("IMPORTRANGE(""https://docs.google.com/spreadsheets/d/1MeEWN-I1oV_STSDYn1IFDPWt_1FKiwhDph83XaGc0o0/edit?usp=sharing"",""งบพรบ!DL18"")"),0)</f>
        <v>0</v>
      </c>
      <c r="M285" s="837">
        <f ca="1">IFERROR(__xludf.DUMMYFUNCTION("IMPORTRANGE(""https://docs.google.com/spreadsheets/d/1MeEWN-I1oV_STSDYn1IFDPWt_1FKiwhDph83XaGc0o0/edit?usp=sharing"",""งบพรบ!DO18"")"),0)</f>
        <v>0</v>
      </c>
      <c r="N285" s="837">
        <f ca="1">IFERROR(__xludf.DUMMYFUNCTION("IMPORTRANGE(""https://docs.google.com/spreadsheets/d/1MeEWN-I1oV_STSDYn1IFDPWt_1FKiwhDph83XaGc0o0/edit?usp=sharing"",""งบพรบ!DQ18"")"),0)</f>
        <v>0</v>
      </c>
      <c r="O285" s="837">
        <f t="shared" ca="1" si="126"/>
        <v>0</v>
      </c>
      <c r="P285" s="837">
        <f t="shared" ca="1" si="127"/>
        <v>0</v>
      </c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</row>
    <row r="286" spans="1:26" ht="19.5">
      <c r="A286" s="949"/>
      <c r="B286" s="950"/>
      <c r="C286" s="946" t="s">
        <v>16</v>
      </c>
      <c r="D286" s="951" t="s">
        <v>38</v>
      </c>
      <c r="E286" s="952"/>
      <c r="F286" s="952"/>
      <c r="G286" s="953"/>
      <c r="H286" s="954"/>
      <c r="I286" s="944"/>
      <c r="J286" s="944"/>
      <c r="K286" s="945"/>
      <c r="L286" s="945"/>
      <c r="M286" s="945"/>
      <c r="N286" s="945"/>
      <c r="O286" s="945"/>
      <c r="P286" s="945"/>
    </row>
    <row r="287" spans="1:26" ht="18.75">
      <c r="A287" s="949"/>
      <c r="B287" s="950"/>
      <c r="C287" s="950"/>
      <c r="D287" s="961" t="s">
        <v>129</v>
      </c>
      <c r="E287" s="950"/>
      <c r="F287" s="957"/>
      <c r="G287" s="958"/>
      <c r="H287" s="777" t="s">
        <v>46</v>
      </c>
      <c r="I287" s="830">
        <f ca="1">IFERROR(__xludf.DUMMYFUNCTION("IMPORTRANGE(""https://docs.google.com/spreadsheets/d/1QqKyyYR6Q21VydFLVH3TRQUabQu_ym0Zz7PgGX0-kHA/edit?usp=sharing"",""แผน!EC18"")"),500)</f>
        <v>500</v>
      </c>
      <c r="J287" s="959">
        <v>0</v>
      </c>
      <c r="K287" s="945">
        <f t="shared" ref="K287:K288" ca="1" si="131">IF(I287&gt;0,J287*100/I287,0)</f>
        <v>0</v>
      </c>
      <c r="L287" s="945"/>
      <c r="M287" s="945"/>
      <c r="N287" s="945"/>
      <c r="O287" s="945"/>
      <c r="P287" s="945"/>
    </row>
    <row r="288" spans="1:26" ht="19.5">
      <c r="A288" s="949"/>
      <c r="B288" s="950"/>
      <c r="C288" s="950"/>
      <c r="D288" s="961" t="s">
        <v>130</v>
      </c>
      <c r="E288" s="950"/>
      <c r="F288" s="957"/>
      <c r="G288" s="958"/>
      <c r="H288" s="180" t="s">
        <v>35</v>
      </c>
      <c r="I288" s="966">
        <f ca="1">IFERROR(__xludf.DUMMYFUNCTION("IMPORTRANGE(""https://docs.google.com/spreadsheets/d/1QqKyyYR6Q21VydFLVH3TRQUabQu_ym0Zz7PgGX0-kHA/edit?usp=sharing"",""แผน!EB18"")"),50)</f>
        <v>50</v>
      </c>
      <c r="J288" s="966">
        <f ca="1">IF(AND(J291&gt;=I288,J294&gt;=I288),J294,0)</f>
        <v>0</v>
      </c>
      <c r="K288" s="1109">
        <f t="shared" ca="1" si="131"/>
        <v>0</v>
      </c>
      <c r="L288" s="945"/>
      <c r="M288" s="945"/>
      <c r="N288" s="945"/>
      <c r="O288" s="945"/>
      <c r="P288" s="945"/>
    </row>
    <row r="289" spans="1:26" ht="19.5">
      <c r="A289" s="949"/>
      <c r="B289" s="950"/>
      <c r="C289" s="950"/>
      <c r="D289" s="1110"/>
      <c r="E289" s="1111" t="s">
        <v>131</v>
      </c>
      <c r="F289" s="957"/>
      <c r="G289" s="958"/>
      <c r="H289" s="730"/>
      <c r="I289" s="944"/>
      <c r="J289" s="830"/>
      <c r="K289" s="945"/>
      <c r="L289" s="945"/>
      <c r="M289" s="945"/>
      <c r="N289" s="945"/>
      <c r="O289" s="945"/>
      <c r="P289" s="945"/>
    </row>
    <row r="290" spans="1:26" ht="19.5">
      <c r="A290" s="949"/>
      <c r="B290" s="950"/>
      <c r="C290" s="950"/>
      <c r="D290" s="1110"/>
      <c r="E290" s="961" t="s">
        <v>132</v>
      </c>
      <c r="F290" s="957"/>
      <c r="G290" s="958"/>
      <c r="H290" s="730" t="s">
        <v>35</v>
      </c>
      <c r="I290" s="944">
        <f ca="1">IFERROR(__xludf.DUMMYFUNCTION("IMPORTRANGE(""https://docs.google.com/spreadsheets/d/1QqKyyYR6Q21VydFLVH3TRQUabQu_ym0Zz7PgGX0-kHA/edit?usp=sharing"",""แผน!EB18"")"),50)</f>
        <v>50</v>
      </c>
      <c r="J290" s="959">
        <v>0</v>
      </c>
      <c r="K290" s="945">
        <f t="shared" ref="K290:K291" ca="1" si="132">IF(I290&gt;0,J290*100/I290,0)</f>
        <v>0</v>
      </c>
      <c r="L290" s="945"/>
      <c r="M290" s="945"/>
      <c r="N290" s="945"/>
      <c r="O290" s="945"/>
      <c r="P290" s="945"/>
    </row>
    <row r="291" spans="1:26" ht="19.5">
      <c r="A291" s="949"/>
      <c r="B291" s="950"/>
      <c r="C291" s="950"/>
      <c r="D291" s="957"/>
      <c r="E291" s="961" t="s">
        <v>133</v>
      </c>
      <c r="F291" s="957"/>
      <c r="G291" s="958"/>
      <c r="H291" s="730" t="s">
        <v>35</v>
      </c>
      <c r="I291" s="944">
        <f ca="1">IFERROR(__xludf.DUMMYFUNCTION("IMPORTRANGE(""https://docs.google.com/spreadsheets/d/1QqKyyYR6Q21VydFLVH3TRQUabQu_ym0Zz7PgGX0-kHA/edit?usp=sharing"",""แผน!EB18"")"),50)</f>
        <v>50</v>
      </c>
      <c r="J291" s="959">
        <v>0</v>
      </c>
      <c r="K291" s="945">
        <f t="shared" ca="1" si="132"/>
        <v>0</v>
      </c>
      <c r="L291" s="945"/>
      <c r="M291" s="945"/>
      <c r="N291" s="945"/>
      <c r="O291" s="945"/>
      <c r="P291" s="945"/>
    </row>
    <row r="292" spans="1:26" ht="19.5">
      <c r="A292" s="1112"/>
      <c r="B292" s="1113"/>
      <c r="C292" s="1113"/>
      <c r="D292" s="1114"/>
      <c r="E292" s="1115" t="s">
        <v>134</v>
      </c>
      <c r="F292" s="1034"/>
      <c r="G292" s="1035"/>
      <c r="H292" s="387"/>
      <c r="I292" s="1028"/>
      <c r="J292" s="937"/>
      <c r="K292" s="1029"/>
      <c r="L292" s="1029"/>
      <c r="M292" s="1029"/>
      <c r="N292" s="1029"/>
      <c r="O292" s="1029"/>
      <c r="P292" s="1029"/>
    </row>
    <row r="293" spans="1:26" ht="19.5">
      <c r="A293" s="949"/>
      <c r="B293" s="950"/>
      <c r="C293" s="950"/>
      <c r="D293" s="1110"/>
      <c r="E293" s="961" t="s">
        <v>132</v>
      </c>
      <c r="F293" s="957"/>
      <c r="G293" s="958"/>
      <c r="H293" s="730" t="s">
        <v>35</v>
      </c>
      <c r="I293" s="944">
        <f ca="1">IFERROR(__xludf.DUMMYFUNCTION("IMPORTRANGE(""https://docs.google.com/spreadsheets/d/1QqKyyYR6Q21VydFLVH3TRQUabQu_ym0Zz7PgGX0-kHA/edit?usp=sharing"",""แผน!EB18"")"),50)</f>
        <v>50</v>
      </c>
      <c r="J293" s="959">
        <v>0</v>
      </c>
      <c r="K293" s="945">
        <f t="shared" ref="K293:K294" ca="1" si="133">IF(I293&gt;0,J293*100/I293,0)</f>
        <v>0</v>
      </c>
      <c r="L293" s="945"/>
      <c r="M293" s="945"/>
      <c r="N293" s="945"/>
      <c r="O293" s="945"/>
      <c r="P293" s="945"/>
    </row>
    <row r="294" spans="1:26" ht="19.5">
      <c r="A294" s="1080"/>
      <c r="B294" s="1081"/>
      <c r="C294" s="1081"/>
      <c r="D294" s="1083"/>
      <c r="E294" s="1116" t="s">
        <v>136</v>
      </c>
      <c r="F294" s="1083"/>
      <c r="G294" s="1084"/>
      <c r="H294" s="391" t="s">
        <v>35</v>
      </c>
      <c r="I294" s="1117">
        <f ca="1">IFERROR(__xludf.DUMMYFUNCTION("IMPORTRANGE(""https://docs.google.com/spreadsheets/d/1QqKyyYR6Q21VydFLVH3TRQUabQu_ym0Zz7PgGX0-kHA/edit?usp=sharing"",""แผน!EB18"")"),50)</f>
        <v>50</v>
      </c>
      <c r="J294" s="1118">
        <v>0</v>
      </c>
      <c r="K294" s="1086">
        <f t="shared" ca="1" si="133"/>
        <v>0</v>
      </c>
      <c r="L294" s="1086"/>
      <c r="M294" s="1086"/>
      <c r="N294" s="1086"/>
      <c r="O294" s="1086"/>
      <c r="P294" s="1086"/>
    </row>
    <row r="295" spans="1:26" ht="19.5">
      <c r="A295" s="1119" t="s">
        <v>137</v>
      </c>
      <c r="B295" s="1120"/>
      <c r="C295" s="1120"/>
      <c r="D295" s="1120"/>
      <c r="E295" s="1121"/>
      <c r="F295" s="1121"/>
      <c r="G295" s="1122"/>
      <c r="H295" s="1123"/>
      <c r="I295" s="1124"/>
      <c r="J295" s="1124"/>
      <c r="K295" s="1125"/>
      <c r="L295" s="1125"/>
      <c r="M295" s="1125"/>
      <c r="N295" s="1125"/>
      <c r="O295" s="1125"/>
      <c r="P295" s="1125"/>
    </row>
    <row r="296" spans="1:26" ht="19.5">
      <c r="A296" s="1126" t="s">
        <v>138</v>
      </c>
      <c r="B296" s="1127"/>
      <c r="C296" s="1127"/>
      <c r="D296" s="1128"/>
      <c r="E296" s="1128"/>
      <c r="F296" s="1128"/>
      <c r="G296" s="1129"/>
      <c r="H296" s="1130"/>
      <c r="I296" s="1131"/>
      <c r="J296" s="1131"/>
      <c r="K296" s="1132"/>
      <c r="L296" s="1132"/>
      <c r="M296" s="1132"/>
      <c r="N296" s="1132"/>
      <c r="O296" s="1132"/>
      <c r="P296" s="1132"/>
    </row>
    <row r="297" spans="1:26" ht="19.5">
      <c r="A297" s="1133"/>
      <c r="B297" s="1134" t="s">
        <v>139</v>
      </c>
      <c r="C297" s="1135"/>
      <c r="D297" s="1135"/>
      <c r="E297" s="1135"/>
      <c r="F297" s="1135"/>
      <c r="G297" s="1136"/>
      <c r="H297" s="412" t="s">
        <v>35</v>
      </c>
      <c r="I297" s="1137">
        <f t="shared" ref="I297:J297" ca="1" si="134">I309</f>
        <v>25</v>
      </c>
      <c r="J297" s="1137">
        <f t="shared" si="134"/>
        <v>25</v>
      </c>
      <c r="K297" s="1138">
        <f ca="1">IF(I297&gt;0,J297*100/I297,0)</f>
        <v>100</v>
      </c>
      <c r="L297" s="1139"/>
      <c r="M297" s="1139"/>
      <c r="N297" s="1139"/>
      <c r="O297" s="1139"/>
      <c r="P297" s="1139"/>
    </row>
    <row r="298" spans="1:26" ht="19.5">
      <c r="A298" s="932"/>
      <c r="B298" s="933"/>
      <c r="C298" s="934" t="s">
        <v>16</v>
      </c>
      <c r="D298" s="935" t="s">
        <v>17</v>
      </c>
      <c r="E298" s="933"/>
      <c r="F298" s="933"/>
      <c r="G298" s="936"/>
      <c r="H298" s="152" t="s">
        <v>12</v>
      </c>
      <c r="I298" s="937"/>
      <c r="J298" s="937"/>
      <c r="K298" s="938"/>
      <c r="L298" s="939">
        <f t="shared" ref="L298:N298" ca="1" si="135">L299+L300</f>
        <v>101000</v>
      </c>
      <c r="M298" s="939">
        <f t="shared" ca="1" si="135"/>
        <v>78500</v>
      </c>
      <c r="N298" s="939">
        <f t="shared" ca="1" si="135"/>
        <v>60400</v>
      </c>
      <c r="O298" s="939">
        <f t="shared" ref="O298:O306" ca="1" si="136">IF(L298&gt;0,N298*100/L298,0)</f>
        <v>59.801980198019805</v>
      </c>
      <c r="P298" s="939">
        <f t="shared" ref="P298:P306" ca="1" si="137">IF(M298&gt;0,N298*100/M298,0)</f>
        <v>76.942675159235662</v>
      </c>
      <c r="Q298" s="818"/>
      <c r="R298" s="818"/>
      <c r="S298" s="818"/>
      <c r="T298" s="818"/>
      <c r="U298" s="818"/>
      <c r="V298" s="818"/>
      <c r="W298" s="818"/>
      <c r="X298" s="818"/>
      <c r="Y298" s="818"/>
      <c r="Z298" s="818"/>
    </row>
    <row r="299" spans="1:26" ht="18.75" hidden="1">
      <c r="A299" s="940"/>
      <c r="B299" s="833"/>
      <c r="C299" s="833"/>
      <c r="D299" s="833"/>
      <c r="E299" s="834" t="s">
        <v>18</v>
      </c>
      <c r="F299" s="833"/>
      <c r="G299" s="941"/>
      <c r="H299" s="158" t="s">
        <v>12</v>
      </c>
      <c r="I299" s="836"/>
      <c r="J299" s="836"/>
      <c r="K299" s="837"/>
      <c r="L299" s="837">
        <f t="shared" ref="L299:N300" si="138">L302+L305</f>
        <v>0</v>
      </c>
      <c r="M299" s="837">
        <f t="shared" si="138"/>
        <v>0</v>
      </c>
      <c r="N299" s="837">
        <f t="shared" si="138"/>
        <v>0</v>
      </c>
      <c r="O299" s="837">
        <f t="shared" si="136"/>
        <v>0</v>
      </c>
      <c r="P299" s="837">
        <f t="shared" si="137"/>
        <v>0</v>
      </c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</row>
    <row r="300" spans="1:26" ht="18.75" hidden="1">
      <c r="A300" s="940"/>
      <c r="B300" s="833"/>
      <c r="C300" s="833"/>
      <c r="D300" s="833"/>
      <c r="E300" s="834" t="s">
        <v>19</v>
      </c>
      <c r="F300" s="833"/>
      <c r="G300" s="941"/>
      <c r="H300" s="158" t="s">
        <v>12</v>
      </c>
      <c r="I300" s="836"/>
      <c r="J300" s="836"/>
      <c r="K300" s="837"/>
      <c r="L300" s="837">
        <f t="shared" ca="1" si="138"/>
        <v>101000</v>
      </c>
      <c r="M300" s="837">
        <f t="shared" ca="1" si="138"/>
        <v>78500</v>
      </c>
      <c r="N300" s="837">
        <f t="shared" ca="1" si="138"/>
        <v>60400</v>
      </c>
      <c r="O300" s="837">
        <f t="shared" ca="1" si="136"/>
        <v>59.801980198019805</v>
      </c>
      <c r="P300" s="837">
        <f t="shared" ca="1" si="137"/>
        <v>76.942675159235662</v>
      </c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</row>
    <row r="301" spans="1:26" ht="18.75">
      <c r="A301" s="942"/>
      <c r="B301" s="827"/>
      <c r="C301" s="943"/>
      <c r="D301" s="828" t="s">
        <v>20</v>
      </c>
      <c r="E301" s="827"/>
      <c r="F301" s="827"/>
      <c r="G301" s="829"/>
      <c r="H301" s="778" t="s">
        <v>12</v>
      </c>
      <c r="I301" s="944"/>
      <c r="J301" s="944"/>
      <c r="K301" s="945"/>
      <c r="L301" s="831">
        <f t="shared" ref="L301:N301" ca="1" si="139">L302+L303</f>
        <v>101000</v>
      </c>
      <c r="M301" s="831">
        <f t="shared" ca="1" si="139"/>
        <v>78500</v>
      </c>
      <c r="N301" s="831">
        <f t="shared" ca="1" si="139"/>
        <v>60400</v>
      </c>
      <c r="O301" s="831">
        <f t="shared" ca="1" si="136"/>
        <v>59.801980198019805</v>
      </c>
      <c r="P301" s="831">
        <f t="shared" ca="1" si="137"/>
        <v>76.942675159235662</v>
      </c>
      <c r="Q301" s="818"/>
      <c r="R301" s="818"/>
      <c r="S301" s="818"/>
      <c r="T301" s="818"/>
      <c r="U301" s="818"/>
      <c r="V301" s="818"/>
      <c r="W301" s="818"/>
      <c r="X301" s="818"/>
      <c r="Y301" s="818"/>
      <c r="Z301" s="818"/>
    </row>
    <row r="302" spans="1:26" ht="19.5" hidden="1">
      <c r="A302" s="940"/>
      <c r="B302" s="833"/>
      <c r="C302" s="946"/>
      <c r="D302" s="833"/>
      <c r="E302" s="834" t="s">
        <v>36</v>
      </c>
      <c r="F302" s="833"/>
      <c r="G302" s="941"/>
      <c r="H302" s="165" t="s">
        <v>12</v>
      </c>
      <c r="I302" s="947"/>
      <c r="J302" s="947"/>
      <c r="K302" s="948"/>
      <c r="L302" s="837">
        <v>0</v>
      </c>
      <c r="M302" s="837">
        <v>0</v>
      </c>
      <c r="N302" s="837">
        <v>0</v>
      </c>
      <c r="O302" s="837">
        <f t="shared" si="136"/>
        <v>0</v>
      </c>
      <c r="P302" s="837">
        <f t="shared" si="137"/>
        <v>0</v>
      </c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</row>
    <row r="303" spans="1:26" ht="19.5" hidden="1">
      <c r="A303" s="940"/>
      <c r="B303" s="833"/>
      <c r="C303" s="946"/>
      <c r="D303" s="833"/>
      <c r="E303" s="834" t="s">
        <v>37</v>
      </c>
      <c r="F303" s="833"/>
      <c r="G303" s="941"/>
      <c r="H303" s="165" t="s">
        <v>12</v>
      </c>
      <c r="I303" s="947"/>
      <c r="J303" s="947"/>
      <c r="K303" s="948"/>
      <c r="L303" s="837">
        <f ca="1">IFERROR(__xludf.DUMMYFUNCTION("IMPORTRANGE(""https://docs.google.com/spreadsheets/d/1MeEWN-I1oV_STSDYn1IFDPWt_1FKiwhDph83XaGc0o0/edit?usp=sharing"",""งบพรบ!DS18"")"),101000)</f>
        <v>101000</v>
      </c>
      <c r="M303" s="837">
        <f ca="1">IFERROR(__xludf.DUMMYFUNCTION("IMPORTRANGE(""https://docs.google.com/spreadsheets/d/1MeEWN-I1oV_STSDYn1IFDPWt_1FKiwhDph83XaGc0o0/edit?usp=sharing"",""งบพรบ!DX18"")"),78500)</f>
        <v>78500</v>
      </c>
      <c r="N303" s="837">
        <f ca="1">IFERROR(__xludf.DUMMYFUNCTION("IMPORTRANGE(""https://docs.google.com/spreadsheets/d/1MeEWN-I1oV_STSDYn1IFDPWt_1FKiwhDph83XaGc0o0/edit?usp=sharing"",""งบพรบ!DZ18"")"),60400)</f>
        <v>60400</v>
      </c>
      <c r="O303" s="837">
        <f t="shared" ca="1" si="136"/>
        <v>59.801980198019805</v>
      </c>
      <c r="P303" s="837">
        <f t="shared" ca="1" si="137"/>
        <v>76.942675159235662</v>
      </c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</row>
    <row r="304" spans="1:26" ht="18.75">
      <c r="A304" s="942"/>
      <c r="B304" s="827"/>
      <c r="C304" s="943"/>
      <c r="D304" s="828" t="s">
        <v>21</v>
      </c>
      <c r="E304" s="827"/>
      <c r="F304" s="827"/>
      <c r="G304" s="829"/>
      <c r="H304" s="168" t="s">
        <v>12</v>
      </c>
      <c r="I304" s="944"/>
      <c r="J304" s="944"/>
      <c r="K304" s="945"/>
      <c r="L304" s="831">
        <f t="shared" ref="L304:N304" ca="1" si="140">L305+L306</f>
        <v>0</v>
      </c>
      <c r="M304" s="831">
        <f t="shared" ca="1" si="140"/>
        <v>0</v>
      </c>
      <c r="N304" s="831">
        <f t="shared" ca="1" si="140"/>
        <v>0</v>
      </c>
      <c r="O304" s="831">
        <f t="shared" ca="1" si="136"/>
        <v>0</v>
      </c>
      <c r="P304" s="831">
        <f t="shared" ca="1" si="137"/>
        <v>0</v>
      </c>
      <c r="Q304" s="818"/>
      <c r="R304" s="818"/>
      <c r="S304" s="818"/>
      <c r="T304" s="818"/>
      <c r="U304" s="818"/>
      <c r="V304" s="818"/>
      <c r="W304" s="818"/>
      <c r="X304" s="818"/>
      <c r="Y304" s="818"/>
      <c r="Z304" s="818"/>
    </row>
    <row r="305" spans="1:26" ht="19.5" hidden="1">
      <c r="A305" s="940"/>
      <c r="B305" s="833"/>
      <c r="C305" s="946"/>
      <c r="D305" s="833"/>
      <c r="E305" s="834" t="s">
        <v>18</v>
      </c>
      <c r="F305" s="833"/>
      <c r="G305" s="941"/>
      <c r="H305" s="165" t="s">
        <v>12</v>
      </c>
      <c r="I305" s="947"/>
      <c r="J305" s="947"/>
      <c r="K305" s="948"/>
      <c r="L305" s="837">
        <v>0</v>
      </c>
      <c r="M305" s="837">
        <v>0</v>
      </c>
      <c r="N305" s="837">
        <v>0</v>
      </c>
      <c r="O305" s="837">
        <f t="shared" si="136"/>
        <v>0</v>
      </c>
      <c r="P305" s="837">
        <f t="shared" si="137"/>
        <v>0</v>
      </c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</row>
    <row r="306" spans="1:26" ht="19.5" hidden="1">
      <c r="A306" s="940"/>
      <c r="B306" s="833"/>
      <c r="C306" s="946"/>
      <c r="D306" s="833"/>
      <c r="E306" s="834" t="s">
        <v>19</v>
      </c>
      <c r="F306" s="833"/>
      <c r="G306" s="941"/>
      <c r="H306" s="169" t="s">
        <v>12</v>
      </c>
      <c r="I306" s="947"/>
      <c r="J306" s="947"/>
      <c r="K306" s="948"/>
      <c r="L306" s="837">
        <f ca="1">IFERROR(__xludf.DUMMYFUNCTION("IMPORTRANGE(""https://docs.google.com/spreadsheets/d/1MeEWN-I1oV_STSDYn1IFDPWt_1FKiwhDph83XaGc0o0/edit?usp=sharing"",""งบพรบ!DV18"")"),0)</f>
        <v>0</v>
      </c>
      <c r="M306" s="837">
        <f ca="1">IFERROR(__xludf.DUMMYFUNCTION("IMPORTRANGE(""https://docs.google.com/spreadsheets/d/1MeEWN-I1oV_STSDYn1IFDPWt_1FKiwhDph83XaGc0o0/edit?usp=sharing"",""งบพรบ!DY18"")"),0)</f>
        <v>0</v>
      </c>
      <c r="N306" s="837">
        <f ca="1">IFERROR(__xludf.DUMMYFUNCTION("IMPORTRANGE(""https://docs.google.com/spreadsheets/d/1MeEWN-I1oV_STSDYn1IFDPWt_1FKiwhDph83XaGc0o0/edit?usp=sharing"",""งบพรบ!EA18"")"),0)</f>
        <v>0</v>
      </c>
      <c r="O306" s="837">
        <f t="shared" ca="1" si="136"/>
        <v>0</v>
      </c>
      <c r="P306" s="837">
        <f t="shared" ca="1" si="137"/>
        <v>0</v>
      </c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</row>
    <row r="307" spans="1:26" ht="19.5">
      <c r="A307" s="949"/>
      <c r="B307" s="950"/>
      <c r="C307" s="946" t="s">
        <v>16</v>
      </c>
      <c r="D307" s="951" t="s">
        <v>38</v>
      </c>
      <c r="E307" s="952"/>
      <c r="F307" s="952"/>
      <c r="G307" s="953"/>
      <c r="H307" s="954"/>
      <c r="I307" s="830"/>
      <c r="J307" s="830"/>
      <c r="K307" s="831"/>
      <c r="L307" s="831"/>
      <c r="M307" s="831"/>
      <c r="N307" s="831"/>
      <c r="O307" s="831"/>
      <c r="P307" s="831"/>
    </row>
    <row r="308" spans="1:26" ht="18.75">
      <c r="A308" s="949"/>
      <c r="B308" s="950"/>
      <c r="C308" s="950"/>
      <c r="D308" s="956" t="s">
        <v>140</v>
      </c>
      <c r="E308" s="956"/>
      <c r="F308" s="956"/>
      <c r="G308" s="958"/>
      <c r="H308" s="730"/>
      <c r="I308" s="830"/>
      <c r="J308" s="959">
        <v>0</v>
      </c>
      <c r="K308" s="831"/>
      <c r="L308" s="831"/>
      <c r="M308" s="831"/>
      <c r="N308" s="831"/>
      <c r="O308" s="831"/>
      <c r="P308" s="831"/>
    </row>
    <row r="309" spans="1:26" ht="18.75">
      <c r="A309" s="949"/>
      <c r="B309" s="950"/>
      <c r="C309" s="950"/>
      <c r="D309" s="956" t="s">
        <v>141</v>
      </c>
      <c r="E309" s="956"/>
      <c r="F309" s="956"/>
      <c r="G309" s="958"/>
      <c r="H309" s="730" t="s">
        <v>35</v>
      </c>
      <c r="I309" s="830">
        <f ca="1">IFERROR(__xludf.DUMMYFUNCTION("IMPORTRANGE(""https://docs.google.com/spreadsheets/d/1QqKyyYR6Q21VydFLVH3TRQUabQu_ym0Zz7PgGX0-kHA/edit?usp=sharing"",""แผน!ED18"")"),25)</f>
        <v>25</v>
      </c>
      <c r="J309" s="959">
        <v>25</v>
      </c>
      <c r="K309" s="831">
        <f t="shared" ref="K309:K312" ca="1" si="141">IF(I309&gt;0,J309*100/I309,0)</f>
        <v>100</v>
      </c>
      <c r="L309" s="831"/>
      <c r="M309" s="831"/>
      <c r="N309" s="831"/>
      <c r="O309" s="831"/>
      <c r="P309" s="831"/>
    </row>
    <row r="310" spans="1:26" ht="18.75">
      <c r="A310" s="949"/>
      <c r="B310" s="950"/>
      <c r="C310" s="950"/>
      <c r="D310" s="956" t="s">
        <v>142</v>
      </c>
      <c r="E310" s="956"/>
      <c r="F310" s="956"/>
      <c r="G310" s="958"/>
      <c r="H310" s="730" t="s">
        <v>35</v>
      </c>
      <c r="I310" s="830">
        <f ca="1">IFERROR(__xludf.DUMMYFUNCTION("IMPORTRANGE(""https://docs.google.com/spreadsheets/d/1QqKyyYR6Q21VydFLVH3TRQUabQu_ym0Zz7PgGX0-kHA/edit?usp=sharing"",""แผน!ED18"")"),25)</f>
        <v>25</v>
      </c>
      <c r="J310" s="959">
        <v>0</v>
      </c>
      <c r="K310" s="831">
        <f t="shared" ca="1" si="141"/>
        <v>0</v>
      </c>
      <c r="L310" s="831"/>
      <c r="M310" s="831"/>
      <c r="N310" s="831"/>
      <c r="O310" s="831"/>
      <c r="P310" s="831"/>
    </row>
    <row r="311" spans="1:26" ht="18.75">
      <c r="A311" s="949"/>
      <c r="B311" s="950"/>
      <c r="C311" s="950"/>
      <c r="D311" s="956" t="s">
        <v>59</v>
      </c>
      <c r="E311" s="956"/>
      <c r="F311" s="956"/>
      <c r="G311" s="958"/>
      <c r="H311" s="730" t="s">
        <v>35</v>
      </c>
      <c r="I311" s="830">
        <f ca="1">IFERROR(__xludf.DUMMYFUNCTION("IMPORTRANGE(""https://docs.google.com/spreadsheets/d/1QqKyyYR6Q21VydFLVH3TRQUabQu_ym0Zz7PgGX0-kHA/edit?usp=sharing"",""แผน!ED18"")"),25)</f>
        <v>25</v>
      </c>
      <c r="J311" s="959">
        <v>0</v>
      </c>
      <c r="K311" s="831">
        <f t="shared" ca="1" si="141"/>
        <v>0</v>
      </c>
      <c r="L311" s="831"/>
      <c r="M311" s="831"/>
      <c r="N311" s="831"/>
      <c r="O311" s="831"/>
      <c r="P311" s="831"/>
    </row>
    <row r="312" spans="1:26" ht="18.75">
      <c r="A312" s="949"/>
      <c r="B312" s="950"/>
      <c r="C312" s="950"/>
      <c r="D312" s="956" t="s">
        <v>143</v>
      </c>
      <c r="E312" s="956"/>
      <c r="F312" s="956"/>
      <c r="G312" s="958"/>
      <c r="H312" s="730" t="s">
        <v>35</v>
      </c>
      <c r="I312" s="830">
        <f ca="1">IFERROR(__xludf.DUMMYFUNCTION("IMPORTRANGE(""https://docs.google.com/spreadsheets/d/1QqKyyYR6Q21VydFLVH3TRQUabQu_ym0Zz7PgGX0-kHA/edit?usp=sharing"",""แผน!EE18"")"),5)</f>
        <v>5</v>
      </c>
      <c r="J312" s="959">
        <v>5</v>
      </c>
      <c r="K312" s="831">
        <f t="shared" ca="1" si="141"/>
        <v>100</v>
      </c>
      <c r="L312" s="831"/>
      <c r="M312" s="831"/>
      <c r="N312" s="831"/>
      <c r="O312" s="831"/>
      <c r="P312" s="831"/>
    </row>
    <row r="313" spans="1:26" ht="19.5" hidden="1">
      <c r="A313" s="1126" t="s">
        <v>144</v>
      </c>
      <c r="B313" s="1127"/>
      <c r="C313" s="1127"/>
      <c r="D313" s="1128"/>
      <c r="E313" s="1127"/>
      <c r="F313" s="1127"/>
      <c r="G313" s="1127"/>
      <c r="H313" s="1140"/>
      <c r="I313" s="1131"/>
      <c r="J313" s="1131"/>
      <c r="K313" s="1132"/>
      <c r="L313" s="1132"/>
      <c r="M313" s="1132"/>
      <c r="N313" s="1132"/>
      <c r="O313" s="1132"/>
      <c r="P313" s="1132"/>
    </row>
    <row r="314" spans="1:26" ht="19.5" hidden="1">
      <c r="A314" s="1141"/>
      <c r="B314" s="1134" t="s">
        <v>145</v>
      </c>
      <c r="C314" s="1142"/>
      <c r="D314" s="1143"/>
      <c r="E314" s="1135"/>
      <c r="F314" s="1135"/>
      <c r="G314" s="1136"/>
      <c r="H314" s="412" t="s">
        <v>146</v>
      </c>
      <c r="I314" s="1137">
        <f t="shared" ref="I314:J314" ca="1" si="142">I325</f>
        <v>0</v>
      </c>
      <c r="J314" s="1137">
        <f t="shared" si="142"/>
        <v>0</v>
      </c>
      <c r="K314" s="1138">
        <f ca="1">IF(I314&gt;0,J314*100/I314,0)</f>
        <v>0</v>
      </c>
      <c r="L314" s="1139"/>
      <c r="M314" s="1139"/>
      <c r="N314" s="1139"/>
      <c r="O314" s="1139"/>
      <c r="P314" s="1139"/>
    </row>
    <row r="315" spans="1:26" ht="19.5" hidden="1">
      <c r="A315" s="932"/>
      <c r="B315" s="933"/>
      <c r="C315" s="934" t="s">
        <v>16</v>
      </c>
      <c r="D315" s="935" t="s">
        <v>17</v>
      </c>
      <c r="E315" s="933"/>
      <c r="F315" s="933"/>
      <c r="G315" s="936"/>
      <c r="H315" s="152" t="s">
        <v>12</v>
      </c>
      <c r="I315" s="937"/>
      <c r="J315" s="937"/>
      <c r="K315" s="938"/>
      <c r="L315" s="939">
        <f t="shared" ref="L315:N315" ca="1" si="143">L316+L317</f>
        <v>0</v>
      </c>
      <c r="M315" s="939">
        <f t="shared" ca="1" si="143"/>
        <v>0</v>
      </c>
      <c r="N315" s="939">
        <f t="shared" ca="1" si="143"/>
        <v>0</v>
      </c>
      <c r="O315" s="939">
        <f t="shared" ref="O315:O323" ca="1" si="144">IF(L315&gt;0,N315*100/L315,0)</f>
        <v>0</v>
      </c>
      <c r="P315" s="939">
        <f t="shared" ref="P315:P323" ca="1" si="145">IF(M315&gt;0,N315*100/M315,0)</f>
        <v>0</v>
      </c>
      <c r="Q315" s="818"/>
      <c r="R315" s="818"/>
      <c r="S315" s="818"/>
      <c r="T315" s="818"/>
      <c r="U315" s="818"/>
      <c r="V315" s="818"/>
      <c r="W315" s="818"/>
      <c r="X315" s="818"/>
      <c r="Y315" s="818"/>
      <c r="Z315" s="818"/>
    </row>
    <row r="316" spans="1:26" ht="18.75" hidden="1">
      <c r="A316" s="940"/>
      <c r="B316" s="833"/>
      <c r="C316" s="833"/>
      <c r="D316" s="833"/>
      <c r="E316" s="834" t="s">
        <v>18</v>
      </c>
      <c r="F316" s="833"/>
      <c r="G316" s="941"/>
      <c r="H316" s="158" t="s">
        <v>12</v>
      </c>
      <c r="I316" s="836"/>
      <c r="J316" s="836"/>
      <c r="K316" s="837"/>
      <c r="L316" s="837">
        <f t="shared" ref="L316:N317" si="146">L319+L322</f>
        <v>0</v>
      </c>
      <c r="M316" s="837">
        <f t="shared" si="146"/>
        <v>0</v>
      </c>
      <c r="N316" s="837">
        <f t="shared" si="146"/>
        <v>0</v>
      </c>
      <c r="O316" s="837">
        <f t="shared" si="144"/>
        <v>0</v>
      </c>
      <c r="P316" s="837">
        <f t="shared" si="145"/>
        <v>0</v>
      </c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</row>
    <row r="317" spans="1:26" ht="18.75" hidden="1">
      <c r="A317" s="940"/>
      <c r="B317" s="833"/>
      <c r="C317" s="833"/>
      <c r="D317" s="833"/>
      <c r="E317" s="834" t="s">
        <v>19</v>
      </c>
      <c r="F317" s="833"/>
      <c r="G317" s="941"/>
      <c r="H317" s="158" t="s">
        <v>12</v>
      </c>
      <c r="I317" s="836"/>
      <c r="J317" s="836"/>
      <c r="K317" s="837"/>
      <c r="L317" s="837">
        <f t="shared" ca="1" si="146"/>
        <v>0</v>
      </c>
      <c r="M317" s="837">
        <f t="shared" ca="1" si="146"/>
        <v>0</v>
      </c>
      <c r="N317" s="837">
        <f t="shared" ca="1" si="146"/>
        <v>0</v>
      </c>
      <c r="O317" s="837">
        <f t="shared" ca="1" si="144"/>
        <v>0</v>
      </c>
      <c r="P317" s="837">
        <f t="shared" ca="1" si="145"/>
        <v>0</v>
      </c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</row>
    <row r="318" spans="1:26" ht="18.75" hidden="1">
      <c r="A318" s="942"/>
      <c r="B318" s="827"/>
      <c r="C318" s="943"/>
      <c r="D318" s="828" t="s">
        <v>20</v>
      </c>
      <c r="E318" s="827"/>
      <c r="F318" s="827"/>
      <c r="G318" s="829"/>
      <c r="H318" s="778" t="s">
        <v>12</v>
      </c>
      <c r="I318" s="944"/>
      <c r="J318" s="944"/>
      <c r="K318" s="945"/>
      <c r="L318" s="831">
        <f t="shared" ref="L318:N318" ca="1" si="147">L319+L320</f>
        <v>0</v>
      </c>
      <c r="M318" s="831">
        <f t="shared" ca="1" si="147"/>
        <v>0</v>
      </c>
      <c r="N318" s="831">
        <f t="shared" ca="1" si="147"/>
        <v>0</v>
      </c>
      <c r="O318" s="831">
        <f t="shared" ca="1" si="144"/>
        <v>0</v>
      </c>
      <c r="P318" s="831">
        <f t="shared" ca="1" si="145"/>
        <v>0</v>
      </c>
      <c r="Q318" s="818"/>
      <c r="R318" s="818"/>
      <c r="S318" s="818"/>
      <c r="T318" s="818"/>
      <c r="U318" s="818"/>
      <c r="V318" s="818"/>
      <c r="W318" s="818"/>
      <c r="X318" s="818"/>
      <c r="Y318" s="818"/>
      <c r="Z318" s="818"/>
    </row>
    <row r="319" spans="1:26" ht="19.5" hidden="1">
      <c r="A319" s="940"/>
      <c r="B319" s="833"/>
      <c r="C319" s="946"/>
      <c r="D319" s="833"/>
      <c r="E319" s="834" t="s">
        <v>36</v>
      </c>
      <c r="F319" s="833"/>
      <c r="G319" s="941"/>
      <c r="H319" s="165" t="s">
        <v>12</v>
      </c>
      <c r="I319" s="947"/>
      <c r="J319" s="947"/>
      <c r="K319" s="948"/>
      <c r="L319" s="837">
        <v>0</v>
      </c>
      <c r="M319" s="837">
        <v>0</v>
      </c>
      <c r="N319" s="837">
        <v>0</v>
      </c>
      <c r="O319" s="837">
        <f t="shared" si="144"/>
        <v>0</v>
      </c>
      <c r="P319" s="837">
        <f t="shared" si="145"/>
        <v>0</v>
      </c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</row>
    <row r="320" spans="1:26" ht="19.5" hidden="1">
      <c r="A320" s="940"/>
      <c r="B320" s="833"/>
      <c r="C320" s="946"/>
      <c r="D320" s="833"/>
      <c r="E320" s="834" t="s">
        <v>37</v>
      </c>
      <c r="F320" s="833"/>
      <c r="G320" s="941"/>
      <c r="H320" s="165" t="s">
        <v>12</v>
      </c>
      <c r="I320" s="947"/>
      <c r="J320" s="947"/>
      <c r="K320" s="948"/>
      <c r="L320" s="837">
        <f ca="1">IFERROR(__xludf.DUMMYFUNCTION("IMPORTRANGE(""https://docs.google.com/spreadsheets/d/1MeEWN-I1oV_STSDYn1IFDPWt_1FKiwhDph83XaGc0o0/edit?usp=sharing"",""งบพรบ!EC18"")"),0)</f>
        <v>0</v>
      </c>
      <c r="M320" s="837">
        <f ca="1">IFERROR(__xludf.DUMMYFUNCTION("IMPORTRANGE(""https://docs.google.com/spreadsheets/d/1MeEWN-I1oV_STSDYn1IFDPWt_1FKiwhDph83XaGc0o0/edit?usp=sharing"",""งบพรบ!EH18"")"),0)</f>
        <v>0</v>
      </c>
      <c r="N320" s="837">
        <f ca="1">IFERROR(__xludf.DUMMYFUNCTION("IMPORTRANGE(""https://docs.google.com/spreadsheets/d/1MeEWN-I1oV_STSDYn1IFDPWt_1FKiwhDph83XaGc0o0/edit?usp=sharing"",""งบพรบ!EJ18"")"),0)</f>
        <v>0</v>
      </c>
      <c r="O320" s="837">
        <f t="shared" ca="1" si="144"/>
        <v>0</v>
      </c>
      <c r="P320" s="837">
        <f t="shared" ca="1" si="145"/>
        <v>0</v>
      </c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</row>
    <row r="321" spans="1:26" ht="18.75" hidden="1">
      <c r="A321" s="942"/>
      <c r="B321" s="827"/>
      <c r="C321" s="943"/>
      <c r="D321" s="828" t="s">
        <v>21</v>
      </c>
      <c r="E321" s="827"/>
      <c r="F321" s="827"/>
      <c r="G321" s="829"/>
      <c r="H321" s="168" t="s">
        <v>12</v>
      </c>
      <c r="I321" s="944"/>
      <c r="J321" s="944"/>
      <c r="K321" s="945"/>
      <c r="L321" s="831">
        <f t="shared" ref="L321:N321" ca="1" si="148">L322+L323</f>
        <v>0</v>
      </c>
      <c r="M321" s="831">
        <f t="shared" ca="1" si="148"/>
        <v>0</v>
      </c>
      <c r="N321" s="831">
        <f t="shared" ca="1" si="148"/>
        <v>0</v>
      </c>
      <c r="O321" s="831">
        <f t="shared" ca="1" si="144"/>
        <v>0</v>
      </c>
      <c r="P321" s="831">
        <f t="shared" ca="1" si="145"/>
        <v>0</v>
      </c>
      <c r="Q321" s="818"/>
      <c r="R321" s="818"/>
      <c r="S321" s="818"/>
      <c r="T321" s="818"/>
      <c r="U321" s="818"/>
      <c r="V321" s="818"/>
      <c r="W321" s="818"/>
      <c r="X321" s="818"/>
      <c r="Y321" s="818"/>
      <c r="Z321" s="818"/>
    </row>
    <row r="322" spans="1:26" ht="19.5" hidden="1">
      <c r="A322" s="940"/>
      <c r="B322" s="833"/>
      <c r="C322" s="946"/>
      <c r="D322" s="833"/>
      <c r="E322" s="834" t="s">
        <v>18</v>
      </c>
      <c r="F322" s="833"/>
      <c r="G322" s="941"/>
      <c r="H322" s="165" t="s">
        <v>12</v>
      </c>
      <c r="I322" s="947"/>
      <c r="J322" s="947"/>
      <c r="K322" s="948"/>
      <c r="L322" s="837">
        <v>0</v>
      </c>
      <c r="M322" s="837">
        <v>0</v>
      </c>
      <c r="N322" s="837">
        <v>0</v>
      </c>
      <c r="O322" s="837">
        <f t="shared" si="144"/>
        <v>0</v>
      </c>
      <c r="P322" s="837">
        <f t="shared" si="145"/>
        <v>0</v>
      </c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</row>
    <row r="323" spans="1:26" ht="19.5" hidden="1">
      <c r="A323" s="940"/>
      <c r="B323" s="833"/>
      <c r="C323" s="946"/>
      <c r="D323" s="833"/>
      <c r="E323" s="834" t="s">
        <v>19</v>
      </c>
      <c r="F323" s="833"/>
      <c r="G323" s="941"/>
      <c r="H323" s="169" t="s">
        <v>12</v>
      </c>
      <c r="I323" s="947"/>
      <c r="J323" s="947"/>
      <c r="K323" s="948"/>
      <c r="L323" s="837">
        <f ca="1">IFERROR(__xludf.DUMMYFUNCTION("IMPORTRANGE(""https://docs.google.com/spreadsheets/d/1MeEWN-I1oV_STSDYn1IFDPWt_1FKiwhDph83XaGc0o0/edit?usp=sharing"",""งบพรบ!EF18"")"),0)</f>
        <v>0</v>
      </c>
      <c r="M323" s="837">
        <f ca="1">IFERROR(__xludf.DUMMYFUNCTION("IMPORTRANGE(""https://docs.google.com/spreadsheets/d/1MeEWN-I1oV_STSDYn1IFDPWt_1FKiwhDph83XaGc0o0/edit?usp=sharing"",""งบพรบ!EI18"")"),0)</f>
        <v>0</v>
      </c>
      <c r="N323" s="837">
        <f ca="1">IFERROR(__xludf.DUMMYFUNCTION("IMPORTRANGE(""https://docs.google.com/spreadsheets/d/1MeEWN-I1oV_STSDYn1IFDPWt_1FKiwhDph83XaGc0o0/edit?usp=sharing"",""งบพรบ!EK18"")"),0)</f>
        <v>0</v>
      </c>
      <c r="O323" s="837">
        <f t="shared" ca="1" si="144"/>
        <v>0</v>
      </c>
      <c r="P323" s="837">
        <f t="shared" ca="1" si="145"/>
        <v>0</v>
      </c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</row>
    <row r="324" spans="1:26" ht="19.5" hidden="1">
      <c r="A324" s="949"/>
      <c r="B324" s="950"/>
      <c r="C324" s="946" t="s">
        <v>16</v>
      </c>
      <c r="D324" s="951" t="s">
        <v>38</v>
      </c>
      <c r="E324" s="952"/>
      <c r="F324" s="952"/>
      <c r="G324" s="953"/>
      <c r="H324" s="954"/>
      <c r="I324" s="944"/>
      <c r="J324" s="830"/>
      <c r="K324" s="831"/>
      <c r="L324" s="831"/>
      <c r="M324" s="831"/>
      <c r="N324" s="831"/>
      <c r="O324" s="945"/>
      <c r="P324" s="945"/>
    </row>
    <row r="325" spans="1:26" ht="18.75" hidden="1">
      <c r="A325" s="949"/>
      <c r="B325" s="950"/>
      <c r="C325" s="950"/>
      <c r="D325" s="955" t="s">
        <v>147</v>
      </c>
      <c r="E325" s="957"/>
      <c r="F325" s="956"/>
      <c r="G325" s="958"/>
      <c r="H325" s="590" t="s">
        <v>146</v>
      </c>
      <c r="I325" s="830">
        <f ca="1">IFERROR(__xludf.DUMMYFUNCTION("IMPORTRANGE(""https://docs.google.com/spreadsheets/d/1QqKyyYR6Q21VydFLVH3TRQUabQu_ym0Zz7PgGX0-kHA/edit?usp=sharing"",""แผน!EF18"")"),0)</f>
        <v>0</v>
      </c>
      <c r="J325" s="959">
        <v>0</v>
      </c>
      <c r="K325" s="831">
        <f ca="1">IF(I325&gt;0,J325*100/I325,0)</f>
        <v>0</v>
      </c>
      <c r="L325" s="831"/>
      <c r="M325" s="831"/>
      <c r="N325" s="831"/>
      <c r="O325" s="945"/>
      <c r="P325" s="945"/>
    </row>
    <row r="326" spans="1:26" ht="19.5">
      <c r="A326" s="1126" t="s">
        <v>148</v>
      </c>
      <c r="B326" s="1127"/>
      <c r="C326" s="1127"/>
      <c r="D326" s="1128"/>
      <c r="E326" s="1127"/>
      <c r="F326" s="1127"/>
      <c r="G326" s="1127"/>
      <c r="H326" s="1140"/>
      <c r="I326" s="1131"/>
      <c r="J326" s="1131"/>
      <c r="K326" s="1132"/>
      <c r="L326" s="1132"/>
      <c r="M326" s="1132"/>
      <c r="N326" s="1132"/>
      <c r="O326" s="1132"/>
      <c r="P326" s="1132"/>
    </row>
    <row r="327" spans="1:26" ht="19.5">
      <c r="A327" s="1133"/>
      <c r="B327" s="1134" t="s">
        <v>149</v>
      </c>
      <c r="C327" s="1143"/>
      <c r="D327" s="1135"/>
      <c r="E327" s="1135"/>
      <c r="F327" s="1135"/>
      <c r="G327" s="1136"/>
      <c r="H327" s="412" t="s">
        <v>35</v>
      </c>
      <c r="I327" s="1137">
        <f ca="1">IFERROR(__xludf.DUMMYFUNCTION("IMPORTRANGE(""https://docs.google.com/spreadsheets/d/1QqKyyYR6Q21VydFLVH3TRQUabQu_ym0Zz7PgGX0-kHA/edit?usp=sharing"",""แผน!EG18"")"),3500)</f>
        <v>3500</v>
      </c>
      <c r="J327" s="1137">
        <f ca="1">J338+J341+J342+J343</f>
        <v>2213</v>
      </c>
      <c r="K327" s="1138">
        <f ca="1">IF(I327&gt;0,J327*100/I327,0)</f>
        <v>63.228571428571428</v>
      </c>
      <c r="L327" s="1139"/>
      <c r="M327" s="1139"/>
      <c r="N327" s="1139"/>
      <c r="O327" s="1139"/>
      <c r="P327" s="1139"/>
    </row>
    <row r="328" spans="1:26" ht="19.5">
      <c r="A328" s="932"/>
      <c r="B328" s="933"/>
      <c r="C328" s="934" t="s">
        <v>16</v>
      </c>
      <c r="D328" s="935" t="s">
        <v>17</v>
      </c>
      <c r="E328" s="933"/>
      <c r="F328" s="933"/>
      <c r="G328" s="936"/>
      <c r="H328" s="152" t="s">
        <v>12</v>
      </c>
      <c r="I328" s="937"/>
      <c r="J328" s="937"/>
      <c r="K328" s="938"/>
      <c r="L328" s="939">
        <f t="shared" ref="L328:N328" ca="1" si="149">L329+L330</f>
        <v>177000</v>
      </c>
      <c r="M328" s="939">
        <f t="shared" ca="1" si="149"/>
        <v>135250</v>
      </c>
      <c r="N328" s="939">
        <f t="shared" ca="1" si="149"/>
        <v>60518</v>
      </c>
      <c r="O328" s="939">
        <f t="shared" ref="O328:O336" ca="1" si="150">IF(L328&gt;0,N328*100/L328,0)</f>
        <v>34.190960451977404</v>
      </c>
      <c r="P328" s="939">
        <f t="shared" ref="P328:P336" ca="1" si="151">IF(M328&gt;0,N328*100/M328,0)</f>
        <v>44.745286506469498</v>
      </c>
      <c r="Q328" s="818"/>
      <c r="R328" s="818"/>
      <c r="S328" s="818"/>
      <c r="T328" s="818"/>
      <c r="U328" s="818"/>
      <c r="V328" s="818"/>
      <c r="W328" s="818"/>
      <c r="X328" s="818"/>
      <c r="Y328" s="818"/>
      <c r="Z328" s="818"/>
    </row>
    <row r="329" spans="1:26" ht="18.75" hidden="1">
      <c r="A329" s="940"/>
      <c r="B329" s="833"/>
      <c r="C329" s="833"/>
      <c r="D329" s="833"/>
      <c r="E329" s="834" t="s">
        <v>18</v>
      </c>
      <c r="F329" s="833"/>
      <c r="G329" s="941"/>
      <c r="H329" s="158" t="s">
        <v>12</v>
      </c>
      <c r="I329" s="836"/>
      <c r="J329" s="836"/>
      <c r="K329" s="837"/>
      <c r="L329" s="837">
        <f t="shared" ref="L329:N330" si="152">L332+L335</f>
        <v>0</v>
      </c>
      <c r="M329" s="837">
        <f t="shared" si="152"/>
        <v>0</v>
      </c>
      <c r="N329" s="837">
        <f t="shared" si="152"/>
        <v>0</v>
      </c>
      <c r="O329" s="837">
        <f t="shared" si="150"/>
        <v>0</v>
      </c>
      <c r="P329" s="837">
        <f t="shared" si="151"/>
        <v>0</v>
      </c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</row>
    <row r="330" spans="1:26" ht="18.75" hidden="1">
      <c r="A330" s="940"/>
      <c r="B330" s="833"/>
      <c r="C330" s="833"/>
      <c r="D330" s="833"/>
      <c r="E330" s="834" t="s">
        <v>19</v>
      </c>
      <c r="F330" s="833"/>
      <c r="G330" s="941"/>
      <c r="H330" s="158" t="s">
        <v>12</v>
      </c>
      <c r="I330" s="836"/>
      <c r="J330" s="836"/>
      <c r="K330" s="837"/>
      <c r="L330" s="837">
        <f t="shared" ca="1" si="152"/>
        <v>177000</v>
      </c>
      <c r="M330" s="837">
        <f t="shared" ca="1" si="152"/>
        <v>135250</v>
      </c>
      <c r="N330" s="837">
        <f t="shared" ca="1" si="152"/>
        <v>60518</v>
      </c>
      <c r="O330" s="837">
        <f t="shared" ca="1" si="150"/>
        <v>34.190960451977404</v>
      </c>
      <c r="P330" s="837">
        <f t="shared" ca="1" si="151"/>
        <v>44.745286506469498</v>
      </c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</row>
    <row r="331" spans="1:26" ht="18.75">
      <c r="A331" s="942"/>
      <c r="B331" s="827"/>
      <c r="C331" s="943"/>
      <c r="D331" s="828" t="s">
        <v>20</v>
      </c>
      <c r="E331" s="827"/>
      <c r="F331" s="827"/>
      <c r="G331" s="829"/>
      <c r="H331" s="778" t="s">
        <v>12</v>
      </c>
      <c r="I331" s="944"/>
      <c r="J331" s="944"/>
      <c r="K331" s="945"/>
      <c r="L331" s="831">
        <f t="shared" ref="L331:N331" ca="1" si="153">L332+L333</f>
        <v>177000</v>
      </c>
      <c r="M331" s="831">
        <f t="shared" ca="1" si="153"/>
        <v>135250</v>
      </c>
      <c r="N331" s="831">
        <f t="shared" ca="1" si="153"/>
        <v>60518</v>
      </c>
      <c r="O331" s="831">
        <f t="shared" ca="1" si="150"/>
        <v>34.190960451977404</v>
      </c>
      <c r="P331" s="831">
        <f t="shared" ca="1" si="151"/>
        <v>44.745286506469498</v>
      </c>
      <c r="Q331" s="818"/>
      <c r="R331" s="818"/>
      <c r="S331" s="818"/>
      <c r="T331" s="818"/>
      <c r="U331" s="818"/>
      <c r="V331" s="818"/>
      <c r="W331" s="818"/>
      <c r="X331" s="818"/>
      <c r="Y331" s="818"/>
      <c r="Z331" s="818"/>
    </row>
    <row r="332" spans="1:26" ht="19.5" hidden="1">
      <c r="A332" s="940"/>
      <c r="B332" s="833"/>
      <c r="C332" s="946"/>
      <c r="D332" s="833"/>
      <c r="E332" s="834" t="s">
        <v>36</v>
      </c>
      <c r="F332" s="833"/>
      <c r="G332" s="941"/>
      <c r="H332" s="165" t="s">
        <v>12</v>
      </c>
      <c r="I332" s="947"/>
      <c r="J332" s="947"/>
      <c r="K332" s="948"/>
      <c r="L332" s="837">
        <v>0</v>
      </c>
      <c r="M332" s="837">
        <v>0</v>
      </c>
      <c r="N332" s="837">
        <v>0</v>
      </c>
      <c r="O332" s="837">
        <f t="shared" si="150"/>
        <v>0</v>
      </c>
      <c r="P332" s="837">
        <f t="shared" si="151"/>
        <v>0</v>
      </c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</row>
    <row r="333" spans="1:26" ht="19.5" hidden="1">
      <c r="A333" s="940"/>
      <c r="B333" s="833"/>
      <c r="C333" s="946"/>
      <c r="D333" s="833"/>
      <c r="E333" s="834" t="s">
        <v>37</v>
      </c>
      <c r="F333" s="833"/>
      <c r="G333" s="941"/>
      <c r="H333" s="165" t="s">
        <v>12</v>
      </c>
      <c r="I333" s="947"/>
      <c r="J333" s="947"/>
      <c r="K333" s="948"/>
      <c r="L333" s="837">
        <f ca="1">IFERROR(__xludf.DUMMYFUNCTION("IMPORTRANGE(""https://docs.google.com/spreadsheets/d/1MeEWN-I1oV_STSDYn1IFDPWt_1FKiwhDph83XaGc0o0/edit?usp=sharing"",""งบพรบ!EM18"")"),177000)</f>
        <v>177000</v>
      </c>
      <c r="M333" s="837">
        <f ca="1">IFERROR(__xludf.DUMMYFUNCTION("IMPORTRANGE(""https://docs.google.com/spreadsheets/d/1MeEWN-I1oV_STSDYn1IFDPWt_1FKiwhDph83XaGc0o0/edit?usp=sharing"",""งบพรบ!ER18"")"),135250)</f>
        <v>135250</v>
      </c>
      <c r="N333" s="837">
        <f ca="1">IFERROR(__xludf.DUMMYFUNCTION("IMPORTRANGE(""https://docs.google.com/spreadsheets/d/1MeEWN-I1oV_STSDYn1IFDPWt_1FKiwhDph83XaGc0o0/edit?usp=sharing"",""งบพรบ!ET18"")"),60518)</f>
        <v>60518</v>
      </c>
      <c r="O333" s="837">
        <f t="shared" ca="1" si="150"/>
        <v>34.190960451977404</v>
      </c>
      <c r="P333" s="837">
        <f t="shared" ca="1" si="151"/>
        <v>44.745286506469498</v>
      </c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</row>
    <row r="334" spans="1:26" ht="18.75">
      <c r="A334" s="942"/>
      <c r="B334" s="827"/>
      <c r="C334" s="943"/>
      <c r="D334" s="828" t="s">
        <v>21</v>
      </c>
      <c r="E334" s="827"/>
      <c r="F334" s="827"/>
      <c r="G334" s="829"/>
      <c r="H334" s="168" t="s">
        <v>12</v>
      </c>
      <c r="I334" s="944"/>
      <c r="J334" s="944"/>
      <c r="K334" s="945"/>
      <c r="L334" s="831">
        <f t="shared" ref="L334:N334" ca="1" si="154">L335+L336</f>
        <v>0</v>
      </c>
      <c r="M334" s="831">
        <f t="shared" ca="1" si="154"/>
        <v>0</v>
      </c>
      <c r="N334" s="831">
        <f t="shared" ca="1" si="154"/>
        <v>0</v>
      </c>
      <c r="O334" s="831">
        <f t="shared" ca="1" si="150"/>
        <v>0</v>
      </c>
      <c r="P334" s="831">
        <f t="shared" ca="1" si="151"/>
        <v>0</v>
      </c>
      <c r="Q334" s="818"/>
      <c r="R334" s="818"/>
      <c r="S334" s="818"/>
      <c r="T334" s="818"/>
      <c r="U334" s="818"/>
      <c r="V334" s="818"/>
      <c r="W334" s="818"/>
      <c r="X334" s="818"/>
      <c r="Y334" s="818"/>
      <c r="Z334" s="818"/>
    </row>
    <row r="335" spans="1:26" ht="19.5" hidden="1">
      <c r="A335" s="940"/>
      <c r="B335" s="833"/>
      <c r="C335" s="946"/>
      <c r="D335" s="833"/>
      <c r="E335" s="834" t="s">
        <v>18</v>
      </c>
      <c r="F335" s="833"/>
      <c r="G335" s="941"/>
      <c r="H335" s="165" t="s">
        <v>12</v>
      </c>
      <c r="I335" s="947"/>
      <c r="J335" s="947"/>
      <c r="K335" s="948"/>
      <c r="L335" s="837">
        <v>0</v>
      </c>
      <c r="M335" s="837">
        <v>0</v>
      </c>
      <c r="N335" s="837">
        <v>0</v>
      </c>
      <c r="O335" s="837">
        <f t="shared" si="150"/>
        <v>0</v>
      </c>
      <c r="P335" s="837">
        <f t="shared" si="151"/>
        <v>0</v>
      </c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</row>
    <row r="336" spans="1:26" ht="19.5" hidden="1">
      <c r="A336" s="940"/>
      <c r="B336" s="833"/>
      <c r="C336" s="946"/>
      <c r="D336" s="833"/>
      <c r="E336" s="834" t="s">
        <v>19</v>
      </c>
      <c r="F336" s="833"/>
      <c r="G336" s="941"/>
      <c r="H336" s="169" t="s">
        <v>12</v>
      </c>
      <c r="I336" s="947"/>
      <c r="J336" s="947"/>
      <c r="K336" s="948"/>
      <c r="L336" s="837">
        <f ca="1">IFERROR(__xludf.DUMMYFUNCTION("IMPORTRANGE(""https://docs.google.com/spreadsheets/d/1MeEWN-I1oV_STSDYn1IFDPWt_1FKiwhDph83XaGc0o0/edit?usp=sharing"",""งบพรบ!EP18"")"),0)</f>
        <v>0</v>
      </c>
      <c r="M336" s="837">
        <f ca="1">IFERROR(__xludf.DUMMYFUNCTION("IMPORTRANGE(""https://docs.google.com/spreadsheets/d/1MeEWN-I1oV_STSDYn1IFDPWt_1FKiwhDph83XaGc0o0/edit?usp=sharing"",""งบพรบ!ES18"")"),0)</f>
        <v>0</v>
      </c>
      <c r="N336" s="837">
        <f ca="1">IFERROR(__xludf.DUMMYFUNCTION("IMPORTRANGE(""https://docs.google.com/spreadsheets/d/1MeEWN-I1oV_STSDYn1IFDPWt_1FKiwhDph83XaGc0o0/edit?usp=sharing"",""งบพรบ!EU18"")"),0)</f>
        <v>0</v>
      </c>
      <c r="O336" s="837">
        <f t="shared" ca="1" si="150"/>
        <v>0</v>
      </c>
      <c r="P336" s="837">
        <f t="shared" ca="1" si="151"/>
        <v>0</v>
      </c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</row>
    <row r="337" spans="1:26" ht="19.5">
      <c r="A337" s="949"/>
      <c r="B337" s="950"/>
      <c r="C337" s="946" t="s">
        <v>16</v>
      </c>
      <c r="D337" s="951" t="s">
        <v>38</v>
      </c>
      <c r="E337" s="952"/>
      <c r="F337" s="952"/>
      <c r="G337" s="953"/>
      <c r="H337" s="954"/>
      <c r="I337" s="944"/>
      <c r="J337" s="830"/>
      <c r="K337" s="831"/>
      <c r="L337" s="831"/>
      <c r="M337" s="831"/>
      <c r="N337" s="831"/>
      <c r="O337" s="945"/>
      <c r="P337" s="945"/>
    </row>
    <row r="338" spans="1:26" ht="18.75">
      <c r="A338" s="1032"/>
      <c r="B338" s="827"/>
      <c r="C338" s="1030"/>
      <c r="D338" s="956" t="s">
        <v>150</v>
      </c>
      <c r="E338" s="950"/>
      <c r="F338" s="827"/>
      <c r="G338" s="829"/>
      <c r="H338" s="277" t="s">
        <v>35</v>
      </c>
      <c r="I338" s="830">
        <f ca="1">IFERROR(__xludf.DUMMYFUNCTION("IMPORTRANGE(""https://docs.google.com/spreadsheets/d/1QqKyyYR6Q21VydFLVH3TRQUabQu_ym0Zz7PgGX0-kHA/edit?usp=sharing"",""แผน!EG18"")"),3500)</f>
        <v>3500</v>
      </c>
      <c r="J338" s="830">
        <f ca="1">IFERROR(__xludf.DUMMYFUNCTION("IMPORTRANGE(""https://docs.google.com/spreadsheets/d/1kVcqe37tkHyjCSG3S0O1AXqVkqjo8mSIZil3BcpIysc/edit?usp=sharing"",""ศูนย์!D18"")"),1958)</f>
        <v>1958</v>
      </c>
      <c r="K338" s="831">
        <f ca="1">IF(I338&gt;0,J338*100/I338,0)</f>
        <v>55.942857142857143</v>
      </c>
      <c r="L338" s="831"/>
      <c r="M338" s="831"/>
      <c r="N338" s="831"/>
      <c r="O338" s="831"/>
      <c r="P338" s="831"/>
    </row>
    <row r="339" spans="1:26" ht="18.75">
      <c r="A339" s="1032"/>
      <c r="B339" s="827"/>
      <c r="C339" s="1030"/>
      <c r="D339" s="956" t="s">
        <v>151</v>
      </c>
      <c r="E339" s="950"/>
      <c r="F339" s="827"/>
      <c r="G339" s="829"/>
      <c r="H339" s="277"/>
      <c r="I339" s="830"/>
      <c r="J339" s="830"/>
      <c r="K339" s="831"/>
      <c r="L339" s="831"/>
      <c r="M339" s="831"/>
      <c r="N339" s="831"/>
      <c r="O339" s="831"/>
      <c r="P339" s="831"/>
    </row>
    <row r="340" spans="1:26" ht="18.75">
      <c r="A340" s="1032"/>
      <c r="B340" s="827"/>
      <c r="C340" s="1030"/>
      <c r="D340" s="957"/>
      <c r="E340" s="956" t="s">
        <v>152</v>
      </c>
      <c r="F340" s="827"/>
      <c r="G340" s="829"/>
      <c r="H340" s="277" t="s">
        <v>153</v>
      </c>
      <c r="I340" s="830">
        <f ca="1">IFERROR(__xludf.DUMMYFUNCTION("IMPORTRANGE(""https://docs.google.com/spreadsheets/d/1QqKyyYR6Q21VydFLVH3TRQUabQu_ym0Zz7PgGX0-kHA/edit?usp=sharing"",""แผน!EH18"")"),7)</f>
        <v>7</v>
      </c>
      <c r="J340" s="830">
        <f ca="1">IFERROR(__xludf.DUMMYFUNCTION("IMPORTRANGE(""https://docs.google.com/spreadsheets/d/1kVcqe37tkHyjCSG3S0O1AXqVkqjo8mSIZil3BcpIysc/edit?usp=sharing"",""ศูนย์!E18"")"),5)</f>
        <v>5</v>
      </c>
      <c r="K340" s="831">
        <f ca="1">IF(I340&gt;0,J340*100/I340,0)</f>
        <v>71.428571428571431</v>
      </c>
      <c r="L340" s="831"/>
      <c r="M340" s="831"/>
      <c r="N340" s="831"/>
      <c r="O340" s="831"/>
      <c r="P340" s="831"/>
    </row>
    <row r="341" spans="1:26" ht="18.75">
      <c r="A341" s="1032"/>
      <c r="B341" s="827"/>
      <c r="C341" s="1030"/>
      <c r="D341" s="957"/>
      <c r="E341" s="956" t="s">
        <v>154</v>
      </c>
      <c r="F341" s="827"/>
      <c r="G341" s="829"/>
      <c r="H341" s="277" t="s">
        <v>35</v>
      </c>
      <c r="I341" s="830"/>
      <c r="J341" s="830">
        <f ca="1">IFERROR(__xludf.DUMMYFUNCTION("IMPORTRANGE(""https://docs.google.com/spreadsheets/d/1kVcqe37tkHyjCSG3S0O1AXqVkqjo8mSIZil3BcpIysc/edit?usp=sharing"",""ศูนย์!F18"")"),251)</f>
        <v>251</v>
      </c>
      <c r="K341" s="831"/>
      <c r="L341" s="831"/>
      <c r="M341" s="831"/>
      <c r="N341" s="831"/>
      <c r="O341" s="831"/>
      <c r="P341" s="831"/>
    </row>
    <row r="342" spans="1:26" ht="18.75">
      <c r="A342" s="1032"/>
      <c r="B342" s="827"/>
      <c r="C342" s="1030"/>
      <c r="D342" s="956" t="s">
        <v>155</v>
      </c>
      <c r="E342" s="957"/>
      <c r="F342" s="957"/>
      <c r="G342" s="829"/>
      <c r="H342" s="277" t="s">
        <v>35</v>
      </c>
      <c r="I342" s="830"/>
      <c r="J342" s="830">
        <f ca="1">IFERROR(__xludf.DUMMYFUNCTION("IMPORTRANGE(""https://docs.google.com/spreadsheets/d/1kVcqe37tkHyjCSG3S0O1AXqVkqjo8mSIZil3BcpIysc/edit?usp=sharing"",""ศูนย์!G18"")"),4)</f>
        <v>4</v>
      </c>
      <c r="K342" s="831"/>
      <c r="L342" s="831"/>
      <c r="M342" s="831"/>
      <c r="N342" s="831"/>
      <c r="O342" s="831"/>
      <c r="P342" s="831"/>
    </row>
    <row r="343" spans="1:26" ht="18.75">
      <c r="A343" s="1032"/>
      <c r="B343" s="827"/>
      <c r="C343" s="1030"/>
      <c r="D343" s="956" t="s">
        <v>156</v>
      </c>
      <c r="E343" s="957"/>
      <c r="F343" s="957"/>
      <c r="G343" s="829"/>
      <c r="H343" s="277" t="s">
        <v>35</v>
      </c>
      <c r="I343" s="830"/>
      <c r="J343" s="830">
        <f ca="1">IFERROR(__xludf.DUMMYFUNCTION("IMPORTRANGE(""https://docs.google.com/spreadsheets/d/1kVcqe37tkHyjCSG3S0O1AXqVkqjo8mSIZil3BcpIysc/edit?usp=sharing"",""ศูนย์!H18"")"),0)</f>
        <v>0</v>
      </c>
      <c r="K343" s="831"/>
      <c r="L343" s="831"/>
      <c r="M343" s="831"/>
      <c r="N343" s="831"/>
      <c r="O343" s="831"/>
      <c r="P343" s="831"/>
    </row>
    <row r="344" spans="1:26" ht="19.5">
      <c r="A344" s="1133"/>
      <c r="B344" s="1134" t="s">
        <v>157</v>
      </c>
      <c r="C344" s="1143"/>
      <c r="D344" s="1135"/>
      <c r="E344" s="1135"/>
      <c r="F344" s="1135"/>
      <c r="G344" s="1136"/>
      <c r="H344" s="412"/>
      <c r="I344" s="1144"/>
      <c r="J344" s="1144"/>
      <c r="K344" s="1139"/>
      <c r="L344" s="1139"/>
      <c r="M344" s="1139"/>
      <c r="N344" s="1139"/>
      <c r="O344" s="1139"/>
      <c r="P344" s="1139"/>
    </row>
    <row r="345" spans="1:26" ht="19.5">
      <c r="A345" s="932"/>
      <c r="B345" s="933"/>
      <c r="C345" s="934" t="s">
        <v>16</v>
      </c>
      <c r="D345" s="935" t="s">
        <v>17</v>
      </c>
      <c r="E345" s="933"/>
      <c r="F345" s="933"/>
      <c r="G345" s="936"/>
      <c r="H345" s="152" t="s">
        <v>12</v>
      </c>
      <c r="I345" s="937"/>
      <c r="J345" s="937"/>
      <c r="K345" s="938"/>
      <c r="L345" s="939">
        <f t="shared" ref="L345:N345" ca="1" si="155">L346+L347</f>
        <v>809950</v>
      </c>
      <c r="M345" s="939">
        <f t="shared" ca="1" si="155"/>
        <v>627420</v>
      </c>
      <c r="N345" s="939">
        <f t="shared" ca="1" si="155"/>
        <v>385230</v>
      </c>
      <c r="O345" s="939">
        <f t="shared" ref="O345:O353" ca="1" si="156">IF(L345&gt;0,N345*100/L345,0)</f>
        <v>47.562195197234395</v>
      </c>
      <c r="P345" s="939">
        <f t="shared" ref="P345:P353" ca="1" si="157">IF(M345&gt;0,N345*100/M345,0)</f>
        <v>61.399062828727168</v>
      </c>
      <c r="Q345" s="818"/>
      <c r="R345" s="818"/>
      <c r="S345" s="818"/>
      <c r="T345" s="818"/>
      <c r="U345" s="818"/>
      <c r="V345" s="818"/>
      <c r="W345" s="818"/>
      <c r="X345" s="818"/>
      <c r="Y345" s="818"/>
      <c r="Z345" s="818"/>
    </row>
    <row r="346" spans="1:26" ht="18.75" hidden="1">
      <c r="A346" s="940"/>
      <c r="B346" s="833"/>
      <c r="C346" s="833"/>
      <c r="D346" s="833"/>
      <c r="E346" s="834" t="s">
        <v>18</v>
      </c>
      <c r="F346" s="833"/>
      <c r="G346" s="941"/>
      <c r="H346" s="158" t="s">
        <v>12</v>
      </c>
      <c r="I346" s="836"/>
      <c r="J346" s="836"/>
      <c r="K346" s="837"/>
      <c r="L346" s="837">
        <f t="shared" ref="L346:N347" si="158">L349+L352</f>
        <v>0</v>
      </c>
      <c r="M346" s="837">
        <f t="shared" si="158"/>
        <v>0</v>
      </c>
      <c r="N346" s="837">
        <f t="shared" si="158"/>
        <v>0</v>
      </c>
      <c r="O346" s="837">
        <f t="shared" si="156"/>
        <v>0</v>
      </c>
      <c r="P346" s="837">
        <f t="shared" si="157"/>
        <v>0</v>
      </c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</row>
    <row r="347" spans="1:26" ht="18.75" hidden="1">
      <c r="A347" s="940"/>
      <c r="B347" s="833"/>
      <c r="C347" s="833"/>
      <c r="D347" s="833"/>
      <c r="E347" s="834" t="s">
        <v>19</v>
      </c>
      <c r="F347" s="833"/>
      <c r="G347" s="941"/>
      <c r="H347" s="158" t="s">
        <v>12</v>
      </c>
      <c r="I347" s="836"/>
      <c r="J347" s="836"/>
      <c r="K347" s="837"/>
      <c r="L347" s="837">
        <f t="shared" ca="1" si="158"/>
        <v>809950</v>
      </c>
      <c r="M347" s="837">
        <f t="shared" ca="1" si="158"/>
        <v>627420</v>
      </c>
      <c r="N347" s="837">
        <f t="shared" ca="1" si="158"/>
        <v>385230</v>
      </c>
      <c r="O347" s="837">
        <f t="shared" ca="1" si="156"/>
        <v>47.562195197234395</v>
      </c>
      <c r="P347" s="837">
        <f t="shared" ca="1" si="157"/>
        <v>61.399062828727168</v>
      </c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</row>
    <row r="348" spans="1:26" ht="18.75">
      <c r="A348" s="942"/>
      <c r="B348" s="827"/>
      <c r="C348" s="943"/>
      <c r="D348" s="828" t="s">
        <v>20</v>
      </c>
      <c r="E348" s="827"/>
      <c r="F348" s="827"/>
      <c r="G348" s="829"/>
      <c r="H348" s="778" t="s">
        <v>12</v>
      </c>
      <c r="I348" s="944"/>
      <c r="J348" s="944"/>
      <c r="K348" s="945"/>
      <c r="L348" s="831">
        <f t="shared" ref="L348:N348" ca="1" si="159">L349+L350</f>
        <v>638950</v>
      </c>
      <c r="M348" s="831">
        <f t="shared" ca="1" si="159"/>
        <v>470220</v>
      </c>
      <c r="N348" s="831">
        <f t="shared" ca="1" si="159"/>
        <v>228030</v>
      </c>
      <c r="O348" s="831">
        <f t="shared" ca="1" si="156"/>
        <v>35.688238516315828</v>
      </c>
      <c r="P348" s="831">
        <f t="shared" ca="1" si="157"/>
        <v>48.494321806813829</v>
      </c>
      <c r="Q348" s="818"/>
      <c r="R348" s="818"/>
      <c r="S348" s="818"/>
      <c r="T348" s="818"/>
      <c r="U348" s="818"/>
      <c r="V348" s="818"/>
      <c r="W348" s="818"/>
      <c r="X348" s="818"/>
      <c r="Y348" s="818"/>
      <c r="Z348" s="818"/>
    </row>
    <row r="349" spans="1:26" ht="19.5" hidden="1">
      <c r="A349" s="940"/>
      <c r="B349" s="833"/>
      <c r="C349" s="946"/>
      <c r="D349" s="833"/>
      <c r="E349" s="834" t="s">
        <v>36</v>
      </c>
      <c r="F349" s="833"/>
      <c r="G349" s="941"/>
      <c r="H349" s="165" t="s">
        <v>12</v>
      </c>
      <c r="I349" s="947"/>
      <c r="J349" s="947"/>
      <c r="K349" s="948"/>
      <c r="L349" s="837">
        <v>0</v>
      </c>
      <c r="M349" s="837">
        <v>0</v>
      </c>
      <c r="N349" s="837">
        <v>0</v>
      </c>
      <c r="O349" s="837">
        <f t="shared" si="156"/>
        <v>0</v>
      </c>
      <c r="P349" s="837">
        <f t="shared" si="157"/>
        <v>0</v>
      </c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</row>
    <row r="350" spans="1:26" ht="19.5" hidden="1">
      <c r="A350" s="940"/>
      <c r="B350" s="833"/>
      <c r="C350" s="946"/>
      <c r="D350" s="833"/>
      <c r="E350" s="834" t="s">
        <v>37</v>
      </c>
      <c r="F350" s="833"/>
      <c r="G350" s="941"/>
      <c r="H350" s="165" t="s">
        <v>12</v>
      </c>
      <c r="I350" s="947"/>
      <c r="J350" s="947"/>
      <c r="K350" s="948"/>
      <c r="L350" s="837">
        <f ca="1">IFERROR(__xludf.DUMMYFUNCTION("IMPORTRANGE(""https://docs.google.com/spreadsheets/d/1MeEWN-I1oV_STSDYn1IFDPWt_1FKiwhDph83XaGc0o0/edit?usp=sharing"",""งบพรบ!EW18"")"),638950)</f>
        <v>638950</v>
      </c>
      <c r="M350" s="837">
        <f ca="1">IFERROR(__xludf.DUMMYFUNCTION("IMPORTRANGE(""https://docs.google.com/spreadsheets/d/1MeEWN-I1oV_STSDYn1IFDPWt_1FKiwhDph83XaGc0o0/edit?usp=sharing"",""งบพรบ!FB18"")"),470220)</f>
        <v>470220</v>
      </c>
      <c r="N350" s="837">
        <f ca="1">IFERROR(__xludf.DUMMYFUNCTION("IMPORTRANGE(""https://docs.google.com/spreadsheets/d/1MeEWN-I1oV_STSDYn1IFDPWt_1FKiwhDph83XaGc0o0/edit?usp=sharing"",""งบพรบ!FD18"")"),228030)</f>
        <v>228030</v>
      </c>
      <c r="O350" s="837">
        <f t="shared" ca="1" si="156"/>
        <v>35.688238516315828</v>
      </c>
      <c r="P350" s="837">
        <f t="shared" ca="1" si="157"/>
        <v>48.494321806813829</v>
      </c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</row>
    <row r="351" spans="1:26" ht="18.75">
      <c r="A351" s="942"/>
      <c r="B351" s="827"/>
      <c r="C351" s="943"/>
      <c r="D351" s="828" t="s">
        <v>21</v>
      </c>
      <c r="E351" s="827"/>
      <c r="F351" s="827"/>
      <c r="G351" s="829"/>
      <c r="H351" s="168" t="s">
        <v>12</v>
      </c>
      <c r="I351" s="944"/>
      <c r="J351" s="944"/>
      <c r="K351" s="945"/>
      <c r="L351" s="831">
        <f t="shared" ref="L351:N351" ca="1" si="160">L352+L353</f>
        <v>171000</v>
      </c>
      <c r="M351" s="831">
        <f t="shared" ca="1" si="160"/>
        <v>157200</v>
      </c>
      <c r="N351" s="831">
        <f t="shared" ca="1" si="160"/>
        <v>157200</v>
      </c>
      <c r="O351" s="831">
        <f t="shared" ca="1" si="156"/>
        <v>91.929824561403507</v>
      </c>
      <c r="P351" s="831">
        <f t="shared" ca="1" si="157"/>
        <v>100</v>
      </c>
      <c r="Q351" s="818"/>
      <c r="R351" s="818"/>
      <c r="S351" s="818"/>
      <c r="T351" s="818"/>
      <c r="U351" s="818"/>
      <c r="V351" s="818"/>
      <c r="W351" s="818"/>
      <c r="X351" s="818"/>
      <c r="Y351" s="818"/>
      <c r="Z351" s="818"/>
    </row>
    <row r="352" spans="1:26" ht="19.5" hidden="1">
      <c r="A352" s="940"/>
      <c r="B352" s="833"/>
      <c r="C352" s="946"/>
      <c r="D352" s="833"/>
      <c r="E352" s="834" t="s">
        <v>18</v>
      </c>
      <c r="F352" s="833"/>
      <c r="G352" s="941"/>
      <c r="H352" s="165" t="s">
        <v>12</v>
      </c>
      <c r="I352" s="947"/>
      <c r="J352" s="947"/>
      <c r="K352" s="948"/>
      <c r="L352" s="837">
        <v>0</v>
      </c>
      <c r="M352" s="837">
        <v>0</v>
      </c>
      <c r="N352" s="837">
        <v>0</v>
      </c>
      <c r="O352" s="837">
        <f t="shared" si="156"/>
        <v>0</v>
      </c>
      <c r="P352" s="837">
        <f t="shared" si="157"/>
        <v>0</v>
      </c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</row>
    <row r="353" spans="1:26" ht="19.5" hidden="1">
      <c r="A353" s="940"/>
      <c r="B353" s="833"/>
      <c r="C353" s="946"/>
      <c r="D353" s="833"/>
      <c r="E353" s="834" t="s">
        <v>19</v>
      </c>
      <c r="F353" s="833"/>
      <c r="G353" s="941"/>
      <c r="H353" s="169" t="s">
        <v>12</v>
      </c>
      <c r="I353" s="947"/>
      <c r="J353" s="947"/>
      <c r="K353" s="948"/>
      <c r="L353" s="837">
        <f ca="1">IFERROR(__xludf.DUMMYFUNCTION("IMPORTRANGE(""https://docs.google.com/spreadsheets/d/1MeEWN-I1oV_STSDYn1IFDPWt_1FKiwhDph83XaGc0o0/edit?usp=sharing"",""งบพรบ!EZ18"")"),171000)</f>
        <v>171000</v>
      </c>
      <c r="M353" s="837">
        <f ca="1">IFERROR(__xludf.DUMMYFUNCTION("IMPORTRANGE(""https://docs.google.com/spreadsheets/d/1MeEWN-I1oV_STSDYn1IFDPWt_1FKiwhDph83XaGc0o0/edit?usp=sharing"",""งบพรบ!FC18"")"),157200)</f>
        <v>157200</v>
      </c>
      <c r="N353" s="837">
        <f ca="1">IFERROR(__xludf.DUMMYFUNCTION("IMPORTRANGE(""https://docs.google.com/spreadsheets/d/1MeEWN-I1oV_STSDYn1IFDPWt_1FKiwhDph83XaGc0o0/edit?usp=sharing"",""งบพรบ!FE18"")"),157200)</f>
        <v>157200</v>
      </c>
      <c r="O353" s="837">
        <f t="shared" ca="1" si="156"/>
        <v>91.929824561403507</v>
      </c>
      <c r="P353" s="837">
        <f t="shared" ca="1" si="157"/>
        <v>100</v>
      </c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</row>
    <row r="354" spans="1:26" ht="19.5">
      <c r="A354" s="1011"/>
      <c r="B354" s="1018"/>
      <c r="C354" s="1012"/>
      <c r="D354" s="1145" t="s">
        <v>158</v>
      </c>
      <c r="E354" s="1012"/>
      <c r="F354" s="1012"/>
      <c r="G354" s="1014"/>
      <c r="H354" s="1146"/>
      <c r="I354" s="1015"/>
      <c r="J354" s="1015"/>
      <c r="K354" s="1016"/>
      <c r="L354" s="1016"/>
      <c r="M354" s="1016"/>
      <c r="N354" s="1016"/>
      <c r="O354" s="1016"/>
      <c r="P354" s="1016"/>
    </row>
    <row r="355" spans="1:26" ht="19.5">
      <c r="A355" s="1147"/>
      <c r="B355" s="1148"/>
      <c r="C355" s="1149"/>
      <c r="D355" s="1150" t="s">
        <v>159</v>
      </c>
      <c r="E355" s="1151"/>
      <c r="F355" s="1151"/>
      <c r="G355" s="1152"/>
      <c r="H355" s="431" t="s">
        <v>35</v>
      </c>
      <c r="I355" s="1153">
        <f ca="1">IFERROR(__xludf.DUMMYFUNCTION("IMPORTRANGE(""https://docs.google.com/spreadsheets/d/1QqKyyYR6Q21VydFLVH3TRQUabQu_ym0Zz7PgGX0-kHA/edit?usp=sharing"",""แผน!EP18"")"),380)</f>
        <v>380</v>
      </c>
      <c r="J355" s="1153">
        <f ca="1">J362</f>
        <v>0</v>
      </c>
      <c r="K355" s="1154">
        <f ca="1">IF(I355&gt;0,J355*100/I355,0)</f>
        <v>0</v>
      </c>
      <c r="L355" s="1155"/>
      <c r="M355" s="1155"/>
      <c r="N355" s="1155"/>
      <c r="O355" s="1155"/>
      <c r="P355" s="1155"/>
    </row>
    <row r="356" spans="1:26" ht="19.5">
      <c r="A356" s="1147"/>
      <c r="B356" s="1148"/>
      <c r="C356" s="1149"/>
      <c r="D356" s="1156" t="s">
        <v>160</v>
      </c>
      <c r="E356" s="1151"/>
      <c r="F356" s="1151"/>
      <c r="G356" s="1152"/>
      <c r="H356" s="1157"/>
      <c r="I356" s="1158"/>
      <c r="J356" s="1158"/>
      <c r="K356" s="1155"/>
      <c r="L356" s="1155"/>
      <c r="M356" s="1155"/>
      <c r="N356" s="1155"/>
      <c r="O356" s="1155"/>
      <c r="P356" s="1155"/>
    </row>
    <row r="357" spans="1:26" ht="19.5">
      <c r="A357" s="949"/>
      <c r="B357" s="950"/>
      <c r="C357" s="946" t="s">
        <v>16</v>
      </c>
      <c r="D357" s="951" t="s">
        <v>38</v>
      </c>
      <c r="E357" s="952"/>
      <c r="F357" s="952"/>
      <c r="G357" s="953"/>
      <c r="H357" s="954"/>
      <c r="I357" s="830"/>
      <c r="J357" s="830"/>
      <c r="K357" s="831"/>
      <c r="L357" s="945"/>
      <c r="M357" s="945"/>
      <c r="N357" s="945"/>
      <c r="O357" s="945"/>
      <c r="P357" s="945"/>
    </row>
    <row r="358" spans="1:26" ht="18.75">
      <c r="A358" s="949"/>
      <c r="B358" s="957"/>
      <c r="C358" s="950"/>
      <c r="D358" s="957"/>
      <c r="E358" s="955" t="s">
        <v>161</v>
      </c>
      <c r="F358" s="957"/>
      <c r="G358" s="958"/>
      <c r="H358" s="777" t="s">
        <v>35</v>
      </c>
      <c r="I358" s="830">
        <v>0</v>
      </c>
      <c r="J358" s="830">
        <f ca="1">IFERROR(__xludf.DUMMYFUNCTION("IMPORTRANGE(""https://docs.google.com/spreadsheets/d/1XWAQStnk-4SwqDmLtmXYiTMKHgktTP8We1SCoS47DrQ/edit?usp=sharing"",""จัดที่ดิน!W18"")"),132)</f>
        <v>132</v>
      </c>
      <c r="K358" s="831">
        <f t="shared" ref="K358:K365" si="161">IF(I358&gt;0,J358*100/I358,0)</f>
        <v>0</v>
      </c>
      <c r="L358" s="945"/>
      <c r="M358" s="945"/>
      <c r="N358" s="945"/>
      <c r="O358" s="945"/>
      <c r="P358" s="945"/>
    </row>
    <row r="359" spans="1:26" ht="18.75">
      <c r="A359" s="949"/>
      <c r="B359" s="957"/>
      <c r="C359" s="950"/>
      <c r="D359" s="957"/>
      <c r="E359" s="957"/>
      <c r="F359" s="957"/>
      <c r="G359" s="958"/>
      <c r="H359" s="777" t="s">
        <v>46</v>
      </c>
      <c r="I359" s="830">
        <f ca="1">IFERROR(__xludf.DUMMYFUNCTION("IMPORTRANGE(""https://docs.google.com/spreadsheets/d/1QqKyyYR6Q21VydFLVH3TRQUabQu_ym0Zz7PgGX0-kHA/edit?usp=sharing"",""แผน!EO18"")"),3500)</f>
        <v>3500</v>
      </c>
      <c r="J359" s="830">
        <f ca="1">IFERROR(__xludf.DUMMYFUNCTION("IMPORTRANGE(""https://docs.google.com/spreadsheets/d/1XWAQStnk-4SwqDmLtmXYiTMKHgktTP8We1SCoS47DrQ/edit?usp=sharing"",""จัดที่ดิน!X18"")"),1315.69)</f>
        <v>1315.69</v>
      </c>
      <c r="K359" s="831">
        <f t="shared" ca="1" si="161"/>
        <v>37.591142857142856</v>
      </c>
      <c r="L359" s="945"/>
      <c r="M359" s="945"/>
      <c r="N359" s="945"/>
      <c r="O359" s="945"/>
      <c r="P359" s="945"/>
    </row>
    <row r="360" spans="1:26" ht="18.75">
      <c r="A360" s="949"/>
      <c r="B360" s="957"/>
      <c r="C360" s="950"/>
      <c r="D360" s="957"/>
      <c r="E360" s="955" t="s">
        <v>162</v>
      </c>
      <c r="F360" s="957"/>
      <c r="G360" s="958"/>
      <c r="H360" s="730" t="s">
        <v>35</v>
      </c>
      <c r="I360" s="830">
        <f ca="1">IFERROR(__xludf.DUMMYFUNCTION("IMPORTRANGE(""https://docs.google.com/spreadsheets/d/1QqKyyYR6Q21VydFLVH3TRQUabQu_ym0Zz7PgGX0-kHA/edit?usp=sharing"",""แผน!EP18"")"),380)</f>
        <v>380</v>
      </c>
      <c r="J360" s="830">
        <f ca="1">IFERROR(__xludf.DUMMYFUNCTION("IMPORTRANGE(""https://docs.google.com/spreadsheets/d/1XWAQStnk-4SwqDmLtmXYiTMKHgktTP8We1SCoS47DrQ/edit?usp=sharing"",""จัดที่ดิน!Y18"")"),0)</f>
        <v>0</v>
      </c>
      <c r="K360" s="831">
        <f t="shared" ca="1" si="161"/>
        <v>0</v>
      </c>
      <c r="L360" s="945"/>
      <c r="M360" s="945"/>
      <c r="N360" s="945"/>
      <c r="O360" s="945"/>
      <c r="P360" s="945"/>
    </row>
    <row r="361" spans="1:26" ht="18.75">
      <c r="A361" s="949"/>
      <c r="B361" s="957"/>
      <c r="C361" s="950"/>
      <c r="D361" s="957"/>
      <c r="E361" s="957"/>
      <c r="F361" s="957"/>
      <c r="G361" s="958"/>
      <c r="H361" s="730" t="s">
        <v>46</v>
      </c>
      <c r="I361" s="830">
        <v>0</v>
      </c>
      <c r="J361" s="830">
        <f ca="1">IFERROR(__xludf.DUMMYFUNCTION("IMPORTRANGE(""https://docs.google.com/spreadsheets/d/1XWAQStnk-4SwqDmLtmXYiTMKHgktTP8We1SCoS47DrQ/edit?usp=sharing"",""จัดที่ดิน!Z18"")"),0)</f>
        <v>0</v>
      </c>
      <c r="K361" s="831">
        <f t="shared" si="161"/>
        <v>0</v>
      </c>
      <c r="L361" s="945"/>
      <c r="M361" s="945"/>
      <c r="N361" s="945"/>
      <c r="O361" s="945"/>
      <c r="P361" s="945"/>
    </row>
    <row r="362" spans="1:26" ht="18.75">
      <c r="A362" s="949"/>
      <c r="B362" s="957"/>
      <c r="C362" s="950"/>
      <c r="D362" s="957"/>
      <c r="E362" s="955" t="s">
        <v>163</v>
      </c>
      <c r="F362" s="957"/>
      <c r="G362" s="958"/>
      <c r="H362" s="730" t="s">
        <v>35</v>
      </c>
      <c r="I362" s="830">
        <f ca="1">IFERROR(__xludf.DUMMYFUNCTION("IMPORTRANGE(""https://docs.google.com/spreadsheets/d/1QqKyyYR6Q21VydFLVH3TRQUabQu_ym0Zz7PgGX0-kHA/edit?usp=sharing"",""แผน!EP18"")"),380)</f>
        <v>380</v>
      </c>
      <c r="J362" s="830">
        <f ca="1">IFERROR(__xludf.DUMMYFUNCTION("IMPORTRANGE(""https://docs.google.com/spreadsheets/d/1XWAQStnk-4SwqDmLtmXYiTMKHgktTP8We1SCoS47DrQ/edit?usp=sharing"",""จัดที่ดิน!AA18"")"),0)</f>
        <v>0</v>
      </c>
      <c r="K362" s="831">
        <f t="shared" ca="1" si="161"/>
        <v>0</v>
      </c>
      <c r="L362" s="945"/>
      <c r="M362" s="945"/>
      <c r="N362" s="945"/>
      <c r="O362" s="945"/>
      <c r="P362" s="945"/>
    </row>
    <row r="363" spans="1:26" ht="18.75">
      <c r="A363" s="1159" t="s">
        <v>164</v>
      </c>
      <c r="B363" s="957"/>
      <c r="C363" s="950"/>
      <c r="D363" s="957"/>
      <c r="E363" s="956"/>
      <c r="F363" s="957"/>
      <c r="G363" s="958"/>
      <c r="H363" s="730" t="s">
        <v>46</v>
      </c>
      <c r="I363" s="830">
        <v>0</v>
      </c>
      <c r="J363" s="830">
        <f ca="1">IFERROR(__xludf.DUMMYFUNCTION("IMPORTRANGE(""https://docs.google.com/spreadsheets/d/1XWAQStnk-4SwqDmLtmXYiTMKHgktTP8We1SCoS47DrQ/edit?usp=sharing"",""จัดที่ดิน!AB18"")"),0)</f>
        <v>0</v>
      </c>
      <c r="K363" s="831">
        <f t="shared" si="161"/>
        <v>0</v>
      </c>
      <c r="L363" s="945"/>
      <c r="M363" s="945"/>
      <c r="N363" s="945"/>
      <c r="O363" s="945"/>
      <c r="P363" s="945"/>
    </row>
    <row r="364" spans="1:26" ht="19.5">
      <c r="A364" s="1160"/>
      <c r="B364" s="1161"/>
      <c r="C364" s="1162"/>
      <c r="D364" s="1163" t="s">
        <v>165</v>
      </c>
      <c r="E364" s="1164"/>
      <c r="F364" s="1164"/>
      <c r="G364" s="1165"/>
      <c r="H364" s="446" t="s">
        <v>35</v>
      </c>
      <c r="I364" s="1166">
        <f t="shared" ref="I364:J364" ca="1" si="162">I365+I374</f>
        <v>780</v>
      </c>
      <c r="J364" s="1166">
        <f t="shared" ca="1" si="162"/>
        <v>2</v>
      </c>
      <c r="K364" s="1167">
        <f t="shared" ca="1" si="161"/>
        <v>0.25641025641025639</v>
      </c>
      <c r="L364" s="1168"/>
      <c r="M364" s="1168"/>
      <c r="N364" s="1168"/>
      <c r="O364" s="1168"/>
      <c r="P364" s="1168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69"/>
      <c r="B365" s="1170"/>
      <c r="C365" s="1171"/>
      <c r="D365" s="1171" t="s">
        <v>166</v>
      </c>
      <c r="E365" s="1172"/>
      <c r="F365" s="1172"/>
      <c r="G365" s="1173"/>
      <c r="H365" s="457" t="s">
        <v>35</v>
      </c>
      <c r="I365" s="1174">
        <f ca="1">IFERROR(__xludf.DUMMYFUNCTION("IMPORTRANGE(""https://docs.google.com/spreadsheets/d/1QqKyyYR6Q21VydFLVH3TRQUabQu_ym0Zz7PgGX0-kHA/edit?usp=sharing"",""แผน!EJ18"")"),200)</f>
        <v>200</v>
      </c>
      <c r="J365" s="1174">
        <f ca="1">J372</f>
        <v>0</v>
      </c>
      <c r="K365" s="1175">
        <f t="shared" ca="1" si="161"/>
        <v>0</v>
      </c>
      <c r="L365" s="1176"/>
      <c r="M365" s="1176"/>
      <c r="N365" s="1176"/>
      <c r="O365" s="1176"/>
      <c r="P365" s="1176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69"/>
      <c r="B366" s="1170"/>
      <c r="C366" s="1171"/>
      <c r="D366" s="1177" t="s">
        <v>167</v>
      </c>
      <c r="E366" s="1172"/>
      <c r="F366" s="1172"/>
      <c r="G366" s="1173"/>
      <c r="H366" s="1178"/>
      <c r="I366" s="1179"/>
      <c r="J366" s="1179"/>
      <c r="K366" s="1176"/>
      <c r="L366" s="1176"/>
      <c r="M366" s="1176"/>
      <c r="N366" s="1176"/>
      <c r="O366" s="1176"/>
      <c r="P366" s="1176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49"/>
      <c r="B367" s="950"/>
      <c r="C367" s="946" t="s">
        <v>16</v>
      </c>
      <c r="D367" s="951" t="s">
        <v>38</v>
      </c>
      <c r="E367" s="952"/>
      <c r="F367" s="952"/>
      <c r="G367" s="953"/>
      <c r="H367" s="954"/>
      <c r="I367" s="830"/>
      <c r="J367" s="830"/>
      <c r="K367" s="831"/>
      <c r="L367" s="945"/>
      <c r="M367" s="945"/>
      <c r="N367" s="945"/>
      <c r="O367" s="945"/>
      <c r="P367" s="945"/>
    </row>
    <row r="368" spans="1:26" ht="18.75">
      <c r="A368" s="949"/>
      <c r="B368" s="957"/>
      <c r="C368" s="950"/>
      <c r="D368" s="957"/>
      <c r="E368" s="955" t="s">
        <v>161</v>
      </c>
      <c r="F368" s="957"/>
      <c r="G368" s="958"/>
      <c r="H368" s="777" t="s">
        <v>35</v>
      </c>
      <c r="I368" s="830">
        <v>0</v>
      </c>
      <c r="J368" s="830">
        <f ca="1">IFERROR(__xludf.DUMMYFUNCTION("IMPORTRANGE(""https://docs.google.com/spreadsheets/d/1XWAQStnk-4SwqDmLtmXYiTMKHgktTP8We1SCoS47DrQ/edit?usp=sharing"",""จัดที่ดิน!E18"")"),40)</f>
        <v>40</v>
      </c>
      <c r="K368" s="831">
        <f t="shared" ref="K368:K374" si="163">IF(I368&gt;0,J368*100/I368,0)</f>
        <v>0</v>
      </c>
      <c r="L368" s="945"/>
      <c r="M368" s="945"/>
      <c r="N368" s="945"/>
      <c r="O368" s="945"/>
      <c r="P368" s="945"/>
    </row>
    <row r="369" spans="1:26" ht="18.75">
      <c r="A369" s="949"/>
      <c r="B369" s="957"/>
      <c r="C369" s="950"/>
      <c r="D369" s="957"/>
      <c r="E369" s="957"/>
      <c r="F369" s="957"/>
      <c r="G369" s="958"/>
      <c r="H369" s="777" t="s">
        <v>46</v>
      </c>
      <c r="I369" s="830">
        <f ca="1">IFERROR(__xludf.DUMMYFUNCTION("IMPORTRANGE(""https://docs.google.com/spreadsheets/d/1QqKyyYR6Q21VydFLVH3TRQUabQu_ym0Zz7PgGX0-kHA/edit?usp=sharing"",""แผน!EI18"")"),2000)</f>
        <v>2000</v>
      </c>
      <c r="J369" s="830">
        <f ca="1">IFERROR(__xludf.DUMMYFUNCTION("IMPORTRANGE(""https://docs.google.com/spreadsheets/d/1XWAQStnk-4SwqDmLtmXYiTMKHgktTP8We1SCoS47DrQ/edit?usp=sharing"",""จัดที่ดิน!F18"")"),359.79)</f>
        <v>359.79</v>
      </c>
      <c r="K369" s="831">
        <f t="shared" ca="1" si="163"/>
        <v>17.9895</v>
      </c>
      <c r="L369" s="945"/>
      <c r="M369" s="945"/>
      <c r="N369" s="945"/>
      <c r="O369" s="945"/>
      <c r="P369" s="945"/>
    </row>
    <row r="370" spans="1:26" ht="18.75">
      <c r="A370" s="949"/>
      <c r="B370" s="957"/>
      <c r="C370" s="950"/>
      <c r="D370" s="957"/>
      <c r="E370" s="955" t="s">
        <v>162</v>
      </c>
      <c r="F370" s="957"/>
      <c r="G370" s="958"/>
      <c r="H370" s="730" t="s">
        <v>35</v>
      </c>
      <c r="I370" s="830">
        <f ca="1">IFERROR(__xludf.DUMMYFUNCTION("IMPORTRANGE(""https://docs.google.com/spreadsheets/d/1QqKyyYR6Q21VydFLVH3TRQUabQu_ym0Zz7PgGX0-kHA/edit?usp=sharing"",""แผน!EJ18"")"),200)</f>
        <v>200</v>
      </c>
      <c r="J370" s="830">
        <f ca="1">IFERROR(__xludf.DUMMYFUNCTION("IMPORTRANGE(""https://docs.google.com/spreadsheets/d/1XWAQStnk-4SwqDmLtmXYiTMKHgktTP8We1SCoS47DrQ/edit?usp=sharing"",""จัดที่ดิน!G18"")"),0)</f>
        <v>0</v>
      </c>
      <c r="K370" s="831">
        <f t="shared" ca="1" si="163"/>
        <v>0</v>
      </c>
      <c r="L370" s="945"/>
      <c r="M370" s="945"/>
      <c r="N370" s="945"/>
      <c r="O370" s="945"/>
      <c r="P370" s="945"/>
    </row>
    <row r="371" spans="1:26" ht="18.75">
      <c r="A371" s="949"/>
      <c r="B371" s="957"/>
      <c r="C371" s="950"/>
      <c r="D371" s="957"/>
      <c r="E371" s="957"/>
      <c r="F371" s="957"/>
      <c r="G371" s="958"/>
      <c r="H371" s="730" t="s">
        <v>46</v>
      </c>
      <c r="I371" s="830">
        <v>0</v>
      </c>
      <c r="J371" s="830">
        <f ca="1">IFERROR(__xludf.DUMMYFUNCTION("IMPORTRANGE(""https://docs.google.com/spreadsheets/d/1XWAQStnk-4SwqDmLtmXYiTMKHgktTP8We1SCoS47DrQ/edit?usp=sharing"",""จัดที่ดิน!H18"")"),0)</f>
        <v>0</v>
      </c>
      <c r="K371" s="831">
        <f t="shared" si="163"/>
        <v>0</v>
      </c>
      <c r="L371" s="945"/>
      <c r="M371" s="945"/>
      <c r="N371" s="945"/>
      <c r="O371" s="945"/>
      <c r="P371" s="945"/>
    </row>
    <row r="372" spans="1:26" ht="18.75">
      <c r="A372" s="949"/>
      <c r="B372" s="957"/>
      <c r="C372" s="950"/>
      <c r="D372" s="957"/>
      <c r="E372" s="955" t="s">
        <v>163</v>
      </c>
      <c r="F372" s="957"/>
      <c r="G372" s="958"/>
      <c r="H372" s="730" t="s">
        <v>35</v>
      </c>
      <c r="I372" s="830">
        <f ca="1">IFERROR(__xludf.DUMMYFUNCTION("IMPORTRANGE(""https://docs.google.com/spreadsheets/d/1QqKyyYR6Q21VydFLVH3TRQUabQu_ym0Zz7PgGX0-kHA/edit?usp=sharing"",""แผน!EJ18"")"),200)</f>
        <v>200</v>
      </c>
      <c r="J372" s="830">
        <f ca="1">IFERROR(__xludf.DUMMYFUNCTION("IMPORTRANGE(""https://docs.google.com/spreadsheets/d/1XWAQStnk-4SwqDmLtmXYiTMKHgktTP8We1SCoS47DrQ/edit?usp=sharing"",""จัดที่ดิน!I18"")"),0)</f>
        <v>0</v>
      </c>
      <c r="K372" s="831">
        <f t="shared" ca="1" si="163"/>
        <v>0</v>
      </c>
      <c r="L372" s="945"/>
      <c r="M372" s="945"/>
      <c r="N372" s="945"/>
      <c r="O372" s="945"/>
      <c r="P372" s="945"/>
    </row>
    <row r="373" spans="1:26" ht="18.75">
      <c r="A373" s="1159" t="s">
        <v>164</v>
      </c>
      <c r="B373" s="957"/>
      <c r="C373" s="950"/>
      <c r="D373" s="957"/>
      <c r="E373" s="956"/>
      <c r="F373" s="957"/>
      <c r="G373" s="958"/>
      <c r="H373" s="730" t="s">
        <v>46</v>
      </c>
      <c r="I373" s="830">
        <v>0</v>
      </c>
      <c r="J373" s="830">
        <f ca="1">IFERROR(__xludf.DUMMYFUNCTION("IMPORTRANGE(""https://docs.google.com/spreadsheets/d/1XWAQStnk-4SwqDmLtmXYiTMKHgktTP8We1SCoS47DrQ/edit?usp=sharing"",""จัดที่ดิน!J18"")"),0)</f>
        <v>0</v>
      </c>
      <c r="K373" s="831">
        <f t="shared" si="163"/>
        <v>0</v>
      </c>
      <c r="L373" s="945"/>
      <c r="M373" s="945"/>
      <c r="N373" s="945"/>
      <c r="O373" s="945"/>
      <c r="P373" s="945"/>
    </row>
    <row r="374" spans="1:26" ht="19.5">
      <c r="A374" s="1169"/>
      <c r="B374" s="1170"/>
      <c r="C374" s="1171"/>
      <c r="D374" s="1171" t="s">
        <v>168</v>
      </c>
      <c r="E374" s="1172"/>
      <c r="F374" s="1172"/>
      <c r="G374" s="1173"/>
      <c r="H374" s="457" t="s">
        <v>35</v>
      </c>
      <c r="I374" s="1180">
        <f ca="1">IFERROR(__xludf.DUMMYFUNCTION("IMPORTRANGE(""https://docs.google.com/spreadsheets/d/1QqKyyYR6Q21VydFLVH3TRQUabQu_ym0Zz7PgGX0-kHA/edit?usp=sharing"",""แผน!EU18"")"),580)</f>
        <v>580</v>
      </c>
      <c r="J374" s="1174">
        <f ca="1">J381</f>
        <v>2</v>
      </c>
      <c r="K374" s="1175">
        <f t="shared" ca="1" si="163"/>
        <v>0.34482758620689657</v>
      </c>
      <c r="L374" s="1176"/>
      <c r="M374" s="1176"/>
      <c r="N374" s="1176"/>
      <c r="O374" s="1176"/>
      <c r="P374" s="1176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69"/>
      <c r="B375" s="1170"/>
      <c r="C375" s="1171"/>
      <c r="D375" s="1177" t="s">
        <v>169</v>
      </c>
      <c r="E375" s="1172"/>
      <c r="F375" s="1172"/>
      <c r="G375" s="1173"/>
      <c r="H375" s="1178"/>
      <c r="I375" s="1179"/>
      <c r="J375" s="1179"/>
      <c r="K375" s="1176"/>
      <c r="L375" s="1176"/>
      <c r="M375" s="1176"/>
      <c r="N375" s="1176"/>
      <c r="O375" s="1176"/>
      <c r="P375" s="1176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49"/>
      <c r="B376" s="950"/>
      <c r="C376" s="946" t="s">
        <v>16</v>
      </c>
      <c r="D376" s="951" t="s">
        <v>38</v>
      </c>
      <c r="E376" s="952"/>
      <c r="F376" s="952"/>
      <c r="G376" s="953"/>
      <c r="H376" s="954"/>
      <c r="I376" s="830"/>
      <c r="J376" s="830"/>
      <c r="K376" s="831"/>
      <c r="L376" s="945"/>
      <c r="M376" s="945"/>
      <c r="N376" s="945"/>
      <c r="O376" s="945"/>
      <c r="P376" s="945"/>
    </row>
    <row r="377" spans="1:26" ht="18.75">
      <c r="A377" s="949"/>
      <c r="B377" s="957"/>
      <c r="C377" s="950"/>
      <c r="D377" s="957"/>
      <c r="E377" s="955" t="s">
        <v>161</v>
      </c>
      <c r="F377" s="957"/>
      <c r="G377" s="958"/>
      <c r="H377" s="777" t="s">
        <v>35</v>
      </c>
      <c r="I377" s="830">
        <v>0</v>
      </c>
      <c r="J377" s="830">
        <f ca="1">IFERROR(__xludf.DUMMYFUNCTION("IMPORTRANGE(""https://docs.google.com/spreadsheets/d/1XWAQStnk-4SwqDmLtmXYiTMKHgktTP8We1SCoS47DrQ/edit?usp=sharing"",""จัดที่ดิน!AH18"")"),92)</f>
        <v>92</v>
      </c>
      <c r="K377" s="831">
        <f t="shared" ref="K377:K382" si="164">IF(I377&gt;0,J377*100/I377,0)</f>
        <v>0</v>
      </c>
      <c r="L377" s="945"/>
      <c r="M377" s="945"/>
      <c r="N377" s="945"/>
      <c r="O377" s="945"/>
      <c r="P377" s="945"/>
    </row>
    <row r="378" spans="1:26" ht="18.75">
      <c r="A378" s="949"/>
      <c r="B378" s="957"/>
      <c r="C378" s="950"/>
      <c r="D378" s="957"/>
      <c r="E378" s="957"/>
      <c r="F378" s="957"/>
      <c r="G378" s="958"/>
      <c r="H378" s="777" t="s">
        <v>46</v>
      </c>
      <c r="I378" s="830">
        <f ca="1">IFERROR(__xludf.DUMMYFUNCTION("IMPORTRANGE(""https://docs.google.com/spreadsheets/d/1QqKyyYR6Q21VydFLVH3TRQUabQu_ym0Zz7PgGX0-kHA/edit?usp=sharing"",""แผน!ET18"")"),1500)</f>
        <v>1500</v>
      </c>
      <c r="J378" s="830">
        <f ca="1">IFERROR(__xludf.DUMMYFUNCTION("IMPORTRANGE(""https://docs.google.com/spreadsheets/d/1XWAQStnk-4SwqDmLtmXYiTMKHgktTP8We1SCoS47DrQ/edit?usp=sharing"",""จัดที่ดิน!AI18"")"),955.9)</f>
        <v>955.9</v>
      </c>
      <c r="K378" s="831">
        <f t="shared" ca="1" si="164"/>
        <v>63.726666666666667</v>
      </c>
      <c r="L378" s="945"/>
      <c r="M378" s="945"/>
      <c r="N378" s="945"/>
      <c r="O378" s="945"/>
      <c r="P378" s="945"/>
    </row>
    <row r="379" spans="1:26" ht="18.75">
      <c r="A379" s="949"/>
      <c r="B379" s="957"/>
      <c r="C379" s="950"/>
      <c r="D379" s="957"/>
      <c r="E379" s="955" t="s">
        <v>162</v>
      </c>
      <c r="F379" s="957"/>
      <c r="G379" s="958"/>
      <c r="H379" s="730" t="s">
        <v>35</v>
      </c>
      <c r="I379" s="830">
        <f ca="1">IFERROR(__xludf.DUMMYFUNCTION("IMPORTRANGE(""https://docs.google.com/spreadsheets/d/1QqKyyYR6Q21VydFLVH3TRQUabQu_ym0Zz7PgGX0-kHA/edit?usp=sharing"",""แผน!EU18"")"),580)</f>
        <v>580</v>
      </c>
      <c r="J379" s="830">
        <f ca="1">IFERROR(__xludf.DUMMYFUNCTION("IMPORTRANGE(""https://docs.google.com/spreadsheets/d/1XWAQStnk-4SwqDmLtmXYiTMKHgktTP8We1SCoS47DrQ/edit?usp=sharing"",""จัดที่ดิน!AJ18"")"),2)</f>
        <v>2</v>
      </c>
      <c r="K379" s="831">
        <f t="shared" ca="1" si="164"/>
        <v>0.34482758620689657</v>
      </c>
      <c r="L379" s="945"/>
      <c r="M379" s="945"/>
      <c r="N379" s="945"/>
      <c r="O379" s="945"/>
      <c r="P379" s="945"/>
    </row>
    <row r="380" spans="1:26" ht="18.75">
      <c r="A380" s="949"/>
      <c r="B380" s="957"/>
      <c r="C380" s="950"/>
      <c r="D380" s="957"/>
      <c r="E380" s="957"/>
      <c r="F380" s="957"/>
      <c r="G380" s="958"/>
      <c r="H380" s="730" t="s">
        <v>46</v>
      </c>
      <c r="I380" s="830">
        <v>0</v>
      </c>
      <c r="J380" s="830">
        <f ca="1">IFERROR(__xludf.DUMMYFUNCTION("IMPORTRANGE(""https://docs.google.com/spreadsheets/d/1XWAQStnk-4SwqDmLtmXYiTMKHgktTP8We1SCoS47DrQ/edit?usp=sharing"",""จัดที่ดิน!AK18"")"),47.77)</f>
        <v>47.77</v>
      </c>
      <c r="K380" s="831">
        <f t="shared" si="164"/>
        <v>0</v>
      </c>
      <c r="L380" s="945"/>
      <c r="M380" s="945"/>
      <c r="N380" s="945"/>
      <c r="O380" s="945"/>
      <c r="P380" s="945"/>
    </row>
    <row r="381" spans="1:26" ht="18.75">
      <c r="A381" s="949"/>
      <c r="B381" s="957"/>
      <c r="C381" s="950"/>
      <c r="D381" s="957"/>
      <c r="E381" s="955" t="s">
        <v>163</v>
      </c>
      <c r="F381" s="957"/>
      <c r="G381" s="958"/>
      <c r="H381" s="730" t="s">
        <v>35</v>
      </c>
      <c r="I381" s="830">
        <f ca="1">IFERROR(__xludf.DUMMYFUNCTION("IMPORTRANGE(""https://docs.google.com/spreadsheets/d/1QqKyyYR6Q21VydFLVH3TRQUabQu_ym0Zz7PgGX0-kHA/edit?usp=sharing"",""แผน!EU18"")"),580)</f>
        <v>580</v>
      </c>
      <c r="J381" s="830">
        <f ca="1">IFERROR(__xludf.DUMMYFUNCTION("IMPORTRANGE(""https://docs.google.com/spreadsheets/d/1XWAQStnk-4SwqDmLtmXYiTMKHgktTP8We1SCoS47DrQ/edit?usp=sharing"",""จัดที่ดิน!AL18"")"),2)</f>
        <v>2</v>
      </c>
      <c r="K381" s="831">
        <f t="shared" ca="1" si="164"/>
        <v>0.34482758620689657</v>
      </c>
      <c r="L381" s="945"/>
      <c r="M381" s="945"/>
      <c r="N381" s="945"/>
      <c r="O381" s="945"/>
      <c r="P381" s="945"/>
    </row>
    <row r="382" spans="1:26" ht="18.75">
      <c r="A382" s="1159" t="s">
        <v>164</v>
      </c>
      <c r="B382" s="957"/>
      <c r="C382" s="950"/>
      <c r="D382" s="957"/>
      <c r="E382" s="956"/>
      <c r="F382" s="957"/>
      <c r="G382" s="958"/>
      <c r="H382" s="730" t="s">
        <v>46</v>
      </c>
      <c r="I382" s="830">
        <v>0</v>
      </c>
      <c r="J382" s="830">
        <f ca="1">IFERROR(__xludf.DUMMYFUNCTION("IMPORTRANGE(""https://docs.google.com/spreadsheets/d/1XWAQStnk-4SwqDmLtmXYiTMKHgktTP8We1SCoS47DrQ/edit?usp=sharing"",""จัดที่ดิน!AM18"")"),47.77)</f>
        <v>47.77</v>
      </c>
      <c r="K382" s="831">
        <f t="shared" si="164"/>
        <v>0</v>
      </c>
      <c r="L382" s="945"/>
      <c r="M382" s="945"/>
      <c r="N382" s="945"/>
      <c r="O382" s="945"/>
      <c r="P382" s="945"/>
    </row>
    <row r="383" spans="1:26" ht="19.5">
      <c r="A383" s="1011"/>
      <c r="B383" s="1018"/>
      <c r="C383" s="1012"/>
      <c r="D383" s="1145" t="s">
        <v>170</v>
      </c>
      <c r="E383" s="1012"/>
      <c r="F383" s="1012"/>
      <c r="G383" s="1014"/>
      <c r="H383" s="1146"/>
      <c r="I383" s="1015"/>
      <c r="J383" s="1015"/>
      <c r="K383" s="1016"/>
      <c r="L383" s="1016"/>
      <c r="M383" s="1016"/>
      <c r="N383" s="1016"/>
      <c r="O383" s="1016"/>
      <c r="P383" s="1016"/>
    </row>
    <row r="384" spans="1:26" ht="19.5">
      <c r="A384" s="949"/>
      <c r="B384" s="950"/>
      <c r="C384" s="827" t="s">
        <v>16</v>
      </c>
      <c r="D384" s="951" t="s">
        <v>38</v>
      </c>
      <c r="E384" s="952"/>
      <c r="F384" s="952"/>
      <c r="G384" s="953"/>
      <c r="H384" s="954"/>
      <c r="I384" s="830"/>
      <c r="J384" s="830"/>
      <c r="K384" s="831"/>
      <c r="L384" s="945"/>
      <c r="M384" s="945"/>
      <c r="N384" s="945"/>
      <c r="O384" s="945"/>
      <c r="P384" s="945"/>
    </row>
    <row r="385" spans="1:26" ht="18.75">
      <c r="A385" s="1080"/>
      <c r="B385" s="1083"/>
      <c r="C385" s="1081"/>
      <c r="D385" s="1083"/>
      <c r="E385" s="1181" t="s">
        <v>163</v>
      </c>
      <c r="F385" s="1083"/>
      <c r="G385" s="1084"/>
      <c r="H385" s="468" t="s">
        <v>35</v>
      </c>
      <c r="I385" s="1085">
        <f ca="1">IFERROR(__xludf.DUMMYFUNCTION("IMPORTRANGE(""https://docs.google.com/spreadsheets/d/1QqKyyYR6Q21VydFLVH3TRQUabQu_ym0Zz7PgGX0-kHA/edit?usp=sharing"",""แผน!EW18"")"),100)</f>
        <v>100</v>
      </c>
      <c r="J385" s="1085">
        <f ca="1">IFERROR(__xludf.DUMMYFUNCTION("IMPORTRANGE(""https://docs.google.com/spreadsheets/d/1XWAQStnk-4SwqDmLtmXYiTMKHgktTP8We1SCoS47DrQ/edit?usp=sharing"",""จัดที่ดิน!AP18"")"),0)</f>
        <v>0</v>
      </c>
      <c r="K385" s="1182">
        <f ca="1">IF(I385&gt;0,J385*100/I385,0)</f>
        <v>0</v>
      </c>
      <c r="L385" s="1086"/>
      <c r="M385" s="1086"/>
      <c r="N385" s="1086"/>
      <c r="O385" s="1086"/>
      <c r="P385" s="1086"/>
    </row>
    <row r="386" spans="1:26" ht="19.5" hidden="1">
      <c r="A386" s="1183" t="s">
        <v>171</v>
      </c>
      <c r="B386" s="1184"/>
      <c r="C386" s="1184"/>
      <c r="D386" s="1184"/>
      <c r="E386" s="1185"/>
      <c r="F386" s="1185"/>
      <c r="G386" s="1186"/>
      <c r="H386" s="1187"/>
      <c r="I386" s="1188"/>
      <c r="J386" s="1188"/>
      <c r="K386" s="1189"/>
      <c r="L386" s="1189"/>
      <c r="M386" s="1189"/>
      <c r="N386" s="1189"/>
      <c r="O386" s="1189"/>
      <c r="P386" s="1189"/>
    </row>
    <row r="387" spans="1:26" ht="19.5" hidden="1">
      <c r="A387" s="1190" t="s">
        <v>172</v>
      </c>
      <c r="B387" s="1191"/>
      <c r="C387" s="1191"/>
      <c r="D387" s="1192"/>
      <c r="E387" s="1191"/>
      <c r="F387" s="1191"/>
      <c r="G387" s="1191"/>
      <c r="H387" s="1193"/>
      <c r="I387" s="1194"/>
      <c r="J387" s="1194"/>
      <c r="K387" s="1195"/>
      <c r="L387" s="1195"/>
      <c r="M387" s="1195"/>
      <c r="N387" s="1195"/>
      <c r="O387" s="1195"/>
      <c r="P387" s="1195"/>
    </row>
    <row r="388" spans="1:26" ht="19.5" hidden="1">
      <c r="A388" s="1196"/>
      <c r="B388" s="1197" t="s">
        <v>173</v>
      </c>
      <c r="C388" s="1198"/>
      <c r="D388" s="1199"/>
      <c r="E388" s="1199"/>
      <c r="F388" s="1199"/>
      <c r="G388" s="1200"/>
      <c r="H388" s="489" t="s">
        <v>66</v>
      </c>
      <c r="I388" s="1201">
        <f t="shared" ref="I388:J388" si="165">I400</f>
        <v>0</v>
      </c>
      <c r="J388" s="1201">
        <f t="shared" si="165"/>
        <v>0</v>
      </c>
      <c r="K388" s="1202">
        <f>IF(I388&gt;0,J388*100/I388,0)</f>
        <v>0</v>
      </c>
      <c r="L388" s="1203"/>
      <c r="M388" s="1203"/>
      <c r="N388" s="1203"/>
      <c r="O388" s="1203"/>
      <c r="P388" s="1203"/>
    </row>
    <row r="389" spans="1:26" ht="19.5" hidden="1">
      <c r="A389" s="932"/>
      <c r="B389" s="933"/>
      <c r="C389" s="934" t="s">
        <v>16</v>
      </c>
      <c r="D389" s="935" t="s">
        <v>17</v>
      </c>
      <c r="E389" s="933"/>
      <c r="F389" s="933"/>
      <c r="G389" s="936"/>
      <c r="H389" s="152" t="s">
        <v>12</v>
      </c>
      <c r="I389" s="937"/>
      <c r="J389" s="937"/>
      <c r="K389" s="938"/>
      <c r="L389" s="939">
        <f t="shared" ref="L389:N389" ca="1" si="166">L390+L391</f>
        <v>0</v>
      </c>
      <c r="M389" s="939">
        <f t="shared" ca="1" si="166"/>
        <v>0</v>
      </c>
      <c r="N389" s="939">
        <f t="shared" ca="1" si="166"/>
        <v>0</v>
      </c>
      <c r="O389" s="939">
        <f t="shared" ref="O389:O397" ca="1" si="167">IF(L389&gt;0,N389*100/L389,0)</f>
        <v>0</v>
      </c>
      <c r="P389" s="939">
        <f t="shared" ref="P389:P397" ca="1" si="168">IF(M389&gt;0,N389*100/M389,0)</f>
        <v>0</v>
      </c>
      <c r="Q389" s="818"/>
      <c r="R389" s="818"/>
      <c r="S389" s="818"/>
      <c r="T389" s="818"/>
      <c r="U389" s="818"/>
      <c r="V389" s="818"/>
      <c r="W389" s="818"/>
      <c r="X389" s="818"/>
      <c r="Y389" s="818"/>
      <c r="Z389" s="818"/>
    </row>
    <row r="390" spans="1:26" ht="18.75" hidden="1">
      <c r="A390" s="940"/>
      <c r="B390" s="833"/>
      <c r="C390" s="833"/>
      <c r="D390" s="833"/>
      <c r="E390" s="834" t="s">
        <v>18</v>
      </c>
      <c r="F390" s="833"/>
      <c r="G390" s="941"/>
      <c r="H390" s="158" t="s">
        <v>12</v>
      </c>
      <c r="I390" s="836"/>
      <c r="J390" s="836"/>
      <c r="K390" s="837"/>
      <c r="L390" s="837">
        <f t="shared" ref="L390:N391" si="169">L393+L396</f>
        <v>0</v>
      </c>
      <c r="M390" s="837">
        <f t="shared" si="169"/>
        <v>0</v>
      </c>
      <c r="N390" s="837">
        <f t="shared" si="169"/>
        <v>0</v>
      </c>
      <c r="O390" s="837">
        <f t="shared" si="167"/>
        <v>0</v>
      </c>
      <c r="P390" s="837">
        <f t="shared" si="168"/>
        <v>0</v>
      </c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</row>
    <row r="391" spans="1:26" ht="18.75" hidden="1">
      <c r="A391" s="940"/>
      <c r="B391" s="833"/>
      <c r="C391" s="833"/>
      <c r="D391" s="833"/>
      <c r="E391" s="834" t="s">
        <v>19</v>
      </c>
      <c r="F391" s="833"/>
      <c r="G391" s="941"/>
      <c r="H391" s="158" t="s">
        <v>12</v>
      </c>
      <c r="I391" s="836"/>
      <c r="J391" s="836"/>
      <c r="K391" s="837"/>
      <c r="L391" s="837">
        <f t="shared" ca="1" si="169"/>
        <v>0</v>
      </c>
      <c r="M391" s="837">
        <f t="shared" ca="1" si="169"/>
        <v>0</v>
      </c>
      <c r="N391" s="837">
        <f t="shared" ca="1" si="169"/>
        <v>0</v>
      </c>
      <c r="O391" s="837">
        <f t="shared" ca="1" si="167"/>
        <v>0</v>
      </c>
      <c r="P391" s="837">
        <f t="shared" ca="1" si="168"/>
        <v>0</v>
      </c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</row>
    <row r="392" spans="1:26" ht="18.75" hidden="1">
      <c r="A392" s="942"/>
      <c r="B392" s="827"/>
      <c r="C392" s="943"/>
      <c r="D392" s="828" t="s">
        <v>20</v>
      </c>
      <c r="E392" s="827"/>
      <c r="F392" s="827"/>
      <c r="G392" s="829"/>
      <c r="H392" s="778" t="s">
        <v>12</v>
      </c>
      <c r="I392" s="944"/>
      <c r="J392" s="944"/>
      <c r="K392" s="945"/>
      <c r="L392" s="831">
        <f t="shared" ref="L392:N392" ca="1" si="170">L393+L394</f>
        <v>0</v>
      </c>
      <c r="M392" s="831">
        <f t="shared" ca="1" si="170"/>
        <v>0</v>
      </c>
      <c r="N392" s="831">
        <f t="shared" ca="1" si="170"/>
        <v>0</v>
      </c>
      <c r="O392" s="831">
        <f t="shared" ca="1" si="167"/>
        <v>0</v>
      </c>
      <c r="P392" s="831">
        <f t="shared" ca="1" si="168"/>
        <v>0</v>
      </c>
      <c r="Q392" s="818"/>
      <c r="R392" s="818"/>
      <c r="S392" s="818"/>
      <c r="T392" s="818"/>
      <c r="U392" s="818"/>
      <c r="V392" s="818"/>
      <c r="W392" s="818"/>
      <c r="X392" s="818"/>
      <c r="Y392" s="818"/>
      <c r="Z392" s="818"/>
    </row>
    <row r="393" spans="1:26" ht="19.5" hidden="1">
      <c r="A393" s="940"/>
      <c r="B393" s="833"/>
      <c r="C393" s="946"/>
      <c r="D393" s="833"/>
      <c r="E393" s="834" t="s">
        <v>36</v>
      </c>
      <c r="F393" s="833"/>
      <c r="G393" s="941"/>
      <c r="H393" s="165" t="s">
        <v>12</v>
      </c>
      <c r="I393" s="947"/>
      <c r="J393" s="947"/>
      <c r="K393" s="948"/>
      <c r="L393" s="837">
        <v>0</v>
      </c>
      <c r="M393" s="837">
        <v>0</v>
      </c>
      <c r="N393" s="837">
        <v>0</v>
      </c>
      <c r="O393" s="837">
        <f t="shared" si="167"/>
        <v>0</v>
      </c>
      <c r="P393" s="837">
        <f t="shared" si="168"/>
        <v>0</v>
      </c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</row>
    <row r="394" spans="1:26" ht="19.5" hidden="1">
      <c r="A394" s="940"/>
      <c r="B394" s="833"/>
      <c r="C394" s="946"/>
      <c r="D394" s="833"/>
      <c r="E394" s="834" t="s">
        <v>37</v>
      </c>
      <c r="F394" s="833"/>
      <c r="G394" s="941"/>
      <c r="H394" s="165" t="s">
        <v>12</v>
      </c>
      <c r="I394" s="947"/>
      <c r="J394" s="947"/>
      <c r="K394" s="948"/>
      <c r="L394" s="837">
        <f ca="1">IFERROR(__xludf.DUMMYFUNCTION("IMPORTRANGE(""https://docs.google.com/spreadsheets/d/1MeEWN-I1oV_STSDYn1IFDPWt_1FKiwhDph83XaGc0o0/edit?usp=sharing"",""งบพรบ!FG18"")"),0)</f>
        <v>0</v>
      </c>
      <c r="M394" s="837">
        <f ca="1">IFERROR(__xludf.DUMMYFUNCTION("IMPORTRANGE(""https://docs.google.com/spreadsheets/d/1MeEWN-I1oV_STSDYn1IFDPWt_1FKiwhDph83XaGc0o0/edit?usp=sharing"",""งบพรบ!FL18"")"),0)</f>
        <v>0</v>
      </c>
      <c r="N394" s="837">
        <f ca="1">IFERROR(__xludf.DUMMYFUNCTION("IMPORTRANGE(""https://docs.google.com/spreadsheets/d/1MeEWN-I1oV_STSDYn1IFDPWt_1FKiwhDph83XaGc0o0/edit?usp=sharing"",""งบพรบ!FN18"")"),0)</f>
        <v>0</v>
      </c>
      <c r="O394" s="837">
        <f t="shared" ca="1" si="167"/>
        <v>0</v>
      </c>
      <c r="P394" s="837">
        <f t="shared" ca="1" si="168"/>
        <v>0</v>
      </c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</row>
    <row r="395" spans="1:26" ht="18.75" hidden="1">
      <c r="A395" s="942"/>
      <c r="B395" s="827"/>
      <c r="C395" s="943"/>
      <c r="D395" s="828" t="s">
        <v>21</v>
      </c>
      <c r="E395" s="827"/>
      <c r="F395" s="827"/>
      <c r="G395" s="829"/>
      <c r="H395" s="168" t="s">
        <v>12</v>
      </c>
      <c r="I395" s="944"/>
      <c r="J395" s="944"/>
      <c r="K395" s="945"/>
      <c r="L395" s="831">
        <f t="shared" ref="L395:N395" ca="1" si="171">L396+L397</f>
        <v>0</v>
      </c>
      <c r="M395" s="831">
        <f t="shared" ca="1" si="171"/>
        <v>0</v>
      </c>
      <c r="N395" s="831">
        <f t="shared" ca="1" si="171"/>
        <v>0</v>
      </c>
      <c r="O395" s="831">
        <f t="shared" ca="1" si="167"/>
        <v>0</v>
      </c>
      <c r="P395" s="831">
        <f t="shared" ca="1" si="168"/>
        <v>0</v>
      </c>
      <c r="Q395" s="818"/>
      <c r="R395" s="818"/>
      <c r="S395" s="818"/>
      <c r="T395" s="818"/>
      <c r="U395" s="818"/>
      <c r="V395" s="818"/>
      <c r="W395" s="818"/>
      <c r="X395" s="818"/>
      <c r="Y395" s="818"/>
      <c r="Z395" s="818"/>
    </row>
    <row r="396" spans="1:26" ht="19.5" hidden="1">
      <c r="A396" s="940"/>
      <c r="B396" s="833"/>
      <c r="C396" s="946"/>
      <c r="D396" s="833"/>
      <c r="E396" s="834" t="s">
        <v>18</v>
      </c>
      <c r="F396" s="833"/>
      <c r="G396" s="941"/>
      <c r="H396" s="165" t="s">
        <v>12</v>
      </c>
      <c r="I396" s="947"/>
      <c r="J396" s="947"/>
      <c r="K396" s="948"/>
      <c r="L396" s="837">
        <v>0</v>
      </c>
      <c r="M396" s="837">
        <v>0</v>
      </c>
      <c r="N396" s="837">
        <v>0</v>
      </c>
      <c r="O396" s="837">
        <f t="shared" si="167"/>
        <v>0</v>
      </c>
      <c r="P396" s="837">
        <f t="shared" si="168"/>
        <v>0</v>
      </c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</row>
    <row r="397" spans="1:26" ht="19.5" hidden="1">
      <c r="A397" s="940"/>
      <c r="B397" s="833"/>
      <c r="C397" s="946"/>
      <c r="D397" s="833"/>
      <c r="E397" s="834" t="s">
        <v>19</v>
      </c>
      <c r="F397" s="833"/>
      <c r="G397" s="941"/>
      <c r="H397" s="169" t="s">
        <v>12</v>
      </c>
      <c r="I397" s="947"/>
      <c r="J397" s="947"/>
      <c r="K397" s="948"/>
      <c r="L397" s="837">
        <f ca="1">IFERROR(__xludf.DUMMYFUNCTION("IMPORTRANGE(""https://docs.google.com/spreadsheets/d/1MeEWN-I1oV_STSDYn1IFDPWt_1FKiwhDph83XaGc0o0/edit?usp=sharing"",""งบพรบ!FJ18"")"),0)</f>
        <v>0</v>
      </c>
      <c r="M397" s="837">
        <f ca="1">IFERROR(__xludf.DUMMYFUNCTION("IMPORTRANGE(""https://docs.google.com/spreadsheets/d/1MeEWN-I1oV_STSDYn1IFDPWt_1FKiwhDph83XaGc0o0/edit?usp=sharing"",""งบพรบ!FM18"")"),0)</f>
        <v>0</v>
      </c>
      <c r="N397" s="837">
        <f ca="1">IFERROR(__xludf.DUMMYFUNCTION("IMPORTRANGE(""https://docs.google.com/spreadsheets/d/1MeEWN-I1oV_STSDYn1IFDPWt_1FKiwhDph83XaGc0o0/edit?usp=sharing"",""งบพรบ!FO18"")"),0)</f>
        <v>0</v>
      </c>
      <c r="O397" s="837">
        <f t="shared" ca="1" si="167"/>
        <v>0</v>
      </c>
      <c r="P397" s="837">
        <f t="shared" ca="1" si="168"/>
        <v>0</v>
      </c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</row>
    <row r="398" spans="1:26" ht="19.5" hidden="1">
      <c r="A398" s="949"/>
      <c r="B398" s="950"/>
      <c r="C398" s="946" t="s">
        <v>16</v>
      </c>
      <c r="D398" s="951" t="s">
        <v>38</v>
      </c>
      <c r="E398" s="952"/>
      <c r="F398" s="952"/>
      <c r="G398" s="953"/>
      <c r="H398" s="954"/>
      <c r="I398" s="944"/>
      <c r="J398" s="830"/>
      <c r="K398" s="831"/>
      <c r="L398" s="831"/>
      <c r="M398" s="831"/>
      <c r="N398" s="831"/>
      <c r="O398" s="945"/>
      <c r="P398" s="945"/>
    </row>
    <row r="399" spans="1:26" ht="18.75" hidden="1">
      <c r="A399" s="1204"/>
      <c r="B399" s="933"/>
      <c r="C399" s="1205"/>
      <c r="D399" s="968" t="s">
        <v>174</v>
      </c>
      <c r="E399" s="1113"/>
      <c r="F399" s="933"/>
      <c r="G399" s="936"/>
      <c r="H399" s="496" t="s">
        <v>9</v>
      </c>
      <c r="I399" s="830">
        <v>0</v>
      </c>
      <c r="J399" s="959">
        <v>0</v>
      </c>
      <c r="K399" s="831">
        <f t="shared" ref="K399:K401" si="172">IF(I399&gt;0,J399*100/I399,0)</f>
        <v>0</v>
      </c>
      <c r="L399" s="1206"/>
      <c r="M399" s="1206"/>
      <c r="N399" s="1206"/>
      <c r="O399" s="1206"/>
      <c r="P399" s="1206"/>
      <c r="Q399" s="818"/>
      <c r="R399" s="818"/>
      <c r="S399" s="818"/>
      <c r="T399" s="818"/>
      <c r="U399" s="818"/>
      <c r="V399" s="818"/>
      <c r="W399" s="818"/>
      <c r="X399" s="818"/>
      <c r="Y399" s="818"/>
      <c r="Z399" s="818"/>
    </row>
    <row r="400" spans="1:26" ht="18.75" hidden="1">
      <c r="A400" s="1032"/>
      <c r="B400" s="827"/>
      <c r="C400" s="1030"/>
      <c r="D400" s="956" t="s">
        <v>175</v>
      </c>
      <c r="E400" s="950"/>
      <c r="F400" s="827"/>
      <c r="G400" s="829"/>
      <c r="H400" s="277" t="s">
        <v>66</v>
      </c>
      <c r="I400" s="830">
        <v>0</v>
      </c>
      <c r="J400" s="959">
        <v>0</v>
      </c>
      <c r="K400" s="831">
        <f t="shared" si="172"/>
        <v>0</v>
      </c>
      <c r="L400" s="831"/>
      <c r="M400" s="831"/>
      <c r="N400" s="831"/>
      <c r="O400" s="831"/>
      <c r="P400" s="831"/>
    </row>
    <row r="401" spans="1:26" ht="19.5" hidden="1">
      <c r="A401" s="1196"/>
      <c r="B401" s="1197" t="s">
        <v>176</v>
      </c>
      <c r="C401" s="1198"/>
      <c r="D401" s="1199"/>
      <c r="E401" s="1199"/>
      <c r="F401" s="1199"/>
      <c r="G401" s="1200"/>
      <c r="H401" s="489" t="s">
        <v>66</v>
      </c>
      <c r="I401" s="1201">
        <f t="shared" ref="I401:J401" si="173">I412</f>
        <v>0</v>
      </c>
      <c r="J401" s="1201">
        <f t="shared" si="173"/>
        <v>0</v>
      </c>
      <c r="K401" s="1202">
        <f t="shared" si="172"/>
        <v>0</v>
      </c>
      <c r="L401" s="1203"/>
      <c r="M401" s="1203"/>
      <c r="N401" s="1203"/>
      <c r="O401" s="1203"/>
      <c r="P401" s="1203"/>
    </row>
    <row r="402" spans="1:26" ht="19.5" hidden="1">
      <c r="A402" s="932"/>
      <c r="B402" s="933"/>
      <c r="C402" s="934" t="s">
        <v>16</v>
      </c>
      <c r="D402" s="935" t="s">
        <v>17</v>
      </c>
      <c r="E402" s="933"/>
      <c r="F402" s="933"/>
      <c r="G402" s="936"/>
      <c r="H402" s="152" t="s">
        <v>12</v>
      </c>
      <c r="I402" s="937"/>
      <c r="J402" s="937"/>
      <c r="K402" s="938"/>
      <c r="L402" s="939">
        <f t="shared" ref="L402:N402" ca="1" si="174">L403+L404</f>
        <v>0</v>
      </c>
      <c r="M402" s="939">
        <f t="shared" ca="1" si="174"/>
        <v>0</v>
      </c>
      <c r="N402" s="939">
        <f t="shared" ca="1" si="174"/>
        <v>0</v>
      </c>
      <c r="O402" s="939">
        <f t="shared" ref="O402:O410" ca="1" si="175">IF(L402&gt;0,N402*100/L402,0)</f>
        <v>0</v>
      </c>
      <c r="P402" s="939">
        <f t="shared" ref="P402:P410" ca="1" si="176">IF(M402&gt;0,N402*100/M402,0)</f>
        <v>0</v>
      </c>
      <c r="Q402" s="818"/>
      <c r="R402" s="818"/>
      <c r="S402" s="818"/>
      <c r="T402" s="818"/>
      <c r="U402" s="818"/>
      <c r="V402" s="818"/>
      <c r="W402" s="818"/>
      <c r="X402" s="818"/>
      <c r="Y402" s="818"/>
      <c r="Z402" s="818"/>
    </row>
    <row r="403" spans="1:26" ht="18.75" hidden="1">
      <c r="A403" s="940"/>
      <c r="B403" s="833"/>
      <c r="C403" s="833"/>
      <c r="D403" s="833"/>
      <c r="E403" s="834" t="s">
        <v>18</v>
      </c>
      <c r="F403" s="833"/>
      <c r="G403" s="941"/>
      <c r="H403" s="158" t="s">
        <v>12</v>
      </c>
      <c r="I403" s="836"/>
      <c r="J403" s="836"/>
      <c r="K403" s="837"/>
      <c r="L403" s="837">
        <f t="shared" ref="L403:N404" si="177">L406+L409</f>
        <v>0</v>
      </c>
      <c r="M403" s="837">
        <f t="shared" si="177"/>
        <v>0</v>
      </c>
      <c r="N403" s="837">
        <f t="shared" si="177"/>
        <v>0</v>
      </c>
      <c r="O403" s="837">
        <f t="shared" si="175"/>
        <v>0</v>
      </c>
      <c r="P403" s="837">
        <f t="shared" si="176"/>
        <v>0</v>
      </c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</row>
    <row r="404" spans="1:26" ht="18.75" hidden="1">
      <c r="A404" s="940"/>
      <c r="B404" s="833"/>
      <c r="C404" s="833"/>
      <c r="D404" s="833"/>
      <c r="E404" s="834" t="s">
        <v>19</v>
      </c>
      <c r="F404" s="833"/>
      <c r="G404" s="941"/>
      <c r="H404" s="158" t="s">
        <v>12</v>
      </c>
      <c r="I404" s="836"/>
      <c r="J404" s="836"/>
      <c r="K404" s="837"/>
      <c r="L404" s="837">
        <f t="shared" ca="1" si="177"/>
        <v>0</v>
      </c>
      <c r="M404" s="837">
        <f t="shared" ca="1" si="177"/>
        <v>0</v>
      </c>
      <c r="N404" s="837">
        <f t="shared" ca="1" si="177"/>
        <v>0</v>
      </c>
      <c r="O404" s="837">
        <f t="shared" ca="1" si="175"/>
        <v>0</v>
      </c>
      <c r="P404" s="837">
        <f t="shared" ca="1" si="176"/>
        <v>0</v>
      </c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</row>
    <row r="405" spans="1:26" ht="18.75" hidden="1">
      <c r="A405" s="942"/>
      <c r="B405" s="827"/>
      <c r="C405" s="943"/>
      <c r="D405" s="828" t="s">
        <v>20</v>
      </c>
      <c r="E405" s="827"/>
      <c r="F405" s="827"/>
      <c r="G405" s="829"/>
      <c r="H405" s="778" t="s">
        <v>12</v>
      </c>
      <c r="I405" s="944"/>
      <c r="J405" s="944"/>
      <c r="K405" s="945"/>
      <c r="L405" s="831">
        <f t="shared" ref="L405:N405" ca="1" si="178">L406+L407</f>
        <v>0</v>
      </c>
      <c r="M405" s="831">
        <f t="shared" ca="1" si="178"/>
        <v>0</v>
      </c>
      <c r="N405" s="831">
        <f t="shared" ca="1" si="178"/>
        <v>0</v>
      </c>
      <c r="O405" s="831">
        <f t="shared" ca="1" si="175"/>
        <v>0</v>
      </c>
      <c r="P405" s="831">
        <f t="shared" ca="1" si="176"/>
        <v>0</v>
      </c>
      <c r="Q405" s="818"/>
      <c r="R405" s="818"/>
      <c r="S405" s="818"/>
      <c r="T405" s="818"/>
      <c r="U405" s="818"/>
      <c r="V405" s="818"/>
      <c r="W405" s="818"/>
      <c r="X405" s="818"/>
      <c r="Y405" s="818"/>
      <c r="Z405" s="818"/>
    </row>
    <row r="406" spans="1:26" ht="19.5" hidden="1">
      <c r="A406" s="940"/>
      <c r="B406" s="833"/>
      <c r="C406" s="946"/>
      <c r="D406" s="833"/>
      <c r="E406" s="834" t="s">
        <v>36</v>
      </c>
      <c r="F406" s="833"/>
      <c r="G406" s="941"/>
      <c r="H406" s="165" t="s">
        <v>12</v>
      </c>
      <c r="I406" s="947"/>
      <c r="J406" s="947"/>
      <c r="K406" s="948"/>
      <c r="L406" s="837">
        <v>0</v>
      </c>
      <c r="M406" s="837">
        <v>0</v>
      </c>
      <c r="N406" s="837">
        <v>0</v>
      </c>
      <c r="O406" s="837">
        <f t="shared" si="175"/>
        <v>0</v>
      </c>
      <c r="P406" s="837">
        <f t="shared" si="176"/>
        <v>0</v>
      </c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</row>
    <row r="407" spans="1:26" ht="19.5" hidden="1">
      <c r="A407" s="940"/>
      <c r="B407" s="833"/>
      <c r="C407" s="946"/>
      <c r="D407" s="833"/>
      <c r="E407" s="834" t="s">
        <v>37</v>
      </c>
      <c r="F407" s="833"/>
      <c r="G407" s="941"/>
      <c r="H407" s="165" t="s">
        <v>12</v>
      </c>
      <c r="I407" s="947"/>
      <c r="J407" s="947"/>
      <c r="K407" s="948"/>
      <c r="L407" s="837">
        <f ca="1">IFERROR(__xludf.DUMMYFUNCTION("IMPORTRANGE(""https://docs.google.com/spreadsheets/d/1MeEWN-I1oV_STSDYn1IFDPWt_1FKiwhDph83XaGc0o0/edit?usp=sharing"",""งบพรบ!FQ18"")"),0)</f>
        <v>0</v>
      </c>
      <c r="M407" s="837">
        <f ca="1">IFERROR(__xludf.DUMMYFUNCTION("IMPORTRANGE(""https://docs.google.com/spreadsheets/d/1MeEWN-I1oV_STSDYn1IFDPWt_1FKiwhDph83XaGc0o0/edit?usp=sharing"",""งบพรบ!FV18"")"),0)</f>
        <v>0</v>
      </c>
      <c r="N407" s="837">
        <f ca="1">IFERROR(__xludf.DUMMYFUNCTION("IMPORTRANGE(""https://docs.google.com/spreadsheets/d/1MeEWN-I1oV_STSDYn1IFDPWt_1FKiwhDph83XaGc0o0/edit?usp=sharing"",""งบพรบ!FX18"")"),0)</f>
        <v>0</v>
      </c>
      <c r="O407" s="837">
        <f t="shared" ca="1" si="175"/>
        <v>0</v>
      </c>
      <c r="P407" s="837">
        <f t="shared" ca="1" si="176"/>
        <v>0</v>
      </c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</row>
    <row r="408" spans="1:26" ht="18.75" hidden="1">
      <c r="A408" s="942"/>
      <c r="B408" s="827"/>
      <c r="C408" s="943"/>
      <c r="D408" s="828" t="s">
        <v>21</v>
      </c>
      <c r="E408" s="827"/>
      <c r="F408" s="827"/>
      <c r="G408" s="829"/>
      <c r="H408" s="168" t="s">
        <v>12</v>
      </c>
      <c r="I408" s="944"/>
      <c r="J408" s="944"/>
      <c r="K408" s="945"/>
      <c r="L408" s="831">
        <f t="shared" ref="L408:N408" ca="1" si="179">L409+L410</f>
        <v>0</v>
      </c>
      <c r="M408" s="831">
        <f t="shared" ca="1" si="179"/>
        <v>0</v>
      </c>
      <c r="N408" s="831">
        <f t="shared" ca="1" si="179"/>
        <v>0</v>
      </c>
      <c r="O408" s="831">
        <f t="shared" ca="1" si="175"/>
        <v>0</v>
      </c>
      <c r="P408" s="831">
        <f t="shared" ca="1" si="176"/>
        <v>0</v>
      </c>
      <c r="Q408" s="818"/>
      <c r="R408" s="818"/>
      <c r="S408" s="818"/>
      <c r="T408" s="818"/>
      <c r="U408" s="818"/>
      <c r="V408" s="818"/>
      <c r="W408" s="818"/>
      <c r="X408" s="818"/>
      <c r="Y408" s="818"/>
      <c r="Z408" s="818"/>
    </row>
    <row r="409" spans="1:26" ht="19.5" hidden="1">
      <c r="A409" s="940"/>
      <c r="B409" s="833"/>
      <c r="C409" s="946"/>
      <c r="D409" s="833"/>
      <c r="E409" s="834" t="s">
        <v>18</v>
      </c>
      <c r="F409" s="833"/>
      <c r="G409" s="941"/>
      <c r="H409" s="165" t="s">
        <v>12</v>
      </c>
      <c r="I409" s="947"/>
      <c r="J409" s="947"/>
      <c r="K409" s="948"/>
      <c r="L409" s="837">
        <v>0</v>
      </c>
      <c r="M409" s="837">
        <v>0</v>
      </c>
      <c r="N409" s="837">
        <v>0</v>
      </c>
      <c r="O409" s="837">
        <f t="shared" si="175"/>
        <v>0</v>
      </c>
      <c r="P409" s="837">
        <f t="shared" si="176"/>
        <v>0</v>
      </c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</row>
    <row r="410" spans="1:26" ht="19.5" hidden="1">
      <c r="A410" s="940"/>
      <c r="B410" s="833"/>
      <c r="C410" s="946"/>
      <c r="D410" s="833"/>
      <c r="E410" s="834" t="s">
        <v>19</v>
      </c>
      <c r="F410" s="833"/>
      <c r="G410" s="941"/>
      <c r="H410" s="169" t="s">
        <v>12</v>
      </c>
      <c r="I410" s="947"/>
      <c r="J410" s="947"/>
      <c r="K410" s="948"/>
      <c r="L410" s="837">
        <f ca="1">IFERROR(__xludf.DUMMYFUNCTION("IMPORTRANGE(""https://docs.google.com/spreadsheets/d/1MeEWN-I1oV_STSDYn1IFDPWt_1FKiwhDph83XaGc0o0/edit?usp=sharing"",""งบพรบ!FT18"")"),0)</f>
        <v>0</v>
      </c>
      <c r="M410" s="837">
        <f ca="1">IFERROR(__xludf.DUMMYFUNCTION("IMPORTRANGE(""https://docs.google.com/spreadsheets/d/1MeEWN-I1oV_STSDYn1IFDPWt_1FKiwhDph83XaGc0o0/edit?usp=sharing"",""งบพรบ!FW18"")"),0)</f>
        <v>0</v>
      </c>
      <c r="N410" s="837">
        <f ca="1">IFERROR(__xludf.DUMMYFUNCTION("IMPORTRANGE(""https://docs.google.com/spreadsheets/d/1MeEWN-I1oV_STSDYn1IFDPWt_1FKiwhDph83XaGc0o0/edit?usp=sharing"",""งบพรบ!FY18"")"),0)</f>
        <v>0</v>
      </c>
      <c r="O410" s="837">
        <f t="shared" ca="1" si="175"/>
        <v>0</v>
      </c>
      <c r="P410" s="837">
        <f t="shared" ca="1" si="176"/>
        <v>0</v>
      </c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</row>
    <row r="411" spans="1:26" ht="19.5" hidden="1">
      <c r="A411" s="949"/>
      <c r="B411" s="950"/>
      <c r="C411" s="946" t="s">
        <v>16</v>
      </c>
      <c r="D411" s="1207" t="s">
        <v>38</v>
      </c>
      <c r="E411" s="1208"/>
      <c r="F411" s="1208"/>
      <c r="G411" s="1209"/>
      <c r="H411" s="954"/>
      <c r="I411" s="830"/>
      <c r="J411" s="830"/>
      <c r="K411" s="831"/>
      <c r="L411" s="945"/>
      <c r="M411" s="945"/>
      <c r="N411" s="945"/>
      <c r="O411" s="945"/>
      <c r="P411" s="945"/>
    </row>
    <row r="412" spans="1:26" ht="18.75" hidden="1">
      <c r="A412" s="949"/>
      <c r="B412" s="957"/>
      <c r="C412" s="957"/>
      <c r="D412" s="956" t="s">
        <v>177</v>
      </c>
      <c r="E412" s="957"/>
      <c r="F412" s="957"/>
      <c r="G412" s="958"/>
      <c r="H412" s="501" t="s">
        <v>66</v>
      </c>
      <c r="I412" s="830">
        <v>0</v>
      </c>
      <c r="J412" s="959">
        <v>0</v>
      </c>
      <c r="K412" s="831">
        <f t="shared" ref="K412:K413" si="180">IF(I412&gt;0,J412*100/I412,0)</f>
        <v>0</v>
      </c>
      <c r="L412" s="945"/>
      <c r="M412" s="945"/>
      <c r="N412" s="945"/>
      <c r="O412" s="945"/>
      <c r="P412" s="945"/>
    </row>
    <row r="413" spans="1:26" ht="19.5" hidden="1" thickBot="1">
      <c r="A413" s="1210"/>
      <c r="B413" s="1211"/>
      <c r="C413" s="1211"/>
      <c r="D413" s="1212" t="s">
        <v>178</v>
      </c>
      <c r="E413" s="1211"/>
      <c r="F413" s="1211"/>
      <c r="G413" s="1213"/>
      <c r="H413" s="506" t="s">
        <v>179</v>
      </c>
      <c r="I413" s="1214">
        <v>0</v>
      </c>
      <c r="J413" s="1215">
        <v>0</v>
      </c>
      <c r="K413" s="1216">
        <f t="shared" si="180"/>
        <v>0</v>
      </c>
      <c r="L413" s="1217"/>
      <c r="M413" s="1217"/>
      <c r="N413" s="1217"/>
      <c r="O413" s="1217"/>
      <c r="P413" s="1217"/>
    </row>
    <row r="414" spans="1:26" ht="19.5">
      <c r="A414" s="1218" t="s">
        <v>180</v>
      </c>
      <c r="B414" s="1219"/>
      <c r="C414" s="1219"/>
      <c r="D414" s="1219"/>
      <c r="E414" s="1219"/>
      <c r="F414" s="1219"/>
      <c r="G414" s="1220"/>
      <c r="H414" s="1221"/>
      <c r="I414" s="1222"/>
      <c r="J414" s="1222"/>
      <c r="K414" s="1223"/>
      <c r="L414" s="1224">
        <f t="shared" ref="L414:N414" ca="1" si="181">L419+L444+L467+L502+L523+L544+L629+L655+L685+L737+L754+L770+L786+L805</f>
        <v>3349561</v>
      </c>
      <c r="M414" s="1224">
        <f t="shared" si="181"/>
        <v>0</v>
      </c>
      <c r="N414" s="1224">
        <f t="shared" si="181"/>
        <v>602747.69999999995</v>
      </c>
      <c r="O414" s="1224">
        <f ca="1">IF(L414&gt;0,N414*100/L414,0)</f>
        <v>17.994826784763731</v>
      </c>
      <c r="P414" s="1224">
        <f>IF(M414&gt;0,N414*100/M414,0)</f>
        <v>0</v>
      </c>
    </row>
    <row r="415" spans="1:26" ht="19.5">
      <c r="A415" s="1225" t="s">
        <v>181</v>
      </c>
      <c r="B415" s="1226"/>
      <c r="C415" s="1226"/>
      <c r="D415" s="1226"/>
      <c r="E415" s="1226"/>
      <c r="F415" s="1226"/>
      <c r="G415" s="1226"/>
      <c r="H415" s="1227"/>
      <c r="I415" s="1228"/>
      <c r="J415" s="1228"/>
      <c r="K415" s="1229"/>
      <c r="L415" s="1230"/>
      <c r="M415" s="1230"/>
      <c r="N415" s="1230"/>
      <c r="O415" s="1230"/>
      <c r="P415" s="1230"/>
    </row>
    <row r="416" spans="1:26" ht="19.5">
      <c r="A416" s="1225" t="s">
        <v>182</v>
      </c>
      <c r="B416" s="1226"/>
      <c r="C416" s="1226"/>
      <c r="D416" s="1226"/>
      <c r="E416" s="1226"/>
      <c r="F416" s="1226"/>
      <c r="G416" s="1231"/>
      <c r="H416" s="1232"/>
      <c r="I416" s="1233"/>
      <c r="J416" s="1233"/>
      <c r="K416" s="1230"/>
      <c r="L416" s="1230"/>
      <c r="M416" s="1230"/>
      <c r="N416" s="1230"/>
      <c r="O416" s="1230"/>
      <c r="P416" s="1230"/>
    </row>
    <row r="417" spans="1:26" ht="39">
      <c r="A417" s="527">
        <v>1</v>
      </c>
      <c r="B417" s="1234" t="s">
        <v>183</v>
      </c>
      <c r="C417" s="1234"/>
      <c r="D417" s="1235"/>
      <c r="E417" s="1235"/>
      <c r="F417" s="1235"/>
      <c r="G417" s="1236"/>
      <c r="H417" s="532" t="s">
        <v>35</v>
      </c>
      <c r="I417" s="1237">
        <f t="shared" ref="I417:J418" ca="1" si="182">I433</f>
        <v>70</v>
      </c>
      <c r="J417" s="1237">
        <f t="shared" ca="1" si="182"/>
        <v>70</v>
      </c>
      <c r="K417" s="1238">
        <f t="shared" ref="K417:K418" ca="1" si="183">IF(I417&gt;0,J417*100/I417,0)</f>
        <v>100</v>
      </c>
      <c r="L417" s="1239"/>
      <c r="M417" s="1239"/>
      <c r="N417" s="1239"/>
      <c r="O417" s="1239"/>
      <c r="P417" s="1239"/>
    </row>
    <row r="418" spans="1:26" ht="19.5">
      <c r="A418" s="1240"/>
      <c r="B418" s="527"/>
      <c r="C418" s="1234"/>
      <c r="D418" s="1235"/>
      <c r="E418" s="1235"/>
      <c r="F418" s="1235"/>
      <c r="G418" s="1236"/>
      <c r="H418" s="532" t="s">
        <v>49</v>
      </c>
      <c r="I418" s="1237">
        <f t="shared" ca="1" si="182"/>
        <v>2</v>
      </c>
      <c r="J418" s="1237">
        <f t="shared" si="182"/>
        <v>2</v>
      </c>
      <c r="K418" s="1238">
        <f t="shared" ca="1" si="183"/>
        <v>100</v>
      </c>
      <c r="L418" s="1239"/>
      <c r="M418" s="1239"/>
      <c r="N418" s="1239"/>
      <c r="O418" s="1239"/>
      <c r="P418" s="1239"/>
    </row>
    <row r="419" spans="1:26" ht="19.5">
      <c r="A419" s="932"/>
      <c r="B419" s="933"/>
      <c r="C419" s="933" t="s">
        <v>16</v>
      </c>
      <c r="D419" s="1510" t="s">
        <v>17</v>
      </c>
      <c r="E419" s="1487"/>
      <c r="F419" s="1487"/>
      <c r="G419" s="936"/>
      <c r="H419" s="275" t="s">
        <v>12</v>
      </c>
      <c r="I419" s="937"/>
      <c r="J419" s="937"/>
      <c r="K419" s="938"/>
      <c r="L419" s="939">
        <f t="shared" ref="L419:N419" ca="1" si="184">L420+L421</f>
        <v>234110</v>
      </c>
      <c r="M419" s="939">
        <f t="shared" si="184"/>
        <v>0</v>
      </c>
      <c r="N419" s="939">
        <f t="shared" si="184"/>
        <v>178900</v>
      </c>
      <c r="O419" s="939">
        <f t="shared" ref="O419:O424" ca="1" si="185">IF(L419&gt;0,N419*100/L419,0)</f>
        <v>76.417068899235403</v>
      </c>
      <c r="P419" s="939">
        <f t="shared" ref="P419:P424" si="186">IF(M419&gt;0,N419*100/M419,0)</f>
        <v>0</v>
      </c>
      <c r="Q419" s="818"/>
      <c r="R419" s="818"/>
      <c r="S419" s="818"/>
      <c r="T419" s="818"/>
      <c r="U419" s="818"/>
      <c r="V419" s="818"/>
      <c r="W419" s="818"/>
      <c r="X419" s="818"/>
      <c r="Y419" s="818"/>
      <c r="Z419" s="818"/>
    </row>
    <row r="420" spans="1:26" ht="18.75" hidden="1">
      <c r="A420" s="940"/>
      <c r="B420" s="833"/>
      <c r="C420" s="833"/>
      <c r="D420" s="1061"/>
      <c r="E420" s="834" t="s">
        <v>184</v>
      </c>
      <c r="F420" s="833"/>
      <c r="G420" s="941"/>
      <c r="H420" s="165" t="s">
        <v>12</v>
      </c>
      <c r="I420" s="836"/>
      <c r="J420" s="836"/>
      <c r="K420" s="837"/>
      <c r="L420" s="837">
        <f t="shared" ref="L420:N421" si="187">L423+L430</f>
        <v>0</v>
      </c>
      <c r="M420" s="837">
        <f t="shared" si="187"/>
        <v>0</v>
      </c>
      <c r="N420" s="837">
        <f t="shared" si="187"/>
        <v>0</v>
      </c>
      <c r="O420" s="837">
        <f t="shared" si="185"/>
        <v>0</v>
      </c>
      <c r="P420" s="837">
        <f t="shared" si="186"/>
        <v>0</v>
      </c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</row>
    <row r="421" spans="1:26" ht="18.75" hidden="1">
      <c r="A421" s="940"/>
      <c r="B421" s="833"/>
      <c r="C421" s="833"/>
      <c r="D421" s="1061"/>
      <c r="E421" s="834" t="s">
        <v>185</v>
      </c>
      <c r="F421" s="833"/>
      <c r="G421" s="941"/>
      <c r="H421" s="165" t="s">
        <v>12</v>
      </c>
      <c r="I421" s="836"/>
      <c r="J421" s="836"/>
      <c r="K421" s="837"/>
      <c r="L421" s="837">
        <f t="shared" ca="1" si="187"/>
        <v>234110</v>
      </c>
      <c r="M421" s="837">
        <f t="shared" si="187"/>
        <v>0</v>
      </c>
      <c r="N421" s="837">
        <f t="shared" si="187"/>
        <v>178900</v>
      </c>
      <c r="O421" s="837">
        <f t="shared" ca="1" si="185"/>
        <v>76.417068899235403</v>
      </c>
      <c r="P421" s="837">
        <f t="shared" si="186"/>
        <v>0</v>
      </c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</row>
    <row r="422" spans="1:26" ht="18.75">
      <c r="A422" s="942"/>
      <c r="B422" s="1030"/>
      <c r="C422" s="827"/>
      <c r="D422" s="828" t="s">
        <v>20</v>
      </c>
      <c r="E422" s="827"/>
      <c r="F422" s="827"/>
      <c r="G422" s="829"/>
      <c r="H422" s="778" t="s">
        <v>12</v>
      </c>
      <c r="I422" s="944"/>
      <c r="J422" s="944"/>
      <c r="K422" s="945"/>
      <c r="L422" s="831">
        <f t="shared" ref="L422:N422" ca="1" si="188">L423+L424</f>
        <v>234110</v>
      </c>
      <c r="M422" s="831">
        <f t="shared" si="188"/>
        <v>0</v>
      </c>
      <c r="N422" s="831">
        <f t="shared" si="188"/>
        <v>178900</v>
      </c>
      <c r="O422" s="831">
        <f t="shared" ca="1" si="185"/>
        <v>76.417068899235403</v>
      </c>
      <c r="P422" s="831">
        <f t="shared" si="186"/>
        <v>0</v>
      </c>
      <c r="Q422" s="818"/>
      <c r="R422" s="818"/>
      <c r="S422" s="818"/>
      <c r="T422" s="818"/>
      <c r="U422" s="818"/>
      <c r="V422" s="818"/>
      <c r="W422" s="818"/>
      <c r="X422" s="818"/>
      <c r="Y422" s="818"/>
      <c r="Z422" s="818"/>
    </row>
    <row r="423" spans="1:26" ht="18.75" hidden="1">
      <c r="A423" s="940"/>
      <c r="B423" s="833"/>
      <c r="C423" s="833"/>
      <c r="D423" s="1061"/>
      <c r="E423" s="834" t="s">
        <v>184</v>
      </c>
      <c r="F423" s="833"/>
      <c r="G423" s="941"/>
      <c r="H423" s="165" t="s">
        <v>12</v>
      </c>
      <c r="I423" s="836"/>
      <c r="J423" s="836"/>
      <c r="K423" s="837"/>
      <c r="L423" s="837">
        <v>0</v>
      </c>
      <c r="M423" s="837">
        <v>0</v>
      </c>
      <c r="N423" s="837">
        <v>0</v>
      </c>
      <c r="O423" s="837">
        <f t="shared" si="185"/>
        <v>0</v>
      </c>
      <c r="P423" s="837">
        <f t="shared" si="186"/>
        <v>0</v>
      </c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</row>
    <row r="424" spans="1:26" ht="18.75" hidden="1">
      <c r="A424" s="940"/>
      <c r="B424" s="833"/>
      <c r="C424" s="833"/>
      <c r="D424" s="1061"/>
      <c r="E424" s="834" t="s">
        <v>185</v>
      </c>
      <c r="F424" s="833"/>
      <c r="G424" s="941"/>
      <c r="H424" s="165" t="s">
        <v>12</v>
      </c>
      <c r="I424" s="836"/>
      <c r="J424" s="836"/>
      <c r="K424" s="837"/>
      <c r="L424" s="837">
        <f ca="1">IFERROR(__xludf.DUMMYFUNCTION("IMPORTRANGE(""https://docs.google.com/spreadsheets/d/1QqKyyYR6Q21VydFLVH3TRQUabQu_ym0Zz7PgGX0-kHA/edit?usp=sharing"",""แผน!EY18"")"),234110)</f>
        <v>234110</v>
      </c>
      <c r="M424" s="837">
        <v>0</v>
      </c>
      <c r="N424" s="837">
        <f>N425+N426+N427+N428</f>
        <v>178900</v>
      </c>
      <c r="O424" s="837">
        <f t="shared" ca="1" si="185"/>
        <v>76.417068899235403</v>
      </c>
      <c r="P424" s="837">
        <f t="shared" si="186"/>
        <v>0</v>
      </c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</row>
    <row r="425" spans="1:26" ht="18.75">
      <c r="A425" s="1241"/>
      <c r="B425" s="1242"/>
      <c r="C425" s="1243"/>
      <c r="D425" s="1243"/>
      <c r="E425" s="1243"/>
      <c r="F425" s="1243" t="s">
        <v>186</v>
      </c>
      <c r="G425" s="963"/>
      <c r="H425" s="778" t="s">
        <v>12</v>
      </c>
      <c r="I425" s="830"/>
      <c r="J425" s="830"/>
      <c r="K425" s="831"/>
      <c r="L425" s="831"/>
      <c r="M425" s="831"/>
      <c r="N425" s="1031">
        <v>155540</v>
      </c>
      <c r="O425" s="831"/>
      <c r="P425" s="831"/>
      <c r="Q425" s="1244"/>
      <c r="R425" s="1244"/>
      <c r="S425" s="1244"/>
      <c r="T425" s="1244"/>
      <c r="U425" s="1244"/>
      <c r="V425" s="1244"/>
      <c r="W425" s="1244"/>
      <c r="X425" s="1244"/>
      <c r="Y425" s="1244"/>
      <c r="Z425" s="1244"/>
    </row>
    <row r="426" spans="1:26" ht="18.75">
      <c r="A426" s="1241"/>
      <c r="B426" s="1242"/>
      <c r="C426" s="1243"/>
      <c r="D426" s="1243"/>
      <c r="E426" s="1243"/>
      <c r="F426" s="1243" t="s">
        <v>187</v>
      </c>
      <c r="G426" s="963"/>
      <c r="H426" s="778" t="s">
        <v>12</v>
      </c>
      <c r="I426" s="830"/>
      <c r="J426" s="830"/>
      <c r="K426" s="831"/>
      <c r="L426" s="831"/>
      <c r="M426" s="831"/>
      <c r="N426" s="1031">
        <v>0</v>
      </c>
      <c r="O426" s="831"/>
      <c r="P426" s="831"/>
      <c r="Q426" s="1244"/>
      <c r="R426" s="1244"/>
      <c r="S426" s="1244"/>
      <c r="T426" s="1244"/>
      <c r="U426" s="1244"/>
      <c r="V426" s="1244"/>
      <c r="W426" s="1244"/>
      <c r="X426" s="1244"/>
      <c r="Y426" s="1244"/>
      <c r="Z426" s="1244"/>
    </row>
    <row r="427" spans="1:26" ht="18.75">
      <c r="A427" s="1241"/>
      <c r="B427" s="1242"/>
      <c r="C427" s="1243"/>
      <c r="D427" s="1243"/>
      <c r="E427" s="1243"/>
      <c r="F427" s="1243" t="s">
        <v>188</v>
      </c>
      <c r="G427" s="963"/>
      <c r="H427" s="778" t="s">
        <v>12</v>
      </c>
      <c r="I427" s="830"/>
      <c r="J427" s="830"/>
      <c r="K427" s="831"/>
      <c r="L427" s="831"/>
      <c r="M427" s="831"/>
      <c r="N427" s="1031">
        <v>0</v>
      </c>
      <c r="O427" s="831"/>
      <c r="P427" s="831"/>
      <c r="Q427" s="1244"/>
      <c r="R427" s="1244"/>
      <c r="S427" s="1244"/>
      <c r="T427" s="1244"/>
      <c r="U427" s="1244"/>
      <c r="V427" s="1244"/>
      <c r="W427" s="1244"/>
      <c r="X427" s="1244"/>
      <c r="Y427" s="1244"/>
      <c r="Z427" s="1244"/>
    </row>
    <row r="428" spans="1:26" ht="18.75">
      <c r="A428" s="1032"/>
      <c r="B428" s="1030"/>
      <c r="C428" s="827"/>
      <c r="D428" s="827"/>
      <c r="E428" s="827"/>
      <c r="F428" s="943" t="s">
        <v>189</v>
      </c>
      <c r="G428" s="977"/>
      <c r="H428" s="778" t="s">
        <v>12</v>
      </c>
      <c r="I428" s="830"/>
      <c r="J428" s="830"/>
      <c r="K428" s="831"/>
      <c r="L428" s="831"/>
      <c r="M428" s="831"/>
      <c r="N428" s="1031">
        <f>5360+18000</f>
        <v>23360</v>
      </c>
      <c r="O428" s="831"/>
      <c r="P428" s="831"/>
      <c r="Q428" s="818"/>
      <c r="R428" s="818"/>
      <c r="S428" s="818"/>
      <c r="T428" s="818"/>
      <c r="U428" s="818"/>
      <c r="V428" s="818"/>
      <c r="W428" s="818"/>
      <c r="X428" s="818"/>
      <c r="Y428" s="818"/>
      <c r="Z428" s="818"/>
    </row>
    <row r="429" spans="1:26" ht="18.75">
      <c r="A429" s="942"/>
      <c r="B429" s="1030"/>
      <c r="C429" s="827"/>
      <c r="D429" s="828" t="s">
        <v>21</v>
      </c>
      <c r="E429" s="827"/>
      <c r="F429" s="827"/>
      <c r="G429" s="829"/>
      <c r="H429" s="168" t="s">
        <v>12</v>
      </c>
      <c r="I429" s="944"/>
      <c r="J429" s="944"/>
      <c r="K429" s="945"/>
      <c r="L429" s="831">
        <f t="shared" ref="L429:N429" ca="1" si="189">L430+L431</f>
        <v>0</v>
      </c>
      <c r="M429" s="831">
        <f t="shared" si="189"/>
        <v>0</v>
      </c>
      <c r="N429" s="831">
        <f t="shared" si="189"/>
        <v>0</v>
      </c>
      <c r="O429" s="831">
        <f t="shared" ref="O429:O431" ca="1" si="190">IF(L429&gt;0,N429*100/L429,0)</f>
        <v>0</v>
      </c>
      <c r="P429" s="831">
        <f t="shared" ref="P429:P431" si="191">IF(M429&gt;0,N429*100/M429,0)</f>
        <v>0</v>
      </c>
      <c r="Q429" s="818"/>
      <c r="R429" s="818"/>
      <c r="S429" s="818"/>
      <c r="T429" s="818"/>
      <c r="U429" s="818"/>
      <c r="V429" s="818"/>
      <c r="W429" s="818"/>
      <c r="X429" s="818"/>
      <c r="Y429" s="818"/>
      <c r="Z429" s="818"/>
    </row>
    <row r="430" spans="1:26" ht="18.75" hidden="1">
      <c r="A430" s="940"/>
      <c r="B430" s="1052"/>
      <c r="C430" s="833"/>
      <c r="D430" s="833"/>
      <c r="E430" s="834" t="s">
        <v>18</v>
      </c>
      <c r="F430" s="833"/>
      <c r="G430" s="835"/>
      <c r="H430" s="165" t="s">
        <v>12</v>
      </c>
      <c r="I430" s="947"/>
      <c r="J430" s="947"/>
      <c r="K430" s="948"/>
      <c r="L430" s="837">
        <v>0</v>
      </c>
      <c r="M430" s="837">
        <v>0</v>
      </c>
      <c r="N430" s="837">
        <v>0</v>
      </c>
      <c r="O430" s="837">
        <f t="shared" si="190"/>
        <v>0</v>
      </c>
      <c r="P430" s="837">
        <f t="shared" si="191"/>
        <v>0</v>
      </c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</row>
    <row r="431" spans="1:26" ht="18.75" hidden="1">
      <c r="A431" s="940"/>
      <c r="B431" s="1052"/>
      <c r="C431" s="833"/>
      <c r="D431" s="833"/>
      <c r="E431" s="834" t="s">
        <v>19</v>
      </c>
      <c r="F431" s="833"/>
      <c r="G431" s="835"/>
      <c r="H431" s="169" t="s">
        <v>12</v>
      </c>
      <c r="I431" s="947"/>
      <c r="J431" s="947"/>
      <c r="K431" s="948"/>
      <c r="L431" s="837">
        <f ca="1">IFERROR(__xludf.DUMMYFUNCTION("IMPORTRANGE(""https://docs.google.com/spreadsheets/d/1QqKyyYR6Q21VydFLVH3TRQUabQu_ym0Zz7PgGX0-kHA/edit?usp=sharing"",""แผน!FB18"")"),0)</f>
        <v>0</v>
      </c>
      <c r="M431" s="837">
        <v>0</v>
      </c>
      <c r="N431" s="837">
        <v>0</v>
      </c>
      <c r="O431" s="837">
        <f t="shared" ca="1" si="190"/>
        <v>0</v>
      </c>
      <c r="P431" s="837">
        <f t="shared" si="191"/>
        <v>0</v>
      </c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</row>
    <row r="432" spans="1:26" ht="19.5">
      <c r="A432" s="1112"/>
      <c r="B432" s="1113"/>
      <c r="C432" s="933" t="s">
        <v>16</v>
      </c>
      <c r="D432" s="1245" t="s">
        <v>38</v>
      </c>
      <c r="E432" s="1246"/>
      <c r="F432" s="1246"/>
      <c r="G432" s="1247"/>
      <c r="H432" s="1248"/>
      <c r="I432" s="937"/>
      <c r="J432" s="937"/>
      <c r="K432" s="938"/>
      <c r="L432" s="938"/>
      <c r="M432" s="938"/>
      <c r="N432" s="938"/>
      <c r="O432" s="938"/>
      <c r="P432" s="938"/>
      <c r="Q432" s="818"/>
      <c r="R432" s="818"/>
      <c r="S432" s="818"/>
      <c r="T432" s="818"/>
      <c r="U432" s="818"/>
      <c r="V432" s="818"/>
      <c r="W432" s="818"/>
      <c r="X432" s="818"/>
      <c r="Y432" s="818"/>
      <c r="Z432" s="818"/>
    </row>
    <row r="433" spans="1:26" ht="19.5">
      <c r="A433" s="949"/>
      <c r="B433" s="950"/>
      <c r="C433" s="950"/>
      <c r="D433" s="960" t="s">
        <v>190</v>
      </c>
      <c r="E433" s="957"/>
      <c r="F433" s="957"/>
      <c r="G433" s="958"/>
      <c r="H433" s="196" t="s">
        <v>35</v>
      </c>
      <c r="I433" s="966">
        <f ca="1">I435</f>
        <v>70</v>
      </c>
      <c r="J433" s="966">
        <f ca="1">IF(AND(J435=I435,J437=I437,J439=I439),I437+I439,IF(AND(J435=I437,J437=I437),I437,IF(AND(J435=I439,J439=I439),I439,0)))</f>
        <v>70</v>
      </c>
      <c r="K433" s="967">
        <f t="shared" ref="K433:K435" ca="1" si="192">IF(I433&gt;0,J433*100/I433,0)</f>
        <v>100</v>
      </c>
      <c r="L433" s="831"/>
      <c r="M433" s="831"/>
      <c r="N433" s="831"/>
      <c r="O433" s="831"/>
      <c r="P433" s="831"/>
      <c r="Q433" s="818"/>
      <c r="R433" s="818"/>
      <c r="S433" s="818"/>
      <c r="T433" s="818"/>
      <c r="U433" s="818"/>
      <c r="V433" s="818"/>
      <c r="W433" s="818"/>
      <c r="X433" s="818"/>
      <c r="Y433" s="818"/>
      <c r="Z433" s="818"/>
    </row>
    <row r="434" spans="1:26" ht="19.5">
      <c r="A434" s="949"/>
      <c r="B434" s="950"/>
      <c r="C434" s="950"/>
      <c r="D434" s="960" t="s">
        <v>191</v>
      </c>
      <c r="E434" s="957"/>
      <c r="F434" s="957"/>
      <c r="G434" s="958"/>
      <c r="H434" s="196" t="s">
        <v>49</v>
      </c>
      <c r="I434" s="966">
        <f t="shared" ref="I434:J434" ca="1" si="193">I438+I440</f>
        <v>2</v>
      </c>
      <c r="J434" s="966">
        <f t="shared" si="193"/>
        <v>2</v>
      </c>
      <c r="K434" s="967">
        <f t="shared" ca="1" si="192"/>
        <v>100</v>
      </c>
      <c r="L434" s="831"/>
      <c r="M434" s="831"/>
      <c r="N434" s="831"/>
      <c r="O434" s="831"/>
      <c r="P434" s="831"/>
      <c r="Q434" s="818"/>
      <c r="R434" s="818"/>
      <c r="S434" s="818"/>
      <c r="T434" s="818"/>
      <c r="U434" s="818"/>
      <c r="V434" s="818"/>
      <c r="W434" s="818"/>
      <c r="X434" s="818"/>
      <c r="Y434" s="818"/>
      <c r="Z434" s="818"/>
    </row>
    <row r="435" spans="1:26" ht="18.75">
      <c r="A435" s="949"/>
      <c r="B435" s="950"/>
      <c r="C435" s="950"/>
      <c r="D435" s="956" t="s">
        <v>192</v>
      </c>
      <c r="E435" s="957"/>
      <c r="F435" s="957"/>
      <c r="G435" s="958"/>
      <c r="H435" s="590" t="s">
        <v>35</v>
      </c>
      <c r="I435" s="548">
        <f ca="1">IFERROR(__xludf.DUMMYFUNCTION("IMPORTRANGE(""https://docs.google.com/spreadsheets/d/1QqKyyYR6Q21VydFLVH3TRQUabQu_ym0Zz7PgGX0-kHA/edit?usp=sharing"",""แผน!FC18"")"),70)</f>
        <v>70</v>
      </c>
      <c r="J435" s="549">
        <v>70</v>
      </c>
      <c r="K435" s="831">
        <f t="shared" ca="1" si="192"/>
        <v>100</v>
      </c>
      <c r="L435" s="831"/>
      <c r="M435" s="831"/>
      <c r="N435" s="831"/>
      <c r="O435" s="831"/>
      <c r="P435" s="831"/>
      <c r="Q435" s="818"/>
      <c r="R435" s="818"/>
      <c r="S435" s="818"/>
      <c r="T435" s="818"/>
      <c r="U435" s="818"/>
      <c r="V435" s="818"/>
      <c r="W435" s="818"/>
      <c r="X435" s="818"/>
      <c r="Y435" s="818"/>
      <c r="Z435" s="818"/>
    </row>
    <row r="436" spans="1:26" ht="18.75">
      <c r="A436" s="949"/>
      <c r="B436" s="950"/>
      <c r="C436" s="950"/>
      <c r="D436" s="956" t="s">
        <v>193</v>
      </c>
      <c r="E436" s="957"/>
      <c r="F436" s="957"/>
      <c r="G436" s="958"/>
      <c r="H436" s="590"/>
      <c r="I436" s="830"/>
      <c r="J436" s="830"/>
      <c r="K436" s="831"/>
      <c r="L436" s="831"/>
      <c r="M436" s="831"/>
      <c r="N436" s="831"/>
      <c r="O436" s="831"/>
      <c r="P436" s="831"/>
      <c r="Q436" s="818"/>
      <c r="R436" s="818"/>
      <c r="S436" s="818"/>
      <c r="T436" s="818"/>
      <c r="U436" s="818"/>
      <c r="V436" s="818"/>
      <c r="W436" s="818"/>
      <c r="X436" s="818"/>
      <c r="Y436" s="818"/>
      <c r="Z436" s="818"/>
    </row>
    <row r="437" spans="1:26" ht="18.75">
      <c r="A437" s="949"/>
      <c r="B437" s="950"/>
      <c r="C437" s="950"/>
      <c r="D437" s="956" t="s">
        <v>194</v>
      </c>
      <c r="E437" s="957"/>
      <c r="F437" s="957"/>
      <c r="G437" s="958"/>
      <c r="H437" s="590" t="s">
        <v>35</v>
      </c>
      <c r="I437" s="548">
        <f ca="1">IFERROR(__xludf.DUMMYFUNCTION("IMPORTRANGE(""https://docs.google.com/spreadsheets/d/1QqKyyYR6Q21VydFLVH3TRQUabQu_ym0Zz7PgGX0-kHA/edit?usp=sharing"",""แผน!FD18"")"),50)</f>
        <v>50</v>
      </c>
      <c r="J437" s="549">
        <v>50</v>
      </c>
      <c r="K437" s="831">
        <f t="shared" ref="K437:K443" ca="1" si="194">IF(I437&gt;0,J437*100/I437,0)</f>
        <v>100</v>
      </c>
      <c r="L437" s="831"/>
      <c r="M437" s="831"/>
      <c r="N437" s="831"/>
      <c r="O437" s="831"/>
      <c r="P437" s="831"/>
      <c r="Q437" s="818"/>
      <c r="R437" s="818"/>
      <c r="S437" s="818"/>
      <c r="T437" s="818"/>
      <c r="U437" s="818"/>
      <c r="V437" s="818"/>
      <c r="W437" s="818"/>
      <c r="X437" s="818"/>
      <c r="Y437" s="818"/>
      <c r="Z437" s="818"/>
    </row>
    <row r="438" spans="1:26" ht="18.75">
      <c r="A438" s="949"/>
      <c r="B438" s="950"/>
      <c r="C438" s="950"/>
      <c r="D438" s="956" t="s">
        <v>195</v>
      </c>
      <c r="E438" s="957"/>
      <c r="F438" s="957"/>
      <c r="G438" s="958"/>
      <c r="H438" s="590" t="s">
        <v>49</v>
      </c>
      <c r="I438" s="830">
        <f ca="1">IFERROR(__xludf.DUMMYFUNCTION("IMPORTRANGE(""https://docs.google.com/spreadsheets/d/1QqKyyYR6Q21VydFLVH3TRQUabQu_ym0Zz7PgGX0-kHA/edit?usp=sharing"",""แผน!FE18"")"),1)</f>
        <v>1</v>
      </c>
      <c r="J438" s="959">
        <v>1</v>
      </c>
      <c r="K438" s="831">
        <f t="shared" ca="1" si="194"/>
        <v>100</v>
      </c>
      <c r="L438" s="831"/>
      <c r="M438" s="831"/>
      <c r="N438" s="831"/>
      <c r="O438" s="831"/>
      <c r="P438" s="831"/>
      <c r="Q438" s="818"/>
      <c r="R438" s="818"/>
      <c r="S438" s="818"/>
      <c r="T438" s="818"/>
      <c r="U438" s="818"/>
      <c r="V438" s="818"/>
      <c r="W438" s="818"/>
      <c r="X438" s="818"/>
      <c r="Y438" s="818"/>
      <c r="Z438" s="818"/>
    </row>
    <row r="439" spans="1:26" ht="18.75">
      <c r="A439" s="949"/>
      <c r="B439" s="950"/>
      <c r="C439" s="950"/>
      <c r="D439" s="956" t="s">
        <v>196</v>
      </c>
      <c r="E439" s="957"/>
      <c r="F439" s="957"/>
      <c r="G439" s="958"/>
      <c r="H439" s="590" t="s">
        <v>35</v>
      </c>
      <c r="I439" s="548">
        <f ca="1">IFERROR(__xludf.DUMMYFUNCTION("IMPORTRANGE(""https://docs.google.com/spreadsheets/d/1QqKyyYR6Q21VydFLVH3TRQUabQu_ym0Zz7PgGX0-kHA/edit?usp=sharing"",""แผน!FF18"")"),20)</f>
        <v>20</v>
      </c>
      <c r="J439" s="549">
        <v>20</v>
      </c>
      <c r="K439" s="831">
        <f t="shared" ca="1" si="194"/>
        <v>100</v>
      </c>
      <c r="L439" s="831"/>
      <c r="M439" s="831"/>
      <c r="N439" s="831"/>
      <c r="O439" s="831"/>
      <c r="P439" s="831"/>
      <c r="Q439" s="818"/>
      <c r="R439" s="818"/>
      <c r="S439" s="818"/>
      <c r="T439" s="818"/>
      <c r="U439" s="818"/>
      <c r="V439" s="818"/>
      <c r="W439" s="818"/>
      <c r="X439" s="818"/>
      <c r="Y439" s="818"/>
      <c r="Z439" s="818"/>
    </row>
    <row r="440" spans="1:26" ht="18.75">
      <c r="A440" s="949"/>
      <c r="B440" s="950"/>
      <c r="C440" s="950"/>
      <c r="D440" s="956" t="s">
        <v>197</v>
      </c>
      <c r="E440" s="957"/>
      <c r="F440" s="957"/>
      <c r="G440" s="958"/>
      <c r="H440" s="590" t="s">
        <v>49</v>
      </c>
      <c r="I440" s="830">
        <f ca="1">IFERROR(__xludf.DUMMYFUNCTION("IMPORTRANGE(""https://docs.google.com/spreadsheets/d/1QqKyyYR6Q21VydFLVH3TRQUabQu_ym0Zz7PgGX0-kHA/edit?usp=sharing"",""แผน!FG18"")"),1)</f>
        <v>1</v>
      </c>
      <c r="J440" s="959">
        <v>1</v>
      </c>
      <c r="K440" s="831">
        <f t="shared" ca="1" si="194"/>
        <v>100</v>
      </c>
      <c r="L440" s="831"/>
      <c r="M440" s="831"/>
      <c r="N440" s="831"/>
      <c r="O440" s="831"/>
      <c r="P440" s="831"/>
      <c r="Q440" s="818"/>
      <c r="R440" s="818"/>
      <c r="S440" s="818"/>
      <c r="T440" s="818"/>
      <c r="U440" s="818"/>
      <c r="V440" s="818"/>
      <c r="W440" s="818"/>
      <c r="X440" s="818"/>
      <c r="Y440" s="818"/>
      <c r="Z440" s="818"/>
    </row>
    <row r="441" spans="1:26" ht="18.75" hidden="1">
      <c r="A441" s="949"/>
      <c r="B441" s="950"/>
      <c r="C441" s="950"/>
      <c r="D441" s="956" t="s">
        <v>198</v>
      </c>
      <c r="E441" s="957"/>
      <c r="F441" s="957"/>
      <c r="G441" s="958"/>
      <c r="H441" s="590" t="s">
        <v>35</v>
      </c>
      <c r="I441" s="830">
        <f ca="1">IFERROR(__xludf.DUMMYFUNCTION("IMPORTRANGE(""https://docs.google.com/spreadsheets/d/1QqKyyYR6Q21VydFLVH3TRQUabQu_ym0Zz7PgGX0-kHA/edit?usp=sharing"",""แผน!FH18"")"),0)</f>
        <v>0</v>
      </c>
      <c r="J441" s="830">
        <v>0</v>
      </c>
      <c r="K441" s="831">
        <f t="shared" ca="1" si="194"/>
        <v>0</v>
      </c>
      <c r="L441" s="831"/>
      <c r="M441" s="831"/>
      <c r="N441" s="831"/>
      <c r="O441" s="831"/>
      <c r="P441" s="831"/>
      <c r="Q441" s="818"/>
      <c r="R441" s="818"/>
      <c r="S441" s="818"/>
      <c r="T441" s="818"/>
      <c r="U441" s="818"/>
      <c r="V441" s="818"/>
      <c r="W441" s="818"/>
      <c r="X441" s="818"/>
      <c r="Y441" s="818"/>
      <c r="Z441" s="818"/>
    </row>
    <row r="442" spans="1:26" ht="19.5">
      <c r="A442" s="550">
        <v>2</v>
      </c>
      <c r="B442" s="1249" t="s">
        <v>199</v>
      </c>
      <c r="C442" s="1250"/>
      <c r="D442" s="1250"/>
      <c r="E442" s="1250"/>
      <c r="F442" s="1250"/>
      <c r="G442" s="1251"/>
      <c r="H442" s="554" t="s">
        <v>35</v>
      </c>
      <c r="I442" s="1252">
        <f t="shared" ref="I442:J442" ca="1" si="195">I460</f>
        <v>40</v>
      </c>
      <c r="J442" s="1252">
        <f t="shared" si="195"/>
        <v>40</v>
      </c>
      <c r="K442" s="1253">
        <f t="shared" ca="1" si="194"/>
        <v>100</v>
      </c>
      <c r="L442" s="1254"/>
      <c r="M442" s="1254"/>
      <c r="N442" s="1254"/>
      <c r="O442" s="1254"/>
      <c r="P442" s="1254"/>
      <c r="Q442" s="1244"/>
      <c r="R442" s="1244"/>
      <c r="S442" s="1244"/>
      <c r="T442" s="1244"/>
      <c r="U442" s="1244"/>
      <c r="V442" s="1244"/>
      <c r="W442" s="1244"/>
      <c r="X442" s="1244"/>
      <c r="Y442" s="1244"/>
      <c r="Z442" s="1244"/>
    </row>
    <row r="443" spans="1:26" ht="19.5">
      <c r="A443" s="1255"/>
      <c r="B443" s="1256"/>
      <c r="C443" s="1257"/>
      <c r="D443" s="1257"/>
      <c r="E443" s="1257"/>
      <c r="F443" s="1257"/>
      <c r="G443" s="1258"/>
      <c r="H443" s="532" t="s">
        <v>46</v>
      </c>
      <c r="I443" s="1237">
        <f t="shared" ref="I443:J443" ca="1" si="196">I462</f>
        <v>80</v>
      </c>
      <c r="J443" s="1237">
        <f t="shared" si="196"/>
        <v>80</v>
      </c>
      <c r="K443" s="1238">
        <f t="shared" ca="1" si="194"/>
        <v>100</v>
      </c>
      <c r="L443" s="1239"/>
      <c r="M443" s="1239"/>
      <c r="N443" s="1239"/>
      <c r="O443" s="1239"/>
      <c r="P443" s="1239"/>
      <c r="Q443" s="1244"/>
      <c r="R443" s="1244"/>
      <c r="S443" s="1244"/>
      <c r="T443" s="1244"/>
      <c r="U443" s="1244"/>
      <c r="V443" s="1244"/>
      <c r="W443" s="1244"/>
      <c r="X443" s="1244"/>
      <c r="Y443" s="1244"/>
      <c r="Z443" s="1244"/>
    </row>
    <row r="444" spans="1:26" ht="19.5">
      <c r="A444" s="1259"/>
      <c r="B444" s="1243"/>
      <c r="C444" s="1243" t="s">
        <v>16</v>
      </c>
      <c r="D444" s="1507" t="s">
        <v>17</v>
      </c>
      <c r="E444" s="1485"/>
      <c r="F444" s="1485"/>
      <c r="G444" s="963"/>
      <c r="H444" s="563" t="s">
        <v>12</v>
      </c>
      <c r="I444" s="830"/>
      <c r="J444" s="830"/>
      <c r="K444" s="831"/>
      <c r="L444" s="967">
        <f t="shared" ref="L444:N444" ca="1" si="197">L445+L446</f>
        <v>355492</v>
      </c>
      <c r="M444" s="967">
        <f t="shared" si="197"/>
        <v>0</v>
      </c>
      <c r="N444" s="967">
        <f t="shared" si="197"/>
        <v>99780</v>
      </c>
      <c r="O444" s="967">
        <f t="shared" ref="O444:O449" ca="1" si="198">IF(L444&gt;0,N444*100/L444,0)</f>
        <v>28.06814218041475</v>
      </c>
      <c r="P444" s="967">
        <f t="shared" ref="P444:P449" si="199">IF(M444&gt;0,N444*100/M444,0)</f>
        <v>0</v>
      </c>
      <c r="Q444" s="1244"/>
      <c r="R444" s="1244"/>
      <c r="S444" s="1244"/>
      <c r="T444" s="1244"/>
      <c r="U444" s="1244"/>
      <c r="V444" s="1244"/>
      <c r="W444" s="1244"/>
      <c r="X444" s="1244"/>
      <c r="Y444" s="1244"/>
      <c r="Z444" s="1244"/>
    </row>
    <row r="445" spans="1:26" ht="18.75" hidden="1">
      <c r="A445" s="1260"/>
      <c r="B445" s="1261"/>
      <c r="C445" s="1261"/>
      <c r="D445" s="1262"/>
      <c r="E445" s="1261" t="s">
        <v>184</v>
      </c>
      <c r="F445" s="1261"/>
      <c r="G445" s="1263"/>
      <c r="H445" s="165" t="s">
        <v>12</v>
      </c>
      <c r="I445" s="836"/>
      <c r="J445" s="836"/>
      <c r="K445" s="837"/>
      <c r="L445" s="837">
        <f t="shared" ref="L445:N446" si="200">L448+L455</f>
        <v>0</v>
      </c>
      <c r="M445" s="837">
        <f t="shared" si="200"/>
        <v>0</v>
      </c>
      <c r="N445" s="837">
        <f t="shared" si="200"/>
        <v>0</v>
      </c>
      <c r="O445" s="837">
        <f t="shared" si="198"/>
        <v>0</v>
      </c>
      <c r="P445" s="837">
        <f t="shared" si="199"/>
        <v>0</v>
      </c>
      <c r="Q445" s="1264"/>
      <c r="R445" s="1264"/>
      <c r="S445" s="1264"/>
      <c r="T445" s="1264"/>
      <c r="U445" s="1264"/>
      <c r="V445" s="1264"/>
      <c r="W445" s="1264"/>
      <c r="X445" s="1264"/>
      <c r="Y445" s="1264"/>
      <c r="Z445" s="1264"/>
    </row>
    <row r="446" spans="1:26" ht="18.75" hidden="1">
      <c r="A446" s="1260"/>
      <c r="B446" s="1265"/>
      <c r="C446" s="1261"/>
      <c r="D446" s="1262"/>
      <c r="E446" s="1261" t="s">
        <v>185</v>
      </c>
      <c r="F446" s="1261"/>
      <c r="G446" s="1263"/>
      <c r="H446" s="165" t="s">
        <v>12</v>
      </c>
      <c r="I446" s="836"/>
      <c r="J446" s="836"/>
      <c r="K446" s="837"/>
      <c r="L446" s="837">
        <f t="shared" ca="1" si="200"/>
        <v>355492</v>
      </c>
      <c r="M446" s="837">
        <f t="shared" si="200"/>
        <v>0</v>
      </c>
      <c r="N446" s="837">
        <f t="shared" si="200"/>
        <v>99780</v>
      </c>
      <c r="O446" s="837">
        <f t="shared" ca="1" si="198"/>
        <v>28.06814218041475</v>
      </c>
      <c r="P446" s="837">
        <f t="shared" si="199"/>
        <v>0</v>
      </c>
      <c r="Q446" s="1264"/>
      <c r="R446" s="1264"/>
      <c r="S446" s="1264"/>
      <c r="T446" s="1264"/>
      <c r="U446" s="1264"/>
      <c r="V446" s="1264"/>
      <c r="W446" s="1264"/>
      <c r="X446" s="1264"/>
      <c r="Y446" s="1264"/>
      <c r="Z446" s="1264"/>
    </row>
    <row r="447" spans="1:26" ht="18.75">
      <c r="A447" s="1259"/>
      <c r="B447" s="1242"/>
      <c r="C447" s="1243"/>
      <c r="D447" s="1266" t="s">
        <v>20</v>
      </c>
      <c r="E447" s="1243"/>
      <c r="F447" s="1243"/>
      <c r="G447" s="963"/>
      <c r="H447" s="778" t="s">
        <v>12</v>
      </c>
      <c r="I447" s="944"/>
      <c r="J447" s="944"/>
      <c r="K447" s="945"/>
      <c r="L447" s="831">
        <f t="shared" ref="L447:N447" ca="1" si="201">L448+L449</f>
        <v>355492</v>
      </c>
      <c r="M447" s="831">
        <f t="shared" si="201"/>
        <v>0</v>
      </c>
      <c r="N447" s="831">
        <f t="shared" si="201"/>
        <v>99780</v>
      </c>
      <c r="O447" s="831">
        <f t="shared" ca="1" si="198"/>
        <v>28.06814218041475</v>
      </c>
      <c r="P447" s="831">
        <f t="shared" si="199"/>
        <v>0</v>
      </c>
      <c r="Q447" s="1244"/>
      <c r="R447" s="1244"/>
      <c r="S447" s="1244"/>
      <c r="T447" s="1244"/>
      <c r="U447" s="1244"/>
      <c r="V447" s="1244"/>
      <c r="W447" s="1244"/>
      <c r="X447" s="1244"/>
      <c r="Y447" s="1244"/>
      <c r="Z447" s="1244"/>
    </row>
    <row r="448" spans="1:26" ht="18.75" hidden="1">
      <c r="A448" s="1260"/>
      <c r="B448" s="1265"/>
      <c r="C448" s="1261"/>
      <c r="D448" s="1262"/>
      <c r="E448" s="1261" t="s">
        <v>184</v>
      </c>
      <c r="F448" s="1261"/>
      <c r="G448" s="1263"/>
      <c r="H448" s="165" t="s">
        <v>12</v>
      </c>
      <c r="I448" s="836"/>
      <c r="J448" s="836"/>
      <c r="K448" s="837"/>
      <c r="L448" s="837">
        <v>0</v>
      </c>
      <c r="M448" s="837">
        <v>0</v>
      </c>
      <c r="N448" s="837">
        <v>0</v>
      </c>
      <c r="O448" s="837">
        <f t="shared" si="198"/>
        <v>0</v>
      </c>
      <c r="P448" s="837">
        <f t="shared" si="199"/>
        <v>0</v>
      </c>
      <c r="Q448" s="1264"/>
      <c r="R448" s="1264"/>
      <c r="S448" s="1264"/>
      <c r="T448" s="1264"/>
      <c r="U448" s="1264"/>
      <c r="V448" s="1264"/>
      <c r="W448" s="1264"/>
      <c r="X448" s="1264"/>
      <c r="Y448" s="1264"/>
      <c r="Z448" s="1264"/>
    </row>
    <row r="449" spans="1:26" ht="18.75" hidden="1">
      <c r="A449" s="1260"/>
      <c r="B449" s="1265"/>
      <c r="C449" s="1261"/>
      <c r="D449" s="1262"/>
      <c r="E449" s="1261" t="s">
        <v>185</v>
      </c>
      <c r="F449" s="1261"/>
      <c r="G449" s="1263"/>
      <c r="H449" s="165" t="s">
        <v>12</v>
      </c>
      <c r="I449" s="836"/>
      <c r="J449" s="836"/>
      <c r="K449" s="837"/>
      <c r="L449" s="837">
        <f ca="1">IFERROR(__xludf.DUMMYFUNCTION("IMPORTRANGE(""https://docs.google.com/spreadsheets/d/1QqKyyYR6Q21VydFLVH3TRQUabQu_ym0Zz7PgGX0-kHA/edit?usp=sharing"",""แผน!FJ18"")"),355492)</f>
        <v>355492</v>
      </c>
      <c r="M449" s="837">
        <v>0</v>
      </c>
      <c r="N449" s="837">
        <f>N450+N451+N452+N453</f>
        <v>99780</v>
      </c>
      <c r="O449" s="837">
        <f t="shared" ca="1" si="198"/>
        <v>28.06814218041475</v>
      </c>
      <c r="P449" s="837">
        <f t="shared" si="199"/>
        <v>0</v>
      </c>
      <c r="Q449" s="1264"/>
      <c r="R449" s="1264"/>
      <c r="S449" s="1264"/>
      <c r="T449" s="1264"/>
      <c r="U449" s="1264"/>
      <c r="V449" s="1264"/>
      <c r="W449" s="1264"/>
      <c r="X449" s="1264"/>
      <c r="Y449" s="1264"/>
      <c r="Z449" s="1264"/>
    </row>
    <row r="450" spans="1:26" ht="18.75">
      <c r="A450" s="1241"/>
      <c r="B450" s="1242"/>
      <c r="C450" s="1243"/>
      <c r="D450" s="1243"/>
      <c r="E450" s="1243"/>
      <c r="F450" s="1243" t="s">
        <v>186</v>
      </c>
      <c r="G450" s="963"/>
      <c r="H450" s="778" t="s">
        <v>12</v>
      </c>
      <c r="I450" s="830"/>
      <c r="J450" s="830"/>
      <c r="K450" s="831"/>
      <c r="L450" s="831"/>
      <c r="M450" s="831"/>
      <c r="N450" s="1031">
        <v>45620</v>
      </c>
      <c r="O450" s="831"/>
      <c r="P450" s="831"/>
      <c r="Q450" s="1244"/>
      <c r="R450" s="1244"/>
      <c r="S450" s="1244"/>
      <c r="T450" s="1244"/>
      <c r="U450" s="1244"/>
      <c r="V450" s="1244"/>
      <c r="W450" s="1244"/>
      <c r="X450" s="1244"/>
      <c r="Y450" s="1244"/>
      <c r="Z450" s="1244"/>
    </row>
    <row r="451" spans="1:26" ht="18.75">
      <c r="A451" s="1241"/>
      <c r="B451" s="1242"/>
      <c r="C451" s="1243"/>
      <c r="D451" s="1243"/>
      <c r="E451" s="1243"/>
      <c r="F451" s="1243" t="s">
        <v>187</v>
      </c>
      <c r="G451" s="963"/>
      <c r="H451" s="778" t="s">
        <v>12</v>
      </c>
      <c r="I451" s="830"/>
      <c r="J451" s="830"/>
      <c r="K451" s="831"/>
      <c r="L451" s="831"/>
      <c r="M451" s="831"/>
      <c r="N451" s="1031">
        <v>0</v>
      </c>
      <c r="O451" s="831"/>
      <c r="P451" s="831"/>
      <c r="Q451" s="1244"/>
      <c r="R451" s="1244"/>
      <c r="S451" s="1244"/>
      <c r="T451" s="1244"/>
      <c r="U451" s="1244"/>
      <c r="V451" s="1244"/>
      <c r="W451" s="1244"/>
      <c r="X451" s="1244"/>
      <c r="Y451" s="1244"/>
      <c r="Z451" s="1244"/>
    </row>
    <row r="452" spans="1:26" ht="18.75">
      <c r="A452" s="1241"/>
      <c r="B452" s="1242"/>
      <c r="C452" s="1242"/>
      <c r="D452" s="1242"/>
      <c r="E452" s="1242"/>
      <c r="F452" s="1243" t="s">
        <v>188</v>
      </c>
      <c r="G452" s="963"/>
      <c r="H452" s="778" t="s">
        <v>12</v>
      </c>
      <c r="I452" s="830"/>
      <c r="J452" s="830"/>
      <c r="K452" s="831"/>
      <c r="L452" s="831"/>
      <c r="M452" s="831"/>
      <c r="N452" s="1031">
        <v>39000</v>
      </c>
      <c r="O452" s="831"/>
      <c r="P452" s="831"/>
      <c r="Q452" s="1244"/>
      <c r="R452" s="1244"/>
      <c r="S452" s="1244"/>
      <c r="T452" s="1244"/>
      <c r="U452" s="1244"/>
      <c r="V452" s="1244"/>
      <c r="W452" s="1244"/>
      <c r="X452" s="1244"/>
      <c r="Y452" s="1244"/>
      <c r="Z452" s="1244"/>
    </row>
    <row r="453" spans="1:26" ht="18.75">
      <c r="A453" s="1241"/>
      <c r="B453" s="1242"/>
      <c r="C453" s="1242"/>
      <c r="D453" s="1242"/>
      <c r="E453" s="1242"/>
      <c r="F453" s="1243" t="s">
        <v>189</v>
      </c>
      <c r="G453" s="963"/>
      <c r="H453" s="778" t="s">
        <v>12</v>
      </c>
      <c r="I453" s="830"/>
      <c r="J453" s="830"/>
      <c r="K453" s="831"/>
      <c r="L453" s="831"/>
      <c r="M453" s="831"/>
      <c r="N453" s="1031">
        <f>15160</f>
        <v>15160</v>
      </c>
      <c r="O453" s="831"/>
      <c r="P453" s="831"/>
      <c r="Q453" s="1244"/>
      <c r="R453" s="1244"/>
      <c r="S453" s="1244"/>
      <c r="T453" s="1244"/>
      <c r="U453" s="1244"/>
      <c r="V453" s="1244"/>
      <c r="W453" s="1244"/>
      <c r="X453" s="1244"/>
      <c r="Y453" s="1244"/>
      <c r="Z453" s="1244"/>
    </row>
    <row r="454" spans="1:26" ht="18.75">
      <c r="A454" s="1259"/>
      <c r="B454" s="1242"/>
      <c r="C454" s="1242"/>
      <c r="D454" s="1266" t="s">
        <v>21</v>
      </c>
      <c r="E454" s="1242"/>
      <c r="F454" s="1243"/>
      <c r="G454" s="963"/>
      <c r="H454" s="168" t="s">
        <v>12</v>
      </c>
      <c r="I454" s="944"/>
      <c r="J454" s="944"/>
      <c r="K454" s="945"/>
      <c r="L454" s="831">
        <f t="shared" ref="L454:N454" ca="1" si="202">L455+L456</f>
        <v>0</v>
      </c>
      <c r="M454" s="831">
        <f t="shared" si="202"/>
        <v>0</v>
      </c>
      <c r="N454" s="831">
        <f t="shared" si="202"/>
        <v>0</v>
      </c>
      <c r="O454" s="831">
        <f t="shared" ref="O454:O456" ca="1" si="203">IF(L454&gt;0,N454*100/L454,0)</f>
        <v>0</v>
      </c>
      <c r="P454" s="831">
        <f t="shared" ref="P454:P456" si="204">IF(M454&gt;0,N454*100/M454,0)</f>
        <v>0</v>
      </c>
      <c r="Q454" s="1244"/>
      <c r="R454" s="1244"/>
      <c r="S454" s="1244"/>
      <c r="T454" s="1244"/>
      <c r="U454" s="1244"/>
      <c r="V454" s="1244"/>
      <c r="W454" s="1244"/>
      <c r="X454" s="1244"/>
      <c r="Y454" s="1244"/>
      <c r="Z454" s="1244"/>
    </row>
    <row r="455" spans="1:26" ht="18.75" hidden="1">
      <c r="A455" s="1260"/>
      <c r="B455" s="1265"/>
      <c r="C455" s="1265"/>
      <c r="D455" s="1265"/>
      <c r="E455" s="1265" t="s">
        <v>18</v>
      </c>
      <c r="F455" s="1261"/>
      <c r="G455" s="1263"/>
      <c r="H455" s="165" t="s">
        <v>12</v>
      </c>
      <c r="I455" s="947"/>
      <c r="J455" s="947"/>
      <c r="K455" s="948"/>
      <c r="L455" s="837">
        <v>0</v>
      </c>
      <c r="M455" s="837">
        <v>0</v>
      </c>
      <c r="N455" s="837">
        <v>0</v>
      </c>
      <c r="O455" s="837">
        <f t="shared" si="203"/>
        <v>0</v>
      </c>
      <c r="P455" s="837">
        <f t="shared" si="204"/>
        <v>0</v>
      </c>
      <c r="Q455" s="1264"/>
      <c r="R455" s="1264"/>
      <c r="S455" s="1264"/>
      <c r="T455" s="1264"/>
      <c r="U455" s="1264"/>
      <c r="V455" s="1264"/>
      <c r="W455" s="1264"/>
      <c r="X455" s="1264"/>
      <c r="Y455" s="1264"/>
      <c r="Z455" s="1264"/>
    </row>
    <row r="456" spans="1:26" ht="18.75" hidden="1">
      <c r="A456" s="1260"/>
      <c r="B456" s="1265"/>
      <c r="C456" s="1265"/>
      <c r="D456" s="1265"/>
      <c r="E456" s="1265" t="s">
        <v>19</v>
      </c>
      <c r="F456" s="1261"/>
      <c r="G456" s="1263"/>
      <c r="H456" s="169" t="s">
        <v>12</v>
      </c>
      <c r="I456" s="947"/>
      <c r="J456" s="947"/>
      <c r="K456" s="948"/>
      <c r="L456" s="837">
        <f ca="1">IFERROR(__xludf.DUMMYFUNCTION("IMPORTRANGE(""https://docs.google.com/spreadsheets/d/1QqKyyYR6Q21VydFLVH3TRQUabQu_ym0Zz7PgGX0-kHA/edit?usp=sharing"",""แผน!FM18"")"),0)</f>
        <v>0</v>
      </c>
      <c r="M456" s="837">
        <v>0</v>
      </c>
      <c r="N456" s="837">
        <v>0</v>
      </c>
      <c r="O456" s="837">
        <f t="shared" ca="1" si="203"/>
        <v>0</v>
      </c>
      <c r="P456" s="837">
        <f t="shared" si="204"/>
        <v>0</v>
      </c>
      <c r="Q456" s="1264"/>
      <c r="R456" s="1264"/>
      <c r="S456" s="1264"/>
      <c r="T456" s="1264"/>
      <c r="U456" s="1264"/>
      <c r="V456" s="1264"/>
      <c r="W456" s="1264"/>
      <c r="X456" s="1264"/>
      <c r="Y456" s="1264"/>
      <c r="Z456" s="1264"/>
    </row>
    <row r="457" spans="1:26" ht="19.5">
      <c r="A457" s="1267"/>
      <c r="B457" s="1268"/>
      <c r="C457" s="1242" t="s">
        <v>16</v>
      </c>
      <c r="D457" s="1269" t="s">
        <v>38</v>
      </c>
      <c r="E457" s="1270"/>
      <c r="F457" s="1271"/>
      <c r="G457" s="1272"/>
      <c r="H457" s="954"/>
      <c r="I457" s="830"/>
      <c r="J457" s="830"/>
      <c r="K457" s="831"/>
      <c r="L457" s="831"/>
      <c r="M457" s="831"/>
      <c r="N457" s="831"/>
      <c r="O457" s="831"/>
      <c r="P457" s="831"/>
      <c r="Q457" s="1244"/>
      <c r="R457" s="1244"/>
      <c r="S457" s="1244"/>
      <c r="T457" s="1244"/>
      <c r="U457" s="1244"/>
      <c r="V457" s="1244"/>
      <c r="W457" s="1244"/>
      <c r="X457" s="1244"/>
      <c r="Y457" s="1244"/>
      <c r="Z457" s="1244"/>
    </row>
    <row r="458" spans="1:26" ht="18.75" hidden="1">
      <c r="A458" s="1273"/>
      <c r="B458" s="1274"/>
      <c r="C458" s="1274"/>
      <c r="D458" s="1274" t="s">
        <v>200</v>
      </c>
      <c r="E458" s="1274"/>
      <c r="F458" s="1262"/>
      <c r="G458" s="1060"/>
      <c r="H458" s="583" t="s">
        <v>35</v>
      </c>
      <c r="I458" s="836">
        <v>0</v>
      </c>
      <c r="J458" s="836">
        <v>0</v>
      </c>
      <c r="K458" s="837">
        <f>IF(I458&gt;0,J458*100/I458,0)</f>
        <v>0</v>
      </c>
      <c r="L458" s="837"/>
      <c r="M458" s="837"/>
      <c r="N458" s="837"/>
      <c r="O458" s="837"/>
      <c r="P458" s="837"/>
      <c r="Q458" s="1264"/>
      <c r="R458" s="1264"/>
      <c r="S458" s="1264"/>
      <c r="T458" s="1264"/>
      <c r="U458" s="1264"/>
      <c r="V458" s="1264"/>
      <c r="W458" s="1264"/>
      <c r="X458" s="1264"/>
      <c r="Y458" s="1264"/>
      <c r="Z458" s="1264"/>
    </row>
    <row r="459" spans="1:26" ht="18.75" hidden="1">
      <c r="A459" s="1273"/>
      <c r="B459" s="1274"/>
      <c r="C459" s="1274"/>
      <c r="D459" s="1274" t="s">
        <v>201</v>
      </c>
      <c r="E459" s="1274"/>
      <c r="F459" s="1262"/>
      <c r="G459" s="1060"/>
      <c r="H459" s="583"/>
      <c r="I459" s="836"/>
      <c r="J459" s="836"/>
      <c r="K459" s="837"/>
      <c r="L459" s="837"/>
      <c r="M459" s="837"/>
      <c r="N459" s="837"/>
      <c r="O459" s="837"/>
      <c r="P459" s="837"/>
      <c r="Q459" s="1264"/>
      <c r="R459" s="1264"/>
      <c r="S459" s="1264"/>
      <c r="T459" s="1264"/>
      <c r="U459" s="1264"/>
      <c r="V459" s="1264"/>
      <c r="W459" s="1264"/>
      <c r="X459" s="1264"/>
      <c r="Y459" s="1264"/>
      <c r="Z459" s="1264"/>
    </row>
    <row r="460" spans="1:26" ht="18.75">
      <c r="A460" s="1267"/>
      <c r="B460" s="1268"/>
      <c r="C460" s="1268"/>
      <c r="D460" s="1268" t="s">
        <v>202</v>
      </c>
      <c r="E460" s="1268"/>
      <c r="F460" s="961"/>
      <c r="G460" s="954"/>
      <c r="H460" s="730" t="s">
        <v>35</v>
      </c>
      <c r="I460" s="830">
        <f ca="1">IFERROR(__xludf.DUMMYFUNCTION("IMPORTRANGE(""https://docs.google.com/spreadsheets/d/1QqKyyYR6Q21VydFLVH3TRQUabQu_ym0Zz7PgGX0-kHA/edit?usp=sharing"",""แผน!FN18"")"),40)</f>
        <v>40</v>
      </c>
      <c r="J460" s="959">
        <v>40</v>
      </c>
      <c r="K460" s="831">
        <f ca="1">IF(I460&gt;0,J460*100/I460,0)</f>
        <v>100</v>
      </c>
      <c r="L460" s="831"/>
      <c r="M460" s="831"/>
      <c r="N460" s="831"/>
      <c r="O460" s="831"/>
      <c r="P460" s="831"/>
      <c r="Q460" s="1244"/>
      <c r="R460" s="1244"/>
      <c r="S460" s="1244"/>
      <c r="T460" s="1244"/>
      <c r="U460" s="1244"/>
      <c r="V460" s="1244"/>
      <c r="W460" s="1244"/>
      <c r="X460" s="1244"/>
      <c r="Y460" s="1244"/>
      <c r="Z460" s="1244"/>
    </row>
    <row r="461" spans="1:26" ht="18.75">
      <c r="A461" s="1267"/>
      <c r="B461" s="1268"/>
      <c r="C461" s="1268"/>
      <c r="D461" s="1268" t="s">
        <v>203</v>
      </c>
      <c r="E461" s="961"/>
      <c r="F461" s="961"/>
      <c r="G461" s="954"/>
      <c r="H461" s="730"/>
      <c r="I461" s="830"/>
      <c r="J461" s="830"/>
      <c r="K461" s="831"/>
      <c r="L461" s="831"/>
      <c r="M461" s="831"/>
      <c r="N461" s="831"/>
      <c r="O461" s="831"/>
      <c r="P461" s="831"/>
      <c r="Q461" s="1244"/>
      <c r="R461" s="1244"/>
      <c r="S461" s="1244"/>
      <c r="T461" s="1244"/>
      <c r="U461" s="1244"/>
      <c r="V461" s="1244"/>
      <c r="W461" s="1244"/>
      <c r="X461" s="1244"/>
      <c r="Y461" s="1244"/>
      <c r="Z461" s="1244"/>
    </row>
    <row r="462" spans="1:26" ht="18.75">
      <c r="A462" s="1267"/>
      <c r="B462" s="1268"/>
      <c r="C462" s="1268"/>
      <c r="D462" s="1268" t="s">
        <v>204</v>
      </c>
      <c r="E462" s="961"/>
      <c r="F462" s="961"/>
      <c r="G462" s="954"/>
      <c r="H462" s="730" t="s">
        <v>46</v>
      </c>
      <c r="I462" s="830">
        <f ca="1">IFERROR(__xludf.DUMMYFUNCTION("IMPORTRANGE(""https://docs.google.com/spreadsheets/d/1QqKyyYR6Q21VydFLVH3TRQUabQu_ym0Zz7PgGX0-kHA/edit?usp=sharing"",""แผน!FO18"")"),80)</f>
        <v>80</v>
      </c>
      <c r="J462" s="959">
        <v>80</v>
      </c>
      <c r="K462" s="831">
        <f ca="1">IF(I462&gt;0,J462*100/I462,0)</f>
        <v>100</v>
      </c>
      <c r="L462" s="831"/>
      <c r="M462" s="831"/>
      <c r="N462" s="831"/>
      <c r="O462" s="831"/>
      <c r="P462" s="831"/>
      <c r="Q462" s="1244"/>
      <c r="R462" s="1244"/>
      <c r="S462" s="1244"/>
      <c r="T462" s="1244"/>
      <c r="U462" s="1244"/>
      <c r="V462" s="1244"/>
      <c r="W462" s="1244"/>
      <c r="X462" s="1244"/>
      <c r="Y462" s="1244"/>
      <c r="Z462" s="1244"/>
    </row>
    <row r="463" spans="1:26" ht="18.75">
      <c r="A463" s="1267"/>
      <c r="B463" s="1268"/>
      <c r="C463" s="1268"/>
      <c r="D463" s="1268" t="s">
        <v>59</v>
      </c>
      <c r="E463" s="961"/>
      <c r="F463" s="1243"/>
      <c r="G463" s="963"/>
      <c r="H463" s="730" t="s">
        <v>46</v>
      </c>
      <c r="I463" s="830">
        <f ca="1">IFERROR(__xludf.DUMMYFUNCTION("IMPORTRANGE(""https://docs.google.com/spreadsheets/d/1QqKyyYR6Q21VydFLVH3TRQUabQu_ym0Zz7PgGX0-kHA/edit?usp=sharing"",""แผน!FO18"")"),80)</f>
        <v>80</v>
      </c>
      <c r="J463" s="959">
        <v>0</v>
      </c>
      <c r="K463" s="831"/>
      <c r="L463" s="831"/>
      <c r="M463" s="831"/>
      <c r="N463" s="831"/>
      <c r="O463" s="831"/>
      <c r="P463" s="831"/>
      <c r="Q463" s="1244"/>
      <c r="R463" s="1244"/>
      <c r="S463" s="1244"/>
      <c r="T463" s="1244"/>
      <c r="U463" s="1244"/>
      <c r="V463" s="1244"/>
      <c r="W463" s="1244"/>
      <c r="X463" s="1244"/>
      <c r="Y463" s="1244"/>
      <c r="Z463" s="1244"/>
    </row>
    <row r="464" spans="1:26" ht="19.5">
      <c r="A464" s="1267"/>
      <c r="B464" s="1268"/>
      <c r="C464" s="1268"/>
      <c r="D464" s="1268"/>
      <c r="E464" s="961"/>
      <c r="F464" s="961"/>
      <c r="G464" s="1275"/>
      <c r="H464" s="730" t="s">
        <v>35</v>
      </c>
      <c r="I464" s="830">
        <f ca="1">IFERROR(__xludf.DUMMYFUNCTION("IMPORTRANGE(""https://docs.google.com/spreadsheets/d/1QqKyyYR6Q21VydFLVH3TRQUabQu_ym0Zz7PgGX0-kHA/edit?usp=sharing"",""แผน!FN18"")"),40)</f>
        <v>40</v>
      </c>
      <c r="J464" s="959">
        <v>0</v>
      </c>
      <c r="K464" s="831"/>
      <c r="L464" s="831"/>
      <c r="M464" s="831"/>
      <c r="N464" s="831"/>
      <c r="O464" s="831"/>
      <c r="P464" s="831"/>
      <c r="Q464" s="1244"/>
      <c r="R464" s="1244"/>
      <c r="S464" s="1244"/>
      <c r="T464" s="1244"/>
      <c r="U464" s="1244"/>
      <c r="V464" s="1244"/>
      <c r="W464" s="1244"/>
      <c r="X464" s="1244"/>
      <c r="Y464" s="1244"/>
      <c r="Z464" s="1244"/>
    </row>
    <row r="465" spans="1:26" ht="19.5">
      <c r="A465" s="550">
        <v>3</v>
      </c>
      <c r="B465" s="1249" t="s">
        <v>205</v>
      </c>
      <c r="C465" s="1250"/>
      <c r="D465" s="1250"/>
      <c r="E465" s="1250"/>
      <c r="F465" s="1250"/>
      <c r="G465" s="1251"/>
      <c r="H465" s="554" t="s">
        <v>35</v>
      </c>
      <c r="I465" s="1252">
        <f ca="1">IFERROR(__xludf.DUMMYFUNCTION("IMPORTRANGE(""https://docs.google.com/spreadsheets/d/1QqKyyYR6Q21VydFLVH3TRQUabQu_ym0Zz7PgGX0-kHA/edit?usp=sharing"",""แผน!FX18"")"),131)</f>
        <v>131</v>
      </c>
      <c r="J465" s="1252">
        <f>J485+J489+J492</f>
        <v>131</v>
      </c>
      <c r="K465" s="1253">
        <f t="shared" ref="K465:K466" ca="1" si="205">IF(I465&gt;0,J465*100/I465,0)</f>
        <v>100</v>
      </c>
      <c r="L465" s="1254"/>
      <c r="M465" s="1254"/>
      <c r="N465" s="1254"/>
      <c r="O465" s="1254"/>
      <c r="P465" s="1254"/>
      <c r="Q465" s="1244"/>
      <c r="R465" s="1244"/>
      <c r="S465" s="1244"/>
      <c r="T465" s="1244"/>
      <c r="U465" s="1244"/>
      <c r="V465" s="1244"/>
      <c r="W465" s="1244"/>
      <c r="X465" s="1244"/>
      <c r="Y465" s="1244"/>
      <c r="Z465" s="1244"/>
    </row>
    <row r="466" spans="1:26" ht="19.5">
      <c r="A466" s="1255"/>
      <c r="B466" s="1256"/>
      <c r="C466" s="1257"/>
      <c r="D466" s="1257"/>
      <c r="E466" s="1257"/>
      <c r="F466" s="1257"/>
      <c r="G466" s="1258"/>
      <c r="H466" s="532" t="s">
        <v>46</v>
      </c>
      <c r="I466" s="1237">
        <f ca="1">IFERROR(__xludf.DUMMYFUNCTION("IMPORTRANGE(""https://docs.google.com/spreadsheets/d/1QqKyyYR6Q21VydFLVH3TRQUabQu_ym0Zz7PgGX0-kHA/edit?usp=sharing"",""แผน!FW18"")"),1300)</f>
        <v>1300</v>
      </c>
      <c r="J466" s="1237">
        <f>J495+J498</f>
        <v>0</v>
      </c>
      <c r="K466" s="1238">
        <f t="shared" ca="1" si="205"/>
        <v>0</v>
      </c>
      <c r="L466" s="1239"/>
      <c r="M466" s="1239"/>
      <c r="N466" s="1239"/>
      <c r="O466" s="1239"/>
      <c r="P466" s="1239"/>
      <c r="Q466" s="1244"/>
      <c r="R466" s="1244"/>
      <c r="S466" s="1244"/>
      <c r="T466" s="1244"/>
      <c r="U466" s="1244"/>
      <c r="V466" s="1244"/>
      <c r="W466" s="1244"/>
      <c r="X466" s="1244"/>
      <c r="Y466" s="1244"/>
      <c r="Z466" s="1244"/>
    </row>
    <row r="467" spans="1:26" ht="19.5">
      <c r="A467" s="1259"/>
      <c r="B467" s="1243"/>
      <c r="C467" s="1243" t="s">
        <v>16</v>
      </c>
      <c r="D467" s="1507" t="s">
        <v>17</v>
      </c>
      <c r="E467" s="1485"/>
      <c r="F467" s="1485"/>
      <c r="G467" s="963"/>
      <c r="H467" s="563" t="s">
        <v>12</v>
      </c>
      <c r="I467" s="830"/>
      <c r="J467" s="830"/>
      <c r="K467" s="831"/>
      <c r="L467" s="967">
        <f t="shared" ref="L467:N467" ca="1" si="206">L468+L469</f>
        <v>1167118</v>
      </c>
      <c r="M467" s="967">
        <f t="shared" si="206"/>
        <v>0</v>
      </c>
      <c r="N467" s="967">
        <f t="shared" si="206"/>
        <v>130529</v>
      </c>
      <c r="O467" s="967">
        <f t="shared" ref="O467:O472" ca="1" si="207">IF(L467&gt;0,N467*100/L467,0)</f>
        <v>11.183873438675437</v>
      </c>
      <c r="P467" s="967">
        <f t="shared" ref="P467:P472" si="208">IF(M467&gt;0,N467*100/M467,0)</f>
        <v>0</v>
      </c>
      <c r="Q467" s="1244"/>
      <c r="R467" s="1244"/>
      <c r="S467" s="1244"/>
      <c r="T467" s="1244"/>
      <c r="U467" s="1244"/>
      <c r="V467" s="1244"/>
      <c r="W467" s="1244"/>
      <c r="X467" s="1244"/>
      <c r="Y467" s="1244"/>
      <c r="Z467" s="1244"/>
    </row>
    <row r="468" spans="1:26" ht="18.75" hidden="1">
      <c r="A468" s="1260"/>
      <c r="B468" s="1261"/>
      <c r="C468" s="1261"/>
      <c r="D468" s="1262"/>
      <c r="E468" s="1261" t="s">
        <v>184</v>
      </c>
      <c r="F468" s="1261"/>
      <c r="G468" s="1263"/>
      <c r="H468" s="165" t="s">
        <v>12</v>
      </c>
      <c r="I468" s="836"/>
      <c r="J468" s="836"/>
      <c r="K468" s="837"/>
      <c r="L468" s="837">
        <f t="shared" ref="L468:N469" si="209">L471+L478</f>
        <v>0</v>
      </c>
      <c r="M468" s="837">
        <f t="shared" si="209"/>
        <v>0</v>
      </c>
      <c r="N468" s="837">
        <f t="shared" si="209"/>
        <v>0</v>
      </c>
      <c r="O468" s="837">
        <f t="shared" si="207"/>
        <v>0</v>
      </c>
      <c r="P468" s="837">
        <f t="shared" si="208"/>
        <v>0</v>
      </c>
      <c r="Q468" s="1264"/>
      <c r="R468" s="1264"/>
      <c r="S468" s="1264"/>
      <c r="T468" s="1264"/>
      <c r="U468" s="1264"/>
      <c r="V468" s="1264"/>
      <c r="W468" s="1264"/>
      <c r="X468" s="1264"/>
      <c r="Y468" s="1264"/>
      <c r="Z468" s="1264"/>
    </row>
    <row r="469" spans="1:26" ht="18.75" hidden="1">
      <c r="A469" s="1260"/>
      <c r="B469" s="1265"/>
      <c r="C469" s="1261"/>
      <c r="D469" s="1262"/>
      <c r="E469" s="1261" t="s">
        <v>185</v>
      </c>
      <c r="F469" s="1261"/>
      <c r="G469" s="1263"/>
      <c r="H469" s="165" t="s">
        <v>12</v>
      </c>
      <c r="I469" s="836"/>
      <c r="J469" s="836"/>
      <c r="K469" s="837"/>
      <c r="L469" s="837">
        <f t="shared" ca="1" si="209"/>
        <v>1167118</v>
      </c>
      <c r="M469" s="837">
        <f t="shared" si="209"/>
        <v>0</v>
      </c>
      <c r="N469" s="837">
        <f t="shared" si="209"/>
        <v>130529</v>
      </c>
      <c r="O469" s="837">
        <f t="shared" ca="1" si="207"/>
        <v>11.183873438675437</v>
      </c>
      <c r="P469" s="837">
        <f t="shared" si="208"/>
        <v>0</v>
      </c>
      <c r="Q469" s="1264"/>
      <c r="R469" s="1264"/>
      <c r="S469" s="1264"/>
      <c r="T469" s="1264"/>
      <c r="U469" s="1264"/>
      <c r="V469" s="1264"/>
      <c r="W469" s="1264"/>
      <c r="X469" s="1264"/>
      <c r="Y469" s="1264"/>
      <c r="Z469" s="1264"/>
    </row>
    <row r="470" spans="1:26" ht="18.75">
      <c r="A470" s="1259"/>
      <c r="B470" s="1242"/>
      <c r="C470" s="1243"/>
      <c r="D470" s="1266" t="s">
        <v>20</v>
      </c>
      <c r="E470" s="1243"/>
      <c r="F470" s="1243"/>
      <c r="G470" s="963"/>
      <c r="H470" s="778" t="s">
        <v>12</v>
      </c>
      <c r="I470" s="944"/>
      <c r="J470" s="944"/>
      <c r="K470" s="945"/>
      <c r="L470" s="831">
        <f t="shared" ref="L470:N470" ca="1" si="210">L471+L472</f>
        <v>1167118</v>
      </c>
      <c r="M470" s="831">
        <f t="shared" si="210"/>
        <v>0</v>
      </c>
      <c r="N470" s="831">
        <f t="shared" si="210"/>
        <v>130529</v>
      </c>
      <c r="O470" s="831">
        <f t="shared" ca="1" si="207"/>
        <v>11.183873438675437</v>
      </c>
      <c r="P470" s="831">
        <f t="shared" si="208"/>
        <v>0</v>
      </c>
      <c r="Q470" s="1244"/>
      <c r="R470" s="1244"/>
      <c r="S470" s="1244"/>
      <c r="T470" s="1244"/>
      <c r="U470" s="1244"/>
      <c r="V470" s="1244"/>
      <c r="W470" s="1244"/>
      <c r="X470" s="1244"/>
      <c r="Y470" s="1244"/>
      <c r="Z470" s="1244"/>
    </row>
    <row r="471" spans="1:26" ht="18.75" hidden="1">
      <c r="A471" s="1260"/>
      <c r="B471" s="1265"/>
      <c r="C471" s="1261"/>
      <c r="D471" s="1262"/>
      <c r="E471" s="1261" t="s">
        <v>184</v>
      </c>
      <c r="F471" s="1261"/>
      <c r="G471" s="1263"/>
      <c r="H471" s="165" t="s">
        <v>12</v>
      </c>
      <c r="I471" s="836"/>
      <c r="J471" s="836"/>
      <c r="K471" s="837"/>
      <c r="L471" s="837">
        <v>0</v>
      </c>
      <c r="M471" s="837">
        <v>0</v>
      </c>
      <c r="N471" s="837">
        <v>0</v>
      </c>
      <c r="O471" s="837">
        <f t="shared" si="207"/>
        <v>0</v>
      </c>
      <c r="P471" s="837">
        <f t="shared" si="208"/>
        <v>0</v>
      </c>
      <c r="Q471" s="1264"/>
      <c r="R471" s="1264"/>
      <c r="S471" s="1264"/>
      <c r="T471" s="1264"/>
      <c r="U471" s="1264"/>
      <c r="V471" s="1264"/>
      <c r="W471" s="1264"/>
      <c r="X471" s="1264"/>
      <c r="Y471" s="1264"/>
      <c r="Z471" s="1264"/>
    </row>
    <row r="472" spans="1:26" ht="18.75" hidden="1">
      <c r="A472" s="1260"/>
      <c r="B472" s="1265"/>
      <c r="C472" s="1261"/>
      <c r="D472" s="1262"/>
      <c r="E472" s="1261" t="s">
        <v>185</v>
      </c>
      <c r="F472" s="1261"/>
      <c r="G472" s="1263"/>
      <c r="H472" s="165" t="s">
        <v>12</v>
      </c>
      <c r="I472" s="836"/>
      <c r="J472" s="836"/>
      <c r="K472" s="837"/>
      <c r="L472" s="837">
        <f ca="1">IFERROR(__xludf.DUMMYFUNCTION("IMPORTRANGE(""https://docs.google.com/spreadsheets/d/1QqKyyYR6Q21VydFLVH3TRQUabQu_ym0Zz7PgGX0-kHA/edit?usp=sharing"",""แผน!FS18"")"),1167118)</f>
        <v>1167118</v>
      </c>
      <c r="M472" s="837">
        <v>0</v>
      </c>
      <c r="N472" s="837">
        <f>N473+N474+N475+N476</f>
        <v>130529</v>
      </c>
      <c r="O472" s="837">
        <f t="shared" ca="1" si="207"/>
        <v>11.183873438675437</v>
      </c>
      <c r="P472" s="837">
        <f t="shared" si="208"/>
        <v>0</v>
      </c>
      <c r="Q472" s="1264"/>
      <c r="R472" s="1264"/>
      <c r="S472" s="1264"/>
      <c r="T472" s="1264"/>
      <c r="U472" s="1264"/>
      <c r="V472" s="1264"/>
      <c r="W472" s="1264"/>
      <c r="X472" s="1264"/>
      <c r="Y472" s="1264"/>
      <c r="Z472" s="1264"/>
    </row>
    <row r="473" spans="1:26" ht="18.75">
      <c r="A473" s="1241"/>
      <c r="B473" s="1242"/>
      <c r="C473" s="1243"/>
      <c r="D473" s="1243"/>
      <c r="E473" s="1243"/>
      <c r="F473" s="1243" t="s">
        <v>186</v>
      </c>
      <c r="G473" s="963"/>
      <c r="H473" s="778" t="s">
        <v>12</v>
      </c>
      <c r="I473" s="830"/>
      <c r="J473" s="830"/>
      <c r="K473" s="831"/>
      <c r="L473" s="831"/>
      <c r="M473" s="831"/>
      <c r="N473" s="1031">
        <v>75210</v>
      </c>
      <c r="O473" s="831"/>
      <c r="P473" s="831"/>
      <c r="Q473" s="1244"/>
      <c r="R473" s="1244"/>
      <c r="S473" s="1244"/>
      <c r="T473" s="1244"/>
      <c r="U473" s="1244"/>
      <c r="V473" s="1244"/>
      <c r="W473" s="1244"/>
      <c r="X473" s="1244"/>
      <c r="Y473" s="1244"/>
      <c r="Z473" s="1244"/>
    </row>
    <row r="474" spans="1:26" ht="18.75">
      <c r="A474" s="1241"/>
      <c r="B474" s="1242"/>
      <c r="C474" s="1243"/>
      <c r="D474" s="1243"/>
      <c r="E474" s="1243"/>
      <c r="F474" s="1243" t="s">
        <v>187</v>
      </c>
      <c r="G474" s="963"/>
      <c r="H474" s="778" t="s">
        <v>12</v>
      </c>
      <c r="I474" s="830"/>
      <c r="J474" s="830"/>
      <c r="K474" s="831"/>
      <c r="L474" s="831"/>
      <c r="M474" s="831"/>
      <c r="N474" s="1031"/>
      <c r="O474" s="831"/>
      <c r="P474" s="831"/>
      <c r="Q474" s="1244"/>
      <c r="R474" s="1244"/>
      <c r="S474" s="1244"/>
      <c r="T474" s="1244"/>
      <c r="U474" s="1244"/>
      <c r="V474" s="1244"/>
      <c r="W474" s="1244"/>
      <c r="X474" s="1244"/>
      <c r="Y474" s="1244"/>
      <c r="Z474" s="1244"/>
    </row>
    <row r="475" spans="1:26" ht="18.75">
      <c r="A475" s="1241"/>
      <c r="B475" s="1242"/>
      <c r="C475" s="1242"/>
      <c r="D475" s="1242"/>
      <c r="E475" s="1242"/>
      <c r="F475" s="1243" t="s">
        <v>188</v>
      </c>
      <c r="G475" s="963"/>
      <c r="H475" s="778" t="s">
        <v>12</v>
      </c>
      <c r="I475" s="830"/>
      <c r="J475" s="830"/>
      <c r="K475" s="831"/>
      <c r="L475" s="831"/>
      <c r="M475" s="831"/>
      <c r="N475" s="1031">
        <f>9093+13000+12566</f>
        <v>34659</v>
      </c>
      <c r="O475" s="831"/>
      <c r="P475" s="831"/>
      <c r="Q475" s="1244"/>
      <c r="R475" s="1244"/>
      <c r="S475" s="1244"/>
      <c r="T475" s="1244"/>
      <c r="U475" s="1244"/>
      <c r="V475" s="1244"/>
      <c r="W475" s="1244"/>
      <c r="X475" s="1244"/>
      <c r="Y475" s="1244"/>
      <c r="Z475" s="1244"/>
    </row>
    <row r="476" spans="1:26" ht="18.75">
      <c r="A476" s="1241"/>
      <c r="B476" s="1242"/>
      <c r="C476" s="1242"/>
      <c r="D476" s="1242"/>
      <c r="E476" s="1242"/>
      <c r="F476" s="1243" t="s">
        <v>189</v>
      </c>
      <c r="G476" s="963"/>
      <c r="H476" s="778" t="s">
        <v>12</v>
      </c>
      <c r="I476" s="830"/>
      <c r="J476" s="830"/>
      <c r="K476" s="831"/>
      <c r="L476" s="831"/>
      <c r="M476" s="831"/>
      <c r="N476" s="1031">
        <v>20660</v>
      </c>
      <c r="O476" s="831"/>
      <c r="P476" s="831"/>
      <c r="Q476" s="1244"/>
      <c r="R476" s="1244"/>
      <c r="S476" s="1244"/>
      <c r="T476" s="1244"/>
      <c r="U476" s="1244"/>
      <c r="V476" s="1244"/>
      <c r="W476" s="1244"/>
      <c r="X476" s="1244"/>
      <c r="Y476" s="1244"/>
      <c r="Z476" s="1244"/>
    </row>
    <row r="477" spans="1:26" ht="18.75">
      <c r="A477" s="1259"/>
      <c r="B477" s="1242"/>
      <c r="C477" s="1242"/>
      <c r="D477" s="1266" t="s">
        <v>21</v>
      </c>
      <c r="E477" s="1242"/>
      <c r="F477" s="1242"/>
      <c r="G477" s="963"/>
      <c r="H477" s="168" t="s">
        <v>12</v>
      </c>
      <c r="I477" s="944"/>
      <c r="J477" s="944"/>
      <c r="K477" s="945"/>
      <c r="L477" s="831">
        <f t="shared" ref="L477:N477" ca="1" si="211">L478+L479</f>
        <v>0</v>
      </c>
      <c r="M477" s="831">
        <f t="shared" si="211"/>
        <v>0</v>
      </c>
      <c r="N477" s="831">
        <f t="shared" si="211"/>
        <v>0</v>
      </c>
      <c r="O477" s="831">
        <f t="shared" ref="O477:O479" ca="1" si="212">IF(L477&gt;0,N477*100/L477,0)</f>
        <v>0</v>
      </c>
      <c r="P477" s="831">
        <f t="shared" ref="P477:P479" si="213">IF(M477&gt;0,N477*100/M477,0)</f>
        <v>0</v>
      </c>
      <c r="Q477" s="1244"/>
      <c r="R477" s="1244"/>
      <c r="S477" s="1244"/>
      <c r="T477" s="1244"/>
      <c r="U477" s="1244"/>
      <c r="V477" s="1244"/>
      <c r="W477" s="1244"/>
      <c r="X477" s="1244"/>
      <c r="Y477" s="1244"/>
      <c r="Z477" s="1244"/>
    </row>
    <row r="478" spans="1:26" ht="18.75" hidden="1">
      <c r="A478" s="1260"/>
      <c r="B478" s="1265"/>
      <c r="C478" s="1265"/>
      <c r="D478" s="1265"/>
      <c r="E478" s="1265" t="s">
        <v>18</v>
      </c>
      <c r="F478" s="1265"/>
      <c r="G478" s="1263"/>
      <c r="H478" s="165" t="s">
        <v>12</v>
      </c>
      <c r="I478" s="947"/>
      <c r="J478" s="947"/>
      <c r="K478" s="948"/>
      <c r="L478" s="837">
        <v>0</v>
      </c>
      <c r="M478" s="837">
        <v>0</v>
      </c>
      <c r="N478" s="837">
        <v>0</v>
      </c>
      <c r="O478" s="837">
        <f t="shared" si="212"/>
        <v>0</v>
      </c>
      <c r="P478" s="837">
        <f t="shared" si="213"/>
        <v>0</v>
      </c>
      <c r="Q478" s="1264"/>
      <c r="R478" s="1264"/>
      <c r="S478" s="1264"/>
      <c r="T478" s="1264"/>
      <c r="U478" s="1264"/>
      <c r="V478" s="1264"/>
      <c r="W478" s="1264"/>
      <c r="X478" s="1264"/>
      <c r="Y478" s="1264"/>
      <c r="Z478" s="1264"/>
    </row>
    <row r="479" spans="1:26" ht="18.75" hidden="1">
      <c r="A479" s="1260"/>
      <c r="B479" s="1265"/>
      <c r="C479" s="1265"/>
      <c r="D479" s="1265"/>
      <c r="E479" s="1265" t="s">
        <v>19</v>
      </c>
      <c r="F479" s="1265"/>
      <c r="G479" s="1263"/>
      <c r="H479" s="169" t="s">
        <v>12</v>
      </c>
      <c r="I479" s="947"/>
      <c r="J479" s="947"/>
      <c r="K479" s="948"/>
      <c r="L479" s="837">
        <f ca="1">IFERROR(__xludf.DUMMYFUNCTION("IMPORTRANGE(""https://docs.google.com/spreadsheets/d/1QqKyyYR6Q21VydFLVH3TRQUabQu_ym0Zz7PgGX0-kHA/edit?usp=sharing"",""แผน!FV18"")"),0)</f>
        <v>0</v>
      </c>
      <c r="M479" s="837">
        <v>0</v>
      </c>
      <c r="N479" s="837">
        <v>0</v>
      </c>
      <c r="O479" s="837">
        <f t="shared" ca="1" si="212"/>
        <v>0</v>
      </c>
      <c r="P479" s="837">
        <f t="shared" si="213"/>
        <v>0</v>
      </c>
      <c r="Q479" s="1264"/>
      <c r="R479" s="1264"/>
      <c r="S479" s="1264"/>
      <c r="T479" s="1264"/>
      <c r="U479" s="1264"/>
      <c r="V479" s="1264"/>
      <c r="W479" s="1264"/>
      <c r="X479" s="1264"/>
      <c r="Y479" s="1264"/>
      <c r="Z479" s="1264"/>
    </row>
    <row r="480" spans="1:26" ht="19.5">
      <c r="A480" s="1267"/>
      <c r="B480" s="1268"/>
      <c r="C480" s="1242" t="s">
        <v>16</v>
      </c>
      <c r="D480" s="1276" t="s">
        <v>38</v>
      </c>
      <c r="E480" s="1270"/>
      <c r="F480" s="1271"/>
      <c r="G480" s="1272"/>
      <c r="H480" s="954"/>
      <c r="I480" s="830"/>
      <c r="J480" s="830"/>
      <c r="K480" s="831"/>
      <c r="L480" s="831"/>
      <c r="M480" s="831"/>
      <c r="N480" s="831"/>
      <c r="O480" s="831"/>
      <c r="P480" s="831"/>
      <c r="Q480" s="1244"/>
      <c r="R480" s="1244"/>
      <c r="S480" s="1244"/>
      <c r="T480" s="1244"/>
      <c r="U480" s="1244"/>
      <c r="V480" s="1244"/>
      <c r="W480" s="1244"/>
      <c r="X480" s="1244"/>
      <c r="Y480" s="1244"/>
      <c r="Z480" s="1244"/>
    </row>
    <row r="481" spans="1:26" ht="19.5">
      <c r="A481" s="1267"/>
      <c r="B481" s="1268"/>
      <c r="C481" s="1268"/>
      <c r="D481" s="1277" t="s">
        <v>206</v>
      </c>
      <c r="E481" s="1268"/>
      <c r="F481" s="1268"/>
      <c r="G481" s="954"/>
      <c r="H481" s="963"/>
      <c r="I481" s="830"/>
      <c r="J481" s="830"/>
      <c r="K481" s="831"/>
      <c r="L481" s="831"/>
      <c r="M481" s="831"/>
      <c r="N481" s="831"/>
      <c r="O481" s="831"/>
      <c r="P481" s="831"/>
      <c r="Q481" s="1244"/>
      <c r="R481" s="1244"/>
      <c r="S481" s="1244"/>
      <c r="T481" s="1244"/>
      <c r="U481" s="1244"/>
      <c r="V481" s="1244"/>
      <c r="W481" s="1244"/>
      <c r="X481" s="1244"/>
      <c r="Y481" s="1244"/>
      <c r="Z481" s="1244"/>
    </row>
    <row r="482" spans="1:26" ht="18.75">
      <c r="A482" s="1267"/>
      <c r="B482" s="1268"/>
      <c r="C482" s="1268"/>
      <c r="D482" s="1268"/>
      <c r="E482" s="1268" t="s">
        <v>207</v>
      </c>
      <c r="F482" s="1268"/>
      <c r="G482" s="954"/>
      <c r="H482" s="963"/>
      <c r="I482" s="830"/>
      <c r="J482" s="830"/>
      <c r="K482" s="831"/>
      <c r="L482" s="831"/>
      <c r="M482" s="831"/>
      <c r="N482" s="831"/>
      <c r="O482" s="831"/>
      <c r="P482" s="831"/>
      <c r="Q482" s="1244"/>
      <c r="R482" s="1244"/>
      <c r="S482" s="1244"/>
      <c r="T482" s="1244"/>
      <c r="U482" s="1244"/>
      <c r="V482" s="1244"/>
      <c r="W482" s="1244"/>
      <c r="X482" s="1244"/>
      <c r="Y482" s="1244"/>
      <c r="Z482" s="1244"/>
    </row>
    <row r="483" spans="1:26" ht="18.75">
      <c r="A483" s="1267"/>
      <c r="B483" s="1268"/>
      <c r="C483" s="1268"/>
      <c r="D483" s="1268"/>
      <c r="E483" s="1268"/>
      <c r="F483" s="1268" t="s">
        <v>208</v>
      </c>
      <c r="G483" s="954"/>
      <c r="H483" s="590" t="s">
        <v>46</v>
      </c>
      <c r="I483" s="830">
        <f ca="1">IFERROR(__xludf.DUMMYFUNCTION("IMPORTRANGE(""https://docs.google.com/spreadsheets/d/1QqKyyYR6Q21VydFLVH3TRQUabQu_ym0Zz7PgGX0-kHA/edit?usp=sharing"",""แผน!FY18"")"),1170)</f>
        <v>1170</v>
      </c>
      <c r="J483" s="959">
        <v>0</v>
      </c>
      <c r="K483" s="831">
        <f ca="1">IF(I483&gt;0,J483*100/I483,0)</f>
        <v>0</v>
      </c>
      <c r="L483" s="831"/>
      <c r="M483" s="831"/>
      <c r="N483" s="831"/>
      <c r="O483" s="831"/>
      <c r="P483" s="831"/>
      <c r="Q483" s="1244"/>
      <c r="R483" s="1244"/>
      <c r="S483" s="1244"/>
      <c r="T483" s="1244"/>
      <c r="U483" s="1244"/>
      <c r="V483" s="1244"/>
      <c r="W483" s="1244"/>
      <c r="X483" s="1244"/>
      <c r="Y483" s="1244"/>
      <c r="Z483" s="1244"/>
    </row>
    <row r="484" spans="1:26" ht="18.75">
      <c r="A484" s="1267"/>
      <c r="B484" s="1268"/>
      <c r="C484" s="1268"/>
      <c r="D484" s="1268"/>
      <c r="E484" s="1268"/>
      <c r="F484" s="1268" t="s">
        <v>209</v>
      </c>
      <c r="G484" s="954"/>
      <c r="H484" s="590" t="s">
        <v>35</v>
      </c>
      <c r="I484" s="830"/>
      <c r="J484" s="959">
        <v>0</v>
      </c>
      <c r="K484" s="831"/>
      <c r="L484" s="831"/>
      <c r="M484" s="831"/>
      <c r="N484" s="831"/>
      <c r="O484" s="831"/>
      <c r="P484" s="831"/>
      <c r="Q484" s="1244"/>
      <c r="R484" s="1244"/>
      <c r="S484" s="1244"/>
      <c r="T484" s="1244"/>
      <c r="U484" s="1244"/>
      <c r="V484" s="1244"/>
      <c r="W484" s="1244"/>
      <c r="X484" s="1244"/>
      <c r="Y484" s="1244"/>
      <c r="Z484" s="1244"/>
    </row>
    <row r="485" spans="1:26" ht="18.75">
      <c r="A485" s="1267"/>
      <c r="B485" s="1268"/>
      <c r="C485" s="1268"/>
      <c r="D485" s="1268"/>
      <c r="E485" s="1268"/>
      <c r="F485" s="1268" t="s">
        <v>210</v>
      </c>
      <c r="G485" s="954"/>
      <c r="H485" s="590" t="s">
        <v>35</v>
      </c>
      <c r="I485" s="830">
        <f ca="1">IFERROR(__xludf.DUMMYFUNCTION("IMPORTRANGE(""https://docs.google.com/spreadsheets/d/1QqKyyYR6Q21VydFLVH3TRQUabQu_ym0Zz7PgGX0-kHA/edit?usp=sharing"",""แผน!FZ18"")"),117)</f>
        <v>117</v>
      </c>
      <c r="J485" s="959">
        <v>117</v>
      </c>
      <c r="K485" s="831">
        <f ca="1">IF(I485&gt;0,J485*100/I485,0)</f>
        <v>100</v>
      </c>
      <c r="L485" s="831"/>
      <c r="M485" s="831"/>
      <c r="N485" s="831"/>
      <c r="O485" s="831"/>
      <c r="P485" s="831"/>
      <c r="Q485" s="1244"/>
      <c r="R485" s="1244"/>
      <c r="S485" s="1244"/>
      <c r="T485" s="1244"/>
      <c r="U485" s="1244"/>
      <c r="V485" s="1244"/>
      <c r="W485" s="1244"/>
      <c r="X485" s="1244"/>
      <c r="Y485" s="1244"/>
      <c r="Z485" s="1244"/>
    </row>
    <row r="486" spans="1:26" ht="18.75">
      <c r="A486" s="1267"/>
      <c r="B486" s="1268"/>
      <c r="C486" s="1268"/>
      <c r="D486" s="1268"/>
      <c r="E486" s="1268" t="s">
        <v>62</v>
      </c>
      <c r="F486" s="1268"/>
      <c r="G486" s="954"/>
      <c r="H486" s="590"/>
      <c r="I486" s="830"/>
      <c r="J486" s="830"/>
      <c r="K486" s="831"/>
      <c r="L486" s="831"/>
      <c r="M486" s="831"/>
      <c r="N486" s="831"/>
      <c r="O486" s="831"/>
      <c r="P486" s="831"/>
      <c r="Q486" s="1244"/>
      <c r="R486" s="1244"/>
      <c r="S486" s="1244"/>
      <c r="T486" s="1244"/>
      <c r="U486" s="1244"/>
      <c r="V486" s="1244"/>
      <c r="W486" s="1244"/>
      <c r="X486" s="1244"/>
      <c r="Y486" s="1244"/>
      <c r="Z486" s="1244"/>
    </row>
    <row r="487" spans="1:26" ht="18.75">
      <c r="A487" s="1267"/>
      <c r="B487" s="1268"/>
      <c r="C487" s="1268"/>
      <c r="D487" s="1268"/>
      <c r="E487" s="1268"/>
      <c r="F487" s="1268" t="s">
        <v>208</v>
      </c>
      <c r="G487" s="954"/>
      <c r="H487" s="590" t="s">
        <v>46</v>
      </c>
      <c r="I487" s="830">
        <f ca="1">IFERROR(__xludf.DUMMYFUNCTION("IMPORTRANGE(""https://docs.google.com/spreadsheets/d/1QqKyyYR6Q21VydFLVH3TRQUabQu_ym0Zz7PgGX0-kHA/edit?usp=sharing"",""แผน!GA18"")"),130)</f>
        <v>130</v>
      </c>
      <c r="J487" s="959">
        <v>0</v>
      </c>
      <c r="K487" s="831">
        <f ca="1">IF(I487&gt;0,J487*100/I487,0)</f>
        <v>0</v>
      </c>
      <c r="L487" s="831"/>
      <c r="M487" s="831"/>
      <c r="N487" s="831"/>
      <c r="O487" s="831"/>
      <c r="P487" s="831"/>
      <c r="Q487" s="1244"/>
      <c r="R487" s="1244"/>
      <c r="S487" s="1244"/>
      <c r="T487" s="1244"/>
      <c r="U487" s="1244"/>
      <c r="V487" s="1244"/>
      <c r="W487" s="1244"/>
      <c r="X487" s="1244"/>
      <c r="Y487" s="1244"/>
      <c r="Z487" s="1244"/>
    </row>
    <row r="488" spans="1:26" ht="18.75">
      <c r="A488" s="1267"/>
      <c r="B488" s="1268"/>
      <c r="C488" s="1268"/>
      <c r="D488" s="1268"/>
      <c r="E488" s="1268"/>
      <c r="F488" s="1268" t="s">
        <v>211</v>
      </c>
      <c r="G488" s="954"/>
      <c r="H488" s="590" t="s">
        <v>35</v>
      </c>
      <c r="I488" s="830"/>
      <c r="J488" s="959">
        <v>0</v>
      </c>
      <c r="K488" s="831"/>
      <c r="L488" s="831"/>
      <c r="M488" s="831"/>
      <c r="N488" s="831"/>
      <c r="O488" s="831"/>
      <c r="P488" s="831"/>
      <c r="Q488" s="1244"/>
      <c r="R488" s="1244"/>
      <c r="S488" s="1244"/>
      <c r="T488" s="1244"/>
      <c r="U488" s="1244"/>
      <c r="V488" s="1244"/>
      <c r="W488" s="1244"/>
      <c r="X488" s="1244"/>
      <c r="Y488" s="1244"/>
      <c r="Z488" s="1244"/>
    </row>
    <row r="489" spans="1:26" ht="18.75">
      <c r="A489" s="1267"/>
      <c r="B489" s="1268"/>
      <c r="C489" s="1268"/>
      <c r="D489" s="1268"/>
      <c r="E489" s="1268"/>
      <c r="F489" s="1268" t="s">
        <v>212</v>
      </c>
      <c r="G489" s="954"/>
      <c r="H489" s="590" t="s">
        <v>35</v>
      </c>
      <c r="I489" s="830">
        <f ca="1">IFERROR(__xludf.DUMMYFUNCTION("IMPORTRANGE(""https://docs.google.com/spreadsheets/d/1QqKyyYR6Q21VydFLVH3TRQUabQu_ym0Zz7PgGX0-kHA/edit?usp=sharing"",""แผน!GB18"")"),13)</f>
        <v>13</v>
      </c>
      <c r="J489" s="959">
        <v>13</v>
      </c>
      <c r="K489" s="831">
        <f ca="1">IF(I489&gt;0,J489*100/I489,0)</f>
        <v>100</v>
      </c>
      <c r="L489" s="831"/>
      <c r="M489" s="831"/>
      <c r="N489" s="831"/>
      <c r="O489" s="831"/>
      <c r="P489" s="831"/>
      <c r="Q489" s="1244"/>
      <c r="R489" s="1244"/>
      <c r="S489" s="1244"/>
      <c r="T489" s="1244"/>
      <c r="U489" s="1244"/>
      <c r="V489" s="1244"/>
      <c r="W489" s="1244"/>
      <c r="X489" s="1244"/>
      <c r="Y489" s="1244"/>
      <c r="Z489" s="1244"/>
    </row>
    <row r="490" spans="1:26" ht="18.75">
      <c r="A490" s="1267"/>
      <c r="B490" s="1268"/>
      <c r="C490" s="1268"/>
      <c r="D490" s="1268"/>
      <c r="E490" s="1268" t="s">
        <v>63</v>
      </c>
      <c r="F490" s="961"/>
      <c r="G490" s="954"/>
      <c r="H490" s="590"/>
      <c r="I490" s="830"/>
      <c r="J490" s="830"/>
      <c r="K490" s="831"/>
      <c r="L490" s="831"/>
      <c r="M490" s="831"/>
      <c r="N490" s="831"/>
      <c r="O490" s="831"/>
      <c r="P490" s="831"/>
      <c r="Q490" s="1244"/>
      <c r="R490" s="1244"/>
      <c r="S490" s="1244"/>
      <c r="T490" s="1244"/>
      <c r="U490" s="1244"/>
      <c r="V490" s="1244"/>
      <c r="W490" s="1244"/>
      <c r="X490" s="1244"/>
      <c r="Y490" s="1244"/>
      <c r="Z490" s="1244"/>
    </row>
    <row r="491" spans="1:26" ht="18.75">
      <c r="A491" s="1267"/>
      <c r="B491" s="1268"/>
      <c r="C491" s="1268"/>
      <c r="D491" s="1268"/>
      <c r="E491" s="1268"/>
      <c r="F491" s="1268" t="s">
        <v>213</v>
      </c>
      <c r="G491" s="954"/>
      <c r="H491" s="590" t="s">
        <v>35</v>
      </c>
      <c r="I491" s="830"/>
      <c r="J491" s="959">
        <v>0</v>
      </c>
      <c r="K491" s="831"/>
      <c r="L491" s="831"/>
      <c r="M491" s="831"/>
      <c r="N491" s="831"/>
      <c r="O491" s="831"/>
      <c r="P491" s="831"/>
      <c r="Q491" s="1244"/>
      <c r="R491" s="1244"/>
      <c r="S491" s="1244"/>
      <c r="T491" s="1244"/>
      <c r="U491" s="1244"/>
      <c r="V491" s="1244"/>
      <c r="W491" s="1244"/>
      <c r="X491" s="1244"/>
      <c r="Y491" s="1244"/>
      <c r="Z491" s="1244"/>
    </row>
    <row r="492" spans="1:26" ht="18.75">
      <c r="A492" s="1267"/>
      <c r="B492" s="1268"/>
      <c r="C492" s="1268"/>
      <c r="D492" s="1268"/>
      <c r="E492" s="1268"/>
      <c r="F492" s="1268" t="s">
        <v>214</v>
      </c>
      <c r="G492" s="954"/>
      <c r="H492" s="590" t="s">
        <v>35</v>
      </c>
      <c r="I492" s="830">
        <f ca="1">IFERROR(__xludf.DUMMYFUNCTION("IMPORTRANGE(""https://docs.google.com/spreadsheets/d/1QqKyyYR6Q21VydFLVH3TRQUabQu_ym0Zz7PgGX0-kHA/edit?usp=sharing"",""แผน!GC18"")"),1)</f>
        <v>1</v>
      </c>
      <c r="J492" s="959">
        <v>1</v>
      </c>
      <c r="K492" s="831">
        <f ca="1">IF(I492&gt;0,J492*100/I492,0)</f>
        <v>100</v>
      </c>
      <c r="L492" s="831"/>
      <c r="M492" s="831"/>
      <c r="N492" s="831"/>
      <c r="O492" s="831"/>
      <c r="P492" s="831"/>
      <c r="Q492" s="1244"/>
      <c r="R492" s="1244"/>
      <c r="S492" s="1244"/>
      <c r="T492" s="1244"/>
      <c r="U492" s="1244"/>
      <c r="V492" s="1244"/>
      <c r="W492" s="1244"/>
      <c r="X492" s="1244"/>
      <c r="Y492" s="1244"/>
      <c r="Z492" s="1244"/>
    </row>
    <row r="493" spans="1:26" ht="19.5">
      <c r="A493" s="1267"/>
      <c r="B493" s="1268"/>
      <c r="C493" s="1268"/>
      <c r="D493" s="1277" t="s">
        <v>59</v>
      </c>
      <c r="E493" s="1268"/>
      <c r="F493" s="961"/>
      <c r="G493" s="954"/>
      <c r="H493" s="963"/>
      <c r="I493" s="830"/>
      <c r="J493" s="830"/>
      <c r="K493" s="831"/>
      <c r="L493" s="831"/>
      <c r="M493" s="831"/>
      <c r="N493" s="831"/>
      <c r="O493" s="831"/>
      <c r="P493" s="831"/>
      <c r="Q493" s="1244"/>
      <c r="R493" s="1244"/>
      <c r="S493" s="1244"/>
      <c r="T493" s="1244"/>
      <c r="U493" s="1244"/>
      <c r="V493" s="1244"/>
      <c r="W493" s="1244"/>
      <c r="X493" s="1244"/>
      <c r="Y493" s="1244"/>
      <c r="Z493" s="1244"/>
    </row>
    <row r="494" spans="1:26" ht="18.75">
      <c r="A494" s="1267"/>
      <c r="B494" s="1268"/>
      <c r="C494" s="1268"/>
      <c r="D494" s="1268"/>
      <c r="E494" s="1268" t="s">
        <v>207</v>
      </c>
      <c r="F494" s="961"/>
      <c r="G494" s="954"/>
      <c r="H494" s="963"/>
      <c r="I494" s="830"/>
      <c r="J494" s="830"/>
      <c r="K494" s="831"/>
      <c r="L494" s="831"/>
      <c r="M494" s="831"/>
      <c r="N494" s="831"/>
      <c r="O494" s="831"/>
      <c r="P494" s="831"/>
      <c r="Q494" s="1244"/>
      <c r="R494" s="1244"/>
      <c r="S494" s="1244"/>
      <c r="T494" s="1244"/>
      <c r="U494" s="1244"/>
      <c r="V494" s="1244"/>
      <c r="W494" s="1244"/>
      <c r="X494" s="1244"/>
      <c r="Y494" s="1244"/>
      <c r="Z494" s="1244"/>
    </row>
    <row r="495" spans="1:26" ht="18.75">
      <c r="A495" s="1267"/>
      <c r="B495" s="1268"/>
      <c r="C495" s="1268"/>
      <c r="D495" s="1268"/>
      <c r="E495" s="1268"/>
      <c r="F495" s="961" t="s">
        <v>215</v>
      </c>
      <c r="G495" s="954"/>
      <c r="H495" s="590" t="s">
        <v>46</v>
      </c>
      <c r="I495" s="830">
        <f ca="1">IFERROR(__xludf.DUMMYFUNCTION("IMPORTRANGE(""https://docs.google.com/spreadsheets/d/1QqKyyYR6Q21VydFLVH3TRQUabQu_ym0Zz7PgGX0-kHA/edit?usp=sharing"",""แผน!FY18"")"),1170)</f>
        <v>1170</v>
      </c>
      <c r="J495" s="959">
        <v>0</v>
      </c>
      <c r="K495" s="831">
        <f ca="1">IF(I495&gt;0,J495*100/I495,0)</f>
        <v>0</v>
      </c>
      <c r="L495" s="831"/>
      <c r="M495" s="831"/>
      <c r="N495" s="831"/>
      <c r="O495" s="831"/>
      <c r="P495" s="831"/>
      <c r="Q495" s="1244"/>
      <c r="R495" s="1244"/>
      <c r="S495" s="1244"/>
      <c r="T495" s="1244"/>
      <c r="U495" s="1244"/>
      <c r="V495" s="1244"/>
      <c r="W495" s="1244"/>
      <c r="X495" s="1244"/>
      <c r="Y495" s="1244"/>
      <c r="Z495" s="1244"/>
    </row>
    <row r="496" spans="1:26" ht="18.75">
      <c r="A496" s="1267"/>
      <c r="B496" s="1268"/>
      <c r="C496" s="1268"/>
      <c r="D496" s="1268"/>
      <c r="E496" s="1268"/>
      <c r="F496" s="961" t="s">
        <v>216</v>
      </c>
      <c r="G496" s="954"/>
      <c r="H496" s="590" t="s">
        <v>46</v>
      </c>
      <c r="I496" s="830"/>
      <c r="J496" s="959">
        <v>0</v>
      </c>
      <c r="K496" s="831"/>
      <c r="L496" s="831"/>
      <c r="M496" s="831"/>
      <c r="N496" s="831"/>
      <c r="O496" s="831"/>
      <c r="P496" s="831"/>
      <c r="Q496" s="1244"/>
      <c r="R496" s="1244"/>
      <c r="S496" s="1244"/>
      <c r="T496" s="1244"/>
      <c r="U496" s="1244"/>
      <c r="V496" s="1244"/>
      <c r="W496" s="1244"/>
      <c r="X496" s="1244"/>
      <c r="Y496" s="1244"/>
      <c r="Z496" s="1244"/>
    </row>
    <row r="497" spans="1:26" ht="18.75">
      <c r="A497" s="1267"/>
      <c r="B497" s="1268"/>
      <c r="C497" s="1268"/>
      <c r="D497" s="1268"/>
      <c r="E497" s="1268" t="s">
        <v>62</v>
      </c>
      <c r="F497" s="961"/>
      <c r="G497" s="954"/>
      <c r="H497" s="963"/>
      <c r="I497" s="830"/>
      <c r="J497" s="830"/>
      <c r="K497" s="831"/>
      <c r="L497" s="831"/>
      <c r="M497" s="831"/>
      <c r="N497" s="831"/>
      <c r="O497" s="831"/>
      <c r="P497" s="831"/>
      <c r="Q497" s="1244"/>
      <c r="R497" s="1244"/>
      <c r="S497" s="1244"/>
      <c r="T497" s="1244"/>
      <c r="U497" s="1244"/>
      <c r="V497" s="1244"/>
      <c r="W497" s="1244"/>
      <c r="X497" s="1244"/>
      <c r="Y497" s="1244"/>
      <c r="Z497" s="1244"/>
    </row>
    <row r="498" spans="1:26" ht="18.75">
      <c r="A498" s="1267"/>
      <c r="B498" s="1268"/>
      <c r="C498" s="1268"/>
      <c r="D498" s="1268"/>
      <c r="E498" s="961"/>
      <c r="F498" s="961" t="s">
        <v>217</v>
      </c>
      <c r="G498" s="954"/>
      <c r="H498" s="590" t="s">
        <v>46</v>
      </c>
      <c r="I498" s="830">
        <f ca="1">IFERROR(__xludf.DUMMYFUNCTION("IMPORTRANGE(""https://docs.google.com/spreadsheets/d/1QqKyyYR6Q21VydFLVH3TRQUabQu_ym0Zz7PgGX0-kHA/edit?usp=sharing"",""แผน!GA18"")"),130)</f>
        <v>130</v>
      </c>
      <c r="J498" s="959">
        <v>0</v>
      </c>
      <c r="K498" s="831">
        <f ca="1">IF(I498&gt;0,J498*100/I498,0)</f>
        <v>0</v>
      </c>
      <c r="L498" s="831"/>
      <c r="M498" s="831"/>
      <c r="N498" s="831"/>
      <c r="O498" s="831"/>
      <c r="P498" s="831"/>
      <c r="Q498" s="1244"/>
      <c r="R498" s="1244"/>
      <c r="S498" s="1244"/>
      <c r="T498" s="1244"/>
      <c r="U498" s="1244"/>
      <c r="V498" s="1244"/>
      <c r="W498" s="1244"/>
      <c r="X498" s="1244"/>
      <c r="Y498" s="1244"/>
      <c r="Z498" s="1244"/>
    </row>
    <row r="499" spans="1:26" ht="18.75">
      <c r="A499" s="1267"/>
      <c r="B499" s="1268"/>
      <c r="C499" s="1268"/>
      <c r="D499" s="1268"/>
      <c r="E499" s="961"/>
      <c r="F499" s="961" t="s">
        <v>218</v>
      </c>
      <c r="G499" s="954"/>
      <c r="H499" s="590" t="s">
        <v>46</v>
      </c>
      <c r="I499" s="830"/>
      <c r="J499" s="959">
        <v>0</v>
      </c>
      <c r="K499" s="831"/>
      <c r="L499" s="831"/>
      <c r="M499" s="831"/>
      <c r="N499" s="831"/>
      <c r="O499" s="831"/>
      <c r="P499" s="831"/>
      <c r="Q499" s="1244"/>
      <c r="R499" s="1244"/>
      <c r="S499" s="1244"/>
      <c r="T499" s="1244"/>
      <c r="U499" s="1244"/>
      <c r="V499" s="1244"/>
      <c r="W499" s="1244"/>
      <c r="X499" s="1244"/>
      <c r="Y499" s="1244"/>
      <c r="Z499" s="1244"/>
    </row>
    <row r="500" spans="1:26" ht="19.5" hidden="1">
      <c r="A500" s="594">
        <v>4</v>
      </c>
      <c r="B500" s="1278" t="s">
        <v>219</v>
      </c>
      <c r="C500" s="1279"/>
      <c r="D500" s="1280"/>
      <c r="E500" s="1280"/>
      <c r="F500" s="1280"/>
      <c r="G500" s="1281"/>
      <c r="H500" s="599" t="s">
        <v>109</v>
      </c>
      <c r="I500" s="1282"/>
      <c r="J500" s="1282">
        <f t="shared" ref="J500:J501" si="214">J516</f>
        <v>0</v>
      </c>
      <c r="K500" s="1283">
        <f t="shared" ref="K500:K501" si="215">IF(I500&gt;0,J500*100/I500,0)</f>
        <v>0</v>
      </c>
      <c r="L500" s="1284"/>
      <c r="M500" s="1284"/>
      <c r="N500" s="1284"/>
      <c r="O500" s="1284"/>
      <c r="P500" s="1284"/>
      <c r="Q500" s="1264"/>
      <c r="R500" s="1264"/>
      <c r="S500" s="1264"/>
      <c r="T500" s="1264"/>
      <c r="U500" s="1264"/>
      <c r="V500" s="1264"/>
      <c r="W500" s="1264"/>
      <c r="X500" s="1264"/>
      <c r="Y500" s="1264"/>
      <c r="Z500" s="1264"/>
    </row>
    <row r="501" spans="1:26" ht="19.5" hidden="1">
      <c r="A501" s="1285"/>
      <c r="B501" s="1286" t="s">
        <v>220</v>
      </c>
      <c r="C501" s="1286"/>
      <c r="D501" s="1287"/>
      <c r="E501" s="1287"/>
      <c r="F501" s="1287"/>
      <c r="G501" s="1288"/>
      <c r="H501" s="608" t="s">
        <v>35</v>
      </c>
      <c r="I501" s="1289"/>
      <c r="J501" s="1289">
        <f t="shared" si="214"/>
        <v>0</v>
      </c>
      <c r="K501" s="1290">
        <f t="shared" si="215"/>
        <v>0</v>
      </c>
      <c r="L501" s="1291"/>
      <c r="M501" s="1291"/>
      <c r="N501" s="1291"/>
      <c r="O501" s="1291"/>
      <c r="P501" s="1291"/>
      <c r="Q501" s="1264"/>
      <c r="R501" s="1264"/>
      <c r="S501" s="1264"/>
      <c r="T501" s="1264"/>
      <c r="U501" s="1264"/>
      <c r="V501" s="1264"/>
      <c r="W501" s="1264"/>
      <c r="X501" s="1264"/>
      <c r="Y501" s="1264"/>
      <c r="Z501" s="1264"/>
    </row>
    <row r="502" spans="1:26" ht="19.5" hidden="1">
      <c r="A502" s="1260"/>
      <c r="B502" s="1261"/>
      <c r="C502" s="1261" t="s">
        <v>16</v>
      </c>
      <c r="D502" s="1508" t="s">
        <v>17</v>
      </c>
      <c r="E502" s="1485"/>
      <c r="F502" s="1485"/>
      <c r="G502" s="1263"/>
      <c r="H502" s="612" t="s">
        <v>12</v>
      </c>
      <c r="I502" s="836"/>
      <c r="J502" s="836"/>
      <c r="K502" s="837"/>
      <c r="L502" s="1292">
        <f t="shared" ref="L502:N502" si="216">L503+L504</f>
        <v>0</v>
      </c>
      <c r="M502" s="1292">
        <f t="shared" si="216"/>
        <v>0</v>
      </c>
      <c r="N502" s="1292">
        <f t="shared" si="216"/>
        <v>0</v>
      </c>
      <c r="O502" s="1292">
        <f t="shared" ref="O502:O507" si="217">IF(L502&gt;0,N502*100/L502,0)</f>
        <v>0</v>
      </c>
      <c r="P502" s="1292">
        <f t="shared" ref="P502:P507" si="218">IF(M502&gt;0,N502*100/M502,0)</f>
        <v>0</v>
      </c>
      <c r="Q502" s="1264"/>
      <c r="R502" s="1264"/>
      <c r="S502" s="1264"/>
      <c r="T502" s="1264"/>
      <c r="U502" s="1264"/>
      <c r="V502" s="1264"/>
      <c r="W502" s="1264"/>
      <c r="X502" s="1264"/>
      <c r="Y502" s="1264"/>
      <c r="Z502" s="1264"/>
    </row>
    <row r="503" spans="1:26" ht="18.75" hidden="1">
      <c r="A503" s="1260"/>
      <c r="B503" s="1261"/>
      <c r="C503" s="1261"/>
      <c r="D503" s="1262"/>
      <c r="E503" s="1261" t="s">
        <v>184</v>
      </c>
      <c r="F503" s="1261"/>
      <c r="G503" s="1263"/>
      <c r="H503" s="165" t="s">
        <v>12</v>
      </c>
      <c r="I503" s="836"/>
      <c r="J503" s="836"/>
      <c r="K503" s="837"/>
      <c r="L503" s="837">
        <f t="shared" ref="L503:N504" si="219">L506+L513</f>
        <v>0</v>
      </c>
      <c r="M503" s="837">
        <f t="shared" si="219"/>
        <v>0</v>
      </c>
      <c r="N503" s="837">
        <f t="shared" si="219"/>
        <v>0</v>
      </c>
      <c r="O503" s="837">
        <f t="shared" si="217"/>
        <v>0</v>
      </c>
      <c r="P503" s="837">
        <f t="shared" si="218"/>
        <v>0</v>
      </c>
      <c r="Q503" s="1264"/>
      <c r="R503" s="1264"/>
      <c r="S503" s="1264"/>
      <c r="T503" s="1264"/>
      <c r="U503" s="1264"/>
      <c r="V503" s="1264"/>
      <c r="W503" s="1264"/>
      <c r="X503" s="1264"/>
      <c r="Y503" s="1264"/>
      <c r="Z503" s="1264"/>
    </row>
    <row r="504" spans="1:26" ht="18.75" hidden="1">
      <c r="A504" s="1260"/>
      <c r="B504" s="1265"/>
      <c r="C504" s="1261"/>
      <c r="D504" s="1262"/>
      <c r="E504" s="1261" t="s">
        <v>185</v>
      </c>
      <c r="F504" s="1261"/>
      <c r="G504" s="1263"/>
      <c r="H504" s="165" t="s">
        <v>12</v>
      </c>
      <c r="I504" s="836"/>
      <c r="J504" s="836"/>
      <c r="K504" s="837"/>
      <c r="L504" s="837">
        <f t="shared" si="219"/>
        <v>0</v>
      </c>
      <c r="M504" s="837">
        <f t="shared" si="219"/>
        <v>0</v>
      </c>
      <c r="N504" s="837">
        <f t="shared" si="219"/>
        <v>0</v>
      </c>
      <c r="O504" s="837">
        <f t="shared" si="217"/>
        <v>0</v>
      </c>
      <c r="P504" s="837">
        <f t="shared" si="218"/>
        <v>0</v>
      </c>
      <c r="Q504" s="1264"/>
      <c r="R504" s="1264"/>
      <c r="S504" s="1264"/>
      <c r="T504" s="1264"/>
      <c r="U504" s="1264"/>
      <c r="V504" s="1264"/>
      <c r="W504" s="1264"/>
      <c r="X504" s="1264"/>
      <c r="Y504" s="1264"/>
      <c r="Z504" s="1264"/>
    </row>
    <row r="505" spans="1:26" ht="18.75" hidden="1">
      <c r="A505" s="1260"/>
      <c r="B505" s="1265"/>
      <c r="C505" s="1261"/>
      <c r="D505" s="1293" t="s">
        <v>20</v>
      </c>
      <c r="E505" s="1261"/>
      <c r="F505" s="1261"/>
      <c r="G505" s="1263"/>
      <c r="H505" s="165" t="s">
        <v>12</v>
      </c>
      <c r="I505" s="947"/>
      <c r="J505" s="947"/>
      <c r="K505" s="948"/>
      <c r="L505" s="837">
        <f t="shared" ref="L505:N505" si="220">L506+L507</f>
        <v>0</v>
      </c>
      <c r="M505" s="837">
        <f t="shared" si="220"/>
        <v>0</v>
      </c>
      <c r="N505" s="837">
        <f t="shared" si="220"/>
        <v>0</v>
      </c>
      <c r="O505" s="837">
        <f t="shared" si="217"/>
        <v>0</v>
      </c>
      <c r="P505" s="837">
        <f t="shared" si="218"/>
        <v>0</v>
      </c>
      <c r="Q505" s="1264"/>
      <c r="R505" s="1264"/>
      <c r="S505" s="1264"/>
      <c r="T505" s="1264"/>
      <c r="U505" s="1264"/>
      <c r="V505" s="1264"/>
      <c r="W505" s="1264"/>
      <c r="X505" s="1264"/>
      <c r="Y505" s="1264"/>
      <c r="Z505" s="1264"/>
    </row>
    <row r="506" spans="1:26" ht="18.75" hidden="1">
      <c r="A506" s="1260"/>
      <c r="B506" s="1265"/>
      <c r="C506" s="1261"/>
      <c r="D506" s="1262"/>
      <c r="E506" s="1261" t="s">
        <v>184</v>
      </c>
      <c r="F506" s="1261"/>
      <c r="G506" s="1263"/>
      <c r="H506" s="165" t="s">
        <v>12</v>
      </c>
      <c r="I506" s="836"/>
      <c r="J506" s="836"/>
      <c r="K506" s="837"/>
      <c r="L506" s="837">
        <v>0</v>
      </c>
      <c r="M506" s="837">
        <v>0</v>
      </c>
      <c r="N506" s="837">
        <v>0</v>
      </c>
      <c r="O506" s="837">
        <f t="shared" si="217"/>
        <v>0</v>
      </c>
      <c r="P506" s="837">
        <f t="shared" si="218"/>
        <v>0</v>
      </c>
      <c r="Q506" s="1264"/>
      <c r="R506" s="1264"/>
      <c r="S506" s="1264"/>
      <c r="T506" s="1264"/>
      <c r="U506" s="1264"/>
      <c r="V506" s="1264"/>
      <c r="W506" s="1264"/>
      <c r="X506" s="1264"/>
      <c r="Y506" s="1264"/>
      <c r="Z506" s="1264"/>
    </row>
    <row r="507" spans="1:26" ht="18.75" hidden="1">
      <c r="A507" s="1260"/>
      <c r="B507" s="1265"/>
      <c r="C507" s="1261"/>
      <c r="D507" s="1262"/>
      <c r="E507" s="1261" t="s">
        <v>185</v>
      </c>
      <c r="F507" s="1261"/>
      <c r="G507" s="1263"/>
      <c r="H507" s="165" t="s">
        <v>12</v>
      </c>
      <c r="I507" s="836"/>
      <c r="J507" s="836"/>
      <c r="K507" s="837"/>
      <c r="L507" s="837">
        <v>0</v>
      </c>
      <c r="M507" s="837">
        <v>0</v>
      </c>
      <c r="N507" s="837">
        <f>N508+N509+N510+N511</f>
        <v>0</v>
      </c>
      <c r="O507" s="837">
        <f t="shared" si="217"/>
        <v>0</v>
      </c>
      <c r="P507" s="837">
        <f t="shared" si="218"/>
        <v>0</v>
      </c>
      <c r="Q507" s="1264"/>
      <c r="R507" s="1264"/>
      <c r="S507" s="1264"/>
      <c r="T507" s="1264"/>
      <c r="U507" s="1264"/>
      <c r="V507" s="1264"/>
      <c r="W507" s="1264"/>
      <c r="X507" s="1264"/>
      <c r="Y507" s="1264"/>
      <c r="Z507" s="1264"/>
    </row>
    <row r="508" spans="1:26" ht="18.75" hidden="1">
      <c r="A508" s="1294"/>
      <c r="B508" s="1265"/>
      <c r="C508" s="1261"/>
      <c r="D508" s="1261"/>
      <c r="E508" s="1261"/>
      <c r="F508" s="1261" t="s">
        <v>186</v>
      </c>
      <c r="G508" s="1263"/>
      <c r="H508" s="165" t="s">
        <v>12</v>
      </c>
      <c r="I508" s="836"/>
      <c r="J508" s="836"/>
      <c r="K508" s="837"/>
      <c r="L508" s="837"/>
      <c r="M508" s="837"/>
      <c r="N508" s="837">
        <v>0</v>
      </c>
      <c r="O508" s="837"/>
      <c r="P508" s="837"/>
      <c r="Q508" s="1264"/>
      <c r="R508" s="1264"/>
      <c r="S508" s="1264"/>
      <c r="T508" s="1264"/>
      <c r="U508" s="1264"/>
      <c r="V508" s="1264"/>
      <c r="W508" s="1264"/>
      <c r="X508" s="1264"/>
      <c r="Y508" s="1264"/>
      <c r="Z508" s="1264"/>
    </row>
    <row r="509" spans="1:26" ht="18.75" hidden="1">
      <c r="A509" s="1294"/>
      <c r="B509" s="1265"/>
      <c r="C509" s="1261"/>
      <c r="D509" s="1261"/>
      <c r="E509" s="1261"/>
      <c r="F509" s="1261" t="s">
        <v>187</v>
      </c>
      <c r="G509" s="1263"/>
      <c r="H509" s="165" t="s">
        <v>12</v>
      </c>
      <c r="I509" s="836"/>
      <c r="J509" s="836"/>
      <c r="K509" s="837"/>
      <c r="L509" s="837"/>
      <c r="M509" s="837"/>
      <c r="N509" s="837">
        <v>0</v>
      </c>
      <c r="O509" s="837"/>
      <c r="P509" s="837"/>
      <c r="Q509" s="1264"/>
      <c r="R509" s="1264"/>
      <c r="S509" s="1264"/>
      <c r="T509" s="1264"/>
      <c r="U509" s="1264"/>
      <c r="V509" s="1264"/>
      <c r="W509" s="1264"/>
      <c r="X509" s="1264"/>
      <c r="Y509" s="1264"/>
      <c r="Z509" s="1264"/>
    </row>
    <row r="510" spans="1:26" ht="18.75" hidden="1">
      <c r="A510" s="1294"/>
      <c r="B510" s="1265"/>
      <c r="C510" s="1265"/>
      <c r="D510" s="1265"/>
      <c r="E510" s="1261"/>
      <c r="F510" s="1261" t="s">
        <v>188</v>
      </c>
      <c r="G510" s="1263"/>
      <c r="H510" s="165" t="s">
        <v>12</v>
      </c>
      <c r="I510" s="836"/>
      <c r="J510" s="836"/>
      <c r="K510" s="837"/>
      <c r="L510" s="837"/>
      <c r="M510" s="837"/>
      <c r="N510" s="837">
        <v>0</v>
      </c>
      <c r="O510" s="837"/>
      <c r="P510" s="837"/>
      <c r="Q510" s="1264"/>
      <c r="R510" s="1264"/>
      <c r="S510" s="1264"/>
      <c r="T510" s="1264"/>
      <c r="U510" s="1264"/>
      <c r="V510" s="1264"/>
      <c r="W510" s="1264"/>
      <c r="X510" s="1264"/>
      <c r="Y510" s="1264"/>
      <c r="Z510" s="1264"/>
    </row>
    <row r="511" spans="1:26" ht="18.75" hidden="1">
      <c r="A511" s="1294"/>
      <c r="B511" s="1265"/>
      <c r="C511" s="1265"/>
      <c r="D511" s="1265"/>
      <c r="E511" s="1261"/>
      <c r="F511" s="1261" t="s">
        <v>189</v>
      </c>
      <c r="G511" s="1263"/>
      <c r="H511" s="165" t="s">
        <v>12</v>
      </c>
      <c r="I511" s="836"/>
      <c r="J511" s="836"/>
      <c r="K511" s="837"/>
      <c r="L511" s="837"/>
      <c r="M511" s="837"/>
      <c r="N511" s="837">
        <v>0</v>
      </c>
      <c r="O511" s="837"/>
      <c r="P511" s="837"/>
      <c r="Q511" s="1264"/>
      <c r="R511" s="1264"/>
      <c r="S511" s="1264"/>
      <c r="T511" s="1264"/>
      <c r="U511" s="1264"/>
      <c r="V511" s="1264"/>
      <c r="W511" s="1264"/>
      <c r="X511" s="1264"/>
      <c r="Y511" s="1264"/>
      <c r="Z511" s="1264"/>
    </row>
    <row r="512" spans="1:26" ht="18.75" hidden="1">
      <c r="A512" s="1260"/>
      <c r="B512" s="1265"/>
      <c r="C512" s="1265"/>
      <c r="D512" s="1293" t="s">
        <v>21</v>
      </c>
      <c r="E512" s="1265"/>
      <c r="F512" s="1261"/>
      <c r="G512" s="1263"/>
      <c r="H512" s="169" t="s">
        <v>12</v>
      </c>
      <c r="I512" s="947"/>
      <c r="J512" s="947"/>
      <c r="K512" s="948"/>
      <c r="L512" s="837">
        <f t="shared" ref="L512:N512" si="221">L513+L514</f>
        <v>0</v>
      </c>
      <c r="M512" s="837">
        <f t="shared" si="221"/>
        <v>0</v>
      </c>
      <c r="N512" s="837">
        <f t="shared" si="221"/>
        <v>0</v>
      </c>
      <c r="O512" s="837">
        <f t="shared" ref="O512:O514" si="222">IF(L512&gt;0,N512*100/L512,0)</f>
        <v>0</v>
      </c>
      <c r="P512" s="837">
        <f t="shared" ref="P512:P514" si="223">IF(M512&gt;0,N512*100/M512,0)</f>
        <v>0</v>
      </c>
      <c r="Q512" s="1264"/>
      <c r="R512" s="1264"/>
      <c r="S512" s="1264"/>
      <c r="T512" s="1264"/>
      <c r="U512" s="1264"/>
      <c r="V512" s="1264"/>
      <c r="W512" s="1264"/>
      <c r="X512" s="1264"/>
      <c r="Y512" s="1264"/>
      <c r="Z512" s="1264"/>
    </row>
    <row r="513" spans="1:26" ht="18.75" hidden="1">
      <c r="A513" s="1260"/>
      <c r="B513" s="1265"/>
      <c r="C513" s="1265"/>
      <c r="D513" s="1265"/>
      <c r="E513" s="1265" t="s">
        <v>18</v>
      </c>
      <c r="F513" s="1261"/>
      <c r="G513" s="1263"/>
      <c r="H513" s="165" t="s">
        <v>12</v>
      </c>
      <c r="I513" s="947"/>
      <c r="J513" s="947"/>
      <c r="K513" s="948"/>
      <c r="L513" s="837">
        <v>0</v>
      </c>
      <c r="M513" s="837">
        <v>0</v>
      </c>
      <c r="N513" s="837">
        <v>0</v>
      </c>
      <c r="O513" s="837">
        <f t="shared" si="222"/>
        <v>0</v>
      </c>
      <c r="P513" s="837">
        <f t="shared" si="223"/>
        <v>0</v>
      </c>
      <c r="Q513" s="1264"/>
      <c r="R513" s="1264"/>
      <c r="S513" s="1264"/>
      <c r="T513" s="1264"/>
      <c r="U513" s="1264"/>
      <c r="V513" s="1264"/>
      <c r="W513" s="1264"/>
      <c r="X513" s="1264"/>
      <c r="Y513" s="1264"/>
      <c r="Z513" s="1264"/>
    </row>
    <row r="514" spans="1:26" ht="18.75" hidden="1">
      <c r="A514" s="1260"/>
      <c r="B514" s="1265"/>
      <c r="C514" s="1265"/>
      <c r="D514" s="1261"/>
      <c r="E514" s="1265" t="s">
        <v>19</v>
      </c>
      <c r="F514" s="1261"/>
      <c r="G514" s="1263"/>
      <c r="H514" s="169" t="s">
        <v>12</v>
      </c>
      <c r="I514" s="947"/>
      <c r="J514" s="947"/>
      <c r="K514" s="948"/>
      <c r="L514" s="837">
        <v>0</v>
      </c>
      <c r="M514" s="837">
        <v>0</v>
      </c>
      <c r="N514" s="837">
        <v>0</v>
      </c>
      <c r="O514" s="837">
        <f t="shared" si="222"/>
        <v>0</v>
      </c>
      <c r="P514" s="837">
        <f t="shared" si="223"/>
        <v>0</v>
      </c>
      <c r="Q514" s="1264"/>
      <c r="R514" s="1264"/>
      <c r="S514" s="1264"/>
      <c r="T514" s="1264"/>
      <c r="U514" s="1264"/>
      <c r="V514" s="1264"/>
      <c r="W514" s="1264"/>
      <c r="X514" s="1264"/>
      <c r="Y514" s="1264"/>
      <c r="Z514" s="1264"/>
    </row>
    <row r="515" spans="1:26" ht="19.5" hidden="1">
      <c r="A515" s="1273"/>
      <c r="B515" s="1274"/>
      <c r="C515" s="1265" t="s">
        <v>16</v>
      </c>
      <c r="D515" s="1295" t="s">
        <v>38</v>
      </c>
      <c r="E515" s="1296"/>
      <c r="F515" s="1296"/>
      <c r="G515" s="1297"/>
      <c r="H515" s="1060"/>
      <c r="I515" s="947"/>
      <c r="J515" s="947"/>
      <c r="K515" s="948"/>
      <c r="L515" s="948"/>
      <c r="M515" s="948"/>
      <c r="N515" s="948"/>
      <c r="O515" s="948"/>
      <c r="P515" s="948"/>
      <c r="Q515" s="1264"/>
      <c r="R515" s="1264"/>
      <c r="S515" s="1264"/>
      <c r="T515" s="1264"/>
      <c r="U515" s="1264"/>
      <c r="V515" s="1264"/>
      <c r="W515" s="1264"/>
      <c r="X515" s="1264"/>
      <c r="Y515" s="1264"/>
      <c r="Z515" s="1264"/>
    </row>
    <row r="516" spans="1:26" ht="18.75" hidden="1">
      <c r="A516" s="1273"/>
      <c r="B516" s="1274"/>
      <c r="C516" s="1274"/>
      <c r="D516" s="1274" t="s">
        <v>221</v>
      </c>
      <c r="E516" s="1262"/>
      <c r="F516" s="1262"/>
      <c r="G516" s="1060"/>
      <c r="H516" s="619" t="s">
        <v>109</v>
      </c>
      <c r="I516" s="836"/>
      <c r="J516" s="836">
        <v>0</v>
      </c>
      <c r="K516" s="948">
        <f t="shared" ref="K516:K517" si="224">IF(I516&gt;0,J516*100/I516,0)</f>
        <v>0</v>
      </c>
      <c r="L516" s="948"/>
      <c r="M516" s="948"/>
      <c r="N516" s="948"/>
      <c r="O516" s="948"/>
      <c r="P516" s="948"/>
      <c r="Q516" s="1264"/>
      <c r="R516" s="1264"/>
      <c r="S516" s="1264"/>
      <c r="T516" s="1264"/>
      <c r="U516" s="1264"/>
      <c r="V516" s="1264"/>
      <c r="W516" s="1264"/>
      <c r="X516" s="1264"/>
      <c r="Y516" s="1264"/>
      <c r="Z516" s="1264"/>
    </row>
    <row r="517" spans="1:26" ht="19.5" hidden="1">
      <c r="A517" s="1273"/>
      <c r="B517" s="1274"/>
      <c r="C517" s="1274"/>
      <c r="D517" s="1274" t="s">
        <v>222</v>
      </c>
      <c r="E517" s="1262"/>
      <c r="F517" s="1262"/>
      <c r="G517" s="1060"/>
      <c r="H517" s="620" t="s">
        <v>35</v>
      </c>
      <c r="I517" s="1298"/>
      <c r="J517" s="1298">
        <f>J518+J519</f>
        <v>0</v>
      </c>
      <c r="K517" s="1299">
        <f t="shared" si="224"/>
        <v>0</v>
      </c>
      <c r="L517" s="948"/>
      <c r="M517" s="948"/>
      <c r="N517" s="948"/>
      <c r="O517" s="948"/>
      <c r="P517" s="948"/>
      <c r="Q517" s="1264"/>
      <c r="R517" s="1264"/>
      <c r="S517" s="1264"/>
      <c r="T517" s="1264"/>
      <c r="U517" s="1264"/>
      <c r="V517" s="1264"/>
      <c r="W517" s="1264"/>
      <c r="X517" s="1264"/>
      <c r="Y517" s="1264"/>
      <c r="Z517" s="1264"/>
    </row>
    <row r="518" spans="1:26" ht="18.75" hidden="1">
      <c r="A518" s="1273"/>
      <c r="B518" s="1274"/>
      <c r="C518" s="1274"/>
      <c r="D518" s="1274"/>
      <c r="E518" s="1274" t="s">
        <v>223</v>
      </c>
      <c r="F518" s="1262"/>
      <c r="G518" s="1060"/>
      <c r="H518" s="583" t="s">
        <v>35</v>
      </c>
      <c r="I518" s="836"/>
      <c r="J518" s="836"/>
      <c r="K518" s="948"/>
      <c r="L518" s="948"/>
      <c r="M518" s="948"/>
      <c r="N518" s="948"/>
      <c r="O518" s="948"/>
      <c r="P518" s="948"/>
      <c r="Q518" s="1264"/>
      <c r="R518" s="1264"/>
      <c r="S518" s="1264"/>
      <c r="T518" s="1264"/>
      <c r="U518" s="1264"/>
      <c r="V518" s="1264"/>
      <c r="W518" s="1264"/>
      <c r="X518" s="1264"/>
      <c r="Y518" s="1264"/>
      <c r="Z518" s="1264"/>
    </row>
    <row r="519" spans="1:26" ht="18.75" hidden="1">
      <c r="A519" s="1273"/>
      <c r="B519" s="1274"/>
      <c r="C519" s="1274"/>
      <c r="D519" s="1274"/>
      <c r="E519" s="1274" t="s">
        <v>224</v>
      </c>
      <c r="F519" s="1262"/>
      <c r="G519" s="1060"/>
      <c r="H519" s="619" t="s">
        <v>35</v>
      </c>
      <c r="I519" s="836"/>
      <c r="J519" s="836"/>
      <c r="K519" s="948"/>
      <c r="L519" s="948"/>
      <c r="M519" s="948"/>
      <c r="N519" s="948"/>
      <c r="O519" s="948"/>
      <c r="P519" s="948"/>
      <c r="Q519" s="1264"/>
      <c r="R519" s="1264"/>
      <c r="S519" s="1264"/>
      <c r="T519" s="1264"/>
      <c r="U519" s="1264"/>
      <c r="V519" s="1264"/>
      <c r="W519" s="1264"/>
      <c r="X519" s="1264"/>
      <c r="Y519" s="1264"/>
      <c r="Z519" s="1264"/>
    </row>
    <row r="520" spans="1:26" ht="19.5">
      <c r="A520" s="1300" t="s">
        <v>137</v>
      </c>
      <c r="B520" s="1301"/>
      <c r="C520" s="1301"/>
      <c r="D520" s="1302"/>
      <c r="E520" s="1302"/>
      <c r="F520" s="1302"/>
      <c r="G520" s="1303"/>
      <c r="H520" s="1304"/>
      <c r="I520" s="1305"/>
      <c r="J520" s="1305"/>
      <c r="K520" s="1306"/>
      <c r="L520" s="1306"/>
      <c r="M520" s="1306"/>
      <c r="N520" s="1306"/>
      <c r="O520" s="1306"/>
      <c r="P520" s="1306"/>
    </row>
    <row r="521" spans="1:26" ht="19.5" hidden="1">
      <c r="A521" s="630">
        <v>5</v>
      </c>
      <c r="B521" s="1307" t="s">
        <v>225</v>
      </c>
      <c r="C521" s="1308"/>
      <c r="D521" s="1309"/>
      <c r="E521" s="1309"/>
      <c r="F521" s="1309"/>
      <c r="G521" s="1309"/>
      <c r="H521" s="1310"/>
      <c r="I521" s="1311"/>
      <c r="J521" s="1311"/>
      <c r="K521" s="1312"/>
      <c r="L521" s="1312"/>
      <c r="M521" s="1312"/>
      <c r="N521" s="1312"/>
      <c r="O521" s="1312"/>
      <c r="P521" s="1312"/>
      <c r="Q521" s="1244"/>
      <c r="R521" s="1244"/>
      <c r="S521" s="1244"/>
      <c r="T521" s="1244"/>
      <c r="U521" s="1244"/>
      <c r="V521" s="1244"/>
      <c r="W521" s="1244"/>
      <c r="X521" s="1244"/>
      <c r="Y521" s="1244"/>
      <c r="Z521" s="1244"/>
    </row>
    <row r="522" spans="1:26" ht="19.5" hidden="1">
      <c r="A522" s="1313"/>
      <c r="B522" s="1314" t="s">
        <v>226</v>
      </c>
      <c r="C522" s="1315"/>
      <c r="D522" s="1315"/>
      <c r="E522" s="1315"/>
      <c r="F522" s="1315"/>
      <c r="G522" s="1316"/>
      <c r="H522" s="641" t="s">
        <v>35</v>
      </c>
      <c r="I522" s="1317">
        <f t="shared" ref="I522:J522" ca="1" si="225">I537</f>
        <v>0</v>
      </c>
      <c r="J522" s="1317">
        <f t="shared" ca="1" si="225"/>
        <v>0</v>
      </c>
      <c r="K522" s="1318">
        <f ca="1">IF(I522&gt;0,J522*100/I522,0)</f>
        <v>0</v>
      </c>
      <c r="L522" s="1319"/>
      <c r="M522" s="1319"/>
      <c r="N522" s="1319"/>
      <c r="O522" s="1319"/>
      <c r="P522" s="1319"/>
      <c r="Q522" s="1244"/>
      <c r="R522" s="1244"/>
      <c r="S522" s="1244"/>
      <c r="T522" s="1244"/>
      <c r="U522" s="1244"/>
      <c r="V522" s="1244"/>
      <c r="W522" s="1244"/>
      <c r="X522" s="1244"/>
      <c r="Y522" s="1244"/>
      <c r="Z522" s="1244"/>
    </row>
    <row r="523" spans="1:26" ht="19.5" hidden="1">
      <c r="A523" s="1259"/>
      <c r="B523" s="1243"/>
      <c r="C523" s="1243" t="s">
        <v>16</v>
      </c>
      <c r="D523" s="1507" t="s">
        <v>17</v>
      </c>
      <c r="E523" s="1485"/>
      <c r="F523" s="1485"/>
      <c r="G523" s="963"/>
      <c r="H523" s="563" t="s">
        <v>12</v>
      </c>
      <c r="I523" s="830"/>
      <c r="J523" s="830"/>
      <c r="K523" s="831"/>
      <c r="L523" s="967">
        <f t="shared" ref="L523:N523" ca="1" si="226">L524+L525</f>
        <v>0</v>
      </c>
      <c r="M523" s="967">
        <f t="shared" si="226"/>
        <v>0</v>
      </c>
      <c r="N523" s="967">
        <f t="shared" si="226"/>
        <v>0</v>
      </c>
      <c r="O523" s="967">
        <f t="shared" ref="O523:O528" ca="1" si="227">IF(L523&gt;0,N523*100/L523,0)</f>
        <v>0</v>
      </c>
      <c r="P523" s="967">
        <f t="shared" ref="P523:P528" si="228">IF(M523&gt;0,N523*100/M523,0)</f>
        <v>0</v>
      </c>
      <c r="Q523" s="1244"/>
      <c r="R523" s="1244"/>
      <c r="S523" s="1244"/>
      <c r="T523" s="1244"/>
      <c r="U523" s="1244"/>
      <c r="V523" s="1244"/>
      <c r="W523" s="1244"/>
      <c r="X523" s="1244"/>
      <c r="Y523" s="1244"/>
      <c r="Z523" s="1244"/>
    </row>
    <row r="524" spans="1:26" ht="18.75" hidden="1">
      <c r="A524" s="1260"/>
      <c r="B524" s="1261"/>
      <c r="C524" s="1261"/>
      <c r="D524" s="1262"/>
      <c r="E524" s="1261" t="s">
        <v>184</v>
      </c>
      <c r="F524" s="1261"/>
      <c r="G524" s="1263"/>
      <c r="H524" s="165" t="s">
        <v>12</v>
      </c>
      <c r="I524" s="836"/>
      <c r="J524" s="836"/>
      <c r="K524" s="837"/>
      <c r="L524" s="837">
        <f t="shared" ref="L524:N525" si="229">L527+L534</f>
        <v>0</v>
      </c>
      <c r="M524" s="837">
        <f t="shared" si="229"/>
        <v>0</v>
      </c>
      <c r="N524" s="837">
        <f t="shared" si="229"/>
        <v>0</v>
      </c>
      <c r="O524" s="837">
        <f t="shared" si="227"/>
        <v>0</v>
      </c>
      <c r="P524" s="837">
        <f t="shared" si="228"/>
        <v>0</v>
      </c>
      <c r="Q524" s="1264"/>
      <c r="R524" s="1264"/>
      <c r="S524" s="1264"/>
      <c r="T524" s="1264"/>
      <c r="U524" s="1264"/>
      <c r="V524" s="1264"/>
      <c r="W524" s="1264"/>
      <c r="X524" s="1264"/>
      <c r="Y524" s="1264"/>
      <c r="Z524" s="1264"/>
    </row>
    <row r="525" spans="1:26" ht="18.75" hidden="1">
      <c r="A525" s="1260"/>
      <c r="B525" s="1265"/>
      <c r="C525" s="1261"/>
      <c r="D525" s="1262"/>
      <c r="E525" s="1261" t="s">
        <v>185</v>
      </c>
      <c r="F525" s="1261"/>
      <c r="G525" s="1263"/>
      <c r="H525" s="165" t="s">
        <v>12</v>
      </c>
      <c r="I525" s="836"/>
      <c r="J525" s="836"/>
      <c r="K525" s="837"/>
      <c r="L525" s="837">
        <f t="shared" ca="1" si="229"/>
        <v>0</v>
      </c>
      <c r="M525" s="837">
        <f t="shared" si="229"/>
        <v>0</v>
      </c>
      <c r="N525" s="837">
        <f t="shared" si="229"/>
        <v>0</v>
      </c>
      <c r="O525" s="837">
        <f t="shared" ca="1" si="227"/>
        <v>0</v>
      </c>
      <c r="P525" s="837">
        <f t="shared" si="228"/>
        <v>0</v>
      </c>
      <c r="Q525" s="1264"/>
      <c r="R525" s="1264"/>
      <c r="S525" s="1264"/>
      <c r="T525" s="1264"/>
      <c r="U525" s="1264"/>
      <c r="V525" s="1264"/>
      <c r="W525" s="1264"/>
      <c r="X525" s="1264"/>
      <c r="Y525" s="1264"/>
      <c r="Z525" s="1264"/>
    </row>
    <row r="526" spans="1:26" ht="18.75" hidden="1">
      <c r="A526" s="1259"/>
      <c r="B526" s="1242"/>
      <c r="C526" s="1243"/>
      <c r="D526" s="1266" t="s">
        <v>20</v>
      </c>
      <c r="E526" s="1243"/>
      <c r="F526" s="1243"/>
      <c r="G526" s="963"/>
      <c r="H526" s="778" t="s">
        <v>12</v>
      </c>
      <c r="I526" s="944"/>
      <c r="J526" s="944"/>
      <c r="K526" s="945"/>
      <c r="L526" s="831">
        <f t="shared" ref="L526:N526" ca="1" si="230">L527+L528</f>
        <v>0</v>
      </c>
      <c r="M526" s="831">
        <f t="shared" si="230"/>
        <v>0</v>
      </c>
      <c r="N526" s="831">
        <f t="shared" si="230"/>
        <v>0</v>
      </c>
      <c r="O526" s="831">
        <f t="shared" ca="1" si="227"/>
        <v>0</v>
      </c>
      <c r="P526" s="831">
        <f t="shared" si="228"/>
        <v>0</v>
      </c>
      <c r="Q526" s="1244"/>
      <c r="R526" s="1244"/>
      <c r="S526" s="1244"/>
      <c r="T526" s="1244"/>
      <c r="U526" s="1244"/>
      <c r="V526" s="1244"/>
      <c r="W526" s="1244"/>
      <c r="X526" s="1244"/>
      <c r="Y526" s="1244"/>
      <c r="Z526" s="1244"/>
    </row>
    <row r="527" spans="1:26" ht="18.75" hidden="1">
      <c r="A527" s="1260"/>
      <c r="B527" s="1265"/>
      <c r="C527" s="1261"/>
      <c r="D527" s="1262"/>
      <c r="E527" s="1261" t="s">
        <v>184</v>
      </c>
      <c r="F527" s="1261"/>
      <c r="G527" s="1263"/>
      <c r="H527" s="165" t="s">
        <v>12</v>
      </c>
      <c r="I527" s="836"/>
      <c r="J527" s="836"/>
      <c r="K527" s="837"/>
      <c r="L527" s="837">
        <v>0</v>
      </c>
      <c r="M527" s="837">
        <v>0</v>
      </c>
      <c r="N527" s="837">
        <v>0</v>
      </c>
      <c r="O527" s="837">
        <f t="shared" si="227"/>
        <v>0</v>
      </c>
      <c r="P527" s="837">
        <f t="shared" si="228"/>
        <v>0</v>
      </c>
      <c r="Q527" s="1264"/>
      <c r="R527" s="1264"/>
      <c r="S527" s="1264"/>
      <c r="T527" s="1264"/>
      <c r="U527" s="1264"/>
      <c r="V527" s="1264"/>
      <c r="W527" s="1264"/>
      <c r="X527" s="1264"/>
      <c r="Y527" s="1264"/>
      <c r="Z527" s="1264"/>
    </row>
    <row r="528" spans="1:26" ht="18.75" hidden="1">
      <c r="A528" s="1260"/>
      <c r="B528" s="1265"/>
      <c r="C528" s="1261"/>
      <c r="D528" s="1262"/>
      <c r="E528" s="1261" t="s">
        <v>185</v>
      </c>
      <c r="F528" s="1261"/>
      <c r="G528" s="1263"/>
      <c r="H528" s="165" t="s">
        <v>12</v>
      </c>
      <c r="I528" s="836"/>
      <c r="J528" s="836"/>
      <c r="K528" s="837"/>
      <c r="L528" s="837">
        <f ca="1">IFERROR(__xludf.DUMMYFUNCTION("IMPORTRANGE(""https://docs.google.com/spreadsheets/d/1QqKyyYR6Q21VydFLVH3TRQUabQu_ym0Zz7PgGX0-kHA/edit?usp=sharing"",""แผน!GQ18"")"),0)</f>
        <v>0</v>
      </c>
      <c r="M528" s="837">
        <v>0</v>
      </c>
      <c r="N528" s="837">
        <f>N529+N530+N531+N532</f>
        <v>0</v>
      </c>
      <c r="O528" s="837">
        <f t="shared" ca="1" si="227"/>
        <v>0</v>
      </c>
      <c r="P528" s="837">
        <f t="shared" si="228"/>
        <v>0</v>
      </c>
      <c r="Q528" s="1264"/>
      <c r="R528" s="1264"/>
      <c r="S528" s="1264"/>
      <c r="T528" s="1264"/>
      <c r="U528" s="1264"/>
      <c r="V528" s="1264"/>
      <c r="W528" s="1264"/>
      <c r="X528" s="1264"/>
      <c r="Y528" s="1264"/>
      <c r="Z528" s="1264"/>
    </row>
    <row r="529" spans="1:26" ht="18.75" hidden="1">
      <c r="A529" s="1241"/>
      <c r="B529" s="1242"/>
      <c r="C529" s="1243"/>
      <c r="D529" s="1243"/>
      <c r="E529" s="1243"/>
      <c r="F529" s="1243" t="s">
        <v>186</v>
      </c>
      <c r="G529" s="963"/>
      <c r="H529" s="778" t="s">
        <v>12</v>
      </c>
      <c r="I529" s="830"/>
      <c r="J529" s="830"/>
      <c r="K529" s="831"/>
      <c r="L529" s="831"/>
      <c r="M529" s="831"/>
      <c r="N529" s="1031">
        <v>0</v>
      </c>
      <c r="O529" s="831"/>
      <c r="P529" s="831"/>
      <c r="Q529" s="1244"/>
      <c r="R529" s="1244"/>
      <c r="S529" s="1244"/>
      <c r="T529" s="1244"/>
      <c r="U529" s="1244"/>
      <c r="V529" s="1244"/>
      <c r="W529" s="1244"/>
      <c r="X529" s="1244"/>
      <c r="Y529" s="1244"/>
      <c r="Z529" s="1244"/>
    </row>
    <row r="530" spans="1:26" ht="18.75" hidden="1">
      <c r="A530" s="1241"/>
      <c r="B530" s="1242"/>
      <c r="C530" s="1243"/>
      <c r="D530" s="1243"/>
      <c r="E530" s="1243"/>
      <c r="F530" s="1243" t="s">
        <v>187</v>
      </c>
      <c r="G530" s="963"/>
      <c r="H530" s="778" t="s">
        <v>12</v>
      </c>
      <c r="I530" s="830"/>
      <c r="J530" s="830"/>
      <c r="K530" s="831"/>
      <c r="L530" s="831"/>
      <c r="M530" s="831"/>
      <c r="N530" s="1031">
        <v>0</v>
      </c>
      <c r="O530" s="831"/>
      <c r="P530" s="831"/>
      <c r="Q530" s="1244"/>
      <c r="R530" s="1244"/>
      <c r="S530" s="1244"/>
      <c r="T530" s="1244"/>
      <c r="U530" s="1244"/>
      <c r="V530" s="1244"/>
      <c r="W530" s="1244"/>
      <c r="X530" s="1244"/>
      <c r="Y530" s="1244"/>
      <c r="Z530" s="1244"/>
    </row>
    <row r="531" spans="1:26" ht="18.75" hidden="1">
      <c r="A531" s="1241"/>
      <c r="B531" s="1242"/>
      <c r="C531" s="1243"/>
      <c r="D531" s="1243"/>
      <c r="E531" s="1243"/>
      <c r="F531" s="1243" t="s">
        <v>188</v>
      </c>
      <c r="G531" s="963"/>
      <c r="H531" s="778" t="s">
        <v>12</v>
      </c>
      <c r="I531" s="830"/>
      <c r="J531" s="830"/>
      <c r="K531" s="831"/>
      <c r="L531" s="831"/>
      <c r="M531" s="831"/>
      <c r="N531" s="1031">
        <v>0</v>
      </c>
      <c r="O531" s="831"/>
      <c r="P531" s="831"/>
      <c r="Q531" s="1244"/>
      <c r="R531" s="1244"/>
      <c r="S531" s="1244"/>
      <c r="T531" s="1244"/>
      <c r="U531" s="1244"/>
      <c r="V531" s="1244"/>
      <c r="W531" s="1244"/>
      <c r="X531" s="1244"/>
      <c r="Y531" s="1244"/>
      <c r="Z531" s="1244"/>
    </row>
    <row r="532" spans="1:26" ht="18.75" hidden="1">
      <c r="A532" s="1241"/>
      <c r="B532" s="1242"/>
      <c r="C532" s="1243"/>
      <c r="D532" s="1243"/>
      <c r="E532" s="1243"/>
      <c r="F532" s="1243" t="s">
        <v>189</v>
      </c>
      <c r="G532" s="963"/>
      <c r="H532" s="778" t="s">
        <v>12</v>
      </c>
      <c r="I532" s="830"/>
      <c r="J532" s="830"/>
      <c r="K532" s="831"/>
      <c r="L532" s="831"/>
      <c r="M532" s="831"/>
      <c r="N532" s="1031">
        <v>0</v>
      </c>
      <c r="O532" s="831"/>
      <c r="P532" s="831"/>
      <c r="Q532" s="1244"/>
      <c r="R532" s="1244"/>
      <c r="S532" s="1244"/>
      <c r="T532" s="1244"/>
      <c r="U532" s="1244"/>
      <c r="V532" s="1244"/>
      <c r="W532" s="1244"/>
      <c r="X532" s="1244"/>
      <c r="Y532" s="1244"/>
      <c r="Z532" s="1244"/>
    </row>
    <row r="533" spans="1:26" ht="18.75" hidden="1">
      <c r="A533" s="1259"/>
      <c r="B533" s="1242"/>
      <c r="C533" s="1243"/>
      <c r="D533" s="1266" t="s">
        <v>21</v>
      </c>
      <c r="E533" s="1243"/>
      <c r="F533" s="1243"/>
      <c r="G533" s="963"/>
      <c r="H533" s="168" t="s">
        <v>12</v>
      </c>
      <c r="I533" s="944"/>
      <c r="J533" s="944"/>
      <c r="K533" s="945"/>
      <c r="L533" s="831">
        <f t="shared" ref="L533:N533" ca="1" si="231">L534+L535</f>
        <v>0</v>
      </c>
      <c r="M533" s="831">
        <f t="shared" si="231"/>
        <v>0</v>
      </c>
      <c r="N533" s="831">
        <f t="shared" si="231"/>
        <v>0</v>
      </c>
      <c r="O533" s="831">
        <f t="shared" ref="O533:O535" ca="1" si="232">IF(L533&gt;0,N533*100/L533,0)</f>
        <v>0</v>
      </c>
      <c r="P533" s="831">
        <f t="shared" ref="P533:P535" si="233">IF(M533&gt;0,N533*100/M533,0)</f>
        <v>0</v>
      </c>
      <c r="Q533" s="1244"/>
      <c r="R533" s="1244"/>
      <c r="S533" s="1244"/>
      <c r="T533" s="1244"/>
      <c r="U533" s="1244"/>
      <c r="V533" s="1244"/>
      <c r="W533" s="1244"/>
      <c r="X533" s="1244"/>
      <c r="Y533" s="1244"/>
      <c r="Z533" s="1244"/>
    </row>
    <row r="534" spans="1:26" ht="18.75" hidden="1">
      <c r="A534" s="1260"/>
      <c r="B534" s="1265"/>
      <c r="C534" s="1261"/>
      <c r="D534" s="1261"/>
      <c r="E534" s="1261" t="s">
        <v>18</v>
      </c>
      <c r="F534" s="1261"/>
      <c r="G534" s="1263"/>
      <c r="H534" s="165" t="s">
        <v>12</v>
      </c>
      <c r="I534" s="947"/>
      <c r="J534" s="947"/>
      <c r="K534" s="948"/>
      <c r="L534" s="837">
        <v>0</v>
      </c>
      <c r="M534" s="837">
        <v>0</v>
      </c>
      <c r="N534" s="837">
        <v>0</v>
      </c>
      <c r="O534" s="837">
        <f t="shared" si="232"/>
        <v>0</v>
      </c>
      <c r="P534" s="837">
        <f t="shared" si="233"/>
        <v>0</v>
      </c>
      <c r="Q534" s="1264"/>
      <c r="R534" s="1264"/>
      <c r="S534" s="1264"/>
      <c r="T534" s="1264"/>
      <c r="U534" s="1264"/>
      <c r="V534" s="1264"/>
      <c r="W534" s="1264"/>
      <c r="X534" s="1264"/>
      <c r="Y534" s="1264"/>
      <c r="Z534" s="1264"/>
    </row>
    <row r="535" spans="1:26" ht="18.75" hidden="1">
      <c r="A535" s="1260"/>
      <c r="B535" s="1265"/>
      <c r="C535" s="1261"/>
      <c r="D535" s="1261"/>
      <c r="E535" s="1261" t="s">
        <v>19</v>
      </c>
      <c r="F535" s="1261"/>
      <c r="G535" s="1263"/>
      <c r="H535" s="169" t="s">
        <v>12</v>
      </c>
      <c r="I535" s="947"/>
      <c r="J535" s="947"/>
      <c r="K535" s="948"/>
      <c r="L535" s="837">
        <f ca="1">IFERROR(__xludf.DUMMYFUNCTION("IMPORTRANGE(""https://docs.google.com/spreadsheets/d/1QqKyyYR6Q21VydFLVH3TRQUabQu_ym0Zz7PgGX0-kHA/edit?usp=sharing"",""แผน!GT18"")"),0)</f>
        <v>0</v>
      </c>
      <c r="M535" s="837">
        <v>0</v>
      </c>
      <c r="N535" s="837">
        <v>0</v>
      </c>
      <c r="O535" s="837">
        <f t="shared" ca="1" si="232"/>
        <v>0</v>
      </c>
      <c r="P535" s="837">
        <f t="shared" si="233"/>
        <v>0</v>
      </c>
      <c r="Q535" s="1264"/>
      <c r="R535" s="1264"/>
      <c r="S535" s="1264"/>
      <c r="T535" s="1264"/>
      <c r="U535" s="1264"/>
      <c r="V535" s="1264"/>
      <c r="W535" s="1264"/>
      <c r="X535" s="1264"/>
      <c r="Y535" s="1264"/>
      <c r="Z535" s="1264"/>
    </row>
    <row r="536" spans="1:26" ht="19.5" hidden="1">
      <c r="A536" s="1267"/>
      <c r="B536" s="1268"/>
      <c r="C536" s="1243" t="s">
        <v>16</v>
      </c>
      <c r="D536" s="1320" t="s">
        <v>38</v>
      </c>
      <c r="E536" s="1271"/>
      <c r="F536" s="1271"/>
      <c r="G536" s="1272"/>
      <c r="H536" s="954"/>
      <c r="I536" s="944"/>
      <c r="J536" s="944"/>
      <c r="K536" s="945"/>
      <c r="L536" s="945"/>
      <c r="M536" s="945"/>
      <c r="N536" s="945"/>
      <c r="O536" s="945"/>
      <c r="P536" s="945"/>
      <c r="Q536" s="1244"/>
      <c r="R536" s="1244"/>
      <c r="S536" s="1244"/>
      <c r="T536" s="1244"/>
      <c r="U536" s="1244"/>
      <c r="V536" s="1244"/>
      <c r="W536" s="1244"/>
      <c r="X536" s="1244"/>
      <c r="Y536" s="1244"/>
      <c r="Z536" s="1244"/>
    </row>
    <row r="537" spans="1:26" ht="19.5" hidden="1">
      <c r="A537" s="1241"/>
      <c r="B537" s="1242"/>
      <c r="C537" s="1243"/>
      <c r="D537" s="1243" t="s">
        <v>227</v>
      </c>
      <c r="E537" s="1243"/>
      <c r="F537" s="1243"/>
      <c r="G537" s="963"/>
      <c r="H537" s="590" t="s">
        <v>35</v>
      </c>
      <c r="I537" s="966">
        <f ca="1">IFERROR(__xludf.DUMMYFUNCTION("IMPORTRANGE(""https://docs.google.com/spreadsheets/d/1QqKyyYR6Q21VydFLVH3TRQUabQu_ym0Zz7PgGX0-kHA/edit?usp=sharing"",""แผน!GU18"")"),0)</f>
        <v>0</v>
      </c>
      <c r="J537" s="966">
        <f ca="1">IF(AND(J538=I538,J539=I539,J540=I540,J541=I541),I537,0)</f>
        <v>0</v>
      </c>
      <c r="K537" s="831">
        <f t="shared" ref="K537:K543" ca="1" si="234">IF(I537&gt;0,J537*100/I537,0)</f>
        <v>0</v>
      </c>
      <c r="L537" s="831"/>
      <c r="M537" s="831"/>
      <c r="N537" s="831"/>
      <c r="O537" s="831"/>
      <c r="P537" s="831"/>
      <c r="Q537" s="1321"/>
      <c r="R537" s="1321"/>
      <c r="S537" s="1321"/>
      <c r="T537" s="1321"/>
      <c r="U537" s="1321"/>
      <c r="V537" s="1321"/>
      <c r="W537" s="1321"/>
      <c r="X537" s="1321"/>
      <c r="Y537" s="1321"/>
      <c r="Z537" s="1321"/>
    </row>
    <row r="538" spans="1:26" ht="18.75" hidden="1">
      <c r="A538" s="1241"/>
      <c r="B538" s="1242"/>
      <c r="C538" s="1243"/>
      <c r="D538" s="1243"/>
      <c r="E538" s="1243" t="s">
        <v>228</v>
      </c>
      <c r="F538" s="1243"/>
      <c r="G538" s="963"/>
      <c r="H538" s="590" t="s">
        <v>35</v>
      </c>
      <c r="I538" s="830">
        <f ca="1">IFERROR(__xludf.DUMMYFUNCTION("IMPORTRANGE(""https://docs.google.com/spreadsheets/d/1QqKyyYR6Q21VydFLVH3TRQUabQu_ym0Zz7PgGX0-kHA/edit?usp=sharing"",""แผน!GV18"")"),0)</f>
        <v>0</v>
      </c>
      <c r="J538" s="959">
        <v>0</v>
      </c>
      <c r="K538" s="831">
        <f t="shared" ca="1" si="234"/>
        <v>0</v>
      </c>
      <c r="L538" s="831"/>
      <c r="M538" s="831"/>
      <c r="N538" s="831"/>
      <c r="O538" s="831"/>
      <c r="P538" s="831"/>
      <c r="Q538" s="1321"/>
      <c r="R538" s="1321"/>
      <c r="S538" s="1321"/>
      <c r="T538" s="1321"/>
      <c r="U538" s="1321"/>
      <c r="V538" s="1321"/>
      <c r="W538" s="1321"/>
      <c r="X538" s="1321"/>
      <c r="Y538" s="1321"/>
      <c r="Z538" s="1321"/>
    </row>
    <row r="539" spans="1:26" ht="18.75" hidden="1">
      <c r="A539" s="1241"/>
      <c r="B539" s="1242"/>
      <c r="C539" s="1243"/>
      <c r="D539" s="1243"/>
      <c r="E539" s="1243" t="s">
        <v>229</v>
      </c>
      <c r="F539" s="1243"/>
      <c r="G539" s="963"/>
      <c r="H539" s="590" t="s">
        <v>35</v>
      </c>
      <c r="I539" s="830">
        <f ca="1">IFERROR(__xludf.DUMMYFUNCTION("IMPORTRANGE(""https://docs.google.com/spreadsheets/d/1QqKyyYR6Q21VydFLVH3TRQUabQu_ym0Zz7PgGX0-kHA/edit?usp=sharing"",""แผน!GW18"")"),0)</f>
        <v>0</v>
      </c>
      <c r="J539" s="959">
        <v>0</v>
      </c>
      <c r="K539" s="831">
        <f t="shared" ca="1" si="234"/>
        <v>0</v>
      </c>
      <c r="L539" s="831"/>
      <c r="M539" s="831"/>
      <c r="N539" s="831"/>
      <c r="O539" s="831"/>
      <c r="P539" s="831"/>
      <c r="Q539" s="1321"/>
      <c r="R539" s="1321"/>
      <c r="S539" s="1321"/>
      <c r="T539" s="1321"/>
      <c r="U539" s="1321"/>
      <c r="V539" s="1321"/>
      <c r="W539" s="1321"/>
      <c r="X539" s="1321"/>
      <c r="Y539" s="1321"/>
      <c r="Z539" s="1321"/>
    </row>
    <row r="540" spans="1:26" ht="18.75" hidden="1">
      <c r="A540" s="1241"/>
      <c r="B540" s="1242"/>
      <c r="C540" s="1243"/>
      <c r="D540" s="1243"/>
      <c r="E540" s="1243" t="s">
        <v>230</v>
      </c>
      <c r="F540" s="1243"/>
      <c r="G540" s="963"/>
      <c r="H540" s="590" t="s">
        <v>35</v>
      </c>
      <c r="I540" s="830">
        <f ca="1">IFERROR(__xludf.DUMMYFUNCTION("IMPORTRANGE(""https://docs.google.com/spreadsheets/d/1QqKyyYR6Q21VydFLVH3TRQUabQu_ym0Zz7PgGX0-kHA/edit?usp=sharing"",""แผน!GX18"")"),0)</f>
        <v>0</v>
      </c>
      <c r="J540" s="959">
        <v>0</v>
      </c>
      <c r="K540" s="831">
        <f t="shared" ca="1" si="234"/>
        <v>0</v>
      </c>
      <c r="L540" s="831"/>
      <c r="M540" s="831"/>
      <c r="N540" s="831"/>
      <c r="O540" s="831"/>
      <c r="P540" s="831"/>
      <c r="Q540" s="1321"/>
      <c r="R540" s="1321"/>
      <c r="S540" s="1321"/>
      <c r="T540" s="1321"/>
      <c r="U540" s="1321"/>
      <c r="V540" s="1321"/>
      <c r="W540" s="1321"/>
      <c r="X540" s="1321"/>
      <c r="Y540" s="1321"/>
      <c r="Z540" s="1321"/>
    </row>
    <row r="541" spans="1:26" ht="18.75" hidden="1">
      <c r="A541" s="1241"/>
      <c r="B541" s="1242"/>
      <c r="C541" s="1243"/>
      <c r="D541" s="1243"/>
      <c r="E541" s="1322" t="s">
        <v>231</v>
      </c>
      <c r="F541" s="1243"/>
      <c r="G541" s="963"/>
      <c r="H541" s="590" t="s">
        <v>35</v>
      </c>
      <c r="I541" s="830">
        <f ca="1">IFERROR(__xludf.DUMMYFUNCTION("IMPORTRANGE(""https://docs.google.com/spreadsheets/d/1QqKyyYR6Q21VydFLVH3TRQUabQu_ym0Zz7PgGX0-kHA/edit?usp=sharing"",""แผน!GY18"")"),0)</f>
        <v>0</v>
      </c>
      <c r="J541" s="959">
        <v>0</v>
      </c>
      <c r="K541" s="831">
        <f t="shared" ca="1" si="234"/>
        <v>0</v>
      </c>
      <c r="L541" s="831"/>
      <c r="M541" s="831"/>
      <c r="N541" s="831"/>
      <c r="O541" s="831"/>
      <c r="P541" s="831"/>
      <c r="Q541" s="1321"/>
      <c r="R541" s="1321"/>
      <c r="S541" s="1321"/>
      <c r="T541" s="1321"/>
      <c r="U541" s="1321"/>
      <c r="V541" s="1321"/>
      <c r="W541" s="1321"/>
      <c r="X541" s="1321"/>
      <c r="Y541" s="1321"/>
      <c r="Z541" s="1321"/>
    </row>
    <row r="542" spans="1:26" ht="18.75" hidden="1">
      <c r="A542" s="1241"/>
      <c r="B542" s="1242"/>
      <c r="C542" s="1243"/>
      <c r="D542" s="1243" t="s">
        <v>59</v>
      </c>
      <c r="E542" s="1243"/>
      <c r="F542" s="1243"/>
      <c r="G542" s="963"/>
      <c r="H542" s="590" t="s">
        <v>35</v>
      </c>
      <c r="I542" s="830">
        <f ca="1">IFERROR(__xludf.DUMMYFUNCTION("IMPORTRANGE(""https://docs.google.com/spreadsheets/d/1QqKyyYR6Q21VydFLVH3TRQUabQu_ym0Zz7PgGX0-kHA/edit?usp=sharing"",""แผน!GZ18"")"),0)</f>
        <v>0</v>
      </c>
      <c r="J542" s="959">
        <v>0</v>
      </c>
      <c r="K542" s="831">
        <f t="shared" ca="1" si="234"/>
        <v>0</v>
      </c>
      <c r="L542" s="831"/>
      <c r="M542" s="831"/>
      <c r="N542" s="831"/>
      <c r="O542" s="831"/>
      <c r="P542" s="831"/>
      <c r="Q542" s="1321"/>
      <c r="R542" s="1321"/>
      <c r="S542" s="1321"/>
      <c r="T542" s="1321"/>
      <c r="U542" s="1321"/>
      <c r="V542" s="1321"/>
      <c r="W542" s="1321"/>
      <c r="X542" s="1321"/>
      <c r="Y542" s="1321"/>
      <c r="Z542" s="1321"/>
    </row>
    <row r="543" spans="1:26" ht="19.5">
      <c r="A543" s="630">
        <v>6</v>
      </c>
      <c r="B543" s="1323" t="s">
        <v>232</v>
      </c>
      <c r="C543" s="1309"/>
      <c r="D543" s="1309"/>
      <c r="E543" s="1309"/>
      <c r="F543" s="1309"/>
      <c r="G543" s="1310"/>
      <c r="H543" s="652" t="s">
        <v>46</v>
      </c>
      <c r="I543" s="1324">
        <f t="shared" ref="I543:J543" ca="1" si="235">I559</f>
        <v>47776</v>
      </c>
      <c r="J543" s="1324">
        <f t="shared" si="235"/>
        <v>0</v>
      </c>
      <c r="K543" s="1325">
        <f t="shared" ca="1" si="234"/>
        <v>0</v>
      </c>
      <c r="L543" s="1312"/>
      <c r="M543" s="1312"/>
      <c r="N543" s="1312"/>
      <c r="O543" s="1312"/>
      <c r="P543" s="1312"/>
      <c r="Q543" s="1244"/>
      <c r="R543" s="1244"/>
      <c r="S543" s="1244"/>
      <c r="T543" s="1244"/>
      <c r="U543" s="1244"/>
      <c r="V543" s="1244"/>
      <c r="W543" s="1244"/>
      <c r="X543" s="1244"/>
      <c r="Y543" s="1244"/>
      <c r="Z543" s="1244"/>
    </row>
    <row r="544" spans="1:26" ht="19.5">
      <c r="A544" s="1326"/>
      <c r="B544" s="1327"/>
      <c r="C544" s="1327" t="s">
        <v>16</v>
      </c>
      <c r="D544" s="1511" t="s">
        <v>17</v>
      </c>
      <c r="E544" s="1487"/>
      <c r="F544" s="1487"/>
      <c r="G544" s="1328"/>
      <c r="H544" s="275" t="s">
        <v>12</v>
      </c>
      <c r="I544" s="937"/>
      <c r="J544" s="937"/>
      <c r="K544" s="938"/>
      <c r="L544" s="939">
        <f t="shared" ref="L544:N544" ca="1" si="236">L545+L546</f>
        <v>412386</v>
      </c>
      <c r="M544" s="939">
        <f t="shared" si="236"/>
        <v>0</v>
      </c>
      <c r="N544" s="939">
        <f t="shared" si="236"/>
        <v>133857</v>
      </c>
      <c r="O544" s="939">
        <f t="shared" ref="O544:O549" ca="1" si="237">IF(L544&gt;0,N544*100/L544,0)</f>
        <v>32.459152347557868</v>
      </c>
      <c r="P544" s="939">
        <f t="shared" ref="P544:P549" si="238">IF(M544&gt;0,N544*100/M544,0)</f>
        <v>0</v>
      </c>
      <c r="Q544" s="1244"/>
      <c r="R544" s="1244"/>
      <c r="S544" s="1244"/>
      <c r="T544" s="1244"/>
      <c r="U544" s="1244"/>
      <c r="V544" s="1244"/>
      <c r="W544" s="1244"/>
      <c r="X544" s="1244"/>
      <c r="Y544" s="1244"/>
      <c r="Z544" s="1244"/>
    </row>
    <row r="545" spans="1:26" ht="18.75" hidden="1">
      <c r="A545" s="1260"/>
      <c r="B545" s="1261"/>
      <c r="C545" s="1261"/>
      <c r="D545" s="1261"/>
      <c r="E545" s="1261" t="s">
        <v>184</v>
      </c>
      <c r="F545" s="1261"/>
      <c r="G545" s="1263"/>
      <c r="H545" s="165" t="s">
        <v>12</v>
      </c>
      <c r="I545" s="836"/>
      <c r="J545" s="836"/>
      <c r="K545" s="837"/>
      <c r="L545" s="837">
        <f t="shared" ref="L545:L546" si="239">L548+L556</f>
        <v>0</v>
      </c>
      <c r="M545" s="837">
        <f t="shared" ref="M545:N546" si="240">M548+M555</f>
        <v>0</v>
      </c>
      <c r="N545" s="837">
        <f t="shared" si="240"/>
        <v>0</v>
      </c>
      <c r="O545" s="837">
        <f t="shared" si="237"/>
        <v>0</v>
      </c>
      <c r="P545" s="837">
        <f t="shared" si="238"/>
        <v>0</v>
      </c>
      <c r="Q545" s="1264"/>
      <c r="R545" s="1264"/>
      <c r="S545" s="1264"/>
      <c r="T545" s="1264"/>
      <c r="U545" s="1264"/>
      <c r="V545" s="1264"/>
      <c r="W545" s="1264"/>
      <c r="X545" s="1264"/>
      <c r="Y545" s="1264"/>
      <c r="Z545" s="1264"/>
    </row>
    <row r="546" spans="1:26" ht="18.75" hidden="1">
      <c r="A546" s="1260"/>
      <c r="B546" s="1265"/>
      <c r="C546" s="1261"/>
      <c r="D546" s="1261"/>
      <c r="E546" s="1261" t="s">
        <v>185</v>
      </c>
      <c r="F546" s="1261"/>
      <c r="G546" s="1263"/>
      <c r="H546" s="165" t="s">
        <v>12</v>
      </c>
      <c r="I546" s="836"/>
      <c r="J546" s="836"/>
      <c r="K546" s="837"/>
      <c r="L546" s="837">
        <f t="shared" ca="1" si="239"/>
        <v>412386</v>
      </c>
      <c r="M546" s="837">
        <f t="shared" si="240"/>
        <v>0</v>
      </c>
      <c r="N546" s="837">
        <f t="shared" si="240"/>
        <v>133857</v>
      </c>
      <c r="O546" s="837">
        <f t="shared" ca="1" si="237"/>
        <v>32.459152347557868</v>
      </c>
      <c r="P546" s="837">
        <f t="shared" si="238"/>
        <v>0</v>
      </c>
      <c r="Q546" s="1264"/>
      <c r="R546" s="1264"/>
      <c r="S546" s="1264"/>
      <c r="T546" s="1264"/>
      <c r="U546" s="1264"/>
      <c r="V546" s="1264"/>
      <c r="W546" s="1264"/>
      <c r="X546" s="1264"/>
      <c r="Y546" s="1264"/>
      <c r="Z546" s="1264"/>
    </row>
    <row r="547" spans="1:26" ht="18.75">
      <c r="A547" s="1259"/>
      <c r="B547" s="1242"/>
      <c r="C547" s="1243"/>
      <c r="D547" s="1266" t="s">
        <v>20</v>
      </c>
      <c r="E547" s="1243"/>
      <c r="F547" s="1243"/>
      <c r="G547" s="963"/>
      <c r="H547" s="778" t="s">
        <v>12</v>
      </c>
      <c r="I547" s="944"/>
      <c r="J547" s="944"/>
      <c r="K547" s="945"/>
      <c r="L547" s="831">
        <f t="shared" ref="L547:N547" ca="1" si="241">L548+L549</f>
        <v>412386</v>
      </c>
      <c r="M547" s="831">
        <f t="shared" si="241"/>
        <v>0</v>
      </c>
      <c r="N547" s="831">
        <f t="shared" si="241"/>
        <v>133857</v>
      </c>
      <c r="O547" s="831">
        <f t="shared" ca="1" si="237"/>
        <v>32.459152347557868</v>
      </c>
      <c r="P547" s="831">
        <f t="shared" si="238"/>
        <v>0</v>
      </c>
      <c r="Q547" s="1244"/>
      <c r="R547" s="1244"/>
      <c r="S547" s="1244"/>
      <c r="T547" s="1244"/>
      <c r="U547" s="1244"/>
      <c r="V547" s="1244"/>
      <c r="W547" s="1244"/>
      <c r="X547" s="1244"/>
      <c r="Y547" s="1244"/>
      <c r="Z547" s="1244"/>
    </row>
    <row r="548" spans="1:26" ht="18.75" hidden="1">
      <c r="A548" s="1260"/>
      <c r="B548" s="1265"/>
      <c r="C548" s="1261"/>
      <c r="D548" s="1262"/>
      <c r="E548" s="1261" t="s">
        <v>184</v>
      </c>
      <c r="F548" s="1261"/>
      <c r="G548" s="1263"/>
      <c r="H548" s="165" t="s">
        <v>12</v>
      </c>
      <c r="I548" s="836"/>
      <c r="J548" s="836"/>
      <c r="K548" s="837"/>
      <c r="L548" s="837">
        <v>0</v>
      </c>
      <c r="M548" s="837">
        <v>0</v>
      </c>
      <c r="N548" s="837">
        <v>0</v>
      </c>
      <c r="O548" s="837">
        <f t="shared" si="237"/>
        <v>0</v>
      </c>
      <c r="P548" s="837">
        <f t="shared" si="238"/>
        <v>0</v>
      </c>
      <c r="Q548" s="1264"/>
      <c r="R548" s="1264"/>
      <c r="S548" s="1264"/>
      <c r="T548" s="1264"/>
      <c r="U548" s="1264"/>
      <c r="V548" s="1264"/>
      <c r="W548" s="1264"/>
      <c r="X548" s="1264"/>
      <c r="Y548" s="1264"/>
      <c r="Z548" s="1264"/>
    </row>
    <row r="549" spans="1:26" ht="18.75" hidden="1">
      <c r="A549" s="1260"/>
      <c r="B549" s="1265"/>
      <c r="C549" s="1261"/>
      <c r="D549" s="1262"/>
      <c r="E549" s="1261" t="s">
        <v>185</v>
      </c>
      <c r="F549" s="1261"/>
      <c r="G549" s="1263"/>
      <c r="H549" s="165" t="s">
        <v>12</v>
      </c>
      <c r="I549" s="836"/>
      <c r="J549" s="836"/>
      <c r="K549" s="837"/>
      <c r="L549" s="837">
        <f ca="1">IFERROR(__xludf.DUMMYFUNCTION("IMPORTRANGE(""https://docs.google.com/spreadsheets/d/1QqKyyYR6Q21VydFLVH3TRQUabQu_ym0Zz7PgGX0-kHA/edit?usp=sharing"",""แผน!HB18"")"),412386)</f>
        <v>412386</v>
      </c>
      <c r="M549" s="837">
        <v>0</v>
      </c>
      <c r="N549" s="837">
        <f>N550+N551+N552+N553+N554</f>
        <v>133857</v>
      </c>
      <c r="O549" s="837">
        <f t="shared" ca="1" si="237"/>
        <v>32.459152347557868</v>
      </c>
      <c r="P549" s="837">
        <f t="shared" si="238"/>
        <v>0</v>
      </c>
      <c r="Q549" s="1264"/>
      <c r="R549" s="1264"/>
      <c r="S549" s="1264"/>
      <c r="T549" s="1264"/>
      <c r="U549" s="1264"/>
      <c r="V549" s="1264"/>
      <c r="W549" s="1264"/>
      <c r="X549" s="1264"/>
      <c r="Y549" s="1264"/>
      <c r="Z549" s="1264"/>
    </row>
    <row r="550" spans="1:26" ht="18.75">
      <c r="A550" s="1241"/>
      <c r="B550" s="1242"/>
      <c r="C550" s="1243"/>
      <c r="D550" s="1243"/>
      <c r="E550" s="1243"/>
      <c r="F550" s="1243" t="s">
        <v>186</v>
      </c>
      <c r="G550" s="963"/>
      <c r="H550" s="778" t="s">
        <v>12</v>
      </c>
      <c r="I550" s="830"/>
      <c r="J550" s="830"/>
      <c r="K550" s="831"/>
      <c r="L550" s="831"/>
      <c r="M550" s="831"/>
      <c r="N550" s="1031">
        <v>0</v>
      </c>
      <c r="O550" s="831"/>
      <c r="P550" s="831"/>
      <c r="Q550" s="1244"/>
      <c r="R550" s="1244"/>
      <c r="S550" s="1244"/>
      <c r="T550" s="1244"/>
      <c r="U550" s="1244"/>
      <c r="V550" s="1244"/>
      <c r="W550" s="1244"/>
      <c r="X550" s="1244"/>
      <c r="Y550" s="1244"/>
      <c r="Z550" s="1244"/>
    </row>
    <row r="551" spans="1:26" ht="18.75">
      <c r="A551" s="1241"/>
      <c r="B551" s="1242"/>
      <c r="C551" s="1242"/>
      <c r="D551" s="1242"/>
      <c r="E551" s="1243"/>
      <c r="F551" s="1243" t="s">
        <v>187</v>
      </c>
      <c r="G551" s="963"/>
      <c r="H551" s="778" t="s">
        <v>12</v>
      </c>
      <c r="I551" s="830"/>
      <c r="J551" s="830"/>
      <c r="K551" s="831"/>
      <c r="L551" s="831"/>
      <c r="M551" s="831"/>
      <c r="N551" s="1031">
        <v>0</v>
      </c>
      <c r="O551" s="831"/>
      <c r="P551" s="831"/>
      <c r="Q551" s="1244"/>
      <c r="R551" s="1244"/>
      <c r="S551" s="1244"/>
      <c r="T551" s="1244"/>
      <c r="U551" s="1244"/>
      <c r="V551" s="1244"/>
      <c r="W551" s="1244"/>
      <c r="X551" s="1244"/>
      <c r="Y551" s="1244"/>
      <c r="Z551" s="1244"/>
    </row>
    <row r="552" spans="1:26" ht="18.75">
      <c r="A552" s="1241"/>
      <c r="B552" s="1242"/>
      <c r="C552" s="1243"/>
      <c r="D552" s="1243"/>
      <c r="E552" s="1243"/>
      <c r="F552" s="1243" t="s">
        <v>188</v>
      </c>
      <c r="G552" s="963"/>
      <c r="H552" s="778" t="s">
        <v>12</v>
      </c>
      <c r="I552" s="830"/>
      <c r="J552" s="830"/>
      <c r="K552" s="831"/>
      <c r="L552" s="831"/>
      <c r="M552" s="831"/>
      <c r="N552" s="1031">
        <f>11698+13000+13000</f>
        <v>37698</v>
      </c>
      <c r="O552" s="831"/>
      <c r="P552" s="831"/>
      <c r="Q552" s="1244"/>
      <c r="R552" s="1244"/>
      <c r="S552" s="1244"/>
      <c r="T552" s="1244"/>
      <c r="U552" s="1244"/>
      <c r="V552" s="1244"/>
      <c r="W552" s="1244"/>
      <c r="X552" s="1244"/>
      <c r="Y552" s="1244"/>
      <c r="Z552" s="1244"/>
    </row>
    <row r="553" spans="1:26" ht="18.75">
      <c r="A553" s="1241"/>
      <c r="B553" s="1242"/>
      <c r="C553" s="1242"/>
      <c r="D553" s="1242"/>
      <c r="E553" s="1243"/>
      <c r="F553" s="1243" t="s">
        <v>189</v>
      </c>
      <c r="G553" s="963"/>
      <c r="H553" s="778" t="s">
        <v>12</v>
      </c>
      <c r="I553" s="830"/>
      <c r="J553" s="830"/>
      <c r="K553" s="831"/>
      <c r="L553" s="831"/>
      <c r="M553" s="831"/>
      <c r="N553" s="1031">
        <f>55729+2000+11430+12000+15000</f>
        <v>96159</v>
      </c>
      <c r="O553" s="831"/>
      <c r="P553" s="831"/>
      <c r="Q553" s="1244"/>
      <c r="R553" s="1244"/>
      <c r="S553" s="1244"/>
      <c r="T553" s="1244"/>
      <c r="U553" s="1244"/>
      <c r="V553" s="1244"/>
      <c r="W553" s="1244"/>
      <c r="X553" s="1244"/>
      <c r="Y553" s="1244"/>
      <c r="Z553" s="1244"/>
    </row>
    <row r="554" spans="1:26" ht="18.75">
      <c r="A554" s="1241"/>
      <c r="B554" s="1242"/>
      <c r="C554" s="1242"/>
      <c r="D554" s="1242"/>
      <c r="E554" s="1243"/>
      <c r="F554" s="1243" t="s">
        <v>233</v>
      </c>
      <c r="G554" s="963"/>
      <c r="H554" s="778" t="s">
        <v>12</v>
      </c>
      <c r="I554" s="830"/>
      <c r="J554" s="830"/>
      <c r="K554" s="831"/>
      <c r="L554" s="831"/>
      <c r="M554" s="831"/>
      <c r="N554" s="1031">
        <v>0</v>
      </c>
      <c r="O554" s="831"/>
      <c r="P554" s="831"/>
      <c r="Q554" s="1244"/>
      <c r="R554" s="1244"/>
      <c r="S554" s="1244"/>
      <c r="T554" s="1244"/>
      <c r="U554" s="1244"/>
      <c r="V554" s="1244"/>
      <c r="W554" s="1244"/>
      <c r="X554" s="1244"/>
      <c r="Y554" s="1244"/>
      <c r="Z554" s="1244"/>
    </row>
    <row r="555" spans="1:26" ht="18.75">
      <c r="A555" s="1259"/>
      <c r="B555" s="1242"/>
      <c r="C555" s="1242"/>
      <c r="D555" s="1266" t="s">
        <v>21</v>
      </c>
      <c r="E555" s="1243"/>
      <c r="F555" s="1243"/>
      <c r="G555" s="963"/>
      <c r="H555" s="168" t="s">
        <v>12</v>
      </c>
      <c r="I555" s="944"/>
      <c r="J555" s="944"/>
      <c r="K555" s="945"/>
      <c r="L555" s="831">
        <f t="shared" ref="L555:N555" ca="1" si="242">L556+L557</f>
        <v>0</v>
      </c>
      <c r="M555" s="831">
        <f t="shared" si="242"/>
        <v>0</v>
      </c>
      <c r="N555" s="831">
        <f t="shared" si="242"/>
        <v>0</v>
      </c>
      <c r="O555" s="831">
        <f t="shared" ref="O555:O557" ca="1" si="243">IF(L555&gt;0,N555*100/L555,0)</f>
        <v>0</v>
      </c>
      <c r="P555" s="831">
        <f t="shared" ref="P555:P557" si="244">IF(M555&gt;0,N555*100/M555,0)</f>
        <v>0</v>
      </c>
      <c r="Q555" s="1244"/>
      <c r="R555" s="1244"/>
      <c r="S555" s="1244"/>
      <c r="T555" s="1244"/>
      <c r="U555" s="1244"/>
      <c r="V555" s="1244"/>
      <c r="W555" s="1244"/>
      <c r="X555" s="1244"/>
      <c r="Y555" s="1244"/>
      <c r="Z555" s="1244"/>
    </row>
    <row r="556" spans="1:26" ht="18.75" hidden="1">
      <c r="A556" s="1260"/>
      <c r="B556" s="1265"/>
      <c r="C556" s="1265"/>
      <c r="D556" s="1261"/>
      <c r="E556" s="1261" t="s">
        <v>18</v>
      </c>
      <c r="F556" s="1261"/>
      <c r="G556" s="1263"/>
      <c r="H556" s="165" t="s">
        <v>12</v>
      </c>
      <c r="I556" s="947"/>
      <c r="J556" s="947"/>
      <c r="K556" s="948"/>
      <c r="L556" s="837">
        <v>0</v>
      </c>
      <c r="M556" s="837">
        <v>0</v>
      </c>
      <c r="N556" s="837">
        <v>0</v>
      </c>
      <c r="O556" s="837">
        <f t="shared" si="243"/>
        <v>0</v>
      </c>
      <c r="P556" s="837">
        <f t="shared" si="244"/>
        <v>0</v>
      </c>
      <c r="Q556" s="1264"/>
      <c r="R556" s="1264"/>
      <c r="S556" s="1264"/>
      <c r="T556" s="1264"/>
      <c r="U556" s="1264"/>
      <c r="V556" s="1264"/>
      <c r="W556" s="1264"/>
      <c r="X556" s="1264"/>
      <c r="Y556" s="1264"/>
      <c r="Z556" s="1264"/>
    </row>
    <row r="557" spans="1:26" ht="18.75" hidden="1">
      <c r="A557" s="1260"/>
      <c r="B557" s="1265"/>
      <c r="C557" s="1265"/>
      <c r="D557" s="1261"/>
      <c r="E557" s="1261" t="s">
        <v>19</v>
      </c>
      <c r="F557" s="1261"/>
      <c r="G557" s="1263"/>
      <c r="H557" s="169" t="s">
        <v>12</v>
      </c>
      <c r="I557" s="947"/>
      <c r="J557" s="947"/>
      <c r="K557" s="948"/>
      <c r="L557" s="837">
        <f ca="1">IFERROR(__xludf.DUMMYFUNCTION("IMPORTRANGE(""https://docs.google.com/spreadsheets/d/1QqKyyYR6Q21VydFLVH3TRQUabQu_ym0Zz7PgGX0-kHA/edit?usp=sharing"",""แผน!HF18"")"),0)</f>
        <v>0</v>
      </c>
      <c r="M557" s="837">
        <v>0</v>
      </c>
      <c r="N557" s="837">
        <v>0</v>
      </c>
      <c r="O557" s="837">
        <f t="shared" ca="1" si="243"/>
        <v>0</v>
      </c>
      <c r="P557" s="837">
        <f t="shared" si="244"/>
        <v>0</v>
      </c>
      <c r="Q557" s="1264"/>
      <c r="R557" s="1264"/>
      <c r="S557" s="1264"/>
      <c r="T557" s="1264"/>
      <c r="U557" s="1264"/>
      <c r="V557" s="1264"/>
      <c r="W557" s="1264"/>
      <c r="X557" s="1264"/>
      <c r="Y557" s="1264"/>
      <c r="Z557" s="1264"/>
    </row>
    <row r="558" spans="1:26" ht="19.5">
      <c r="A558" s="1267"/>
      <c r="B558" s="1268"/>
      <c r="C558" s="1242" t="s">
        <v>16</v>
      </c>
      <c r="D558" s="1320" t="s">
        <v>38</v>
      </c>
      <c r="E558" s="1271"/>
      <c r="F558" s="1271"/>
      <c r="G558" s="1272"/>
      <c r="H558" s="954"/>
      <c r="I558" s="944"/>
      <c r="J558" s="944"/>
      <c r="K558" s="945"/>
      <c r="L558" s="945"/>
      <c r="M558" s="945"/>
      <c r="N558" s="945"/>
      <c r="O558" s="945"/>
      <c r="P558" s="945"/>
      <c r="Q558" s="1244"/>
      <c r="R558" s="1244"/>
      <c r="S558" s="1244"/>
      <c r="T558" s="1244"/>
      <c r="U558" s="1244"/>
      <c r="V558" s="1244"/>
      <c r="W558" s="1244"/>
      <c r="X558" s="1244"/>
      <c r="Y558" s="1244"/>
      <c r="Z558" s="1244"/>
    </row>
    <row r="559" spans="1:26" ht="19.5">
      <c r="A559" s="1329"/>
      <c r="B559" s="1330" t="s">
        <v>234</v>
      </c>
      <c r="C559" s="1331"/>
      <c r="D559" s="1331"/>
      <c r="E559" s="1315"/>
      <c r="F559" s="1315"/>
      <c r="G559" s="1316"/>
      <c r="H559" s="661" t="s">
        <v>46</v>
      </c>
      <c r="I559" s="1317">
        <f t="shared" ref="I559:J559" ca="1" si="245">I576</f>
        <v>47776</v>
      </c>
      <c r="J559" s="1317">
        <f t="shared" si="245"/>
        <v>0</v>
      </c>
      <c r="K559" s="1318">
        <f t="shared" ref="K559:K561" ca="1" si="246">IF(I559&gt;0,J559*100/I559,0)</f>
        <v>0</v>
      </c>
      <c r="L559" s="1319"/>
      <c r="M559" s="1319"/>
      <c r="N559" s="1319"/>
      <c r="O559" s="1319"/>
      <c r="P559" s="1319"/>
      <c r="Q559" s="1244"/>
      <c r="R559" s="1244"/>
      <c r="S559" s="1244"/>
      <c r="T559" s="1244"/>
      <c r="U559" s="1244"/>
      <c r="V559" s="1244"/>
      <c r="W559" s="1244"/>
      <c r="X559" s="1244"/>
      <c r="Y559" s="1244"/>
      <c r="Z559" s="1244"/>
    </row>
    <row r="560" spans="1:26" ht="19.5">
      <c r="A560" s="1267"/>
      <c r="B560" s="1268"/>
      <c r="C560" s="1277" t="s">
        <v>235</v>
      </c>
      <c r="D560" s="1268"/>
      <c r="E560" s="961"/>
      <c r="F560" s="961"/>
      <c r="G560" s="954"/>
      <c r="H560" s="733" t="s">
        <v>46</v>
      </c>
      <c r="I560" s="965">
        <f ca="1">IFERROR(__xludf.DUMMYFUNCTION("IMPORTRANGE(""https://docs.google.com/spreadsheets/d/1QqKyyYR6Q21VydFLVH3TRQUabQu_ym0Zz7PgGX0-kHA/edit?usp=sharing"",""แผน!HH18"")"),47776)</f>
        <v>47776</v>
      </c>
      <c r="J560" s="965">
        <f t="shared" ref="J560:J561" si="247">J562+J564+J566</f>
        <v>47776</v>
      </c>
      <c r="K560" s="1109">
        <f t="shared" ca="1" si="246"/>
        <v>100</v>
      </c>
      <c r="L560" s="945"/>
      <c r="M560" s="945"/>
      <c r="N560" s="945"/>
      <c r="O560" s="945"/>
      <c r="P560" s="945"/>
      <c r="Q560" s="1244"/>
      <c r="R560" s="1244"/>
      <c r="S560" s="1244"/>
      <c r="T560" s="1244"/>
      <c r="U560" s="1244"/>
      <c r="V560" s="1244"/>
      <c r="W560" s="1244"/>
      <c r="X560" s="1244"/>
      <c r="Y560" s="1244"/>
      <c r="Z560" s="1244"/>
    </row>
    <row r="561" spans="1:26" ht="19.5">
      <c r="A561" s="1267"/>
      <c r="B561" s="1268"/>
      <c r="C561" s="1268"/>
      <c r="D561" s="961"/>
      <c r="E561" s="961"/>
      <c r="F561" s="961"/>
      <c r="G561" s="954"/>
      <c r="H561" s="733" t="s">
        <v>34</v>
      </c>
      <c r="I561" s="965">
        <f ca="1">IFERROR(__xludf.DUMMYFUNCTION("IMPORTRANGE(""https://docs.google.com/spreadsheets/d/1QqKyyYR6Q21VydFLVH3TRQUabQu_ym0Zz7PgGX0-kHA/edit?usp=sharing"",""แผน!HG18"")"),5415)</f>
        <v>5415</v>
      </c>
      <c r="J561" s="965">
        <f t="shared" si="247"/>
        <v>5415</v>
      </c>
      <c r="K561" s="1109">
        <f t="shared" ca="1" si="246"/>
        <v>100</v>
      </c>
      <c r="L561" s="945"/>
      <c r="M561" s="945"/>
      <c r="N561" s="945"/>
      <c r="O561" s="945"/>
      <c r="P561" s="945"/>
      <c r="Q561" s="1244"/>
      <c r="R561" s="1244"/>
      <c r="S561" s="1244"/>
      <c r="T561" s="1244"/>
      <c r="U561" s="1244"/>
      <c r="V561" s="1244"/>
      <c r="W561" s="1244"/>
      <c r="X561" s="1244"/>
      <c r="Y561" s="1244"/>
      <c r="Z561" s="1244"/>
    </row>
    <row r="562" spans="1:26" ht="18.75">
      <c r="A562" s="1267"/>
      <c r="B562" s="1268"/>
      <c r="C562" s="1268"/>
      <c r="D562" s="961" t="s">
        <v>236</v>
      </c>
      <c r="E562" s="961"/>
      <c r="F562" s="961"/>
      <c r="G562" s="954"/>
      <c r="H562" s="730" t="s">
        <v>46</v>
      </c>
      <c r="I562" s="944"/>
      <c r="J562" s="959">
        <v>37681</v>
      </c>
      <c r="K562" s="945"/>
      <c r="L562" s="945"/>
      <c r="M562" s="945"/>
      <c r="N562" s="945"/>
      <c r="O562" s="945"/>
      <c r="P562" s="945"/>
      <c r="Q562" s="1244"/>
      <c r="R562" s="1244"/>
      <c r="S562" s="1244"/>
      <c r="T562" s="1244"/>
      <c r="U562" s="1244"/>
      <c r="V562" s="1244"/>
      <c r="W562" s="1244"/>
      <c r="X562" s="1244"/>
      <c r="Y562" s="1244"/>
      <c r="Z562" s="1244"/>
    </row>
    <row r="563" spans="1:26" ht="18.75">
      <c r="A563" s="1267"/>
      <c r="B563" s="1268"/>
      <c r="C563" s="1268"/>
      <c r="D563" s="1268"/>
      <c r="E563" s="961"/>
      <c r="F563" s="961"/>
      <c r="G563" s="954"/>
      <c r="H563" s="730" t="s">
        <v>34</v>
      </c>
      <c r="I563" s="944"/>
      <c r="J563" s="959">
        <v>4664</v>
      </c>
      <c r="K563" s="945"/>
      <c r="L563" s="945"/>
      <c r="M563" s="945"/>
      <c r="N563" s="945"/>
      <c r="O563" s="945"/>
      <c r="P563" s="945"/>
      <c r="Q563" s="1244"/>
      <c r="R563" s="1244"/>
      <c r="S563" s="1244"/>
      <c r="T563" s="1244"/>
      <c r="U563" s="1244"/>
      <c r="V563" s="1244"/>
      <c r="W563" s="1244"/>
      <c r="X563" s="1244"/>
      <c r="Y563" s="1244"/>
      <c r="Z563" s="1244"/>
    </row>
    <row r="564" spans="1:26" ht="18.75">
      <c r="A564" s="1267"/>
      <c r="B564" s="1268"/>
      <c r="C564" s="1268"/>
      <c r="D564" s="961" t="s">
        <v>237</v>
      </c>
      <c r="E564" s="961"/>
      <c r="F564" s="961"/>
      <c r="G564" s="954"/>
      <c r="H564" s="730" t="s">
        <v>46</v>
      </c>
      <c r="I564" s="944"/>
      <c r="J564" s="959">
        <v>8502</v>
      </c>
      <c r="K564" s="945"/>
      <c r="L564" s="945"/>
      <c r="M564" s="945"/>
      <c r="N564" s="945"/>
      <c r="O564" s="945"/>
      <c r="P564" s="945"/>
      <c r="Q564" s="1244"/>
      <c r="R564" s="1244"/>
      <c r="S564" s="1244"/>
      <c r="T564" s="1244"/>
      <c r="U564" s="1244"/>
      <c r="V564" s="1244"/>
      <c r="W564" s="1244"/>
      <c r="X564" s="1244"/>
      <c r="Y564" s="1244"/>
      <c r="Z564" s="1244"/>
    </row>
    <row r="565" spans="1:26" ht="18.75">
      <c r="A565" s="1267"/>
      <c r="B565" s="1268"/>
      <c r="C565" s="1268"/>
      <c r="D565" s="961"/>
      <c r="E565" s="961"/>
      <c r="F565" s="961"/>
      <c r="G565" s="954"/>
      <c r="H565" s="730" t="s">
        <v>34</v>
      </c>
      <c r="I565" s="944"/>
      <c r="J565" s="959">
        <v>582</v>
      </c>
      <c r="K565" s="945"/>
      <c r="L565" s="945"/>
      <c r="M565" s="945"/>
      <c r="N565" s="945"/>
      <c r="O565" s="945"/>
      <c r="P565" s="945"/>
      <c r="Q565" s="1244"/>
      <c r="R565" s="1244"/>
      <c r="S565" s="1244"/>
      <c r="T565" s="1244"/>
      <c r="U565" s="1244"/>
      <c r="V565" s="1244"/>
      <c r="W565" s="1244"/>
      <c r="X565" s="1244"/>
      <c r="Y565" s="1244"/>
      <c r="Z565" s="1244"/>
    </row>
    <row r="566" spans="1:26" ht="18.75">
      <c r="A566" s="1267"/>
      <c r="B566" s="1268"/>
      <c r="C566" s="1268"/>
      <c r="D566" s="961" t="s">
        <v>238</v>
      </c>
      <c r="E566" s="961"/>
      <c r="F566" s="961"/>
      <c r="G566" s="954"/>
      <c r="H566" s="730" t="s">
        <v>46</v>
      </c>
      <c r="I566" s="944"/>
      <c r="J566" s="959">
        <v>1593</v>
      </c>
      <c r="K566" s="945"/>
      <c r="L566" s="945"/>
      <c r="M566" s="945"/>
      <c r="N566" s="945"/>
      <c r="O566" s="945"/>
      <c r="P566" s="945"/>
      <c r="Q566" s="1244"/>
      <c r="R566" s="1244"/>
      <c r="S566" s="1244"/>
      <c r="T566" s="1244"/>
      <c r="U566" s="1244"/>
      <c r="V566" s="1244"/>
      <c r="W566" s="1244"/>
      <c r="X566" s="1244"/>
      <c r="Y566" s="1244"/>
      <c r="Z566" s="1244"/>
    </row>
    <row r="567" spans="1:26" ht="18.75">
      <c r="A567" s="1267"/>
      <c r="B567" s="1268"/>
      <c r="C567" s="1268"/>
      <c r="D567" s="961"/>
      <c r="E567" s="961"/>
      <c r="F567" s="961"/>
      <c r="G567" s="954"/>
      <c r="H567" s="730" t="s">
        <v>34</v>
      </c>
      <c r="I567" s="944"/>
      <c r="J567" s="959">
        <v>169</v>
      </c>
      <c r="K567" s="945"/>
      <c r="L567" s="945"/>
      <c r="M567" s="945"/>
      <c r="N567" s="945"/>
      <c r="O567" s="945"/>
      <c r="P567" s="945"/>
      <c r="Q567" s="1244"/>
      <c r="R567" s="1244"/>
      <c r="S567" s="1244"/>
      <c r="T567" s="1244"/>
      <c r="U567" s="1244"/>
      <c r="V567" s="1244"/>
      <c r="W567" s="1244"/>
      <c r="X567" s="1244"/>
      <c r="Y567" s="1244"/>
      <c r="Z567" s="1244"/>
    </row>
    <row r="568" spans="1:26" ht="19.5">
      <c r="A568" s="1267"/>
      <c r="B568" s="1268"/>
      <c r="C568" s="1277" t="s">
        <v>239</v>
      </c>
      <c r="D568" s="961"/>
      <c r="E568" s="961"/>
      <c r="F568" s="961"/>
      <c r="G568" s="954"/>
      <c r="H568" s="733" t="s">
        <v>46</v>
      </c>
      <c r="I568" s="965">
        <f ca="1">IFERROR(__xludf.DUMMYFUNCTION("IMPORTRANGE(""https://docs.google.com/spreadsheets/d/1QqKyyYR6Q21VydFLVH3TRQUabQu_ym0Zz7PgGX0-kHA/edit?usp=sharing"",""แผน!HH18"")"),47776)</f>
        <v>47776</v>
      </c>
      <c r="J568" s="966">
        <f t="shared" ref="J568:J569" si="248">J570+J572+J574</f>
        <v>0</v>
      </c>
      <c r="K568" s="1109">
        <f t="shared" ref="K568:K569" ca="1" si="249">IF(I568&gt;0,J568*100/I568,0)</f>
        <v>0</v>
      </c>
      <c r="L568" s="945"/>
      <c r="M568" s="945"/>
      <c r="N568" s="945"/>
      <c r="O568" s="945"/>
      <c r="P568" s="945"/>
      <c r="Q568" s="1244"/>
      <c r="R568" s="1244"/>
      <c r="S568" s="1244"/>
      <c r="T568" s="1244"/>
      <c r="U568" s="1244"/>
      <c r="V568" s="1244"/>
      <c r="W568" s="1244"/>
      <c r="X568" s="1244"/>
      <c r="Y568" s="1244"/>
      <c r="Z568" s="1244"/>
    </row>
    <row r="569" spans="1:26" ht="19.5">
      <c r="A569" s="1267"/>
      <c r="B569" s="1268"/>
      <c r="C569" s="1268"/>
      <c r="D569" s="1268"/>
      <c r="E569" s="961"/>
      <c r="F569" s="961"/>
      <c r="G569" s="954"/>
      <c r="H569" s="733" t="s">
        <v>34</v>
      </c>
      <c r="I569" s="965">
        <f ca="1">IFERROR(__xludf.DUMMYFUNCTION("IMPORTRANGE(""https://docs.google.com/spreadsheets/d/1QqKyyYR6Q21VydFLVH3TRQUabQu_ym0Zz7PgGX0-kHA/edit?usp=sharing"",""แผน!HG18"")"),5415)</f>
        <v>5415</v>
      </c>
      <c r="J569" s="966">
        <f t="shared" si="248"/>
        <v>0</v>
      </c>
      <c r="K569" s="1109">
        <f t="shared" ca="1" si="249"/>
        <v>0</v>
      </c>
      <c r="L569" s="945"/>
      <c r="M569" s="945"/>
      <c r="N569" s="945"/>
      <c r="O569" s="945"/>
      <c r="P569" s="945"/>
      <c r="Q569" s="1244"/>
      <c r="R569" s="1244"/>
      <c r="S569" s="1244"/>
      <c r="T569" s="1244"/>
      <c r="U569" s="1244"/>
      <c r="V569" s="1244"/>
      <c r="W569" s="1244"/>
      <c r="X569" s="1244"/>
      <c r="Y569" s="1244"/>
      <c r="Z569" s="1244"/>
    </row>
    <row r="570" spans="1:26" ht="18.75">
      <c r="A570" s="1267"/>
      <c r="B570" s="1268"/>
      <c r="C570" s="1268"/>
      <c r="D570" s="961" t="s">
        <v>240</v>
      </c>
      <c r="E570" s="1268"/>
      <c r="F570" s="961"/>
      <c r="G570" s="954"/>
      <c r="H570" s="730" t="s">
        <v>46</v>
      </c>
      <c r="I570" s="944"/>
      <c r="J570" s="959">
        <v>0</v>
      </c>
      <c r="K570" s="945"/>
      <c r="L570" s="945"/>
      <c r="M570" s="945"/>
      <c r="N570" s="945"/>
      <c r="O570" s="945"/>
      <c r="P570" s="945"/>
      <c r="Q570" s="1244"/>
      <c r="R570" s="1244"/>
      <c r="S570" s="1244"/>
      <c r="T570" s="1244"/>
      <c r="U570" s="1244"/>
      <c r="V570" s="1244"/>
      <c r="W570" s="1244"/>
      <c r="X570" s="1244"/>
      <c r="Y570" s="1244"/>
      <c r="Z570" s="1244"/>
    </row>
    <row r="571" spans="1:26" ht="18.75">
      <c r="A571" s="1267"/>
      <c r="B571" s="1268"/>
      <c r="C571" s="1268"/>
      <c r="D571" s="1268"/>
      <c r="E571" s="961"/>
      <c r="F571" s="961"/>
      <c r="G571" s="954"/>
      <c r="H571" s="730" t="s">
        <v>34</v>
      </c>
      <c r="I571" s="944"/>
      <c r="J571" s="959">
        <v>0</v>
      </c>
      <c r="K571" s="945"/>
      <c r="L571" s="945"/>
      <c r="M571" s="945"/>
      <c r="N571" s="945"/>
      <c r="O571" s="945"/>
      <c r="P571" s="945"/>
      <c r="Q571" s="1244"/>
      <c r="R571" s="1244"/>
      <c r="S571" s="1244"/>
      <c r="T571" s="1244"/>
      <c r="U571" s="1244"/>
      <c r="V571" s="1244"/>
      <c r="W571" s="1244"/>
      <c r="X571" s="1244"/>
      <c r="Y571" s="1244"/>
      <c r="Z571" s="1244"/>
    </row>
    <row r="572" spans="1:26" ht="18.75">
      <c r="A572" s="1267"/>
      <c r="B572" s="1268"/>
      <c r="C572" s="1268"/>
      <c r="D572" s="961" t="s">
        <v>241</v>
      </c>
      <c r="E572" s="961"/>
      <c r="F572" s="961"/>
      <c r="G572" s="954"/>
      <c r="H572" s="730" t="s">
        <v>46</v>
      </c>
      <c r="I572" s="944"/>
      <c r="J572" s="959">
        <v>0</v>
      </c>
      <c r="K572" s="945"/>
      <c r="L572" s="945"/>
      <c r="M572" s="945"/>
      <c r="N572" s="945"/>
      <c r="O572" s="945"/>
      <c r="P572" s="945"/>
      <c r="Q572" s="1244"/>
      <c r="R572" s="1244"/>
      <c r="S572" s="1244"/>
      <c r="T572" s="1244"/>
      <c r="U572" s="1244"/>
      <c r="V572" s="1244"/>
      <c r="W572" s="1244"/>
      <c r="X572" s="1244"/>
      <c r="Y572" s="1244"/>
      <c r="Z572" s="1244"/>
    </row>
    <row r="573" spans="1:26" ht="18.75">
      <c r="A573" s="1267"/>
      <c r="B573" s="1268"/>
      <c r="C573" s="1268"/>
      <c r="D573" s="961"/>
      <c r="E573" s="961"/>
      <c r="F573" s="961"/>
      <c r="G573" s="954"/>
      <c r="H573" s="730" t="s">
        <v>34</v>
      </c>
      <c r="I573" s="944"/>
      <c r="J573" s="959">
        <v>0</v>
      </c>
      <c r="K573" s="945"/>
      <c r="L573" s="945"/>
      <c r="M573" s="945"/>
      <c r="N573" s="945"/>
      <c r="O573" s="945"/>
      <c r="P573" s="945"/>
      <c r="Q573" s="1244"/>
      <c r="R573" s="1244"/>
      <c r="S573" s="1244"/>
      <c r="T573" s="1244"/>
      <c r="U573" s="1244"/>
      <c r="V573" s="1244"/>
      <c r="W573" s="1244"/>
      <c r="X573" s="1244"/>
      <c r="Y573" s="1244"/>
      <c r="Z573" s="1244"/>
    </row>
    <row r="574" spans="1:26" ht="18.75">
      <c r="A574" s="1267"/>
      <c r="B574" s="1268"/>
      <c r="C574" s="1268"/>
      <c r="D574" s="961" t="s">
        <v>242</v>
      </c>
      <c r="E574" s="961"/>
      <c r="F574" s="961"/>
      <c r="G574" s="954"/>
      <c r="H574" s="730" t="s">
        <v>46</v>
      </c>
      <c r="I574" s="944"/>
      <c r="J574" s="959">
        <v>0</v>
      </c>
      <c r="K574" s="945"/>
      <c r="L574" s="945"/>
      <c r="M574" s="945"/>
      <c r="N574" s="945"/>
      <c r="O574" s="945"/>
      <c r="P574" s="945"/>
      <c r="Q574" s="1244"/>
      <c r="R574" s="1244"/>
      <c r="S574" s="1244"/>
      <c r="T574" s="1244"/>
      <c r="U574" s="1244"/>
      <c r="V574" s="1244"/>
      <c r="W574" s="1244"/>
      <c r="X574" s="1244"/>
      <c r="Y574" s="1244"/>
      <c r="Z574" s="1244"/>
    </row>
    <row r="575" spans="1:26" ht="18.75">
      <c r="A575" s="1267"/>
      <c r="B575" s="1268"/>
      <c r="C575" s="1268"/>
      <c r="D575" s="1268"/>
      <c r="E575" s="961"/>
      <c r="F575" s="961"/>
      <c r="G575" s="954"/>
      <c r="H575" s="730" t="s">
        <v>34</v>
      </c>
      <c r="I575" s="944"/>
      <c r="J575" s="959">
        <v>0</v>
      </c>
      <c r="K575" s="945"/>
      <c r="L575" s="945"/>
      <c r="M575" s="945"/>
      <c r="N575" s="945"/>
      <c r="O575" s="945"/>
      <c r="P575" s="945"/>
      <c r="Q575" s="1244"/>
      <c r="R575" s="1244"/>
      <c r="S575" s="1244"/>
      <c r="T575" s="1244"/>
      <c r="U575" s="1244"/>
      <c r="V575" s="1244"/>
      <c r="W575" s="1244"/>
      <c r="X575" s="1244"/>
      <c r="Y575" s="1244"/>
      <c r="Z575" s="1244"/>
    </row>
    <row r="576" spans="1:26" ht="19.5">
      <c r="A576" s="1267"/>
      <c r="B576" s="1268"/>
      <c r="C576" s="1277" t="s">
        <v>243</v>
      </c>
      <c r="D576" s="1268"/>
      <c r="E576" s="1268"/>
      <c r="F576" s="961"/>
      <c r="G576" s="954"/>
      <c r="H576" s="733" t="s">
        <v>46</v>
      </c>
      <c r="I576" s="965">
        <f ca="1">IFERROR(__xludf.DUMMYFUNCTION("IMPORTRANGE(""https://docs.google.com/spreadsheets/d/1QqKyyYR6Q21VydFLVH3TRQUabQu_ym0Zz7PgGX0-kHA/edit?usp=sharing"",""แผน!HH18"")"),47776)</f>
        <v>47776</v>
      </c>
      <c r="J576" s="966">
        <f t="shared" ref="J576:J577" si="250">J578+J580+J582+J588+J590</f>
        <v>0</v>
      </c>
      <c r="K576" s="1109">
        <f t="shared" ref="K576:K577" ca="1" si="251">IF(I576&gt;0,J576*100/I576,0)</f>
        <v>0</v>
      </c>
      <c r="L576" s="945"/>
      <c r="M576" s="945"/>
      <c r="N576" s="945"/>
      <c r="O576" s="945"/>
      <c r="P576" s="945"/>
      <c r="Q576" s="1244"/>
      <c r="R576" s="1244"/>
      <c r="S576" s="1244"/>
      <c r="T576" s="1244"/>
      <c r="U576" s="1244"/>
      <c r="V576" s="1244"/>
      <c r="W576" s="1244"/>
      <c r="X576" s="1244"/>
      <c r="Y576" s="1244"/>
      <c r="Z576" s="1244"/>
    </row>
    <row r="577" spans="1:26" ht="19.5">
      <c r="A577" s="1267"/>
      <c r="B577" s="1268"/>
      <c r="C577" s="1268"/>
      <c r="D577" s="1268"/>
      <c r="E577" s="961"/>
      <c r="F577" s="961"/>
      <c r="G577" s="954"/>
      <c r="H577" s="733" t="s">
        <v>34</v>
      </c>
      <c r="I577" s="965">
        <f ca="1">IFERROR(__xludf.DUMMYFUNCTION("IMPORTRANGE(""https://docs.google.com/spreadsheets/d/1QqKyyYR6Q21VydFLVH3TRQUabQu_ym0Zz7PgGX0-kHA/edit?usp=sharing"",""แผน!HG18"")"),5415)</f>
        <v>5415</v>
      </c>
      <c r="J577" s="966">
        <f t="shared" si="250"/>
        <v>0</v>
      </c>
      <c r="K577" s="1109">
        <f t="shared" ca="1" si="251"/>
        <v>0</v>
      </c>
      <c r="L577" s="945"/>
      <c r="M577" s="945"/>
      <c r="N577" s="945"/>
      <c r="O577" s="945"/>
      <c r="P577" s="945"/>
      <c r="Q577" s="1244"/>
      <c r="R577" s="1244"/>
      <c r="S577" s="1244"/>
      <c r="T577" s="1244"/>
      <c r="U577" s="1244"/>
      <c r="V577" s="1244"/>
      <c r="W577" s="1244"/>
      <c r="X577" s="1244"/>
      <c r="Y577" s="1244"/>
      <c r="Z577" s="1244"/>
    </row>
    <row r="578" spans="1:26" ht="18.75">
      <c r="A578" s="1267"/>
      <c r="B578" s="1268"/>
      <c r="C578" s="1268"/>
      <c r="D578" s="961" t="s">
        <v>244</v>
      </c>
      <c r="E578" s="961"/>
      <c r="F578" s="961"/>
      <c r="G578" s="954"/>
      <c r="H578" s="730" t="s">
        <v>46</v>
      </c>
      <c r="I578" s="944"/>
      <c r="J578" s="959">
        <v>0</v>
      </c>
      <c r="K578" s="945"/>
      <c r="L578" s="945"/>
      <c r="M578" s="945"/>
      <c r="N578" s="945"/>
      <c r="O578" s="945"/>
      <c r="P578" s="945"/>
      <c r="Q578" s="1244"/>
      <c r="R578" s="1244"/>
      <c r="S578" s="1244"/>
      <c r="T578" s="1244"/>
      <c r="U578" s="1244"/>
      <c r="V578" s="1244"/>
      <c r="W578" s="1244"/>
      <c r="X578" s="1244"/>
      <c r="Y578" s="1244"/>
      <c r="Z578" s="1244"/>
    </row>
    <row r="579" spans="1:26" ht="18.75">
      <c r="A579" s="1267"/>
      <c r="B579" s="1268"/>
      <c r="C579" s="1268"/>
      <c r="D579" s="1268"/>
      <c r="E579" s="961"/>
      <c r="F579" s="961"/>
      <c r="G579" s="954"/>
      <c r="H579" s="730" t="s">
        <v>34</v>
      </c>
      <c r="I579" s="944"/>
      <c r="J579" s="959">
        <v>0</v>
      </c>
      <c r="K579" s="945"/>
      <c r="L579" s="945"/>
      <c r="M579" s="945"/>
      <c r="N579" s="945"/>
      <c r="O579" s="945"/>
      <c r="P579" s="945"/>
      <c r="Q579" s="1244"/>
      <c r="R579" s="1244"/>
      <c r="S579" s="1244"/>
      <c r="T579" s="1244"/>
      <c r="U579" s="1244"/>
      <c r="V579" s="1244"/>
      <c r="W579" s="1244"/>
      <c r="X579" s="1244"/>
      <c r="Y579" s="1244"/>
      <c r="Z579" s="1244"/>
    </row>
    <row r="580" spans="1:26" ht="18.75">
      <c r="A580" s="1267"/>
      <c r="B580" s="1268"/>
      <c r="C580" s="1268"/>
      <c r="D580" s="961" t="s">
        <v>245</v>
      </c>
      <c r="E580" s="961"/>
      <c r="F580" s="961"/>
      <c r="G580" s="954"/>
      <c r="H580" s="730" t="s">
        <v>46</v>
      </c>
      <c r="I580" s="944"/>
      <c r="J580" s="959">
        <v>0</v>
      </c>
      <c r="K580" s="945"/>
      <c r="L580" s="945"/>
      <c r="M580" s="945"/>
      <c r="N580" s="945"/>
      <c r="O580" s="945"/>
      <c r="P580" s="945"/>
      <c r="Q580" s="1244"/>
      <c r="R580" s="1244"/>
      <c r="S580" s="1244"/>
      <c r="T580" s="1244"/>
      <c r="U580" s="1244"/>
      <c r="V580" s="1244"/>
      <c r="W580" s="1244"/>
      <c r="X580" s="1244"/>
      <c r="Y580" s="1244"/>
      <c r="Z580" s="1244"/>
    </row>
    <row r="581" spans="1:26" ht="18.75">
      <c r="A581" s="1267"/>
      <c r="B581" s="1268"/>
      <c r="C581" s="1268"/>
      <c r="D581" s="1268"/>
      <c r="E581" s="961"/>
      <c r="F581" s="961"/>
      <c r="G581" s="954"/>
      <c r="H581" s="730" t="s">
        <v>34</v>
      </c>
      <c r="I581" s="944"/>
      <c r="J581" s="959">
        <v>0</v>
      </c>
      <c r="K581" s="945"/>
      <c r="L581" s="945"/>
      <c r="M581" s="945"/>
      <c r="N581" s="945"/>
      <c r="O581" s="945"/>
      <c r="P581" s="945"/>
      <c r="Q581" s="1244"/>
      <c r="R581" s="1244"/>
      <c r="S581" s="1244"/>
      <c r="T581" s="1244"/>
      <c r="U581" s="1244"/>
      <c r="V581" s="1244"/>
      <c r="W581" s="1244"/>
      <c r="X581" s="1244"/>
      <c r="Y581" s="1244"/>
      <c r="Z581" s="1244"/>
    </row>
    <row r="582" spans="1:26" ht="19.5">
      <c r="A582" s="1267"/>
      <c r="B582" s="1268"/>
      <c r="C582" s="1268"/>
      <c r="D582" s="961" t="s">
        <v>246</v>
      </c>
      <c r="E582" s="961"/>
      <c r="F582" s="961"/>
      <c r="G582" s="954"/>
      <c r="H582" s="730" t="s">
        <v>46</v>
      </c>
      <c r="I582" s="944"/>
      <c r="J582" s="966">
        <f t="shared" ref="J582:J583" si="252">J584+J586</f>
        <v>0</v>
      </c>
      <c r="K582" s="1109"/>
      <c r="L582" s="945"/>
      <c r="M582" s="945"/>
      <c r="N582" s="945"/>
      <c r="O582" s="945"/>
      <c r="P582" s="945"/>
      <c r="Q582" s="1244"/>
      <c r="R582" s="1244"/>
      <c r="S582" s="1244"/>
      <c r="T582" s="1244"/>
      <c r="U582" s="1244"/>
      <c r="V582" s="1244"/>
      <c r="W582" s="1244"/>
      <c r="X582" s="1244"/>
      <c r="Y582" s="1244"/>
      <c r="Z582" s="1244"/>
    </row>
    <row r="583" spans="1:26" ht="19.5">
      <c r="A583" s="1267"/>
      <c r="B583" s="1268"/>
      <c r="C583" s="1268"/>
      <c r="D583" s="1268"/>
      <c r="E583" s="961"/>
      <c r="F583" s="961"/>
      <c r="G583" s="954"/>
      <c r="H583" s="730" t="s">
        <v>34</v>
      </c>
      <c r="I583" s="944"/>
      <c r="J583" s="966">
        <f t="shared" si="252"/>
        <v>0</v>
      </c>
      <c r="K583" s="1109"/>
      <c r="L583" s="945"/>
      <c r="M583" s="945"/>
      <c r="N583" s="945"/>
      <c r="O583" s="945"/>
      <c r="P583" s="945"/>
      <c r="Q583" s="1244"/>
      <c r="R583" s="1244"/>
      <c r="S583" s="1244"/>
      <c r="T583" s="1244"/>
      <c r="U583" s="1244"/>
      <c r="V583" s="1244"/>
      <c r="W583" s="1244"/>
      <c r="X583" s="1244"/>
      <c r="Y583" s="1244"/>
      <c r="Z583" s="1244"/>
    </row>
    <row r="584" spans="1:26" ht="18.75">
      <c r="A584" s="1267"/>
      <c r="B584" s="1268"/>
      <c r="C584" s="1268"/>
      <c r="D584" s="1268"/>
      <c r="E584" s="961" t="s">
        <v>247</v>
      </c>
      <c r="F584" s="961"/>
      <c r="G584" s="954"/>
      <c r="H584" s="730" t="s">
        <v>46</v>
      </c>
      <c r="I584" s="944"/>
      <c r="J584" s="959">
        <v>0</v>
      </c>
      <c r="K584" s="945"/>
      <c r="L584" s="945"/>
      <c r="M584" s="945"/>
      <c r="N584" s="945"/>
      <c r="O584" s="945"/>
      <c r="P584" s="945"/>
      <c r="Q584" s="1244"/>
      <c r="R584" s="1244"/>
      <c r="S584" s="1244"/>
      <c r="T584" s="1244"/>
      <c r="U584" s="1244"/>
      <c r="V584" s="1244"/>
      <c r="W584" s="1244"/>
      <c r="X584" s="1244"/>
      <c r="Y584" s="1244"/>
      <c r="Z584" s="1244"/>
    </row>
    <row r="585" spans="1:26" ht="18.75">
      <c r="A585" s="1267"/>
      <c r="B585" s="1268"/>
      <c r="C585" s="1268"/>
      <c r="D585" s="1268"/>
      <c r="E585" s="961"/>
      <c r="F585" s="961"/>
      <c r="G585" s="954"/>
      <c r="H585" s="730" t="s">
        <v>34</v>
      </c>
      <c r="I585" s="944"/>
      <c r="J585" s="959">
        <v>0</v>
      </c>
      <c r="K585" s="945"/>
      <c r="L585" s="945"/>
      <c r="M585" s="945"/>
      <c r="N585" s="945"/>
      <c r="O585" s="945"/>
      <c r="P585" s="945"/>
      <c r="Q585" s="1244"/>
      <c r="R585" s="1244"/>
      <c r="S585" s="1244"/>
      <c r="T585" s="1244"/>
      <c r="U585" s="1244"/>
      <c r="V585" s="1244"/>
      <c r="W585" s="1244"/>
      <c r="X585" s="1244"/>
      <c r="Y585" s="1244"/>
      <c r="Z585" s="1244"/>
    </row>
    <row r="586" spans="1:26" ht="18.75">
      <c r="A586" s="1267"/>
      <c r="B586" s="1268"/>
      <c r="C586" s="1268"/>
      <c r="D586" s="1268"/>
      <c r="E586" s="961" t="s">
        <v>248</v>
      </c>
      <c r="F586" s="961"/>
      <c r="G586" s="954"/>
      <c r="H586" s="730" t="s">
        <v>46</v>
      </c>
      <c r="I586" s="944"/>
      <c r="J586" s="959">
        <v>0</v>
      </c>
      <c r="K586" s="945"/>
      <c r="L586" s="945"/>
      <c r="M586" s="945"/>
      <c r="N586" s="945"/>
      <c r="O586" s="945"/>
      <c r="P586" s="945"/>
      <c r="Q586" s="1244"/>
      <c r="R586" s="1244"/>
      <c r="S586" s="1244"/>
      <c r="T586" s="1244"/>
      <c r="U586" s="1244"/>
      <c r="V586" s="1244"/>
      <c r="W586" s="1244"/>
      <c r="X586" s="1244"/>
      <c r="Y586" s="1244"/>
      <c r="Z586" s="1244"/>
    </row>
    <row r="587" spans="1:26" ht="18.75">
      <c r="A587" s="1267"/>
      <c r="B587" s="1268"/>
      <c r="C587" s="1268"/>
      <c r="D587" s="1268"/>
      <c r="E587" s="1268"/>
      <c r="F587" s="961"/>
      <c r="G587" s="954"/>
      <c r="H587" s="730" t="s">
        <v>34</v>
      </c>
      <c r="I587" s="944"/>
      <c r="J587" s="959">
        <v>0</v>
      </c>
      <c r="K587" s="945"/>
      <c r="L587" s="945"/>
      <c r="M587" s="945"/>
      <c r="N587" s="945"/>
      <c r="O587" s="945"/>
      <c r="P587" s="945"/>
      <c r="Q587" s="1244"/>
      <c r="R587" s="1244"/>
      <c r="S587" s="1244"/>
      <c r="T587" s="1244"/>
      <c r="U587" s="1244"/>
      <c r="V587" s="1244"/>
      <c r="W587" s="1244"/>
      <c r="X587" s="1244"/>
      <c r="Y587" s="1244"/>
      <c r="Z587" s="1244"/>
    </row>
    <row r="588" spans="1:26" ht="18.75">
      <c r="A588" s="1267"/>
      <c r="B588" s="1268"/>
      <c r="C588" s="1268"/>
      <c r="D588" s="961" t="s">
        <v>249</v>
      </c>
      <c r="E588" s="961"/>
      <c r="F588" s="961"/>
      <c r="G588" s="954"/>
      <c r="H588" s="730" t="s">
        <v>46</v>
      </c>
      <c r="I588" s="944"/>
      <c r="J588" s="959">
        <v>0</v>
      </c>
      <c r="K588" s="945"/>
      <c r="L588" s="945"/>
      <c r="M588" s="945"/>
      <c r="N588" s="945"/>
      <c r="O588" s="945"/>
      <c r="P588" s="945"/>
      <c r="Q588" s="1244"/>
      <c r="R588" s="1244"/>
      <c r="S588" s="1244"/>
      <c r="T588" s="1244"/>
      <c r="U588" s="1244"/>
      <c r="V588" s="1244"/>
      <c r="W588" s="1244"/>
      <c r="X588" s="1244"/>
      <c r="Y588" s="1244"/>
      <c r="Z588" s="1244"/>
    </row>
    <row r="589" spans="1:26" ht="18.75">
      <c r="A589" s="1267"/>
      <c r="B589" s="1268"/>
      <c r="C589" s="1268"/>
      <c r="D589" s="1268"/>
      <c r="E589" s="1268"/>
      <c r="F589" s="961"/>
      <c r="G589" s="954"/>
      <c r="H589" s="730" t="s">
        <v>34</v>
      </c>
      <c r="I589" s="944"/>
      <c r="J589" s="959">
        <v>0</v>
      </c>
      <c r="K589" s="945"/>
      <c r="L589" s="945"/>
      <c r="M589" s="945"/>
      <c r="N589" s="945"/>
      <c r="O589" s="945"/>
      <c r="P589" s="945"/>
      <c r="Q589" s="1244"/>
      <c r="R589" s="1244"/>
      <c r="S589" s="1244"/>
      <c r="T589" s="1244"/>
      <c r="U589" s="1244"/>
      <c r="V589" s="1244"/>
      <c r="W589" s="1244"/>
      <c r="X589" s="1244"/>
      <c r="Y589" s="1244"/>
      <c r="Z589" s="1244"/>
    </row>
    <row r="590" spans="1:26" ht="18.75">
      <c r="A590" s="1267"/>
      <c r="B590" s="1268"/>
      <c r="C590" s="1268"/>
      <c r="D590" s="961" t="s">
        <v>250</v>
      </c>
      <c r="E590" s="961"/>
      <c r="F590" s="961"/>
      <c r="G590" s="954"/>
      <c r="H590" s="730" t="s">
        <v>46</v>
      </c>
      <c r="I590" s="944"/>
      <c r="J590" s="959">
        <v>0</v>
      </c>
      <c r="K590" s="945"/>
      <c r="L590" s="945"/>
      <c r="M590" s="945"/>
      <c r="N590" s="945"/>
      <c r="O590" s="945"/>
      <c r="P590" s="945"/>
      <c r="Q590" s="1244"/>
      <c r="R590" s="1244"/>
      <c r="S590" s="1244"/>
      <c r="T590" s="1244"/>
      <c r="U590" s="1244"/>
      <c r="V590" s="1244"/>
      <c r="W590" s="1244"/>
      <c r="X590" s="1244"/>
      <c r="Y590" s="1244"/>
      <c r="Z590" s="1244"/>
    </row>
    <row r="591" spans="1:26" ht="18.75">
      <c r="A591" s="1332"/>
      <c r="B591" s="1333"/>
      <c r="C591" s="1333"/>
      <c r="D591" s="1333"/>
      <c r="E591" s="1244"/>
      <c r="F591" s="1244"/>
      <c r="G591" s="1334"/>
      <c r="H591" s="665" t="s">
        <v>34</v>
      </c>
      <c r="I591" s="1335"/>
      <c r="J591" s="1336">
        <v>0</v>
      </c>
      <c r="K591" s="1337"/>
      <c r="L591" s="1337"/>
      <c r="M591" s="1337"/>
      <c r="N591" s="1337"/>
      <c r="O591" s="1337"/>
      <c r="P591" s="1337"/>
      <c r="Q591" s="1244"/>
      <c r="R591" s="1244"/>
      <c r="S591" s="1244"/>
      <c r="T591" s="1244"/>
      <c r="U591" s="1244"/>
      <c r="V591" s="1244"/>
      <c r="W591" s="1244"/>
      <c r="X591" s="1244"/>
      <c r="Y591" s="1244"/>
      <c r="Z591" s="1244"/>
    </row>
    <row r="592" spans="1:26" ht="19.5">
      <c r="A592" s="1329"/>
      <c r="B592" s="1330" t="s">
        <v>251</v>
      </c>
      <c r="C592" s="1331"/>
      <c r="D592" s="1331"/>
      <c r="E592" s="1315"/>
      <c r="F592" s="1315"/>
      <c r="G592" s="1316"/>
      <c r="H592" s="661" t="s">
        <v>46</v>
      </c>
      <c r="I592" s="1338">
        <f t="shared" ref="I592:J592" ca="1" si="253">I593</f>
        <v>4388.22</v>
      </c>
      <c r="J592" s="1317">
        <f t="shared" si="253"/>
        <v>0</v>
      </c>
      <c r="K592" s="1318">
        <f t="shared" ref="K592:K594" ca="1" si="254">IF(I592&gt;0,J592*100/I592,0)</f>
        <v>0</v>
      </c>
      <c r="L592" s="1319"/>
      <c r="M592" s="1319"/>
      <c r="N592" s="1319"/>
      <c r="O592" s="1319"/>
      <c r="P592" s="1319"/>
      <c r="Q592" s="1244"/>
      <c r="R592" s="1244"/>
      <c r="S592" s="1244"/>
      <c r="T592" s="1244"/>
      <c r="U592" s="1244"/>
      <c r="V592" s="1244"/>
      <c r="W592" s="1244"/>
      <c r="X592" s="1244"/>
      <c r="Y592" s="1244"/>
      <c r="Z592" s="1244"/>
    </row>
    <row r="593" spans="1:26" ht="19.5">
      <c r="A593" s="1267"/>
      <c r="B593" s="1268"/>
      <c r="C593" s="1277" t="s">
        <v>252</v>
      </c>
      <c r="D593" s="1268"/>
      <c r="E593" s="1268"/>
      <c r="F593" s="961"/>
      <c r="G593" s="954"/>
      <c r="H593" s="733" t="s">
        <v>46</v>
      </c>
      <c r="I593" s="1339">
        <f ca="1">IFERROR(__xludf.DUMMYFUNCTION("IMPORTRANGE(""https://docs.google.com/spreadsheets/d/1QqKyyYR6Q21VydFLVH3TRQUabQu_ym0Zz7PgGX0-kHA/edit?usp=sharing"",""แผน!HJ18"")"),4388.22)</f>
        <v>4388.22</v>
      </c>
      <c r="J593" s="965">
        <f t="shared" ref="J593:J594" si="255">J595+J603+J609</f>
        <v>0</v>
      </c>
      <c r="K593" s="1109">
        <f t="shared" ca="1" si="254"/>
        <v>0</v>
      </c>
      <c r="L593" s="945"/>
      <c r="M593" s="945"/>
      <c r="N593" s="945"/>
      <c r="O593" s="945"/>
      <c r="P593" s="945"/>
      <c r="Q593" s="1244"/>
      <c r="R593" s="1244"/>
      <c r="S593" s="1244"/>
      <c r="T593" s="1244"/>
      <c r="U593" s="1244"/>
      <c r="V593" s="1244"/>
      <c r="W593" s="1244"/>
      <c r="X593" s="1244"/>
      <c r="Y593" s="1244"/>
      <c r="Z593" s="1244"/>
    </row>
    <row r="594" spans="1:26" ht="19.5">
      <c r="A594" s="1267"/>
      <c r="B594" s="1268"/>
      <c r="C594" s="1268"/>
      <c r="D594" s="1268"/>
      <c r="E594" s="961"/>
      <c r="F594" s="961"/>
      <c r="G594" s="954"/>
      <c r="H594" s="733" t="s">
        <v>34</v>
      </c>
      <c r="I594" s="965">
        <f ca="1">IFERROR(__xludf.DUMMYFUNCTION("IMPORTRANGE(""https://docs.google.com/spreadsheets/d/1QqKyyYR6Q21VydFLVH3TRQUabQu_ym0Zz7PgGX0-kHA/edit?usp=sharing"",""แผน!HI18"")"),268)</f>
        <v>268</v>
      </c>
      <c r="J594" s="965">
        <f t="shared" si="255"/>
        <v>0</v>
      </c>
      <c r="K594" s="1109">
        <f t="shared" ca="1" si="254"/>
        <v>0</v>
      </c>
      <c r="L594" s="945"/>
      <c r="M594" s="945"/>
      <c r="N594" s="945"/>
      <c r="O594" s="945"/>
      <c r="P594" s="945"/>
      <c r="Q594" s="1244"/>
      <c r="R594" s="1244"/>
      <c r="S594" s="1244"/>
      <c r="T594" s="1244"/>
      <c r="U594" s="1244"/>
      <c r="V594" s="1244"/>
      <c r="W594" s="1244"/>
      <c r="X594" s="1244"/>
      <c r="Y594" s="1244"/>
      <c r="Z594" s="1244"/>
    </row>
    <row r="595" spans="1:26" ht="18.75">
      <c r="A595" s="1267"/>
      <c r="B595" s="1268"/>
      <c r="C595" s="1268" t="s">
        <v>253</v>
      </c>
      <c r="D595" s="1268"/>
      <c r="E595" s="1268"/>
      <c r="F595" s="961"/>
      <c r="G595" s="954"/>
      <c r="H595" s="730" t="s">
        <v>46</v>
      </c>
      <c r="I595" s="944"/>
      <c r="J595" s="944">
        <f t="shared" ref="J595:J596" si="256">J597+J599</f>
        <v>0</v>
      </c>
      <c r="K595" s="945"/>
      <c r="L595" s="945"/>
      <c r="M595" s="945"/>
      <c r="N595" s="945"/>
      <c r="O595" s="945"/>
      <c r="P595" s="945"/>
      <c r="Q595" s="1244"/>
      <c r="R595" s="1244"/>
      <c r="S595" s="1244"/>
      <c r="T595" s="1244"/>
      <c r="U595" s="1244"/>
      <c r="V595" s="1244"/>
      <c r="W595" s="1244"/>
      <c r="X595" s="1244"/>
      <c r="Y595" s="1244"/>
      <c r="Z595" s="1244"/>
    </row>
    <row r="596" spans="1:26" ht="18.75">
      <c r="A596" s="1267"/>
      <c r="B596" s="1268"/>
      <c r="C596" s="1268"/>
      <c r="D596" s="1268"/>
      <c r="E596" s="961"/>
      <c r="F596" s="961"/>
      <c r="G596" s="954"/>
      <c r="H596" s="730" t="s">
        <v>34</v>
      </c>
      <c r="I596" s="944"/>
      <c r="J596" s="944">
        <f t="shared" si="256"/>
        <v>0</v>
      </c>
      <c r="K596" s="945"/>
      <c r="L596" s="945"/>
      <c r="M596" s="945"/>
      <c r="N596" s="945"/>
      <c r="O596" s="945"/>
      <c r="P596" s="945"/>
      <c r="Q596" s="1244"/>
      <c r="R596" s="1244"/>
      <c r="S596" s="1244"/>
      <c r="T596" s="1244"/>
      <c r="U596" s="1244"/>
      <c r="V596" s="1244"/>
      <c r="W596" s="1244"/>
      <c r="X596" s="1244"/>
      <c r="Y596" s="1244"/>
      <c r="Z596" s="1244"/>
    </row>
    <row r="597" spans="1:26" ht="18.75">
      <c r="A597" s="1267"/>
      <c r="B597" s="1268"/>
      <c r="C597" s="1268"/>
      <c r="D597" s="1017" t="s">
        <v>254</v>
      </c>
      <c r="E597" s="961"/>
      <c r="F597" s="961"/>
      <c r="G597" s="954"/>
      <c r="H597" s="730" t="s">
        <v>46</v>
      </c>
      <c r="I597" s="944"/>
      <c r="J597" s="959">
        <v>0</v>
      </c>
      <c r="K597" s="945"/>
      <c r="L597" s="945"/>
      <c r="M597" s="945"/>
      <c r="N597" s="945"/>
      <c r="O597" s="945"/>
      <c r="P597" s="945"/>
      <c r="Q597" s="1244"/>
      <c r="R597" s="1244"/>
      <c r="S597" s="1244"/>
      <c r="T597" s="1244"/>
      <c r="U597" s="1244"/>
      <c r="V597" s="1244"/>
      <c r="W597" s="1244"/>
      <c r="X597" s="1244"/>
      <c r="Y597" s="1244"/>
      <c r="Z597" s="1244"/>
    </row>
    <row r="598" spans="1:26" ht="18.75">
      <c r="A598" s="1267"/>
      <c r="B598" s="1268"/>
      <c r="C598" s="1268"/>
      <c r="D598" s="1268"/>
      <c r="E598" s="961"/>
      <c r="F598" s="961"/>
      <c r="G598" s="954"/>
      <c r="H598" s="730" t="s">
        <v>34</v>
      </c>
      <c r="I598" s="830"/>
      <c r="J598" s="959">
        <v>0</v>
      </c>
      <c r="K598" s="945"/>
      <c r="L598" s="945"/>
      <c r="M598" s="945"/>
      <c r="N598" s="945"/>
      <c r="O598" s="945"/>
      <c r="P598" s="945"/>
      <c r="Q598" s="1244"/>
      <c r="R598" s="1244"/>
      <c r="S598" s="1244"/>
      <c r="T598" s="1244"/>
      <c r="U598" s="1244"/>
      <c r="V598" s="1244"/>
      <c r="W598" s="1244"/>
      <c r="X598" s="1244"/>
      <c r="Y598" s="1244"/>
      <c r="Z598" s="1244"/>
    </row>
    <row r="599" spans="1:26" ht="18.75">
      <c r="A599" s="1267"/>
      <c r="B599" s="1268"/>
      <c r="C599" s="1268"/>
      <c r="D599" s="1017" t="s">
        <v>255</v>
      </c>
      <c r="E599" s="961"/>
      <c r="F599" s="961"/>
      <c r="G599" s="954"/>
      <c r="H599" s="730" t="s">
        <v>46</v>
      </c>
      <c r="I599" s="830"/>
      <c r="J599" s="959">
        <v>0</v>
      </c>
      <c r="K599" s="945"/>
      <c r="L599" s="945"/>
      <c r="M599" s="945"/>
      <c r="N599" s="945"/>
      <c r="O599" s="945"/>
      <c r="P599" s="945"/>
      <c r="Q599" s="1244"/>
      <c r="R599" s="1244"/>
      <c r="S599" s="1244"/>
      <c r="T599" s="1244"/>
      <c r="U599" s="1244"/>
      <c r="V599" s="1244"/>
      <c r="W599" s="1244"/>
      <c r="X599" s="1244"/>
      <c r="Y599" s="1244"/>
      <c r="Z599" s="1244"/>
    </row>
    <row r="600" spans="1:26" ht="18.75">
      <c r="A600" s="1267"/>
      <c r="B600" s="1268"/>
      <c r="C600" s="1268"/>
      <c r="D600" s="1268"/>
      <c r="E600" s="961"/>
      <c r="F600" s="961"/>
      <c r="G600" s="954"/>
      <c r="H600" s="730" t="s">
        <v>34</v>
      </c>
      <c r="I600" s="830"/>
      <c r="J600" s="959">
        <v>0</v>
      </c>
      <c r="K600" s="945"/>
      <c r="L600" s="945"/>
      <c r="M600" s="945"/>
      <c r="N600" s="945"/>
      <c r="O600" s="945"/>
      <c r="P600" s="945"/>
      <c r="Q600" s="1244"/>
      <c r="R600" s="1244"/>
      <c r="S600" s="1244"/>
      <c r="T600" s="1244"/>
      <c r="U600" s="1244"/>
      <c r="V600" s="1244"/>
      <c r="W600" s="1244"/>
      <c r="X600" s="1244"/>
      <c r="Y600" s="1244"/>
      <c r="Z600" s="1244"/>
    </row>
    <row r="601" spans="1:26" ht="18.75">
      <c r="A601" s="1267"/>
      <c r="B601" s="1268"/>
      <c r="C601" s="1268"/>
      <c r="D601" s="1017" t="s">
        <v>256</v>
      </c>
      <c r="E601" s="961"/>
      <c r="F601" s="961"/>
      <c r="G601" s="954"/>
      <c r="H601" s="730" t="s">
        <v>46</v>
      </c>
      <c r="I601" s="830"/>
      <c r="J601" s="959">
        <v>0</v>
      </c>
      <c r="K601" s="945"/>
      <c r="L601" s="945"/>
      <c r="M601" s="945"/>
      <c r="N601" s="945"/>
      <c r="O601" s="945"/>
      <c r="P601" s="945"/>
      <c r="Q601" s="1244"/>
      <c r="R601" s="1244"/>
      <c r="S601" s="1244"/>
      <c r="T601" s="1244"/>
      <c r="U601" s="1244"/>
      <c r="V601" s="1244"/>
      <c r="W601" s="1244"/>
      <c r="X601" s="1244"/>
      <c r="Y601" s="1244"/>
      <c r="Z601" s="1244"/>
    </row>
    <row r="602" spans="1:26" ht="18.75">
      <c r="A602" s="1267"/>
      <c r="B602" s="1268"/>
      <c r="C602" s="1268"/>
      <c r="D602" s="1268"/>
      <c r="E602" s="961"/>
      <c r="F602" s="961"/>
      <c r="G602" s="954"/>
      <c r="H602" s="730" t="s">
        <v>34</v>
      </c>
      <c r="I602" s="830"/>
      <c r="J602" s="959">
        <v>0</v>
      </c>
      <c r="K602" s="945"/>
      <c r="L602" s="945"/>
      <c r="M602" s="945"/>
      <c r="N602" s="945"/>
      <c r="O602" s="945"/>
      <c r="P602" s="945"/>
      <c r="Q602" s="1244"/>
      <c r="R602" s="1244"/>
      <c r="S602" s="1244"/>
      <c r="T602" s="1244"/>
      <c r="U602" s="1244"/>
      <c r="V602" s="1244"/>
      <c r="W602" s="1244"/>
      <c r="X602" s="1244"/>
      <c r="Y602" s="1244"/>
      <c r="Z602" s="1244"/>
    </row>
    <row r="603" spans="1:26" ht="18.75">
      <c r="A603" s="1267"/>
      <c r="B603" s="1268"/>
      <c r="C603" s="1340" t="s">
        <v>257</v>
      </c>
      <c r="D603" s="1268"/>
      <c r="E603" s="1268"/>
      <c r="F603" s="961"/>
      <c r="G603" s="954"/>
      <c r="H603" s="730" t="s">
        <v>46</v>
      </c>
      <c r="I603" s="830"/>
      <c r="J603" s="830">
        <f t="shared" ref="J603:J604" si="257">J605+J607</f>
        <v>0</v>
      </c>
      <c r="K603" s="945"/>
      <c r="L603" s="945"/>
      <c r="M603" s="945"/>
      <c r="N603" s="945"/>
      <c r="O603" s="945"/>
      <c r="P603" s="945"/>
      <c r="Q603" s="1244"/>
      <c r="R603" s="1244"/>
      <c r="S603" s="1244"/>
      <c r="T603" s="1244"/>
      <c r="U603" s="1244"/>
      <c r="V603" s="1244"/>
      <c r="W603" s="1244"/>
      <c r="X603" s="1244"/>
      <c r="Y603" s="1244"/>
      <c r="Z603" s="1244"/>
    </row>
    <row r="604" spans="1:26" ht="18.75">
      <c r="A604" s="1267"/>
      <c r="B604" s="1268"/>
      <c r="C604" s="1268"/>
      <c r="D604" s="1268"/>
      <c r="E604" s="961"/>
      <c r="F604" s="961"/>
      <c r="G604" s="954"/>
      <c r="H604" s="730" t="s">
        <v>34</v>
      </c>
      <c r="I604" s="830"/>
      <c r="J604" s="830">
        <f t="shared" si="257"/>
        <v>0</v>
      </c>
      <c r="K604" s="945"/>
      <c r="L604" s="945"/>
      <c r="M604" s="945"/>
      <c r="N604" s="945"/>
      <c r="O604" s="945"/>
      <c r="P604" s="945"/>
      <c r="Q604" s="1244"/>
      <c r="R604" s="1244"/>
      <c r="S604" s="1244"/>
      <c r="T604" s="1244"/>
      <c r="U604" s="1244"/>
      <c r="V604" s="1244"/>
      <c r="W604" s="1244"/>
      <c r="X604" s="1244"/>
      <c r="Y604" s="1244"/>
      <c r="Z604" s="1244"/>
    </row>
    <row r="605" spans="1:26" ht="18.75">
      <c r="A605" s="1267"/>
      <c r="B605" s="1268"/>
      <c r="C605" s="1268"/>
      <c r="D605" s="1340" t="s">
        <v>258</v>
      </c>
      <c r="E605" s="961"/>
      <c r="F605" s="961"/>
      <c r="G605" s="954"/>
      <c r="H605" s="730" t="s">
        <v>46</v>
      </c>
      <c r="I605" s="830"/>
      <c r="J605" s="959">
        <v>0</v>
      </c>
      <c r="K605" s="945"/>
      <c r="L605" s="945"/>
      <c r="M605" s="945"/>
      <c r="N605" s="945"/>
      <c r="O605" s="945"/>
      <c r="P605" s="945"/>
      <c r="Q605" s="1244"/>
      <c r="R605" s="1244"/>
      <c r="S605" s="1244"/>
      <c r="T605" s="1244"/>
      <c r="U605" s="1244"/>
      <c r="V605" s="1244"/>
      <c r="W605" s="1244"/>
      <c r="X605" s="1244"/>
      <c r="Y605" s="1244"/>
      <c r="Z605" s="1244"/>
    </row>
    <row r="606" spans="1:26" ht="18.75">
      <c r="A606" s="1267"/>
      <c r="B606" s="1268"/>
      <c r="C606" s="1268"/>
      <c r="D606" s="1268"/>
      <c r="E606" s="1268"/>
      <c r="F606" s="961"/>
      <c r="G606" s="954"/>
      <c r="H606" s="730" t="s">
        <v>34</v>
      </c>
      <c r="I606" s="830"/>
      <c r="J606" s="959">
        <v>0</v>
      </c>
      <c r="K606" s="945"/>
      <c r="L606" s="945"/>
      <c r="M606" s="945"/>
      <c r="N606" s="945"/>
      <c r="O606" s="945"/>
      <c r="P606" s="945"/>
      <c r="Q606" s="1244"/>
      <c r="R606" s="1244"/>
      <c r="S606" s="1244"/>
      <c r="T606" s="1244"/>
      <c r="U606" s="1244"/>
      <c r="V606" s="1244"/>
      <c r="W606" s="1244"/>
      <c r="X606" s="1244"/>
      <c r="Y606" s="1244"/>
      <c r="Z606" s="1244"/>
    </row>
    <row r="607" spans="1:26" ht="18.75">
      <c r="A607" s="1267"/>
      <c r="B607" s="1268"/>
      <c r="C607" s="1268"/>
      <c r="D607" s="1340" t="s">
        <v>259</v>
      </c>
      <c r="E607" s="1268"/>
      <c r="F607" s="961"/>
      <c r="G607" s="954"/>
      <c r="H607" s="730" t="s">
        <v>46</v>
      </c>
      <c r="I607" s="830"/>
      <c r="J607" s="959">
        <v>0</v>
      </c>
      <c r="K607" s="945"/>
      <c r="L607" s="945"/>
      <c r="M607" s="945"/>
      <c r="N607" s="945"/>
      <c r="O607" s="945"/>
      <c r="P607" s="945"/>
      <c r="Q607" s="1244"/>
      <c r="R607" s="1244"/>
      <c r="S607" s="1244"/>
      <c r="T607" s="1244"/>
      <c r="U607" s="1244"/>
      <c r="V607" s="1244"/>
      <c r="W607" s="1244"/>
      <c r="X607" s="1244"/>
      <c r="Y607" s="1244"/>
      <c r="Z607" s="1244"/>
    </row>
    <row r="608" spans="1:26" ht="18.75">
      <c r="A608" s="1267"/>
      <c r="B608" s="1268"/>
      <c r="C608" s="1268"/>
      <c r="D608" s="1268"/>
      <c r="E608" s="961"/>
      <c r="F608" s="961"/>
      <c r="G608" s="954"/>
      <c r="H608" s="730" t="s">
        <v>34</v>
      </c>
      <c r="I608" s="830"/>
      <c r="J608" s="959">
        <v>0</v>
      </c>
      <c r="K608" s="945"/>
      <c r="L608" s="945"/>
      <c r="M608" s="945"/>
      <c r="N608" s="945"/>
      <c r="O608" s="945"/>
      <c r="P608" s="945"/>
      <c r="Q608" s="1244"/>
      <c r="R608" s="1244"/>
      <c r="S608" s="1244"/>
      <c r="T608" s="1244"/>
      <c r="U608" s="1244"/>
      <c r="V608" s="1244"/>
      <c r="W608" s="1244"/>
      <c r="X608" s="1244"/>
      <c r="Y608" s="1244"/>
      <c r="Z608" s="1244"/>
    </row>
    <row r="609" spans="1:26" ht="18.75">
      <c r="A609" s="1267"/>
      <c r="B609" s="1268"/>
      <c r="C609" s="1268" t="s">
        <v>260</v>
      </c>
      <c r="D609" s="1268"/>
      <c r="E609" s="1268"/>
      <c r="F609" s="961"/>
      <c r="G609" s="954"/>
      <c r="H609" s="730" t="s">
        <v>46</v>
      </c>
      <c r="I609" s="830"/>
      <c r="J609" s="959">
        <v>0</v>
      </c>
      <c r="K609" s="945"/>
      <c r="L609" s="945"/>
      <c r="M609" s="945"/>
      <c r="N609" s="945"/>
      <c r="O609" s="945"/>
      <c r="P609" s="945"/>
      <c r="Q609" s="1244"/>
      <c r="R609" s="1244"/>
      <c r="S609" s="1244"/>
      <c r="T609" s="1244"/>
      <c r="U609" s="1244"/>
      <c r="V609" s="1244"/>
      <c r="W609" s="1244"/>
      <c r="X609" s="1244"/>
      <c r="Y609" s="1244"/>
      <c r="Z609" s="1244"/>
    </row>
    <row r="610" spans="1:26" ht="18.75">
      <c r="A610" s="1267"/>
      <c r="B610" s="1268"/>
      <c r="C610" s="1268"/>
      <c r="D610" s="1268"/>
      <c r="E610" s="961"/>
      <c r="F610" s="961"/>
      <c r="G610" s="954"/>
      <c r="H610" s="730" t="s">
        <v>34</v>
      </c>
      <c r="I610" s="830"/>
      <c r="J610" s="959">
        <v>0</v>
      </c>
      <c r="K610" s="945"/>
      <c r="L610" s="945"/>
      <c r="M610" s="945"/>
      <c r="N610" s="945"/>
      <c r="O610" s="945"/>
      <c r="P610" s="945"/>
      <c r="Q610" s="1244"/>
      <c r="R610" s="1244"/>
      <c r="S610" s="1244"/>
      <c r="T610" s="1244"/>
      <c r="U610" s="1244"/>
      <c r="V610" s="1244"/>
      <c r="W610" s="1244"/>
      <c r="X610" s="1244"/>
      <c r="Y610" s="1244"/>
      <c r="Z610" s="1244"/>
    </row>
    <row r="611" spans="1:26" ht="19.5" hidden="1">
      <c r="A611" s="1329"/>
      <c r="B611" s="1341" t="s">
        <v>261</v>
      </c>
      <c r="C611" s="1331"/>
      <c r="D611" s="1331"/>
      <c r="E611" s="1315"/>
      <c r="F611" s="1315"/>
      <c r="G611" s="1316"/>
      <c r="H611" s="673" t="s">
        <v>46</v>
      </c>
      <c r="I611" s="1317">
        <v>0</v>
      </c>
      <c r="J611" s="1317">
        <f>J614+J616</f>
        <v>0</v>
      </c>
      <c r="K611" s="1318">
        <f t="shared" ref="K611:K613" si="258">IF(I611&gt;0,J611*100/I611,0)</f>
        <v>0</v>
      </c>
      <c r="L611" s="1319"/>
      <c r="M611" s="1319"/>
      <c r="N611" s="1319"/>
      <c r="O611" s="1319"/>
      <c r="P611" s="1319"/>
      <c r="Q611" s="1244"/>
      <c r="R611" s="1244"/>
      <c r="S611" s="1244"/>
      <c r="T611" s="1244"/>
      <c r="U611" s="1244"/>
      <c r="V611" s="1244"/>
      <c r="W611" s="1244"/>
      <c r="X611" s="1244"/>
      <c r="Y611" s="1244"/>
      <c r="Z611" s="1244"/>
    </row>
    <row r="612" spans="1:26" ht="19.5" hidden="1">
      <c r="A612" s="1342"/>
      <c r="B612" s="1343"/>
      <c r="C612" s="1344" t="s">
        <v>262</v>
      </c>
      <c r="D612" s="1343"/>
      <c r="E612" s="1343"/>
      <c r="F612" s="1345"/>
      <c r="G612" s="1346"/>
      <c r="H612" s="680" t="s">
        <v>46</v>
      </c>
      <c r="I612" s="1347">
        <v>0</v>
      </c>
      <c r="J612" s="1347">
        <f t="shared" ref="J612:J613" si="259">J614+J616</f>
        <v>0</v>
      </c>
      <c r="K612" s="1348">
        <f t="shared" si="258"/>
        <v>0</v>
      </c>
      <c r="L612" s="1349"/>
      <c r="M612" s="1349"/>
      <c r="N612" s="1349"/>
      <c r="O612" s="1349"/>
      <c r="P612" s="1349"/>
      <c r="Q612" s="1264"/>
      <c r="R612" s="1264"/>
      <c r="S612" s="1264"/>
      <c r="T612" s="1264"/>
      <c r="U612" s="1264"/>
      <c r="V612" s="1264"/>
      <c r="W612" s="1264"/>
      <c r="X612" s="1264"/>
      <c r="Y612" s="1264"/>
      <c r="Z612" s="1264"/>
    </row>
    <row r="613" spans="1:26" ht="19.5" hidden="1">
      <c r="A613" s="1342"/>
      <c r="B613" s="1343"/>
      <c r="C613" s="1343" t="s">
        <v>263</v>
      </c>
      <c r="D613" s="1343"/>
      <c r="E613" s="1343"/>
      <c r="F613" s="1345"/>
      <c r="G613" s="1346"/>
      <c r="H613" s="680" t="s">
        <v>34</v>
      </c>
      <c r="I613" s="1347">
        <v>0</v>
      </c>
      <c r="J613" s="1347">
        <f t="shared" si="259"/>
        <v>0</v>
      </c>
      <c r="K613" s="1348">
        <f t="shared" si="258"/>
        <v>0</v>
      </c>
      <c r="L613" s="1349"/>
      <c r="M613" s="1349"/>
      <c r="N613" s="1349"/>
      <c r="O613" s="1349"/>
      <c r="P613" s="1349"/>
      <c r="Q613" s="1264"/>
      <c r="R613" s="1264"/>
      <c r="S613" s="1264"/>
      <c r="T613" s="1264"/>
      <c r="U613" s="1264"/>
      <c r="V613" s="1264"/>
      <c r="W613" s="1264"/>
      <c r="X613" s="1264"/>
      <c r="Y613" s="1264"/>
      <c r="Z613" s="1264"/>
    </row>
    <row r="614" spans="1:26" ht="18.75" hidden="1">
      <c r="A614" s="1273"/>
      <c r="B614" s="1274"/>
      <c r="C614" s="1274"/>
      <c r="D614" s="1262" t="s">
        <v>264</v>
      </c>
      <c r="E614" s="1274"/>
      <c r="F614" s="1262"/>
      <c r="G614" s="1060"/>
      <c r="H614" s="583" t="s">
        <v>46</v>
      </c>
      <c r="I614" s="836"/>
      <c r="J614" s="836">
        <v>0</v>
      </c>
      <c r="K614" s="948"/>
      <c r="L614" s="948"/>
      <c r="M614" s="948"/>
      <c r="N614" s="948"/>
      <c r="O614" s="948"/>
      <c r="P614" s="948"/>
      <c r="Q614" s="1264"/>
      <c r="R614" s="1264"/>
      <c r="S614" s="1264"/>
      <c r="T614" s="1264"/>
      <c r="U614" s="1264"/>
      <c r="V614" s="1264"/>
      <c r="W614" s="1264"/>
      <c r="X614" s="1264"/>
      <c r="Y614" s="1264"/>
      <c r="Z614" s="1264"/>
    </row>
    <row r="615" spans="1:26" ht="18.75" hidden="1">
      <c r="A615" s="1273"/>
      <c r="B615" s="1274"/>
      <c r="C615" s="1274"/>
      <c r="D615" s="1274"/>
      <c r="E615" s="1274"/>
      <c r="F615" s="1262"/>
      <c r="G615" s="1060"/>
      <c r="H615" s="583" t="s">
        <v>34</v>
      </c>
      <c r="I615" s="836"/>
      <c r="J615" s="836">
        <v>0</v>
      </c>
      <c r="K615" s="948"/>
      <c r="L615" s="948"/>
      <c r="M615" s="948"/>
      <c r="N615" s="948"/>
      <c r="O615" s="948"/>
      <c r="P615" s="948"/>
      <c r="Q615" s="1264"/>
      <c r="R615" s="1264"/>
      <c r="S615" s="1264"/>
      <c r="T615" s="1264"/>
      <c r="U615" s="1264"/>
      <c r="V615" s="1264"/>
      <c r="W615" s="1264"/>
      <c r="X615" s="1264"/>
      <c r="Y615" s="1264"/>
      <c r="Z615" s="1264"/>
    </row>
    <row r="616" spans="1:26" ht="18.75" hidden="1">
      <c r="A616" s="1273"/>
      <c r="B616" s="1274"/>
      <c r="C616" s="1274"/>
      <c r="D616" s="1350" t="s">
        <v>264</v>
      </c>
      <c r="E616" s="1262"/>
      <c r="F616" s="1262"/>
      <c r="G616" s="1060"/>
      <c r="H616" s="583" t="s">
        <v>46</v>
      </c>
      <c r="I616" s="836"/>
      <c r="J616" s="836">
        <v>0</v>
      </c>
      <c r="K616" s="948"/>
      <c r="L616" s="948"/>
      <c r="M616" s="948"/>
      <c r="N616" s="948"/>
      <c r="O616" s="948"/>
      <c r="P616" s="948"/>
      <c r="Q616" s="1264"/>
      <c r="R616" s="1264"/>
      <c r="S616" s="1264"/>
      <c r="T616" s="1264"/>
      <c r="U616" s="1264"/>
      <c r="V616" s="1264"/>
      <c r="W616" s="1264"/>
      <c r="X616" s="1264"/>
      <c r="Y616" s="1264"/>
      <c r="Z616" s="1264"/>
    </row>
    <row r="617" spans="1:26" ht="18.75" hidden="1">
      <c r="A617" s="1273"/>
      <c r="B617" s="1274"/>
      <c r="C617" s="1274"/>
      <c r="D617" s="1274"/>
      <c r="E617" s="1262"/>
      <c r="F617" s="1262"/>
      <c r="G617" s="1060"/>
      <c r="H617" s="583" t="s">
        <v>34</v>
      </c>
      <c r="I617" s="836"/>
      <c r="J617" s="836">
        <v>0</v>
      </c>
      <c r="K617" s="948"/>
      <c r="L617" s="948"/>
      <c r="M617" s="948"/>
      <c r="N617" s="948"/>
      <c r="O617" s="948"/>
      <c r="P617" s="948"/>
      <c r="Q617" s="1264"/>
      <c r="R617" s="1264"/>
      <c r="S617" s="1264"/>
      <c r="T617" s="1264"/>
      <c r="U617" s="1264"/>
      <c r="V617" s="1264"/>
      <c r="W617" s="1264"/>
      <c r="X617" s="1264"/>
      <c r="Y617" s="1264"/>
      <c r="Z617" s="1264"/>
    </row>
    <row r="618" spans="1:26" ht="18.75" hidden="1">
      <c r="A618" s="1273"/>
      <c r="B618" s="1274"/>
      <c r="C618" s="1274"/>
      <c r="D618" s="1350" t="s">
        <v>265</v>
      </c>
      <c r="E618" s="1262"/>
      <c r="F618" s="1262"/>
      <c r="G618" s="1060"/>
      <c r="H618" s="583" t="s">
        <v>46</v>
      </c>
      <c r="I618" s="836"/>
      <c r="J618" s="836">
        <v>0</v>
      </c>
      <c r="K618" s="948"/>
      <c r="L618" s="948"/>
      <c r="M618" s="948"/>
      <c r="N618" s="948"/>
      <c r="O618" s="948"/>
      <c r="P618" s="948"/>
      <c r="Q618" s="1264"/>
      <c r="R618" s="1264"/>
      <c r="S618" s="1264"/>
      <c r="T618" s="1264"/>
      <c r="U618" s="1264"/>
      <c r="V618" s="1264"/>
      <c r="W618" s="1264"/>
      <c r="X618" s="1264"/>
      <c r="Y618" s="1264"/>
      <c r="Z618" s="1264"/>
    </row>
    <row r="619" spans="1:26" ht="18.75" hidden="1">
      <c r="A619" s="1273"/>
      <c r="B619" s="1274"/>
      <c r="C619" s="1274"/>
      <c r="D619" s="1274"/>
      <c r="E619" s="1262"/>
      <c r="F619" s="1262"/>
      <c r="G619" s="1060"/>
      <c r="H619" s="583" t="s">
        <v>34</v>
      </c>
      <c r="I619" s="836"/>
      <c r="J619" s="836">
        <v>0</v>
      </c>
      <c r="K619" s="948"/>
      <c r="L619" s="948"/>
      <c r="M619" s="948"/>
      <c r="N619" s="948"/>
      <c r="O619" s="948"/>
      <c r="P619" s="948"/>
      <c r="Q619" s="1264"/>
      <c r="R619" s="1264"/>
      <c r="S619" s="1264"/>
      <c r="T619" s="1264"/>
      <c r="U619" s="1264"/>
      <c r="V619" s="1264"/>
      <c r="W619" s="1264"/>
      <c r="X619" s="1264"/>
      <c r="Y619" s="1264"/>
      <c r="Z619" s="1264"/>
    </row>
    <row r="620" spans="1:26" ht="19.5" hidden="1">
      <c r="A620" s="1351"/>
      <c r="B620" s="1352"/>
      <c r="C620" s="1353" t="s">
        <v>266</v>
      </c>
      <c r="D620" s="1352"/>
      <c r="E620" s="1352"/>
      <c r="F620" s="1354"/>
      <c r="G620" s="1355"/>
      <c r="H620" s="693" t="s">
        <v>46</v>
      </c>
      <c r="I620" s="1356">
        <f ca="1">IFERROR(__xludf.DUMMYFUNCTION("IMPORTRANGE(""https://docs.google.com/spreadsheets/d/1QqKyyYR6Q21VydFLVH3TRQUabQu_ym0Zz7PgGX0-kHA/edit?usp=sharing"",""แผน!HL18"")"),146)</f>
        <v>146</v>
      </c>
      <c r="J620" s="1356">
        <f t="shared" ref="J620:J621" si="260">J622+J624+J626</f>
        <v>0</v>
      </c>
      <c r="K620" s="1357">
        <f t="shared" ref="K620:K621" ca="1" si="261">IF(I620&gt;0,J620*100/I620,0)</f>
        <v>0</v>
      </c>
      <c r="L620" s="1358"/>
      <c r="M620" s="1358"/>
      <c r="N620" s="1358"/>
      <c r="O620" s="1358"/>
      <c r="P620" s="1358"/>
      <c r="Q620" s="1244"/>
      <c r="R620" s="1244"/>
      <c r="S620" s="1244"/>
      <c r="T620" s="1244"/>
      <c r="U620" s="1244"/>
      <c r="V620" s="1244"/>
      <c r="W620" s="1244"/>
      <c r="X620" s="1244"/>
      <c r="Y620" s="1244"/>
      <c r="Z620" s="1244"/>
    </row>
    <row r="621" spans="1:26" ht="19.5" hidden="1">
      <c r="A621" s="1351"/>
      <c r="B621" s="1352"/>
      <c r="C621" s="1352" t="s">
        <v>267</v>
      </c>
      <c r="D621" s="1352"/>
      <c r="E621" s="1352"/>
      <c r="F621" s="1354"/>
      <c r="G621" s="1355"/>
      <c r="H621" s="693" t="s">
        <v>34</v>
      </c>
      <c r="I621" s="1356">
        <f ca="1">IFERROR(__xludf.DUMMYFUNCTION("IMPORTRANGE(""https://docs.google.com/spreadsheets/d/1QqKyyYR6Q21VydFLVH3TRQUabQu_ym0Zz7PgGX0-kHA/edit?usp=sharing"",""แผน!HK18"")"),20)</f>
        <v>20</v>
      </c>
      <c r="J621" s="1356">
        <f t="shared" si="260"/>
        <v>0</v>
      </c>
      <c r="K621" s="1357">
        <f t="shared" ca="1" si="261"/>
        <v>0</v>
      </c>
      <c r="L621" s="1358"/>
      <c r="M621" s="1358"/>
      <c r="N621" s="1358"/>
      <c r="O621" s="1358"/>
      <c r="P621" s="1358"/>
      <c r="Q621" s="1244"/>
      <c r="R621" s="1244"/>
      <c r="S621" s="1244"/>
      <c r="T621" s="1244"/>
      <c r="U621" s="1244"/>
      <c r="V621" s="1244"/>
      <c r="W621" s="1244"/>
      <c r="X621" s="1244"/>
      <c r="Y621" s="1244"/>
      <c r="Z621" s="1244"/>
    </row>
    <row r="622" spans="1:26" ht="18.75" hidden="1">
      <c r="A622" s="1267"/>
      <c r="B622" s="1268"/>
      <c r="C622" s="1268"/>
      <c r="D622" s="1017" t="s">
        <v>268</v>
      </c>
      <c r="E622" s="961"/>
      <c r="F622" s="961"/>
      <c r="G622" s="954"/>
      <c r="H622" s="730" t="s">
        <v>46</v>
      </c>
      <c r="I622" s="830"/>
      <c r="J622" s="959">
        <v>0</v>
      </c>
      <c r="K622" s="945"/>
      <c r="L622" s="945"/>
      <c r="M622" s="945"/>
      <c r="N622" s="945"/>
      <c r="O622" s="945"/>
      <c r="P622" s="945"/>
      <c r="Q622" s="1244"/>
      <c r="R622" s="1244"/>
      <c r="S622" s="1244"/>
      <c r="T622" s="1244"/>
      <c r="U622" s="1244"/>
      <c r="V622" s="1244"/>
      <c r="W622" s="1244"/>
      <c r="X622" s="1244"/>
      <c r="Y622" s="1244"/>
      <c r="Z622" s="1244"/>
    </row>
    <row r="623" spans="1:26" ht="18.75" hidden="1">
      <c r="A623" s="1267"/>
      <c r="B623" s="1268"/>
      <c r="C623" s="1268"/>
      <c r="D623" s="1268"/>
      <c r="E623" s="961"/>
      <c r="F623" s="961"/>
      <c r="G623" s="954"/>
      <c r="H623" s="730" t="s">
        <v>34</v>
      </c>
      <c r="I623" s="830"/>
      <c r="J623" s="959">
        <v>0</v>
      </c>
      <c r="K623" s="945"/>
      <c r="L623" s="945"/>
      <c r="M623" s="945"/>
      <c r="N623" s="945"/>
      <c r="O623" s="945"/>
      <c r="P623" s="945"/>
      <c r="Q623" s="1244"/>
      <c r="R623" s="1244"/>
      <c r="S623" s="1244"/>
      <c r="T623" s="1244"/>
      <c r="U623" s="1244"/>
      <c r="V623" s="1244"/>
      <c r="W623" s="1244"/>
      <c r="X623" s="1244"/>
      <c r="Y623" s="1244"/>
      <c r="Z623" s="1244"/>
    </row>
    <row r="624" spans="1:26" ht="18.75" hidden="1">
      <c r="A624" s="1267"/>
      <c r="B624" s="1268"/>
      <c r="C624" s="1268"/>
      <c r="D624" s="1017" t="s">
        <v>264</v>
      </c>
      <c r="E624" s="961"/>
      <c r="F624" s="961"/>
      <c r="G624" s="954"/>
      <c r="H624" s="730" t="s">
        <v>46</v>
      </c>
      <c r="I624" s="830"/>
      <c r="J624" s="959">
        <v>0</v>
      </c>
      <c r="K624" s="945"/>
      <c r="L624" s="945"/>
      <c r="M624" s="945"/>
      <c r="N624" s="945"/>
      <c r="O624" s="945"/>
      <c r="P624" s="945"/>
      <c r="Q624" s="1244"/>
      <c r="R624" s="1244"/>
      <c r="S624" s="1244"/>
      <c r="T624" s="1244"/>
      <c r="U624" s="1244"/>
      <c r="V624" s="1244"/>
      <c r="W624" s="1244"/>
      <c r="X624" s="1244"/>
      <c r="Y624" s="1244"/>
      <c r="Z624" s="1244"/>
    </row>
    <row r="625" spans="1:26" ht="18.75" hidden="1">
      <c r="A625" s="1267"/>
      <c r="B625" s="1268"/>
      <c r="C625" s="1268"/>
      <c r="D625" s="1268"/>
      <c r="E625" s="961"/>
      <c r="F625" s="961"/>
      <c r="G625" s="954"/>
      <c r="H625" s="730" t="s">
        <v>34</v>
      </c>
      <c r="I625" s="830"/>
      <c r="J625" s="959">
        <v>0</v>
      </c>
      <c r="K625" s="945"/>
      <c r="L625" s="945"/>
      <c r="M625" s="945"/>
      <c r="N625" s="945"/>
      <c r="O625" s="945"/>
      <c r="P625" s="945"/>
      <c r="Q625" s="1244"/>
      <c r="R625" s="1244"/>
      <c r="S625" s="1244"/>
      <c r="T625" s="1244"/>
      <c r="U625" s="1244"/>
      <c r="V625" s="1244"/>
      <c r="W625" s="1244"/>
      <c r="X625" s="1244"/>
      <c r="Y625" s="1244"/>
      <c r="Z625" s="1244"/>
    </row>
    <row r="626" spans="1:26" ht="18.75" hidden="1">
      <c r="A626" s="1267"/>
      <c r="B626" s="1268"/>
      <c r="C626" s="1268"/>
      <c r="D626" s="1017" t="s">
        <v>269</v>
      </c>
      <c r="E626" s="961"/>
      <c r="F626" s="961"/>
      <c r="G626" s="954"/>
      <c r="H626" s="730" t="s">
        <v>46</v>
      </c>
      <c r="I626" s="830"/>
      <c r="J626" s="959">
        <v>0</v>
      </c>
      <c r="K626" s="945"/>
      <c r="L626" s="945"/>
      <c r="M626" s="945"/>
      <c r="N626" s="945"/>
      <c r="O626" s="945"/>
      <c r="P626" s="945"/>
      <c r="Q626" s="1244"/>
      <c r="R626" s="1244"/>
      <c r="S626" s="1244"/>
      <c r="T626" s="1244"/>
      <c r="U626" s="1244"/>
      <c r="V626" s="1244"/>
      <c r="W626" s="1244"/>
      <c r="X626" s="1244"/>
      <c r="Y626" s="1244"/>
      <c r="Z626" s="1244"/>
    </row>
    <row r="627" spans="1:26" ht="18.75" hidden="1">
      <c r="A627" s="1359"/>
      <c r="B627" s="1360"/>
      <c r="C627" s="1360"/>
      <c r="D627" s="1360"/>
      <c r="E627" s="1116"/>
      <c r="F627" s="1116"/>
      <c r="G627" s="1361"/>
      <c r="H627" s="391" t="s">
        <v>34</v>
      </c>
      <c r="I627" s="1085"/>
      <c r="J627" s="1118">
        <v>0</v>
      </c>
      <c r="K627" s="1086"/>
      <c r="L627" s="1086"/>
      <c r="M627" s="1086"/>
      <c r="N627" s="1086"/>
      <c r="O627" s="1086"/>
      <c r="P627" s="1086"/>
      <c r="Q627" s="1244"/>
      <c r="R627" s="1244"/>
      <c r="S627" s="1244"/>
      <c r="T627" s="1244"/>
      <c r="U627" s="1244"/>
      <c r="V627" s="1244"/>
      <c r="W627" s="1244"/>
      <c r="X627" s="1244"/>
      <c r="Y627" s="1244"/>
      <c r="Z627" s="1244"/>
    </row>
    <row r="628" spans="1:26" ht="19.5">
      <c r="A628" s="702">
        <v>7</v>
      </c>
      <c r="B628" s="1362" t="s">
        <v>270</v>
      </c>
      <c r="C628" s="1363"/>
      <c r="D628" s="1363"/>
      <c r="E628" s="1363"/>
      <c r="F628" s="1363"/>
      <c r="G628" s="1364"/>
      <c r="H628" s="706" t="s">
        <v>35</v>
      </c>
      <c r="I628" s="1365">
        <f t="shared" ref="I628:J628" ca="1" si="262">I651</f>
        <v>715</v>
      </c>
      <c r="J628" s="1365">
        <f t="shared" ca="1" si="262"/>
        <v>0</v>
      </c>
      <c r="K628" s="1366">
        <f ca="1">IF(I628&gt;0,J628*100/I628,0)</f>
        <v>0</v>
      </c>
      <c r="L628" s="1367"/>
      <c r="M628" s="1367"/>
      <c r="N628" s="1367"/>
      <c r="O628" s="1367"/>
      <c r="P628" s="1367"/>
      <c r="Q628" s="1244"/>
      <c r="R628" s="1244"/>
      <c r="S628" s="1244"/>
      <c r="T628" s="1244"/>
      <c r="U628" s="1244"/>
      <c r="V628" s="1244"/>
      <c r="W628" s="1244"/>
      <c r="X628" s="1244"/>
      <c r="Y628" s="1244"/>
      <c r="Z628" s="1244"/>
    </row>
    <row r="629" spans="1:26" ht="19.5">
      <c r="A629" s="1259"/>
      <c r="B629" s="1243"/>
      <c r="C629" s="1243" t="s">
        <v>16</v>
      </c>
      <c r="D629" s="1507" t="s">
        <v>17</v>
      </c>
      <c r="E629" s="1485"/>
      <c r="F629" s="1485"/>
      <c r="G629" s="963"/>
      <c r="H629" s="563" t="s">
        <v>12</v>
      </c>
      <c r="I629" s="830"/>
      <c r="J629" s="830"/>
      <c r="K629" s="831"/>
      <c r="L629" s="967">
        <f t="shared" ref="L629:N629" ca="1" si="263">L630+L631</f>
        <v>1015785</v>
      </c>
      <c r="M629" s="967">
        <f t="shared" si="263"/>
        <v>0</v>
      </c>
      <c r="N629" s="967">
        <f t="shared" si="263"/>
        <v>59681.7</v>
      </c>
      <c r="O629" s="967">
        <f t="shared" ref="O629:O634" ca="1" si="264">IF(L629&gt;0,N629*100/L629,0)</f>
        <v>5.8754263943649496</v>
      </c>
      <c r="P629" s="967">
        <f t="shared" ref="P629:P634" si="265">IF(M629&gt;0,N629*100/M629,0)</f>
        <v>0</v>
      </c>
      <c r="Q629" s="1244"/>
      <c r="R629" s="1244"/>
      <c r="S629" s="1244"/>
      <c r="T629" s="1244"/>
      <c r="U629" s="1244"/>
      <c r="V629" s="1244"/>
      <c r="W629" s="1244"/>
      <c r="X629" s="1244"/>
      <c r="Y629" s="1244"/>
      <c r="Z629" s="1244"/>
    </row>
    <row r="630" spans="1:26" ht="18.75" hidden="1">
      <c r="A630" s="1260"/>
      <c r="B630" s="1261"/>
      <c r="C630" s="1261"/>
      <c r="D630" s="1262"/>
      <c r="E630" s="1261" t="s">
        <v>184</v>
      </c>
      <c r="F630" s="1261"/>
      <c r="G630" s="1263"/>
      <c r="H630" s="165" t="s">
        <v>12</v>
      </c>
      <c r="I630" s="836"/>
      <c r="J630" s="836"/>
      <c r="K630" s="837"/>
      <c r="L630" s="837">
        <f t="shared" ref="L630:N631" si="266">L633+L640</f>
        <v>0</v>
      </c>
      <c r="M630" s="837">
        <f t="shared" si="266"/>
        <v>0</v>
      </c>
      <c r="N630" s="837">
        <f t="shared" si="266"/>
        <v>0</v>
      </c>
      <c r="O630" s="837">
        <f t="shared" si="264"/>
        <v>0</v>
      </c>
      <c r="P630" s="837">
        <f t="shared" si="265"/>
        <v>0</v>
      </c>
      <c r="Q630" s="1264"/>
      <c r="R630" s="1264"/>
      <c r="S630" s="1264"/>
      <c r="T630" s="1264"/>
      <c r="U630" s="1264"/>
      <c r="V630" s="1264"/>
      <c r="W630" s="1264"/>
      <c r="X630" s="1264"/>
      <c r="Y630" s="1264"/>
      <c r="Z630" s="1264"/>
    </row>
    <row r="631" spans="1:26" ht="18.75" hidden="1">
      <c r="A631" s="1260"/>
      <c r="B631" s="1265"/>
      <c r="C631" s="1261"/>
      <c r="D631" s="1262"/>
      <c r="E631" s="1261" t="s">
        <v>185</v>
      </c>
      <c r="F631" s="1261"/>
      <c r="G631" s="1263"/>
      <c r="H631" s="165" t="s">
        <v>12</v>
      </c>
      <c r="I631" s="836"/>
      <c r="J631" s="836"/>
      <c r="K631" s="837"/>
      <c r="L631" s="837">
        <f t="shared" ca="1" si="266"/>
        <v>1015785</v>
      </c>
      <c r="M631" s="837">
        <f t="shared" si="266"/>
        <v>0</v>
      </c>
      <c r="N631" s="837">
        <f t="shared" si="266"/>
        <v>59681.7</v>
      </c>
      <c r="O631" s="837">
        <f t="shared" ca="1" si="264"/>
        <v>5.8754263943649496</v>
      </c>
      <c r="P631" s="837">
        <f t="shared" si="265"/>
        <v>0</v>
      </c>
      <c r="Q631" s="1264"/>
      <c r="R631" s="1264"/>
      <c r="S631" s="1264"/>
      <c r="T631" s="1264"/>
      <c r="U631" s="1264"/>
      <c r="V631" s="1264"/>
      <c r="W631" s="1264"/>
      <c r="X631" s="1264"/>
      <c r="Y631" s="1264"/>
      <c r="Z631" s="1264"/>
    </row>
    <row r="632" spans="1:26" ht="18.75">
      <c r="A632" s="1259"/>
      <c r="B632" s="1242"/>
      <c r="C632" s="1243"/>
      <c r="D632" s="1266" t="s">
        <v>20</v>
      </c>
      <c r="E632" s="1243"/>
      <c r="F632" s="1243"/>
      <c r="G632" s="963"/>
      <c r="H632" s="778" t="s">
        <v>12</v>
      </c>
      <c r="I632" s="944"/>
      <c r="J632" s="944"/>
      <c r="K632" s="945"/>
      <c r="L632" s="831">
        <f t="shared" ref="L632:N632" ca="1" si="267">L633+L634</f>
        <v>1015785</v>
      </c>
      <c r="M632" s="831">
        <f t="shared" si="267"/>
        <v>0</v>
      </c>
      <c r="N632" s="831">
        <f t="shared" si="267"/>
        <v>59681.7</v>
      </c>
      <c r="O632" s="831">
        <f t="shared" ca="1" si="264"/>
        <v>5.8754263943649496</v>
      </c>
      <c r="P632" s="831">
        <f t="shared" si="265"/>
        <v>0</v>
      </c>
      <c r="Q632" s="1244"/>
      <c r="R632" s="1244"/>
      <c r="S632" s="1244"/>
      <c r="T632" s="1244"/>
      <c r="U632" s="1244"/>
      <c r="V632" s="1244"/>
      <c r="W632" s="1244"/>
      <c r="X632" s="1244"/>
      <c r="Y632" s="1244"/>
      <c r="Z632" s="1244"/>
    </row>
    <row r="633" spans="1:26" ht="18.75" hidden="1">
      <c r="A633" s="1260"/>
      <c r="B633" s="1265"/>
      <c r="C633" s="1261"/>
      <c r="D633" s="1262"/>
      <c r="E633" s="1261" t="s">
        <v>184</v>
      </c>
      <c r="F633" s="1261"/>
      <c r="G633" s="1263"/>
      <c r="H633" s="165" t="s">
        <v>12</v>
      </c>
      <c r="I633" s="836"/>
      <c r="J633" s="836"/>
      <c r="K633" s="837"/>
      <c r="L633" s="837">
        <v>0</v>
      </c>
      <c r="M633" s="837">
        <v>0</v>
      </c>
      <c r="N633" s="837">
        <v>0</v>
      </c>
      <c r="O633" s="837">
        <f t="shared" si="264"/>
        <v>0</v>
      </c>
      <c r="P633" s="837">
        <f t="shared" si="265"/>
        <v>0</v>
      </c>
      <c r="Q633" s="1264"/>
      <c r="R633" s="1264"/>
      <c r="S633" s="1264"/>
      <c r="T633" s="1264"/>
      <c r="U633" s="1264"/>
      <c r="V633" s="1264"/>
      <c r="W633" s="1264"/>
      <c r="X633" s="1264"/>
      <c r="Y633" s="1264"/>
      <c r="Z633" s="1264"/>
    </row>
    <row r="634" spans="1:26" ht="18.75" hidden="1">
      <c r="A634" s="1260"/>
      <c r="B634" s="1265"/>
      <c r="C634" s="1261"/>
      <c r="D634" s="1262"/>
      <c r="E634" s="1261" t="s">
        <v>185</v>
      </c>
      <c r="F634" s="1261"/>
      <c r="G634" s="1263"/>
      <c r="H634" s="165" t="s">
        <v>12</v>
      </c>
      <c r="I634" s="836"/>
      <c r="J634" s="836"/>
      <c r="K634" s="837"/>
      <c r="L634" s="837">
        <f ca="1">IFERROR(__xludf.DUMMYFUNCTION("IMPORTRANGE(""https://docs.google.com/spreadsheets/d/1QqKyyYR6Q21VydFLVH3TRQUabQu_ym0Zz7PgGX0-kHA/edit?usp=sharing"",""แผน!HN18"")"),1015785)</f>
        <v>1015785</v>
      </c>
      <c r="M634" s="837">
        <v>0</v>
      </c>
      <c r="N634" s="837">
        <f>N635+N636+N637+N638</f>
        <v>59681.7</v>
      </c>
      <c r="O634" s="837">
        <f t="shared" ca="1" si="264"/>
        <v>5.8754263943649496</v>
      </c>
      <c r="P634" s="837">
        <f t="shared" si="265"/>
        <v>0</v>
      </c>
      <c r="Q634" s="1264"/>
      <c r="R634" s="1264"/>
      <c r="S634" s="1264"/>
      <c r="T634" s="1264"/>
      <c r="U634" s="1264"/>
      <c r="V634" s="1264"/>
      <c r="W634" s="1264"/>
      <c r="X634" s="1264"/>
      <c r="Y634" s="1264"/>
      <c r="Z634" s="1264"/>
    </row>
    <row r="635" spans="1:26" ht="18.75">
      <c r="A635" s="1241"/>
      <c r="B635" s="1242"/>
      <c r="C635" s="1243"/>
      <c r="D635" s="1243"/>
      <c r="E635" s="1243"/>
      <c r="F635" s="1243" t="s">
        <v>186</v>
      </c>
      <c r="G635" s="963"/>
      <c r="H635" s="778" t="s">
        <v>12</v>
      </c>
      <c r="I635" s="830"/>
      <c r="J635" s="830"/>
      <c r="K635" s="831"/>
      <c r="L635" s="831"/>
      <c r="M635" s="831"/>
      <c r="N635" s="1031">
        <v>0</v>
      </c>
      <c r="O635" s="831"/>
      <c r="P635" s="831"/>
      <c r="Q635" s="1244"/>
      <c r="R635" s="1244"/>
      <c r="S635" s="1244"/>
      <c r="T635" s="1244"/>
      <c r="U635" s="1244"/>
      <c r="V635" s="1244"/>
      <c r="W635" s="1244"/>
      <c r="X635" s="1244"/>
      <c r="Y635" s="1244"/>
      <c r="Z635" s="1244"/>
    </row>
    <row r="636" spans="1:26" ht="18.75">
      <c r="A636" s="1241"/>
      <c r="B636" s="1242"/>
      <c r="C636" s="1243"/>
      <c r="D636" s="1243"/>
      <c r="E636" s="1243"/>
      <c r="F636" s="1243" t="s">
        <v>187</v>
      </c>
      <c r="G636" s="963"/>
      <c r="H636" s="778" t="s">
        <v>12</v>
      </c>
      <c r="I636" s="830"/>
      <c r="J636" s="830"/>
      <c r="K636" s="831"/>
      <c r="L636" s="831"/>
      <c r="M636" s="831"/>
      <c r="N636" s="1031">
        <v>0</v>
      </c>
      <c r="O636" s="831"/>
      <c r="P636" s="831"/>
      <c r="Q636" s="1244"/>
      <c r="R636" s="1244"/>
      <c r="S636" s="1244"/>
      <c r="T636" s="1244"/>
      <c r="U636" s="1244"/>
      <c r="V636" s="1244"/>
      <c r="W636" s="1244"/>
      <c r="X636" s="1244"/>
      <c r="Y636" s="1244"/>
      <c r="Z636" s="1244"/>
    </row>
    <row r="637" spans="1:26" ht="18.75">
      <c r="A637" s="1241"/>
      <c r="B637" s="1242"/>
      <c r="C637" s="1243"/>
      <c r="D637" s="1243"/>
      <c r="E637" s="1243"/>
      <c r="F637" s="1243" t="s">
        <v>188</v>
      </c>
      <c r="G637" s="963"/>
      <c r="H637" s="778" t="s">
        <v>12</v>
      </c>
      <c r="I637" s="830"/>
      <c r="J637" s="830"/>
      <c r="K637" s="831"/>
      <c r="L637" s="831"/>
      <c r="M637" s="831"/>
      <c r="N637" s="1031">
        <v>0</v>
      </c>
      <c r="O637" s="831"/>
      <c r="P637" s="831"/>
      <c r="Q637" s="1244"/>
      <c r="R637" s="1244"/>
      <c r="S637" s="1244"/>
      <c r="T637" s="1244"/>
      <c r="U637" s="1244"/>
      <c r="V637" s="1244"/>
      <c r="W637" s="1244"/>
      <c r="X637" s="1244"/>
      <c r="Y637" s="1244"/>
      <c r="Z637" s="1244"/>
    </row>
    <row r="638" spans="1:26" ht="18.75">
      <c r="A638" s="1241"/>
      <c r="B638" s="1242"/>
      <c r="C638" s="1243"/>
      <c r="D638" s="1243"/>
      <c r="E638" s="1243"/>
      <c r="F638" s="1243" t="s">
        <v>189</v>
      </c>
      <c r="G638" s="963"/>
      <c r="H638" s="778" t="s">
        <v>12</v>
      </c>
      <c r="I638" s="830"/>
      <c r="J638" s="830"/>
      <c r="K638" s="831"/>
      <c r="L638" s="831"/>
      <c r="M638" s="831"/>
      <c r="N638" s="1031">
        <f>19840+39841.7</f>
        <v>59681.7</v>
      </c>
      <c r="O638" s="831"/>
      <c r="P638" s="831"/>
      <c r="Q638" s="1244"/>
      <c r="R638" s="1244"/>
      <c r="S638" s="1244"/>
      <c r="T638" s="1244"/>
      <c r="U638" s="1244"/>
      <c r="V638" s="1244"/>
      <c r="W638" s="1244"/>
      <c r="X638" s="1244"/>
      <c r="Y638" s="1244"/>
      <c r="Z638" s="1244"/>
    </row>
    <row r="639" spans="1:26" ht="18.75">
      <c r="A639" s="1259"/>
      <c r="B639" s="1242"/>
      <c r="C639" s="1243"/>
      <c r="D639" s="1266" t="s">
        <v>21</v>
      </c>
      <c r="E639" s="1243"/>
      <c r="F639" s="1243"/>
      <c r="G639" s="963"/>
      <c r="H639" s="168" t="s">
        <v>12</v>
      </c>
      <c r="I639" s="944"/>
      <c r="J639" s="944"/>
      <c r="K639" s="945"/>
      <c r="L639" s="831">
        <f t="shared" ref="L639:N639" ca="1" si="268">L640+L641</f>
        <v>0</v>
      </c>
      <c r="M639" s="831">
        <f t="shared" si="268"/>
        <v>0</v>
      </c>
      <c r="N639" s="831">
        <f t="shared" si="268"/>
        <v>0</v>
      </c>
      <c r="O639" s="831">
        <f t="shared" ref="O639:O641" ca="1" si="269">IF(L639&gt;0,N639*100/L639,0)</f>
        <v>0</v>
      </c>
      <c r="P639" s="831">
        <f t="shared" ref="P639:P641" si="270">IF(M639&gt;0,N639*100/M639,0)</f>
        <v>0</v>
      </c>
      <c r="Q639" s="1244"/>
      <c r="R639" s="1244"/>
      <c r="S639" s="1244"/>
      <c r="T639" s="1244"/>
      <c r="U639" s="1244"/>
      <c r="V639" s="1244"/>
      <c r="W639" s="1244"/>
      <c r="X639" s="1244"/>
      <c r="Y639" s="1244"/>
      <c r="Z639" s="1244"/>
    </row>
    <row r="640" spans="1:26" ht="18.75" hidden="1">
      <c r="A640" s="1260"/>
      <c r="B640" s="1265"/>
      <c r="C640" s="1261"/>
      <c r="D640" s="1261"/>
      <c r="E640" s="1261" t="s">
        <v>18</v>
      </c>
      <c r="F640" s="1261"/>
      <c r="G640" s="1263"/>
      <c r="H640" s="165" t="s">
        <v>12</v>
      </c>
      <c r="I640" s="947"/>
      <c r="J640" s="947"/>
      <c r="K640" s="948"/>
      <c r="L640" s="837">
        <v>0</v>
      </c>
      <c r="M640" s="837">
        <v>0</v>
      </c>
      <c r="N640" s="837">
        <v>0</v>
      </c>
      <c r="O640" s="837">
        <f t="shared" si="269"/>
        <v>0</v>
      </c>
      <c r="P640" s="837">
        <f t="shared" si="270"/>
        <v>0</v>
      </c>
      <c r="Q640" s="1264"/>
      <c r="R640" s="1264"/>
      <c r="S640" s="1264"/>
      <c r="T640" s="1264"/>
      <c r="U640" s="1264"/>
      <c r="V640" s="1264"/>
      <c r="W640" s="1264"/>
      <c r="X640" s="1264"/>
      <c r="Y640" s="1264"/>
      <c r="Z640" s="1264"/>
    </row>
    <row r="641" spans="1:26" ht="18.75" hidden="1">
      <c r="A641" s="1260"/>
      <c r="B641" s="1265"/>
      <c r="C641" s="1261"/>
      <c r="D641" s="1261"/>
      <c r="E641" s="1261" t="s">
        <v>19</v>
      </c>
      <c r="F641" s="1261"/>
      <c r="G641" s="1263"/>
      <c r="H641" s="169" t="s">
        <v>12</v>
      </c>
      <c r="I641" s="947"/>
      <c r="J641" s="947"/>
      <c r="K641" s="948"/>
      <c r="L641" s="837">
        <f ca="1">IFERROR(__xludf.DUMMYFUNCTION("IMPORTRANGE(""https://docs.google.com/spreadsheets/d/1QqKyyYR6Q21VydFLVH3TRQUabQu_ym0Zz7PgGX0-kHA/edit?usp=sharing"",""แผน!HQ18"")"),0)</f>
        <v>0</v>
      </c>
      <c r="M641" s="837">
        <v>0</v>
      </c>
      <c r="N641" s="837">
        <v>0</v>
      </c>
      <c r="O641" s="837">
        <f t="shared" ca="1" si="269"/>
        <v>0</v>
      </c>
      <c r="P641" s="837">
        <f t="shared" si="270"/>
        <v>0</v>
      </c>
      <c r="Q641" s="1264"/>
      <c r="R641" s="1264"/>
      <c r="S641" s="1264"/>
      <c r="T641" s="1264"/>
      <c r="U641" s="1264"/>
      <c r="V641" s="1264"/>
      <c r="W641" s="1264"/>
      <c r="X641" s="1264"/>
      <c r="Y641" s="1264"/>
      <c r="Z641" s="1264"/>
    </row>
    <row r="642" spans="1:26" ht="19.5">
      <c r="A642" s="1267"/>
      <c r="B642" s="1268"/>
      <c r="C642" s="1243" t="s">
        <v>16</v>
      </c>
      <c r="D642" s="1320" t="s">
        <v>38</v>
      </c>
      <c r="E642" s="1271"/>
      <c r="F642" s="1271"/>
      <c r="G642" s="1272"/>
      <c r="H642" s="954"/>
      <c r="I642" s="944"/>
      <c r="J642" s="944"/>
      <c r="K642" s="945"/>
      <c r="L642" s="945"/>
      <c r="M642" s="945"/>
      <c r="N642" s="945"/>
      <c r="O642" s="945"/>
      <c r="P642" s="945"/>
      <c r="Q642" s="1244"/>
      <c r="R642" s="1244"/>
      <c r="S642" s="1244"/>
      <c r="T642" s="1244"/>
      <c r="U642" s="1244"/>
      <c r="V642" s="1244"/>
      <c r="W642" s="1244"/>
      <c r="X642" s="1244"/>
      <c r="Y642" s="1244"/>
      <c r="Z642" s="1244"/>
    </row>
    <row r="643" spans="1:26" ht="18.75">
      <c r="A643" s="1368"/>
      <c r="B643" s="1242"/>
      <c r="C643" s="1243"/>
      <c r="D643" s="961"/>
      <c r="E643" s="1017" t="s">
        <v>271</v>
      </c>
      <c r="F643" s="961"/>
      <c r="G643" s="954"/>
      <c r="H643" s="730" t="s">
        <v>272</v>
      </c>
      <c r="I643" s="830">
        <f ca="1">IFERROR(__xludf.DUMMYFUNCTION("IMPORTRANGE(""https://docs.google.com/spreadsheets/d/1QqKyyYR6Q21VydFLVH3TRQUabQu_ym0Zz7PgGX0-kHA/edit?usp=sharing"",""แผน!HR18"")"),9)</f>
        <v>9</v>
      </c>
      <c r="J643" s="959">
        <v>0</v>
      </c>
      <c r="K643" s="945">
        <f t="shared" ref="K643:K652" ca="1" si="271">IF(I643&gt;0,J643*100/I643,0)</f>
        <v>0</v>
      </c>
      <c r="L643" s="945"/>
      <c r="M643" s="945"/>
      <c r="N643" s="831"/>
      <c r="O643" s="945"/>
      <c r="P643" s="945"/>
      <c r="Q643" s="1244"/>
      <c r="R643" s="1244"/>
      <c r="S643" s="1244"/>
      <c r="T643" s="1244"/>
      <c r="U643" s="1244"/>
      <c r="V643" s="1244"/>
      <c r="W643" s="1244"/>
      <c r="X643" s="1244"/>
      <c r="Y643" s="1244"/>
      <c r="Z643" s="1244"/>
    </row>
    <row r="644" spans="1:26" ht="18.75">
      <c r="A644" s="1368"/>
      <c r="B644" s="1242"/>
      <c r="C644" s="1243"/>
      <c r="D644" s="961"/>
      <c r="E644" s="1017" t="s">
        <v>273</v>
      </c>
      <c r="F644" s="961"/>
      <c r="G644" s="954"/>
      <c r="H644" s="730" t="s">
        <v>274</v>
      </c>
      <c r="I644" s="830">
        <f ca="1">IFERROR(__xludf.DUMMYFUNCTION("IMPORTRANGE(""https://docs.google.com/spreadsheets/d/1QqKyyYR6Q21VydFLVH3TRQUabQu_ym0Zz7PgGX0-kHA/edit?usp=sharing"",""แผน!HR18"")"),9)</f>
        <v>9</v>
      </c>
      <c r="J644" s="959">
        <v>0</v>
      </c>
      <c r="K644" s="945">
        <f t="shared" ca="1" si="271"/>
        <v>0</v>
      </c>
      <c r="L644" s="945"/>
      <c r="M644" s="945"/>
      <c r="N644" s="831"/>
      <c r="O644" s="945"/>
      <c r="P644" s="945"/>
      <c r="Q644" s="1244"/>
      <c r="R644" s="1244"/>
      <c r="S644" s="1244"/>
      <c r="T644" s="1244"/>
      <c r="U644" s="1244"/>
      <c r="V644" s="1244"/>
      <c r="W644" s="1244"/>
      <c r="X644" s="1244"/>
      <c r="Y644" s="1244"/>
      <c r="Z644" s="1244"/>
    </row>
    <row r="645" spans="1:26" ht="18.75">
      <c r="A645" s="1368"/>
      <c r="B645" s="1242"/>
      <c r="C645" s="1243"/>
      <c r="D645" s="961"/>
      <c r="E645" s="1017" t="s">
        <v>275</v>
      </c>
      <c r="F645" s="961"/>
      <c r="G645" s="954"/>
      <c r="H645" s="730" t="s">
        <v>34</v>
      </c>
      <c r="I645" s="830">
        <v>0</v>
      </c>
      <c r="J645" s="830">
        <f ca="1">IFERROR(__xludf.DUMMYFUNCTION("IMPORTRANGE(""https://docs.google.com/spreadsheets/d/1XWAQStnk-4SwqDmLtmXYiTMKHgktTP8We1SCoS47DrQ/edit?usp=sharing"",""จัดที่ดิน!AS18"")"),184)</f>
        <v>184</v>
      </c>
      <c r="K645" s="945">
        <f t="shared" si="271"/>
        <v>0</v>
      </c>
      <c r="L645" s="945"/>
      <c r="M645" s="945"/>
      <c r="N645" s="831"/>
      <c r="O645" s="945"/>
      <c r="P645" s="945"/>
      <c r="Q645" s="1244"/>
      <c r="R645" s="1244"/>
      <c r="S645" s="1244"/>
      <c r="T645" s="1244"/>
      <c r="U645" s="1244"/>
      <c r="V645" s="1244"/>
      <c r="W645" s="1244"/>
      <c r="X645" s="1244"/>
      <c r="Y645" s="1244"/>
      <c r="Z645" s="1244"/>
    </row>
    <row r="646" spans="1:26" ht="18.75">
      <c r="A646" s="1368"/>
      <c r="B646" s="1242"/>
      <c r="C646" s="1243"/>
      <c r="D646" s="961"/>
      <c r="E646" s="961"/>
      <c r="F646" s="961"/>
      <c r="G646" s="954"/>
      <c r="H646" s="730" t="s">
        <v>46</v>
      </c>
      <c r="I646" s="830">
        <v>0</v>
      </c>
      <c r="J646" s="830">
        <f ca="1">IFERROR(__xludf.DUMMYFUNCTION("IMPORTRANGE(""https://docs.google.com/spreadsheets/d/1XWAQStnk-4SwqDmLtmXYiTMKHgktTP8We1SCoS47DrQ/edit?usp=sharing"",""จัดที่ดิน!AT18"")"),88.71)</f>
        <v>88.71</v>
      </c>
      <c r="K646" s="831">
        <f t="shared" si="271"/>
        <v>0</v>
      </c>
      <c r="L646" s="945"/>
      <c r="M646" s="945"/>
      <c r="N646" s="831"/>
      <c r="O646" s="945"/>
      <c r="P646" s="945"/>
      <c r="Q646" s="1244"/>
      <c r="R646" s="1244"/>
      <c r="S646" s="1244"/>
      <c r="T646" s="1244"/>
      <c r="U646" s="1244"/>
      <c r="V646" s="1244"/>
      <c r="W646" s="1244"/>
      <c r="X646" s="1244"/>
      <c r="Y646" s="1244"/>
      <c r="Z646" s="1244"/>
    </row>
    <row r="647" spans="1:26" ht="18.75">
      <c r="A647" s="1368"/>
      <c r="B647" s="1242"/>
      <c r="C647" s="1243"/>
      <c r="D647" s="961"/>
      <c r="E647" s="1017" t="s">
        <v>162</v>
      </c>
      <c r="F647" s="961"/>
      <c r="G647" s="954"/>
      <c r="H647" s="730" t="s">
        <v>35</v>
      </c>
      <c r="I647" s="830">
        <f ca="1">IFERROR(__xludf.DUMMYFUNCTION("IMPORTRANGE(""https://docs.google.com/spreadsheets/d/1QqKyyYR6Q21VydFLVH3TRQUabQu_ym0Zz7PgGX0-kHA/edit?usp=sharing"",""แผน!HS18"")"),715)</f>
        <v>715</v>
      </c>
      <c r="J647" s="830">
        <f ca="1">IFERROR(__xludf.DUMMYFUNCTION("IMPORTRANGE(""https://docs.google.com/spreadsheets/d/1XWAQStnk-4SwqDmLtmXYiTMKHgktTP8We1SCoS47DrQ/edit?usp=sharing"",""จัดที่ดิน!AU18"")"),0)</f>
        <v>0</v>
      </c>
      <c r="K647" s="945">
        <f t="shared" ca="1" si="271"/>
        <v>0</v>
      </c>
      <c r="L647" s="945"/>
      <c r="M647" s="945"/>
      <c r="N647" s="945"/>
      <c r="O647" s="945"/>
      <c r="P647" s="945"/>
      <c r="Q647" s="1244"/>
      <c r="R647" s="1244"/>
      <c r="S647" s="1244"/>
      <c r="T647" s="1244"/>
      <c r="U647" s="1244"/>
      <c r="V647" s="1244"/>
      <c r="W647" s="1244"/>
      <c r="X647" s="1244"/>
      <c r="Y647" s="1244"/>
      <c r="Z647" s="1244"/>
    </row>
    <row r="648" spans="1:26" ht="18.75">
      <c r="A648" s="1368"/>
      <c r="B648" s="1242"/>
      <c r="C648" s="1243"/>
      <c r="D648" s="961"/>
      <c r="E648" s="961"/>
      <c r="F648" s="961"/>
      <c r="G648" s="954"/>
      <c r="H648" s="730" t="s">
        <v>46</v>
      </c>
      <c r="I648" s="830">
        <v>0</v>
      </c>
      <c r="J648" s="830">
        <f ca="1">IFERROR(__xludf.DUMMYFUNCTION("IMPORTRANGE(""https://docs.google.com/spreadsheets/d/1XWAQStnk-4SwqDmLtmXYiTMKHgktTP8We1SCoS47DrQ/edit?usp=sharing"",""จัดที่ดิน!AV18"")"),0)</f>
        <v>0</v>
      </c>
      <c r="K648" s="831">
        <f t="shared" si="271"/>
        <v>0</v>
      </c>
      <c r="L648" s="945"/>
      <c r="M648" s="945"/>
      <c r="N648" s="945"/>
      <c r="O648" s="945"/>
      <c r="P648" s="945"/>
      <c r="Q648" s="1244"/>
      <c r="R648" s="1244"/>
      <c r="S648" s="1244"/>
      <c r="T648" s="1244"/>
      <c r="U648" s="1244"/>
      <c r="V648" s="1244"/>
      <c r="W648" s="1244"/>
      <c r="X648" s="1244"/>
      <c r="Y648" s="1244"/>
      <c r="Z648" s="1244"/>
    </row>
    <row r="649" spans="1:26" ht="18.75">
      <c r="A649" s="1368"/>
      <c r="B649" s="1242"/>
      <c r="C649" s="1243"/>
      <c r="D649" s="961"/>
      <c r="E649" s="1017" t="s">
        <v>276</v>
      </c>
      <c r="F649" s="961"/>
      <c r="G649" s="954"/>
      <c r="H649" s="730" t="s">
        <v>35</v>
      </c>
      <c r="I649" s="830">
        <f ca="1">IFERROR(__xludf.DUMMYFUNCTION("IMPORTRANGE(""https://docs.google.com/spreadsheets/d/1QqKyyYR6Q21VydFLVH3TRQUabQu_ym0Zz7PgGX0-kHA/edit?usp=sharing"",""แผน!HS18"")"),715)</f>
        <v>715</v>
      </c>
      <c r="J649" s="830">
        <f ca="1">IFERROR(__xludf.DUMMYFUNCTION("IMPORTRANGE(""https://docs.google.com/spreadsheets/d/1XWAQStnk-4SwqDmLtmXYiTMKHgktTP8We1SCoS47DrQ/edit?usp=sharing"",""จัดที่ดิน!AW18"")"),0)</f>
        <v>0</v>
      </c>
      <c r="K649" s="945">
        <f t="shared" ca="1" si="271"/>
        <v>0</v>
      </c>
      <c r="L649" s="945"/>
      <c r="M649" s="945"/>
      <c r="N649" s="945"/>
      <c r="O649" s="945"/>
      <c r="P649" s="945"/>
      <c r="Q649" s="1244"/>
      <c r="R649" s="1244"/>
      <c r="S649" s="1244"/>
      <c r="T649" s="1244"/>
      <c r="U649" s="1244"/>
      <c r="V649" s="1244"/>
      <c r="W649" s="1244"/>
      <c r="X649" s="1244"/>
      <c r="Y649" s="1244"/>
      <c r="Z649" s="1244"/>
    </row>
    <row r="650" spans="1:26" ht="18.75">
      <c r="A650" s="1368"/>
      <c r="B650" s="1242"/>
      <c r="C650" s="1243"/>
      <c r="D650" s="961"/>
      <c r="E650" s="961"/>
      <c r="F650" s="961"/>
      <c r="G650" s="954"/>
      <c r="H650" s="730" t="s">
        <v>46</v>
      </c>
      <c r="I650" s="830">
        <v>0</v>
      </c>
      <c r="J650" s="830">
        <f ca="1">IFERROR(__xludf.DUMMYFUNCTION("IMPORTRANGE(""https://docs.google.com/spreadsheets/d/1XWAQStnk-4SwqDmLtmXYiTMKHgktTP8We1SCoS47DrQ/edit?usp=sharing"",""จัดที่ดิน!AX18"")"),0)</f>
        <v>0</v>
      </c>
      <c r="K650" s="831">
        <f t="shared" si="271"/>
        <v>0</v>
      </c>
      <c r="L650" s="945"/>
      <c r="M650" s="945"/>
      <c r="N650" s="945"/>
      <c r="O650" s="945"/>
      <c r="P650" s="945"/>
      <c r="Q650" s="1244"/>
      <c r="R650" s="1244"/>
      <c r="S650" s="1244"/>
      <c r="T650" s="1244"/>
      <c r="U650" s="1244"/>
      <c r="V650" s="1244"/>
      <c r="W650" s="1244"/>
      <c r="X650" s="1244"/>
      <c r="Y650" s="1244"/>
      <c r="Z650" s="1244"/>
    </row>
    <row r="651" spans="1:26" ht="18.75">
      <c r="A651" s="1368"/>
      <c r="B651" s="1242"/>
      <c r="C651" s="1243"/>
      <c r="D651" s="961"/>
      <c r="E651" s="1017" t="s">
        <v>277</v>
      </c>
      <c r="F651" s="961"/>
      <c r="G651" s="954"/>
      <c r="H651" s="730" t="s">
        <v>35</v>
      </c>
      <c r="I651" s="830">
        <f ca="1">IFERROR(__xludf.DUMMYFUNCTION("IMPORTRANGE(""https://docs.google.com/spreadsheets/d/1QqKyyYR6Q21VydFLVH3TRQUabQu_ym0Zz7PgGX0-kHA/edit?usp=sharing"",""แผน!HS18"")"),715)</f>
        <v>715</v>
      </c>
      <c r="J651" s="830">
        <f ca="1">IFERROR(__xludf.DUMMYFUNCTION("IMPORTRANGE(""https://docs.google.com/spreadsheets/d/1XWAQStnk-4SwqDmLtmXYiTMKHgktTP8We1SCoS47DrQ/edit?usp=sharing"",""จัดที่ดิน!AY18"")"),0)</f>
        <v>0</v>
      </c>
      <c r="K651" s="945">
        <f t="shared" ca="1" si="271"/>
        <v>0</v>
      </c>
      <c r="L651" s="945"/>
      <c r="M651" s="945"/>
      <c r="N651" s="945"/>
      <c r="O651" s="945"/>
      <c r="P651" s="945"/>
      <c r="Q651" s="1244"/>
      <c r="R651" s="1244"/>
      <c r="S651" s="1244"/>
      <c r="T651" s="1244"/>
      <c r="U651" s="1244"/>
      <c r="V651" s="1244"/>
      <c r="W651" s="1244"/>
      <c r="X651" s="1244"/>
      <c r="Y651" s="1244"/>
      <c r="Z651" s="1244"/>
    </row>
    <row r="652" spans="1:26" ht="18.75">
      <c r="A652" s="1369"/>
      <c r="B652" s="1370"/>
      <c r="C652" s="1371"/>
      <c r="D652" s="1116"/>
      <c r="E652" s="1116"/>
      <c r="F652" s="1116"/>
      <c r="G652" s="1361"/>
      <c r="H652" s="468" t="s">
        <v>46</v>
      </c>
      <c r="I652" s="1085">
        <v>0</v>
      </c>
      <c r="J652" s="1085">
        <f ca="1">IFERROR(__xludf.DUMMYFUNCTION("IMPORTRANGE(""https://docs.google.com/spreadsheets/d/1XWAQStnk-4SwqDmLtmXYiTMKHgktTP8We1SCoS47DrQ/edit?usp=sharing"",""จัดที่ดิน!AZ18"")"),0)</f>
        <v>0</v>
      </c>
      <c r="K652" s="1182">
        <f t="shared" si="271"/>
        <v>0</v>
      </c>
      <c r="L652" s="1086"/>
      <c r="M652" s="1086"/>
      <c r="N652" s="1086"/>
      <c r="O652" s="1086"/>
      <c r="P652" s="1086"/>
      <c r="Q652" s="1244"/>
      <c r="R652" s="1244"/>
      <c r="S652" s="1244"/>
      <c r="T652" s="1244"/>
      <c r="U652" s="1244"/>
      <c r="V652" s="1244"/>
      <c r="W652" s="1244"/>
      <c r="X652" s="1244"/>
      <c r="Y652" s="1244"/>
      <c r="Z652" s="1244"/>
    </row>
    <row r="653" spans="1:26" ht="19.5">
      <c r="A653" s="716">
        <v>8</v>
      </c>
      <c r="B653" s="1362" t="s">
        <v>278</v>
      </c>
      <c r="C653" s="1363"/>
      <c r="D653" s="1363"/>
      <c r="E653" s="1363"/>
      <c r="F653" s="1363"/>
      <c r="G653" s="1364"/>
      <c r="H653" s="1364"/>
      <c r="I653" s="1372"/>
      <c r="J653" s="1372"/>
      <c r="K653" s="1367"/>
      <c r="L653" s="1367"/>
      <c r="M653" s="1367"/>
      <c r="N653" s="1367"/>
      <c r="O653" s="1367"/>
      <c r="P653" s="1367"/>
      <c r="Q653" s="1244"/>
      <c r="R653" s="1244"/>
      <c r="S653" s="1244"/>
      <c r="T653" s="1244"/>
      <c r="U653" s="1244"/>
      <c r="V653" s="1244"/>
      <c r="W653" s="1244"/>
      <c r="X653" s="1244"/>
      <c r="Y653" s="1244"/>
      <c r="Z653" s="1244"/>
    </row>
    <row r="654" spans="1:26" ht="19.5" hidden="1">
      <c r="A654" s="1315"/>
      <c r="B654" s="1314" t="s">
        <v>279</v>
      </c>
      <c r="C654" s="1315"/>
      <c r="D654" s="1315"/>
      <c r="E654" s="1315"/>
      <c r="F654" s="1315"/>
      <c r="G654" s="1316"/>
      <c r="H654" s="673" t="s">
        <v>46</v>
      </c>
      <c r="I654" s="1317">
        <f t="shared" ref="I654:J654" ca="1" si="272">I669</f>
        <v>0</v>
      </c>
      <c r="J654" s="1317">
        <f t="shared" si="272"/>
        <v>0</v>
      </c>
      <c r="K654" s="1318">
        <f ca="1">IF(I654&gt;0,J654*100/I654,0)</f>
        <v>0</v>
      </c>
      <c r="L654" s="1319"/>
      <c r="M654" s="1319"/>
      <c r="N654" s="1319"/>
      <c r="O654" s="1319"/>
      <c r="P654" s="1319"/>
      <c r="Q654" s="1244"/>
      <c r="R654" s="1244"/>
      <c r="S654" s="1244"/>
      <c r="T654" s="1244"/>
      <c r="U654" s="1244"/>
      <c r="V654" s="1244"/>
      <c r="W654" s="1244"/>
      <c r="X654" s="1244"/>
      <c r="Y654" s="1244"/>
      <c r="Z654" s="1244"/>
    </row>
    <row r="655" spans="1:26" ht="19.5" hidden="1">
      <c r="A655" s="1259"/>
      <c r="B655" s="1243"/>
      <c r="C655" s="1243" t="s">
        <v>16</v>
      </c>
      <c r="D655" s="1507" t="s">
        <v>17</v>
      </c>
      <c r="E655" s="1485"/>
      <c r="F655" s="1485"/>
      <c r="G655" s="963"/>
      <c r="H655" s="563" t="s">
        <v>12</v>
      </c>
      <c r="I655" s="830"/>
      <c r="J655" s="830"/>
      <c r="K655" s="831"/>
      <c r="L655" s="967">
        <f t="shared" ref="L655:N655" ca="1" si="273">L656+L657</f>
        <v>0</v>
      </c>
      <c r="M655" s="967">
        <f t="shared" si="273"/>
        <v>0</v>
      </c>
      <c r="N655" s="967">
        <f t="shared" si="273"/>
        <v>0</v>
      </c>
      <c r="O655" s="967">
        <f t="shared" ref="O655:O660" ca="1" si="274">IF(L655&gt;0,N655*100/L655,0)</f>
        <v>0</v>
      </c>
      <c r="P655" s="967">
        <f t="shared" ref="P655:P660" si="275">IF(M655&gt;0,N655*100/M655,0)</f>
        <v>0</v>
      </c>
      <c r="Q655" s="1244"/>
      <c r="R655" s="1244"/>
      <c r="S655" s="1244"/>
      <c r="T655" s="1244"/>
      <c r="U655" s="1244"/>
      <c r="V655" s="1244"/>
      <c r="W655" s="1244"/>
      <c r="X655" s="1244"/>
      <c r="Y655" s="1244"/>
      <c r="Z655" s="1244"/>
    </row>
    <row r="656" spans="1:26" ht="18.75" hidden="1">
      <c r="A656" s="1260"/>
      <c r="B656" s="1261"/>
      <c r="C656" s="1261"/>
      <c r="D656" s="1262"/>
      <c r="E656" s="1261" t="s">
        <v>184</v>
      </c>
      <c r="F656" s="1261"/>
      <c r="G656" s="1263"/>
      <c r="H656" s="165" t="s">
        <v>12</v>
      </c>
      <c r="I656" s="836"/>
      <c r="J656" s="836"/>
      <c r="K656" s="837"/>
      <c r="L656" s="837">
        <f t="shared" ref="L656:N657" si="276">L659+L666</f>
        <v>0</v>
      </c>
      <c r="M656" s="837">
        <f t="shared" si="276"/>
        <v>0</v>
      </c>
      <c r="N656" s="837">
        <f t="shared" si="276"/>
        <v>0</v>
      </c>
      <c r="O656" s="837">
        <f t="shared" si="274"/>
        <v>0</v>
      </c>
      <c r="P656" s="837">
        <f t="shared" si="275"/>
        <v>0</v>
      </c>
      <c r="Q656" s="1264"/>
      <c r="R656" s="1264"/>
      <c r="S656" s="1264"/>
      <c r="T656" s="1264"/>
      <c r="U656" s="1264"/>
      <c r="V656" s="1264"/>
      <c r="W656" s="1264"/>
      <c r="X656" s="1264"/>
      <c r="Y656" s="1264"/>
      <c r="Z656" s="1264"/>
    </row>
    <row r="657" spans="1:26" ht="18.75" hidden="1">
      <c r="A657" s="1260"/>
      <c r="B657" s="1265"/>
      <c r="C657" s="1261"/>
      <c r="D657" s="1262"/>
      <c r="E657" s="1261" t="s">
        <v>185</v>
      </c>
      <c r="F657" s="1261"/>
      <c r="G657" s="1263"/>
      <c r="H657" s="165" t="s">
        <v>12</v>
      </c>
      <c r="I657" s="836"/>
      <c r="J657" s="836"/>
      <c r="K657" s="837"/>
      <c r="L657" s="837">
        <f t="shared" ca="1" si="276"/>
        <v>0</v>
      </c>
      <c r="M657" s="837">
        <f t="shared" si="276"/>
        <v>0</v>
      </c>
      <c r="N657" s="837">
        <f t="shared" si="276"/>
        <v>0</v>
      </c>
      <c r="O657" s="837">
        <f t="shared" ca="1" si="274"/>
        <v>0</v>
      </c>
      <c r="P657" s="837">
        <f t="shared" si="275"/>
        <v>0</v>
      </c>
      <c r="Q657" s="1264"/>
      <c r="R657" s="1264"/>
      <c r="S657" s="1264"/>
      <c r="T657" s="1264"/>
      <c r="U657" s="1264"/>
      <c r="V657" s="1264"/>
      <c r="W657" s="1264"/>
      <c r="X657" s="1264"/>
      <c r="Y657" s="1264"/>
      <c r="Z657" s="1264"/>
    </row>
    <row r="658" spans="1:26" ht="18.75" hidden="1">
      <c r="A658" s="1259"/>
      <c r="B658" s="1242"/>
      <c r="C658" s="1243"/>
      <c r="D658" s="1266" t="s">
        <v>20</v>
      </c>
      <c r="E658" s="1243"/>
      <c r="F658" s="1243"/>
      <c r="G658" s="963"/>
      <c r="H658" s="778" t="s">
        <v>12</v>
      </c>
      <c r="I658" s="944"/>
      <c r="J658" s="944"/>
      <c r="K658" s="945"/>
      <c r="L658" s="831">
        <f t="shared" ref="L658:N658" ca="1" si="277">L659+L660</f>
        <v>0</v>
      </c>
      <c r="M658" s="831">
        <f t="shared" si="277"/>
        <v>0</v>
      </c>
      <c r="N658" s="831">
        <f t="shared" si="277"/>
        <v>0</v>
      </c>
      <c r="O658" s="831">
        <f t="shared" ca="1" si="274"/>
        <v>0</v>
      </c>
      <c r="P658" s="831">
        <f t="shared" si="275"/>
        <v>0</v>
      </c>
      <c r="Q658" s="1244"/>
      <c r="R658" s="1244"/>
      <c r="S658" s="1244"/>
      <c r="T658" s="1244"/>
      <c r="U658" s="1244"/>
      <c r="V658" s="1244"/>
      <c r="W658" s="1244"/>
      <c r="X658" s="1244"/>
      <c r="Y658" s="1244"/>
      <c r="Z658" s="1244"/>
    </row>
    <row r="659" spans="1:26" ht="18.75" hidden="1">
      <c r="A659" s="1260"/>
      <c r="B659" s="1265"/>
      <c r="C659" s="1261"/>
      <c r="D659" s="1262"/>
      <c r="E659" s="1261" t="s">
        <v>184</v>
      </c>
      <c r="F659" s="1261"/>
      <c r="G659" s="1263"/>
      <c r="H659" s="165" t="s">
        <v>12</v>
      </c>
      <c r="I659" s="836"/>
      <c r="J659" s="836"/>
      <c r="K659" s="837"/>
      <c r="L659" s="837">
        <v>0</v>
      </c>
      <c r="M659" s="837">
        <v>0</v>
      </c>
      <c r="N659" s="837">
        <v>0</v>
      </c>
      <c r="O659" s="837">
        <f t="shared" si="274"/>
        <v>0</v>
      </c>
      <c r="P659" s="837">
        <f t="shared" si="275"/>
        <v>0</v>
      </c>
      <c r="Q659" s="1264"/>
      <c r="R659" s="1264"/>
      <c r="S659" s="1264"/>
      <c r="T659" s="1264"/>
      <c r="U659" s="1264"/>
      <c r="V659" s="1264"/>
      <c r="W659" s="1264"/>
      <c r="X659" s="1264"/>
      <c r="Y659" s="1264"/>
      <c r="Z659" s="1264"/>
    </row>
    <row r="660" spans="1:26" ht="18.75" hidden="1">
      <c r="A660" s="1260"/>
      <c r="B660" s="1265"/>
      <c r="C660" s="1261"/>
      <c r="D660" s="1262"/>
      <c r="E660" s="1261" t="s">
        <v>185</v>
      </c>
      <c r="F660" s="1261"/>
      <c r="G660" s="1263"/>
      <c r="H660" s="165" t="s">
        <v>12</v>
      </c>
      <c r="I660" s="836"/>
      <c r="J660" s="836"/>
      <c r="K660" s="837"/>
      <c r="L660" s="837">
        <f ca="1">IFERROR(__xludf.DUMMYFUNCTION("IMPORTRANGE(""https://docs.google.com/spreadsheets/d/1QqKyyYR6Q21VydFLVH3TRQUabQu_ym0Zz7PgGX0-kHA/edit?usp=sharing"",""แผน!HV18"")"),0)</f>
        <v>0</v>
      </c>
      <c r="M660" s="837">
        <v>0</v>
      </c>
      <c r="N660" s="837">
        <f>N661+N662+N663+N664</f>
        <v>0</v>
      </c>
      <c r="O660" s="837">
        <f t="shared" ca="1" si="274"/>
        <v>0</v>
      </c>
      <c r="P660" s="837">
        <f t="shared" si="275"/>
        <v>0</v>
      </c>
      <c r="Q660" s="1264"/>
      <c r="R660" s="1264"/>
      <c r="S660" s="1264"/>
      <c r="T660" s="1264"/>
      <c r="U660" s="1264"/>
      <c r="V660" s="1264"/>
      <c r="W660" s="1264"/>
      <c r="X660" s="1264"/>
      <c r="Y660" s="1264"/>
      <c r="Z660" s="1264"/>
    </row>
    <row r="661" spans="1:26" ht="18.75" hidden="1">
      <c r="A661" s="1241"/>
      <c r="B661" s="1242"/>
      <c r="C661" s="1243"/>
      <c r="D661" s="1243"/>
      <c r="E661" s="1243"/>
      <c r="F661" s="1243" t="s">
        <v>186</v>
      </c>
      <c r="G661" s="963"/>
      <c r="H661" s="778" t="s">
        <v>12</v>
      </c>
      <c r="I661" s="830"/>
      <c r="J661" s="830"/>
      <c r="K661" s="831"/>
      <c r="L661" s="831"/>
      <c r="M661" s="831"/>
      <c r="N661" s="1031">
        <v>0</v>
      </c>
      <c r="O661" s="831"/>
      <c r="P661" s="831"/>
      <c r="Q661" s="1244"/>
      <c r="R661" s="1244"/>
      <c r="S661" s="1244"/>
      <c r="T661" s="1244"/>
      <c r="U661" s="1244"/>
      <c r="V661" s="1244"/>
      <c r="W661" s="1244"/>
      <c r="X661" s="1244"/>
      <c r="Y661" s="1244"/>
      <c r="Z661" s="1244"/>
    </row>
    <row r="662" spans="1:26" ht="18.75" hidden="1">
      <c r="A662" s="1241"/>
      <c r="B662" s="1242"/>
      <c r="C662" s="1243"/>
      <c r="D662" s="1243"/>
      <c r="E662" s="1243"/>
      <c r="F662" s="1243" t="s">
        <v>187</v>
      </c>
      <c r="G662" s="963"/>
      <c r="H662" s="778" t="s">
        <v>12</v>
      </c>
      <c r="I662" s="830"/>
      <c r="J662" s="830"/>
      <c r="K662" s="831"/>
      <c r="L662" s="831"/>
      <c r="M662" s="831"/>
      <c r="N662" s="1031">
        <v>0</v>
      </c>
      <c r="O662" s="831"/>
      <c r="P662" s="831"/>
      <c r="Q662" s="1244"/>
      <c r="R662" s="1244"/>
      <c r="S662" s="1244"/>
      <c r="T662" s="1244"/>
      <c r="U662" s="1244"/>
      <c r="V662" s="1244"/>
      <c r="W662" s="1244"/>
      <c r="X662" s="1244"/>
      <c r="Y662" s="1244"/>
      <c r="Z662" s="1244"/>
    </row>
    <row r="663" spans="1:26" ht="18.75" hidden="1">
      <c r="A663" s="1241"/>
      <c r="B663" s="1242"/>
      <c r="C663" s="1242"/>
      <c r="D663" s="1243"/>
      <c r="E663" s="1243"/>
      <c r="F663" s="1243" t="s">
        <v>188</v>
      </c>
      <c r="G663" s="963"/>
      <c r="H663" s="778" t="s">
        <v>12</v>
      </c>
      <c r="I663" s="830"/>
      <c r="J663" s="830"/>
      <c r="K663" s="831"/>
      <c r="L663" s="831"/>
      <c r="M663" s="831"/>
      <c r="N663" s="1031">
        <v>0</v>
      </c>
      <c r="O663" s="831"/>
      <c r="P663" s="831"/>
      <c r="Q663" s="1244"/>
      <c r="R663" s="1244"/>
      <c r="S663" s="1244"/>
      <c r="T663" s="1244"/>
      <c r="U663" s="1244"/>
      <c r="V663" s="1244"/>
      <c r="W663" s="1244"/>
      <c r="X663" s="1244"/>
      <c r="Y663" s="1244"/>
      <c r="Z663" s="1244"/>
    </row>
    <row r="664" spans="1:26" ht="18.75" hidden="1">
      <c r="A664" s="1241"/>
      <c r="B664" s="1242"/>
      <c r="C664" s="1242"/>
      <c r="D664" s="1242"/>
      <c r="E664" s="1243"/>
      <c r="F664" s="1243" t="s">
        <v>189</v>
      </c>
      <c r="G664" s="963"/>
      <c r="H664" s="778" t="s">
        <v>12</v>
      </c>
      <c r="I664" s="830"/>
      <c r="J664" s="830"/>
      <c r="K664" s="831"/>
      <c r="L664" s="831"/>
      <c r="M664" s="831"/>
      <c r="N664" s="1031">
        <v>0</v>
      </c>
      <c r="O664" s="831"/>
      <c r="P664" s="831"/>
      <c r="Q664" s="1244"/>
      <c r="R664" s="1244"/>
      <c r="S664" s="1244"/>
      <c r="T664" s="1244"/>
      <c r="U664" s="1244"/>
      <c r="V664" s="1244"/>
      <c r="W664" s="1244"/>
      <c r="X664" s="1244"/>
      <c r="Y664" s="1244"/>
      <c r="Z664" s="1244"/>
    </row>
    <row r="665" spans="1:26" ht="18.75" hidden="1">
      <c r="A665" s="1259"/>
      <c r="B665" s="1242"/>
      <c r="C665" s="1242"/>
      <c r="D665" s="1266" t="s">
        <v>21</v>
      </c>
      <c r="E665" s="1243"/>
      <c r="F665" s="1243"/>
      <c r="G665" s="963"/>
      <c r="H665" s="168" t="s">
        <v>12</v>
      </c>
      <c r="I665" s="944"/>
      <c r="J665" s="944"/>
      <c r="K665" s="945"/>
      <c r="L665" s="831">
        <f t="shared" ref="L665:N665" si="278">L666+L667</f>
        <v>0</v>
      </c>
      <c r="M665" s="831">
        <f t="shared" si="278"/>
        <v>0</v>
      </c>
      <c r="N665" s="831">
        <f t="shared" si="278"/>
        <v>0</v>
      </c>
      <c r="O665" s="831">
        <f t="shared" ref="O665:O667" si="279">IF(L665&gt;0,N665*100/L665,0)</f>
        <v>0</v>
      </c>
      <c r="P665" s="831">
        <f t="shared" ref="P665:P667" si="280">IF(M665&gt;0,N665*100/M665,0)</f>
        <v>0</v>
      </c>
      <c r="Q665" s="1244"/>
      <c r="R665" s="1244"/>
      <c r="S665" s="1244"/>
      <c r="T665" s="1244"/>
      <c r="U665" s="1244"/>
      <c r="V665" s="1244"/>
      <c r="W665" s="1244"/>
      <c r="X665" s="1244"/>
      <c r="Y665" s="1244"/>
      <c r="Z665" s="1244"/>
    </row>
    <row r="666" spans="1:26" ht="18.75" hidden="1">
      <c r="A666" s="1260"/>
      <c r="B666" s="1265"/>
      <c r="C666" s="1265"/>
      <c r="D666" s="1265"/>
      <c r="E666" s="1261" t="s">
        <v>18</v>
      </c>
      <c r="F666" s="1261"/>
      <c r="G666" s="1263"/>
      <c r="H666" s="165" t="s">
        <v>12</v>
      </c>
      <c r="I666" s="947"/>
      <c r="J666" s="947"/>
      <c r="K666" s="948"/>
      <c r="L666" s="837">
        <v>0</v>
      </c>
      <c r="M666" s="837">
        <v>0</v>
      </c>
      <c r="N666" s="837">
        <v>0</v>
      </c>
      <c r="O666" s="837">
        <f t="shared" si="279"/>
        <v>0</v>
      </c>
      <c r="P666" s="837">
        <f t="shared" si="280"/>
        <v>0</v>
      </c>
      <c r="Q666" s="1264"/>
      <c r="R666" s="1264"/>
      <c r="S666" s="1264"/>
      <c r="T666" s="1264"/>
      <c r="U666" s="1264"/>
      <c r="V666" s="1264"/>
      <c r="W666" s="1264"/>
      <c r="X666" s="1264"/>
      <c r="Y666" s="1264"/>
      <c r="Z666" s="1264"/>
    </row>
    <row r="667" spans="1:26" ht="18.75" hidden="1">
      <c r="A667" s="1260"/>
      <c r="B667" s="1265"/>
      <c r="C667" s="1265"/>
      <c r="D667" s="1265"/>
      <c r="E667" s="1261" t="s">
        <v>19</v>
      </c>
      <c r="F667" s="1261"/>
      <c r="G667" s="1263"/>
      <c r="H667" s="169" t="s">
        <v>12</v>
      </c>
      <c r="I667" s="947"/>
      <c r="J667" s="947"/>
      <c r="K667" s="948"/>
      <c r="L667" s="837">
        <v>0</v>
      </c>
      <c r="M667" s="837">
        <v>0</v>
      </c>
      <c r="N667" s="837">
        <v>0</v>
      </c>
      <c r="O667" s="837">
        <f t="shared" si="279"/>
        <v>0</v>
      </c>
      <c r="P667" s="837">
        <f t="shared" si="280"/>
        <v>0</v>
      </c>
      <c r="Q667" s="1264"/>
      <c r="R667" s="1264"/>
      <c r="S667" s="1264"/>
      <c r="T667" s="1264"/>
      <c r="U667" s="1264"/>
      <c r="V667" s="1264"/>
      <c r="W667" s="1264"/>
      <c r="X667" s="1264"/>
      <c r="Y667" s="1264"/>
      <c r="Z667" s="1264"/>
    </row>
    <row r="668" spans="1:26" ht="19.5" hidden="1">
      <c r="A668" s="1267"/>
      <c r="B668" s="1268"/>
      <c r="C668" s="1242" t="s">
        <v>16</v>
      </c>
      <c r="D668" s="1269" t="s">
        <v>38</v>
      </c>
      <c r="E668" s="1271"/>
      <c r="F668" s="1271"/>
      <c r="G668" s="1272"/>
      <c r="H668" s="954"/>
      <c r="I668" s="944"/>
      <c r="J668" s="944"/>
      <c r="K668" s="945"/>
      <c r="L668" s="945"/>
      <c r="M668" s="945"/>
      <c r="N668" s="945"/>
      <c r="O668" s="945"/>
      <c r="P668" s="945"/>
      <c r="Q668" s="1244"/>
      <c r="R668" s="1244"/>
      <c r="S668" s="1244"/>
      <c r="T668" s="1244"/>
      <c r="U668" s="1244"/>
      <c r="V668" s="1244"/>
      <c r="W668" s="1244"/>
      <c r="X668" s="1244"/>
      <c r="Y668" s="1244"/>
      <c r="Z668" s="1244"/>
    </row>
    <row r="669" spans="1:26" ht="19.5" hidden="1">
      <c r="A669" s="1267"/>
      <c r="B669" s="1268"/>
      <c r="C669" s="1268"/>
      <c r="D669" s="1268" t="s">
        <v>280</v>
      </c>
      <c r="E669" s="961"/>
      <c r="F669" s="961"/>
      <c r="G669" s="954"/>
      <c r="H669" s="733" t="s">
        <v>46</v>
      </c>
      <c r="I669" s="966">
        <f ca="1">IFERROR(__xludf.DUMMYFUNCTION("IMPORTRANGE(""https://docs.google.com/spreadsheets/d/1QqKyyYR6Q21VydFLVH3TRQUabQu_ym0Zz7PgGX0-kHA/edit?usp=sharing"",""แผน!IA18"")"),0)</f>
        <v>0</v>
      </c>
      <c r="J669" s="966">
        <f>J675</f>
        <v>0</v>
      </c>
      <c r="K669" s="967">
        <f ca="1">IF(I669&gt;0,J669*100/I669,0)</f>
        <v>0</v>
      </c>
      <c r="L669" s="945"/>
      <c r="M669" s="945"/>
      <c r="N669" s="945"/>
      <c r="O669" s="945"/>
      <c r="P669" s="945"/>
      <c r="Q669" s="1244"/>
      <c r="R669" s="1244"/>
      <c r="S669" s="1244"/>
      <c r="T669" s="1244"/>
      <c r="U669" s="1244"/>
      <c r="V669" s="1244"/>
      <c r="W669" s="1244"/>
      <c r="X669" s="1244"/>
      <c r="Y669" s="1244"/>
      <c r="Z669" s="1244"/>
    </row>
    <row r="670" spans="1:26" ht="18.75" hidden="1">
      <c r="A670" s="1267"/>
      <c r="B670" s="1268"/>
      <c r="C670" s="1268"/>
      <c r="D670" s="1268"/>
      <c r="E670" s="961" t="s">
        <v>281</v>
      </c>
      <c r="F670" s="961"/>
      <c r="G670" s="954"/>
      <c r="H670" s="730" t="s">
        <v>66</v>
      </c>
      <c r="I670" s="830">
        <f ca="1">IFERROR(__xludf.DUMMYFUNCTION("IMPORTRANGE(""https://docs.google.com/spreadsheets/d/1QqKyyYR6Q21VydFLVH3TRQUabQu_ym0Zz7PgGX0-kHA/edit?usp=sharing"",""แผน!HZ18"")"),0)</f>
        <v>0</v>
      </c>
      <c r="J670" s="959">
        <v>0</v>
      </c>
      <c r="K670" s="831">
        <f ca="1">IF(I670&gt;0,(J670*100)/I670,0)</f>
        <v>0</v>
      </c>
      <c r="L670" s="945"/>
      <c r="M670" s="945"/>
      <c r="N670" s="945"/>
      <c r="O670" s="945"/>
      <c r="P670" s="945"/>
      <c r="Q670" s="1244"/>
      <c r="R670" s="1244"/>
      <c r="S670" s="1244"/>
      <c r="T670" s="1244"/>
      <c r="U670" s="1244"/>
      <c r="V670" s="1244"/>
      <c r="W670" s="1244"/>
      <c r="X670" s="1244"/>
      <c r="Y670" s="1244"/>
      <c r="Z670" s="1244"/>
    </row>
    <row r="671" spans="1:26" ht="18.75" hidden="1">
      <c r="A671" s="1267"/>
      <c r="B671" s="1268"/>
      <c r="C671" s="1268"/>
      <c r="D671" s="1268"/>
      <c r="E671" s="961" t="s">
        <v>282</v>
      </c>
      <c r="F671" s="961"/>
      <c r="G671" s="954"/>
      <c r="H671" s="730" t="s">
        <v>66</v>
      </c>
      <c r="I671" s="830">
        <f ca="1">IFERROR(__xludf.DUMMYFUNCTION("IMPORTRANGE(""https://docs.google.com/spreadsheets/d/1QqKyyYR6Q21VydFLVH3TRQUabQu_ym0Zz7PgGX0-kHA/edit?usp=sharing"",""แผน!HZ18"")"),0)</f>
        <v>0</v>
      </c>
      <c r="J671" s="959">
        <v>0</v>
      </c>
      <c r="K671" s="831">
        <f ca="1">IF(I$671&gt;0,J671*100/I$671,0)</f>
        <v>0</v>
      </c>
      <c r="L671" s="945"/>
      <c r="M671" s="945"/>
      <c r="N671" s="945"/>
      <c r="O671" s="945"/>
      <c r="P671" s="945"/>
      <c r="Q671" s="1244"/>
      <c r="R671" s="1244"/>
      <c r="S671" s="1244"/>
      <c r="T671" s="1244"/>
      <c r="U671" s="1244"/>
      <c r="V671" s="1244"/>
      <c r="W671" s="1244"/>
      <c r="X671" s="1244"/>
      <c r="Y671" s="1244"/>
      <c r="Z671" s="1244"/>
    </row>
    <row r="672" spans="1:26" ht="18.75" hidden="1">
      <c r="A672" s="1267"/>
      <c r="B672" s="1268"/>
      <c r="C672" s="1268"/>
      <c r="D672" s="1268"/>
      <c r="E672" s="961" t="s">
        <v>283</v>
      </c>
      <c r="F672" s="961"/>
      <c r="G672" s="954"/>
      <c r="H672" s="730" t="s">
        <v>46</v>
      </c>
      <c r="I672" s="830"/>
      <c r="J672" s="959">
        <v>0</v>
      </c>
      <c r="K672" s="831">
        <f t="shared" ref="K672:K675" ca="1" si="281">IF(I$669&gt;0,J672*100/I$669,0)</f>
        <v>0</v>
      </c>
      <c r="L672" s="945"/>
      <c r="M672" s="945"/>
      <c r="N672" s="945"/>
      <c r="O672" s="945"/>
      <c r="P672" s="945"/>
      <c r="Q672" s="1244"/>
      <c r="R672" s="1244"/>
      <c r="S672" s="1244"/>
      <c r="T672" s="1244"/>
      <c r="U672" s="1244"/>
      <c r="V672" s="1244"/>
      <c r="W672" s="1244"/>
      <c r="X672" s="1244"/>
      <c r="Y672" s="1244"/>
      <c r="Z672" s="1244"/>
    </row>
    <row r="673" spans="1:26" ht="18.75" hidden="1">
      <c r="A673" s="1267"/>
      <c r="B673" s="1268"/>
      <c r="C673" s="1268"/>
      <c r="D673" s="1268"/>
      <c r="E673" s="961" t="s">
        <v>284</v>
      </c>
      <c r="F673" s="961"/>
      <c r="G673" s="954"/>
      <c r="H673" s="730" t="s">
        <v>46</v>
      </c>
      <c r="I673" s="830"/>
      <c r="J673" s="959">
        <v>0</v>
      </c>
      <c r="K673" s="831">
        <f t="shared" ca="1" si="281"/>
        <v>0</v>
      </c>
      <c r="L673" s="945"/>
      <c r="M673" s="945"/>
      <c r="N673" s="945"/>
      <c r="O673" s="945"/>
      <c r="P673" s="945"/>
      <c r="Q673" s="1244"/>
      <c r="R673" s="1244"/>
      <c r="S673" s="1244"/>
      <c r="T673" s="1244"/>
      <c r="U673" s="1244"/>
      <c r="V673" s="1244"/>
      <c r="W673" s="1244"/>
      <c r="X673" s="1244"/>
      <c r="Y673" s="1244"/>
      <c r="Z673" s="1244"/>
    </row>
    <row r="674" spans="1:26" ht="18.75" hidden="1">
      <c r="A674" s="1267"/>
      <c r="B674" s="1268"/>
      <c r="C674" s="1268"/>
      <c r="D674" s="1268"/>
      <c r="E674" s="961" t="s">
        <v>285</v>
      </c>
      <c r="F674" s="961"/>
      <c r="G674" s="954"/>
      <c r="H674" s="730" t="s">
        <v>46</v>
      </c>
      <c r="I674" s="830"/>
      <c r="J674" s="959">
        <v>0</v>
      </c>
      <c r="K674" s="831">
        <f t="shared" ca="1" si="281"/>
        <v>0</v>
      </c>
      <c r="L674" s="945"/>
      <c r="M674" s="945"/>
      <c r="N674" s="945"/>
      <c r="O674" s="945"/>
      <c r="P674" s="945"/>
      <c r="Q674" s="1244"/>
      <c r="R674" s="1244"/>
      <c r="S674" s="1244"/>
      <c r="T674" s="1244"/>
      <c r="U674" s="1244"/>
      <c r="V674" s="1244"/>
      <c r="W674" s="1244"/>
      <c r="X674" s="1244"/>
      <c r="Y674" s="1244"/>
      <c r="Z674" s="1244"/>
    </row>
    <row r="675" spans="1:26" ht="19.5" hidden="1">
      <c r="A675" s="1267"/>
      <c r="B675" s="1268"/>
      <c r="C675" s="1268"/>
      <c r="D675" s="1268"/>
      <c r="E675" s="961" t="s">
        <v>286</v>
      </c>
      <c r="F675" s="961"/>
      <c r="G675" s="954"/>
      <c r="H675" s="730" t="s">
        <v>46</v>
      </c>
      <c r="I675" s="830"/>
      <c r="J675" s="966">
        <f>J676+J677</f>
        <v>0</v>
      </c>
      <c r="K675" s="967">
        <f t="shared" ca="1" si="281"/>
        <v>0</v>
      </c>
      <c r="L675" s="945"/>
      <c r="M675" s="945"/>
      <c r="N675" s="945"/>
      <c r="O675" s="945"/>
      <c r="P675" s="945"/>
      <c r="Q675" s="1244"/>
      <c r="R675" s="1244"/>
      <c r="S675" s="1244"/>
      <c r="T675" s="1244"/>
      <c r="U675" s="1244"/>
      <c r="V675" s="1244"/>
      <c r="W675" s="1244"/>
      <c r="X675" s="1244"/>
      <c r="Y675" s="1244"/>
      <c r="Z675" s="1244"/>
    </row>
    <row r="676" spans="1:26" ht="18.75" hidden="1">
      <c r="A676" s="1267"/>
      <c r="B676" s="1268"/>
      <c r="C676" s="1268"/>
      <c r="D676" s="1268"/>
      <c r="E676" s="961"/>
      <c r="F676" s="961" t="s">
        <v>287</v>
      </c>
      <c r="G676" s="954"/>
      <c r="H676" s="730" t="s">
        <v>46</v>
      </c>
      <c r="I676" s="830"/>
      <c r="J676" s="959">
        <v>0</v>
      </c>
      <c r="K676" s="831"/>
      <c r="L676" s="945"/>
      <c r="M676" s="945"/>
      <c r="N676" s="945"/>
      <c r="O676" s="945"/>
      <c r="P676" s="945"/>
      <c r="Q676" s="1244"/>
      <c r="R676" s="1244"/>
      <c r="S676" s="1244"/>
      <c r="T676" s="1244"/>
      <c r="U676" s="1244"/>
      <c r="V676" s="1244"/>
      <c r="W676" s="1244"/>
      <c r="X676" s="1244"/>
      <c r="Y676" s="1244"/>
      <c r="Z676" s="1244"/>
    </row>
    <row r="677" spans="1:26" ht="18.75" hidden="1">
      <c r="A677" s="1267"/>
      <c r="B677" s="1268"/>
      <c r="C677" s="1268"/>
      <c r="D677" s="1268"/>
      <c r="E677" s="961"/>
      <c r="F677" s="961" t="s">
        <v>288</v>
      </c>
      <c r="G677" s="954"/>
      <c r="H677" s="730" t="s">
        <v>46</v>
      </c>
      <c r="I677" s="830"/>
      <c r="J677" s="959">
        <v>0</v>
      </c>
      <c r="K677" s="831"/>
      <c r="L677" s="945"/>
      <c r="M677" s="945"/>
      <c r="N677" s="945"/>
      <c r="O677" s="945"/>
      <c r="P677" s="945"/>
      <c r="Q677" s="1244"/>
      <c r="R677" s="1244"/>
      <c r="S677" s="1244"/>
      <c r="T677" s="1244"/>
      <c r="U677" s="1244"/>
      <c r="V677" s="1244"/>
      <c r="W677" s="1244"/>
      <c r="X677" s="1244"/>
      <c r="Y677" s="1244"/>
      <c r="Z677" s="1244"/>
    </row>
    <row r="678" spans="1:26" ht="19.5" hidden="1">
      <c r="A678" s="1267"/>
      <c r="B678" s="1268"/>
      <c r="C678" s="1268"/>
      <c r="D678" s="1268" t="s">
        <v>289</v>
      </c>
      <c r="E678" s="961"/>
      <c r="F678" s="961"/>
      <c r="G678" s="954"/>
      <c r="H678" s="730" t="s">
        <v>46</v>
      </c>
      <c r="I678" s="966">
        <f ca="1">IFERROR(__xludf.DUMMYFUNCTION("IMPORTRANGE(""https://docs.google.com/spreadsheets/d/1QqKyyYR6Q21VydFLVH3TRQUabQu_ym0Zz7PgGX0-kHA/edit?usp=sharing"",""แผน!IB18"")"),0)</f>
        <v>0</v>
      </c>
      <c r="J678" s="966">
        <f>J679</f>
        <v>0</v>
      </c>
      <c r="K678" s="967">
        <f ca="1">IF(I678&gt;0,J678*100/I678,0)</f>
        <v>0</v>
      </c>
      <c r="L678" s="945"/>
      <c r="M678" s="945"/>
      <c r="N678" s="945"/>
      <c r="O678" s="945"/>
      <c r="P678" s="945"/>
      <c r="Q678" s="1244"/>
      <c r="R678" s="1244"/>
      <c r="S678" s="1244"/>
      <c r="T678" s="1244"/>
      <c r="U678" s="1244"/>
      <c r="V678" s="1244"/>
      <c r="W678" s="1244"/>
      <c r="X678" s="1244"/>
      <c r="Y678" s="1244"/>
      <c r="Z678" s="1244"/>
    </row>
    <row r="679" spans="1:26" ht="18.75" hidden="1">
      <c r="A679" s="1267"/>
      <c r="B679" s="1268"/>
      <c r="C679" s="1268"/>
      <c r="D679" s="1268"/>
      <c r="E679" s="961" t="s">
        <v>290</v>
      </c>
      <c r="F679" s="961"/>
      <c r="G679" s="954"/>
      <c r="H679" s="730" t="s">
        <v>46</v>
      </c>
      <c r="I679" s="830"/>
      <c r="J679" s="830">
        <f>J680+J681</f>
        <v>0</v>
      </c>
      <c r="K679" s="831"/>
      <c r="L679" s="945"/>
      <c r="M679" s="945"/>
      <c r="N679" s="945"/>
      <c r="O679" s="945"/>
      <c r="P679" s="945"/>
      <c r="Q679" s="1244"/>
      <c r="R679" s="1244"/>
      <c r="S679" s="1244"/>
      <c r="T679" s="1244"/>
      <c r="U679" s="1244"/>
      <c r="V679" s="1244"/>
      <c r="W679" s="1244"/>
      <c r="X679" s="1244"/>
      <c r="Y679" s="1244"/>
      <c r="Z679" s="1244"/>
    </row>
    <row r="680" spans="1:26" ht="18.75" hidden="1">
      <c r="A680" s="1267"/>
      <c r="B680" s="1268"/>
      <c r="C680" s="1268"/>
      <c r="D680" s="1268"/>
      <c r="E680" s="961"/>
      <c r="F680" s="961" t="s">
        <v>287</v>
      </c>
      <c r="G680" s="954"/>
      <c r="H680" s="730" t="s">
        <v>46</v>
      </c>
      <c r="I680" s="830"/>
      <c r="J680" s="959">
        <v>0</v>
      </c>
      <c r="K680" s="831"/>
      <c r="L680" s="945"/>
      <c r="M680" s="945"/>
      <c r="N680" s="945"/>
      <c r="O680" s="945"/>
      <c r="P680" s="945"/>
      <c r="Q680" s="1244"/>
      <c r="R680" s="1244"/>
      <c r="S680" s="1244"/>
      <c r="T680" s="1244"/>
      <c r="U680" s="1244"/>
      <c r="V680" s="1244"/>
      <c r="W680" s="1244"/>
      <c r="X680" s="1244"/>
      <c r="Y680" s="1244"/>
      <c r="Z680" s="1244"/>
    </row>
    <row r="681" spans="1:26" ht="18.75" hidden="1">
      <c r="A681" s="1267"/>
      <c r="B681" s="1268"/>
      <c r="C681" s="1268"/>
      <c r="D681" s="1268"/>
      <c r="E681" s="961"/>
      <c r="F681" s="961" t="s">
        <v>288</v>
      </c>
      <c r="G681" s="954"/>
      <c r="H681" s="730" t="s">
        <v>46</v>
      </c>
      <c r="I681" s="830"/>
      <c r="J681" s="959">
        <v>0</v>
      </c>
      <c r="K681" s="831"/>
      <c r="L681" s="945"/>
      <c r="M681" s="945"/>
      <c r="N681" s="945"/>
      <c r="O681" s="945"/>
      <c r="P681" s="945"/>
      <c r="Q681" s="1244"/>
      <c r="R681" s="1244"/>
      <c r="S681" s="1244"/>
      <c r="T681" s="1244"/>
      <c r="U681" s="1244"/>
      <c r="V681" s="1244"/>
      <c r="W681" s="1244"/>
      <c r="X681" s="1244"/>
      <c r="Y681" s="1244"/>
      <c r="Z681" s="1244"/>
    </row>
    <row r="682" spans="1:26" ht="18.75" hidden="1">
      <c r="A682" s="1267"/>
      <c r="B682" s="1268"/>
      <c r="C682" s="1268"/>
      <c r="D682" s="1268"/>
      <c r="E682" s="961" t="s">
        <v>291</v>
      </c>
      <c r="F682" s="961"/>
      <c r="G682" s="954"/>
      <c r="H682" s="730" t="s">
        <v>46</v>
      </c>
      <c r="I682" s="830"/>
      <c r="J682" s="959">
        <v>0</v>
      </c>
      <c r="K682" s="831"/>
      <c r="L682" s="945"/>
      <c r="M682" s="945"/>
      <c r="N682" s="945"/>
      <c r="O682" s="945"/>
      <c r="P682" s="945"/>
      <c r="Q682" s="1244"/>
      <c r="R682" s="1244"/>
      <c r="S682" s="1244"/>
      <c r="T682" s="1244"/>
      <c r="U682" s="1244"/>
      <c r="V682" s="1244"/>
      <c r="W682" s="1244"/>
      <c r="X682" s="1244"/>
      <c r="Y682" s="1244"/>
      <c r="Z682" s="1244"/>
    </row>
    <row r="683" spans="1:26" ht="18.75" hidden="1">
      <c r="A683" s="1267"/>
      <c r="B683" s="1268"/>
      <c r="C683" s="1268"/>
      <c r="D683" s="1268"/>
      <c r="E683" s="961"/>
      <c r="F683" s="961" t="s">
        <v>292</v>
      </c>
      <c r="G683" s="954"/>
      <c r="H683" s="730" t="s">
        <v>46</v>
      </c>
      <c r="I683" s="830"/>
      <c r="J683" s="959">
        <v>0</v>
      </c>
      <c r="K683" s="831"/>
      <c r="L683" s="945"/>
      <c r="M683" s="945"/>
      <c r="N683" s="945"/>
      <c r="O683" s="945"/>
      <c r="P683" s="945"/>
      <c r="Q683" s="1244"/>
      <c r="R683" s="1244"/>
      <c r="S683" s="1244"/>
      <c r="T683" s="1244"/>
      <c r="U683" s="1244"/>
      <c r="V683" s="1244"/>
      <c r="W683" s="1244"/>
      <c r="X683" s="1244"/>
      <c r="Y683" s="1244"/>
      <c r="Z683" s="1244"/>
    </row>
    <row r="684" spans="1:26" ht="19.5">
      <c r="A684" s="1373"/>
      <c r="B684" s="1374" t="s">
        <v>293</v>
      </c>
      <c r="C684" s="1373"/>
      <c r="D684" s="1373"/>
      <c r="E684" s="1373"/>
      <c r="F684" s="1373"/>
      <c r="G684" s="1375"/>
      <c r="H684" s="1375"/>
      <c r="I684" s="1376"/>
      <c r="J684" s="1376"/>
      <c r="K684" s="1377"/>
      <c r="L684" s="1377"/>
      <c r="M684" s="1377"/>
      <c r="N684" s="1377"/>
      <c r="O684" s="1377"/>
      <c r="P684" s="1377"/>
      <c r="Q684" s="1244"/>
      <c r="R684" s="1244"/>
      <c r="S684" s="1244"/>
      <c r="T684" s="1244"/>
      <c r="U684" s="1244"/>
      <c r="V684" s="1244"/>
      <c r="W684" s="1244"/>
      <c r="X684" s="1244"/>
      <c r="Y684" s="1244"/>
      <c r="Z684" s="1244"/>
    </row>
    <row r="685" spans="1:26" ht="19.5">
      <c r="A685" s="1259"/>
      <c r="B685" s="1243"/>
      <c r="C685" s="1243" t="s">
        <v>16</v>
      </c>
      <c r="D685" s="1507" t="s">
        <v>17</v>
      </c>
      <c r="E685" s="1485"/>
      <c r="F685" s="1485"/>
      <c r="G685" s="963"/>
      <c r="H685" s="563" t="s">
        <v>12</v>
      </c>
      <c r="I685" s="830"/>
      <c r="J685" s="830"/>
      <c r="K685" s="831"/>
      <c r="L685" s="967">
        <f t="shared" ref="L685:N685" ca="1" si="282">L686+L687</f>
        <v>164670</v>
      </c>
      <c r="M685" s="967">
        <f t="shared" si="282"/>
        <v>0</v>
      </c>
      <c r="N685" s="967">
        <f t="shared" si="282"/>
        <v>0</v>
      </c>
      <c r="O685" s="967">
        <f t="shared" ref="O685:O688" ca="1" si="283">IF(L685&gt;0,N685*100/L685,0)</f>
        <v>0</v>
      </c>
      <c r="P685" s="967">
        <f t="shared" ref="P685:P688" si="284">IF(M685&gt;0,N685*100/M685,0)</f>
        <v>0</v>
      </c>
      <c r="Q685" s="1244"/>
      <c r="R685" s="1244"/>
      <c r="S685" s="1244"/>
      <c r="T685" s="1244"/>
      <c r="U685" s="1244"/>
      <c r="V685" s="1244"/>
      <c r="W685" s="1244"/>
      <c r="X685" s="1244"/>
      <c r="Y685" s="1244"/>
      <c r="Z685" s="1244"/>
    </row>
    <row r="686" spans="1:26" ht="18.75" hidden="1">
      <c r="A686" s="1260"/>
      <c r="B686" s="1261"/>
      <c r="C686" s="1261"/>
      <c r="D686" s="1262"/>
      <c r="E686" s="1261" t="s">
        <v>184</v>
      </c>
      <c r="F686" s="1261"/>
      <c r="G686" s="1263"/>
      <c r="H686" s="165" t="s">
        <v>12</v>
      </c>
      <c r="I686" s="836"/>
      <c r="J686" s="836"/>
      <c r="K686" s="837"/>
      <c r="L686" s="837">
        <f t="shared" ref="L686:N687" si="285">L689+L696</f>
        <v>0</v>
      </c>
      <c r="M686" s="837">
        <f t="shared" si="285"/>
        <v>0</v>
      </c>
      <c r="N686" s="837">
        <f t="shared" si="285"/>
        <v>0</v>
      </c>
      <c r="O686" s="837">
        <f t="shared" si="283"/>
        <v>0</v>
      </c>
      <c r="P686" s="837">
        <f t="shared" si="284"/>
        <v>0</v>
      </c>
      <c r="Q686" s="1264"/>
      <c r="R686" s="1264"/>
      <c r="S686" s="1264"/>
      <c r="T686" s="1264"/>
      <c r="U686" s="1264"/>
      <c r="V686" s="1264"/>
      <c r="W686" s="1264"/>
      <c r="X686" s="1264"/>
      <c r="Y686" s="1264"/>
      <c r="Z686" s="1264"/>
    </row>
    <row r="687" spans="1:26" ht="18.75" hidden="1">
      <c r="A687" s="1260"/>
      <c r="B687" s="1265"/>
      <c r="C687" s="1261"/>
      <c r="D687" s="1262"/>
      <c r="E687" s="1261" t="s">
        <v>185</v>
      </c>
      <c r="F687" s="1261"/>
      <c r="G687" s="1263"/>
      <c r="H687" s="165" t="s">
        <v>12</v>
      </c>
      <c r="I687" s="836"/>
      <c r="J687" s="836"/>
      <c r="K687" s="837"/>
      <c r="L687" s="837">
        <f t="shared" ca="1" si="285"/>
        <v>164670</v>
      </c>
      <c r="M687" s="837">
        <f t="shared" si="285"/>
        <v>0</v>
      </c>
      <c r="N687" s="837">
        <f t="shared" si="285"/>
        <v>0</v>
      </c>
      <c r="O687" s="837">
        <f t="shared" ca="1" si="283"/>
        <v>0</v>
      </c>
      <c r="P687" s="837">
        <f t="shared" si="284"/>
        <v>0</v>
      </c>
      <c r="Q687" s="1264"/>
      <c r="R687" s="1264"/>
      <c r="S687" s="1264"/>
      <c r="T687" s="1264"/>
      <c r="U687" s="1264"/>
      <c r="V687" s="1264"/>
      <c r="W687" s="1264"/>
      <c r="X687" s="1264"/>
      <c r="Y687" s="1264"/>
      <c r="Z687" s="1264"/>
    </row>
    <row r="688" spans="1:26" ht="18.75">
      <c r="A688" s="1259"/>
      <c r="B688" s="1242"/>
      <c r="C688" s="1243"/>
      <c r="D688" s="1266" t="s">
        <v>20</v>
      </c>
      <c r="E688" s="1243"/>
      <c r="F688" s="1243"/>
      <c r="G688" s="963"/>
      <c r="H688" s="778" t="s">
        <v>12</v>
      </c>
      <c r="I688" s="944"/>
      <c r="J688" s="944"/>
      <c r="K688" s="945"/>
      <c r="L688" s="831">
        <f t="shared" ref="L688:N688" ca="1" si="286">L689+L690</f>
        <v>164670</v>
      </c>
      <c r="M688" s="831">
        <f t="shared" si="286"/>
        <v>0</v>
      </c>
      <c r="N688" s="831">
        <f t="shared" si="286"/>
        <v>0</v>
      </c>
      <c r="O688" s="831">
        <f t="shared" ca="1" si="283"/>
        <v>0</v>
      </c>
      <c r="P688" s="831">
        <f t="shared" si="284"/>
        <v>0</v>
      </c>
      <c r="Q688" s="1244"/>
      <c r="R688" s="1244"/>
      <c r="S688" s="1244"/>
      <c r="T688" s="1244"/>
      <c r="U688" s="1244"/>
      <c r="V688" s="1244"/>
      <c r="W688" s="1244"/>
      <c r="X688" s="1244"/>
      <c r="Y688" s="1244"/>
      <c r="Z688" s="1244"/>
    </row>
    <row r="689" spans="1:26" ht="18.75" hidden="1">
      <c r="A689" s="1260"/>
      <c r="B689" s="1265"/>
      <c r="C689" s="1261"/>
      <c r="D689" s="1262"/>
      <c r="E689" s="1261" t="s">
        <v>184</v>
      </c>
      <c r="F689" s="1261"/>
      <c r="G689" s="1263"/>
      <c r="H689" s="165" t="s">
        <v>12</v>
      </c>
      <c r="I689" s="836"/>
      <c r="J689" s="836"/>
      <c r="K689" s="837"/>
      <c r="L689" s="837">
        <v>0</v>
      </c>
      <c r="M689" s="837">
        <v>0</v>
      </c>
      <c r="N689" s="837">
        <v>0</v>
      </c>
      <c r="O689" s="837"/>
      <c r="P689" s="837"/>
      <c r="Q689" s="1264"/>
      <c r="R689" s="1264"/>
      <c r="S689" s="1264"/>
      <c r="T689" s="1264"/>
      <c r="U689" s="1264"/>
      <c r="V689" s="1264"/>
      <c r="W689" s="1264"/>
      <c r="X689" s="1264"/>
      <c r="Y689" s="1264"/>
      <c r="Z689" s="1264"/>
    </row>
    <row r="690" spans="1:26" ht="18.75" hidden="1">
      <c r="A690" s="1260"/>
      <c r="B690" s="1265"/>
      <c r="C690" s="1261"/>
      <c r="D690" s="1262"/>
      <c r="E690" s="1261" t="s">
        <v>185</v>
      </c>
      <c r="F690" s="1261"/>
      <c r="G690" s="1263"/>
      <c r="H690" s="165" t="s">
        <v>12</v>
      </c>
      <c r="I690" s="836"/>
      <c r="J690" s="836"/>
      <c r="K690" s="837"/>
      <c r="L690" s="837">
        <f ca="1">IFERROR(__xludf.DUMMYFUNCTION("IMPORTRANGE(""https://docs.google.com/spreadsheets/d/1QqKyyYR6Q21VydFLVH3TRQUabQu_ym0Zz7PgGX0-kHA/edit?usp=sharing"",""แผน!HW18"")"),164670)</f>
        <v>164670</v>
      </c>
      <c r="M690" s="837">
        <v>0</v>
      </c>
      <c r="N690" s="837">
        <f>N691+N692+N693+N694</f>
        <v>0</v>
      </c>
      <c r="O690" s="837">
        <f ca="1">IF(L690&gt;0,N690*100/L690,0)</f>
        <v>0</v>
      </c>
      <c r="P690" s="837">
        <f>IF(M690&gt;0,N690*100/M690,0)</f>
        <v>0</v>
      </c>
      <c r="Q690" s="1264"/>
      <c r="R690" s="1264"/>
      <c r="S690" s="1264"/>
      <c r="T690" s="1264"/>
      <c r="U690" s="1264"/>
      <c r="V690" s="1264"/>
      <c r="W690" s="1264"/>
      <c r="X690" s="1264"/>
      <c r="Y690" s="1264"/>
      <c r="Z690" s="1264"/>
    </row>
    <row r="691" spans="1:26" ht="18.75">
      <c r="A691" s="1241"/>
      <c r="B691" s="1242"/>
      <c r="C691" s="1243"/>
      <c r="D691" s="1243"/>
      <c r="E691" s="1243"/>
      <c r="F691" s="1243" t="s">
        <v>186</v>
      </c>
      <c r="G691" s="963"/>
      <c r="H691" s="778" t="s">
        <v>12</v>
      </c>
      <c r="I691" s="830"/>
      <c r="J691" s="830"/>
      <c r="K691" s="831"/>
      <c r="L691" s="831"/>
      <c r="M691" s="831"/>
      <c r="N691" s="1031">
        <v>0</v>
      </c>
      <c r="O691" s="831"/>
      <c r="P691" s="831"/>
      <c r="Q691" s="1244"/>
      <c r="R691" s="1244"/>
      <c r="S691" s="1244"/>
      <c r="T691" s="1244"/>
      <c r="U691" s="1244"/>
      <c r="V691" s="1244"/>
      <c r="W691" s="1244"/>
      <c r="X691" s="1244"/>
      <c r="Y691" s="1244"/>
      <c r="Z691" s="1244"/>
    </row>
    <row r="692" spans="1:26" ht="18.75">
      <c r="A692" s="1241"/>
      <c r="B692" s="1242"/>
      <c r="C692" s="1243"/>
      <c r="D692" s="1243"/>
      <c r="E692" s="1243"/>
      <c r="F692" s="1243" t="s">
        <v>187</v>
      </c>
      <c r="G692" s="963"/>
      <c r="H692" s="778" t="s">
        <v>12</v>
      </c>
      <c r="I692" s="830"/>
      <c r="J692" s="830"/>
      <c r="K692" s="831"/>
      <c r="L692" s="831"/>
      <c r="M692" s="831"/>
      <c r="N692" s="1031">
        <v>0</v>
      </c>
      <c r="O692" s="831"/>
      <c r="P692" s="831"/>
      <c r="Q692" s="1244"/>
      <c r="R692" s="1244"/>
      <c r="S692" s="1244"/>
      <c r="T692" s="1244"/>
      <c r="U692" s="1244"/>
      <c r="V692" s="1244"/>
      <c r="W692" s="1244"/>
      <c r="X692" s="1244"/>
      <c r="Y692" s="1244"/>
      <c r="Z692" s="1244"/>
    </row>
    <row r="693" spans="1:26" ht="18.75">
      <c r="A693" s="1241"/>
      <c r="B693" s="1242"/>
      <c r="C693" s="1243"/>
      <c r="D693" s="1243"/>
      <c r="E693" s="1243"/>
      <c r="F693" s="1243" t="s">
        <v>188</v>
      </c>
      <c r="G693" s="963"/>
      <c r="H693" s="778" t="s">
        <v>12</v>
      </c>
      <c r="I693" s="830"/>
      <c r="J693" s="830"/>
      <c r="K693" s="831"/>
      <c r="L693" s="831"/>
      <c r="M693" s="831"/>
      <c r="N693" s="1031">
        <v>0</v>
      </c>
      <c r="O693" s="831"/>
      <c r="P693" s="831"/>
      <c r="Q693" s="1244"/>
      <c r="R693" s="1244"/>
      <c r="S693" s="1244"/>
      <c r="T693" s="1244"/>
      <c r="U693" s="1244"/>
      <c r="V693" s="1244"/>
      <c r="W693" s="1244"/>
      <c r="X693" s="1244"/>
      <c r="Y693" s="1244"/>
      <c r="Z693" s="1244"/>
    </row>
    <row r="694" spans="1:26" ht="18.75">
      <c r="A694" s="1241"/>
      <c r="B694" s="1242"/>
      <c r="C694" s="1243"/>
      <c r="D694" s="1243"/>
      <c r="E694" s="1243"/>
      <c r="F694" s="1243" t="s">
        <v>189</v>
      </c>
      <c r="G694" s="963"/>
      <c r="H694" s="778" t="s">
        <v>12</v>
      </c>
      <c r="I694" s="830"/>
      <c r="J694" s="830"/>
      <c r="K694" s="831"/>
      <c r="L694" s="831"/>
      <c r="M694" s="831"/>
      <c r="N694" s="1031">
        <v>0</v>
      </c>
      <c r="O694" s="831"/>
      <c r="P694" s="831"/>
      <c r="Q694" s="1244"/>
      <c r="R694" s="1244"/>
      <c r="S694" s="1244"/>
      <c r="T694" s="1244"/>
      <c r="U694" s="1244"/>
      <c r="V694" s="1244"/>
      <c r="W694" s="1244"/>
      <c r="X694" s="1244"/>
      <c r="Y694" s="1244"/>
      <c r="Z694" s="1244"/>
    </row>
    <row r="695" spans="1:26" ht="18.75">
      <c r="A695" s="1259"/>
      <c r="B695" s="1242"/>
      <c r="C695" s="1243"/>
      <c r="D695" s="1266" t="s">
        <v>21</v>
      </c>
      <c r="E695" s="1243"/>
      <c r="F695" s="1243"/>
      <c r="G695" s="963"/>
      <c r="H695" s="168" t="s">
        <v>12</v>
      </c>
      <c r="I695" s="944"/>
      <c r="J695" s="944"/>
      <c r="K695" s="945"/>
      <c r="L695" s="831">
        <f t="shared" ref="L695:N695" si="287">L696+L697</f>
        <v>0</v>
      </c>
      <c r="M695" s="831">
        <f t="shared" si="287"/>
        <v>0</v>
      </c>
      <c r="N695" s="831">
        <f t="shared" si="287"/>
        <v>0</v>
      </c>
      <c r="O695" s="831">
        <f t="shared" ref="O695:O697" si="288">IF(L695&gt;0,N695*100/L695,0)</f>
        <v>0</v>
      </c>
      <c r="P695" s="831">
        <f t="shared" ref="P695:P697" si="289">IF(M695&gt;0,N695*100/M695,0)</f>
        <v>0</v>
      </c>
      <c r="Q695" s="1244"/>
      <c r="R695" s="1244"/>
      <c r="S695" s="1244"/>
      <c r="T695" s="1244"/>
      <c r="U695" s="1244"/>
      <c r="V695" s="1244"/>
      <c r="W695" s="1244"/>
      <c r="X695" s="1244"/>
      <c r="Y695" s="1244"/>
      <c r="Z695" s="1244"/>
    </row>
    <row r="696" spans="1:26" ht="18.75" hidden="1">
      <c r="A696" s="1260"/>
      <c r="B696" s="1265"/>
      <c r="C696" s="1261"/>
      <c r="D696" s="1261"/>
      <c r="E696" s="1261" t="s">
        <v>18</v>
      </c>
      <c r="F696" s="1261"/>
      <c r="G696" s="1263"/>
      <c r="H696" s="165" t="s">
        <v>12</v>
      </c>
      <c r="I696" s="947"/>
      <c r="J696" s="947"/>
      <c r="K696" s="948"/>
      <c r="L696" s="837">
        <v>0</v>
      </c>
      <c r="M696" s="837">
        <v>0</v>
      </c>
      <c r="N696" s="837">
        <v>0</v>
      </c>
      <c r="O696" s="837">
        <f t="shared" si="288"/>
        <v>0</v>
      </c>
      <c r="P696" s="837">
        <f t="shared" si="289"/>
        <v>0</v>
      </c>
      <c r="Q696" s="1264"/>
      <c r="R696" s="1264"/>
      <c r="S696" s="1264"/>
      <c r="T696" s="1264"/>
      <c r="U696" s="1264"/>
      <c r="V696" s="1264"/>
      <c r="W696" s="1264"/>
      <c r="X696" s="1264"/>
      <c r="Y696" s="1264"/>
      <c r="Z696" s="1264"/>
    </row>
    <row r="697" spans="1:26" ht="18.75" hidden="1">
      <c r="A697" s="1260"/>
      <c r="B697" s="1265"/>
      <c r="C697" s="1261"/>
      <c r="D697" s="1261"/>
      <c r="E697" s="1261" t="s">
        <v>19</v>
      </c>
      <c r="F697" s="1261"/>
      <c r="G697" s="1263"/>
      <c r="H697" s="169" t="s">
        <v>12</v>
      </c>
      <c r="I697" s="947"/>
      <c r="J697" s="947"/>
      <c r="K697" s="948"/>
      <c r="L697" s="837">
        <v>0</v>
      </c>
      <c r="M697" s="837">
        <v>0</v>
      </c>
      <c r="N697" s="837">
        <v>0</v>
      </c>
      <c r="O697" s="837">
        <f t="shared" si="288"/>
        <v>0</v>
      </c>
      <c r="P697" s="837">
        <f t="shared" si="289"/>
        <v>0</v>
      </c>
      <c r="Q697" s="1264"/>
      <c r="R697" s="1264"/>
      <c r="S697" s="1264"/>
      <c r="T697" s="1264"/>
      <c r="U697" s="1264"/>
      <c r="V697" s="1264"/>
      <c r="W697" s="1264"/>
      <c r="X697" s="1264"/>
      <c r="Y697" s="1264"/>
      <c r="Z697" s="1264"/>
    </row>
    <row r="698" spans="1:26" ht="19.5">
      <c r="A698" s="1267"/>
      <c r="B698" s="1268"/>
      <c r="C698" s="1243" t="s">
        <v>16</v>
      </c>
      <c r="D698" s="1378" t="s">
        <v>38</v>
      </c>
      <c r="E698" s="1271"/>
      <c r="F698" s="1271"/>
      <c r="G698" s="1272"/>
      <c r="H698" s="954"/>
      <c r="I698" s="944"/>
      <c r="J698" s="944"/>
      <c r="K698" s="945"/>
      <c r="L698" s="945"/>
      <c r="M698" s="945"/>
      <c r="N698" s="945"/>
      <c r="O698" s="945"/>
      <c r="P698" s="945"/>
      <c r="Q698" s="1244"/>
      <c r="R698" s="1244"/>
      <c r="S698" s="1244"/>
      <c r="T698" s="1244"/>
      <c r="U698" s="1244"/>
      <c r="V698" s="1244"/>
      <c r="W698" s="1244"/>
      <c r="X698" s="1244"/>
      <c r="Y698" s="1244"/>
      <c r="Z698" s="1244"/>
    </row>
    <row r="699" spans="1:26" ht="18.75">
      <c r="A699" s="1368"/>
      <c r="B699" s="1243"/>
      <c r="C699" s="1243"/>
      <c r="D699" s="1243" t="s">
        <v>294</v>
      </c>
      <c r="E699" s="1243"/>
      <c r="F699" s="1243"/>
      <c r="G699" s="963"/>
      <c r="H699" s="730" t="s">
        <v>46</v>
      </c>
      <c r="I699" s="1379">
        <f ca="1">IFERROR(__xludf.DUMMYFUNCTION("IMPORTRANGE(""https://docs.google.com/spreadsheets/d/1QqKyyYR6Q21VydFLVH3TRQUabQu_ym0Zz7PgGX0-kHA/edit?usp=sharing"",""แผน!IC18"")"),0)</f>
        <v>0</v>
      </c>
      <c r="J699" s="830">
        <f ca="1">IFERROR(__xludf.DUMMYFUNCTION("IMPORTRANGE(""https://docs.google.com/spreadsheets/d/1XWAQStnk-4SwqDmLtmXYiTMKHgktTP8We1SCoS47DrQ/edit?usp=sharing"",""จัดที่ดิน!BB18"")"),0)</f>
        <v>0</v>
      </c>
      <c r="K699" s="831">
        <f t="shared" ref="K699:K701" ca="1" si="290">IF(I699&gt;0,J699*100/I699,0)</f>
        <v>0</v>
      </c>
      <c r="L699" s="831"/>
      <c r="M699" s="963"/>
      <c r="N699" s="1380"/>
      <c r="O699" s="831"/>
      <c r="P699" s="831"/>
      <c r="Q699" s="1244"/>
      <c r="R699" s="1244"/>
      <c r="S699" s="1244"/>
      <c r="T699" s="1244"/>
      <c r="U699" s="1244"/>
      <c r="V699" s="1244"/>
      <c r="W699" s="1244"/>
      <c r="X699" s="1244"/>
      <c r="Y699" s="1244"/>
      <c r="Z699" s="1244"/>
    </row>
    <row r="700" spans="1:26" ht="18.75">
      <c r="A700" s="1368"/>
      <c r="B700" s="1243"/>
      <c r="C700" s="1243"/>
      <c r="D700" s="1243" t="s">
        <v>295</v>
      </c>
      <c r="E700" s="1243"/>
      <c r="F700" s="1243"/>
      <c r="G700" s="963"/>
      <c r="H700" s="730" t="s">
        <v>35</v>
      </c>
      <c r="I700" s="1379">
        <f ca="1">IFERROR(__xludf.DUMMYFUNCTION("IMPORTRANGE(""https://docs.google.com/spreadsheets/d/1QqKyyYR6Q21VydFLVH3TRQUabQu_ym0Zz7PgGX0-kHA/edit?usp=sharing"",""แผน!ID18"")"),40)</f>
        <v>40</v>
      </c>
      <c r="J700" s="830">
        <f ca="1">IFERROR(__xludf.DUMMYFUNCTION("IMPORTRANGE(""https://docs.google.com/spreadsheets/d/1XWAQStnk-4SwqDmLtmXYiTMKHgktTP8We1SCoS47DrQ/edit?usp=sharing"",""จัดที่ดิน!BD18"")"),0)</f>
        <v>0</v>
      </c>
      <c r="K700" s="831">
        <f t="shared" ca="1" si="290"/>
        <v>0</v>
      </c>
      <c r="L700" s="831"/>
      <c r="M700" s="963"/>
      <c r="N700" s="1380"/>
      <c r="O700" s="831"/>
      <c r="P700" s="831"/>
      <c r="Q700" s="1244"/>
      <c r="R700" s="1244"/>
      <c r="S700" s="1244"/>
      <c r="T700" s="1244"/>
      <c r="U700" s="1244"/>
      <c r="V700" s="1244"/>
      <c r="W700" s="1244"/>
      <c r="X700" s="1244"/>
      <c r="Y700" s="1244"/>
      <c r="Z700" s="1244"/>
    </row>
    <row r="701" spans="1:26" ht="19.5">
      <c r="A701" s="1368"/>
      <c r="B701" s="1243"/>
      <c r="C701" s="1243"/>
      <c r="D701" s="1243" t="s">
        <v>296</v>
      </c>
      <c r="E701" s="1243"/>
      <c r="F701" s="1243"/>
      <c r="G701" s="963"/>
      <c r="H701" s="733" t="s">
        <v>46</v>
      </c>
      <c r="I701" s="1381">
        <f ca="1">IFERROR(__xludf.DUMMYFUNCTION("IMPORTRANGE(""https://docs.google.com/spreadsheets/d/1QqKyyYR6Q21VydFLVH3TRQUabQu_ym0Zz7PgGX0-kHA/edit?usp=sharing"",""แผน!IE18"")"),1455)</f>
        <v>1455</v>
      </c>
      <c r="J701" s="966">
        <f>J704+J707</f>
        <v>0</v>
      </c>
      <c r="K701" s="967">
        <f t="shared" ca="1" si="290"/>
        <v>0</v>
      </c>
      <c r="L701" s="831"/>
      <c r="M701" s="963"/>
      <c r="N701" s="1380"/>
      <c r="O701" s="831"/>
      <c r="P701" s="831"/>
      <c r="Q701" s="1244"/>
      <c r="R701" s="1244"/>
      <c r="S701" s="1244"/>
      <c r="T701" s="1244"/>
      <c r="U701" s="1244"/>
      <c r="V701" s="1244"/>
      <c r="W701" s="1244"/>
      <c r="X701" s="1244"/>
      <c r="Y701" s="1244"/>
      <c r="Z701" s="1244"/>
    </row>
    <row r="702" spans="1:26" ht="18.75">
      <c r="A702" s="1368"/>
      <c r="B702" s="1243"/>
      <c r="C702" s="1243"/>
      <c r="D702" s="1243"/>
      <c r="E702" s="1243" t="s">
        <v>297</v>
      </c>
      <c r="F702" s="1243"/>
      <c r="G702" s="963"/>
      <c r="H702" s="730" t="s">
        <v>35</v>
      </c>
      <c r="I702" s="1379"/>
      <c r="J702" s="959">
        <v>0</v>
      </c>
      <c r="K702" s="831"/>
      <c r="L702" s="831"/>
      <c r="M702" s="963"/>
      <c r="N702" s="1380"/>
      <c r="O702" s="831"/>
      <c r="P702" s="831"/>
      <c r="Q702" s="1244"/>
      <c r="R702" s="1244"/>
      <c r="S702" s="1244"/>
      <c r="T702" s="1244"/>
      <c r="U702" s="1244"/>
      <c r="V702" s="1244"/>
      <c r="W702" s="1244"/>
      <c r="X702" s="1244"/>
      <c r="Y702" s="1244"/>
      <c r="Z702" s="1244"/>
    </row>
    <row r="703" spans="1:26" ht="18.75">
      <c r="A703" s="1368"/>
      <c r="B703" s="1243"/>
      <c r="C703" s="1243"/>
      <c r="D703" s="1243"/>
      <c r="E703" s="1243"/>
      <c r="F703" s="1243"/>
      <c r="G703" s="963"/>
      <c r="H703" s="730" t="s">
        <v>34</v>
      </c>
      <c r="I703" s="1379"/>
      <c r="J703" s="959">
        <v>0</v>
      </c>
      <c r="K703" s="831"/>
      <c r="L703" s="831"/>
      <c r="M703" s="963"/>
      <c r="N703" s="1380"/>
      <c r="O703" s="831"/>
      <c r="P703" s="831"/>
      <c r="Q703" s="1244"/>
      <c r="R703" s="1244"/>
      <c r="S703" s="1244"/>
      <c r="T703" s="1244"/>
      <c r="U703" s="1244"/>
      <c r="V703" s="1244"/>
      <c r="W703" s="1244"/>
      <c r="X703" s="1244"/>
      <c r="Y703" s="1244"/>
      <c r="Z703" s="1244"/>
    </row>
    <row r="704" spans="1:26" ht="18.75">
      <c r="A704" s="1368"/>
      <c r="B704" s="1243"/>
      <c r="C704" s="1243"/>
      <c r="D704" s="1243"/>
      <c r="E704" s="1243"/>
      <c r="F704" s="1243"/>
      <c r="G704" s="963"/>
      <c r="H704" s="730" t="s">
        <v>46</v>
      </c>
      <c r="I704" s="1379">
        <f ca="1">IFERROR(__xludf.DUMMYFUNCTION("IMPORTRANGE(""https://docs.google.com/spreadsheets/d/1QqKyyYR6Q21VydFLVH3TRQUabQu_ym0Zz7PgGX0-kHA/edit?usp=sharing"",""แผน!IF18"")"),1455)</f>
        <v>1455</v>
      </c>
      <c r="J704" s="959">
        <v>0</v>
      </c>
      <c r="K704" s="831"/>
      <c r="L704" s="831"/>
      <c r="M704" s="963"/>
      <c r="N704" s="1380"/>
      <c r="O704" s="831"/>
      <c r="P704" s="831"/>
      <c r="Q704" s="1244"/>
      <c r="R704" s="1244"/>
      <c r="S704" s="1244"/>
      <c r="T704" s="1244"/>
      <c r="U704" s="1244"/>
      <c r="V704" s="1244"/>
      <c r="W704" s="1244"/>
      <c r="X704" s="1244"/>
      <c r="Y704" s="1244"/>
      <c r="Z704" s="1244"/>
    </row>
    <row r="705" spans="1:26" ht="18.75">
      <c r="A705" s="1368"/>
      <c r="B705" s="1243"/>
      <c r="C705" s="1243"/>
      <c r="D705" s="1243"/>
      <c r="E705" s="1243" t="s">
        <v>298</v>
      </c>
      <c r="F705" s="1243"/>
      <c r="G705" s="963"/>
      <c r="H705" s="730" t="s">
        <v>35</v>
      </c>
      <c r="I705" s="1379"/>
      <c r="J705" s="959">
        <v>0</v>
      </c>
      <c r="K705" s="831"/>
      <c r="L705" s="831"/>
      <c r="M705" s="963"/>
      <c r="N705" s="1380"/>
      <c r="O705" s="831"/>
      <c r="P705" s="831"/>
      <c r="Q705" s="1244"/>
      <c r="R705" s="1244"/>
      <c r="S705" s="1244"/>
      <c r="T705" s="1244"/>
      <c r="U705" s="1244"/>
      <c r="V705" s="1244"/>
      <c r="W705" s="1244"/>
      <c r="X705" s="1244"/>
      <c r="Y705" s="1244"/>
      <c r="Z705" s="1244"/>
    </row>
    <row r="706" spans="1:26" ht="18.75">
      <c r="A706" s="1368"/>
      <c r="B706" s="1243"/>
      <c r="C706" s="1243"/>
      <c r="D706" s="1243"/>
      <c r="E706" s="1243"/>
      <c r="F706" s="1243"/>
      <c r="G706" s="963"/>
      <c r="H706" s="730" t="s">
        <v>34</v>
      </c>
      <c r="I706" s="1379"/>
      <c r="J706" s="959">
        <v>0</v>
      </c>
      <c r="K706" s="831"/>
      <c r="L706" s="831"/>
      <c r="M706" s="963"/>
      <c r="N706" s="1380"/>
      <c r="O706" s="831"/>
      <c r="P706" s="831"/>
      <c r="Q706" s="1244"/>
      <c r="R706" s="1244"/>
      <c r="S706" s="1244"/>
      <c r="T706" s="1244"/>
      <c r="U706" s="1244"/>
      <c r="V706" s="1244"/>
      <c r="W706" s="1244"/>
      <c r="X706" s="1244"/>
      <c r="Y706" s="1244"/>
      <c r="Z706" s="1244"/>
    </row>
    <row r="707" spans="1:26" ht="18.75">
      <c r="A707" s="1368"/>
      <c r="B707" s="1243"/>
      <c r="C707" s="1243"/>
      <c r="D707" s="1243"/>
      <c r="E707" s="1243"/>
      <c r="F707" s="1243"/>
      <c r="G707" s="963"/>
      <c r="H707" s="730" t="s">
        <v>46</v>
      </c>
      <c r="I707" s="1379">
        <f ca="1">IFERROR(__xludf.DUMMYFUNCTION("IMPORTRANGE(""https://docs.google.com/spreadsheets/d/1QqKyyYR6Q21VydFLVH3TRQUabQu_ym0Zz7PgGX0-kHA/edit?usp=sharing"",""แผน!IG18"")"),0)</f>
        <v>0</v>
      </c>
      <c r="J707" s="959">
        <v>0</v>
      </c>
      <c r="K707" s="831"/>
      <c r="L707" s="831"/>
      <c r="M707" s="963"/>
      <c r="N707" s="1380"/>
      <c r="O707" s="831"/>
      <c r="P707" s="831"/>
      <c r="Q707" s="1244"/>
      <c r="R707" s="1244"/>
      <c r="S707" s="1244"/>
      <c r="T707" s="1244"/>
      <c r="U707" s="1244"/>
      <c r="V707" s="1244"/>
      <c r="W707" s="1244"/>
      <c r="X707" s="1244"/>
      <c r="Y707" s="1244"/>
      <c r="Z707" s="1244"/>
    </row>
    <row r="708" spans="1:26" ht="19.5">
      <c r="A708" s="1368"/>
      <c r="B708" s="1243"/>
      <c r="C708" s="1243"/>
      <c r="D708" s="1322" t="s">
        <v>299</v>
      </c>
      <c r="E708" s="1243"/>
      <c r="F708" s="1243"/>
      <c r="G708" s="963"/>
      <c r="H708" s="733" t="s">
        <v>46</v>
      </c>
      <c r="I708" s="1381">
        <f ca="1">IFERROR(__xludf.DUMMYFUNCTION("IMPORTRANGE(""https://docs.google.com/spreadsheets/d/1QqKyyYR6Q21VydFLVH3TRQUabQu_ym0Zz7PgGX0-kHA/edit?usp=sharing"",""แผน!IH18"")"),1846)</f>
        <v>1846</v>
      </c>
      <c r="J708" s="966">
        <f>J714+J717</f>
        <v>0</v>
      </c>
      <c r="K708" s="967">
        <f ca="1">IF(I708&gt;0,J708*100/I708,0)</f>
        <v>0</v>
      </c>
      <c r="L708" s="831"/>
      <c r="M708" s="963"/>
      <c r="N708" s="1380"/>
      <c r="O708" s="831"/>
      <c r="P708" s="831"/>
      <c r="Q708" s="1244"/>
      <c r="R708" s="1244"/>
      <c r="S708" s="1244"/>
      <c r="T708" s="1244"/>
      <c r="U708" s="1244"/>
      <c r="V708" s="1244"/>
      <c r="W708" s="1244"/>
      <c r="X708" s="1244"/>
      <c r="Y708" s="1244"/>
      <c r="Z708" s="1244"/>
    </row>
    <row r="709" spans="1:26" ht="18.75">
      <c r="A709" s="1368"/>
      <c r="B709" s="1243"/>
      <c r="C709" s="1243"/>
      <c r="D709" s="1243"/>
      <c r="E709" s="1243" t="s">
        <v>300</v>
      </c>
      <c r="F709" s="1243"/>
      <c r="G709" s="963"/>
      <c r="H709" s="730" t="s">
        <v>34</v>
      </c>
      <c r="I709" s="1379"/>
      <c r="J709" s="959">
        <v>0</v>
      </c>
      <c r="K709" s="831"/>
      <c r="L709" s="1380"/>
      <c r="M709" s="963"/>
      <c r="N709" s="1380"/>
      <c r="O709" s="831"/>
      <c r="P709" s="831"/>
      <c r="Q709" s="1244"/>
      <c r="R709" s="1244"/>
      <c r="S709" s="1244"/>
      <c r="T709" s="1244"/>
      <c r="U709" s="1244"/>
      <c r="V709" s="1244"/>
      <c r="W709" s="1244"/>
      <c r="X709" s="1244"/>
      <c r="Y709" s="1244"/>
      <c r="Z709" s="1244"/>
    </row>
    <row r="710" spans="1:26" ht="18.75">
      <c r="A710" s="1368"/>
      <c r="B710" s="1243"/>
      <c r="C710" s="1243"/>
      <c r="D710" s="1243"/>
      <c r="E710" s="1243"/>
      <c r="F710" s="1243"/>
      <c r="G710" s="963"/>
      <c r="H710" s="730" t="s">
        <v>46</v>
      </c>
      <c r="I710" s="1379"/>
      <c r="J710" s="959">
        <v>0</v>
      </c>
      <c r="K710" s="831"/>
      <c r="L710" s="1380"/>
      <c r="M710" s="963"/>
      <c r="N710" s="1380"/>
      <c r="O710" s="831"/>
      <c r="P710" s="831"/>
      <c r="Q710" s="1244"/>
      <c r="R710" s="1244"/>
      <c r="S710" s="1244"/>
      <c r="T710" s="1244"/>
      <c r="U710" s="1244"/>
      <c r="V710" s="1244"/>
      <c r="W710" s="1244"/>
      <c r="X710" s="1244"/>
      <c r="Y710" s="1244"/>
      <c r="Z710" s="1244"/>
    </row>
    <row r="711" spans="1:26" ht="18.75">
      <c r="A711" s="1368"/>
      <c r="B711" s="1243"/>
      <c r="C711" s="1243"/>
      <c r="D711" s="1243"/>
      <c r="E711" s="1243" t="s">
        <v>301</v>
      </c>
      <c r="F711" s="1243"/>
      <c r="G711" s="963"/>
      <c r="H711" s="954"/>
      <c r="I711" s="1379"/>
      <c r="J711" s="830"/>
      <c r="K711" s="831"/>
      <c r="L711" s="1380"/>
      <c r="M711" s="963"/>
      <c r="N711" s="1380"/>
      <c r="O711" s="831"/>
      <c r="P711" s="831"/>
      <c r="Q711" s="1244"/>
      <c r="R711" s="1244"/>
      <c r="S711" s="1244"/>
      <c r="T711" s="1244"/>
      <c r="U711" s="1244"/>
      <c r="V711" s="1244"/>
      <c r="W711" s="1244"/>
      <c r="X711" s="1244"/>
      <c r="Y711" s="1244"/>
      <c r="Z711" s="1244"/>
    </row>
    <row r="712" spans="1:26" ht="18.75">
      <c r="A712" s="1368"/>
      <c r="B712" s="1243"/>
      <c r="C712" s="1243"/>
      <c r="D712" s="1243"/>
      <c r="E712" s="1243"/>
      <c r="F712" s="1243" t="s">
        <v>302</v>
      </c>
      <c r="G712" s="963"/>
      <c r="H712" s="730" t="s">
        <v>35</v>
      </c>
      <c r="I712" s="1379"/>
      <c r="J712" s="959">
        <v>0</v>
      </c>
      <c r="K712" s="831"/>
      <c r="L712" s="1380"/>
      <c r="M712" s="963"/>
      <c r="N712" s="1380"/>
      <c r="O712" s="831"/>
      <c r="P712" s="831"/>
      <c r="Q712" s="1244"/>
      <c r="R712" s="1244"/>
      <c r="S712" s="1244"/>
      <c r="T712" s="1244"/>
      <c r="U712" s="1244"/>
      <c r="V712" s="1244"/>
      <c r="W712" s="1244"/>
      <c r="X712" s="1244"/>
      <c r="Y712" s="1244"/>
      <c r="Z712" s="1244"/>
    </row>
    <row r="713" spans="1:26" ht="18.75">
      <c r="A713" s="1368"/>
      <c r="B713" s="1243"/>
      <c r="C713" s="1243"/>
      <c r="D713" s="1243"/>
      <c r="E713" s="1243"/>
      <c r="F713" s="1243"/>
      <c r="G713" s="963"/>
      <c r="H713" s="730" t="s">
        <v>34</v>
      </c>
      <c r="I713" s="1379"/>
      <c r="J713" s="959">
        <v>0</v>
      </c>
      <c r="K713" s="831"/>
      <c r="L713" s="1380"/>
      <c r="M713" s="963"/>
      <c r="N713" s="1380"/>
      <c r="O713" s="831"/>
      <c r="P713" s="831"/>
      <c r="Q713" s="1244"/>
      <c r="R713" s="1244"/>
      <c r="S713" s="1244"/>
      <c r="T713" s="1244"/>
      <c r="U713" s="1244"/>
      <c r="V713" s="1244"/>
      <c r="W713" s="1244"/>
      <c r="X713" s="1244"/>
      <c r="Y713" s="1244"/>
      <c r="Z713" s="1244"/>
    </row>
    <row r="714" spans="1:26" ht="18.75">
      <c r="A714" s="1368"/>
      <c r="B714" s="1243"/>
      <c r="C714" s="1243"/>
      <c r="D714" s="1243"/>
      <c r="E714" s="1243"/>
      <c r="F714" s="1243"/>
      <c r="G714" s="963"/>
      <c r="H714" s="730" t="s">
        <v>46</v>
      </c>
      <c r="I714" s="1379"/>
      <c r="J714" s="959">
        <v>0</v>
      </c>
      <c r="K714" s="831"/>
      <c r="L714" s="1380"/>
      <c r="M714" s="963"/>
      <c r="N714" s="1380"/>
      <c r="O714" s="831"/>
      <c r="P714" s="831"/>
      <c r="Q714" s="1244"/>
      <c r="R714" s="1244"/>
      <c r="S714" s="1244"/>
      <c r="T714" s="1244"/>
      <c r="U714" s="1244"/>
      <c r="V714" s="1244"/>
      <c r="W714" s="1244"/>
      <c r="X714" s="1244"/>
      <c r="Y714" s="1244"/>
      <c r="Z714" s="1244"/>
    </row>
    <row r="715" spans="1:26" ht="18.75">
      <c r="A715" s="1368"/>
      <c r="B715" s="1243"/>
      <c r="C715" s="1243"/>
      <c r="D715" s="1243"/>
      <c r="E715" s="1243"/>
      <c r="F715" s="1243" t="s">
        <v>303</v>
      </c>
      <c r="G715" s="963"/>
      <c r="H715" s="730" t="s">
        <v>35</v>
      </c>
      <c r="I715" s="1379"/>
      <c r="J715" s="959">
        <v>0</v>
      </c>
      <c r="K715" s="831"/>
      <c r="L715" s="1380"/>
      <c r="M715" s="963"/>
      <c r="N715" s="1380"/>
      <c r="O715" s="831"/>
      <c r="P715" s="831"/>
      <c r="Q715" s="1244"/>
      <c r="R715" s="1244"/>
      <c r="S715" s="1244"/>
      <c r="T715" s="1244"/>
      <c r="U715" s="1244"/>
      <c r="V715" s="1244"/>
      <c r="W715" s="1244"/>
      <c r="X715" s="1244"/>
      <c r="Y715" s="1244"/>
      <c r="Z715" s="1244"/>
    </row>
    <row r="716" spans="1:26" ht="18.75">
      <c r="A716" s="1368"/>
      <c r="B716" s="1243"/>
      <c r="C716" s="1243"/>
      <c r="D716" s="1243"/>
      <c r="E716" s="1243"/>
      <c r="F716" s="1243"/>
      <c r="G716" s="963"/>
      <c r="H716" s="730" t="s">
        <v>34</v>
      </c>
      <c r="I716" s="1379"/>
      <c r="J716" s="959">
        <v>0</v>
      </c>
      <c r="K716" s="831"/>
      <c r="L716" s="1380"/>
      <c r="M716" s="963"/>
      <c r="N716" s="1380"/>
      <c r="O716" s="831"/>
      <c r="P716" s="831"/>
      <c r="Q716" s="1244"/>
      <c r="R716" s="1244"/>
      <c r="S716" s="1244"/>
      <c r="T716" s="1244"/>
      <c r="U716" s="1244"/>
      <c r="V716" s="1244"/>
      <c r="W716" s="1244"/>
      <c r="X716" s="1244"/>
      <c r="Y716" s="1244"/>
      <c r="Z716" s="1244"/>
    </row>
    <row r="717" spans="1:26" ht="18.75">
      <c r="A717" s="1368"/>
      <c r="B717" s="1243"/>
      <c r="C717" s="1243"/>
      <c r="D717" s="1243"/>
      <c r="E717" s="1243"/>
      <c r="F717" s="1243"/>
      <c r="G717" s="963"/>
      <c r="H717" s="730" t="s">
        <v>46</v>
      </c>
      <c r="I717" s="1379"/>
      <c r="J717" s="959">
        <v>0</v>
      </c>
      <c r="K717" s="831"/>
      <c r="L717" s="1380"/>
      <c r="M717" s="963"/>
      <c r="N717" s="1380"/>
      <c r="O717" s="831"/>
      <c r="P717" s="831"/>
      <c r="Q717" s="1244"/>
      <c r="R717" s="1244"/>
      <c r="S717" s="1244"/>
      <c r="T717" s="1244"/>
      <c r="U717" s="1244"/>
      <c r="V717" s="1244"/>
      <c r="W717" s="1244"/>
      <c r="X717" s="1244"/>
      <c r="Y717" s="1244"/>
      <c r="Z717" s="1244"/>
    </row>
    <row r="718" spans="1:26" ht="18.75">
      <c r="A718" s="1368"/>
      <c r="B718" s="1243"/>
      <c r="C718" s="1243"/>
      <c r="D718" s="1243" t="s">
        <v>304</v>
      </c>
      <c r="E718" s="1243"/>
      <c r="F718" s="1243"/>
      <c r="G718" s="963"/>
      <c r="H718" s="730" t="s">
        <v>35</v>
      </c>
      <c r="I718" s="1379"/>
      <c r="J718" s="830">
        <f ca="1">IFERROR(__xludf.DUMMYFUNCTION("IMPORTRANGE(""https://docs.google.com/spreadsheets/d/1XWAQStnk-4SwqDmLtmXYiTMKHgktTP8We1SCoS47DrQ/edit?usp=sharing"",""จัดที่ดิน!BF18"")"),0)</f>
        <v>0</v>
      </c>
      <c r="K718" s="831"/>
      <c r="L718" s="831"/>
      <c r="M718" s="963"/>
      <c r="N718" s="1380"/>
      <c r="O718" s="831"/>
      <c r="P718" s="831"/>
      <c r="Q718" s="1244"/>
      <c r="R718" s="1244"/>
      <c r="S718" s="1244"/>
      <c r="T718" s="1244"/>
      <c r="U718" s="1244"/>
      <c r="V718" s="1244"/>
      <c r="W718" s="1244"/>
      <c r="X718" s="1244"/>
      <c r="Y718" s="1244"/>
      <c r="Z718" s="1244"/>
    </row>
    <row r="719" spans="1:26" ht="18.75">
      <c r="A719" s="1368"/>
      <c r="B719" s="1243"/>
      <c r="C719" s="1243"/>
      <c r="D719" s="1243"/>
      <c r="E719" s="1243"/>
      <c r="F719" s="1243"/>
      <c r="G719" s="963"/>
      <c r="H719" s="730" t="s">
        <v>34</v>
      </c>
      <c r="I719" s="1379"/>
      <c r="J719" s="830">
        <f ca="1">IFERROR(__xludf.DUMMYFUNCTION("IMPORTRANGE(""https://docs.google.com/spreadsheets/d/1XWAQStnk-4SwqDmLtmXYiTMKHgktTP8We1SCoS47DrQ/edit?usp=sharing"",""จัดที่ดิน!BG18"")"),0)</f>
        <v>0</v>
      </c>
      <c r="K719" s="831"/>
      <c r="L719" s="1380"/>
      <c r="M719" s="963"/>
      <c r="N719" s="1380"/>
      <c r="O719" s="831"/>
      <c r="P719" s="831"/>
      <c r="Q719" s="1244"/>
      <c r="R719" s="1244"/>
      <c r="S719" s="1244"/>
      <c r="T719" s="1244"/>
      <c r="U719" s="1244"/>
      <c r="V719" s="1244"/>
      <c r="W719" s="1244"/>
      <c r="X719" s="1244"/>
      <c r="Y719" s="1244"/>
      <c r="Z719" s="1244"/>
    </row>
    <row r="720" spans="1:26" ht="18.75">
      <c r="A720" s="1368"/>
      <c r="B720" s="1243"/>
      <c r="C720" s="1243"/>
      <c r="D720" s="1243"/>
      <c r="E720" s="1243"/>
      <c r="F720" s="1243"/>
      <c r="G720" s="963"/>
      <c r="H720" s="730" t="s">
        <v>46</v>
      </c>
      <c r="I720" s="1379">
        <f ca="1">IFERROR(__xludf.DUMMYFUNCTION("IMPORTRANGE(""https://docs.google.com/spreadsheets/d/1QqKyyYR6Q21VydFLVH3TRQUabQu_ym0Zz7PgGX0-kHA/edit?usp=sharing"",""แผน!II18"")"),2585)</f>
        <v>2585</v>
      </c>
      <c r="J720" s="830">
        <f ca="1">IFERROR(__xludf.DUMMYFUNCTION("IMPORTRANGE(""https://docs.google.com/spreadsheets/d/1XWAQStnk-4SwqDmLtmXYiTMKHgktTP8We1SCoS47DrQ/edit?usp=sharing"",""จัดที่ดิน!BH18"")"),0)</f>
        <v>0</v>
      </c>
      <c r="K720" s="831">
        <f t="shared" ref="K720:K723" ca="1" si="291">IF(I720&gt;0,J720*100/I720,0)</f>
        <v>0</v>
      </c>
      <c r="L720" s="1380"/>
      <c r="M720" s="963"/>
      <c r="N720" s="1380"/>
      <c r="O720" s="831"/>
      <c r="P720" s="831"/>
      <c r="Q720" s="1244"/>
      <c r="R720" s="1244"/>
      <c r="S720" s="1244"/>
      <c r="T720" s="1244"/>
      <c r="U720" s="1244"/>
      <c r="V720" s="1244"/>
      <c r="W720" s="1244"/>
      <c r="X720" s="1244"/>
      <c r="Y720" s="1244"/>
      <c r="Z720" s="1244"/>
    </row>
    <row r="721" spans="1:26" ht="19.5">
      <c r="A721" s="1368"/>
      <c r="B721" s="1243"/>
      <c r="C721" s="1243"/>
      <c r="D721" s="1243" t="s">
        <v>305</v>
      </c>
      <c r="E721" s="1243"/>
      <c r="F721" s="1243"/>
      <c r="G721" s="963"/>
      <c r="H721" s="733" t="s">
        <v>35</v>
      </c>
      <c r="I721" s="1381">
        <f ca="1">IFERROR(__xludf.DUMMYFUNCTION("IMPORTRANGE(""https://docs.google.com/spreadsheets/d/1QqKyyYR6Q21VydFLVH3TRQUabQu_ym0Zz7PgGX0-kHA/edit?usp=sharing"",""แผน!IJ18"")"),40)</f>
        <v>40</v>
      </c>
      <c r="J721" s="966">
        <f ca="1">J723+J726</f>
        <v>0</v>
      </c>
      <c r="K721" s="967">
        <f t="shared" ca="1" si="291"/>
        <v>0</v>
      </c>
      <c r="L721" s="1380"/>
      <c r="M721" s="963"/>
      <c r="N721" s="1380"/>
      <c r="O721" s="831"/>
      <c r="P721" s="831"/>
      <c r="Q721" s="1244"/>
      <c r="R721" s="1244"/>
      <c r="S721" s="1244"/>
      <c r="T721" s="1244"/>
      <c r="U721" s="1244"/>
      <c r="V721" s="1244"/>
      <c r="W721" s="1244"/>
      <c r="X721" s="1244"/>
      <c r="Y721" s="1244"/>
      <c r="Z721" s="1244"/>
    </row>
    <row r="722" spans="1:26" ht="19.5">
      <c r="A722" s="1368"/>
      <c r="B722" s="1243"/>
      <c r="C722" s="1243"/>
      <c r="D722" s="1243"/>
      <c r="E722" s="1243"/>
      <c r="F722" s="1243"/>
      <c r="G722" s="963"/>
      <c r="H722" s="733" t="s">
        <v>46</v>
      </c>
      <c r="I722" s="1381">
        <f ca="1">IFERROR(__xludf.DUMMYFUNCTION("IMPORTRANGE(""https://docs.google.com/spreadsheets/d/1QqKyyYR6Q21VydFLVH3TRQUabQu_ym0Zz7PgGX0-kHA/edit?usp=sharing"",""แผน!IK18"")"),1009)</f>
        <v>1009</v>
      </c>
      <c r="J722" s="966">
        <f ca="1">J725+J728</f>
        <v>0</v>
      </c>
      <c r="K722" s="967">
        <f t="shared" ca="1" si="291"/>
        <v>0</v>
      </c>
      <c r="L722" s="831"/>
      <c r="M722" s="963"/>
      <c r="N722" s="1380"/>
      <c r="O722" s="831"/>
      <c r="P722" s="831"/>
      <c r="Q722" s="1244"/>
      <c r="R722" s="1244"/>
      <c r="S722" s="1244"/>
      <c r="T722" s="1244"/>
      <c r="U722" s="1244"/>
      <c r="V722" s="1244"/>
      <c r="W722" s="1244"/>
      <c r="X722" s="1244"/>
      <c r="Y722" s="1244"/>
      <c r="Z722" s="1244"/>
    </row>
    <row r="723" spans="1:26" ht="18.75">
      <c r="A723" s="1368"/>
      <c r="B723" s="1243"/>
      <c r="C723" s="1243"/>
      <c r="D723" s="1243"/>
      <c r="E723" s="1243" t="s">
        <v>306</v>
      </c>
      <c r="F723" s="1243"/>
      <c r="G723" s="963"/>
      <c r="H723" s="730" t="s">
        <v>35</v>
      </c>
      <c r="I723" s="1379">
        <f ca="1">IFERROR(__xludf.DUMMYFUNCTION("IMPORTRANGE(""https://docs.google.com/spreadsheets/d/1QqKyyYR6Q21VydFLVH3TRQUabQu_ym0Zz7PgGX0-kHA/edit?usp=sharing"",""แผน!IL18"")"),40)</f>
        <v>40</v>
      </c>
      <c r="J723" s="830">
        <f ca="1">IFERROR(__xludf.DUMMYFUNCTION("IMPORTRANGE(""https://docs.google.com/spreadsheets/d/1XWAQStnk-4SwqDmLtmXYiTMKHgktTP8We1SCoS47DrQ/edit?usp=sharing"",""จัดที่ดิน!BM18"")"),0)</f>
        <v>0</v>
      </c>
      <c r="K723" s="831">
        <f t="shared" ca="1" si="291"/>
        <v>0</v>
      </c>
      <c r="L723" s="831"/>
      <c r="M723" s="963"/>
      <c r="N723" s="1380"/>
      <c r="O723" s="831"/>
      <c r="P723" s="831"/>
      <c r="Q723" s="1244"/>
      <c r="R723" s="1244"/>
      <c r="S723" s="1244"/>
      <c r="T723" s="1244"/>
      <c r="U723" s="1244"/>
      <c r="V723" s="1244"/>
      <c r="W723" s="1244"/>
      <c r="X723" s="1244"/>
      <c r="Y723" s="1244"/>
      <c r="Z723" s="1244"/>
    </row>
    <row r="724" spans="1:26" ht="18.75">
      <c r="A724" s="1368"/>
      <c r="B724" s="1243"/>
      <c r="C724" s="1243"/>
      <c r="D724" s="1243"/>
      <c r="E724" s="1243"/>
      <c r="F724" s="1243"/>
      <c r="G724" s="963"/>
      <c r="H724" s="730" t="s">
        <v>34</v>
      </c>
      <c r="I724" s="1379"/>
      <c r="J724" s="830">
        <f ca="1">IFERROR(__xludf.DUMMYFUNCTION("IMPORTRANGE(""https://docs.google.com/spreadsheets/d/1XWAQStnk-4SwqDmLtmXYiTMKHgktTP8We1SCoS47DrQ/edit?usp=sharing"",""จัดที่ดิน!BN18"")"),0)</f>
        <v>0</v>
      </c>
      <c r="K724" s="831"/>
      <c r="L724" s="1380"/>
      <c r="M724" s="963"/>
      <c r="N724" s="1380"/>
      <c r="O724" s="831"/>
      <c r="P724" s="831"/>
      <c r="Q724" s="1244"/>
      <c r="R724" s="1244"/>
      <c r="S724" s="1244"/>
      <c r="T724" s="1244"/>
      <c r="U724" s="1244"/>
      <c r="V724" s="1244"/>
      <c r="W724" s="1244"/>
      <c r="X724" s="1244"/>
      <c r="Y724" s="1244"/>
      <c r="Z724" s="1244"/>
    </row>
    <row r="725" spans="1:26" ht="18.75">
      <c r="A725" s="1368"/>
      <c r="B725" s="1243"/>
      <c r="C725" s="1243"/>
      <c r="D725" s="1243"/>
      <c r="E725" s="1243"/>
      <c r="F725" s="1243"/>
      <c r="G725" s="963"/>
      <c r="H725" s="730" t="s">
        <v>46</v>
      </c>
      <c r="I725" s="1379">
        <f ca="1">IFERROR(__xludf.DUMMYFUNCTION("IMPORTRANGE(""https://docs.google.com/spreadsheets/d/1QqKyyYR6Q21VydFLVH3TRQUabQu_ym0Zz7PgGX0-kHA/edit?usp=sharing"",""แผน!IM18"")"),1009)</f>
        <v>1009</v>
      </c>
      <c r="J725" s="830">
        <f ca="1">IFERROR(__xludf.DUMMYFUNCTION("IMPORTRANGE(""https://docs.google.com/spreadsheets/d/1XWAQStnk-4SwqDmLtmXYiTMKHgktTP8We1SCoS47DrQ/edit?usp=sharing"",""จัดที่ดิน!BO18"")"),0)</f>
        <v>0</v>
      </c>
      <c r="K725" s="831">
        <f t="shared" ref="K725:K726" ca="1" si="292">IF(I725&gt;0,J725*100/I725,0)</f>
        <v>0</v>
      </c>
      <c r="L725" s="1380"/>
      <c r="M725" s="963"/>
      <c r="N725" s="1380"/>
      <c r="O725" s="831"/>
      <c r="P725" s="831"/>
      <c r="Q725" s="1244"/>
      <c r="R725" s="1244"/>
      <c r="S725" s="1244"/>
      <c r="T725" s="1244"/>
      <c r="U725" s="1244"/>
      <c r="V725" s="1244"/>
      <c r="W725" s="1244"/>
      <c r="X725" s="1244"/>
      <c r="Y725" s="1244"/>
      <c r="Z725" s="1244"/>
    </row>
    <row r="726" spans="1:26" ht="18.75">
      <c r="A726" s="1368"/>
      <c r="B726" s="1243"/>
      <c r="C726" s="1243"/>
      <c r="D726" s="1243"/>
      <c r="E726" s="1243" t="s">
        <v>307</v>
      </c>
      <c r="F726" s="1243"/>
      <c r="G726" s="963"/>
      <c r="H726" s="730" t="s">
        <v>35</v>
      </c>
      <c r="I726" s="1379">
        <f ca="1">IFERROR(__xludf.DUMMYFUNCTION("IMPORTRANGE(""https://docs.google.com/spreadsheets/d/1QqKyyYR6Q21VydFLVH3TRQUabQu_ym0Zz7PgGX0-kHA/edit?usp=sharing"",""แผน!IN18"")"),0)</f>
        <v>0</v>
      </c>
      <c r="J726" s="830">
        <f ca="1">IFERROR(__xludf.DUMMYFUNCTION("IMPORTRANGE(""https://docs.google.com/spreadsheets/d/1XWAQStnk-4SwqDmLtmXYiTMKHgktTP8We1SCoS47DrQ/edit?usp=sharing"",""จัดที่ดิน!BR18"")"),0)</f>
        <v>0</v>
      </c>
      <c r="K726" s="831">
        <f t="shared" ca="1" si="292"/>
        <v>0</v>
      </c>
      <c r="L726" s="831"/>
      <c r="M726" s="963"/>
      <c r="N726" s="1380"/>
      <c r="O726" s="831"/>
      <c r="P726" s="831"/>
      <c r="Q726" s="1244"/>
      <c r="R726" s="1244"/>
      <c r="S726" s="1244"/>
      <c r="T726" s="1244"/>
      <c r="U726" s="1244"/>
      <c r="V726" s="1244"/>
      <c r="W726" s="1244"/>
      <c r="X726" s="1244"/>
      <c r="Y726" s="1244"/>
      <c r="Z726" s="1244"/>
    </row>
    <row r="727" spans="1:26" ht="18.75">
      <c r="A727" s="1368"/>
      <c r="B727" s="1243"/>
      <c r="C727" s="1243"/>
      <c r="D727" s="1243"/>
      <c r="E727" s="1243"/>
      <c r="F727" s="1243"/>
      <c r="G727" s="963"/>
      <c r="H727" s="730" t="s">
        <v>34</v>
      </c>
      <c r="I727" s="1379"/>
      <c r="J727" s="830">
        <f ca="1">IFERROR(__xludf.DUMMYFUNCTION("IMPORTRANGE(""https://docs.google.com/spreadsheets/d/1XWAQStnk-4SwqDmLtmXYiTMKHgktTP8We1SCoS47DrQ/edit?usp=sharing"",""จัดที่ดิน!BS18"")"),0)</f>
        <v>0</v>
      </c>
      <c r="K727" s="831"/>
      <c r="L727" s="1380"/>
      <c r="M727" s="963"/>
      <c r="N727" s="1380"/>
      <c r="O727" s="831"/>
      <c r="P727" s="831"/>
      <c r="Q727" s="1244"/>
      <c r="R727" s="1244"/>
      <c r="S727" s="1244"/>
      <c r="T727" s="1244"/>
      <c r="U727" s="1244"/>
      <c r="V727" s="1244"/>
      <c r="W727" s="1244"/>
      <c r="X727" s="1244"/>
      <c r="Y727" s="1244"/>
      <c r="Z727" s="1244"/>
    </row>
    <row r="728" spans="1:26" ht="18.75">
      <c r="A728" s="1368"/>
      <c r="B728" s="1243"/>
      <c r="C728" s="1243"/>
      <c r="D728" s="1243"/>
      <c r="E728" s="1243"/>
      <c r="F728" s="1243"/>
      <c r="G728" s="963"/>
      <c r="H728" s="730" t="s">
        <v>46</v>
      </c>
      <c r="I728" s="1379">
        <f ca="1">IFERROR(__xludf.DUMMYFUNCTION("IMPORTRANGE(""https://docs.google.com/spreadsheets/d/1QqKyyYR6Q21VydFLVH3TRQUabQu_ym0Zz7PgGX0-kHA/edit?usp=sharing"",""แผน!IO18"")"),0)</f>
        <v>0</v>
      </c>
      <c r="J728" s="830">
        <f ca="1">IFERROR(__xludf.DUMMYFUNCTION("IMPORTRANGE(""https://docs.google.com/spreadsheets/d/1XWAQStnk-4SwqDmLtmXYiTMKHgktTP8We1SCoS47DrQ/edit?usp=sharing"",""จัดที่ดิน!BT18"")"),0)</f>
        <v>0</v>
      </c>
      <c r="K728" s="831">
        <f t="shared" ref="K728:K729" ca="1" si="293">IF(I728&gt;0,J728*100/I728,0)</f>
        <v>0</v>
      </c>
      <c r="L728" s="1380"/>
      <c r="M728" s="963"/>
      <c r="N728" s="1380"/>
      <c r="O728" s="831"/>
      <c r="P728" s="831"/>
      <c r="Q728" s="1244"/>
      <c r="R728" s="1244"/>
      <c r="S728" s="1244"/>
      <c r="T728" s="1244"/>
      <c r="U728" s="1244"/>
      <c r="V728" s="1244"/>
      <c r="W728" s="1244"/>
      <c r="X728" s="1244"/>
      <c r="Y728" s="1244"/>
      <c r="Z728" s="1244"/>
    </row>
    <row r="729" spans="1:26" ht="19.5">
      <c r="A729" s="1368"/>
      <c r="B729" s="1243"/>
      <c r="C729" s="1243"/>
      <c r="D729" s="1243" t="s">
        <v>308</v>
      </c>
      <c r="E729" s="1243"/>
      <c r="F729" s="1243"/>
      <c r="G729" s="963"/>
      <c r="H729" s="733" t="s">
        <v>46</v>
      </c>
      <c r="I729" s="1381">
        <f ca="1">IFERROR(__xludf.DUMMYFUNCTION("IMPORTRANGE(""https://docs.google.com/spreadsheets/d/1QqKyyYR6Q21VydFLVH3TRQUabQu_ym0Zz7PgGX0-kHA/edit?usp=sharing"",""แผน!IP18"")"),105)</f>
        <v>105</v>
      </c>
      <c r="J729" s="966">
        <f>J732+J735</f>
        <v>0</v>
      </c>
      <c r="K729" s="967">
        <f t="shared" ca="1" si="293"/>
        <v>0</v>
      </c>
      <c r="L729" s="831"/>
      <c r="M729" s="963"/>
      <c r="N729" s="1380"/>
      <c r="O729" s="831"/>
      <c r="P729" s="831"/>
      <c r="Q729" s="1244"/>
      <c r="R729" s="1244"/>
      <c r="S729" s="1244"/>
      <c r="T729" s="1244"/>
      <c r="U729" s="1244"/>
      <c r="V729" s="1244"/>
      <c r="W729" s="1244"/>
      <c r="X729" s="1244"/>
      <c r="Y729" s="1244"/>
      <c r="Z729" s="1244"/>
    </row>
    <row r="730" spans="1:26" ht="18.75">
      <c r="A730" s="1368"/>
      <c r="B730" s="1243"/>
      <c r="C730" s="1243"/>
      <c r="D730" s="1243"/>
      <c r="E730" s="1243" t="s">
        <v>309</v>
      </c>
      <c r="F730" s="1243"/>
      <c r="G730" s="963"/>
      <c r="H730" s="730" t="s">
        <v>35</v>
      </c>
      <c r="I730" s="1379"/>
      <c r="J730" s="959">
        <v>0</v>
      </c>
      <c r="K730" s="831"/>
      <c r="L730" s="1380"/>
      <c r="M730" s="831"/>
      <c r="N730" s="1380"/>
      <c r="O730" s="831"/>
      <c r="P730" s="831"/>
      <c r="Q730" s="1244"/>
      <c r="R730" s="1244"/>
      <c r="S730" s="1244"/>
      <c r="T730" s="1244"/>
      <c r="U730" s="1244"/>
      <c r="V730" s="1244"/>
      <c r="W730" s="1244"/>
      <c r="X730" s="1244"/>
      <c r="Y730" s="1244"/>
      <c r="Z730" s="1244"/>
    </row>
    <row r="731" spans="1:26" ht="18.75">
      <c r="A731" s="1368"/>
      <c r="B731" s="1243"/>
      <c r="C731" s="1243"/>
      <c r="D731" s="1243"/>
      <c r="E731" s="1243"/>
      <c r="F731" s="1243"/>
      <c r="G731" s="963"/>
      <c r="H731" s="730" t="s">
        <v>34</v>
      </c>
      <c r="I731" s="1379"/>
      <c r="J731" s="959">
        <v>0</v>
      </c>
      <c r="K731" s="831"/>
      <c r="L731" s="1380"/>
      <c r="M731" s="831"/>
      <c r="N731" s="1380"/>
      <c r="O731" s="831"/>
      <c r="P731" s="831"/>
      <c r="Q731" s="1244"/>
      <c r="R731" s="1244"/>
      <c r="S731" s="1244"/>
      <c r="T731" s="1244"/>
      <c r="U731" s="1244"/>
      <c r="V731" s="1244"/>
      <c r="W731" s="1244"/>
      <c r="X731" s="1244"/>
      <c r="Y731" s="1244"/>
      <c r="Z731" s="1244"/>
    </row>
    <row r="732" spans="1:26" ht="18.75">
      <c r="A732" s="1368"/>
      <c r="B732" s="1243"/>
      <c r="C732" s="1243"/>
      <c r="D732" s="1243"/>
      <c r="E732" s="1243"/>
      <c r="F732" s="1243"/>
      <c r="G732" s="963"/>
      <c r="H732" s="730" t="s">
        <v>46</v>
      </c>
      <c r="I732" s="1379"/>
      <c r="J732" s="959">
        <v>0</v>
      </c>
      <c r="K732" s="831"/>
      <c r="L732" s="1380"/>
      <c r="M732" s="831"/>
      <c r="N732" s="1380"/>
      <c r="O732" s="831"/>
      <c r="P732" s="831"/>
      <c r="Q732" s="1244"/>
      <c r="R732" s="1244"/>
      <c r="S732" s="1244"/>
      <c r="T732" s="1244"/>
      <c r="U732" s="1244"/>
      <c r="V732" s="1244"/>
      <c r="W732" s="1244"/>
      <c r="X732" s="1244"/>
      <c r="Y732" s="1244"/>
      <c r="Z732" s="1244"/>
    </row>
    <row r="733" spans="1:26" ht="18.75">
      <c r="A733" s="1368"/>
      <c r="B733" s="1243"/>
      <c r="C733" s="1243"/>
      <c r="D733" s="1243"/>
      <c r="E733" s="1243" t="s">
        <v>310</v>
      </c>
      <c r="F733" s="1243"/>
      <c r="G733" s="963"/>
      <c r="H733" s="730" t="s">
        <v>35</v>
      </c>
      <c r="I733" s="1379"/>
      <c r="J733" s="959">
        <v>0</v>
      </c>
      <c r="K733" s="831"/>
      <c r="L733" s="1380"/>
      <c r="M733" s="831"/>
      <c r="N733" s="1380"/>
      <c r="O733" s="831"/>
      <c r="P733" s="831"/>
      <c r="Q733" s="1244"/>
      <c r="R733" s="1244"/>
      <c r="S733" s="1244"/>
      <c r="T733" s="1244"/>
      <c r="U733" s="1244"/>
      <c r="V733" s="1244"/>
      <c r="W733" s="1244"/>
      <c r="X733" s="1244"/>
      <c r="Y733" s="1244"/>
      <c r="Z733" s="1244"/>
    </row>
    <row r="734" spans="1:26" ht="18.75">
      <c r="A734" s="1368"/>
      <c r="B734" s="1243"/>
      <c r="C734" s="1243"/>
      <c r="D734" s="1243"/>
      <c r="E734" s="1243"/>
      <c r="F734" s="1243"/>
      <c r="G734" s="963"/>
      <c r="H734" s="730" t="s">
        <v>34</v>
      </c>
      <c r="I734" s="1379"/>
      <c r="J734" s="959">
        <v>0</v>
      </c>
      <c r="K734" s="831"/>
      <c r="L734" s="1380"/>
      <c r="M734" s="831"/>
      <c r="N734" s="1380"/>
      <c r="O734" s="831"/>
      <c r="P734" s="831"/>
      <c r="Q734" s="1244"/>
      <c r="R734" s="1244"/>
      <c r="S734" s="1244"/>
      <c r="T734" s="1244"/>
      <c r="U734" s="1244"/>
      <c r="V734" s="1244"/>
      <c r="W734" s="1244"/>
      <c r="X734" s="1244"/>
      <c r="Y734" s="1244"/>
      <c r="Z734" s="1244"/>
    </row>
    <row r="735" spans="1:26" ht="19.5">
      <c r="A735" s="1382"/>
      <c r="B735" s="1383" t="s">
        <v>311</v>
      </c>
      <c r="C735" s="1116"/>
      <c r="D735" s="1116"/>
      <c r="E735" s="1116"/>
      <c r="F735" s="1116"/>
      <c r="G735" s="1361"/>
      <c r="H735" s="391" t="s">
        <v>46</v>
      </c>
      <c r="I735" s="1384"/>
      <c r="J735" s="1118">
        <v>0</v>
      </c>
      <c r="K735" s="1182"/>
      <c r="L735" s="1385"/>
      <c r="M735" s="1182"/>
      <c r="N735" s="1385"/>
      <c r="O735" s="1182"/>
      <c r="P735" s="1182"/>
      <c r="Q735" s="1244"/>
      <c r="R735" s="1244"/>
      <c r="S735" s="1244"/>
      <c r="T735" s="1244"/>
      <c r="U735" s="1244"/>
      <c r="V735" s="1244"/>
      <c r="W735" s="1244"/>
      <c r="X735" s="1244"/>
      <c r="Y735" s="1244"/>
      <c r="Z735" s="1244"/>
    </row>
    <row r="736" spans="1:26" ht="19.5" hidden="1">
      <c r="A736" s="740">
        <v>9</v>
      </c>
      <c r="B736" s="1386" t="s">
        <v>312</v>
      </c>
      <c r="C736" s="1387"/>
      <c r="D736" s="1387"/>
      <c r="E736" s="1387"/>
      <c r="F736" s="1387"/>
      <c r="G736" s="1388"/>
      <c r="H736" s="744" t="s">
        <v>46</v>
      </c>
      <c r="I736" s="1389"/>
      <c r="J736" s="1389">
        <f>J751</f>
        <v>0</v>
      </c>
      <c r="K736" s="1390">
        <f>IF(I736&gt;0,J736*100/I736,0)</f>
        <v>0</v>
      </c>
      <c r="L736" s="1391"/>
      <c r="M736" s="1391"/>
      <c r="N736" s="1391"/>
      <c r="O736" s="1391"/>
      <c r="P736" s="1391"/>
      <c r="Q736" s="1264"/>
      <c r="R736" s="1264"/>
      <c r="S736" s="1264"/>
      <c r="T736" s="1264"/>
      <c r="U736" s="1264"/>
      <c r="V736" s="1264"/>
      <c r="W736" s="1264"/>
      <c r="X736" s="1264"/>
      <c r="Y736" s="1264"/>
      <c r="Z736" s="1264"/>
    </row>
    <row r="737" spans="1:26" ht="19.5" hidden="1">
      <c r="A737" s="1260"/>
      <c r="B737" s="1261"/>
      <c r="C737" s="1261" t="s">
        <v>16</v>
      </c>
      <c r="D737" s="1508" t="s">
        <v>17</v>
      </c>
      <c r="E737" s="1485"/>
      <c r="F737" s="1485"/>
      <c r="G737" s="1263"/>
      <c r="H737" s="612" t="s">
        <v>12</v>
      </c>
      <c r="I737" s="836"/>
      <c r="J737" s="836"/>
      <c r="K737" s="837"/>
      <c r="L737" s="1292">
        <f t="shared" ref="L737:N737" si="294">L738+L739</f>
        <v>0</v>
      </c>
      <c r="M737" s="1292">
        <f t="shared" si="294"/>
        <v>0</v>
      </c>
      <c r="N737" s="1292">
        <f t="shared" si="294"/>
        <v>0</v>
      </c>
      <c r="O737" s="1292">
        <f t="shared" ref="O737:O742" si="295">IF(L737&gt;0,N737*100/L737,0)</f>
        <v>0</v>
      </c>
      <c r="P737" s="1292">
        <f t="shared" ref="P737:P742" si="296">IF(M737&gt;0,N737*100/M737,0)</f>
        <v>0</v>
      </c>
      <c r="Q737" s="1264"/>
      <c r="R737" s="1264"/>
      <c r="S737" s="1264"/>
      <c r="T737" s="1264"/>
      <c r="U737" s="1264"/>
      <c r="V737" s="1264"/>
      <c r="W737" s="1264"/>
      <c r="X737" s="1264"/>
      <c r="Y737" s="1264"/>
      <c r="Z737" s="1264"/>
    </row>
    <row r="738" spans="1:26" ht="18.75" hidden="1">
      <c r="A738" s="1260"/>
      <c r="B738" s="1261"/>
      <c r="C738" s="1261"/>
      <c r="D738" s="1262"/>
      <c r="E738" s="1261" t="s">
        <v>184</v>
      </c>
      <c r="F738" s="1261"/>
      <c r="G738" s="1263"/>
      <c r="H738" s="165" t="s">
        <v>12</v>
      </c>
      <c r="I738" s="836"/>
      <c r="J738" s="836"/>
      <c r="K738" s="837"/>
      <c r="L738" s="837">
        <f t="shared" ref="L738:N739" si="297">L741+L748</f>
        <v>0</v>
      </c>
      <c r="M738" s="837">
        <f t="shared" si="297"/>
        <v>0</v>
      </c>
      <c r="N738" s="837">
        <f t="shared" si="297"/>
        <v>0</v>
      </c>
      <c r="O738" s="837">
        <f t="shared" si="295"/>
        <v>0</v>
      </c>
      <c r="P738" s="837">
        <f t="shared" si="296"/>
        <v>0</v>
      </c>
      <c r="Q738" s="1264"/>
      <c r="R738" s="1264"/>
      <c r="S738" s="1264"/>
      <c r="T738" s="1264"/>
      <c r="U738" s="1264"/>
      <c r="V738" s="1264"/>
      <c r="W738" s="1264"/>
      <c r="X738" s="1264"/>
      <c r="Y738" s="1264"/>
      <c r="Z738" s="1264"/>
    </row>
    <row r="739" spans="1:26" ht="18.75" hidden="1">
      <c r="A739" s="1260"/>
      <c r="B739" s="1265"/>
      <c r="C739" s="1261"/>
      <c r="D739" s="1262"/>
      <c r="E739" s="1261" t="s">
        <v>185</v>
      </c>
      <c r="F739" s="1261"/>
      <c r="G739" s="1263"/>
      <c r="H739" s="165" t="s">
        <v>12</v>
      </c>
      <c r="I739" s="836"/>
      <c r="J739" s="836"/>
      <c r="K739" s="837"/>
      <c r="L739" s="837">
        <f t="shared" si="297"/>
        <v>0</v>
      </c>
      <c r="M739" s="837">
        <f t="shared" si="297"/>
        <v>0</v>
      </c>
      <c r="N739" s="837">
        <f t="shared" si="297"/>
        <v>0</v>
      </c>
      <c r="O739" s="837">
        <f t="shared" si="295"/>
        <v>0</v>
      </c>
      <c r="P739" s="837">
        <f t="shared" si="296"/>
        <v>0</v>
      </c>
      <c r="Q739" s="1264"/>
      <c r="R739" s="1264"/>
      <c r="S739" s="1264"/>
      <c r="T739" s="1264"/>
      <c r="U739" s="1264"/>
      <c r="V739" s="1264"/>
      <c r="W739" s="1264"/>
      <c r="X739" s="1264"/>
      <c r="Y739" s="1264"/>
      <c r="Z739" s="1264"/>
    </row>
    <row r="740" spans="1:26" ht="19.5" hidden="1">
      <c r="A740" s="1260"/>
      <c r="B740" s="1265"/>
      <c r="C740" s="1261"/>
      <c r="D740" s="1392" t="s">
        <v>20</v>
      </c>
      <c r="E740" s="1261"/>
      <c r="F740" s="1261"/>
      <c r="G740" s="1263"/>
      <c r="H740" s="612" t="s">
        <v>12</v>
      </c>
      <c r="I740" s="947"/>
      <c r="J740" s="947"/>
      <c r="K740" s="948"/>
      <c r="L740" s="1292">
        <f t="shared" ref="L740:N740" si="298">L741+L742</f>
        <v>0</v>
      </c>
      <c r="M740" s="1292">
        <f t="shared" si="298"/>
        <v>0</v>
      </c>
      <c r="N740" s="1292">
        <f t="shared" si="298"/>
        <v>0</v>
      </c>
      <c r="O740" s="1292">
        <f t="shared" si="295"/>
        <v>0</v>
      </c>
      <c r="P740" s="1292">
        <f t="shared" si="296"/>
        <v>0</v>
      </c>
      <c r="Q740" s="1264"/>
      <c r="R740" s="1264"/>
      <c r="S740" s="1264"/>
      <c r="T740" s="1264"/>
      <c r="U740" s="1264"/>
      <c r="V740" s="1264"/>
      <c r="W740" s="1264"/>
      <c r="X740" s="1264"/>
      <c r="Y740" s="1264"/>
      <c r="Z740" s="1264"/>
    </row>
    <row r="741" spans="1:26" ht="18.75" hidden="1">
      <c r="A741" s="1260"/>
      <c r="B741" s="1265"/>
      <c r="C741" s="1261"/>
      <c r="D741" s="1262"/>
      <c r="E741" s="1261" t="s">
        <v>184</v>
      </c>
      <c r="F741" s="1261"/>
      <c r="G741" s="1263"/>
      <c r="H741" s="165" t="s">
        <v>12</v>
      </c>
      <c r="I741" s="836"/>
      <c r="J741" s="836"/>
      <c r="K741" s="837"/>
      <c r="L741" s="837">
        <v>0</v>
      </c>
      <c r="M741" s="837">
        <v>0</v>
      </c>
      <c r="N741" s="837">
        <v>0</v>
      </c>
      <c r="O741" s="837">
        <f t="shared" si="295"/>
        <v>0</v>
      </c>
      <c r="P741" s="837">
        <f t="shared" si="296"/>
        <v>0</v>
      </c>
      <c r="Q741" s="1264"/>
      <c r="R741" s="1264"/>
      <c r="S741" s="1264"/>
      <c r="T741" s="1264"/>
      <c r="U741" s="1264"/>
      <c r="V741" s="1264"/>
      <c r="W741" s="1264"/>
      <c r="X741" s="1264"/>
      <c r="Y741" s="1264"/>
      <c r="Z741" s="1264"/>
    </row>
    <row r="742" spans="1:26" ht="18.75" hidden="1">
      <c r="A742" s="1260"/>
      <c r="B742" s="1265"/>
      <c r="C742" s="1261"/>
      <c r="D742" s="1262"/>
      <c r="E742" s="1261" t="s">
        <v>185</v>
      </c>
      <c r="F742" s="1261"/>
      <c r="G742" s="1263"/>
      <c r="H742" s="165" t="s">
        <v>12</v>
      </c>
      <c r="I742" s="836"/>
      <c r="J742" s="836"/>
      <c r="K742" s="837"/>
      <c r="L742" s="837">
        <v>0</v>
      </c>
      <c r="M742" s="837">
        <v>0</v>
      </c>
      <c r="N742" s="837">
        <f>N743+N744+N745+N746</f>
        <v>0</v>
      </c>
      <c r="O742" s="837">
        <f t="shared" si="295"/>
        <v>0</v>
      </c>
      <c r="P742" s="837">
        <f t="shared" si="296"/>
        <v>0</v>
      </c>
      <c r="Q742" s="1264"/>
      <c r="R742" s="1264"/>
      <c r="S742" s="1264"/>
      <c r="T742" s="1264"/>
      <c r="U742" s="1264"/>
      <c r="V742" s="1264"/>
      <c r="W742" s="1264"/>
      <c r="X742" s="1264"/>
      <c r="Y742" s="1264"/>
      <c r="Z742" s="1264"/>
    </row>
    <row r="743" spans="1:26" ht="18.75" hidden="1">
      <c r="A743" s="1294"/>
      <c r="B743" s="1265"/>
      <c r="C743" s="1261"/>
      <c r="D743" s="1261"/>
      <c r="E743" s="1261"/>
      <c r="F743" s="1261" t="s">
        <v>186</v>
      </c>
      <c r="G743" s="1263"/>
      <c r="H743" s="165" t="s">
        <v>12</v>
      </c>
      <c r="I743" s="836"/>
      <c r="J743" s="836"/>
      <c r="K743" s="837"/>
      <c r="L743" s="837"/>
      <c r="M743" s="837"/>
      <c r="N743" s="837"/>
      <c r="O743" s="837"/>
      <c r="P743" s="837"/>
      <c r="Q743" s="1264"/>
      <c r="R743" s="1264"/>
      <c r="S743" s="1264"/>
      <c r="T743" s="1264"/>
      <c r="U743" s="1264"/>
      <c r="V743" s="1264"/>
      <c r="W743" s="1264"/>
      <c r="X743" s="1264"/>
      <c r="Y743" s="1264"/>
      <c r="Z743" s="1264"/>
    </row>
    <row r="744" spans="1:26" ht="18.75" hidden="1">
      <c r="A744" s="1294"/>
      <c r="B744" s="1265"/>
      <c r="C744" s="1261"/>
      <c r="D744" s="1261"/>
      <c r="E744" s="1261"/>
      <c r="F744" s="1261" t="s">
        <v>187</v>
      </c>
      <c r="G744" s="1263"/>
      <c r="H744" s="165" t="s">
        <v>12</v>
      </c>
      <c r="I744" s="836"/>
      <c r="J744" s="836"/>
      <c r="K744" s="837"/>
      <c r="L744" s="837"/>
      <c r="M744" s="837"/>
      <c r="N744" s="837"/>
      <c r="O744" s="837"/>
      <c r="P744" s="837"/>
      <c r="Q744" s="1264"/>
      <c r="R744" s="1264"/>
      <c r="S744" s="1264"/>
      <c r="T744" s="1264"/>
      <c r="U744" s="1264"/>
      <c r="V744" s="1264"/>
      <c r="W744" s="1264"/>
      <c r="X744" s="1264"/>
      <c r="Y744" s="1264"/>
      <c r="Z744" s="1264"/>
    </row>
    <row r="745" spans="1:26" ht="18.75" hidden="1">
      <c r="A745" s="1294"/>
      <c r="B745" s="1265"/>
      <c r="C745" s="1261"/>
      <c r="D745" s="1261"/>
      <c r="E745" s="1261"/>
      <c r="F745" s="1261" t="s">
        <v>188</v>
      </c>
      <c r="G745" s="1263"/>
      <c r="H745" s="165" t="s">
        <v>12</v>
      </c>
      <c r="I745" s="836"/>
      <c r="J745" s="836"/>
      <c r="K745" s="837"/>
      <c r="L745" s="837"/>
      <c r="M745" s="837"/>
      <c r="N745" s="837"/>
      <c r="O745" s="837"/>
      <c r="P745" s="837"/>
      <c r="Q745" s="1264"/>
      <c r="R745" s="1264"/>
      <c r="S745" s="1264"/>
      <c r="T745" s="1264"/>
      <c r="U745" s="1264"/>
      <c r="V745" s="1264"/>
      <c r="W745" s="1264"/>
      <c r="X745" s="1264"/>
      <c r="Y745" s="1264"/>
      <c r="Z745" s="1264"/>
    </row>
    <row r="746" spans="1:26" ht="18.75" hidden="1">
      <c r="A746" s="1294"/>
      <c r="B746" s="1265"/>
      <c r="C746" s="1261"/>
      <c r="D746" s="1261"/>
      <c r="E746" s="1261"/>
      <c r="F746" s="1261" t="s">
        <v>189</v>
      </c>
      <c r="G746" s="1263"/>
      <c r="H746" s="165" t="s">
        <v>12</v>
      </c>
      <c r="I746" s="836"/>
      <c r="J746" s="836"/>
      <c r="K746" s="837"/>
      <c r="L746" s="837"/>
      <c r="M746" s="837"/>
      <c r="N746" s="837"/>
      <c r="O746" s="837"/>
      <c r="P746" s="837"/>
      <c r="Q746" s="1264"/>
      <c r="R746" s="1264"/>
      <c r="S746" s="1264"/>
      <c r="T746" s="1264"/>
      <c r="U746" s="1264"/>
      <c r="V746" s="1264"/>
      <c r="W746" s="1264"/>
      <c r="X746" s="1264"/>
      <c r="Y746" s="1264"/>
      <c r="Z746" s="1264"/>
    </row>
    <row r="747" spans="1:26" ht="19.5" hidden="1">
      <c r="A747" s="1260"/>
      <c r="B747" s="1265"/>
      <c r="C747" s="1261"/>
      <c r="D747" s="1392" t="s">
        <v>21</v>
      </c>
      <c r="E747" s="1261"/>
      <c r="F747" s="1261"/>
      <c r="G747" s="1263"/>
      <c r="H747" s="749" t="s">
        <v>12</v>
      </c>
      <c r="I747" s="947"/>
      <c r="J747" s="947"/>
      <c r="K747" s="948"/>
      <c r="L747" s="1292">
        <f t="shared" ref="L747:N747" si="299">L748+L749</f>
        <v>0</v>
      </c>
      <c r="M747" s="1292">
        <f t="shared" si="299"/>
        <v>0</v>
      </c>
      <c r="N747" s="1292">
        <f t="shared" si="299"/>
        <v>0</v>
      </c>
      <c r="O747" s="1292">
        <f t="shared" ref="O747:O749" si="300">IF(L747&gt;0,N747*100/L747,0)</f>
        <v>0</v>
      </c>
      <c r="P747" s="1292">
        <f t="shared" ref="P747:P749" si="301">IF(M747&gt;0,N747*100/M747,0)</f>
        <v>0</v>
      </c>
      <c r="Q747" s="1264"/>
      <c r="R747" s="1264"/>
      <c r="S747" s="1264"/>
      <c r="T747" s="1264"/>
      <c r="U747" s="1264"/>
      <c r="V747" s="1264"/>
      <c r="W747" s="1264"/>
      <c r="X747" s="1264"/>
      <c r="Y747" s="1264"/>
      <c r="Z747" s="1264"/>
    </row>
    <row r="748" spans="1:26" ht="18.75" hidden="1">
      <c r="A748" s="1260"/>
      <c r="B748" s="1265"/>
      <c r="C748" s="1261"/>
      <c r="D748" s="1261"/>
      <c r="E748" s="1261" t="s">
        <v>18</v>
      </c>
      <c r="F748" s="1261"/>
      <c r="G748" s="1263"/>
      <c r="H748" s="165" t="s">
        <v>12</v>
      </c>
      <c r="I748" s="947"/>
      <c r="J748" s="947"/>
      <c r="K748" s="948"/>
      <c r="L748" s="837">
        <v>0</v>
      </c>
      <c r="M748" s="837">
        <v>0</v>
      </c>
      <c r="N748" s="837">
        <v>0</v>
      </c>
      <c r="O748" s="837">
        <f t="shared" si="300"/>
        <v>0</v>
      </c>
      <c r="P748" s="837">
        <f t="shared" si="301"/>
        <v>0</v>
      </c>
      <c r="Q748" s="1264"/>
      <c r="R748" s="1264"/>
      <c r="S748" s="1264"/>
      <c r="T748" s="1264"/>
      <c r="U748" s="1264"/>
      <c r="V748" s="1264"/>
      <c r="W748" s="1264"/>
      <c r="X748" s="1264"/>
      <c r="Y748" s="1264"/>
      <c r="Z748" s="1264"/>
    </row>
    <row r="749" spans="1:26" ht="18.75" hidden="1">
      <c r="A749" s="1260"/>
      <c r="B749" s="1265"/>
      <c r="C749" s="1261"/>
      <c r="D749" s="1261"/>
      <c r="E749" s="1261" t="s">
        <v>19</v>
      </c>
      <c r="F749" s="1261"/>
      <c r="G749" s="1263"/>
      <c r="H749" s="169" t="s">
        <v>12</v>
      </c>
      <c r="I749" s="947"/>
      <c r="J749" s="947"/>
      <c r="K749" s="948"/>
      <c r="L749" s="837">
        <v>0</v>
      </c>
      <c r="M749" s="837">
        <v>0</v>
      </c>
      <c r="N749" s="837">
        <v>0</v>
      </c>
      <c r="O749" s="837">
        <f t="shared" si="300"/>
        <v>0</v>
      </c>
      <c r="P749" s="837">
        <f t="shared" si="301"/>
        <v>0</v>
      </c>
      <c r="Q749" s="1264"/>
      <c r="R749" s="1264"/>
      <c r="S749" s="1264"/>
      <c r="T749" s="1264"/>
      <c r="U749" s="1264"/>
      <c r="V749" s="1264"/>
      <c r="W749" s="1264"/>
      <c r="X749" s="1264"/>
      <c r="Y749" s="1264"/>
      <c r="Z749" s="1264"/>
    </row>
    <row r="750" spans="1:26" ht="19.5" hidden="1">
      <c r="A750" s="1273"/>
      <c r="B750" s="1274"/>
      <c r="C750" s="1261" t="s">
        <v>16</v>
      </c>
      <c r="D750" s="1393" t="s">
        <v>38</v>
      </c>
      <c r="E750" s="1296"/>
      <c r="F750" s="1296"/>
      <c r="G750" s="1297"/>
      <c r="H750" s="1060"/>
      <c r="I750" s="947"/>
      <c r="J750" s="947"/>
      <c r="K750" s="948"/>
      <c r="L750" s="948"/>
      <c r="M750" s="948"/>
      <c r="N750" s="948"/>
      <c r="O750" s="948"/>
      <c r="P750" s="948"/>
      <c r="Q750" s="1264"/>
      <c r="R750" s="1264"/>
      <c r="S750" s="1264"/>
      <c r="T750" s="1264"/>
      <c r="U750" s="1264"/>
      <c r="V750" s="1264"/>
      <c r="W750" s="1264"/>
      <c r="X750" s="1264"/>
      <c r="Y750" s="1264"/>
      <c r="Z750" s="1264"/>
    </row>
    <row r="751" spans="1:26" ht="18.75" hidden="1">
      <c r="A751" s="1294"/>
      <c r="B751" s="1265"/>
      <c r="C751" s="1261"/>
      <c r="D751" s="1261"/>
      <c r="E751" s="1261" t="s">
        <v>313</v>
      </c>
      <c r="F751" s="1261"/>
      <c r="G751" s="1263"/>
      <c r="H751" s="165" t="s">
        <v>46</v>
      </c>
      <c r="I751" s="836"/>
      <c r="J751" s="836"/>
      <c r="K751" s="837"/>
      <c r="L751" s="837"/>
      <c r="M751" s="837"/>
      <c r="N751" s="837"/>
      <c r="O751" s="837"/>
      <c r="P751" s="837"/>
      <c r="Q751" s="1264"/>
      <c r="R751" s="1264"/>
      <c r="S751" s="1264"/>
      <c r="T751" s="1264"/>
      <c r="U751" s="1264"/>
      <c r="V751" s="1264"/>
      <c r="W751" s="1264"/>
      <c r="X751" s="1264"/>
      <c r="Y751" s="1264"/>
      <c r="Z751" s="1264"/>
    </row>
    <row r="752" spans="1:26" ht="18.75" hidden="1">
      <c r="A752" s="1294"/>
      <c r="B752" s="1265"/>
      <c r="C752" s="1261"/>
      <c r="D752" s="1261"/>
      <c r="E752" s="1261"/>
      <c r="F752" s="1261"/>
      <c r="G752" s="1263"/>
      <c r="H752" s="165" t="s">
        <v>314</v>
      </c>
      <c r="I752" s="836"/>
      <c r="J752" s="836"/>
      <c r="K752" s="837"/>
      <c r="L752" s="837"/>
      <c r="M752" s="837"/>
      <c r="N752" s="837"/>
      <c r="O752" s="837"/>
      <c r="P752" s="837"/>
      <c r="Q752" s="1264"/>
      <c r="R752" s="1264"/>
      <c r="S752" s="1264"/>
      <c r="T752" s="1264"/>
      <c r="U752" s="1264"/>
      <c r="V752" s="1264"/>
      <c r="W752" s="1264"/>
      <c r="X752" s="1264"/>
      <c r="Y752" s="1264"/>
      <c r="Z752" s="1264"/>
    </row>
    <row r="753" spans="1:26" ht="19.5" hidden="1">
      <c r="A753" s="751">
        <v>10</v>
      </c>
      <c r="B753" s="1394" t="s">
        <v>315</v>
      </c>
      <c r="C753" s="1395"/>
      <c r="D753" s="1395"/>
      <c r="E753" s="1395"/>
      <c r="F753" s="1395"/>
      <c r="G753" s="1396"/>
      <c r="H753" s="755" t="s">
        <v>46</v>
      </c>
      <c r="I753" s="1397"/>
      <c r="J753" s="1397">
        <f>J768</f>
        <v>0</v>
      </c>
      <c r="K753" s="1398">
        <f>IF(I753&gt;0,J753*100/I753,0)</f>
        <v>0</v>
      </c>
      <c r="L753" s="1399"/>
      <c r="M753" s="1399"/>
      <c r="N753" s="1399"/>
      <c r="O753" s="1399"/>
      <c r="P753" s="1399"/>
      <c r="Q753" s="1264"/>
      <c r="R753" s="1264"/>
      <c r="S753" s="1264"/>
      <c r="T753" s="1264"/>
      <c r="U753" s="1264"/>
      <c r="V753" s="1264"/>
      <c r="W753" s="1264"/>
      <c r="X753" s="1264"/>
      <c r="Y753" s="1264"/>
      <c r="Z753" s="1264"/>
    </row>
    <row r="754" spans="1:26" ht="19.5" hidden="1">
      <c r="A754" s="1260"/>
      <c r="B754" s="1261"/>
      <c r="C754" s="1261" t="s">
        <v>16</v>
      </c>
      <c r="D754" s="1508" t="s">
        <v>17</v>
      </c>
      <c r="E754" s="1485"/>
      <c r="F754" s="1485"/>
      <c r="G754" s="1263"/>
      <c r="H754" s="612" t="s">
        <v>12</v>
      </c>
      <c r="I754" s="836"/>
      <c r="J754" s="836"/>
      <c r="K754" s="837"/>
      <c r="L754" s="1292">
        <f t="shared" ref="L754:N754" si="302">L755+L756</f>
        <v>0</v>
      </c>
      <c r="M754" s="1292">
        <f t="shared" si="302"/>
        <v>0</v>
      </c>
      <c r="N754" s="1292">
        <f t="shared" si="302"/>
        <v>0</v>
      </c>
      <c r="O754" s="1292">
        <f t="shared" ref="O754:O759" si="303">IF(L754&gt;0,N754*100/L754,0)</f>
        <v>0</v>
      </c>
      <c r="P754" s="1292">
        <f t="shared" ref="P754:P759" si="304">IF(M754&gt;0,N754*100/M754,0)</f>
        <v>0</v>
      </c>
      <c r="Q754" s="1264"/>
      <c r="R754" s="1264"/>
      <c r="S754" s="1264"/>
      <c r="T754" s="1264"/>
      <c r="U754" s="1264"/>
      <c r="V754" s="1264"/>
      <c r="W754" s="1264"/>
      <c r="X754" s="1264"/>
      <c r="Y754" s="1264"/>
      <c r="Z754" s="1264"/>
    </row>
    <row r="755" spans="1:26" ht="18.75" hidden="1">
      <c r="A755" s="1260"/>
      <c r="B755" s="1261"/>
      <c r="C755" s="1261"/>
      <c r="D755" s="1262"/>
      <c r="E755" s="1261" t="s">
        <v>184</v>
      </c>
      <c r="F755" s="1261"/>
      <c r="G755" s="1263"/>
      <c r="H755" s="165" t="s">
        <v>12</v>
      </c>
      <c r="I755" s="836"/>
      <c r="J755" s="836"/>
      <c r="K755" s="837"/>
      <c r="L755" s="837">
        <f t="shared" ref="L755:N756" si="305">L758+L765</f>
        <v>0</v>
      </c>
      <c r="M755" s="837">
        <f t="shared" si="305"/>
        <v>0</v>
      </c>
      <c r="N755" s="837">
        <f t="shared" si="305"/>
        <v>0</v>
      </c>
      <c r="O755" s="837">
        <f t="shared" si="303"/>
        <v>0</v>
      </c>
      <c r="P755" s="837">
        <f t="shared" si="304"/>
        <v>0</v>
      </c>
      <c r="Q755" s="1264"/>
      <c r="R755" s="1264"/>
      <c r="S755" s="1264"/>
      <c r="T755" s="1264"/>
      <c r="U755" s="1264"/>
      <c r="V755" s="1264"/>
      <c r="W755" s="1264"/>
      <c r="X755" s="1264"/>
      <c r="Y755" s="1264"/>
      <c r="Z755" s="1264"/>
    </row>
    <row r="756" spans="1:26" ht="18.75" hidden="1">
      <c r="A756" s="1260"/>
      <c r="B756" s="1265"/>
      <c r="C756" s="1261"/>
      <c r="D756" s="1262"/>
      <c r="E756" s="1261" t="s">
        <v>185</v>
      </c>
      <c r="F756" s="1261"/>
      <c r="G756" s="1263"/>
      <c r="H756" s="165" t="s">
        <v>12</v>
      </c>
      <c r="I756" s="836"/>
      <c r="J756" s="836"/>
      <c r="K756" s="837"/>
      <c r="L756" s="837">
        <f t="shared" si="305"/>
        <v>0</v>
      </c>
      <c r="M756" s="837">
        <f t="shared" si="305"/>
        <v>0</v>
      </c>
      <c r="N756" s="837">
        <f t="shared" si="305"/>
        <v>0</v>
      </c>
      <c r="O756" s="837">
        <f t="shared" si="303"/>
        <v>0</v>
      </c>
      <c r="P756" s="837">
        <f t="shared" si="304"/>
        <v>0</v>
      </c>
      <c r="Q756" s="1264"/>
      <c r="R756" s="1264"/>
      <c r="S756" s="1264"/>
      <c r="T756" s="1264"/>
      <c r="U756" s="1264"/>
      <c r="V756" s="1264"/>
      <c r="W756" s="1264"/>
      <c r="X756" s="1264"/>
      <c r="Y756" s="1264"/>
      <c r="Z756" s="1264"/>
    </row>
    <row r="757" spans="1:26" ht="19.5" hidden="1">
      <c r="A757" s="1260"/>
      <c r="B757" s="1265"/>
      <c r="C757" s="1261"/>
      <c r="D757" s="1392" t="s">
        <v>20</v>
      </c>
      <c r="E757" s="1261"/>
      <c r="F757" s="1261"/>
      <c r="G757" s="1263"/>
      <c r="H757" s="612" t="s">
        <v>12</v>
      </c>
      <c r="I757" s="947"/>
      <c r="J757" s="947"/>
      <c r="K757" s="948"/>
      <c r="L757" s="1292">
        <f t="shared" ref="L757:N757" si="306">L758+L759</f>
        <v>0</v>
      </c>
      <c r="M757" s="1292">
        <f t="shared" si="306"/>
        <v>0</v>
      </c>
      <c r="N757" s="1292">
        <f t="shared" si="306"/>
        <v>0</v>
      </c>
      <c r="O757" s="1292">
        <f t="shared" si="303"/>
        <v>0</v>
      </c>
      <c r="P757" s="1292">
        <f t="shared" si="304"/>
        <v>0</v>
      </c>
      <c r="Q757" s="1264"/>
      <c r="R757" s="1264"/>
      <c r="S757" s="1264"/>
      <c r="T757" s="1264"/>
      <c r="U757" s="1264"/>
      <c r="V757" s="1264"/>
      <c r="W757" s="1264"/>
      <c r="X757" s="1264"/>
      <c r="Y757" s="1264"/>
      <c r="Z757" s="1264"/>
    </row>
    <row r="758" spans="1:26" ht="18.75" hidden="1">
      <c r="A758" s="1260"/>
      <c r="B758" s="1265"/>
      <c r="C758" s="1261"/>
      <c r="D758" s="1262"/>
      <c r="E758" s="1261" t="s">
        <v>184</v>
      </c>
      <c r="F758" s="1261"/>
      <c r="G758" s="1263"/>
      <c r="H758" s="165" t="s">
        <v>12</v>
      </c>
      <c r="I758" s="836"/>
      <c r="J758" s="836"/>
      <c r="K758" s="837"/>
      <c r="L758" s="837">
        <v>0</v>
      </c>
      <c r="M758" s="837">
        <v>0</v>
      </c>
      <c r="N758" s="837">
        <v>0</v>
      </c>
      <c r="O758" s="837">
        <f t="shared" si="303"/>
        <v>0</v>
      </c>
      <c r="P758" s="837">
        <f t="shared" si="304"/>
        <v>0</v>
      </c>
      <c r="Q758" s="1264"/>
      <c r="R758" s="1264"/>
      <c r="S758" s="1264"/>
      <c r="T758" s="1264"/>
      <c r="U758" s="1264"/>
      <c r="V758" s="1264"/>
      <c r="W758" s="1264"/>
      <c r="X758" s="1264"/>
      <c r="Y758" s="1264"/>
      <c r="Z758" s="1264"/>
    </row>
    <row r="759" spans="1:26" ht="18.75" hidden="1">
      <c r="A759" s="1260"/>
      <c r="B759" s="1265"/>
      <c r="C759" s="1261"/>
      <c r="D759" s="1262"/>
      <c r="E759" s="1261" t="s">
        <v>185</v>
      </c>
      <c r="F759" s="1261"/>
      <c r="G759" s="1263"/>
      <c r="H759" s="165" t="s">
        <v>12</v>
      </c>
      <c r="I759" s="836"/>
      <c r="J759" s="836"/>
      <c r="K759" s="837"/>
      <c r="L759" s="837">
        <v>0</v>
      </c>
      <c r="M759" s="837">
        <v>0</v>
      </c>
      <c r="N759" s="837">
        <f>N760+N761+N762+N763</f>
        <v>0</v>
      </c>
      <c r="O759" s="837">
        <f t="shared" si="303"/>
        <v>0</v>
      </c>
      <c r="P759" s="837">
        <f t="shared" si="304"/>
        <v>0</v>
      </c>
      <c r="Q759" s="1264"/>
      <c r="R759" s="1264"/>
      <c r="S759" s="1264"/>
      <c r="T759" s="1264"/>
      <c r="U759" s="1264"/>
      <c r="V759" s="1264"/>
      <c r="W759" s="1264"/>
      <c r="X759" s="1264"/>
      <c r="Y759" s="1264"/>
      <c r="Z759" s="1264"/>
    </row>
    <row r="760" spans="1:26" ht="18.75" hidden="1">
      <c r="A760" s="1294"/>
      <c r="B760" s="1265"/>
      <c r="C760" s="1261"/>
      <c r="D760" s="1261"/>
      <c r="E760" s="1261"/>
      <c r="F760" s="1261" t="s">
        <v>186</v>
      </c>
      <c r="G760" s="1263"/>
      <c r="H760" s="165" t="s">
        <v>12</v>
      </c>
      <c r="I760" s="836"/>
      <c r="J760" s="836"/>
      <c r="K760" s="837"/>
      <c r="L760" s="837"/>
      <c r="M760" s="837"/>
      <c r="N760" s="837"/>
      <c r="O760" s="837"/>
      <c r="P760" s="837"/>
      <c r="Q760" s="1264"/>
      <c r="R760" s="1264"/>
      <c r="S760" s="1264"/>
      <c r="T760" s="1264"/>
      <c r="U760" s="1264"/>
      <c r="V760" s="1264"/>
      <c r="W760" s="1264"/>
      <c r="X760" s="1264"/>
      <c r="Y760" s="1264"/>
      <c r="Z760" s="1264"/>
    </row>
    <row r="761" spans="1:26" ht="18.75" hidden="1">
      <c r="A761" s="1294"/>
      <c r="B761" s="1265"/>
      <c r="C761" s="1261"/>
      <c r="D761" s="1261"/>
      <c r="E761" s="1261"/>
      <c r="F761" s="1261" t="s">
        <v>187</v>
      </c>
      <c r="G761" s="1263"/>
      <c r="H761" s="165" t="s">
        <v>12</v>
      </c>
      <c r="I761" s="836"/>
      <c r="J761" s="836"/>
      <c r="K761" s="837"/>
      <c r="L761" s="837"/>
      <c r="M761" s="837"/>
      <c r="N761" s="837"/>
      <c r="O761" s="837"/>
      <c r="P761" s="837"/>
      <c r="Q761" s="1264"/>
      <c r="R761" s="1264"/>
      <c r="S761" s="1264"/>
      <c r="T761" s="1264"/>
      <c r="U761" s="1264"/>
      <c r="V761" s="1264"/>
      <c r="W761" s="1264"/>
      <c r="X761" s="1264"/>
      <c r="Y761" s="1264"/>
      <c r="Z761" s="1264"/>
    </row>
    <row r="762" spans="1:26" ht="18.75" hidden="1">
      <c r="A762" s="1294"/>
      <c r="B762" s="1265"/>
      <c r="C762" s="1261"/>
      <c r="D762" s="1261"/>
      <c r="E762" s="1261"/>
      <c r="F762" s="1261" t="s">
        <v>188</v>
      </c>
      <c r="G762" s="1263"/>
      <c r="H762" s="165" t="s">
        <v>12</v>
      </c>
      <c r="I762" s="836"/>
      <c r="J762" s="836"/>
      <c r="K762" s="837"/>
      <c r="L762" s="837"/>
      <c r="M762" s="837"/>
      <c r="N762" s="837"/>
      <c r="O762" s="837"/>
      <c r="P762" s="837"/>
      <c r="Q762" s="1264"/>
      <c r="R762" s="1264"/>
      <c r="S762" s="1264"/>
      <c r="T762" s="1264"/>
      <c r="U762" s="1264"/>
      <c r="V762" s="1264"/>
      <c r="W762" s="1264"/>
      <c r="X762" s="1264"/>
      <c r="Y762" s="1264"/>
      <c r="Z762" s="1264"/>
    </row>
    <row r="763" spans="1:26" ht="18.75" hidden="1">
      <c r="A763" s="1294"/>
      <c r="B763" s="1265"/>
      <c r="C763" s="1261"/>
      <c r="D763" s="1261"/>
      <c r="E763" s="1261"/>
      <c r="F763" s="1261" t="s">
        <v>189</v>
      </c>
      <c r="G763" s="1263"/>
      <c r="H763" s="165" t="s">
        <v>12</v>
      </c>
      <c r="I763" s="836"/>
      <c r="J763" s="836"/>
      <c r="K763" s="837"/>
      <c r="L763" s="837"/>
      <c r="M763" s="837"/>
      <c r="N763" s="837"/>
      <c r="O763" s="837"/>
      <c r="P763" s="837"/>
      <c r="Q763" s="1264"/>
      <c r="R763" s="1264"/>
      <c r="S763" s="1264"/>
      <c r="T763" s="1264"/>
      <c r="U763" s="1264"/>
      <c r="V763" s="1264"/>
      <c r="W763" s="1264"/>
      <c r="X763" s="1264"/>
      <c r="Y763" s="1264"/>
      <c r="Z763" s="1264"/>
    </row>
    <row r="764" spans="1:26" ht="19.5" hidden="1">
      <c r="A764" s="1260"/>
      <c r="B764" s="1265"/>
      <c r="C764" s="1261"/>
      <c r="D764" s="1392" t="s">
        <v>21</v>
      </c>
      <c r="E764" s="1261"/>
      <c r="F764" s="1261"/>
      <c r="G764" s="1263"/>
      <c r="H764" s="749" t="s">
        <v>12</v>
      </c>
      <c r="I764" s="947"/>
      <c r="J764" s="947"/>
      <c r="K764" s="948"/>
      <c r="L764" s="1292">
        <f t="shared" ref="L764:N764" si="307">L765+L766</f>
        <v>0</v>
      </c>
      <c r="M764" s="1292">
        <f t="shared" si="307"/>
        <v>0</v>
      </c>
      <c r="N764" s="1292">
        <f t="shared" si="307"/>
        <v>0</v>
      </c>
      <c r="O764" s="1292">
        <f t="shared" ref="O764:O766" si="308">IF(L764&gt;0,N764*100/L764,0)</f>
        <v>0</v>
      </c>
      <c r="P764" s="1292">
        <f t="shared" ref="P764:P766" si="309">IF(M764&gt;0,N764*100/M764,0)</f>
        <v>0</v>
      </c>
      <c r="Q764" s="1264"/>
      <c r="R764" s="1264"/>
      <c r="S764" s="1264"/>
      <c r="T764" s="1264"/>
      <c r="U764" s="1264"/>
      <c r="V764" s="1264"/>
      <c r="W764" s="1264"/>
      <c r="X764" s="1264"/>
      <c r="Y764" s="1264"/>
      <c r="Z764" s="1264"/>
    </row>
    <row r="765" spans="1:26" ht="18.75" hidden="1">
      <c r="A765" s="1260"/>
      <c r="B765" s="1265"/>
      <c r="C765" s="1261"/>
      <c r="D765" s="1261"/>
      <c r="E765" s="1261" t="s">
        <v>18</v>
      </c>
      <c r="F765" s="1261"/>
      <c r="G765" s="1263"/>
      <c r="H765" s="165" t="s">
        <v>12</v>
      </c>
      <c r="I765" s="947"/>
      <c r="J765" s="947"/>
      <c r="K765" s="948"/>
      <c r="L765" s="837">
        <v>0</v>
      </c>
      <c r="M765" s="837">
        <v>0</v>
      </c>
      <c r="N765" s="837">
        <v>0</v>
      </c>
      <c r="O765" s="837">
        <f t="shared" si="308"/>
        <v>0</v>
      </c>
      <c r="P765" s="837">
        <f t="shared" si="309"/>
        <v>0</v>
      </c>
      <c r="Q765" s="1264"/>
      <c r="R765" s="1264"/>
      <c r="S765" s="1264"/>
      <c r="T765" s="1264"/>
      <c r="U765" s="1264"/>
      <c r="V765" s="1264"/>
      <c r="W765" s="1264"/>
      <c r="X765" s="1264"/>
      <c r="Y765" s="1264"/>
      <c r="Z765" s="1264"/>
    </row>
    <row r="766" spans="1:26" ht="18.75" hidden="1">
      <c r="A766" s="1260"/>
      <c r="B766" s="1265"/>
      <c r="C766" s="1261"/>
      <c r="D766" s="1261"/>
      <c r="E766" s="1261" t="s">
        <v>19</v>
      </c>
      <c r="F766" s="1261"/>
      <c r="G766" s="1263"/>
      <c r="H766" s="169" t="s">
        <v>12</v>
      </c>
      <c r="I766" s="947"/>
      <c r="J766" s="947"/>
      <c r="K766" s="948"/>
      <c r="L766" s="837">
        <v>0</v>
      </c>
      <c r="M766" s="837">
        <v>0</v>
      </c>
      <c r="N766" s="837">
        <v>0</v>
      </c>
      <c r="O766" s="837">
        <f t="shared" si="308"/>
        <v>0</v>
      </c>
      <c r="P766" s="837">
        <f t="shared" si="309"/>
        <v>0</v>
      </c>
      <c r="Q766" s="1264"/>
      <c r="R766" s="1264"/>
      <c r="S766" s="1264"/>
      <c r="T766" s="1264"/>
      <c r="U766" s="1264"/>
      <c r="V766" s="1264"/>
      <c r="W766" s="1264"/>
      <c r="X766" s="1264"/>
      <c r="Y766" s="1264"/>
      <c r="Z766" s="1264"/>
    </row>
    <row r="767" spans="1:26" ht="19.5" hidden="1">
      <c r="A767" s="1273"/>
      <c r="B767" s="1274"/>
      <c r="C767" s="1261" t="s">
        <v>16</v>
      </c>
      <c r="D767" s="1393" t="s">
        <v>38</v>
      </c>
      <c r="E767" s="1296"/>
      <c r="F767" s="1296"/>
      <c r="G767" s="1297"/>
      <c r="H767" s="1060"/>
      <c r="I767" s="947"/>
      <c r="J767" s="947"/>
      <c r="K767" s="948"/>
      <c r="L767" s="948"/>
      <c r="M767" s="948"/>
      <c r="N767" s="948"/>
      <c r="O767" s="948"/>
      <c r="P767" s="948"/>
      <c r="Q767" s="1264"/>
      <c r="R767" s="1264"/>
      <c r="S767" s="1264"/>
      <c r="T767" s="1264"/>
      <c r="U767" s="1264"/>
      <c r="V767" s="1264"/>
      <c r="W767" s="1264"/>
      <c r="X767" s="1264"/>
      <c r="Y767" s="1264"/>
      <c r="Z767" s="1264"/>
    </row>
    <row r="768" spans="1:26" ht="18.75" hidden="1">
      <c r="A768" s="1294"/>
      <c r="B768" s="1265"/>
      <c r="C768" s="1261"/>
      <c r="D768" s="1261"/>
      <c r="E768" s="1261" t="s">
        <v>316</v>
      </c>
      <c r="F768" s="1261"/>
      <c r="G768" s="1263"/>
      <c r="H768" s="165" t="s">
        <v>46</v>
      </c>
      <c r="I768" s="836"/>
      <c r="J768" s="836"/>
      <c r="K768" s="837"/>
      <c r="L768" s="837"/>
      <c r="M768" s="837"/>
      <c r="N768" s="837"/>
      <c r="O768" s="837"/>
      <c r="P768" s="837"/>
      <c r="Q768" s="1264"/>
      <c r="R768" s="1264"/>
      <c r="S768" s="1264"/>
      <c r="T768" s="1264"/>
      <c r="U768" s="1264"/>
      <c r="V768" s="1264"/>
      <c r="W768" s="1264"/>
      <c r="X768" s="1264"/>
      <c r="Y768" s="1264"/>
      <c r="Z768" s="1264"/>
    </row>
    <row r="769" spans="1:26" ht="19.5" hidden="1">
      <c r="A769" s="759">
        <v>11</v>
      </c>
      <c r="B769" s="1400" t="s">
        <v>317</v>
      </c>
      <c r="C769" s="1401"/>
      <c r="D769" s="1401"/>
      <c r="E769" s="1401"/>
      <c r="F769" s="1401"/>
      <c r="G769" s="1402"/>
      <c r="H769" s="763" t="s">
        <v>46</v>
      </c>
      <c r="I769" s="1403"/>
      <c r="J769" s="1403">
        <f>J784</f>
        <v>0</v>
      </c>
      <c r="K769" s="1404">
        <f>IF(I769&gt;0,J769*100/I769,0)</f>
        <v>0</v>
      </c>
      <c r="L769" s="1405"/>
      <c r="M769" s="1405"/>
      <c r="N769" s="1405"/>
      <c r="O769" s="1405"/>
      <c r="P769" s="1405"/>
      <c r="Q769" s="1264"/>
      <c r="R769" s="1264"/>
      <c r="S769" s="1264"/>
      <c r="T769" s="1264"/>
      <c r="U769" s="1264"/>
      <c r="V769" s="1264"/>
      <c r="W769" s="1264"/>
      <c r="X769" s="1264"/>
      <c r="Y769" s="1264"/>
      <c r="Z769" s="1264"/>
    </row>
    <row r="770" spans="1:26" ht="19.5" hidden="1">
      <c r="A770" s="1260"/>
      <c r="B770" s="1261"/>
      <c r="C770" s="1261" t="s">
        <v>16</v>
      </c>
      <c r="D770" s="1508" t="s">
        <v>17</v>
      </c>
      <c r="E770" s="1485"/>
      <c r="F770" s="1485"/>
      <c r="G770" s="1263"/>
      <c r="H770" s="612" t="s">
        <v>12</v>
      </c>
      <c r="I770" s="836"/>
      <c r="J770" s="836"/>
      <c r="K770" s="837"/>
      <c r="L770" s="1292">
        <f t="shared" ref="L770:N770" si="310">L771+L772</f>
        <v>0</v>
      </c>
      <c r="M770" s="1292">
        <f t="shared" si="310"/>
        <v>0</v>
      </c>
      <c r="N770" s="1292">
        <f t="shared" si="310"/>
        <v>0</v>
      </c>
      <c r="O770" s="1292">
        <f t="shared" ref="O770:O775" si="311">IF(L770&gt;0,N770*100/L770,0)</f>
        <v>0</v>
      </c>
      <c r="P770" s="1292">
        <f t="shared" ref="P770:P775" si="312">IF(M770&gt;0,N770*100/M770,0)</f>
        <v>0</v>
      </c>
      <c r="Q770" s="1264"/>
      <c r="R770" s="1264"/>
      <c r="S770" s="1264"/>
      <c r="T770" s="1264"/>
      <c r="U770" s="1264"/>
      <c r="V770" s="1264"/>
      <c r="W770" s="1264"/>
      <c r="X770" s="1264"/>
      <c r="Y770" s="1264"/>
      <c r="Z770" s="1264"/>
    </row>
    <row r="771" spans="1:26" ht="18.75" hidden="1">
      <c r="A771" s="1260"/>
      <c r="B771" s="1261"/>
      <c r="C771" s="1261"/>
      <c r="D771" s="1262"/>
      <c r="E771" s="1261" t="s">
        <v>184</v>
      </c>
      <c r="F771" s="1261"/>
      <c r="G771" s="1263"/>
      <c r="H771" s="165" t="s">
        <v>12</v>
      </c>
      <c r="I771" s="836"/>
      <c r="J771" s="836"/>
      <c r="K771" s="837"/>
      <c r="L771" s="837">
        <f t="shared" ref="L771:N772" si="313">L774+L781</f>
        <v>0</v>
      </c>
      <c r="M771" s="837">
        <f t="shared" si="313"/>
        <v>0</v>
      </c>
      <c r="N771" s="837">
        <f t="shared" si="313"/>
        <v>0</v>
      </c>
      <c r="O771" s="837">
        <f t="shared" si="311"/>
        <v>0</v>
      </c>
      <c r="P771" s="837">
        <f t="shared" si="312"/>
        <v>0</v>
      </c>
      <c r="Q771" s="1264"/>
      <c r="R771" s="1264"/>
      <c r="S771" s="1264"/>
      <c r="T771" s="1264"/>
      <c r="U771" s="1264"/>
      <c r="V771" s="1264"/>
      <c r="W771" s="1264"/>
      <c r="X771" s="1264"/>
      <c r="Y771" s="1264"/>
      <c r="Z771" s="1264"/>
    </row>
    <row r="772" spans="1:26" ht="18.75" hidden="1">
      <c r="A772" s="1260"/>
      <c r="B772" s="1265"/>
      <c r="C772" s="1261"/>
      <c r="D772" s="1262"/>
      <c r="E772" s="1261" t="s">
        <v>185</v>
      </c>
      <c r="F772" s="1261"/>
      <c r="G772" s="1263"/>
      <c r="H772" s="165" t="s">
        <v>12</v>
      </c>
      <c r="I772" s="836"/>
      <c r="J772" s="836"/>
      <c r="K772" s="837"/>
      <c r="L772" s="837">
        <f t="shared" si="313"/>
        <v>0</v>
      </c>
      <c r="M772" s="837">
        <f t="shared" si="313"/>
        <v>0</v>
      </c>
      <c r="N772" s="837">
        <f t="shared" si="313"/>
        <v>0</v>
      </c>
      <c r="O772" s="837">
        <f t="shared" si="311"/>
        <v>0</v>
      </c>
      <c r="P772" s="837">
        <f t="shared" si="312"/>
        <v>0</v>
      </c>
      <c r="Q772" s="1264"/>
      <c r="R772" s="1264"/>
      <c r="S772" s="1264"/>
      <c r="T772" s="1264"/>
      <c r="U772" s="1264"/>
      <c r="V772" s="1264"/>
      <c r="W772" s="1264"/>
      <c r="X772" s="1264"/>
      <c r="Y772" s="1264"/>
      <c r="Z772" s="1264"/>
    </row>
    <row r="773" spans="1:26" ht="19.5" hidden="1">
      <c r="A773" s="1260"/>
      <c r="B773" s="1265"/>
      <c r="C773" s="1261"/>
      <c r="D773" s="1392" t="s">
        <v>20</v>
      </c>
      <c r="E773" s="1261"/>
      <c r="F773" s="1261"/>
      <c r="G773" s="1263"/>
      <c r="H773" s="612" t="s">
        <v>12</v>
      </c>
      <c r="I773" s="947"/>
      <c r="J773" s="947"/>
      <c r="K773" s="948"/>
      <c r="L773" s="1292">
        <f t="shared" ref="L773:N773" si="314">L774+L775</f>
        <v>0</v>
      </c>
      <c r="M773" s="1292">
        <f t="shared" si="314"/>
        <v>0</v>
      </c>
      <c r="N773" s="1292">
        <f t="shared" si="314"/>
        <v>0</v>
      </c>
      <c r="O773" s="1292">
        <f t="shared" si="311"/>
        <v>0</v>
      </c>
      <c r="P773" s="1292">
        <f t="shared" si="312"/>
        <v>0</v>
      </c>
      <c r="Q773" s="1264"/>
      <c r="R773" s="1264"/>
      <c r="S773" s="1264"/>
      <c r="T773" s="1264"/>
      <c r="U773" s="1264"/>
      <c r="V773" s="1264"/>
      <c r="W773" s="1264"/>
      <c r="X773" s="1264"/>
      <c r="Y773" s="1264"/>
      <c r="Z773" s="1264"/>
    </row>
    <row r="774" spans="1:26" ht="18.75" hidden="1">
      <c r="A774" s="1260"/>
      <c r="B774" s="1265"/>
      <c r="C774" s="1261"/>
      <c r="D774" s="1262"/>
      <c r="E774" s="1261" t="s">
        <v>184</v>
      </c>
      <c r="F774" s="1261"/>
      <c r="G774" s="1263"/>
      <c r="H774" s="165" t="s">
        <v>12</v>
      </c>
      <c r="I774" s="836"/>
      <c r="J774" s="836"/>
      <c r="K774" s="837"/>
      <c r="L774" s="837">
        <v>0</v>
      </c>
      <c r="M774" s="837">
        <v>0</v>
      </c>
      <c r="N774" s="837">
        <v>0</v>
      </c>
      <c r="O774" s="837">
        <f t="shared" si="311"/>
        <v>0</v>
      </c>
      <c r="P774" s="837">
        <f t="shared" si="312"/>
        <v>0</v>
      </c>
      <c r="Q774" s="1264"/>
      <c r="R774" s="1264"/>
      <c r="S774" s="1264"/>
      <c r="T774" s="1264"/>
      <c r="U774" s="1264"/>
      <c r="V774" s="1264"/>
      <c r="W774" s="1264"/>
      <c r="X774" s="1264"/>
      <c r="Y774" s="1264"/>
      <c r="Z774" s="1264"/>
    </row>
    <row r="775" spans="1:26" ht="18.75" hidden="1">
      <c r="A775" s="1260"/>
      <c r="B775" s="1265"/>
      <c r="C775" s="1261"/>
      <c r="D775" s="1262"/>
      <c r="E775" s="1261" t="s">
        <v>185</v>
      </c>
      <c r="F775" s="1261"/>
      <c r="G775" s="1263"/>
      <c r="H775" s="165" t="s">
        <v>12</v>
      </c>
      <c r="I775" s="836"/>
      <c r="J775" s="836"/>
      <c r="K775" s="837"/>
      <c r="L775" s="837">
        <v>0</v>
      </c>
      <c r="M775" s="837">
        <v>0</v>
      </c>
      <c r="N775" s="837">
        <f>N776+N777+N778+N779</f>
        <v>0</v>
      </c>
      <c r="O775" s="837">
        <f t="shared" si="311"/>
        <v>0</v>
      </c>
      <c r="P775" s="837">
        <f t="shared" si="312"/>
        <v>0</v>
      </c>
      <c r="Q775" s="1264"/>
      <c r="R775" s="1264"/>
      <c r="S775" s="1264"/>
      <c r="T775" s="1264"/>
      <c r="U775" s="1264"/>
      <c r="V775" s="1264"/>
      <c r="W775" s="1264"/>
      <c r="X775" s="1264"/>
      <c r="Y775" s="1264"/>
      <c r="Z775" s="1264"/>
    </row>
    <row r="776" spans="1:26" ht="18.75" hidden="1">
      <c r="A776" s="1294"/>
      <c r="B776" s="1265"/>
      <c r="C776" s="1261"/>
      <c r="D776" s="1261"/>
      <c r="E776" s="1261"/>
      <c r="F776" s="1261" t="s">
        <v>186</v>
      </c>
      <c r="G776" s="1263"/>
      <c r="H776" s="165" t="s">
        <v>12</v>
      </c>
      <c r="I776" s="836"/>
      <c r="J776" s="836"/>
      <c r="K776" s="837"/>
      <c r="L776" s="837"/>
      <c r="M776" s="837"/>
      <c r="N776" s="837"/>
      <c r="O776" s="837"/>
      <c r="P776" s="837"/>
      <c r="Q776" s="1264"/>
      <c r="R776" s="1264"/>
      <c r="S776" s="1264"/>
      <c r="T776" s="1264"/>
      <c r="U776" s="1264"/>
      <c r="V776" s="1264"/>
      <c r="W776" s="1264"/>
      <c r="X776" s="1264"/>
      <c r="Y776" s="1264"/>
      <c r="Z776" s="1264"/>
    </row>
    <row r="777" spans="1:26" ht="18.75" hidden="1">
      <c r="A777" s="1294"/>
      <c r="B777" s="1265"/>
      <c r="C777" s="1261"/>
      <c r="D777" s="1261"/>
      <c r="E777" s="1261"/>
      <c r="F777" s="1261" t="s">
        <v>187</v>
      </c>
      <c r="G777" s="1263"/>
      <c r="H777" s="165" t="s">
        <v>12</v>
      </c>
      <c r="I777" s="836"/>
      <c r="J777" s="836"/>
      <c r="K777" s="837"/>
      <c r="L777" s="837"/>
      <c r="M777" s="837"/>
      <c r="N777" s="837"/>
      <c r="O777" s="837"/>
      <c r="P777" s="837"/>
      <c r="Q777" s="1264"/>
      <c r="R777" s="1264"/>
      <c r="S777" s="1264"/>
      <c r="T777" s="1264"/>
      <c r="U777" s="1264"/>
      <c r="V777" s="1264"/>
      <c r="W777" s="1264"/>
      <c r="X777" s="1264"/>
      <c r="Y777" s="1264"/>
      <c r="Z777" s="1264"/>
    </row>
    <row r="778" spans="1:26" ht="18.75" hidden="1">
      <c r="A778" s="1294"/>
      <c r="B778" s="1265"/>
      <c r="C778" s="1261"/>
      <c r="D778" s="1261"/>
      <c r="E778" s="1261"/>
      <c r="F778" s="1261" t="s">
        <v>188</v>
      </c>
      <c r="G778" s="1263"/>
      <c r="H778" s="165" t="s">
        <v>12</v>
      </c>
      <c r="I778" s="836"/>
      <c r="J778" s="836"/>
      <c r="K778" s="837"/>
      <c r="L778" s="837"/>
      <c r="M778" s="837"/>
      <c r="N778" s="837"/>
      <c r="O778" s="837"/>
      <c r="P778" s="837"/>
      <c r="Q778" s="1264"/>
      <c r="R778" s="1264"/>
      <c r="S778" s="1264"/>
      <c r="T778" s="1264"/>
      <c r="U778" s="1264"/>
      <c r="V778" s="1264"/>
      <c r="W778" s="1264"/>
      <c r="X778" s="1264"/>
      <c r="Y778" s="1264"/>
      <c r="Z778" s="1264"/>
    </row>
    <row r="779" spans="1:26" ht="18.75" hidden="1">
      <c r="A779" s="1294"/>
      <c r="B779" s="1265"/>
      <c r="C779" s="1261"/>
      <c r="D779" s="1261"/>
      <c r="E779" s="1261"/>
      <c r="F779" s="1261" t="s">
        <v>189</v>
      </c>
      <c r="G779" s="1263"/>
      <c r="H779" s="165" t="s">
        <v>12</v>
      </c>
      <c r="I779" s="836"/>
      <c r="J779" s="836"/>
      <c r="K779" s="837"/>
      <c r="L779" s="837"/>
      <c r="M779" s="837"/>
      <c r="N779" s="837"/>
      <c r="O779" s="837"/>
      <c r="P779" s="837"/>
      <c r="Q779" s="1264"/>
      <c r="R779" s="1264"/>
      <c r="S779" s="1264"/>
      <c r="T779" s="1264"/>
      <c r="U779" s="1264"/>
      <c r="V779" s="1264"/>
      <c r="W779" s="1264"/>
      <c r="X779" s="1264"/>
      <c r="Y779" s="1264"/>
      <c r="Z779" s="1264"/>
    </row>
    <row r="780" spans="1:26" ht="19.5" hidden="1">
      <c r="A780" s="1260"/>
      <c r="B780" s="1265"/>
      <c r="C780" s="1261"/>
      <c r="D780" s="1392" t="s">
        <v>21</v>
      </c>
      <c r="E780" s="1261"/>
      <c r="F780" s="1261"/>
      <c r="G780" s="1263"/>
      <c r="H780" s="749" t="s">
        <v>12</v>
      </c>
      <c r="I780" s="947"/>
      <c r="J780" s="947"/>
      <c r="K780" s="948"/>
      <c r="L780" s="1292">
        <f t="shared" ref="L780:N780" si="315">L781+L782</f>
        <v>0</v>
      </c>
      <c r="M780" s="1292">
        <f t="shared" si="315"/>
        <v>0</v>
      </c>
      <c r="N780" s="1292">
        <f t="shared" si="315"/>
        <v>0</v>
      </c>
      <c r="O780" s="1292">
        <f t="shared" ref="O780:O782" si="316">IF(L780&gt;0,N780*100/L780,0)</f>
        <v>0</v>
      </c>
      <c r="P780" s="1292">
        <f t="shared" ref="P780:P782" si="317">IF(M780&gt;0,N780*100/M780,0)</f>
        <v>0</v>
      </c>
      <c r="Q780" s="1264"/>
      <c r="R780" s="1264"/>
      <c r="S780" s="1264"/>
      <c r="T780" s="1264"/>
      <c r="U780" s="1264"/>
      <c r="V780" s="1264"/>
      <c r="W780" s="1264"/>
      <c r="X780" s="1264"/>
      <c r="Y780" s="1264"/>
      <c r="Z780" s="1264"/>
    </row>
    <row r="781" spans="1:26" ht="18.75" hidden="1">
      <c r="A781" s="1260"/>
      <c r="B781" s="1265"/>
      <c r="C781" s="1261"/>
      <c r="D781" s="1261"/>
      <c r="E781" s="1261" t="s">
        <v>18</v>
      </c>
      <c r="F781" s="1261"/>
      <c r="G781" s="1263"/>
      <c r="H781" s="165" t="s">
        <v>12</v>
      </c>
      <c r="I781" s="947"/>
      <c r="J781" s="947"/>
      <c r="K781" s="948"/>
      <c r="L781" s="837">
        <v>0</v>
      </c>
      <c r="M781" s="837">
        <v>0</v>
      </c>
      <c r="N781" s="837">
        <v>0</v>
      </c>
      <c r="O781" s="837">
        <f t="shared" si="316"/>
        <v>0</v>
      </c>
      <c r="P781" s="837">
        <f t="shared" si="317"/>
        <v>0</v>
      </c>
      <c r="Q781" s="1264"/>
      <c r="R781" s="1264"/>
      <c r="S781" s="1264"/>
      <c r="T781" s="1264"/>
      <c r="U781" s="1264"/>
      <c r="V781" s="1264"/>
      <c r="W781" s="1264"/>
      <c r="X781" s="1264"/>
      <c r="Y781" s="1264"/>
      <c r="Z781" s="1264"/>
    </row>
    <row r="782" spans="1:26" ht="18.75" hidden="1">
      <c r="A782" s="1260"/>
      <c r="B782" s="1265"/>
      <c r="C782" s="1261"/>
      <c r="D782" s="1261"/>
      <c r="E782" s="1261" t="s">
        <v>19</v>
      </c>
      <c r="F782" s="1261"/>
      <c r="G782" s="1263"/>
      <c r="H782" s="169" t="s">
        <v>12</v>
      </c>
      <c r="I782" s="947"/>
      <c r="J782" s="947"/>
      <c r="K782" s="948"/>
      <c r="L782" s="837">
        <v>0</v>
      </c>
      <c r="M782" s="837">
        <v>0</v>
      </c>
      <c r="N782" s="837">
        <v>0</v>
      </c>
      <c r="O782" s="837">
        <f t="shared" si="316"/>
        <v>0</v>
      </c>
      <c r="P782" s="837">
        <f t="shared" si="317"/>
        <v>0</v>
      </c>
      <c r="Q782" s="1264"/>
      <c r="R782" s="1264"/>
      <c r="S782" s="1264"/>
      <c r="T782" s="1264"/>
      <c r="U782" s="1264"/>
      <c r="V782" s="1264"/>
      <c r="W782" s="1264"/>
      <c r="X782" s="1264"/>
      <c r="Y782" s="1264"/>
      <c r="Z782" s="1264"/>
    </row>
    <row r="783" spans="1:26" ht="19.5" hidden="1">
      <c r="A783" s="1273"/>
      <c r="B783" s="1274"/>
      <c r="C783" s="1261" t="s">
        <v>16</v>
      </c>
      <c r="D783" s="1393" t="s">
        <v>38</v>
      </c>
      <c r="E783" s="1296"/>
      <c r="F783" s="1296"/>
      <c r="G783" s="1297"/>
      <c r="H783" s="1406"/>
      <c r="I783" s="947"/>
      <c r="J783" s="947"/>
      <c r="K783" s="948"/>
      <c r="L783" s="948"/>
      <c r="M783" s="948"/>
      <c r="N783" s="948"/>
      <c r="O783" s="948"/>
      <c r="P783" s="948"/>
      <c r="Q783" s="1264"/>
      <c r="R783" s="1264"/>
      <c r="S783" s="1264"/>
      <c r="T783" s="1264"/>
      <c r="U783" s="1264"/>
      <c r="V783" s="1264"/>
      <c r="W783" s="1264"/>
      <c r="X783" s="1264"/>
      <c r="Y783" s="1264"/>
      <c r="Z783" s="1264"/>
    </row>
    <row r="784" spans="1:26" ht="18.75" hidden="1">
      <c r="A784" s="1294"/>
      <c r="B784" s="1265"/>
      <c r="C784" s="1261"/>
      <c r="D784" s="1261"/>
      <c r="E784" s="1261" t="s">
        <v>318</v>
      </c>
      <c r="F784" s="1261"/>
      <c r="G784" s="1263"/>
      <c r="H784" s="165" t="s">
        <v>46</v>
      </c>
      <c r="I784" s="836"/>
      <c r="J784" s="836"/>
      <c r="K784" s="837"/>
      <c r="L784" s="837"/>
      <c r="M784" s="837"/>
      <c r="N784" s="837"/>
      <c r="O784" s="837"/>
      <c r="P784" s="837"/>
      <c r="Q784" s="1264"/>
      <c r="R784" s="1264"/>
      <c r="S784" s="1264"/>
      <c r="T784" s="1264"/>
      <c r="U784" s="1264"/>
      <c r="V784" s="1264"/>
      <c r="W784" s="1264"/>
      <c r="X784" s="1264"/>
      <c r="Y784" s="1264"/>
      <c r="Z784" s="1264"/>
    </row>
    <row r="785" spans="1:26" ht="19.5">
      <c r="A785" s="768">
        <v>12</v>
      </c>
      <c r="B785" s="1407" t="s">
        <v>319</v>
      </c>
      <c r="C785" s="1408"/>
      <c r="D785" s="1408"/>
      <c r="E785" s="1408"/>
      <c r="F785" s="1408"/>
      <c r="G785" s="1409"/>
      <c r="H785" s="1444" t="s">
        <v>46</v>
      </c>
      <c r="I785" s="1445">
        <f t="shared" ref="I785:J785" ca="1" si="318">I801+I803</f>
        <v>15000</v>
      </c>
      <c r="J785" s="1445">
        <f t="shared" ca="1" si="318"/>
        <v>11270</v>
      </c>
      <c r="K785" s="1446">
        <f ca="1">IF(I785&gt;0,J785*100/I785,0)</f>
        <v>75.13333333333334</v>
      </c>
      <c r="L785" s="1412"/>
      <c r="M785" s="1412"/>
      <c r="N785" s="1412"/>
      <c r="O785" s="1412"/>
      <c r="P785" s="1412"/>
      <c r="Q785" s="1244"/>
      <c r="R785" s="1244"/>
      <c r="S785" s="1244"/>
      <c r="T785" s="1244"/>
      <c r="U785" s="1244"/>
      <c r="V785" s="1244"/>
      <c r="W785" s="1244"/>
      <c r="X785" s="1244"/>
      <c r="Y785" s="1244"/>
      <c r="Z785" s="1244"/>
    </row>
    <row r="786" spans="1:26" ht="19.5">
      <c r="A786" s="1259"/>
      <c r="B786" s="1242"/>
      <c r="C786" s="1243" t="s">
        <v>16</v>
      </c>
      <c r="D786" s="1507" t="s">
        <v>17</v>
      </c>
      <c r="E786" s="1485"/>
      <c r="F786" s="1485"/>
      <c r="G786" s="963"/>
      <c r="H786" s="1447" t="s">
        <v>12</v>
      </c>
      <c r="I786" s="1448"/>
      <c r="J786" s="1448"/>
      <c r="K786" s="1449"/>
      <c r="L786" s="967">
        <f t="shared" ref="L786:N786" ca="1" si="319">L787+L788</f>
        <v>0</v>
      </c>
      <c r="M786" s="967">
        <f t="shared" si="319"/>
        <v>0</v>
      </c>
      <c r="N786" s="967">
        <f t="shared" si="319"/>
        <v>0</v>
      </c>
      <c r="O786" s="967">
        <f t="shared" ref="O786:O791" ca="1" si="320">IF(L786&gt;0,N786*100/L786,0)</f>
        <v>0</v>
      </c>
      <c r="P786" s="967">
        <f t="shared" ref="P786:P791" si="321">IF(M786&gt;0,N786*100/M786,0)</f>
        <v>0</v>
      </c>
      <c r="Q786" s="1244"/>
      <c r="R786" s="1244"/>
      <c r="S786" s="1244"/>
      <c r="T786" s="1244"/>
      <c r="U786" s="1244"/>
      <c r="V786" s="1244"/>
      <c r="W786" s="1244"/>
      <c r="X786" s="1244"/>
      <c r="Y786" s="1244"/>
      <c r="Z786" s="1244"/>
    </row>
    <row r="787" spans="1:26" ht="18.75" hidden="1">
      <c r="A787" s="1260"/>
      <c r="B787" s="1265"/>
      <c r="C787" s="1261"/>
      <c r="D787" s="1262"/>
      <c r="E787" s="1261" t="s">
        <v>184</v>
      </c>
      <c r="F787" s="1261"/>
      <c r="G787" s="1263"/>
      <c r="H787" s="1450" t="s">
        <v>12</v>
      </c>
      <c r="I787" s="1448"/>
      <c r="J787" s="1448"/>
      <c r="K787" s="1449"/>
      <c r="L787" s="837">
        <f t="shared" ref="L787:N788" si="322">L790+L797</f>
        <v>0</v>
      </c>
      <c r="M787" s="837">
        <f t="shared" si="322"/>
        <v>0</v>
      </c>
      <c r="N787" s="837">
        <f t="shared" si="322"/>
        <v>0</v>
      </c>
      <c r="O787" s="837">
        <f t="shared" si="320"/>
        <v>0</v>
      </c>
      <c r="P787" s="837">
        <f t="shared" si="321"/>
        <v>0</v>
      </c>
      <c r="Q787" s="1264"/>
      <c r="R787" s="1264"/>
      <c r="S787" s="1264"/>
      <c r="T787" s="1264"/>
      <c r="U787" s="1264"/>
      <c r="V787" s="1264"/>
      <c r="W787" s="1264"/>
      <c r="X787" s="1264"/>
      <c r="Y787" s="1264"/>
      <c r="Z787" s="1264"/>
    </row>
    <row r="788" spans="1:26" ht="18.75" hidden="1">
      <c r="A788" s="1260"/>
      <c r="B788" s="1265"/>
      <c r="C788" s="1265"/>
      <c r="D788" s="1274"/>
      <c r="E788" s="1261" t="s">
        <v>185</v>
      </c>
      <c r="F788" s="1261"/>
      <c r="G788" s="1263"/>
      <c r="H788" s="1450" t="s">
        <v>12</v>
      </c>
      <c r="I788" s="1448"/>
      <c r="J788" s="1448"/>
      <c r="K788" s="1449"/>
      <c r="L788" s="837">
        <f t="shared" ca="1" si="322"/>
        <v>0</v>
      </c>
      <c r="M788" s="837">
        <f t="shared" si="322"/>
        <v>0</v>
      </c>
      <c r="N788" s="837">
        <f t="shared" si="322"/>
        <v>0</v>
      </c>
      <c r="O788" s="837">
        <f t="shared" ca="1" si="320"/>
        <v>0</v>
      </c>
      <c r="P788" s="837">
        <f t="shared" si="321"/>
        <v>0</v>
      </c>
      <c r="Q788" s="1264"/>
      <c r="R788" s="1264"/>
      <c r="S788" s="1264"/>
      <c r="T788" s="1264"/>
      <c r="U788" s="1264"/>
      <c r="V788" s="1264"/>
      <c r="W788" s="1264"/>
      <c r="X788" s="1264"/>
      <c r="Y788" s="1264"/>
      <c r="Z788" s="1264"/>
    </row>
    <row r="789" spans="1:26" ht="18.75">
      <c r="A789" s="1259"/>
      <c r="B789" s="1242"/>
      <c r="C789" s="1242"/>
      <c r="D789" s="1266" t="s">
        <v>20</v>
      </c>
      <c r="E789" s="1243"/>
      <c r="F789" s="1243"/>
      <c r="G789" s="963"/>
      <c r="H789" s="1451" t="s">
        <v>12</v>
      </c>
      <c r="I789" s="1452"/>
      <c r="J789" s="1452"/>
      <c r="K789" s="1453"/>
      <c r="L789" s="831">
        <f t="shared" ref="L789:N789" ca="1" si="323">L790+L791</f>
        <v>0</v>
      </c>
      <c r="M789" s="831">
        <f t="shared" si="323"/>
        <v>0</v>
      </c>
      <c r="N789" s="831">
        <f t="shared" si="323"/>
        <v>0</v>
      </c>
      <c r="O789" s="831">
        <f t="shared" ca="1" si="320"/>
        <v>0</v>
      </c>
      <c r="P789" s="831">
        <f t="shared" si="321"/>
        <v>0</v>
      </c>
      <c r="Q789" s="1244"/>
      <c r="R789" s="1244"/>
      <c r="S789" s="1244"/>
      <c r="T789" s="1244"/>
      <c r="U789" s="1244"/>
      <c r="V789" s="1244"/>
      <c r="W789" s="1244"/>
      <c r="X789" s="1244"/>
      <c r="Y789" s="1244"/>
      <c r="Z789" s="1244"/>
    </row>
    <row r="790" spans="1:26" ht="18.75" hidden="1">
      <c r="A790" s="1260"/>
      <c r="B790" s="1265"/>
      <c r="C790" s="1265"/>
      <c r="D790" s="1274"/>
      <c r="E790" s="1261" t="s">
        <v>184</v>
      </c>
      <c r="F790" s="1261"/>
      <c r="G790" s="1263"/>
      <c r="H790" s="1450" t="s">
        <v>12</v>
      </c>
      <c r="I790" s="1448"/>
      <c r="J790" s="1448"/>
      <c r="K790" s="1449"/>
      <c r="L790" s="837">
        <v>0</v>
      </c>
      <c r="M790" s="837">
        <v>0</v>
      </c>
      <c r="N790" s="837">
        <v>0</v>
      </c>
      <c r="O790" s="837">
        <f t="shared" si="320"/>
        <v>0</v>
      </c>
      <c r="P790" s="837">
        <f t="shared" si="321"/>
        <v>0</v>
      </c>
      <c r="Q790" s="1264"/>
      <c r="R790" s="1264"/>
      <c r="S790" s="1264"/>
      <c r="T790" s="1264"/>
      <c r="U790" s="1264"/>
      <c r="V790" s="1264"/>
      <c r="W790" s="1264"/>
      <c r="X790" s="1264"/>
      <c r="Y790" s="1264"/>
      <c r="Z790" s="1264"/>
    </row>
    <row r="791" spans="1:26" ht="18.75" hidden="1">
      <c r="A791" s="1260"/>
      <c r="B791" s="1265"/>
      <c r="C791" s="1265"/>
      <c r="D791" s="1274"/>
      <c r="E791" s="1261" t="s">
        <v>185</v>
      </c>
      <c r="F791" s="1261"/>
      <c r="G791" s="1263"/>
      <c r="H791" s="1450" t="s">
        <v>12</v>
      </c>
      <c r="I791" s="1448"/>
      <c r="J791" s="1448"/>
      <c r="K791" s="1449"/>
      <c r="L791" s="837">
        <f ca="1">IFERROR(__xludf.DUMMYFUNCTION("IMPORTRANGE(""https://docs.google.com/spreadsheets/d/1QqKyyYR6Q21VydFLVH3TRQUabQu_ym0Zz7PgGX0-kHA/edit?usp=sharing"",""แผน!JJ18"")"),0)</f>
        <v>0</v>
      </c>
      <c r="M791" s="837">
        <v>0</v>
      </c>
      <c r="N791" s="837">
        <f>N792+N793+N794+N795</f>
        <v>0</v>
      </c>
      <c r="O791" s="837">
        <f t="shared" ca="1" si="320"/>
        <v>0</v>
      </c>
      <c r="P791" s="837">
        <f t="shared" si="321"/>
        <v>0</v>
      </c>
      <c r="Q791" s="1264"/>
      <c r="R791" s="1264"/>
      <c r="S791" s="1264"/>
      <c r="T791" s="1264"/>
      <c r="U791" s="1264"/>
      <c r="V791" s="1264"/>
      <c r="W791" s="1264"/>
      <c r="X791" s="1264"/>
      <c r="Y791" s="1264"/>
      <c r="Z791" s="1264"/>
    </row>
    <row r="792" spans="1:26" ht="18.75">
      <c r="A792" s="1241"/>
      <c r="B792" s="1242"/>
      <c r="C792" s="1243"/>
      <c r="D792" s="1243"/>
      <c r="E792" s="1243"/>
      <c r="F792" s="1243" t="s">
        <v>186</v>
      </c>
      <c r="G792" s="963"/>
      <c r="H792" s="1451" t="s">
        <v>12</v>
      </c>
      <c r="I792" s="1448"/>
      <c r="J792" s="1448"/>
      <c r="K792" s="1449"/>
      <c r="L792" s="831"/>
      <c r="M792" s="831"/>
      <c r="N792" s="1031">
        <v>0</v>
      </c>
      <c r="O792" s="831"/>
      <c r="P792" s="831"/>
      <c r="Q792" s="1244"/>
      <c r="R792" s="1244"/>
      <c r="S792" s="1244"/>
      <c r="T792" s="1244"/>
      <c r="U792" s="1244"/>
      <c r="V792" s="1244"/>
      <c r="W792" s="1244"/>
      <c r="X792" s="1244"/>
      <c r="Y792" s="1244"/>
      <c r="Z792" s="1244"/>
    </row>
    <row r="793" spans="1:26" ht="18.75">
      <c r="A793" s="1241"/>
      <c r="B793" s="1242"/>
      <c r="C793" s="1243"/>
      <c r="D793" s="1243"/>
      <c r="E793" s="1243"/>
      <c r="F793" s="1243" t="s">
        <v>187</v>
      </c>
      <c r="G793" s="963"/>
      <c r="H793" s="1451" t="s">
        <v>12</v>
      </c>
      <c r="I793" s="1448"/>
      <c r="J793" s="1448"/>
      <c r="K793" s="1449"/>
      <c r="L793" s="831"/>
      <c r="M793" s="831"/>
      <c r="N793" s="1031">
        <v>0</v>
      </c>
      <c r="O793" s="831"/>
      <c r="P793" s="831"/>
      <c r="Q793" s="1244"/>
      <c r="R793" s="1244"/>
      <c r="S793" s="1244"/>
      <c r="T793" s="1244"/>
      <c r="U793" s="1244"/>
      <c r="V793" s="1244"/>
      <c r="W793" s="1244"/>
      <c r="X793" s="1244"/>
      <c r="Y793" s="1244"/>
      <c r="Z793" s="1244"/>
    </row>
    <row r="794" spans="1:26" ht="18.75">
      <c r="A794" s="1241"/>
      <c r="B794" s="1242"/>
      <c r="C794" s="1243"/>
      <c r="D794" s="1243"/>
      <c r="E794" s="1243"/>
      <c r="F794" s="1243" t="s">
        <v>188</v>
      </c>
      <c r="G794" s="963"/>
      <c r="H794" s="1451" t="s">
        <v>12</v>
      </c>
      <c r="I794" s="1448"/>
      <c r="J794" s="1448"/>
      <c r="K794" s="1449"/>
      <c r="L794" s="831"/>
      <c r="M794" s="831"/>
      <c r="N794" s="1031">
        <v>0</v>
      </c>
      <c r="O794" s="831"/>
      <c r="P794" s="831"/>
      <c r="Q794" s="1244"/>
      <c r="R794" s="1244"/>
      <c r="S794" s="1244"/>
      <c r="T794" s="1244"/>
      <c r="U794" s="1244"/>
      <c r="V794" s="1244"/>
      <c r="W794" s="1244"/>
      <c r="X794" s="1244"/>
      <c r="Y794" s="1244"/>
      <c r="Z794" s="1244"/>
    </row>
    <row r="795" spans="1:26" ht="18.75">
      <c r="A795" s="1241"/>
      <c r="B795" s="1242"/>
      <c r="C795" s="1243"/>
      <c r="D795" s="1243"/>
      <c r="E795" s="1243"/>
      <c r="F795" s="1243" t="s">
        <v>189</v>
      </c>
      <c r="G795" s="963"/>
      <c r="H795" s="1451" t="s">
        <v>12</v>
      </c>
      <c r="I795" s="1448"/>
      <c r="J795" s="1448"/>
      <c r="K795" s="1449"/>
      <c r="L795" s="831"/>
      <c r="M795" s="831"/>
      <c r="N795" s="1031">
        <v>0</v>
      </c>
      <c r="O795" s="831"/>
      <c r="P795" s="831"/>
      <c r="Q795" s="1244"/>
      <c r="R795" s="1244"/>
      <c r="S795" s="1244"/>
      <c r="T795" s="1244"/>
      <c r="U795" s="1244"/>
      <c r="V795" s="1244"/>
      <c r="W795" s="1244"/>
      <c r="X795" s="1244"/>
      <c r="Y795" s="1244"/>
      <c r="Z795" s="1244"/>
    </row>
    <row r="796" spans="1:26" ht="18.75">
      <c r="A796" s="1259"/>
      <c r="B796" s="1242"/>
      <c r="C796" s="1243"/>
      <c r="D796" s="1266" t="s">
        <v>21</v>
      </c>
      <c r="E796" s="1243"/>
      <c r="F796" s="1243"/>
      <c r="G796" s="963"/>
      <c r="H796" s="1454" t="s">
        <v>12</v>
      </c>
      <c r="I796" s="1452"/>
      <c r="J796" s="1452"/>
      <c r="K796" s="1453"/>
      <c r="L796" s="831">
        <f t="shared" ref="L796:N796" si="324">L797+L798</f>
        <v>0</v>
      </c>
      <c r="M796" s="831">
        <f t="shared" si="324"/>
        <v>0</v>
      </c>
      <c r="N796" s="831">
        <f t="shared" si="324"/>
        <v>0</v>
      </c>
      <c r="O796" s="831">
        <f t="shared" ref="O796:O798" si="325">IF(L796&gt;0,N796*100/L796,0)</f>
        <v>0</v>
      </c>
      <c r="P796" s="831">
        <f t="shared" ref="P796:P798" si="326">IF(M796&gt;0,N796*100/M796,0)</f>
        <v>0</v>
      </c>
      <c r="Q796" s="1244"/>
      <c r="R796" s="1244"/>
      <c r="S796" s="1244"/>
      <c r="T796" s="1244"/>
      <c r="U796" s="1244"/>
      <c r="V796" s="1244"/>
      <c r="W796" s="1244"/>
      <c r="X796" s="1244"/>
      <c r="Y796" s="1244"/>
      <c r="Z796" s="1244"/>
    </row>
    <row r="797" spans="1:26" ht="18.75" hidden="1">
      <c r="A797" s="1260"/>
      <c r="B797" s="1265"/>
      <c r="C797" s="1261"/>
      <c r="D797" s="1261"/>
      <c r="E797" s="1261" t="s">
        <v>18</v>
      </c>
      <c r="F797" s="1261"/>
      <c r="G797" s="1263"/>
      <c r="H797" s="1450" t="s">
        <v>12</v>
      </c>
      <c r="I797" s="1452"/>
      <c r="J797" s="1452"/>
      <c r="K797" s="1453"/>
      <c r="L797" s="837">
        <v>0</v>
      </c>
      <c r="M797" s="837">
        <v>0</v>
      </c>
      <c r="N797" s="837">
        <v>0</v>
      </c>
      <c r="O797" s="837">
        <f t="shared" si="325"/>
        <v>0</v>
      </c>
      <c r="P797" s="837">
        <f t="shared" si="326"/>
        <v>0</v>
      </c>
      <c r="Q797" s="1264"/>
      <c r="R797" s="1264"/>
      <c r="S797" s="1264"/>
      <c r="T797" s="1264"/>
      <c r="U797" s="1264"/>
      <c r="V797" s="1264"/>
      <c r="W797" s="1264"/>
      <c r="X797" s="1264"/>
      <c r="Y797" s="1264"/>
      <c r="Z797" s="1264"/>
    </row>
    <row r="798" spans="1:26" ht="18.75" hidden="1">
      <c r="A798" s="1260"/>
      <c r="B798" s="1265"/>
      <c r="C798" s="1261"/>
      <c r="D798" s="1261"/>
      <c r="E798" s="1261" t="s">
        <v>19</v>
      </c>
      <c r="F798" s="1261"/>
      <c r="G798" s="1263"/>
      <c r="H798" s="1455" t="s">
        <v>12</v>
      </c>
      <c r="I798" s="1452"/>
      <c r="J798" s="1452"/>
      <c r="K798" s="1453"/>
      <c r="L798" s="837">
        <v>0</v>
      </c>
      <c r="M798" s="837">
        <v>0</v>
      </c>
      <c r="N798" s="837">
        <v>0</v>
      </c>
      <c r="O798" s="837">
        <f t="shared" si="325"/>
        <v>0</v>
      </c>
      <c r="P798" s="837">
        <f t="shared" si="326"/>
        <v>0</v>
      </c>
      <c r="Q798" s="1264"/>
      <c r="R798" s="1264"/>
      <c r="S798" s="1264"/>
      <c r="T798" s="1264"/>
      <c r="U798" s="1264"/>
      <c r="V798" s="1264"/>
      <c r="W798" s="1264"/>
      <c r="X798" s="1264"/>
      <c r="Y798" s="1264"/>
      <c r="Z798" s="1264"/>
    </row>
    <row r="799" spans="1:26" ht="19.5">
      <c r="A799" s="1267"/>
      <c r="B799" s="1268"/>
      <c r="C799" s="1243" t="s">
        <v>16</v>
      </c>
      <c r="D799" s="1378" t="s">
        <v>38</v>
      </c>
      <c r="E799" s="1271"/>
      <c r="F799" s="1271"/>
      <c r="G799" s="1272"/>
      <c r="H799" s="1456"/>
      <c r="I799" s="1452"/>
      <c r="J799" s="1452"/>
      <c r="K799" s="1453"/>
      <c r="L799" s="945"/>
      <c r="M799" s="945"/>
      <c r="N799" s="945"/>
      <c r="O799" s="945"/>
      <c r="P799" s="945"/>
      <c r="Q799" s="1244"/>
      <c r="R799" s="1244"/>
      <c r="S799" s="1244"/>
      <c r="T799" s="1244"/>
      <c r="U799" s="1244"/>
      <c r="V799" s="1244"/>
      <c r="W799" s="1244"/>
      <c r="X799" s="1244"/>
      <c r="Y799" s="1244"/>
      <c r="Z799" s="1244"/>
    </row>
    <row r="800" spans="1:26" ht="18.75">
      <c r="A800" s="1267"/>
      <c r="B800" s="1268"/>
      <c r="C800" s="1268"/>
      <c r="D800" s="1268"/>
      <c r="E800" s="961"/>
      <c r="F800" s="961" t="s">
        <v>320</v>
      </c>
      <c r="G800" s="954"/>
      <c r="H800" s="1457" t="s">
        <v>34</v>
      </c>
      <c r="I800" s="1452"/>
      <c r="J800" s="1458">
        <f ca="1">IFERROR(__xludf.DUMMYFUNCTION("IMPORTRANGE(""https://docs.google.com/spreadsheets/d/1MaWodYyGHDf7siQLGxnXhG4mBNTNIuy296niS2xXulU/edit?usp=sharing"",""RTK!H18"")"),0)</f>
        <v>0</v>
      </c>
      <c r="K800" s="1449"/>
      <c r="L800" s="831"/>
      <c r="M800" s="831"/>
      <c r="N800" s="831"/>
      <c r="O800" s="945"/>
      <c r="P800" s="945"/>
      <c r="Q800" s="1244"/>
      <c r="R800" s="1244"/>
      <c r="S800" s="1244"/>
      <c r="T800" s="1244"/>
      <c r="U800" s="1244"/>
      <c r="V800" s="1244"/>
      <c r="W800" s="1244"/>
      <c r="X800" s="1244"/>
      <c r="Y800" s="1244"/>
      <c r="Z800" s="1244"/>
    </row>
    <row r="801" spans="1:26" ht="18.75">
      <c r="A801" s="1267"/>
      <c r="B801" s="1268"/>
      <c r="C801" s="1268"/>
      <c r="D801" s="1268"/>
      <c r="E801" s="961"/>
      <c r="F801" s="961"/>
      <c r="G801" s="954"/>
      <c r="H801" s="1451" t="s">
        <v>46</v>
      </c>
      <c r="I801" s="1458">
        <f ca="1">IFERROR(__xludf.DUMMYFUNCTION("IMPORTRANGE(""https://docs.google.com/spreadsheets/d/1MaWodYyGHDf7siQLGxnXhG4mBNTNIuy296niS2xXulU/edit?usp=sharing"",""RTK!G18"")"),0)</f>
        <v>0</v>
      </c>
      <c r="J801" s="1459">
        <f ca="1">IFERROR(__xludf.DUMMYFUNCTION("IMPORTRANGE(""https://docs.google.com/spreadsheets/d/1MaWodYyGHDf7siQLGxnXhG4mBNTNIuy296niS2xXulU/edit?usp=sharing"",""RTK!I18"")"),0)</f>
        <v>0</v>
      </c>
      <c r="K801" s="1460">
        <f ca="1">IF(I801&gt;0,J801*100/I801,0)</f>
        <v>0</v>
      </c>
      <c r="L801" s="831"/>
      <c r="M801" s="831"/>
      <c r="N801" s="831"/>
      <c r="O801" s="945"/>
      <c r="P801" s="945"/>
      <c r="Q801" s="1244"/>
      <c r="R801" s="1244"/>
      <c r="S801" s="1244"/>
      <c r="T801" s="1244"/>
      <c r="U801" s="1244"/>
      <c r="V801" s="1244"/>
      <c r="W801" s="1244"/>
      <c r="X801" s="1244"/>
      <c r="Y801" s="1244"/>
      <c r="Z801" s="1244"/>
    </row>
    <row r="802" spans="1:26" ht="18.75">
      <c r="A802" s="1273"/>
      <c r="B802" s="1274"/>
      <c r="C802" s="1274"/>
      <c r="D802" s="1274"/>
      <c r="E802" s="1262"/>
      <c r="F802" s="1416" t="s">
        <v>321</v>
      </c>
      <c r="G802" s="1060"/>
      <c r="H802" s="1457" t="s">
        <v>34</v>
      </c>
      <c r="I802" s="1452"/>
      <c r="J802" s="1458">
        <f ca="1">IFERROR(__xludf.DUMMYFUNCTION("IMPORTRANGE(""https://docs.google.com/spreadsheets/d/1MaWodYyGHDf7siQLGxnXhG4mBNTNIuy296niS2xXulU/edit?usp=sharing"",""RTK!L18"")"),789)</f>
        <v>789</v>
      </c>
      <c r="K802" s="1449"/>
      <c r="L802" s="948"/>
      <c r="M802" s="948"/>
      <c r="N802" s="948"/>
      <c r="O802" s="948"/>
      <c r="P802" s="948"/>
      <c r="Q802" s="1264"/>
      <c r="R802" s="1264"/>
      <c r="S802" s="1264"/>
      <c r="T802" s="1264"/>
      <c r="U802" s="1264"/>
      <c r="V802" s="1264"/>
      <c r="W802" s="1264"/>
      <c r="X802" s="1264"/>
      <c r="Y802" s="1264"/>
      <c r="Z802" s="1264"/>
    </row>
    <row r="803" spans="1:26" ht="19.5" thickBot="1">
      <c r="A803" s="1273"/>
      <c r="B803" s="1274"/>
      <c r="C803" s="1274"/>
      <c r="D803" s="1274"/>
      <c r="E803" s="1262"/>
      <c r="F803" s="1262"/>
      <c r="G803" s="1060"/>
      <c r="H803" s="1457" t="s">
        <v>46</v>
      </c>
      <c r="I803" s="1458">
        <f ca="1">IFERROR(__xludf.DUMMYFUNCTION("IMPORTRANGE(""https://docs.google.com/spreadsheets/d/1MaWodYyGHDf7siQLGxnXhG4mBNTNIuy296niS2xXulU/edit?usp=sharing"",""RTK!K18"")"),15000)</f>
        <v>15000</v>
      </c>
      <c r="J803" s="1459">
        <f ca="1">IFERROR(__xludf.DUMMYFUNCTION("IMPORTRANGE(""https://docs.google.com/spreadsheets/d/1MaWodYyGHDf7siQLGxnXhG4mBNTNIuy296niS2xXulU/edit?usp=sharing"",""RTK!M18"")"),11270)</f>
        <v>11270</v>
      </c>
      <c r="K803" s="1460">
        <f t="shared" ref="K803:K804" ca="1" si="327">IF(I803&gt;0,J803*100/I803,0)</f>
        <v>75.13333333333334</v>
      </c>
      <c r="L803" s="948"/>
      <c r="M803" s="948"/>
      <c r="N803" s="948"/>
      <c r="O803" s="948"/>
      <c r="P803" s="948"/>
      <c r="Q803" s="1264"/>
      <c r="R803" s="1264"/>
      <c r="S803" s="1264"/>
      <c r="T803" s="1264"/>
      <c r="U803" s="1264"/>
      <c r="V803" s="1264"/>
      <c r="W803" s="1264"/>
      <c r="X803" s="1264"/>
      <c r="Y803" s="1264"/>
      <c r="Z803" s="1264"/>
    </row>
    <row r="804" spans="1:26" ht="20.25" hidden="1" thickBot="1">
      <c r="A804" s="759">
        <v>13</v>
      </c>
      <c r="B804" s="1400" t="s">
        <v>322</v>
      </c>
      <c r="C804" s="1401"/>
      <c r="D804" s="1419"/>
      <c r="E804" s="1401"/>
      <c r="F804" s="1401"/>
      <c r="G804" s="1402"/>
      <c r="H804" s="763" t="s">
        <v>46</v>
      </c>
      <c r="I804" s="1403"/>
      <c r="J804" s="1403">
        <f>J819</f>
        <v>0</v>
      </c>
      <c r="K804" s="1404">
        <f t="shared" si="327"/>
        <v>0</v>
      </c>
      <c r="L804" s="1405"/>
      <c r="M804" s="1405"/>
      <c r="N804" s="1405"/>
      <c r="O804" s="1405"/>
      <c r="P804" s="1405"/>
      <c r="Q804" s="1264"/>
      <c r="R804" s="1264"/>
      <c r="S804" s="1264"/>
      <c r="T804" s="1264"/>
      <c r="U804" s="1264"/>
      <c r="V804" s="1264"/>
      <c r="W804" s="1264"/>
      <c r="X804" s="1264"/>
      <c r="Y804" s="1264"/>
      <c r="Z804" s="1264"/>
    </row>
    <row r="805" spans="1:26" ht="20.25" hidden="1" thickBot="1">
      <c r="A805" s="1260"/>
      <c r="B805" s="1261"/>
      <c r="C805" s="1261" t="s">
        <v>16</v>
      </c>
      <c r="D805" s="1508" t="s">
        <v>17</v>
      </c>
      <c r="E805" s="1485"/>
      <c r="F805" s="1485"/>
      <c r="G805" s="1263"/>
      <c r="H805" s="612" t="s">
        <v>12</v>
      </c>
      <c r="I805" s="836"/>
      <c r="J805" s="836"/>
      <c r="K805" s="837"/>
      <c r="L805" s="1292">
        <f t="shared" ref="L805:N805" si="328">L806+L807</f>
        <v>0</v>
      </c>
      <c r="M805" s="1292">
        <f t="shared" si="328"/>
        <v>0</v>
      </c>
      <c r="N805" s="1292">
        <f t="shared" si="328"/>
        <v>0</v>
      </c>
      <c r="O805" s="1292">
        <f t="shared" ref="O805:O810" si="329">IF(L805&gt;0,N805*100/L805,0)</f>
        <v>0</v>
      </c>
      <c r="P805" s="1292">
        <f t="shared" ref="P805:P810" si="330">IF(M805&gt;0,N805*100/M805,0)</f>
        <v>0</v>
      </c>
      <c r="Q805" s="1264"/>
      <c r="R805" s="1264"/>
      <c r="S805" s="1264"/>
      <c r="T805" s="1264"/>
      <c r="U805" s="1264"/>
      <c r="V805" s="1264"/>
      <c r="W805" s="1264"/>
      <c r="X805" s="1264"/>
      <c r="Y805" s="1264"/>
      <c r="Z805" s="1264"/>
    </row>
    <row r="806" spans="1:26" ht="19.5" hidden="1" thickBot="1">
      <c r="A806" s="1260"/>
      <c r="B806" s="1261"/>
      <c r="C806" s="1261"/>
      <c r="D806" s="1274"/>
      <c r="E806" s="1261" t="s">
        <v>184</v>
      </c>
      <c r="F806" s="1261"/>
      <c r="G806" s="1263"/>
      <c r="H806" s="165" t="s">
        <v>12</v>
      </c>
      <c r="I806" s="836"/>
      <c r="J806" s="836"/>
      <c r="K806" s="837"/>
      <c r="L806" s="837">
        <f t="shared" ref="L806:N807" si="331">L809+L816</f>
        <v>0</v>
      </c>
      <c r="M806" s="837">
        <f t="shared" si="331"/>
        <v>0</v>
      </c>
      <c r="N806" s="837">
        <f t="shared" si="331"/>
        <v>0</v>
      </c>
      <c r="O806" s="837">
        <f t="shared" si="329"/>
        <v>0</v>
      </c>
      <c r="P806" s="837">
        <f t="shared" si="330"/>
        <v>0</v>
      </c>
      <c r="Q806" s="1264"/>
      <c r="R806" s="1264"/>
      <c r="S806" s="1264"/>
      <c r="T806" s="1264"/>
      <c r="U806" s="1264"/>
      <c r="V806" s="1264"/>
      <c r="W806" s="1264"/>
      <c r="X806" s="1264"/>
      <c r="Y806" s="1264"/>
      <c r="Z806" s="1264"/>
    </row>
    <row r="807" spans="1:26" ht="19.5" hidden="1" thickBot="1">
      <c r="A807" s="1260"/>
      <c r="B807" s="1261"/>
      <c r="C807" s="1261"/>
      <c r="D807" s="1274"/>
      <c r="E807" s="1261" t="s">
        <v>185</v>
      </c>
      <c r="F807" s="1261"/>
      <c r="G807" s="1263"/>
      <c r="H807" s="165" t="s">
        <v>12</v>
      </c>
      <c r="I807" s="836"/>
      <c r="J807" s="836"/>
      <c r="K807" s="837"/>
      <c r="L807" s="837">
        <f t="shared" si="331"/>
        <v>0</v>
      </c>
      <c r="M807" s="837">
        <f t="shared" si="331"/>
        <v>0</v>
      </c>
      <c r="N807" s="837">
        <f t="shared" si="331"/>
        <v>0</v>
      </c>
      <c r="O807" s="837">
        <f t="shared" si="329"/>
        <v>0</v>
      </c>
      <c r="P807" s="837">
        <f t="shared" si="330"/>
        <v>0</v>
      </c>
      <c r="Q807" s="1264"/>
      <c r="R807" s="1264"/>
      <c r="S807" s="1264"/>
      <c r="T807" s="1264"/>
      <c r="U807" s="1264"/>
      <c r="V807" s="1264"/>
      <c r="W807" s="1264"/>
      <c r="X807" s="1264"/>
      <c r="Y807" s="1264"/>
      <c r="Z807" s="1264"/>
    </row>
    <row r="808" spans="1:26" ht="20.25" hidden="1" thickBot="1">
      <c r="A808" s="1260"/>
      <c r="B808" s="1265"/>
      <c r="C808" s="1261"/>
      <c r="D808" s="1509" t="s">
        <v>20</v>
      </c>
      <c r="E808" s="1485"/>
      <c r="F808" s="1485"/>
      <c r="G808" s="1263"/>
      <c r="H808" s="612" t="s">
        <v>12</v>
      </c>
      <c r="I808" s="947"/>
      <c r="J808" s="947"/>
      <c r="K808" s="948"/>
      <c r="L808" s="1292">
        <f t="shared" ref="L808:N808" si="332">L809+L810</f>
        <v>0</v>
      </c>
      <c r="M808" s="1292">
        <f t="shared" si="332"/>
        <v>0</v>
      </c>
      <c r="N808" s="1292">
        <f t="shared" si="332"/>
        <v>0</v>
      </c>
      <c r="O808" s="1292">
        <f t="shared" si="329"/>
        <v>0</v>
      </c>
      <c r="P808" s="1292">
        <f t="shared" si="330"/>
        <v>0</v>
      </c>
      <c r="Q808" s="1264"/>
      <c r="R808" s="1264"/>
      <c r="S808" s="1264"/>
      <c r="T808" s="1264"/>
      <c r="U808" s="1264"/>
      <c r="V808" s="1264"/>
      <c r="W808" s="1264"/>
      <c r="X808" s="1264"/>
      <c r="Y808" s="1264"/>
      <c r="Z808" s="1264"/>
    </row>
    <row r="809" spans="1:26" ht="19.5" hidden="1" thickBot="1">
      <c r="A809" s="1260"/>
      <c r="B809" s="1261"/>
      <c r="C809" s="1261"/>
      <c r="D809" s="1274"/>
      <c r="E809" s="1261" t="s">
        <v>184</v>
      </c>
      <c r="F809" s="1261"/>
      <c r="G809" s="1263"/>
      <c r="H809" s="165" t="s">
        <v>12</v>
      </c>
      <c r="I809" s="836"/>
      <c r="J809" s="836"/>
      <c r="K809" s="837"/>
      <c r="L809" s="837">
        <v>0</v>
      </c>
      <c r="M809" s="837">
        <v>0</v>
      </c>
      <c r="N809" s="837">
        <v>0</v>
      </c>
      <c r="O809" s="837">
        <f t="shared" si="329"/>
        <v>0</v>
      </c>
      <c r="P809" s="837">
        <f t="shared" si="330"/>
        <v>0</v>
      </c>
      <c r="Q809" s="1264"/>
      <c r="R809" s="1264"/>
      <c r="S809" s="1264"/>
      <c r="T809" s="1264"/>
      <c r="U809" s="1264"/>
      <c r="V809" s="1264"/>
      <c r="W809" s="1264"/>
      <c r="X809" s="1264"/>
      <c r="Y809" s="1264"/>
      <c r="Z809" s="1264"/>
    </row>
    <row r="810" spans="1:26" ht="19.5" hidden="1" thickBot="1">
      <c r="A810" s="1260"/>
      <c r="B810" s="1261"/>
      <c r="C810" s="1261"/>
      <c r="D810" s="1274"/>
      <c r="E810" s="1261" t="s">
        <v>185</v>
      </c>
      <c r="F810" s="1261"/>
      <c r="G810" s="1263"/>
      <c r="H810" s="165" t="s">
        <v>12</v>
      </c>
      <c r="I810" s="836"/>
      <c r="J810" s="836"/>
      <c r="K810" s="837"/>
      <c r="L810" s="837">
        <v>0</v>
      </c>
      <c r="M810" s="837">
        <v>0</v>
      </c>
      <c r="N810" s="837">
        <f>N811+N812+N813+N814</f>
        <v>0</v>
      </c>
      <c r="O810" s="837">
        <f t="shared" si="329"/>
        <v>0</v>
      </c>
      <c r="P810" s="837">
        <f t="shared" si="330"/>
        <v>0</v>
      </c>
      <c r="Q810" s="1264"/>
      <c r="R810" s="1264"/>
      <c r="S810" s="1264"/>
      <c r="T810" s="1264"/>
      <c r="U810" s="1264"/>
      <c r="V810" s="1264"/>
      <c r="W810" s="1264"/>
      <c r="X810" s="1264"/>
      <c r="Y810" s="1264"/>
      <c r="Z810" s="1264"/>
    </row>
    <row r="811" spans="1:26" ht="19.5" hidden="1" thickBot="1">
      <c r="A811" s="1294"/>
      <c r="B811" s="1265"/>
      <c r="C811" s="1261"/>
      <c r="D811" s="1265"/>
      <c r="E811" s="1261"/>
      <c r="F811" s="1261" t="s">
        <v>186</v>
      </c>
      <c r="G811" s="1263"/>
      <c r="H811" s="165" t="s">
        <v>12</v>
      </c>
      <c r="I811" s="836"/>
      <c r="J811" s="836"/>
      <c r="K811" s="837"/>
      <c r="L811" s="837"/>
      <c r="M811" s="837"/>
      <c r="N811" s="837"/>
      <c r="O811" s="837"/>
      <c r="P811" s="837"/>
      <c r="Q811" s="1264"/>
      <c r="R811" s="1264"/>
      <c r="S811" s="1264"/>
      <c r="T811" s="1264"/>
      <c r="U811" s="1264"/>
      <c r="V811" s="1264"/>
      <c r="W811" s="1264"/>
      <c r="X811" s="1264"/>
      <c r="Y811" s="1264"/>
      <c r="Z811" s="1264"/>
    </row>
    <row r="812" spans="1:26" ht="19.5" hidden="1" thickBot="1">
      <c r="A812" s="1294"/>
      <c r="B812" s="1265"/>
      <c r="C812" s="1261"/>
      <c r="D812" s="1265"/>
      <c r="E812" s="1261"/>
      <c r="F812" s="1261" t="s">
        <v>187</v>
      </c>
      <c r="G812" s="1263"/>
      <c r="H812" s="165" t="s">
        <v>12</v>
      </c>
      <c r="I812" s="836"/>
      <c r="J812" s="836"/>
      <c r="K812" s="837"/>
      <c r="L812" s="837"/>
      <c r="M812" s="837"/>
      <c r="N812" s="837"/>
      <c r="O812" s="837"/>
      <c r="P812" s="837"/>
      <c r="Q812" s="1264"/>
      <c r="R812" s="1264"/>
      <c r="S812" s="1264"/>
      <c r="T812" s="1264"/>
      <c r="U812" s="1264"/>
      <c r="V812" s="1264"/>
      <c r="W812" s="1264"/>
      <c r="X812" s="1264"/>
      <c r="Y812" s="1264"/>
      <c r="Z812" s="1264"/>
    </row>
    <row r="813" spans="1:26" ht="19.5" hidden="1" thickBot="1">
      <c r="A813" s="1294"/>
      <c r="B813" s="1265"/>
      <c r="C813" s="1261"/>
      <c r="D813" s="1265"/>
      <c r="E813" s="1261"/>
      <c r="F813" s="1261" t="s">
        <v>188</v>
      </c>
      <c r="G813" s="1263"/>
      <c r="H813" s="165" t="s">
        <v>12</v>
      </c>
      <c r="I813" s="836"/>
      <c r="J813" s="836"/>
      <c r="K813" s="837"/>
      <c r="L813" s="837"/>
      <c r="M813" s="837"/>
      <c r="N813" s="837"/>
      <c r="O813" s="837"/>
      <c r="P813" s="837"/>
      <c r="Q813" s="1264"/>
      <c r="R813" s="1264"/>
      <c r="S813" s="1264"/>
      <c r="T813" s="1264"/>
      <c r="U813" s="1264"/>
      <c r="V813" s="1264"/>
      <c r="W813" s="1264"/>
      <c r="X813" s="1264"/>
      <c r="Y813" s="1264"/>
      <c r="Z813" s="1264"/>
    </row>
    <row r="814" spans="1:26" ht="19.5" hidden="1" thickBot="1">
      <c r="A814" s="1294"/>
      <c r="B814" s="1265"/>
      <c r="C814" s="1261"/>
      <c r="D814" s="1265"/>
      <c r="E814" s="1261"/>
      <c r="F814" s="1261" t="s">
        <v>189</v>
      </c>
      <c r="G814" s="1263"/>
      <c r="H814" s="165" t="s">
        <v>12</v>
      </c>
      <c r="I814" s="836"/>
      <c r="J814" s="836"/>
      <c r="K814" s="837"/>
      <c r="L814" s="837"/>
      <c r="M814" s="837"/>
      <c r="N814" s="837"/>
      <c r="O814" s="837"/>
      <c r="P814" s="837"/>
      <c r="Q814" s="1264"/>
      <c r="R814" s="1264"/>
      <c r="S814" s="1264"/>
      <c r="T814" s="1264"/>
      <c r="U814" s="1264"/>
      <c r="V814" s="1264"/>
      <c r="W814" s="1264"/>
      <c r="X814" s="1264"/>
      <c r="Y814" s="1264"/>
      <c r="Z814" s="1264"/>
    </row>
    <row r="815" spans="1:26" ht="20.25" hidden="1" thickBot="1">
      <c r="A815" s="1260"/>
      <c r="B815" s="1265"/>
      <c r="C815" s="1261"/>
      <c r="D815" s="1509" t="s">
        <v>21</v>
      </c>
      <c r="E815" s="1485"/>
      <c r="F815" s="1485"/>
      <c r="G815" s="1263"/>
      <c r="H815" s="749" t="s">
        <v>12</v>
      </c>
      <c r="I815" s="947"/>
      <c r="J815" s="947"/>
      <c r="K815" s="948"/>
      <c r="L815" s="1292">
        <f t="shared" ref="L815:N815" si="333">L816+L817</f>
        <v>0</v>
      </c>
      <c r="M815" s="1292">
        <f t="shared" si="333"/>
        <v>0</v>
      </c>
      <c r="N815" s="1292">
        <f t="shared" si="333"/>
        <v>0</v>
      </c>
      <c r="O815" s="1292">
        <f t="shared" ref="O815:O817" si="334">IF(L815&gt;0,N815*100/L815,0)</f>
        <v>0</v>
      </c>
      <c r="P815" s="1292">
        <f t="shared" ref="P815:P817" si="335">IF(M815&gt;0,N815*100/M815,0)</f>
        <v>0</v>
      </c>
      <c r="Q815" s="1264"/>
      <c r="R815" s="1264"/>
      <c r="S815" s="1264"/>
      <c r="T815" s="1264"/>
      <c r="U815" s="1264"/>
      <c r="V815" s="1264"/>
      <c r="W815" s="1264"/>
      <c r="X815" s="1264"/>
      <c r="Y815" s="1264"/>
      <c r="Z815" s="1264"/>
    </row>
    <row r="816" spans="1:26" ht="19.5" hidden="1" thickBot="1">
      <c r="A816" s="1260"/>
      <c r="B816" s="1265"/>
      <c r="C816" s="1261"/>
      <c r="D816" s="1265"/>
      <c r="E816" s="1261" t="s">
        <v>18</v>
      </c>
      <c r="F816" s="1261"/>
      <c r="G816" s="1263"/>
      <c r="H816" s="165" t="s">
        <v>12</v>
      </c>
      <c r="I816" s="947"/>
      <c r="J816" s="947"/>
      <c r="K816" s="948"/>
      <c r="L816" s="837">
        <v>0</v>
      </c>
      <c r="M816" s="837">
        <v>0</v>
      </c>
      <c r="N816" s="837">
        <v>0</v>
      </c>
      <c r="O816" s="837">
        <f t="shared" si="334"/>
        <v>0</v>
      </c>
      <c r="P816" s="837">
        <f t="shared" si="335"/>
        <v>0</v>
      </c>
      <c r="Q816" s="1264"/>
      <c r="R816" s="1264"/>
      <c r="S816" s="1264"/>
      <c r="T816" s="1264"/>
      <c r="U816" s="1264"/>
      <c r="V816" s="1264"/>
      <c r="W816" s="1264"/>
      <c r="X816" s="1264"/>
      <c r="Y816" s="1264"/>
      <c r="Z816" s="1264"/>
    </row>
    <row r="817" spans="1:26" ht="19.5" hidden="1" thickBot="1">
      <c r="A817" s="1260"/>
      <c r="B817" s="1265"/>
      <c r="C817" s="1261"/>
      <c r="D817" s="1265"/>
      <c r="E817" s="1261" t="s">
        <v>19</v>
      </c>
      <c r="F817" s="1261"/>
      <c r="G817" s="1263"/>
      <c r="H817" s="169" t="s">
        <v>12</v>
      </c>
      <c r="I817" s="947"/>
      <c r="J817" s="947"/>
      <c r="K817" s="948"/>
      <c r="L817" s="837">
        <v>0</v>
      </c>
      <c r="M817" s="837">
        <v>0</v>
      </c>
      <c r="N817" s="837">
        <v>0</v>
      </c>
      <c r="O817" s="837">
        <f t="shared" si="334"/>
        <v>0</v>
      </c>
      <c r="P817" s="837">
        <f t="shared" si="335"/>
        <v>0</v>
      </c>
      <c r="Q817" s="1264"/>
      <c r="R817" s="1264"/>
      <c r="S817" s="1264"/>
      <c r="T817" s="1264"/>
      <c r="U817" s="1264"/>
      <c r="V817" s="1264"/>
      <c r="W817" s="1264"/>
      <c r="X817" s="1264"/>
      <c r="Y817" s="1264"/>
      <c r="Z817" s="1264"/>
    </row>
    <row r="818" spans="1:26" ht="20.25" hidden="1" thickBot="1">
      <c r="A818" s="1273"/>
      <c r="B818" s="1274"/>
      <c r="C818" s="1261" t="s">
        <v>16</v>
      </c>
      <c r="D818" s="1420" t="s">
        <v>38</v>
      </c>
      <c r="E818" s="1296"/>
      <c r="F818" s="1296"/>
      <c r="G818" s="1297"/>
      <c r="H818" s="1060"/>
      <c r="I818" s="947"/>
      <c r="J818" s="947"/>
      <c r="K818" s="948"/>
      <c r="L818" s="948"/>
      <c r="M818" s="948"/>
      <c r="N818" s="948"/>
      <c r="O818" s="948"/>
      <c r="P818" s="948"/>
      <c r="Q818" s="1264"/>
      <c r="R818" s="1264"/>
      <c r="S818" s="1264"/>
      <c r="T818" s="1264"/>
      <c r="U818" s="1264"/>
      <c r="V818" s="1264"/>
      <c r="W818" s="1264"/>
      <c r="X818" s="1264"/>
      <c r="Y818" s="1264"/>
      <c r="Z818" s="1264"/>
    </row>
    <row r="819" spans="1:26" ht="19.5" hidden="1" thickBot="1">
      <c r="A819" s="1421"/>
      <c r="B819" s="1422"/>
      <c r="C819" s="1423"/>
      <c r="D819" s="1422"/>
      <c r="E819" s="1423" t="s">
        <v>323</v>
      </c>
      <c r="F819" s="1423"/>
      <c r="G819" s="1424"/>
      <c r="H819" s="792" t="s">
        <v>46</v>
      </c>
      <c r="I819" s="1425"/>
      <c r="J819" s="1425"/>
      <c r="K819" s="1426"/>
      <c r="L819" s="1426"/>
      <c r="M819" s="1426"/>
      <c r="N819" s="1426"/>
      <c r="O819" s="1426"/>
      <c r="P819" s="1426"/>
      <c r="Q819" s="1264"/>
      <c r="R819" s="1264"/>
      <c r="S819" s="1264"/>
      <c r="T819" s="1264"/>
      <c r="U819" s="1264"/>
      <c r="V819" s="1264"/>
      <c r="W819" s="1264"/>
      <c r="X819" s="1264"/>
      <c r="Y819" s="1264"/>
      <c r="Z819" s="1264"/>
    </row>
    <row r="820" spans="1:26" ht="19.5">
      <c r="A820" s="1437" t="s">
        <v>333</v>
      </c>
      <c r="B820" s="1438"/>
      <c r="C820" s="1438"/>
      <c r="D820" s="1439"/>
      <c r="E820" s="1438"/>
      <c r="F820" s="1438"/>
      <c r="G820" s="1440"/>
      <c r="H820" s="144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42"/>
      <c r="J820" s="1442"/>
      <c r="K820" s="1443"/>
      <c r="L820" s="1443"/>
      <c r="M820" s="1443"/>
      <c r="N820" s="1443"/>
      <c r="O820" s="1443"/>
      <c r="P820" s="1443"/>
      <c r="Q820" s="1244"/>
      <c r="R820" s="1244"/>
      <c r="S820" s="1244"/>
      <c r="T820" s="1244"/>
      <c r="U820" s="1244"/>
      <c r="V820" s="1244"/>
      <c r="W820" s="1244"/>
      <c r="X820" s="1244"/>
      <c r="Y820" s="1244"/>
      <c r="Z820" s="1244"/>
    </row>
    <row r="821" spans="1:26" ht="18.75">
      <c r="A821" s="1368"/>
      <c r="B821" s="1243" t="s">
        <v>325</v>
      </c>
      <c r="C821" s="1243"/>
      <c r="D821" s="1242"/>
      <c r="E821" s="1243"/>
      <c r="F821" s="1243"/>
      <c r="G821" s="963"/>
      <c r="H821" s="590" t="s">
        <v>12</v>
      </c>
      <c r="I821" s="830">
        <f ca="1">IFERROR(__xludf.DUMMYFUNCTION("IMPORTRANGE(""https://docs.google.com/spreadsheets/d/19vJNZY_5yjcGF2XGBMNZRCAIB0Kwfpjp8YEOfu-bneM/edit?usp=sharing"",""งานกองทุน!D18"")"),1260000)</f>
        <v>1260000</v>
      </c>
      <c r="J821" s="830">
        <f ca="1">IFERROR(__xludf.DUMMYFUNCTION("IMPORTRANGE(""https://docs.google.com/spreadsheets/d/19vJNZY_5yjcGF2XGBMNZRCAIB0Kwfpjp8YEOfu-bneM/edit?usp=sharing"",""งานกองทุน!F18"")"),153200.01)</f>
        <v>153200.01</v>
      </c>
      <c r="K821" s="831">
        <f t="shared" ref="K821:K828" ca="1" si="336">IF(I821&gt;0,J821*100/I821,0)</f>
        <v>12.158730952380953</v>
      </c>
      <c r="L821" s="831"/>
      <c r="M821" s="831"/>
      <c r="N821" s="831"/>
      <c r="O821" s="831"/>
      <c r="P821" s="831"/>
      <c r="Q821" s="1244"/>
      <c r="R821" s="1244"/>
      <c r="S821" s="1244"/>
      <c r="T821" s="1244"/>
      <c r="U821" s="1244"/>
      <c r="V821" s="1244"/>
      <c r="W821" s="1244"/>
      <c r="X821" s="1244"/>
      <c r="Y821" s="1244"/>
      <c r="Z821" s="1244"/>
    </row>
    <row r="822" spans="1:26" ht="18.75">
      <c r="A822" s="1368"/>
      <c r="B822" s="1243"/>
      <c r="C822" s="1243"/>
      <c r="D822" s="1242"/>
      <c r="E822" s="1243"/>
      <c r="F822" s="1243"/>
      <c r="G822" s="963"/>
      <c r="H822" s="590" t="s">
        <v>35</v>
      </c>
      <c r="I822" s="830">
        <f ca="1">IFERROR(__xludf.DUMMYFUNCTION("IMPORTRANGE(""https://docs.google.com/spreadsheets/d/19vJNZY_5yjcGF2XGBMNZRCAIB0Kwfpjp8YEOfu-bneM/edit?usp=sharing"",""งานกองทุน!C18"")"),63)</f>
        <v>63</v>
      </c>
      <c r="J822" s="830">
        <f ca="1">IFERROR(__xludf.DUMMYFUNCTION("IMPORTRANGE(""https://docs.google.com/spreadsheets/d/19vJNZY_5yjcGF2XGBMNZRCAIB0Kwfpjp8YEOfu-bneM/edit?usp=sharing"",""งานกองทุน!E18"")"),13)</f>
        <v>13</v>
      </c>
      <c r="K822" s="831">
        <f t="shared" ca="1" si="336"/>
        <v>20.634920634920636</v>
      </c>
      <c r="L822" s="831"/>
      <c r="M822" s="831"/>
      <c r="N822" s="831"/>
      <c r="O822" s="831"/>
      <c r="P822" s="831"/>
      <c r="Q822" s="1244"/>
      <c r="R822" s="1244"/>
      <c r="S822" s="1244"/>
      <c r="T822" s="1244"/>
      <c r="U822" s="1244"/>
      <c r="V822" s="1244"/>
      <c r="W822" s="1244"/>
      <c r="X822" s="1244"/>
      <c r="Y822" s="1244"/>
      <c r="Z822" s="1244"/>
    </row>
    <row r="823" spans="1:26" ht="18.75">
      <c r="A823" s="1368"/>
      <c r="B823" s="1243" t="s">
        <v>326</v>
      </c>
      <c r="C823" s="1243"/>
      <c r="D823" s="1242"/>
      <c r="E823" s="1243"/>
      <c r="F823" s="1243"/>
      <c r="G823" s="963"/>
      <c r="H823" s="590" t="s">
        <v>12</v>
      </c>
      <c r="I823" s="830">
        <f ca="1">IFERROR(__xludf.DUMMYFUNCTION("IMPORTRANGE(""https://docs.google.com/spreadsheets/d/19vJNZY_5yjcGF2XGBMNZRCAIB0Kwfpjp8YEOfu-bneM/edit?usp=sharing"",""งานกองทุน!I18"")"),4791810.1)</f>
        <v>4791810.0999999996</v>
      </c>
      <c r="J823" s="830">
        <f ca="1">IFERROR(__xludf.DUMMYFUNCTION("IMPORTRANGE(""https://docs.google.com/spreadsheets/d/19vJNZY_5yjcGF2XGBMNZRCAIB0Kwfpjp8YEOfu-bneM/edit?usp=sharing"",""งานกองทุน!K18"")"),285152.09)</f>
        <v>285152.09000000003</v>
      </c>
      <c r="K823" s="831">
        <f t="shared" ca="1" si="336"/>
        <v>5.9508220077419187</v>
      </c>
      <c r="L823" s="831"/>
      <c r="M823" s="831"/>
      <c r="N823" s="831"/>
      <c r="O823" s="831"/>
      <c r="P823" s="831"/>
      <c r="Q823" s="1244"/>
      <c r="R823" s="1244"/>
      <c r="S823" s="1244"/>
      <c r="T823" s="1244"/>
      <c r="U823" s="1244"/>
      <c r="V823" s="1244"/>
      <c r="W823" s="1244"/>
      <c r="X823" s="1244"/>
      <c r="Y823" s="1244"/>
      <c r="Z823" s="1244"/>
    </row>
    <row r="824" spans="1:26" ht="18.75">
      <c r="A824" s="1368"/>
      <c r="B824" s="1243"/>
      <c r="C824" s="1243"/>
      <c r="D824" s="1242"/>
      <c r="E824" s="1243"/>
      <c r="F824" s="1243"/>
      <c r="G824" s="963"/>
      <c r="H824" s="590" t="s">
        <v>35</v>
      </c>
      <c r="I824" s="830">
        <f ca="1">IFERROR(__xludf.DUMMYFUNCTION("IMPORTRANGE(""https://docs.google.com/spreadsheets/d/19vJNZY_5yjcGF2XGBMNZRCAIB0Kwfpjp8YEOfu-bneM/edit?usp=sharing"",""งานกองทุน!H18"")"),261)</f>
        <v>261</v>
      </c>
      <c r="J824" s="830">
        <f ca="1">IFERROR(__xludf.DUMMYFUNCTION("IMPORTRANGE(""https://docs.google.com/spreadsheets/d/19vJNZY_5yjcGF2XGBMNZRCAIB0Kwfpjp8YEOfu-bneM/edit?usp=sharing"",""งานกองทุน!J18"")"),27)</f>
        <v>27</v>
      </c>
      <c r="K824" s="831">
        <f t="shared" ca="1" si="336"/>
        <v>10.344827586206897</v>
      </c>
      <c r="L824" s="831"/>
      <c r="M824" s="831"/>
      <c r="N824" s="831"/>
      <c r="O824" s="831"/>
      <c r="P824" s="831"/>
      <c r="Q824" s="1244"/>
      <c r="R824" s="1244"/>
      <c r="S824" s="1244"/>
      <c r="T824" s="1244"/>
      <c r="U824" s="1244"/>
      <c r="V824" s="1244"/>
      <c r="W824" s="1244"/>
      <c r="X824" s="1244"/>
      <c r="Y824" s="1244"/>
      <c r="Z824" s="1244"/>
    </row>
    <row r="825" spans="1:26" ht="18.75">
      <c r="A825" s="1368"/>
      <c r="B825" s="1243" t="s">
        <v>327</v>
      </c>
      <c r="C825" s="1243"/>
      <c r="D825" s="1242"/>
      <c r="E825" s="1243"/>
      <c r="F825" s="1243"/>
      <c r="G825" s="963"/>
      <c r="H825" s="590" t="s">
        <v>12</v>
      </c>
      <c r="I825" s="830">
        <f ca="1">IFERROR(__xludf.DUMMYFUNCTION("IMPORTRANGE(""https://docs.google.com/spreadsheets/d/19vJNZY_5yjcGF2XGBMNZRCAIB0Kwfpjp8YEOfu-bneM/edit?usp=sharing"",""งานกองทุน!N18"")"),44668333.64)</f>
        <v>44668333.640000001</v>
      </c>
      <c r="J825" s="830">
        <f ca="1">IFERROR(__xludf.DUMMYFUNCTION("IMPORTRANGE(""https://docs.google.com/spreadsheets/d/19vJNZY_5yjcGF2XGBMNZRCAIB0Kwfpjp8YEOfu-bneM/edit?usp=sharing"",""งานกองทุน!P18"")"),10762022.65)</f>
        <v>10762022.65</v>
      </c>
      <c r="K825" s="831">
        <f t="shared" ca="1" si="336"/>
        <v>24.093181394979837</v>
      </c>
      <c r="L825" s="831"/>
      <c r="M825" s="831"/>
      <c r="N825" s="831"/>
      <c r="O825" s="831"/>
      <c r="P825" s="831"/>
      <c r="Q825" s="1244"/>
      <c r="R825" s="1244"/>
      <c r="S825" s="1244"/>
      <c r="T825" s="1244"/>
      <c r="U825" s="1244"/>
      <c r="V825" s="1244"/>
      <c r="W825" s="1244"/>
      <c r="X825" s="1244"/>
      <c r="Y825" s="1244"/>
      <c r="Z825" s="1244"/>
    </row>
    <row r="826" spans="1:26" ht="18.75">
      <c r="A826" s="1368"/>
      <c r="B826" s="1243"/>
      <c r="C826" s="1243"/>
      <c r="D826" s="1242"/>
      <c r="E826" s="1243"/>
      <c r="F826" s="1243"/>
      <c r="G826" s="963"/>
      <c r="H826" s="590" t="s">
        <v>35</v>
      </c>
      <c r="I826" s="830">
        <f ca="1">IFERROR(__xludf.DUMMYFUNCTION("IMPORTRANGE(""https://docs.google.com/spreadsheets/d/19vJNZY_5yjcGF2XGBMNZRCAIB0Kwfpjp8YEOfu-bneM/edit?usp=sharing"",""งานกองทุน!M18"")"),3484)</f>
        <v>3484</v>
      </c>
      <c r="J826" s="830">
        <f ca="1">IFERROR(__xludf.DUMMYFUNCTION("IMPORTRANGE(""https://docs.google.com/spreadsheets/d/19vJNZY_5yjcGF2XGBMNZRCAIB0Kwfpjp8YEOfu-bneM/edit?usp=sharing"",""งานกองทุน!O18"")"),1785)</f>
        <v>1785</v>
      </c>
      <c r="K826" s="831">
        <f t="shared" ca="1" si="336"/>
        <v>51.234213547646384</v>
      </c>
      <c r="L826" s="831"/>
      <c r="M826" s="831"/>
      <c r="N826" s="831"/>
      <c r="O826" s="831"/>
      <c r="P826" s="831"/>
      <c r="Q826" s="1244"/>
      <c r="R826" s="1244"/>
      <c r="S826" s="1244"/>
      <c r="T826" s="1244"/>
      <c r="U826" s="1244"/>
      <c r="V826" s="1244"/>
      <c r="W826" s="1244"/>
      <c r="X826" s="1244"/>
      <c r="Y826" s="1244"/>
      <c r="Z826" s="1244"/>
    </row>
    <row r="827" spans="1:26" ht="18.75">
      <c r="A827" s="1368"/>
      <c r="B827" s="1243" t="s">
        <v>328</v>
      </c>
      <c r="C827" s="1243"/>
      <c r="D827" s="1242"/>
      <c r="E827" s="1243"/>
      <c r="F827" s="1243"/>
      <c r="G827" s="963"/>
      <c r="H827" s="590" t="s">
        <v>12</v>
      </c>
      <c r="I827" s="830">
        <f ca="1">IFERROR(__xludf.DUMMYFUNCTION("IMPORTRANGE(""https://docs.google.com/spreadsheets/d/19vJNZY_5yjcGF2XGBMNZRCAIB0Kwfpjp8YEOfu-bneM/edit?usp=sharing"",""งานกองทุน!S18"")"),1930000)</f>
        <v>1930000</v>
      </c>
      <c r="J827" s="830">
        <f ca="1">IFERROR(__xludf.DUMMYFUNCTION("IMPORTRANGE(""https://docs.google.com/spreadsheets/d/19vJNZY_5yjcGF2XGBMNZRCAIB0Kwfpjp8YEOfu-bneM/edit?usp=sharing"",""งานกองทุน!U18"")"),600000)</f>
        <v>600000</v>
      </c>
      <c r="K827" s="831">
        <f t="shared" ca="1" si="336"/>
        <v>31.088082901554404</v>
      </c>
      <c r="L827" s="831"/>
      <c r="M827" s="831"/>
      <c r="N827" s="831"/>
      <c r="O827" s="831"/>
      <c r="P827" s="831"/>
      <c r="Q827" s="1244"/>
      <c r="R827" s="1244"/>
      <c r="S827" s="1244"/>
      <c r="T827" s="1244"/>
      <c r="U827" s="1244"/>
      <c r="V827" s="1244"/>
      <c r="W827" s="1244"/>
      <c r="X827" s="1244"/>
      <c r="Y827" s="1244"/>
      <c r="Z827" s="1244"/>
    </row>
    <row r="828" spans="1:26" ht="18.75">
      <c r="A828" s="1369"/>
      <c r="B828" s="1371"/>
      <c r="C828" s="1371"/>
      <c r="D828" s="1370"/>
      <c r="E828" s="1371"/>
      <c r="F828" s="1371"/>
      <c r="G828" s="1434"/>
      <c r="H828" s="802" t="s">
        <v>35</v>
      </c>
      <c r="I828" s="1085">
        <f ca="1">IFERROR(__xludf.DUMMYFUNCTION("IMPORTRANGE(""https://docs.google.com/spreadsheets/d/19vJNZY_5yjcGF2XGBMNZRCAIB0Kwfpjp8YEOfu-bneM/edit?usp=sharing"",""งานกองทุน!R18"")"),77)</f>
        <v>77</v>
      </c>
      <c r="J828" s="1085">
        <f ca="1">IFERROR(__xludf.DUMMYFUNCTION("IMPORTRANGE(""https://docs.google.com/spreadsheets/d/19vJNZY_5yjcGF2XGBMNZRCAIB0Kwfpjp8YEOfu-bneM/edit?usp=sharing"",""งานกองทุน!T18"")"),30)</f>
        <v>30</v>
      </c>
      <c r="K828" s="1182">
        <f t="shared" ca="1" si="336"/>
        <v>38.961038961038959</v>
      </c>
      <c r="L828" s="1182"/>
      <c r="M828" s="1182"/>
      <c r="N828" s="1182"/>
      <c r="O828" s="1182"/>
      <c r="P828" s="1182"/>
      <c r="Q828" s="1244"/>
      <c r="R828" s="1244"/>
      <c r="S828" s="1244"/>
      <c r="T828" s="1244"/>
      <c r="U828" s="1244"/>
      <c r="V828" s="1244"/>
      <c r="W828" s="1244"/>
      <c r="X828" s="1244"/>
      <c r="Y828" s="1244"/>
      <c r="Z828" s="124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13F3E-9360-4D48-8567-35F698DAB0E9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Q24" sqref="Q24"/>
      <selection pane="bottomLeft" activeCell="Q24" sqref="Q24"/>
    </sheetView>
  </sheetViews>
  <sheetFormatPr defaultColWidth="12.5703125" defaultRowHeight="15.75" customHeight="1"/>
  <cols>
    <col min="1" max="3" width="3.28515625" style="803" customWidth="1"/>
    <col min="4" max="6" width="5.85546875" style="803" customWidth="1"/>
    <col min="7" max="7" width="56.42578125" style="803" customWidth="1"/>
    <col min="8" max="8" width="9.42578125" style="803" customWidth="1"/>
    <col min="9" max="10" width="16.85546875" style="803" bestFit="1" customWidth="1"/>
    <col min="11" max="11" width="12.5703125" style="803" bestFit="1" customWidth="1"/>
    <col min="12" max="14" width="21.28515625" style="803" bestFit="1" customWidth="1"/>
    <col min="15" max="15" width="20.140625" style="803" bestFit="1" customWidth="1"/>
    <col min="16" max="16" width="22" style="803" bestFit="1" customWidth="1"/>
    <col min="17" max="16384" width="12.5703125" style="803"/>
  </cols>
  <sheetData>
    <row r="1" spans="1:26" ht="19.5">
      <c r="A1" s="1498" t="s">
        <v>0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</row>
    <row r="2" spans="1:26" ht="19.5">
      <c r="A2" s="1498" t="s">
        <v>339</v>
      </c>
      <c r="B2" s="1516"/>
      <c r="C2" s="1516"/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  <c r="O2" s="1516"/>
      <c r="P2" s="1516"/>
    </row>
    <row r="3" spans="1:26" ht="19.5">
      <c r="A3" s="1498" t="s">
        <v>329</v>
      </c>
      <c r="B3" s="1516"/>
      <c r="C3" s="1516"/>
      <c r="D3" s="1516"/>
      <c r="E3" s="1516"/>
      <c r="F3" s="1516"/>
      <c r="G3" s="1516"/>
      <c r="H3" s="1516"/>
      <c r="I3" s="1516"/>
      <c r="J3" s="1516"/>
      <c r="K3" s="1516"/>
      <c r="L3" s="1516"/>
      <c r="M3" s="1516"/>
      <c r="N3" s="1516"/>
      <c r="O3" s="1516"/>
      <c r="P3" s="1516"/>
    </row>
    <row r="4" spans="1:26" ht="12.75">
      <c r="A4" s="804"/>
      <c r="B4" s="804"/>
      <c r="C4" s="804"/>
      <c r="D4" s="804"/>
      <c r="E4" s="804"/>
      <c r="F4" s="804"/>
      <c r="G4" s="804"/>
      <c r="H4" s="804"/>
      <c r="I4" s="804"/>
      <c r="J4" s="805"/>
      <c r="K4" s="806"/>
      <c r="L4" s="805"/>
      <c r="M4" s="805"/>
      <c r="N4" s="805"/>
      <c r="O4" s="804"/>
      <c r="P4" s="804"/>
    </row>
    <row r="5" spans="1:26" ht="19.5">
      <c r="A5" s="1504" t="s">
        <v>2</v>
      </c>
      <c r="B5" s="1516"/>
      <c r="C5" s="1516"/>
      <c r="D5" s="1516"/>
      <c r="E5" s="1516"/>
      <c r="F5" s="1516"/>
      <c r="G5" s="1505"/>
      <c r="H5" s="1500" t="s">
        <v>3</v>
      </c>
      <c r="I5" s="1501" t="s">
        <v>4</v>
      </c>
      <c r="J5" s="1494"/>
      <c r="K5" s="1495"/>
      <c r="L5" s="1502" t="s">
        <v>5</v>
      </c>
      <c r="M5" s="1495"/>
      <c r="N5" s="1503" t="s">
        <v>6</v>
      </c>
      <c r="O5" s="1494"/>
      <c r="P5" s="1495"/>
    </row>
    <row r="6" spans="1:26" ht="19.5">
      <c r="A6" s="1506"/>
      <c r="B6" s="1494"/>
      <c r="C6" s="1494"/>
      <c r="D6" s="1494"/>
      <c r="E6" s="1494"/>
      <c r="F6" s="1494"/>
      <c r="G6" s="1495"/>
      <c r="H6" s="14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12" t="s">
        <v>15</v>
      </c>
      <c r="B7" s="1494"/>
      <c r="C7" s="1494"/>
      <c r="D7" s="1494"/>
      <c r="E7" s="1494"/>
      <c r="F7" s="1494"/>
      <c r="G7" s="1495"/>
      <c r="H7" s="807"/>
      <c r="I7" s="808"/>
      <c r="J7" s="808"/>
      <c r="K7" s="809"/>
      <c r="L7" s="809"/>
      <c r="M7" s="809"/>
      <c r="N7" s="809"/>
      <c r="O7" s="809"/>
      <c r="P7" s="809"/>
    </row>
    <row r="8" spans="1:26" ht="19.5">
      <c r="A8" s="810"/>
      <c r="B8" s="811"/>
      <c r="C8" s="812" t="s">
        <v>16</v>
      </c>
      <c r="D8" s="813" t="s">
        <v>17</v>
      </c>
      <c r="E8" s="811"/>
      <c r="F8" s="811"/>
      <c r="G8" s="814"/>
      <c r="H8" s="19" t="s">
        <v>12</v>
      </c>
      <c r="I8" s="815"/>
      <c r="J8" s="815"/>
      <c r="K8" s="816"/>
      <c r="L8" s="817">
        <f t="shared" ref="L8:N8" ca="1" si="0">L9+L10</f>
        <v>7984782</v>
      </c>
      <c r="M8" s="817">
        <f t="shared" ca="1" si="0"/>
        <v>5326209</v>
      </c>
      <c r="N8" s="817">
        <f t="shared" ca="1" si="0"/>
        <v>4342835.3</v>
      </c>
      <c r="O8" s="817">
        <f t="shared" ref="O8:O16" ca="1" si="1">IF(L8&gt;0,N8*100/L8,0)</f>
        <v>54.388902539856439</v>
      </c>
      <c r="P8" s="817">
        <f t="shared" ref="P8:P16" ca="1" si="2">IF(M8&gt;0,N8*100/M8,0)</f>
        <v>81.537080125845605</v>
      </c>
      <c r="Q8" s="818"/>
      <c r="R8" s="818"/>
      <c r="S8" s="818"/>
      <c r="T8" s="818"/>
      <c r="U8" s="818"/>
      <c r="V8" s="818"/>
      <c r="W8" s="818"/>
      <c r="X8" s="818"/>
      <c r="Y8" s="818"/>
      <c r="Z8" s="818"/>
    </row>
    <row r="9" spans="1:26" ht="18.75" hidden="1">
      <c r="A9" s="819"/>
      <c r="B9" s="820"/>
      <c r="C9" s="820"/>
      <c r="D9" s="820"/>
      <c r="E9" s="821" t="s">
        <v>18</v>
      </c>
      <c r="F9" s="820"/>
      <c r="G9" s="822"/>
      <c r="H9" s="28" t="s">
        <v>12</v>
      </c>
      <c r="I9" s="823"/>
      <c r="J9" s="823"/>
      <c r="K9" s="824"/>
      <c r="L9" s="824">
        <f t="shared" ref="L9:N10" si="3">L12+L15</f>
        <v>0</v>
      </c>
      <c r="M9" s="824">
        <f t="shared" si="3"/>
        <v>0</v>
      </c>
      <c r="N9" s="824">
        <f t="shared" si="3"/>
        <v>0</v>
      </c>
      <c r="O9" s="824">
        <f t="shared" si="1"/>
        <v>0</v>
      </c>
      <c r="P9" s="824">
        <f t="shared" si="2"/>
        <v>0</v>
      </c>
      <c r="Q9" s="825"/>
      <c r="R9" s="825"/>
      <c r="S9" s="825"/>
      <c r="T9" s="825"/>
      <c r="U9" s="825"/>
      <c r="V9" s="825"/>
      <c r="W9" s="825"/>
      <c r="X9" s="825"/>
      <c r="Y9" s="825"/>
      <c r="Z9" s="825"/>
    </row>
    <row r="10" spans="1:26" ht="18.75" hidden="1">
      <c r="A10" s="819"/>
      <c r="B10" s="820"/>
      <c r="C10" s="820"/>
      <c r="D10" s="820"/>
      <c r="E10" s="821" t="s">
        <v>19</v>
      </c>
      <c r="F10" s="820"/>
      <c r="G10" s="822"/>
      <c r="H10" s="28" t="s">
        <v>12</v>
      </c>
      <c r="I10" s="823"/>
      <c r="J10" s="823"/>
      <c r="K10" s="824"/>
      <c r="L10" s="824">
        <f t="shared" ca="1" si="3"/>
        <v>7984782</v>
      </c>
      <c r="M10" s="824">
        <f t="shared" ca="1" si="3"/>
        <v>5326209</v>
      </c>
      <c r="N10" s="824">
        <f t="shared" ca="1" si="3"/>
        <v>4342835.3</v>
      </c>
      <c r="O10" s="824">
        <f t="shared" ca="1" si="1"/>
        <v>54.388902539856439</v>
      </c>
      <c r="P10" s="824">
        <f t="shared" ca="1" si="2"/>
        <v>81.537080125845605</v>
      </c>
      <c r="Q10" s="825"/>
      <c r="R10" s="825"/>
      <c r="S10" s="825"/>
      <c r="T10" s="825"/>
      <c r="U10" s="825"/>
      <c r="V10" s="825"/>
      <c r="W10" s="825"/>
      <c r="X10" s="825"/>
      <c r="Y10" s="825"/>
      <c r="Z10" s="825"/>
    </row>
    <row r="11" spans="1:26" ht="18.75">
      <c r="A11" s="826"/>
      <c r="B11" s="827"/>
      <c r="C11" s="827"/>
      <c r="D11" s="828" t="s">
        <v>20</v>
      </c>
      <c r="E11" s="827"/>
      <c r="F11" s="827"/>
      <c r="G11" s="829"/>
      <c r="H11" s="590" t="s">
        <v>12</v>
      </c>
      <c r="I11" s="830"/>
      <c r="J11" s="830"/>
      <c r="K11" s="831"/>
      <c r="L11" s="831">
        <f t="shared" ref="L11:N11" ca="1" si="4">L12+L13</f>
        <v>5590182</v>
      </c>
      <c r="M11" s="831">
        <f t="shared" ca="1" si="4"/>
        <v>3128309</v>
      </c>
      <c r="N11" s="831">
        <f t="shared" ca="1" si="4"/>
        <v>2150935.2999999998</v>
      </c>
      <c r="O11" s="831">
        <f t="shared" ca="1" si="1"/>
        <v>38.4770173851227</v>
      </c>
      <c r="P11" s="831">
        <f t="shared" ca="1" si="2"/>
        <v>68.757124056479071</v>
      </c>
      <c r="Q11" s="818"/>
      <c r="R11" s="818"/>
      <c r="S11" s="818"/>
      <c r="T11" s="818"/>
      <c r="U11" s="818"/>
      <c r="V11" s="818"/>
      <c r="W11" s="818"/>
      <c r="X11" s="818"/>
      <c r="Y11" s="818"/>
      <c r="Z11" s="818"/>
    </row>
    <row r="12" spans="1:26" ht="18.75" hidden="1">
      <c r="A12" s="832"/>
      <c r="B12" s="833"/>
      <c r="C12" s="833"/>
      <c r="D12" s="833"/>
      <c r="E12" s="834" t="s">
        <v>18</v>
      </c>
      <c r="F12" s="833"/>
      <c r="G12" s="835"/>
      <c r="H12" s="43" t="s">
        <v>12</v>
      </c>
      <c r="I12" s="836"/>
      <c r="J12" s="836"/>
      <c r="K12" s="837"/>
      <c r="L12" s="837">
        <f t="shared" ref="L12:N13" si="5">L22+L32</f>
        <v>0</v>
      </c>
      <c r="M12" s="837">
        <f t="shared" si="5"/>
        <v>0</v>
      </c>
      <c r="N12" s="837">
        <f t="shared" si="5"/>
        <v>0</v>
      </c>
      <c r="O12" s="837">
        <f t="shared" si="1"/>
        <v>0</v>
      </c>
      <c r="P12" s="837">
        <f t="shared" si="2"/>
        <v>0</v>
      </c>
      <c r="Q12" s="825"/>
      <c r="R12" s="825"/>
      <c r="S12" s="825"/>
      <c r="T12" s="825"/>
      <c r="U12" s="825"/>
      <c r="V12" s="825"/>
      <c r="W12" s="825"/>
      <c r="X12" s="825"/>
      <c r="Y12" s="825"/>
      <c r="Z12" s="825"/>
    </row>
    <row r="13" spans="1:26" ht="18.75" hidden="1">
      <c r="A13" s="832"/>
      <c r="B13" s="833"/>
      <c r="C13" s="833"/>
      <c r="D13" s="833"/>
      <c r="E13" s="834" t="s">
        <v>19</v>
      </c>
      <c r="F13" s="833"/>
      <c r="G13" s="835"/>
      <c r="H13" s="43" t="s">
        <v>12</v>
      </c>
      <c r="I13" s="836"/>
      <c r="J13" s="836"/>
      <c r="K13" s="837"/>
      <c r="L13" s="837">
        <f t="shared" ca="1" si="5"/>
        <v>5590182</v>
      </c>
      <c r="M13" s="837">
        <f t="shared" ca="1" si="5"/>
        <v>3128309</v>
      </c>
      <c r="N13" s="837">
        <f t="shared" ca="1" si="5"/>
        <v>2150935.2999999998</v>
      </c>
      <c r="O13" s="837">
        <f t="shared" ca="1" si="1"/>
        <v>38.4770173851227</v>
      </c>
      <c r="P13" s="837">
        <f t="shared" ca="1" si="2"/>
        <v>68.757124056479071</v>
      </c>
      <c r="Q13" s="825"/>
      <c r="R13" s="825"/>
      <c r="S13" s="825"/>
      <c r="T13" s="825"/>
      <c r="U13" s="825"/>
      <c r="V13" s="825"/>
      <c r="W13" s="825"/>
      <c r="X13" s="825"/>
      <c r="Y13" s="825"/>
      <c r="Z13" s="825"/>
    </row>
    <row r="14" spans="1:26" ht="18.75">
      <c r="A14" s="826"/>
      <c r="B14" s="827"/>
      <c r="C14" s="827"/>
      <c r="D14" s="828" t="s">
        <v>21</v>
      </c>
      <c r="E14" s="827"/>
      <c r="F14" s="827"/>
      <c r="G14" s="829"/>
      <c r="H14" s="590" t="s">
        <v>12</v>
      </c>
      <c r="I14" s="830"/>
      <c r="J14" s="830"/>
      <c r="K14" s="831"/>
      <c r="L14" s="831">
        <f t="shared" ref="L14:N14" ca="1" si="6">L15+L16</f>
        <v>2394600</v>
      </c>
      <c r="M14" s="831">
        <f t="shared" ca="1" si="6"/>
        <v>2197900</v>
      </c>
      <c r="N14" s="831">
        <f t="shared" ca="1" si="6"/>
        <v>2191900</v>
      </c>
      <c r="O14" s="831">
        <f t="shared" ca="1" si="1"/>
        <v>91.535120688215144</v>
      </c>
      <c r="P14" s="831">
        <f t="shared" ca="1" si="2"/>
        <v>99.727012147959414</v>
      </c>
      <c r="Q14" s="818"/>
      <c r="R14" s="818"/>
      <c r="S14" s="818"/>
      <c r="T14" s="818"/>
      <c r="U14" s="818"/>
      <c r="V14" s="818"/>
      <c r="W14" s="818"/>
      <c r="X14" s="818"/>
      <c r="Y14" s="818"/>
      <c r="Z14" s="818"/>
    </row>
    <row r="15" spans="1:26" ht="18.75" hidden="1">
      <c r="A15" s="832"/>
      <c r="B15" s="833"/>
      <c r="C15" s="833"/>
      <c r="D15" s="833"/>
      <c r="E15" s="834" t="s">
        <v>18</v>
      </c>
      <c r="F15" s="833"/>
      <c r="G15" s="835"/>
      <c r="H15" s="43" t="s">
        <v>12</v>
      </c>
      <c r="I15" s="836"/>
      <c r="J15" s="836"/>
      <c r="K15" s="837"/>
      <c r="L15" s="837">
        <f t="shared" ref="L15:N16" si="7">L25+L35</f>
        <v>0</v>
      </c>
      <c r="M15" s="837">
        <f t="shared" si="7"/>
        <v>0</v>
      </c>
      <c r="N15" s="837">
        <f t="shared" si="7"/>
        <v>0</v>
      </c>
      <c r="O15" s="837">
        <f t="shared" si="1"/>
        <v>0</v>
      </c>
      <c r="P15" s="837">
        <f t="shared" si="2"/>
        <v>0</v>
      </c>
      <c r="Q15" s="825"/>
      <c r="R15" s="825"/>
      <c r="S15" s="825"/>
      <c r="T15" s="825"/>
      <c r="U15" s="825"/>
      <c r="V15" s="825"/>
      <c r="W15" s="825"/>
      <c r="X15" s="825"/>
      <c r="Y15" s="825"/>
      <c r="Z15" s="825"/>
    </row>
    <row r="16" spans="1:26" ht="18.75" hidden="1">
      <c r="A16" s="838"/>
      <c r="B16" s="839"/>
      <c r="C16" s="839"/>
      <c r="D16" s="839"/>
      <c r="E16" s="840" t="s">
        <v>19</v>
      </c>
      <c r="F16" s="839"/>
      <c r="G16" s="841"/>
      <c r="H16" s="50" t="s">
        <v>12</v>
      </c>
      <c r="I16" s="842"/>
      <c r="J16" s="842"/>
      <c r="K16" s="843"/>
      <c r="L16" s="843">
        <f t="shared" ca="1" si="7"/>
        <v>2394600</v>
      </c>
      <c r="M16" s="843">
        <f t="shared" ca="1" si="7"/>
        <v>2197900</v>
      </c>
      <c r="N16" s="843">
        <f t="shared" ca="1" si="7"/>
        <v>2191900</v>
      </c>
      <c r="O16" s="843">
        <f t="shared" ca="1" si="1"/>
        <v>91.535120688215144</v>
      </c>
      <c r="P16" s="843">
        <f t="shared" ca="1" si="2"/>
        <v>99.727012147959414</v>
      </c>
      <c r="Q16" s="825"/>
      <c r="R16" s="825"/>
      <c r="S16" s="825"/>
      <c r="T16" s="825"/>
      <c r="U16" s="825"/>
      <c r="V16" s="825"/>
      <c r="W16" s="825"/>
      <c r="X16" s="825"/>
      <c r="Y16" s="825"/>
      <c r="Z16" s="825"/>
    </row>
    <row r="17" spans="1:26" ht="19.5">
      <c r="A17" s="1512" t="s">
        <v>22</v>
      </c>
      <c r="B17" s="1494"/>
      <c r="C17" s="1494"/>
      <c r="D17" s="1494"/>
      <c r="E17" s="1494"/>
      <c r="F17" s="1494"/>
      <c r="G17" s="1495"/>
      <c r="H17" s="807"/>
      <c r="I17" s="808"/>
      <c r="J17" s="808"/>
      <c r="K17" s="809"/>
      <c r="L17" s="809"/>
      <c r="M17" s="809"/>
      <c r="N17" s="809"/>
      <c r="O17" s="809"/>
      <c r="P17" s="809"/>
    </row>
    <row r="18" spans="1:26" ht="19.5">
      <c r="A18" s="810"/>
      <c r="B18" s="811"/>
      <c r="C18" s="812" t="s">
        <v>16</v>
      </c>
      <c r="D18" s="813" t="s">
        <v>17</v>
      </c>
      <c r="E18" s="811"/>
      <c r="F18" s="811"/>
      <c r="G18" s="814"/>
      <c r="H18" s="19" t="s">
        <v>12</v>
      </c>
      <c r="I18" s="815"/>
      <c r="J18" s="815"/>
      <c r="K18" s="816"/>
      <c r="L18" s="817">
        <f t="shared" ref="L18:N18" ca="1" si="8">L19+L20</f>
        <v>6257790</v>
      </c>
      <c r="M18" s="817">
        <f t="shared" ca="1" si="8"/>
        <v>5326209</v>
      </c>
      <c r="N18" s="817">
        <f t="shared" ca="1" si="8"/>
        <v>3918882.3</v>
      </c>
      <c r="O18" s="817">
        <f t="shared" ref="O18:O26" ca="1" si="9">IF(L18&gt;0,N18*100/L18,0)</f>
        <v>62.624062168912666</v>
      </c>
      <c r="P18" s="817">
        <f t="shared" ref="P18:P26" ca="1" si="10">IF(M18&gt;0,N18*100/M18,0)</f>
        <v>73.577328640314335</v>
      </c>
      <c r="Q18" s="818"/>
      <c r="R18" s="818"/>
      <c r="S18" s="818"/>
      <c r="T18" s="818"/>
      <c r="U18" s="818"/>
      <c r="V18" s="818"/>
      <c r="W18" s="818"/>
      <c r="X18" s="818"/>
      <c r="Y18" s="818"/>
      <c r="Z18" s="818"/>
    </row>
    <row r="19" spans="1:26" ht="18.75" hidden="1">
      <c r="A19" s="819"/>
      <c r="B19" s="820"/>
      <c r="C19" s="820"/>
      <c r="D19" s="820"/>
      <c r="E19" s="821" t="s">
        <v>18</v>
      </c>
      <c r="F19" s="820"/>
      <c r="G19" s="822"/>
      <c r="H19" s="28" t="s">
        <v>12</v>
      </c>
      <c r="I19" s="823"/>
      <c r="J19" s="823"/>
      <c r="K19" s="824"/>
      <c r="L19" s="824">
        <f t="shared" ref="L19:N20" si="11">L22+L25</f>
        <v>0</v>
      </c>
      <c r="M19" s="824">
        <f t="shared" si="11"/>
        <v>0</v>
      </c>
      <c r="N19" s="824">
        <f t="shared" si="11"/>
        <v>0</v>
      </c>
      <c r="O19" s="824">
        <f t="shared" si="9"/>
        <v>0</v>
      </c>
      <c r="P19" s="824">
        <f t="shared" si="10"/>
        <v>0</v>
      </c>
      <c r="Q19" s="825"/>
      <c r="R19" s="825"/>
      <c r="S19" s="825"/>
      <c r="T19" s="825"/>
      <c r="U19" s="825"/>
      <c r="V19" s="825"/>
      <c r="W19" s="825"/>
      <c r="X19" s="825"/>
      <c r="Y19" s="825"/>
      <c r="Z19" s="825"/>
    </row>
    <row r="20" spans="1:26" ht="18.75" hidden="1">
      <c r="A20" s="819"/>
      <c r="B20" s="820"/>
      <c r="C20" s="820"/>
      <c r="D20" s="820"/>
      <c r="E20" s="821" t="s">
        <v>19</v>
      </c>
      <c r="F20" s="820"/>
      <c r="G20" s="822"/>
      <c r="H20" s="28" t="s">
        <v>12</v>
      </c>
      <c r="I20" s="823"/>
      <c r="J20" s="823"/>
      <c r="K20" s="824"/>
      <c r="L20" s="824">
        <f t="shared" ca="1" si="11"/>
        <v>6257790</v>
      </c>
      <c r="M20" s="824">
        <f t="shared" ca="1" si="11"/>
        <v>5326209</v>
      </c>
      <c r="N20" s="824">
        <f t="shared" ca="1" si="11"/>
        <v>3918882.3</v>
      </c>
      <c r="O20" s="824">
        <f t="shared" ca="1" si="9"/>
        <v>62.624062168912666</v>
      </c>
      <c r="P20" s="824">
        <f t="shared" ca="1" si="10"/>
        <v>73.577328640314335</v>
      </c>
      <c r="Q20" s="825"/>
      <c r="R20" s="825"/>
      <c r="S20" s="825"/>
      <c r="T20" s="825"/>
      <c r="U20" s="825"/>
      <c r="V20" s="825"/>
      <c r="W20" s="825"/>
      <c r="X20" s="825"/>
      <c r="Y20" s="825"/>
      <c r="Z20" s="825"/>
    </row>
    <row r="21" spans="1:26" ht="18.75">
      <c r="A21" s="826"/>
      <c r="B21" s="827"/>
      <c r="C21" s="827"/>
      <c r="D21" s="828" t="s">
        <v>20</v>
      </c>
      <c r="E21" s="827"/>
      <c r="F21" s="827"/>
      <c r="G21" s="829"/>
      <c r="H21" s="590" t="s">
        <v>12</v>
      </c>
      <c r="I21" s="830"/>
      <c r="J21" s="830"/>
      <c r="K21" s="831"/>
      <c r="L21" s="831">
        <f t="shared" ref="L21:N21" ca="1" si="12">L22+L23</f>
        <v>3863190</v>
      </c>
      <c r="M21" s="831">
        <f t="shared" ca="1" si="12"/>
        <v>3128309</v>
      </c>
      <c r="N21" s="831">
        <f t="shared" ca="1" si="12"/>
        <v>1726982.3</v>
      </c>
      <c r="O21" s="831">
        <f t="shared" ca="1" si="9"/>
        <v>44.703529984287599</v>
      </c>
      <c r="P21" s="831">
        <f t="shared" ca="1" si="10"/>
        <v>55.204978152733631</v>
      </c>
      <c r="Q21" s="818"/>
      <c r="R21" s="818"/>
      <c r="S21" s="818"/>
      <c r="T21" s="818"/>
      <c r="U21" s="818"/>
      <c r="V21" s="818"/>
      <c r="W21" s="818"/>
      <c r="X21" s="818"/>
      <c r="Y21" s="818"/>
      <c r="Z21" s="818"/>
    </row>
    <row r="22" spans="1:26" ht="18.75" hidden="1">
      <c r="A22" s="832"/>
      <c r="B22" s="833"/>
      <c r="C22" s="833"/>
      <c r="D22" s="833"/>
      <c r="E22" s="834" t="s">
        <v>18</v>
      </c>
      <c r="F22" s="833"/>
      <c r="G22" s="835"/>
      <c r="H22" s="43" t="s">
        <v>12</v>
      </c>
      <c r="I22" s="836"/>
      <c r="J22" s="836"/>
      <c r="K22" s="837"/>
      <c r="L22" s="837">
        <f t="shared" ref="L22:N23" si="13">L45+L57+L70+L92+L123+L136+L153+L185+L169+L265+L281+L302+L319+L332+L349+L393+L406</f>
        <v>0</v>
      </c>
      <c r="M22" s="837">
        <f t="shared" si="13"/>
        <v>0</v>
      </c>
      <c r="N22" s="837">
        <f t="shared" si="13"/>
        <v>0</v>
      </c>
      <c r="O22" s="837">
        <f t="shared" si="9"/>
        <v>0</v>
      </c>
      <c r="P22" s="837">
        <f t="shared" si="10"/>
        <v>0</v>
      </c>
      <c r="Q22" s="825"/>
      <c r="R22" s="825"/>
      <c r="S22" s="825"/>
      <c r="T22" s="825"/>
      <c r="U22" s="825"/>
      <c r="V22" s="825"/>
      <c r="W22" s="825"/>
      <c r="X22" s="825"/>
      <c r="Y22" s="825"/>
      <c r="Z22" s="825"/>
    </row>
    <row r="23" spans="1:26" ht="18.75" hidden="1">
      <c r="A23" s="832"/>
      <c r="B23" s="833"/>
      <c r="C23" s="833"/>
      <c r="D23" s="833"/>
      <c r="E23" s="834" t="s">
        <v>19</v>
      </c>
      <c r="F23" s="833"/>
      <c r="G23" s="835"/>
      <c r="H23" s="43" t="s">
        <v>12</v>
      </c>
      <c r="I23" s="836"/>
      <c r="J23" s="836"/>
      <c r="K23" s="837"/>
      <c r="L23" s="837">
        <f t="shared" ca="1" si="13"/>
        <v>3863190</v>
      </c>
      <c r="M23" s="837">
        <f t="shared" ca="1" si="13"/>
        <v>3128309</v>
      </c>
      <c r="N23" s="837">
        <f t="shared" ca="1" si="13"/>
        <v>1726982.3</v>
      </c>
      <c r="O23" s="837">
        <f t="shared" ca="1" si="9"/>
        <v>44.703529984287599</v>
      </c>
      <c r="P23" s="837">
        <f t="shared" ca="1" si="10"/>
        <v>55.204978152733631</v>
      </c>
      <c r="Q23" s="825"/>
      <c r="R23" s="825"/>
      <c r="S23" s="825"/>
      <c r="T23" s="825"/>
      <c r="U23" s="825"/>
      <c r="V23" s="825"/>
      <c r="W23" s="825"/>
      <c r="X23" s="825"/>
      <c r="Y23" s="825"/>
      <c r="Z23" s="825"/>
    </row>
    <row r="24" spans="1:26" ht="18.75">
      <c r="A24" s="826"/>
      <c r="B24" s="827"/>
      <c r="C24" s="827"/>
      <c r="D24" s="828" t="s">
        <v>21</v>
      </c>
      <c r="E24" s="827"/>
      <c r="F24" s="827"/>
      <c r="G24" s="829"/>
      <c r="H24" s="590" t="s">
        <v>12</v>
      </c>
      <c r="I24" s="830"/>
      <c r="J24" s="830"/>
      <c r="K24" s="831"/>
      <c r="L24" s="831">
        <f t="shared" ref="L24:N24" ca="1" si="14">L25+L26</f>
        <v>2394600</v>
      </c>
      <c r="M24" s="831">
        <f t="shared" ca="1" si="14"/>
        <v>2197900</v>
      </c>
      <c r="N24" s="831">
        <f t="shared" ca="1" si="14"/>
        <v>2191900</v>
      </c>
      <c r="O24" s="831">
        <f t="shared" ca="1" si="9"/>
        <v>91.535120688215144</v>
      </c>
      <c r="P24" s="831">
        <f t="shared" ca="1" si="10"/>
        <v>99.727012147959414</v>
      </c>
      <c r="Q24" s="818"/>
      <c r="R24" s="818"/>
      <c r="S24" s="818"/>
      <c r="T24" s="818"/>
      <c r="U24" s="818"/>
      <c r="V24" s="818"/>
      <c r="W24" s="818"/>
      <c r="X24" s="818"/>
      <c r="Y24" s="818"/>
      <c r="Z24" s="818"/>
    </row>
    <row r="25" spans="1:26" ht="18.75" hidden="1">
      <c r="A25" s="832"/>
      <c r="B25" s="833"/>
      <c r="C25" s="833"/>
      <c r="D25" s="833"/>
      <c r="E25" s="834" t="s">
        <v>18</v>
      </c>
      <c r="F25" s="833"/>
      <c r="G25" s="835"/>
      <c r="H25" s="43" t="s">
        <v>12</v>
      </c>
      <c r="I25" s="836"/>
      <c r="J25" s="836"/>
      <c r="K25" s="837"/>
      <c r="L25" s="837">
        <f t="shared" ref="L25:N26" si="15">L48+L60+L73+L95+L126+L139+L156+L188+L172+L268+L284+L305+L322+L335+L352+L396+L409</f>
        <v>0</v>
      </c>
      <c r="M25" s="837">
        <f t="shared" si="15"/>
        <v>0</v>
      </c>
      <c r="N25" s="837">
        <f t="shared" si="15"/>
        <v>0</v>
      </c>
      <c r="O25" s="837">
        <f t="shared" si="9"/>
        <v>0</v>
      </c>
      <c r="P25" s="837">
        <f t="shared" si="10"/>
        <v>0</v>
      </c>
      <c r="Q25" s="825"/>
      <c r="R25" s="825"/>
      <c r="S25" s="825"/>
      <c r="T25" s="825"/>
      <c r="U25" s="825"/>
      <c r="V25" s="825"/>
      <c r="W25" s="825"/>
      <c r="X25" s="825"/>
      <c r="Y25" s="825"/>
      <c r="Z25" s="825"/>
    </row>
    <row r="26" spans="1:26" ht="18.75" hidden="1">
      <c r="A26" s="838"/>
      <c r="B26" s="839"/>
      <c r="C26" s="839"/>
      <c r="D26" s="839"/>
      <c r="E26" s="840" t="s">
        <v>19</v>
      </c>
      <c r="F26" s="839"/>
      <c r="G26" s="841"/>
      <c r="H26" s="50" t="s">
        <v>12</v>
      </c>
      <c r="I26" s="842"/>
      <c r="J26" s="842"/>
      <c r="K26" s="843"/>
      <c r="L26" s="843">
        <f t="shared" ca="1" si="15"/>
        <v>2394600</v>
      </c>
      <c r="M26" s="843">
        <f t="shared" ca="1" si="15"/>
        <v>2197900</v>
      </c>
      <c r="N26" s="843">
        <f t="shared" ca="1" si="15"/>
        <v>2191900</v>
      </c>
      <c r="O26" s="843">
        <f t="shared" ca="1" si="9"/>
        <v>91.535120688215144</v>
      </c>
      <c r="P26" s="843">
        <f t="shared" ca="1" si="10"/>
        <v>99.727012147959414</v>
      </c>
      <c r="Q26" s="825"/>
      <c r="R26" s="825"/>
      <c r="S26" s="825"/>
      <c r="T26" s="825"/>
      <c r="U26" s="825"/>
      <c r="V26" s="825"/>
      <c r="W26" s="825"/>
      <c r="X26" s="825"/>
      <c r="Y26" s="825"/>
      <c r="Z26" s="825"/>
    </row>
    <row r="27" spans="1:26" ht="19.5">
      <c r="A27" s="1512" t="s">
        <v>23</v>
      </c>
      <c r="B27" s="1494"/>
      <c r="C27" s="1494"/>
      <c r="D27" s="1494"/>
      <c r="E27" s="1494"/>
      <c r="F27" s="1494"/>
      <c r="G27" s="1495"/>
      <c r="H27" s="807"/>
      <c r="I27" s="808"/>
      <c r="J27" s="808"/>
      <c r="K27" s="809"/>
      <c r="L27" s="809"/>
      <c r="M27" s="809"/>
      <c r="N27" s="809"/>
      <c r="O27" s="809"/>
      <c r="P27" s="809"/>
    </row>
    <row r="28" spans="1:26" ht="19.5">
      <c r="A28" s="810"/>
      <c r="B28" s="811"/>
      <c r="C28" s="812" t="s">
        <v>16</v>
      </c>
      <c r="D28" s="813" t="s">
        <v>17</v>
      </c>
      <c r="E28" s="811"/>
      <c r="F28" s="811"/>
      <c r="G28" s="814"/>
      <c r="H28" s="19" t="s">
        <v>12</v>
      </c>
      <c r="I28" s="815"/>
      <c r="J28" s="815"/>
      <c r="K28" s="816"/>
      <c r="L28" s="817">
        <f t="shared" ref="L28:N28" ca="1" si="16">L29+L30</f>
        <v>1726992</v>
      </c>
      <c r="M28" s="817">
        <f t="shared" si="16"/>
        <v>0</v>
      </c>
      <c r="N28" s="817">
        <f t="shared" si="16"/>
        <v>423953</v>
      </c>
      <c r="O28" s="817">
        <f t="shared" ref="O28:O37" ca="1" si="17">IF(L28&gt;0,N28*100/L28,0)</f>
        <v>24.548637167977617</v>
      </c>
      <c r="P28" s="817">
        <f t="shared" ref="P28:P37" si="18">IF(M28&gt;0,N28*100/M28,0)</f>
        <v>0</v>
      </c>
      <c r="Q28" s="818"/>
      <c r="R28" s="818"/>
      <c r="S28" s="818"/>
      <c r="T28" s="818"/>
      <c r="U28" s="818"/>
      <c r="V28" s="818"/>
      <c r="W28" s="818"/>
      <c r="X28" s="818"/>
      <c r="Y28" s="818"/>
      <c r="Z28" s="818"/>
    </row>
    <row r="29" spans="1:26" ht="18.75" hidden="1">
      <c r="A29" s="819"/>
      <c r="B29" s="820"/>
      <c r="C29" s="820"/>
      <c r="D29" s="820"/>
      <c r="E29" s="821" t="s">
        <v>18</v>
      </c>
      <c r="F29" s="820"/>
      <c r="G29" s="822"/>
      <c r="H29" s="28" t="s">
        <v>12</v>
      </c>
      <c r="I29" s="823"/>
      <c r="J29" s="823"/>
      <c r="K29" s="824"/>
      <c r="L29" s="824">
        <f t="shared" ref="L29:N30" si="19">L32+L35</f>
        <v>0</v>
      </c>
      <c r="M29" s="824">
        <f t="shared" si="19"/>
        <v>0</v>
      </c>
      <c r="N29" s="824">
        <f t="shared" si="19"/>
        <v>0</v>
      </c>
      <c r="O29" s="824">
        <f t="shared" si="17"/>
        <v>0</v>
      </c>
      <c r="P29" s="824">
        <f t="shared" si="18"/>
        <v>0</v>
      </c>
      <c r="Q29" s="825"/>
      <c r="R29" s="825"/>
      <c r="S29" s="825"/>
      <c r="T29" s="825"/>
      <c r="U29" s="825"/>
      <c r="V29" s="825"/>
      <c r="W29" s="825"/>
      <c r="X29" s="825"/>
      <c r="Y29" s="825"/>
      <c r="Z29" s="825"/>
    </row>
    <row r="30" spans="1:26" ht="18.75" hidden="1">
      <c r="A30" s="819"/>
      <c r="B30" s="820"/>
      <c r="C30" s="820"/>
      <c r="D30" s="820"/>
      <c r="E30" s="821" t="s">
        <v>19</v>
      </c>
      <c r="F30" s="820"/>
      <c r="G30" s="822"/>
      <c r="H30" s="28" t="s">
        <v>12</v>
      </c>
      <c r="I30" s="823"/>
      <c r="J30" s="823"/>
      <c r="K30" s="824"/>
      <c r="L30" s="824">
        <f t="shared" ca="1" si="19"/>
        <v>1726992</v>
      </c>
      <c r="M30" s="824">
        <f t="shared" si="19"/>
        <v>0</v>
      </c>
      <c r="N30" s="824">
        <f t="shared" si="19"/>
        <v>423953</v>
      </c>
      <c r="O30" s="824">
        <f t="shared" ca="1" si="17"/>
        <v>24.548637167977617</v>
      </c>
      <c r="P30" s="824">
        <f t="shared" si="18"/>
        <v>0</v>
      </c>
      <c r="Q30" s="825"/>
      <c r="R30" s="825"/>
      <c r="S30" s="825"/>
      <c r="T30" s="825"/>
      <c r="U30" s="825"/>
      <c r="V30" s="825"/>
      <c r="W30" s="825"/>
      <c r="X30" s="825"/>
      <c r="Y30" s="825"/>
      <c r="Z30" s="825"/>
    </row>
    <row r="31" spans="1:26" ht="18.75">
      <c r="A31" s="826"/>
      <c r="B31" s="827"/>
      <c r="C31" s="827"/>
      <c r="D31" s="828" t="s">
        <v>20</v>
      </c>
      <c r="E31" s="827"/>
      <c r="F31" s="827"/>
      <c r="G31" s="829"/>
      <c r="H31" s="590" t="s">
        <v>12</v>
      </c>
      <c r="I31" s="830"/>
      <c r="J31" s="830"/>
      <c r="K31" s="831"/>
      <c r="L31" s="831">
        <f t="shared" ref="L31:N31" ca="1" si="20">L32+L33</f>
        <v>1726992</v>
      </c>
      <c r="M31" s="831">
        <f t="shared" si="20"/>
        <v>0</v>
      </c>
      <c r="N31" s="831">
        <f t="shared" si="20"/>
        <v>423953</v>
      </c>
      <c r="O31" s="831">
        <f t="shared" ca="1" si="17"/>
        <v>24.548637167977617</v>
      </c>
      <c r="P31" s="831">
        <f t="shared" si="18"/>
        <v>0</v>
      </c>
      <c r="Q31" s="818"/>
      <c r="R31" s="818"/>
      <c r="S31" s="818"/>
      <c r="T31" s="818"/>
      <c r="U31" s="818"/>
      <c r="V31" s="818"/>
      <c r="W31" s="818"/>
      <c r="X31" s="818"/>
      <c r="Y31" s="818"/>
      <c r="Z31" s="818"/>
    </row>
    <row r="32" spans="1:26" ht="18.75" hidden="1">
      <c r="A32" s="832"/>
      <c r="B32" s="833"/>
      <c r="C32" s="833"/>
      <c r="D32" s="833"/>
      <c r="E32" s="834" t="s">
        <v>18</v>
      </c>
      <c r="F32" s="833"/>
      <c r="G32" s="835"/>
      <c r="H32" s="43" t="s">
        <v>12</v>
      </c>
      <c r="I32" s="836"/>
      <c r="J32" s="836"/>
      <c r="K32" s="837"/>
      <c r="L32" s="837">
        <f t="shared" ref="L32:N33" si="21">L423+L448+L471+L506+L527+L548+L633+L659+L689+L741+L758+L774+L790+L809</f>
        <v>0</v>
      </c>
      <c r="M32" s="837">
        <f t="shared" si="21"/>
        <v>0</v>
      </c>
      <c r="N32" s="837">
        <f t="shared" si="21"/>
        <v>0</v>
      </c>
      <c r="O32" s="837">
        <f t="shared" si="17"/>
        <v>0</v>
      </c>
      <c r="P32" s="837">
        <f t="shared" si="18"/>
        <v>0</v>
      </c>
      <c r="Q32" s="825"/>
      <c r="R32" s="825"/>
      <c r="S32" s="825"/>
      <c r="T32" s="825"/>
      <c r="U32" s="825"/>
      <c r="V32" s="825"/>
      <c r="W32" s="825"/>
      <c r="X32" s="825"/>
      <c r="Y32" s="825"/>
      <c r="Z32" s="825"/>
    </row>
    <row r="33" spans="1:26" ht="18.75" hidden="1">
      <c r="A33" s="832"/>
      <c r="B33" s="833"/>
      <c r="C33" s="833"/>
      <c r="D33" s="833"/>
      <c r="E33" s="834" t="s">
        <v>19</v>
      </c>
      <c r="F33" s="833"/>
      <c r="G33" s="835"/>
      <c r="H33" s="43" t="s">
        <v>12</v>
      </c>
      <c r="I33" s="836"/>
      <c r="J33" s="836"/>
      <c r="K33" s="837"/>
      <c r="L33" s="837">
        <f t="shared" ca="1" si="21"/>
        <v>1726992</v>
      </c>
      <c r="M33" s="837">
        <f t="shared" si="21"/>
        <v>0</v>
      </c>
      <c r="N33" s="837">
        <f t="shared" si="21"/>
        <v>423953</v>
      </c>
      <c r="O33" s="837">
        <f t="shared" ca="1" si="17"/>
        <v>24.548637167977617</v>
      </c>
      <c r="P33" s="837">
        <f t="shared" si="18"/>
        <v>0</v>
      </c>
      <c r="Q33" s="825"/>
      <c r="R33" s="825"/>
      <c r="S33" s="825"/>
      <c r="T33" s="825"/>
      <c r="U33" s="825"/>
      <c r="V33" s="825"/>
      <c r="W33" s="825"/>
      <c r="X33" s="825"/>
      <c r="Y33" s="825"/>
      <c r="Z33" s="825"/>
    </row>
    <row r="34" spans="1:26" ht="18.75">
      <c r="A34" s="826"/>
      <c r="B34" s="827"/>
      <c r="C34" s="827"/>
      <c r="D34" s="828" t="s">
        <v>21</v>
      </c>
      <c r="E34" s="827"/>
      <c r="F34" s="827"/>
      <c r="G34" s="829"/>
      <c r="H34" s="590" t="s">
        <v>12</v>
      </c>
      <c r="I34" s="830"/>
      <c r="J34" s="830"/>
      <c r="K34" s="831"/>
      <c r="L34" s="831">
        <f t="shared" ref="L34:N34" ca="1" si="22">L35+L36</f>
        <v>0</v>
      </c>
      <c r="M34" s="831">
        <f t="shared" si="22"/>
        <v>0</v>
      </c>
      <c r="N34" s="831">
        <f t="shared" si="22"/>
        <v>0</v>
      </c>
      <c r="O34" s="831">
        <f t="shared" ca="1" si="17"/>
        <v>0</v>
      </c>
      <c r="P34" s="831">
        <f t="shared" si="18"/>
        <v>0</v>
      </c>
      <c r="Q34" s="818"/>
      <c r="R34" s="818"/>
      <c r="S34" s="818"/>
      <c r="T34" s="818"/>
      <c r="U34" s="818"/>
      <c r="V34" s="818"/>
      <c r="W34" s="818"/>
      <c r="X34" s="818"/>
      <c r="Y34" s="818"/>
      <c r="Z34" s="818"/>
    </row>
    <row r="35" spans="1:26" ht="18.75" hidden="1">
      <c r="A35" s="832"/>
      <c r="B35" s="833"/>
      <c r="C35" s="833"/>
      <c r="D35" s="833"/>
      <c r="E35" s="834" t="s">
        <v>18</v>
      </c>
      <c r="F35" s="833"/>
      <c r="G35" s="835"/>
      <c r="H35" s="43" t="s">
        <v>12</v>
      </c>
      <c r="I35" s="836"/>
      <c r="J35" s="836"/>
      <c r="K35" s="837"/>
      <c r="L35" s="837">
        <f t="shared" ref="L35:N36" si="23">L430+L455+L478+L513+L534+L556+L640+L666+L696+L748+L765+L781+L797+L816</f>
        <v>0</v>
      </c>
      <c r="M35" s="837">
        <f t="shared" si="23"/>
        <v>0</v>
      </c>
      <c r="N35" s="837">
        <f t="shared" si="23"/>
        <v>0</v>
      </c>
      <c r="O35" s="837">
        <f t="shared" si="17"/>
        <v>0</v>
      </c>
      <c r="P35" s="837">
        <f t="shared" si="18"/>
        <v>0</v>
      </c>
      <c r="Q35" s="825"/>
      <c r="R35" s="825"/>
      <c r="S35" s="825"/>
      <c r="T35" s="825"/>
      <c r="U35" s="825"/>
      <c r="V35" s="825"/>
      <c r="W35" s="825"/>
      <c r="X35" s="825"/>
      <c r="Y35" s="825"/>
      <c r="Z35" s="825"/>
    </row>
    <row r="36" spans="1:26" ht="18.75" hidden="1">
      <c r="A36" s="838"/>
      <c r="B36" s="839"/>
      <c r="C36" s="839"/>
      <c r="D36" s="839"/>
      <c r="E36" s="840" t="s">
        <v>19</v>
      </c>
      <c r="F36" s="839"/>
      <c r="G36" s="841"/>
      <c r="H36" s="50" t="s">
        <v>12</v>
      </c>
      <c r="I36" s="842"/>
      <c r="J36" s="842"/>
      <c r="K36" s="843"/>
      <c r="L36" s="843">
        <f t="shared" ca="1" si="23"/>
        <v>0</v>
      </c>
      <c r="M36" s="843">
        <f t="shared" si="23"/>
        <v>0</v>
      </c>
      <c r="N36" s="843">
        <f t="shared" si="23"/>
        <v>0</v>
      </c>
      <c r="O36" s="843">
        <f t="shared" ca="1" si="17"/>
        <v>0</v>
      </c>
      <c r="P36" s="843">
        <f t="shared" si="18"/>
        <v>0</v>
      </c>
      <c r="Q36" s="825"/>
      <c r="R36" s="825"/>
      <c r="S36" s="825"/>
      <c r="T36" s="825"/>
      <c r="U36" s="825"/>
      <c r="V36" s="825"/>
      <c r="W36" s="825"/>
      <c r="X36" s="825"/>
      <c r="Y36" s="825"/>
      <c r="Z36" s="825"/>
    </row>
    <row r="37" spans="1:26" ht="19.5">
      <c r="A37" s="844" t="s">
        <v>24</v>
      </c>
      <c r="B37" s="845"/>
      <c r="C37" s="845"/>
      <c r="D37" s="845"/>
      <c r="E37" s="845"/>
      <c r="F37" s="845"/>
      <c r="G37" s="846"/>
      <c r="H37" s="847"/>
      <c r="I37" s="848"/>
      <c r="J37" s="848"/>
      <c r="K37" s="849"/>
      <c r="L37" s="850">
        <f t="shared" ref="L37:N37" ca="1" si="24">L41+L53+L66+L88+L119+L132+L149+L165+L181+L261+L277+L298+L315+L328+L345+L389+L402</f>
        <v>6257790</v>
      </c>
      <c r="M37" s="850">
        <f t="shared" ca="1" si="24"/>
        <v>5326209</v>
      </c>
      <c r="N37" s="850">
        <f t="shared" ca="1" si="24"/>
        <v>3918882.3</v>
      </c>
      <c r="O37" s="850">
        <f t="shared" ca="1" si="17"/>
        <v>62.624062168912666</v>
      </c>
      <c r="P37" s="850">
        <f t="shared" ca="1" si="18"/>
        <v>73.577328640314335</v>
      </c>
    </row>
    <row r="38" spans="1:26" ht="19.5">
      <c r="A38" s="851" t="s">
        <v>25</v>
      </c>
      <c r="B38" s="852"/>
      <c r="C38" s="852"/>
      <c r="D38" s="852"/>
      <c r="E38" s="852"/>
      <c r="F38" s="852"/>
      <c r="G38" s="853"/>
      <c r="H38" s="854"/>
      <c r="I38" s="855"/>
      <c r="J38" s="855"/>
      <c r="K38" s="856"/>
      <c r="L38" s="856"/>
      <c r="M38" s="856"/>
      <c r="N38" s="856"/>
      <c r="O38" s="856"/>
      <c r="P38" s="856"/>
    </row>
    <row r="39" spans="1:26" ht="19.5">
      <c r="A39" s="857"/>
      <c r="B39" s="858" t="s">
        <v>26</v>
      </c>
      <c r="C39" s="859"/>
      <c r="D39" s="859"/>
      <c r="E39" s="859"/>
      <c r="F39" s="859"/>
      <c r="G39" s="860"/>
      <c r="H39" s="861"/>
      <c r="I39" s="862"/>
      <c r="J39" s="862"/>
      <c r="K39" s="863"/>
      <c r="L39" s="863"/>
      <c r="M39" s="863"/>
      <c r="N39" s="863"/>
      <c r="O39" s="863"/>
      <c r="P39" s="863"/>
    </row>
    <row r="40" spans="1:26" ht="19.5">
      <c r="A40" s="864"/>
      <c r="B40" s="1513" t="s">
        <v>27</v>
      </c>
      <c r="C40" s="1485"/>
      <c r="D40" s="1485"/>
      <c r="E40" s="1485"/>
      <c r="F40" s="1485"/>
      <c r="G40" s="1491"/>
      <c r="H40" s="865"/>
      <c r="I40" s="866"/>
      <c r="J40" s="866"/>
      <c r="K40" s="867"/>
      <c r="L40" s="867"/>
      <c r="M40" s="867"/>
      <c r="N40" s="867"/>
      <c r="O40" s="867"/>
      <c r="P40" s="867"/>
    </row>
    <row r="41" spans="1:26" ht="19.5">
      <c r="A41" s="868"/>
      <c r="B41" s="869"/>
      <c r="C41" s="870" t="s">
        <v>16</v>
      </c>
      <c r="D41" s="871" t="s">
        <v>17</v>
      </c>
      <c r="E41" s="869"/>
      <c r="F41" s="869"/>
      <c r="G41" s="872"/>
      <c r="H41" s="82" t="s">
        <v>12</v>
      </c>
      <c r="I41" s="873"/>
      <c r="J41" s="873"/>
      <c r="K41" s="874"/>
      <c r="L41" s="875">
        <f t="shared" ref="L41:N41" ca="1" si="25">L42+L43</f>
        <v>591050</v>
      </c>
      <c r="M41" s="875">
        <f t="shared" ca="1" si="25"/>
        <v>593704</v>
      </c>
      <c r="N41" s="875">
        <f t="shared" ca="1" si="25"/>
        <v>295780</v>
      </c>
      <c r="O41" s="875">
        <f t="shared" ref="O41:O49" ca="1" si="26">IF(L41&gt;0,N41*100/L41,0)</f>
        <v>50.043143558074611</v>
      </c>
      <c r="P41" s="875">
        <f t="shared" ref="P41:P49" ca="1" si="27">IF(M41&gt;0,N41*100/M41,0)</f>
        <v>49.819438642825382</v>
      </c>
      <c r="Q41" s="818"/>
      <c r="R41" s="818"/>
      <c r="S41" s="818"/>
      <c r="T41" s="818"/>
      <c r="U41" s="818"/>
      <c r="V41" s="818"/>
      <c r="W41" s="818"/>
      <c r="X41" s="818"/>
      <c r="Y41" s="818"/>
      <c r="Z41" s="818"/>
    </row>
    <row r="42" spans="1:26" ht="18.75" hidden="1">
      <c r="A42" s="876"/>
      <c r="B42" s="877"/>
      <c r="C42" s="877"/>
      <c r="D42" s="877"/>
      <c r="E42" s="878" t="s">
        <v>18</v>
      </c>
      <c r="F42" s="877"/>
      <c r="G42" s="879"/>
      <c r="H42" s="90" t="s">
        <v>12</v>
      </c>
      <c r="I42" s="880"/>
      <c r="J42" s="880"/>
      <c r="K42" s="881"/>
      <c r="L42" s="881">
        <f t="shared" ref="L42:N43" si="28">L45+L48</f>
        <v>0</v>
      </c>
      <c r="M42" s="881">
        <f t="shared" si="28"/>
        <v>0</v>
      </c>
      <c r="N42" s="881">
        <f t="shared" si="28"/>
        <v>0</v>
      </c>
      <c r="O42" s="881">
        <f t="shared" si="26"/>
        <v>0</v>
      </c>
      <c r="P42" s="881">
        <f t="shared" si="27"/>
        <v>0</v>
      </c>
      <c r="Q42" s="825"/>
      <c r="R42" s="825"/>
      <c r="S42" s="825"/>
      <c r="T42" s="825"/>
      <c r="U42" s="825"/>
      <c r="V42" s="825"/>
      <c r="W42" s="825"/>
      <c r="X42" s="825"/>
      <c r="Y42" s="825"/>
      <c r="Z42" s="825"/>
    </row>
    <row r="43" spans="1:26" ht="18.75" hidden="1">
      <c r="A43" s="876"/>
      <c r="B43" s="877"/>
      <c r="C43" s="877"/>
      <c r="D43" s="877"/>
      <c r="E43" s="878" t="s">
        <v>19</v>
      </c>
      <c r="F43" s="877"/>
      <c r="G43" s="879"/>
      <c r="H43" s="90" t="s">
        <v>12</v>
      </c>
      <c r="I43" s="880"/>
      <c r="J43" s="880"/>
      <c r="K43" s="881"/>
      <c r="L43" s="881">
        <f t="shared" ca="1" si="28"/>
        <v>591050</v>
      </c>
      <c r="M43" s="881">
        <f t="shared" ca="1" si="28"/>
        <v>593704</v>
      </c>
      <c r="N43" s="881">
        <f t="shared" ca="1" si="28"/>
        <v>295780</v>
      </c>
      <c r="O43" s="881">
        <f t="shared" ca="1" si="26"/>
        <v>50.043143558074611</v>
      </c>
      <c r="P43" s="881">
        <f t="shared" ca="1" si="27"/>
        <v>49.819438642825382</v>
      </c>
      <c r="Q43" s="825"/>
      <c r="R43" s="825"/>
      <c r="S43" s="825"/>
      <c r="T43" s="825"/>
      <c r="U43" s="825"/>
      <c r="V43" s="825"/>
      <c r="W43" s="825"/>
      <c r="X43" s="825"/>
      <c r="Y43" s="825"/>
      <c r="Z43" s="825"/>
    </row>
    <row r="44" spans="1:26" ht="18.75">
      <c r="A44" s="826"/>
      <c r="B44" s="827"/>
      <c r="C44" s="827"/>
      <c r="D44" s="828" t="s">
        <v>20</v>
      </c>
      <c r="E44" s="827"/>
      <c r="F44" s="827"/>
      <c r="G44" s="829"/>
      <c r="H44" s="590" t="s">
        <v>12</v>
      </c>
      <c r="I44" s="830"/>
      <c r="J44" s="830"/>
      <c r="K44" s="831"/>
      <c r="L44" s="831">
        <f t="shared" ref="L44:N44" ca="1" si="29">L45+L46</f>
        <v>591050</v>
      </c>
      <c r="M44" s="831">
        <f t="shared" ca="1" si="29"/>
        <v>593704</v>
      </c>
      <c r="N44" s="831">
        <f t="shared" ca="1" si="29"/>
        <v>295780</v>
      </c>
      <c r="O44" s="831">
        <f t="shared" ca="1" si="26"/>
        <v>50.043143558074611</v>
      </c>
      <c r="P44" s="831">
        <f t="shared" ca="1" si="27"/>
        <v>49.819438642825382</v>
      </c>
      <c r="Q44" s="818"/>
      <c r="R44" s="818"/>
      <c r="S44" s="818"/>
      <c r="T44" s="818"/>
      <c r="U44" s="818"/>
      <c r="V44" s="818"/>
      <c r="W44" s="818"/>
      <c r="X44" s="818"/>
      <c r="Y44" s="818"/>
      <c r="Z44" s="818"/>
    </row>
    <row r="45" spans="1:26" ht="18.75" hidden="1">
      <c r="A45" s="832"/>
      <c r="B45" s="833"/>
      <c r="C45" s="833"/>
      <c r="D45" s="833"/>
      <c r="E45" s="834" t="s">
        <v>18</v>
      </c>
      <c r="F45" s="833"/>
      <c r="G45" s="835"/>
      <c r="H45" s="43" t="s">
        <v>12</v>
      </c>
      <c r="I45" s="836"/>
      <c r="J45" s="836"/>
      <c r="K45" s="837"/>
      <c r="L45" s="837">
        <v>0</v>
      </c>
      <c r="M45" s="837">
        <v>0</v>
      </c>
      <c r="N45" s="837">
        <v>0</v>
      </c>
      <c r="O45" s="837">
        <f t="shared" si="26"/>
        <v>0</v>
      </c>
      <c r="P45" s="837">
        <f t="shared" si="27"/>
        <v>0</v>
      </c>
      <c r="Q45" s="825"/>
      <c r="R45" s="825"/>
      <c r="S45" s="825"/>
      <c r="T45" s="825"/>
      <c r="U45" s="825"/>
      <c r="V45" s="825"/>
      <c r="W45" s="825"/>
      <c r="X45" s="825"/>
      <c r="Y45" s="825"/>
      <c r="Z45" s="825"/>
    </row>
    <row r="46" spans="1:26" ht="18.75" hidden="1">
      <c r="A46" s="832"/>
      <c r="B46" s="833"/>
      <c r="C46" s="833"/>
      <c r="D46" s="833"/>
      <c r="E46" s="834" t="s">
        <v>19</v>
      </c>
      <c r="F46" s="833"/>
      <c r="G46" s="835"/>
      <c r="H46" s="43" t="s">
        <v>12</v>
      </c>
      <c r="I46" s="836"/>
      <c r="J46" s="836"/>
      <c r="K46" s="837"/>
      <c r="L46" s="837">
        <f ca="1">IFERROR(__xludf.DUMMYFUNCTION("IMPORTRANGE(""https://docs.google.com/spreadsheets/d/1MeEWN-I1oV_STSDYn1IFDPWt_1FKiwhDph83XaGc0o0/edit?usp=sharing"",""งบพรบ!M19"")"),591050)</f>
        <v>591050</v>
      </c>
      <c r="M46" s="837">
        <f ca="1">IFERROR(__xludf.DUMMYFUNCTION("IMPORTRANGE(""https://docs.google.com/spreadsheets/d/1MeEWN-I1oV_STSDYn1IFDPWt_1FKiwhDph83XaGc0o0/edit?usp=sharing"",""งบพรบ!R19"")"),593704)</f>
        <v>593704</v>
      </c>
      <c r="N46" s="837">
        <f ca="1">IFERROR(__xludf.DUMMYFUNCTION("IMPORTRANGE(""https://docs.google.com/spreadsheets/d/1MeEWN-I1oV_STSDYn1IFDPWt_1FKiwhDph83XaGc0o0/edit?usp=sharing"",""งบพรบ!T19"")"),295780)</f>
        <v>295780</v>
      </c>
      <c r="O46" s="837">
        <f t="shared" ca="1" si="26"/>
        <v>50.043143558074611</v>
      </c>
      <c r="P46" s="837">
        <f t="shared" ca="1" si="27"/>
        <v>49.819438642825382</v>
      </c>
      <c r="Q46" s="825"/>
      <c r="R46" s="825"/>
      <c r="S46" s="825"/>
      <c r="T46" s="825"/>
      <c r="U46" s="825"/>
      <c r="V46" s="825"/>
      <c r="W46" s="825"/>
      <c r="X46" s="825"/>
      <c r="Y46" s="825"/>
      <c r="Z46" s="825"/>
    </row>
    <row r="47" spans="1:26" ht="18.75">
      <c r="A47" s="826"/>
      <c r="B47" s="827"/>
      <c r="C47" s="827"/>
      <c r="D47" s="828" t="s">
        <v>21</v>
      </c>
      <c r="E47" s="827"/>
      <c r="F47" s="827"/>
      <c r="G47" s="829"/>
      <c r="H47" s="590" t="s">
        <v>12</v>
      </c>
      <c r="I47" s="830"/>
      <c r="J47" s="830"/>
      <c r="K47" s="831"/>
      <c r="L47" s="831">
        <f t="shared" ref="L47:N47" ca="1" si="30">L48+L49</f>
        <v>0</v>
      </c>
      <c r="M47" s="831">
        <f t="shared" ca="1" si="30"/>
        <v>0</v>
      </c>
      <c r="N47" s="831">
        <f t="shared" ca="1" si="30"/>
        <v>0</v>
      </c>
      <c r="O47" s="831">
        <f t="shared" ca="1" si="26"/>
        <v>0</v>
      </c>
      <c r="P47" s="831">
        <f t="shared" ca="1" si="27"/>
        <v>0</v>
      </c>
      <c r="Q47" s="818"/>
      <c r="R47" s="818"/>
      <c r="S47" s="818"/>
      <c r="T47" s="818"/>
      <c r="U47" s="818"/>
      <c r="V47" s="818"/>
      <c r="W47" s="818"/>
      <c r="X47" s="818"/>
      <c r="Y47" s="818"/>
      <c r="Z47" s="818"/>
    </row>
    <row r="48" spans="1:26" ht="18.75" hidden="1">
      <c r="A48" s="832"/>
      <c r="B48" s="833"/>
      <c r="C48" s="833"/>
      <c r="D48" s="833"/>
      <c r="E48" s="834" t="s">
        <v>18</v>
      </c>
      <c r="F48" s="833"/>
      <c r="G48" s="835"/>
      <c r="H48" s="43" t="s">
        <v>12</v>
      </c>
      <c r="I48" s="836"/>
      <c r="J48" s="836"/>
      <c r="K48" s="837"/>
      <c r="L48" s="837">
        <v>0</v>
      </c>
      <c r="M48" s="837">
        <v>0</v>
      </c>
      <c r="N48" s="837">
        <v>0</v>
      </c>
      <c r="O48" s="837">
        <f t="shared" si="26"/>
        <v>0</v>
      </c>
      <c r="P48" s="837">
        <f t="shared" si="27"/>
        <v>0</v>
      </c>
      <c r="Q48" s="825"/>
      <c r="R48" s="825"/>
      <c r="S48" s="825"/>
      <c r="T48" s="825"/>
      <c r="U48" s="825"/>
      <c r="V48" s="825"/>
      <c r="W48" s="825"/>
      <c r="X48" s="825"/>
      <c r="Y48" s="825"/>
      <c r="Z48" s="825"/>
    </row>
    <row r="49" spans="1:26" ht="18.75" hidden="1">
      <c r="A49" s="838"/>
      <c r="B49" s="839"/>
      <c r="C49" s="839"/>
      <c r="D49" s="839"/>
      <c r="E49" s="840" t="s">
        <v>19</v>
      </c>
      <c r="F49" s="839"/>
      <c r="G49" s="841"/>
      <c r="H49" s="50" t="s">
        <v>12</v>
      </c>
      <c r="I49" s="842"/>
      <c r="J49" s="842"/>
      <c r="K49" s="843"/>
      <c r="L49" s="843">
        <f ca="1">IFERROR(__xludf.DUMMYFUNCTION("IMPORTRANGE(""https://docs.google.com/spreadsheets/d/1MeEWN-I1oV_STSDYn1IFDPWt_1FKiwhDph83XaGc0o0/edit?usp=sharing"",""งบพรบ!P19"")"),0)</f>
        <v>0</v>
      </c>
      <c r="M49" s="843">
        <f ca="1">IFERROR(__xludf.DUMMYFUNCTION("IMPORTRANGE(""https://docs.google.com/spreadsheets/d/1MeEWN-I1oV_STSDYn1IFDPWt_1FKiwhDph83XaGc0o0/edit?usp=sharing"",""งบพรบ!S19"")"),0)</f>
        <v>0</v>
      </c>
      <c r="N49" s="843">
        <f ca="1">IFERROR(__xludf.DUMMYFUNCTION("IMPORTRANGE(""https://docs.google.com/spreadsheets/d/1MeEWN-I1oV_STSDYn1IFDPWt_1FKiwhDph83XaGc0o0/edit?usp=sharing"",""งบพรบ!U19"")"),0)</f>
        <v>0</v>
      </c>
      <c r="O49" s="843">
        <f t="shared" ca="1" si="26"/>
        <v>0</v>
      </c>
      <c r="P49" s="843">
        <f t="shared" ca="1" si="27"/>
        <v>0</v>
      </c>
      <c r="Q49" s="825"/>
      <c r="R49" s="825"/>
      <c r="S49" s="825"/>
      <c r="T49" s="825"/>
      <c r="U49" s="825"/>
      <c r="V49" s="825"/>
      <c r="W49" s="825"/>
      <c r="X49" s="825"/>
      <c r="Y49" s="825"/>
      <c r="Z49" s="825"/>
    </row>
    <row r="50" spans="1:26" ht="19.5">
      <c r="A50" s="1514" t="s">
        <v>28</v>
      </c>
      <c r="B50" s="1494"/>
      <c r="C50" s="1494"/>
      <c r="D50" s="1494"/>
      <c r="E50" s="1494"/>
      <c r="F50" s="1494"/>
      <c r="G50" s="1495"/>
      <c r="H50" s="882"/>
      <c r="I50" s="883"/>
      <c r="J50" s="883"/>
      <c r="K50" s="884"/>
      <c r="L50" s="884"/>
      <c r="M50" s="884"/>
      <c r="N50" s="884"/>
      <c r="O50" s="884"/>
      <c r="P50" s="884"/>
    </row>
    <row r="51" spans="1:26" ht="19.5">
      <c r="A51" s="885"/>
      <c r="B51" s="1515" t="s">
        <v>29</v>
      </c>
      <c r="C51" s="1485"/>
      <c r="D51" s="1485"/>
      <c r="E51" s="1485"/>
      <c r="F51" s="1485"/>
      <c r="G51" s="1491"/>
      <c r="H51" s="886"/>
      <c r="I51" s="887"/>
      <c r="J51" s="887"/>
      <c r="K51" s="888"/>
      <c r="L51" s="888"/>
      <c r="M51" s="888"/>
      <c r="N51" s="888"/>
      <c r="O51" s="888"/>
      <c r="P51" s="888"/>
    </row>
    <row r="52" spans="1:26" ht="19.5">
      <c r="A52" s="889"/>
      <c r="B52" s="890" t="s">
        <v>30</v>
      </c>
      <c r="C52" s="891"/>
      <c r="D52" s="891"/>
      <c r="E52" s="891"/>
      <c r="F52" s="891"/>
      <c r="G52" s="892"/>
      <c r="H52" s="893"/>
      <c r="I52" s="894"/>
      <c r="J52" s="894"/>
      <c r="K52" s="895"/>
      <c r="L52" s="895"/>
      <c r="M52" s="895"/>
      <c r="N52" s="895"/>
      <c r="O52" s="895"/>
      <c r="P52" s="895"/>
    </row>
    <row r="53" spans="1:26" ht="19.5">
      <c r="A53" s="896"/>
      <c r="B53" s="897"/>
      <c r="C53" s="898" t="s">
        <v>16</v>
      </c>
      <c r="D53" s="899" t="s">
        <v>17</v>
      </c>
      <c r="E53" s="897"/>
      <c r="F53" s="897"/>
      <c r="G53" s="900"/>
      <c r="H53" s="113" t="s">
        <v>12</v>
      </c>
      <c r="I53" s="901"/>
      <c r="J53" s="901"/>
      <c r="K53" s="902"/>
      <c r="L53" s="903">
        <f t="shared" ref="L53:N53" ca="1" si="31">L54+L55</f>
        <v>742600</v>
      </c>
      <c r="M53" s="903">
        <f t="shared" ca="1" si="31"/>
        <v>556950</v>
      </c>
      <c r="N53" s="903">
        <f t="shared" ca="1" si="31"/>
        <v>368492.61</v>
      </c>
      <c r="O53" s="903">
        <f t="shared" ref="O53:O61" ca="1" si="32">IF(L53&gt;0,N53*100/L53,0)</f>
        <v>49.621951252356588</v>
      </c>
      <c r="P53" s="903">
        <f t="shared" ref="P53:P61" ca="1" si="33">IF(M53&gt;0,N53*100/M53,0)</f>
        <v>66.16260166980878</v>
      </c>
      <c r="Q53" s="818"/>
      <c r="R53" s="818"/>
      <c r="S53" s="818"/>
      <c r="T53" s="818"/>
      <c r="U53" s="818"/>
      <c r="V53" s="818"/>
      <c r="W53" s="818"/>
      <c r="X53" s="818"/>
      <c r="Y53" s="818"/>
      <c r="Z53" s="818"/>
    </row>
    <row r="54" spans="1:26" ht="18.75" hidden="1">
      <c r="A54" s="904"/>
      <c r="B54" s="905"/>
      <c r="C54" s="905"/>
      <c r="D54" s="905"/>
      <c r="E54" s="906" t="s">
        <v>18</v>
      </c>
      <c r="F54" s="905"/>
      <c r="G54" s="907"/>
      <c r="H54" s="121" t="s">
        <v>12</v>
      </c>
      <c r="I54" s="908"/>
      <c r="J54" s="908"/>
      <c r="K54" s="909"/>
      <c r="L54" s="909">
        <f t="shared" ref="L54:N55" si="34">L57+L60</f>
        <v>0</v>
      </c>
      <c r="M54" s="909">
        <f t="shared" si="34"/>
        <v>0</v>
      </c>
      <c r="N54" s="909">
        <f t="shared" si="34"/>
        <v>0</v>
      </c>
      <c r="O54" s="909">
        <f t="shared" si="32"/>
        <v>0</v>
      </c>
      <c r="P54" s="909">
        <f t="shared" si="33"/>
        <v>0</v>
      </c>
      <c r="Q54" s="825"/>
      <c r="R54" s="825"/>
      <c r="S54" s="825"/>
      <c r="T54" s="825"/>
      <c r="U54" s="825"/>
      <c r="V54" s="825"/>
      <c r="W54" s="825"/>
      <c r="X54" s="825"/>
      <c r="Y54" s="825"/>
      <c r="Z54" s="825"/>
    </row>
    <row r="55" spans="1:26" ht="18.75" hidden="1">
      <c r="A55" s="904"/>
      <c r="B55" s="905"/>
      <c r="C55" s="905"/>
      <c r="D55" s="905"/>
      <c r="E55" s="906" t="s">
        <v>19</v>
      </c>
      <c r="F55" s="905"/>
      <c r="G55" s="907"/>
      <c r="H55" s="121" t="s">
        <v>12</v>
      </c>
      <c r="I55" s="908"/>
      <c r="J55" s="908"/>
      <c r="K55" s="909"/>
      <c r="L55" s="909">
        <f t="shared" ca="1" si="34"/>
        <v>742600</v>
      </c>
      <c r="M55" s="909">
        <f t="shared" ca="1" si="34"/>
        <v>556950</v>
      </c>
      <c r="N55" s="909">
        <f t="shared" ca="1" si="34"/>
        <v>368492.61</v>
      </c>
      <c r="O55" s="909">
        <f t="shared" ca="1" si="32"/>
        <v>49.621951252356588</v>
      </c>
      <c r="P55" s="909">
        <f t="shared" ca="1" si="33"/>
        <v>66.16260166980878</v>
      </c>
      <c r="Q55" s="825"/>
      <c r="R55" s="825"/>
      <c r="S55" s="825"/>
      <c r="T55" s="825"/>
      <c r="U55" s="825"/>
      <c r="V55" s="825"/>
      <c r="W55" s="825"/>
      <c r="X55" s="825"/>
      <c r="Y55" s="825"/>
      <c r="Z55" s="825"/>
    </row>
    <row r="56" spans="1:26" ht="18.75">
      <c r="A56" s="826"/>
      <c r="B56" s="827"/>
      <c r="C56" s="827"/>
      <c r="D56" s="828" t="s">
        <v>20</v>
      </c>
      <c r="E56" s="827"/>
      <c r="F56" s="827"/>
      <c r="G56" s="829"/>
      <c r="H56" s="590" t="s">
        <v>12</v>
      </c>
      <c r="I56" s="830"/>
      <c r="J56" s="830"/>
      <c r="K56" s="831"/>
      <c r="L56" s="831">
        <f t="shared" ref="L56:N56" ca="1" si="35">L57+L58</f>
        <v>742600</v>
      </c>
      <c r="M56" s="831">
        <f t="shared" ca="1" si="35"/>
        <v>556950</v>
      </c>
      <c r="N56" s="831">
        <f t="shared" ca="1" si="35"/>
        <v>368492.61</v>
      </c>
      <c r="O56" s="831">
        <f t="shared" ca="1" si="32"/>
        <v>49.621951252356588</v>
      </c>
      <c r="P56" s="831">
        <f t="shared" ca="1" si="33"/>
        <v>66.16260166980878</v>
      </c>
      <c r="Q56" s="818"/>
      <c r="R56" s="818"/>
      <c r="S56" s="818"/>
      <c r="T56" s="818"/>
      <c r="U56" s="818"/>
      <c r="V56" s="818"/>
      <c r="W56" s="818"/>
      <c r="X56" s="818"/>
      <c r="Y56" s="818"/>
      <c r="Z56" s="818"/>
    </row>
    <row r="57" spans="1:26" ht="18.75" hidden="1">
      <c r="A57" s="832"/>
      <c r="B57" s="833"/>
      <c r="C57" s="833"/>
      <c r="D57" s="833"/>
      <c r="E57" s="834" t="s">
        <v>18</v>
      </c>
      <c r="F57" s="833"/>
      <c r="G57" s="835"/>
      <c r="H57" s="43" t="s">
        <v>12</v>
      </c>
      <c r="I57" s="836"/>
      <c r="J57" s="836"/>
      <c r="K57" s="837"/>
      <c r="L57" s="837">
        <v>0</v>
      </c>
      <c r="M57" s="837">
        <v>0</v>
      </c>
      <c r="N57" s="837">
        <v>0</v>
      </c>
      <c r="O57" s="837">
        <f t="shared" si="32"/>
        <v>0</v>
      </c>
      <c r="P57" s="837">
        <f t="shared" si="33"/>
        <v>0</v>
      </c>
      <c r="Q57" s="825"/>
      <c r="R57" s="825"/>
      <c r="S57" s="825"/>
      <c r="T57" s="825"/>
      <c r="U57" s="825"/>
      <c r="V57" s="825"/>
      <c r="W57" s="825"/>
      <c r="X57" s="825"/>
      <c r="Y57" s="825"/>
      <c r="Z57" s="825"/>
    </row>
    <row r="58" spans="1:26" ht="18.75" hidden="1">
      <c r="A58" s="832"/>
      <c r="B58" s="833"/>
      <c r="C58" s="833"/>
      <c r="D58" s="833"/>
      <c r="E58" s="834" t="s">
        <v>19</v>
      </c>
      <c r="F58" s="833"/>
      <c r="G58" s="835"/>
      <c r="H58" s="43" t="s">
        <v>12</v>
      </c>
      <c r="I58" s="836"/>
      <c r="J58" s="836"/>
      <c r="K58" s="837"/>
      <c r="L58" s="837">
        <f ca="1">IFERROR(__xludf.DUMMYFUNCTION("IMPORTRANGE(""https://docs.google.com/spreadsheets/d/1MeEWN-I1oV_STSDYn1IFDPWt_1FKiwhDph83XaGc0o0/edit?usp=sharing"",""งบพรบ!W19"")"),742600)</f>
        <v>742600</v>
      </c>
      <c r="M58" s="837">
        <f ca="1">IFERROR(__xludf.DUMMYFUNCTION("IMPORTRANGE(""https://docs.google.com/spreadsheets/d/1MeEWN-I1oV_STSDYn1IFDPWt_1FKiwhDph83XaGc0o0/edit?usp=sharing"",""งบพรบ!AB19"")"),556950)</f>
        <v>556950</v>
      </c>
      <c r="N58" s="837">
        <f ca="1">IFERROR(__xludf.DUMMYFUNCTION("IMPORTRANGE(""https://docs.google.com/spreadsheets/d/1MeEWN-I1oV_STSDYn1IFDPWt_1FKiwhDph83XaGc0o0/edit?usp=sharing"",""งบพรบ!AD19"")"),368492.61)</f>
        <v>368492.61</v>
      </c>
      <c r="O58" s="837">
        <f t="shared" ca="1" si="32"/>
        <v>49.621951252356588</v>
      </c>
      <c r="P58" s="837">
        <f t="shared" ca="1" si="33"/>
        <v>66.16260166980878</v>
      </c>
      <c r="Q58" s="825"/>
      <c r="R58" s="825"/>
      <c r="S58" s="825"/>
      <c r="T58" s="825"/>
      <c r="U58" s="825"/>
      <c r="V58" s="825"/>
      <c r="W58" s="825"/>
      <c r="X58" s="825"/>
      <c r="Y58" s="825"/>
      <c r="Z58" s="825"/>
    </row>
    <row r="59" spans="1:26" ht="18.75">
      <c r="A59" s="826"/>
      <c r="B59" s="827"/>
      <c r="C59" s="827"/>
      <c r="D59" s="828" t="s">
        <v>21</v>
      </c>
      <c r="E59" s="827"/>
      <c r="F59" s="827"/>
      <c r="G59" s="829"/>
      <c r="H59" s="590" t="s">
        <v>12</v>
      </c>
      <c r="I59" s="830"/>
      <c r="J59" s="830"/>
      <c r="K59" s="831"/>
      <c r="L59" s="831">
        <f t="shared" ref="L59:N59" ca="1" si="36">L60+L61</f>
        <v>0</v>
      </c>
      <c r="M59" s="831">
        <f t="shared" ca="1" si="36"/>
        <v>0</v>
      </c>
      <c r="N59" s="831">
        <f t="shared" ca="1" si="36"/>
        <v>0</v>
      </c>
      <c r="O59" s="831">
        <f t="shared" ca="1" si="32"/>
        <v>0</v>
      </c>
      <c r="P59" s="831">
        <f t="shared" ca="1" si="33"/>
        <v>0</v>
      </c>
      <c r="Q59" s="818"/>
      <c r="R59" s="818"/>
      <c r="S59" s="818"/>
      <c r="T59" s="818"/>
      <c r="U59" s="818"/>
      <c r="V59" s="818"/>
      <c r="W59" s="818"/>
      <c r="X59" s="818"/>
      <c r="Y59" s="818"/>
      <c r="Z59" s="818"/>
    </row>
    <row r="60" spans="1:26" ht="18.75" hidden="1">
      <c r="A60" s="832"/>
      <c r="B60" s="833"/>
      <c r="C60" s="833"/>
      <c r="D60" s="833"/>
      <c r="E60" s="834" t="s">
        <v>18</v>
      </c>
      <c r="F60" s="833"/>
      <c r="G60" s="835"/>
      <c r="H60" s="43" t="s">
        <v>12</v>
      </c>
      <c r="I60" s="836"/>
      <c r="J60" s="836"/>
      <c r="K60" s="837"/>
      <c r="L60" s="837">
        <v>0</v>
      </c>
      <c r="M60" s="837">
        <v>0</v>
      </c>
      <c r="N60" s="837">
        <v>0</v>
      </c>
      <c r="O60" s="837">
        <f t="shared" si="32"/>
        <v>0</v>
      </c>
      <c r="P60" s="837">
        <f t="shared" si="33"/>
        <v>0</v>
      </c>
      <c r="Q60" s="825"/>
      <c r="R60" s="825"/>
      <c r="S60" s="825"/>
      <c r="T60" s="825"/>
      <c r="U60" s="825"/>
      <c r="V60" s="825"/>
      <c r="W60" s="825"/>
      <c r="X60" s="825"/>
      <c r="Y60" s="825"/>
      <c r="Z60" s="825"/>
    </row>
    <row r="61" spans="1:26" ht="18.75" hidden="1">
      <c r="A61" s="838"/>
      <c r="B61" s="839"/>
      <c r="C61" s="839"/>
      <c r="D61" s="839"/>
      <c r="E61" s="840" t="s">
        <v>19</v>
      </c>
      <c r="F61" s="839"/>
      <c r="G61" s="841"/>
      <c r="H61" s="50" t="s">
        <v>12</v>
      </c>
      <c r="I61" s="842"/>
      <c r="J61" s="842"/>
      <c r="K61" s="843"/>
      <c r="L61" s="843">
        <f ca="1">IFERROR(__xludf.DUMMYFUNCTION("IMPORTRANGE(""https://docs.google.com/spreadsheets/d/1MeEWN-I1oV_STSDYn1IFDPWt_1FKiwhDph83XaGc0o0/edit?usp=sharing"",""งบพรบ!Z19"")"),0)</f>
        <v>0</v>
      </c>
      <c r="M61" s="843">
        <f ca="1">IFERROR(__xludf.DUMMYFUNCTION("IMPORTRANGE(""https://docs.google.com/spreadsheets/d/1MeEWN-I1oV_STSDYn1IFDPWt_1FKiwhDph83XaGc0o0/edit?usp=sharing"",""งบพรบ!AC19"")"),0)</f>
        <v>0</v>
      </c>
      <c r="N61" s="843">
        <f ca="1">IFERROR(__xludf.DUMMYFUNCTION("IMPORTRANGE(""https://docs.google.com/spreadsheets/d/1MeEWN-I1oV_STSDYn1IFDPWt_1FKiwhDph83XaGc0o0/edit?usp=sharing"",""งบพรบ!AE19"")"),0)</f>
        <v>0</v>
      </c>
      <c r="O61" s="843">
        <f t="shared" ca="1" si="32"/>
        <v>0</v>
      </c>
      <c r="P61" s="843">
        <f t="shared" ca="1" si="33"/>
        <v>0</v>
      </c>
      <c r="Q61" s="825"/>
      <c r="R61" s="825"/>
      <c r="S61" s="825"/>
      <c r="T61" s="825"/>
      <c r="U61" s="825"/>
      <c r="V61" s="825"/>
      <c r="W61" s="825"/>
      <c r="X61" s="825"/>
      <c r="Y61" s="825"/>
      <c r="Z61" s="825"/>
    </row>
    <row r="62" spans="1:26" ht="19.5">
      <c r="A62" s="910" t="s">
        <v>31</v>
      </c>
      <c r="B62" s="911"/>
      <c r="C62" s="911"/>
      <c r="D62" s="911"/>
      <c r="E62" s="912"/>
      <c r="F62" s="912"/>
      <c r="G62" s="913"/>
      <c r="H62" s="914"/>
      <c r="I62" s="915"/>
      <c r="J62" s="915"/>
      <c r="K62" s="916"/>
      <c r="L62" s="916"/>
      <c r="M62" s="916"/>
      <c r="N62" s="916"/>
      <c r="O62" s="916"/>
      <c r="P62" s="916"/>
    </row>
    <row r="63" spans="1:26" ht="19.5">
      <c r="A63" s="917" t="s">
        <v>32</v>
      </c>
      <c r="B63" s="918"/>
      <c r="C63" s="919"/>
      <c r="D63" s="918"/>
      <c r="E63" s="918"/>
      <c r="F63" s="918"/>
      <c r="G63" s="920"/>
      <c r="H63" s="921"/>
      <c r="I63" s="922"/>
      <c r="J63" s="922"/>
      <c r="K63" s="923"/>
      <c r="L63" s="923"/>
      <c r="M63" s="923"/>
      <c r="N63" s="923"/>
      <c r="O63" s="923"/>
      <c r="P63" s="923"/>
    </row>
    <row r="64" spans="1:26" ht="19.5">
      <c r="A64" s="924"/>
      <c r="B64" s="925" t="s">
        <v>33</v>
      </c>
      <c r="C64" s="926"/>
      <c r="D64" s="927"/>
      <c r="E64" s="926"/>
      <c r="F64" s="926"/>
      <c r="G64" s="928"/>
      <c r="H64" s="205" t="s">
        <v>34</v>
      </c>
      <c r="I64" s="929">
        <f t="shared" ref="I64:J65" ca="1" si="37">I76</f>
        <v>1</v>
      </c>
      <c r="J64" s="929">
        <f t="shared" si="37"/>
        <v>1</v>
      </c>
      <c r="K64" s="930">
        <f t="shared" ref="K64:K65" ca="1" si="38">IF(I64&gt;0,J64*100/I64,0)</f>
        <v>100</v>
      </c>
      <c r="L64" s="931"/>
      <c r="M64" s="931"/>
      <c r="N64" s="931"/>
      <c r="O64" s="931"/>
      <c r="P64" s="931"/>
    </row>
    <row r="65" spans="1:26" ht="19.5">
      <c r="A65" s="924"/>
      <c r="B65" s="926"/>
      <c r="C65" s="926"/>
      <c r="D65" s="927"/>
      <c r="E65" s="926"/>
      <c r="F65" s="926"/>
      <c r="G65" s="928"/>
      <c r="H65" s="205" t="s">
        <v>35</v>
      </c>
      <c r="I65" s="929">
        <f t="shared" ca="1" si="37"/>
        <v>40</v>
      </c>
      <c r="J65" s="929">
        <f t="shared" si="37"/>
        <v>40</v>
      </c>
      <c r="K65" s="930">
        <f t="shared" ca="1" si="38"/>
        <v>100</v>
      </c>
      <c r="L65" s="931"/>
      <c r="M65" s="931"/>
      <c r="N65" s="931"/>
      <c r="O65" s="931"/>
      <c r="P65" s="931"/>
    </row>
    <row r="66" spans="1:26" ht="19.5">
      <c r="A66" s="932"/>
      <c r="B66" s="933"/>
      <c r="C66" s="934" t="s">
        <v>16</v>
      </c>
      <c r="D66" s="935" t="s">
        <v>17</v>
      </c>
      <c r="E66" s="933"/>
      <c r="F66" s="933"/>
      <c r="G66" s="936"/>
      <c r="H66" s="152" t="s">
        <v>12</v>
      </c>
      <c r="I66" s="937"/>
      <c r="J66" s="937"/>
      <c r="K66" s="938"/>
      <c r="L66" s="939">
        <f t="shared" ref="L66:N66" ca="1" si="39">L67+L68</f>
        <v>440000</v>
      </c>
      <c r="M66" s="939">
        <f t="shared" ca="1" si="39"/>
        <v>313000</v>
      </c>
      <c r="N66" s="939">
        <f t="shared" ca="1" si="39"/>
        <v>177506</v>
      </c>
      <c r="O66" s="939">
        <f t="shared" ref="O66:O74" ca="1" si="40">IF(L66&gt;0,N66*100/L66,0)</f>
        <v>40.342272727272729</v>
      </c>
      <c r="P66" s="939">
        <f t="shared" ref="P66:P74" ca="1" si="41">IF(M66&gt;0,N66*100/M66,0)</f>
        <v>56.711182108626197</v>
      </c>
      <c r="Q66" s="818"/>
      <c r="R66" s="818"/>
      <c r="S66" s="818"/>
      <c r="T66" s="818"/>
      <c r="U66" s="818"/>
      <c r="V66" s="818"/>
      <c r="W66" s="818"/>
      <c r="X66" s="818"/>
      <c r="Y66" s="818"/>
      <c r="Z66" s="818"/>
    </row>
    <row r="67" spans="1:26" ht="18.75" hidden="1">
      <c r="A67" s="940"/>
      <c r="B67" s="833"/>
      <c r="C67" s="833"/>
      <c r="D67" s="833"/>
      <c r="E67" s="834" t="s">
        <v>18</v>
      </c>
      <c r="F67" s="833"/>
      <c r="G67" s="941"/>
      <c r="H67" s="158" t="s">
        <v>12</v>
      </c>
      <c r="I67" s="836"/>
      <c r="J67" s="836"/>
      <c r="K67" s="837"/>
      <c r="L67" s="837">
        <f t="shared" ref="L67:N68" si="42">L70+L73</f>
        <v>0</v>
      </c>
      <c r="M67" s="837">
        <f t="shared" si="42"/>
        <v>0</v>
      </c>
      <c r="N67" s="837">
        <f t="shared" si="42"/>
        <v>0</v>
      </c>
      <c r="O67" s="837">
        <f t="shared" si="40"/>
        <v>0</v>
      </c>
      <c r="P67" s="837">
        <f t="shared" si="41"/>
        <v>0</v>
      </c>
      <c r="Q67" s="825"/>
      <c r="R67" s="825"/>
      <c r="S67" s="825"/>
      <c r="T67" s="825"/>
      <c r="U67" s="825"/>
      <c r="V67" s="825"/>
      <c r="W67" s="825"/>
      <c r="X67" s="825"/>
      <c r="Y67" s="825"/>
      <c r="Z67" s="825"/>
    </row>
    <row r="68" spans="1:26" ht="18.75" hidden="1">
      <c r="A68" s="940"/>
      <c r="B68" s="833"/>
      <c r="C68" s="833"/>
      <c r="D68" s="833"/>
      <c r="E68" s="834" t="s">
        <v>19</v>
      </c>
      <c r="F68" s="833"/>
      <c r="G68" s="941"/>
      <c r="H68" s="158" t="s">
        <v>12</v>
      </c>
      <c r="I68" s="836"/>
      <c r="J68" s="836"/>
      <c r="K68" s="837"/>
      <c r="L68" s="837">
        <f t="shared" ca="1" si="42"/>
        <v>440000</v>
      </c>
      <c r="M68" s="837">
        <f t="shared" ca="1" si="42"/>
        <v>313000</v>
      </c>
      <c r="N68" s="837">
        <f t="shared" ca="1" si="42"/>
        <v>177506</v>
      </c>
      <c r="O68" s="837">
        <f t="shared" ca="1" si="40"/>
        <v>40.342272727272729</v>
      </c>
      <c r="P68" s="837">
        <f t="shared" ca="1" si="41"/>
        <v>56.711182108626197</v>
      </c>
      <c r="Q68" s="825"/>
      <c r="R68" s="825"/>
      <c r="S68" s="825"/>
      <c r="T68" s="825"/>
      <c r="U68" s="825"/>
      <c r="V68" s="825"/>
      <c r="W68" s="825"/>
      <c r="X68" s="825"/>
      <c r="Y68" s="825"/>
      <c r="Z68" s="825"/>
    </row>
    <row r="69" spans="1:26" ht="18.75">
      <c r="A69" s="942"/>
      <c r="B69" s="827"/>
      <c r="C69" s="943"/>
      <c r="D69" s="828" t="s">
        <v>20</v>
      </c>
      <c r="E69" s="827"/>
      <c r="F69" s="827"/>
      <c r="G69" s="829"/>
      <c r="H69" s="778" t="s">
        <v>12</v>
      </c>
      <c r="I69" s="944"/>
      <c r="J69" s="944"/>
      <c r="K69" s="945"/>
      <c r="L69" s="831">
        <f t="shared" ref="L69:N69" ca="1" si="43">L70+L71</f>
        <v>440000</v>
      </c>
      <c r="M69" s="831">
        <f t="shared" ca="1" si="43"/>
        <v>313000</v>
      </c>
      <c r="N69" s="831">
        <f t="shared" ca="1" si="43"/>
        <v>177506</v>
      </c>
      <c r="O69" s="831">
        <f t="shared" ca="1" si="40"/>
        <v>40.342272727272729</v>
      </c>
      <c r="P69" s="831">
        <f t="shared" ca="1" si="41"/>
        <v>56.711182108626197</v>
      </c>
      <c r="Q69" s="818"/>
      <c r="R69" s="818"/>
      <c r="S69" s="818"/>
      <c r="T69" s="818"/>
      <c r="U69" s="818"/>
      <c r="V69" s="818"/>
      <c r="W69" s="818"/>
      <c r="X69" s="818"/>
      <c r="Y69" s="818"/>
      <c r="Z69" s="818"/>
    </row>
    <row r="70" spans="1:26" ht="19.5" hidden="1">
      <c r="A70" s="940"/>
      <c r="B70" s="833"/>
      <c r="C70" s="946"/>
      <c r="D70" s="833"/>
      <c r="E70" s="834" t="s">
        <v>36</v>
      </c>
      <c r="F70" s="833"/>
      <c r="G70" s="941"/>
      <c r="H70" s="165" t="s">
        <v>12</v>
      </c>
      <c r="I70" s="947"/>
      <c r="J70" s="947"/>
      <c r="K70" s="948"/>
      <c r="L70" s="837">
        <v>0</v>
      </c>
      <c r="M70" s="837">
        <v>0</v>
      </c>
      <c r="N70" s="837">
        <v>0</v>
      </c>
      <c r="O70" s="837">
        <f t="shared" si="40"/>
        <v>0</v>
      </c>
      <c r="P70" s="837">
        <f t="shared" si="41"/>
        <v>0</v>
      </c>
      <c r="Q70" s="825"/>
      <c r="R70" s="825"/>
      <c r="S70" s="825"/>
      <c r="T70" s="825"/>
      <c r="U70" s="825"/>
      <c r="V70" s="825"/>
      <c r="W70" s="825"/>
      <c r="X70" s="825"/>
      <c r="Y70" s="825"/>
      <c r="Z70" s="825"/>
    </row>
    <row r="71" spans="1:26" ht="19.5" hidden="1">
      <c r="A71" s="940"/>
      <c r="B71" s="833"/>
      <c r="C71" s="946"/>
      <c r="D71" s="833"/>
      <c r="E71" s="834" t="s">
        <v>37</v>
      </c>
      <c r="F71" s="833"/>
      <c r="G71" s="941"/>
      <c r="H71" s="165" t="s">
        <v>12</v>
      </c>
      <c r="I71" s="947"/>
      <c r="J71" s="947"/>
      <c r="K71" s="948"/>
      <c r="L71" s="837">
        <f ca="1">IFERROR(__xludf.DUMMYFUNCTION("IMPORTRANGE(""https://docs.google.com/spreadsheets/d/1MeEWN-I1oV_STSDYn1IFDPWt_1FKiwhDph83XaGc0o0/edit?usp=sharing"",""งบพรบ!AG19"")"),440000)</f>
        <v>440000</v>
      </c>
      <c r="M71" s="837">
        <f ca="1">IFERROR(__xludf.DUMMYFUNCTION("IMPORTRANGE(""https://docs.google.com/spreadsheets/d/1MeEWN-I1oV_STSDYn1IFDPWt_1FKiwhDph83XaGc0o0/edit?usp=sharing"",""งบพรบ!AL19"")"),313000)</f>
        <v>313000</v>
      </c>
      <c r="N71" s="837">
        <f ca="1">IFERROR(__xludf.DUMMYFUNCTION("IMPORTRANGE(""https://docs.google.com/spreadsheets/d/1MeEWN-I1oV_STSDYn1IFDPWt_1FKiwhDph83XaGc0o0/edit?usp=sharing"",""งบพรบ!AN19"")"),177506)</f>
        <v>177506</v>
      </c>
      <c r="O71" s="837">
        <f t="shared" ca="1" si="40"/>
        <v>40.342272727272729</v>
      </c>
      <c r="P71" s="837">
        <f t="shared" ca="1" si="41"/>
        <v>56.711182108626197</v>
      </c>
      <c r="Q71" s="825"/>
      <c r="R71" s="825"/>
      <c r="S71" s="825"/>
      <c r="T71" s="825"/>
      <c r="U71" s="825"/>
      <c r="V71" s="825"/>
      <c r="W71" s="825"/>
      <c r="X71" s="825"/>
      <c r="Y71" s="825"/>
      <c r="Z71" s="825"/>
    </row>
    <row r="72" spans="1:26" ht="18.75">
      <c r="A72" s="942"/>
      <c r="B72" s="827"/>
      <c r="C72" s="943"/>
      <c r="D72" s="828" t="s">
        <v>21</v>
      </c>
      <c r="E72" s="827"/>
      <c r="F72" s="827"/>
      <c r="G72" s="829"/>
      <c r="H72" s="168" t="s">
        <v>12</v>
      </c>
      <c r="I72" s="944"/>
      <c r="J72" s="944"/>
      <c r="K72" s="945"/>
      <c r="L72" s="831">
        <f t="shared" ref="L72:N72" ca="1" si="44">L73+L74</f>
        <v>0</v>
      </c>
      <c r="M72" s="831">
        <f t="shared" ca="1" si="44"/>
        <v>0</v>
      </c>
      <c r="N72" s="831">
        <f t="shared" ca="1" si="44"/>
        <v>0</v>
      </c>
      <c r="O72" s="831">
        <f t="shared" ca="1" si="40"/>
        <v>0</v>
      </c>
      <c r="P72" s="831">
        <f t="shared" ca="1" si="41"/>
        <v>0</v>
      </c>
      <c r="Q72" s="818"/>
      <c r="R72" s="818"/>
      <c r="S72" s="818"/>
      <c r="T72" s="818"/>
      <c r="U72" s="818"/>
      <c r="V72" s="818"/>
      <c r="W72" s="818"/>
      <c r="X72" s="818"/>
      <c r="Y72" s="818"/>
      <c r="Z72" s="818"/>
    </row>
    <row r="73" spans="1:26" ht="19.5" hidden="1">
      <c r="A73" s="940"/>
      <c r="B73" s="833"/>
      <c r="C73" s="946"/>
      <c r="D73" s="833"/>
      <c r="E73" s="834" t="s">
        <v>18</v>
      </c>
      <c r="F73" s="833"/>
      <c r="G73" s="941"/>
      <c r="H73" s="165" t="s">
        <v>12</v>
      </c>
      <c r="I73" s="947"/>
      <c r="J73" s="947"/>
      <c r="K73" s="948"/>
      <c r="L73" s="837">
        <v>0</v>
      </c>
      <c r="M73" s="837"/>
      <c r="N73" s="837"/>
      <c r="O73" s="837">
        <f t="shared" si="40"/>
        <v>0</v>
      </c>
      <c r="P73" s="837">
        <f t="shared" si="41"/>
        <v>0</v>
      </c>
      <c r="Q73" s="825"/>
      <c r="R73" s="825"/>
      <c r="S73" s="825"/>
      <c r="T73" s="825"/>
      <c r="U73" s="825"/>
      <c r="V73" s="825"/>
      <c r="W73" s="825"/>
      <c r="X73" s="825"/>
      <c r="Y73" s="825"/>
      <c r="Z73" s="825"/>
    </row>
    <row r="74" spans="1:26" ht="19.5" hidden="1">
      <c r="A74" s="940"/>
      <c r="B74" s="833"/>
      <c r="C74" s="946"/>
      <c r="D74" s="833"/>
      <c r="E74" s="834" t="s">
        <v>19</v>
      </c>
      <c r="F74" s="833"/>
      <c r="G74" s="941"/>
      <c r="H74" s="169" t="s">
        <v>12</v>
      </c>
      <c r="I74" s="947"/>
      <c r="J74" s="947"/>
      <c r="K74" s="948"/>
      <c r="L74" s="837">
        <f ca="1">IFERROR(__xludf.DUMMYFUNCTION("IMPORTRANGE(""https://docs.google.com/spreadsheets/d/1MeEWN-I1oV_STSDYn1IFDPWt_1FKiwhDph83XaGc0o0/edit?usp=sharing"",""งบพรบ!AJ19"")"),0)</f>
        <v>0</v>
      </c>
      <c r="M74" s="837">
        <f ca="1">IFERROR(__xludf.DUMMYFUNCTION("IMPORTRANGE(""https://docs.google.com/spreadsheets/d/1MeEWN-I1oV_STSDYn1IFDPWt_1FKiwhDph83XaGc0o0/edit?usp=sharing"",""งบพรบ!AM19"")"),0)</f>
        <v>0</v>
      </c>
      <c r="N74" s="837">
        <f ca="1">IFERROR(__xludf.DUMMYFUNCTION("IMPORTRANGE(""https://docs.google.com/spreadsheets/d/1MeEWN-I1oV_STSDYn1IFDPWt_1FKiwhDph83XaGc0o0/edit?usp=sharing"",""งบพรบ!AO19"")"),0)</f>
        <v>0</v>
      </c>
      <c r="O74" s="837">
        <f t="shared" ca="1" si="40"/>
        <v>0</v>
      </c>
      <c r="P74" s="837">
        <f t="shared" ca="1" si="41"/>
        <v>0</v>
      </c>
      <c r="Q74" s="825"/>
      <c r="R74" s="825"/>
      <c r="S74" s="825"/>
      <c r="T74" s="825"/>
      <c r="U74" s="825"/>
      <c r="V74" s="825"/>
      <c r="W74" s="825"/>
      <c r="X74" s="825"/>
      <c r="Y74" s="825"/>
      <c r="Z74" s="825"/>
    </row>
    <row r="75" spans="1:26" ht="19.5">
      <c r="A75" s="949"/>
      <c r="B75" s="950"/>
      <c r="C75" s="946" t="s">
        <v>16</v>
      </c>
      <c r="D75" s="951" t="s">
        <v>38</v>
      </c>
      <c r="E75" s="952"/>
      <c r="F75" s="952"/>
      <c r="G75" s="953"/>
      <c r="H75" s="954"/>
      <c r="I75" s="944"/>
      <c r="J75" s="944"/>
      <c r="K75" s="945"/>
      <c r="L75" s="945"/>
      <c r="M75" s="945"/>
      <c r="N75" s="945"/>
      <c r="O75" s="945"/>
      <c r="P75" s="945"/>
    </row>
    <row r="76" spans="1:26" ht="19.5">
      <c r="A76" s="949"/>
      <c r="B76" s="950"/>
      <c r="C76" s="950"/>
      <c r="D76" s="955" t="s">
        <v>39</v>
      </c>
      <c r="E76" s="956"/>
      <c r="F76" s="957"/>
      <c r="G76" s="958"/>
      <c r="H76" s="180" t="s">
        <v>34</v>
      </c>
      <c r="I76" s="830">
        <f t="shared" ref="I76:J77" ca="1" si="45">I78+I80+I82</f>
        <v>1</v>
      </c>
      <c r="J76" s="830">
        <f t="shared" si="45"/>
        <v>1</v>
      </c>
      <c r="K76" s="945">
        <f t="shared" ref="K76:K84" ca="1" si="46">IF(I76&gt;0,J76*100/I76,0)</f>
        <v>100</v>
      </c>
      <c r="L76" s="945"/>
      <c r="M76" s="945"/>
      <c r="N76" s="945"/>
      <c r="O76" s="945"/>
      <c r="P76" s="945"/>
    </row>
    <row r="77" spans="1:26" ht="19.5">
      <c r="A77" s="949"/>
      <c r="B77" s="950"/>
      <c r="C77" s="950"/>
      <c r="D77" s="950"/>
      <c r="E77" s="957"/>
      <c r="F77" s="957"/>
      <c r="G77" s="958"/>
      <c r="H77" s="180" t="s">
        <v>35</v>
      </c>
      <c r="I77" s="830">
        <f t="shared" ca="1" si="45"/>
        <v>40</v>
      </c>
      <c r="J77" s="830">
        <f t="shared" si="45"/>
        <v>40</v>
      </c>
      <c r="K77" s="945">
        <f t="shared" ca="1" si="46"/>
        <v>100</v>
      </c>
      <c r="L77" s="945"/>
      <c r="M77" s="945"/>
      <c r="N77" s="945"/>
      <c r="O77" s="945"/>
      <c r="P77" s="945"/>
    </row>
    <row r="78" spans="1:26" ht="18.75">
      <c r="A78" s="949"/>
      <c r="B78" s="950"/>
      <c r="C78" s="950"/>
      <c r="D78" s="950"/>
      <c r="E78" s="956" t="s">
        <v>40</v>
      </c>
      <c r="F78" s="956"/>
      <c r="G78" s="958"/>
      <c r="H78" s="730" t="s">
        <v>34</v>
      </c>
      <c r="I78" s="944">
        <f ca="1">IFERROR(__xludf.DUMMYFUNCTION("IMPORTRANGE(""https://docs.google.com/spreadsheets/d/1QqKyyYR6Q21VydFLVH3TRQUabQu_ym0Zz7PgGX0-kHA/edit?usp=sharing"",""แผน!H19"")"),1)</f>
        <v>1</v>
      </c>
      <c r="J78" s="959">
        <v>1</v>
      </c>
      <c r="K78" s="945">
        <f t="shared" ca="1" si="46"/>
        <v>100</v>
      </c>
      <c r="L78" s="945"/>
      <c r="M78" s="945"/>
      <c r="N78" s="945"/>
      <c r="O78" s="945"/>
      <c r="P78" s="945"/>
    </row>
    <row r="79" spans="1:26" ht="18.75">
      <c r="A79" s="949"/>
      <c r="B79" s="950"/>
      <c r="C79" s="950"/>
      <c r="D79" s="950"/>
      <c r="E79" s="957"/>
      <c r="F79" s="957"/>
      <c r="G79" s="958"/>
      <c r="H79" s="730" t="s">
        <v>35</v>
      </c>
      <c r="I79" s="944">
        <f ca="1">IFERROR(__xludf.DUMMYFUNCTION("IMPORTRANGE(""https://docs.google.com/spreadsheets/d/1QqKyyYR6Q21VydFLVH3TRQUabQu_ym0Zz7PgGX0-kHA/edit?usp=sharing"",""แผน!I19"")"),40)</f>
        <v>40</v>
      </c>
      <c r="J79" s="959">
        <v>40</v>
      </c>
      <c r="K79" s="945">
        <f t="shared" ca="1" si="46"/>
        <v>100</v>
      </c>
      <c r="L79" s="945"/>
      <c r="M79" s="945"/>
      <c r="N79" s="945"/>
      <c r="O79" s="945"/>
      <c r="P79" s="945"/>
    </row>
    <row r="80" spans="1:26" ht="18.75">
      <c r="A80" s="949"/>
      <c r="B80" s="950"/>
      <c r="C80" s="950"/>
      <c r="D80" s="950"/>
      <c r="E80" s="956" t="s">
        <v>41</v>
      </c>
      <c r="F80" s="956"/>
      <c r="G80" s="958"/>
      <c r="H80" s="730" t="s">
        <v>34</v>
      </c>
      <c r="I80" s="944">
        <f ca="1">IFERROR(__xludf.DUMMYFUNCTION("IMPORTRANGE(""https://docs.google.com/spreadsheets/d/1QqKyyYR6Q21VydFLVH3TRQUabQu_ym0Zz7PgGX0-kHA/edit?usp=sharing"",""แผน!F19"")"),0)</f>
        <v>0</v>
      </c>
      <c r="J80" s="959">
        <v>0</v>
      </c>
      <c r="K80" s="945">
        <f t="shared" ca="1" si="46"/>
        <v>0</v>
      </c>
      <c r="L80" s="945"/>
      <c r="M80" s="945"/>
      <c r="N80" s="945"/>
      <c r="O80" s="945"/>
      <c r="P80" s="945"/>
    </row>
    <row r="81" spans="1:26" ht="18.75">
      <c r="A81" s="949"/>
      <c r="B81" s="950"/>
      <c r="C81" s="950"/>
      <c r="D81" s="950"/>
      <c r="E81" s="957"/>
      <c r="F81" s="957"/>
      <c r="G81" s="958"/>
      <c r="H81" s="730" t="s">
        <v>35</v>
      </c>
      <c r="I81" s="944">
        <f ca="1">IFERROR(__xludf.DUMMYFUNCTION("IMPORTRANGE(""https://docs.google.com/spreadsheets/d/1QqKyyYR6Q21VydFLVH3TRQUabQu_ym0Zz7PgGX0-kHA/edit?usp=sharing"",""แผน!G19"")"),0)</f>
        <v>0</v>
      </c>
      <c r="J81" s="959">
        <v>0</v>
      </c>
      <c r="K81" s="945">
        <f t="shared" ca="1" si="46"/>
        <v>0</v>
      </c>
      <c r="L81" s="945"/>
      <c r="M81" s="945"/>
      <c r="N81" s="945"/>
      <c r="O81" s="945"/>
      <c r="P81" s="945"/>
    </row>
    <row r="82" spans="1:26" ht="18.75">
      <c r="A82" s="949"/>
      <c r="B82" s="950"/>
      <c r="C82" s="950"/>
      <c r="D82" s="950"/>
      <c r="E82" s="956" t="s">
        <v>42</v>
      </c>
      <c r="F82" s="956"/>
      <c r="G82" s="958"/>
      <c r="H82" s="730" t="s">
        <v>34</v>
      </c>
      <c r="I82" s="944">
        <f ca="1">IFERROR(__xludf.DUMMYFUNCTION("IMPORTRANGE(""https://docs.google.com/spreadsheets/d/1QqKyyYR6Q21VydFLVH3TRQUabQu_ym0Zz7PgGX0-kHA/edit?usp=sharing"",""แผน!D19"")"),0)</f>
        <v>0</v>
      </c>
      <c r="J82" s="959">
        <v>0</v>
      </c>
      <c r="K82" s="945">
        <f t="shared" ca="1" si="46"/>
        <v>0</v>
      </c>
      <c r="L82" s="945"/>
      <c r="M82" s="945"/>
      <c r="N82" s="945"/>
      <c r="O82" s="945"/>
      <c r="P82" s="945"/>
    </row>
    <row r="83" spans="1:26" ht="18.75">
      <c r="A83" s="949"/>
      <c r="B83" s="950"/>
      <c r="C83" s="950"/>
      <c r="D83" s="950"/>
      <c r="E83" s="957"/>
      <c r="F83" s="957"/>
      <c r="G83" s="958"/>
      <c r="H83" s="730" t="s">
        <v>35</v>
      </c>
      <c r="I83" s="944">
        <f ca="1">IFERROR(__xludf.DUMMYFUNCTION("IMPORTRANGE(""https://docs.google.com/spreadsheets/d/1QqKyyYR6Q21VydFLVH3TRQUabQu_ym0Zz7PgGX0-kHA/edit?usp=sharing"",""แผน!E19"")"),0)</f>
        <v>0</v>
      </c>
      <c r="J83" s="959">
        <v>0</v>
      </c>
      <c r="K83" s="945">
        <f t="shared" ca="1" si="46"/>
        <v>0</v>
      </c>
      <c r="L83" s="945"/>
      <c r="M83" s="945"/>
      <c r="N83" s="945"/>
      <c r="O83" s="945"/>
      <c r="P83" s="945"/>
    </row>
    <row r="84" spans="1:26" ht="18.75">
      <c r="A84" s="949"/>
      <c r="B84" s="950"/>
      <c r="C84" s="950"/>
      <c r="D84" s="955" t="s">
        <v>43</v>
      </c>
      <c r="E84" s="956"/>
      <c r="F84" s="957"/>
      <c r="G84" s="958"/>
      <c r="H84" s="777" t="s">
        <v>34</v>
      </c>
      <c r="I84" s="944">
        <f ca="1">IFERROR(__xludf.DUMMYFUNCTION("IMPORTRANGE(""https://docs.google.com/spreadsheets/d/1QqKyyYR6Q21VydFLVH3TRQUabQu_ym0Zz7PgGX0-kHA/edit?usp=sharing"",""แผน!J19"")"),1)</f>
        <v>1</v>
      </c>
      <c r="J84" s="959">
        <v>0</v>
      </c>
      <c r="K84" s="945">
        <f t="shared" ca="1" si="46"/>
        <v>0</v>
      </c>
      <c r="L84" s="945"/>
      <c r="M84" s="945"/>
      <c r="N84" s="945"/>
      <c r="O84" s="945"/>
      <c r="P84" s="945"/>
    </row>
    <row r="85" spans="1:26" ht="19.5">
      <c r="A85" s="917" t="s">
        <v>44</v>
      </c>
      <c r="B85" s="918"/>
      <c r="C85" s="919"/>
      <c r="D85" s="918"/>
      <c r="E85" s="918"/>
      <c r="F85" s="918"/>
      <c r="G85" s="920"/>
      <c r="H85" s="921"/>
      <c r="I85" s="922"/>
      <c r="J85" s="922"/>
      <c r="K85" s="923"/>
      <c r="L85" s="923"/>
      <c r="M85" s="923"/>
      <c r="N85" s="923"/>
      <c r="O85" s="923"/>
      <c r="P85" s="923"/>
    </row>
    <row r="86" spans="1:26" ht="19.5">
      <c r="A86" s="924"/>
      <c r="B86" s="925" t="s">
        <v>45</v>
      </c>
      <c r="C86" s="926"/>
      <c r="D86" s="927"/>
      <c r="E86" s="926"/>
      <c r="F86" s="926"/>
      <c r="G86" s="928"/>
      <c r="H86" s="205" t="s">
        <v>46</v>
      </c>
      <c r="I86" s="929">
        <f t="shared" ref="I86:J87" ca="1" si="47">I98</f>
        <v>150</v>
      </c>
      <c r="J86" s="929">
        <f t="shared" si="47"/>
        <v>150</v>
      </c>
      <c r="K86" s="930">
        <f t="shared" ref="K86:K87" ca="1" si="48">IF(I86&gt;0,J86*100/I86,0)</f>
        <v>100</v>
      </c>
      <c r="L86" s="931"/>
      <c r="M86" s="931"/>
      <c r="N86" s="931"/>
      <c r="O86" s="931"/>
      <c r="P86" s="931"/>
    </row>
    <row r="87" spans="1:26" ht="19.5">
      <c r="A87" s="924"/>
      <c r="B87" s="926"/>
      <c r="C87" s="926"/>
      <c r="D87" s="927"/>
      <c r="E87" s="926"/>
      <c r="F87" s="926"/>
      <c r="G87" s="928"/>
      <c r="H87" s="205" t="s">
        <v>35</v>
      </c>
      <c r="I87" s="929">
        <f t="shared" ca="1" si="47"/>
        <v>50</v>
      </c>
      <c r="J87" s="929">
        <f t="shared" si="47"/>
        <v>50</v>
      </c>
      <c r="K87" s="930">
        <f t="shared" ca="1" si="48"/>
        <v>100</v>
      </c>
      <c r="L87" s="931"/>
      <c r="M87" s="931"/>
      <c r="N87" s="931"/>
      <c r="O87" s="931"/>
      <c r="P87" s="931"/>
    </row>
    <row r="88" spans="1:26" ht="19.5">
      <c r="A88" s="932"/>
      <c r="B88" s="933"/>
      <c r="C88" s="934" t="s">
        <v>16</v>
      </c>
      <c r="D88" s="935" t="s">
        <v>17</v>
      </c>
      <c r="E88" s="933"/>
      <c r="F88" s="933"/>
      <c r="G88" s="936"/>
      <c r="H88" s="152" t="s">
        <v>12</v>
      </c>
      <c r="I88" s="937"/>
      <c r="J88" s="937"/>
      <c r="K88" s="938"/>
      <c r="L88" s="939">
        <f t="shared" ref="L88:N88" ca="1" si="49">L89+L90</f>
        <v>269500</v>
      </c>
      <c r="M88" s="939">
        <f t="shared" ca="1" si="49"/>
        <v>215500</v>
      </c>
      <c r="N88" s="939">
        <f t="shared" ca="1" si="49"/>
        <v>142570</v>
      </c>
      <c r="O88" s="939">
        <f t="shared" ref="O88:O96" ca="1" si="50">IF(L88&gt;0,N88*100/L88,0)</f>
        <v>52.901669758812616</v>
      </c>
      <c r="P88" s="939">
        <f t="shared" ref="P88:P96" ca="1" si="51">IF(M88&gt;0,N88*100/M88,0)</f>
        <v>66.157772621809741</v>
      </c>
      <c r="Q88" s="818"/>
      <c r="R88" s="818"/>
      <c r="S88" s="818"/>
      <c r="T88" s="818"/>
      <c r="U88" s="818"/>
      <c r="V88" s="818"/>
      <c r="W88" s="818"/>
      <c r="X88" s="818"/>
      <c r="Y88" s="818"/>
      <c r="Z88" s="818"/>
    </row>
    <row r="89" spans="1:26" ht="18.75" hidden="1">
      <c r="A89" s="940"/>
      <c r="B89" s="833"/>
      <c r="C89" s="833"/>
      <c r="D89" s="833"/>
      <c r="E89" s="834" t="s">
        <v>18</v>
      </c>
      <c r="F89" s="833"/>
      <c r="G89" s="941"/>
      <c r="H89" s="158" t="s">
        <v>12</v>
      </c>
      <c r="I89" s="836"/>
      <c r="J89" s="836"/>
      <c r="K89" s="837"/>
      <c r="L89" s="837">
        <f t="shared" ref="L89:N90" si="52">L92+L95</f>
        <v>0</v>
      </c>
      <c r="M89" s="837">
        <f t="shared" si="52"/>
        <v>0</v>
      </c>
      <c r="N89" s="837">
        <f t="shared" si="52"/>
        <v>0</v>
      </c>
      <c r="O89" s="837">
        <f t="shared" si="50"/>
        <v>0</v>
      </c>
      <c r="P89" s="837">
        <f t="shared" si="51"/>
        <v>0</v>
      </c>
      <c r="Q89" s="825"/>
      <c r="R89" s="825"/>
      <c r="S89" s="825"/>
      <c r="T89" s="825"/>
      <c r="U89" s="825"/>
      <c r="V89" s="825"/>
      <c r="W89" s="825"/>
      <c r="X89" s="825"/>
      <c r="Y89" s="825"/>
      <c r="Z89" s="825"/>
    </row>
    <row r="90" spans="1:26" ht="18.75" hidden="1">
      <c r="A90" s="940"/>
      <c r="B90" s="833"/>
      <c r="C90" s="833"/>
      <c r="D90" s="833"/>
      <c r="E90" s="834" t="s">
        <v>19</v>
      </c>
      <c r="F90" s="833"/>
      <c r="G90" s="941"/>
      <c r="H90" s="158" t="s">
        <v>12</v>
      </c>
      <c r="I90" s="836"/>
      <c r="J90" s="836"/>
      <c r="K90" s="837"/>
      <c r="L90" s="837">
        <f t="shared" ca="1" si="52"/>
        <v>269500</v>
      </c>
      <c r="M90" s="837">
        <f t="shared" ca="1" si="52"/>
        <v>215500</v>
      </c>
      <c r="N90" s="837">
        <f t="shared" ca="1" si="52"/>
        <v>142570</v>
      </c>
      <c r="O90" s="837">
        <f t="shared" ca="1" si="50"/>
        <v>52.901669758812616</v>
      </c>
      <c r="P90" s="837">
        <f t="shared" ca="1" si="51"/>
        <v>66.157772621809741</v>
      </c>
      <c r="Q90" s="825"/>
      <c r="R90" s="825"/>
      <c r="S90" s="825"/>
      <c r="T90" s="825"/>
      <c r="U90" s="825"/>
      <c r="V90" s="825"/>
      <c r="W90" s="825"/>
      <c r="X90" s="825"/>
      <c r="Y90" s="825"/>
      <c r="Z90" s="825"/>
    </row>
    <row r="91" spans="1:26" ht="18.75">
      <c r="A91" s="942"/>
      <c r="B91" s="827"/>
      <c r="C91" s="943"/>
      <c r="D91" s="828" t="s">
        <v>20</v>
      </c>
      <c r="E91" s="827"/>
      <c r="F91" s="827"/>
      <c r="G91" s="829"/>
      <c r="H91" s="778" t="s">
        <v>12</v>
      </c>
      <c r="I91" s="944"/>
      <c r="J91" s="944"/>
      <c r="K91" s="945"/>
      <c r="L91" s="831">
        <f t="shared" ref="L91:N91" ca="1" si="53">L92+L93</f>
        <v>269500</v>
      </c>
      <c r="M91" s="831">
        <f t="shared" ca="1" si="53"/>
        <v>215500</v>
      </c>
      <c r="N91" s="831">
        <f t="shared" ca="1" si="53"/>
        <v>142570</v>
      </c>
      <c r="O91" s="831">
        <f t="shared" ca="1" si="50"/>
        <v>52.901669758812616</v>
      </c>
      <c r="P91" s="831">
        <f t="shared" ca="1" si="51"/>
        <v>66.157772621809741</v>
      </c>
      <c r="Q91" s="818"/>
      <c r="R91" s="818"/>
      <c r="S91" s="818"/>
      <c r="T91" s="818"/>
      <c r="U91" s="818"/>
      <c r="V91" s="818"/>
      <c r="W91" s="818"/>
      <c r="X91" s="818"/>
      <c r="Y91" s="818"/>
      <c r="Z91" s="818"/>
    </row>
    <row r="92" spans="1:26" ht="19.5" hidden="1">
      <c r="A92" s="940"/>
      <c r="B92" s="833"/>
      <c r="C92" s="946"/>
      <c r="D92" s="833"/>
      <c r="E92" s="834" t="s">
        <v>36</v>
      </c>
      <c r="F92" s="833"/>
      <c r="G92" s="941"/>
      <c r="H92" s="165" t="s">
        <v>12</v>
      </c>
      <c r="I92" s="947"/>
      <c r="J92" s="947"/>
      <c r="K92" s="948"/>
      <c r="L92" s="837">
        <v>0</v>
      </c>
      <c r="M92" s="837">
        <v>0</v>
      </c>
      <c r="N92" s="837">
        <v>0</v>
      </c>
      <c r="O92" s="837">
        <f t="shared" si="50"/>
        <v>0</v>
      </c>
      <c r="P92" s="837">
        <f t="shared" si="51"/>
        <v>0</v>
      </c>
      <c r="Q92" s="825"/>
      <c r="R92" s="825"/>
      <c r="S92" s="825"/>
      <c r="T92" s="825"/>
      <c r="U92" s="825"/>
      <c r="V92" s="825"/>
      <c r="W92" s="825"/>
      <c r="X92" s="825"/>
      <c r="Y92" s="825"/>
      <c r="Z92" s="825"/>
    </row>
    <row r="93" spans="1:26" ht="19.5" hidden="1">
      <c r="A93" s="940"/>
      <c r="B93" s="833"/>
      <c r="C93" s="946"/>
      <c r="D93" s="833"/>
      <c r="E93" s="834" t="s">
        <v>37</v>
      </c>
      <c r="F93" s="833"/>
      <c r="G93" s="941"/>
      <c r="H93" s="165" t="s">
        <v>12</v>
      </c>
      <c r="I93" s="947"/>
      <c r="J93" s="947"/>
      <c r="K93" s="948"/>
      <c r="L93" s="837">
        <f ca="1">IFERROR(__xludf.DUMMYFUNCTION("IMPORTRANGE(""https://docs.google.com/spreadsheets/d/1MeEWN-I1oV_STSDYn1IFDPWt_1FKiwhDph83XaGc0o0/edit?usp=sharing"",""งบพรบ!AQ19"")"),269500)</f>
        <v>269500</v>
      </c>
      <c r="M93" s="837">
        <f ca="1">IFERROR(__xludf.DUMMYFUNCTION("IMPORTRANGE(""https://docs.google.com/spreadsheets/d/1MeEWN-I1oV_STSDYn1IFDPWt_1FKiwhDph83XaGc0o0/edit?usp=sharing"",""งบพรบ!AV19"")"),215500)</f>
        <v>215500</v>
      </c>
      <c r="N93" s="837">
        <f ca="1">IFERROR(__xludf.DUMMYFUNCTION("IMPORTRANGE(""https://docs.google.com/spreadsheets/d/1MeEWN-I1oV_STSDYn1IFDPWt_1FKiwhDph83XaGc0o0/edit?usp=sharing"",""งบพรบ!AX19"")"),142570)</f>
        <v>142570</v>
      </c>
      <c r="O93" s="837">
        <f t="shared" ca="1" si="50"/>
        <v>52.901669758812616</v>
      </c>
      <c r="P93" s="837">
        <f t="shared" ca="1" si="51"/>
        <v>66.157772621809741</v>
      </c>
      <c r="Q93" s="825"/>
      <c r="R93" s="825"/>
      <c r="S93" s="825"/>
      <c r="T93" s="825"/>
      <c r="U93" s="825"/>
      <c r="V93" s="825"/>
      <c r="W93" s="825"/>
      <c r="X93" s="825"/>
      <c r="Y93" s="825"/>
      <c r="Z93" s="825"/>
    </row>
    <row r="94" spans="1:26" ht="18.75">
      <c r="A94" s="942"/>
      <c r="B94" s="827"/>
      <c r="C94" s="943"/>
      <c r="D94" s="828" t="s">
        <v>21</v>
      </c>
      <c r="E94" s="827"/>
      <c r="F94" s="827"/>
      <c r="G94" s="829"/>
      <c r="H94" s="168" t="s">
        <v>12</v>
      </c>
      <c r="I94" s="944"/>
      <c r="J94" s="944"/>
      <c r="K94" s="945"/>
      <c r="L94" s="831">
        <f t="shared" ref="L94:N94" ca="1" si="54">L95+L96</f>
        <v>0</v>
      </c>
      <c r="M94" s="831">
        <f t="shared" ca="1" si="54"/>
        <v>0</v>
      </c>
      <c r="N94" s="831">
        <f t="shared" ca="1" si="54"/>
        <v>0</v>
      </c>
      <c r="O94" s="831">
        <f t="shared" ca="1" si="50"/>
        <v>0</v>
      </c>
      <c r="P94" s="831">
        <f t="shared" ca="1" si="51"/>
        <v>0</v>
      </c>
      <c r="Q94" s="818"/>
      <c r="R94" s="818"/>
      <c r="S94" s="818"/>
      <c r="T94" s="818"/>
      <c r="U94" s="818"/>
      <c r="V94" s="818"/>
      <c r="W94" s="818"/>
      <c r="X94" s="818"/>
      <c r="Y94" s="818"/>
      <c r="Z94" s="818"/>
    </row>
    <row r="95" spans="1:26" ht="19.5" hidden="1">
      <c r="A95" s="940"/>
      <c r="B95" s="833"/>
      <c r="C95" s="946"/>
      <c r="D95" s="833"/>
      <c r="E95" s="834" t="s">
        <v>18</v>
      </c>
      <c r="F95" s="833"/>
      <c r="G95" s="941"/>
      <c r="H95" s="165" t="s">
        <v>12</v>
      </c>
      <c r="I95" s="947"/>
      <c r="J95" s="947"/>
      <c r="K95" s="948"/>
      <c r="L95" s="837">
        <v>0</v>
      </c>
      <c r="M95" s="837">
        <v>0</v>
      </c>
      <c r="N95" s="837">
        <v>0</v>
      </c>
      <c r="O95" s="837">
        <f t="shared" si="50"/>
        <v>0</v>
      </c>
      <c r="P95" s="837">
        <f t="shared" si="51"/>
        <v>0</v>
      </c>
      <c r="Q95" s="825"/>
      <c r="R95" s="825"/>
      <c r="S95" s="825"/>
      <c r="T95" s="825"/>
      <c r="U95" s="825"/>
      <c r="V95" s="825"/>
      <c r="W95" s="825"/>
      <c r="X95" s="825"/>
      <c r="Y95" s="825"/>
      <c r="Z95" s="825"/>
    </row>
    <row r="96" spans="1:26" ht="19.5" hidden="1">
      <c r="A96" s="940"/>
      <c r="B96" s="833"/>
      <c r="C96" s="946"/>
      <c r="D96" s="833"/>
      <c r="E96" s="834" t="s">
        <v>19</v>
      </c>
      <c r="F96" s="833"/>
      <c r="G96" s="941"/>
      <c r="H96" s="169" t="s">
        <v>12</v>
      </c>
      <c r="I96" s="947"/>
      <c r="J96" s="947"/>
      <c r="K96" s="948"/>
      <c r="L96" s="837">
        <f ca="1">IFERROR(__xludf.DUMMYFUNCTION("IMPORTRANGE(""https://docs.google.com/spreadsheets/d/1MeEWN-I1oV_STSDYn1IFDPWt_1FKiwhDph83XaGc0o0/edit?usp=sharing"",""งบพรบ!AT19"")"),0)</f>
        <v>0</v>
      </c>
      <c r="M96" s="837">
        <f ca="1">IFERROR(__xludf.DUMMYFUNCTION("IMPORTRANGE(""https://docs.google.com/spreadsheets/d/1MeEWN-I1oV_STSDYn1IFDPWt_1FKiwhDph83XaGc0o0/edit?usp=sharing"",""งบพรบ!AW19"")"),0)</f>
        <v>0</v>
      </c>
      <c r="N96" s="837">
        <f ca="1">IFERROR(__xludf.DUMMYFUNCTION("IMPORTRANGE(""https://docs.google.com/spreadsheets/d/1MeEWN-I1oV_STSDYn1IFDPWt_1FKiwhDph83XaGc0o0/edit?usp=sharing"",""งบพรบ!AY19"")"),0)</f>
        <v>0</v>
      </c>
      <c r="O96" s="837">
        <f t="shared" ca="1" si="50"/>
        <v>0</v>
      </c>
      <c r="P96" s="837">
        <f t="shared" ca="1" si="51"/>
        <v>0</v>
      </c>
      <c r="Q96" s="825"/>
      <c r="R96" s="825"/>
      <c r="S96" s="825"/>
      <c r="T96" s="825"/>
      <c r="U96" s="825"/>
      <c r="V96" s="825"/>
      <c r="W96" s="825"/>
      <c r="X96" s="825"/>
      <c r="Y96" s="825"/>
      <c r="Z96" s="825"/>
    </row>
    <row r="97" spans="1:16" ht="19.5">
      <c r="A97" s="949"/>
      <c r="B97" s="950"/>
      <c r="C97" s="946" t="s">
        <v>16</v>
      </c>
      <c r="D97" s="951" t="s">
        <v>38</v>
      </c>
      <c r="E97" s="952"/>
      <c r="F97" s="952"/>
      <c r="G97" s="953"/>
      <c r="H97" s="954"/>
      <c r="I97" s="944"/>
      <c r="J97" s="830"/>
      <c r="K97" s="831"/>
      <c r="L97" s="831"/>
      <c r="M97" s="831"/>
      <c r="N97" s="831"/>
      <c r="O97" s="945"/>
      <c r="P97" s="945"/>
    </row>
    <row r="98" spans="1:16" ht="18.75">
      <c r="A98" s="949"/>
      <c r="B98" s="950"/>
      <c r="C98" s="950"/>
      <c r="D98" s="956" t="s">
        <v>47</v>
      </c>
      <c r="E98" s="956"/>
      <c r="F98" s="957"/>
      <c r="G98" s="958"/>
      <c r="H98" s="590" t="s">
        <v>46</v>
      </c>
      <c r="I98" s="830">
        <f ca="1">IFERROR(__xludf.DUMMYFUNCTION("IMPORTRANGE(""https://docs.google.com/spreadsheets/d/1QqKyyYR6Q21VydFLVH3TRQUabQu_ym0Zz7PgGX0-kHA/edit?usp=sharing"",""แผน!K19"")"),150)</f>
        <v>150</v>
      </c>
      <c r="J98" s="830">
        <f>J102</f>
        <v>150</v>
      </c>
      <c r="K98" s="831">
        <f t="shared" ref="K98:K100" ca="1" si="55">IF(I98&gt;0,J98*100/I98,0)</f>
        <v>100</v>
      </c>
      <c r="L98" s="831"/>
      <c r="M98" s="831"/>
      <c r="N98" s="831"/>
      <c r="O98" s="945"/>
      <c r="P98" s="945"/>
    </row>
    <row r="99" spans="1:16" ht="18.75">
      <c r="A99" s="949"/>
      <c r="B99" s="950"/>
      <c r="C99" s="950"/>
      <c r="D99" s="956" t="s">
        <v>48</v>
      </c>
      <c r="E99" s="956"/>
      <c r="F99" s="957"/>
      <c r="G99" s="958"/>
      <c r="H99" s="590" t="s">
        <v>35</v>
      </c>
      <c r="I99" s="830">
        <f ca="1">IFERROR(__xludf.DUMMYFUNCTION("IMPORTRANGE(""https://docs.google.com/spreadsheets/d/1QqKyyYR6Q21VydFLVH3TRQUabQu_ym0Zz7PgGX0-kHA/edit?usp=sharing"",""แผน!L19"")"),50)</f>
        <v>50</v>
      </c>
      <c r="J99" s="830">
        <f>J104</f>
        <v>50</v>
      </c>
      <c r="K99" s="831">
        <f t="shared" ca="1" si="55"/>
        <v>100</v>
      </c>
      <c r="L99" s="831"/>
      <c r="M99" s="831"/>
      <c r="N99" s="831"/>
      <c r="O99" s="945"/>
      <c r="P99" s="945"/>
    </row>
    <row r="100" spans="1:16" ht="18.75">
      <c r="A100" s="949"/>
      <c r="B100" s="950"/>
      <c r="C100" s="950"/>
      <c r="D100" s="950"/>
      <c r="E100" s="957"/>
      <c r="F100" s="957"/>
      <c r="G100" s="958"/>
      <c r="H100" s="590" t="s">
        <v>49</v>
      </c>
      <c r="I100" s="830">
        <f ca="1">IFERROR(__xludf.DUMMYFUNCTION("IMPORTRANGE(""https://docs.google.com/spreadsheets/d/1QqKyyYR6Q21VydFLVH3TRQUabQu_ym0Zz7PgGX0-kHA/edit?usp=sharing"",""แผน!M19"")"),0)</f>
        <v>0</v>
      </c>
      <c r="J100" s="830">
        <f>J107+J110</f>
        <v>0</v>
      </c>
      <c r="K100" s="831">
        <f t="shared" ca="1" si="55"/>
        <v>0</v>
      </c>
      <c r="L100" s="831"/>
      <c r="M100" s="831"/>
      <c r="N100" s="831"/>
      <c r="O100" s="945"/>
      <c r="P100" s="945"/>
    </row>
    <row r="101" spans="1:16" ht="19.5">
      <c r="A101" s="949"/>
      <c r="B101" s="950"/>
      <c r="C101" s="950"/>
      <c r="D101" s="957"/>
      <c r="E101" s="960" t="s">
        <v>50</v>
      </c>
      <c r="F101" s="957"/>
      <c r="G101" s="958"/>
      <c r="H101" s="590"/>
      <c r="I101" s="830"/>
      <c r="J101" s="830"/>
      <c r="K101" s="831"/>
      <c r="L101" s="831"/>
      <c r="M101" s="831"/>
      <c r="N101" s="831"/>
      <c r="O101" s="945"/>
      <c r="P101" s="945"/>
    </row>
    <row r="102" spans="1:16" ht="18.75">
      <c r="A102" s="949"/>
      <c r="B102" s="950"/>
      <c r="C102" s="950"/>
      <c r="D102" s="957"/>
      <c r="E102" s="961" t="s">
        <v>47</v>
      </c>
      <c r="F102" s="957"/>
      <c r="G102" s="958"/>
      <c r="H102" s="590" t="s">
        <v>46</v>
      </c>
      <c r="I102" s="830">
        <f ca="1">IFERROR(__xludf.DUMMYFUNCTION("IMPORTRANGE(""https://docs.google.com/spreadsheets/d/1QqKyyYR6Q21VydFLVH3TRQUabQu_ym0Zz7PgGX0-kHA/edit?usp=sharing"",""แผน!N19"")"),150)</f>
        <v>150</v>
      </c>
      <c r="J102" s="959">
        <v>150</v>
      </c>
      <c r="K102" s="831">
        <f t="shared" ref="K102:K104" ca="1" si="56">IF(I102&gt;0,J102*100/I102,0)</f>
        <v>100</v>
      </c>
      <c r="L102" s="831"/>
      <c r="M102" s="831"/>
      <c r="N102" s="831"/>
      <c r="O102" s="945"/>
      <c r="P102" s="945"/>
    </row>
    <row r="103" spans="1:16" ht="19.5">
      <c r="A103" s="949"/>
      <c r="B103" s="950"/>
      <c r="C103" s="950"/>
      <c r="D103" s="957"/>
      <c r="E103" s="956" t="s">
        <v>51</v>
      </c>
      <c r="F103" s="957"/>
      <c r="G103" s="958"/>
      <c r="H103" s="590" t="s">
        <v>35</v>
      </c>
      <c r="I103" s="830">
        <f ca="1">IFERROR(__xludf.DUMMYFUNCTION("IMPORTRANGE(""https://docs.google.com/spreadsheets/d/1QqKyyYR6Q21VydFLVH3TRQUabQu_ym0Zz7PgGX0-kHA/edit?usp=sharing"",""แผน!O19"")"),50)</f>
        <v>50</v>
      </c>
      <c r="J103" s="959">
        <v>50</v>
      </c>
      <c r="K103" s="831">
        <f t="shared" ca="1" si="56"/>
        <v>100</v>
      </c>
      <c r="L103" s="831"/>
      <c r="M103" s="831"/>
      <c r="N103" s="831"/>
      <c r="O103" s="945"/>
      <c r="P103" s="945"/>
    </row>
    <row r="104" spans="1:16" ht="18.75">
      <c r="A104" s="949"/>
      <c r="B104" s="950"/>
      <c r="C104" s="950"/>
      <c r="D104" s="957"/>
      <c r="E104" s="962" t="s">
        <v>52</v>
      </c>
      <c r="F104" s="957"/>
      <c r="G104" s="958"/>
      <c r="H104" s="590" t="s">
        <v>35</v>
      </c>
      <c r="I104" s="830">
        <f ca="1">IFERROR(__xludf.DUMMYFUNCTION("IMPORTRANGE(""https://docs.google.com/spreadsheets/d/1QqKyyYR6Q21VydFLVH3TRQUabQu_ym0Zz7PgGX0-kHA/edit?usp=sharing"",""แผน!O19"")"),50)</f>
        <v>50</v>
      </c>
      <c r="J104" s="959">
        <v>50</v>
      </c>
      <c r="K104" s="831">
        <f t="shared" ca="1" si="56"/>
        <v>100</v>
      </c>
      <c r="L104" s="831"/>
      <c r="M104" s="831"/>
      <c r="N104" s="831"/>
      <c r="O104" s="945"/>
      <c r="P104" s="945"/>
    </row>
    <row r="105" spans="1:16" ht="19.5">
      <c r="A105" s="949"/>
      <c r="B105" s="950"/>
      <c r="C105" s="950"/>
      <c r="D105" s="957"/>
      <c r="E105" s="960" t="s">
        <v>53</v>
      </c>
      <c r="F105" s="957"/>
      <c r="G105" s="958"/>
      <c r="H105" s="963"/>
      <c r="I105" s="830"/>
      <c r="J105" s="830"/>
      <c r="K105" s="831"/>
      <c r="L105" s="831"/>
      <c r="M105" s="831"/>
      <c r="N105" s="831"/>
      <c r="O105" s="945"/>
      <c r="P105" s="945"/>
    </row>
    <row r="106" spans="1:16" ht="19.5">
      <c r="A106" s="949"/>
      <c r="B106" s="950"/>
      <c r="C106" s="950"/>
      <c r="D106" s="957"/>
      <c r="E106" s="956" t="s">
        <v>54</v>
      </c>
      <c r="F106" s="957"/>
      <c r="G106" s="958"/>
      <c r="H106" s="590" t="s">
        <v>49</v>
      </c>
      <c r="I106" s="830">
        <f ca="1">IFERROR(__xludf.DUMMYFUNCTION("IMPORTRANGE(""https://docs.google.com/spreadsheets/d/1QqKyyYR6Q21VydFLVH3TRQUabQu_ym0Zz7PgGX0-kHA/edit?usp=sharing"",""แผน!P19"")"),0)</f>
        <v>0</v>
      </c>
      <c r="J106" s="959">
        <v>0</v>
      </c>
      <c r="K106" s="831">
        <f t="shared" ref="K106:K107" ca="1" si="57">IF(I106&gt;0,J106*100/I106,0)</f>
        <v>0</v>
      </c>
      <c r="L106" s="831"/>
      <c r="M106" s="831"/>
      <c r="N106" s="831"/>
      <c r="O106" s="945"/>
      <c r="P106" s="945"/>
    </row>
    <row r="107" spans="1:16" ht="18.75">
      <c r="A107" s="949"/>
      <c r="B107" s="950"/>
      <c r="C107" s="950"/>
      <c r="D107" s="957"/>
      <c r="E107" s="962" t="s">
        <v>55</v>
      </c>
      <c r="F107" s="957"/>
      <c r="G107" s="958"/>
      <c r="H107" s="590" t="s">
        <v>49</v>
      </c>
      <c r="I107" s="830">
        <f ca="1">IFERROR(__xludf.DUMMYFUNCTION("IMPORTRANGE(""https://docs.google.com/spreadsheets/d/1QqKyyYR6Q21VydFLVH3TRQUabQu_ym0Zz7PgGX0-kHA/edit?usp=sharing"",""แผน!P19"")"),0)</f>
        <v>0</v>
      </c>
      <c r="J107" s="959">
        <v>0</v>
      </c>
      <c r="K107" s="831">
        <f t="shared" ca="1" si="57"/>
        <v>0</v>
      </c>
      <c r="L107" s="831"/>
      <c r="M107" s="831"/>
      <c r="N107" s="831"/>
      <c r="O107" s="945"/>
      <c r="P107" s="945"/>
    </row>
    <row r="108" spans="1:16" ht="19.5">
      <c r="A108" s="949"/>
      <c r="B108" s="950"/>
      <c r="C108" s="950"/>
      <c r="D108" s="957"/>
      <c r="E108" s="960" t="s">
        <v>56</v>
      </c>
      <c r="F108" s="957"/>
      <c r="G108" s="958"/>
      <c r="H108" s="963"/>
      <c r="I108" s="830"/>
      <c r="J108" s="830"/>
      <c r="K108" s="831"/>
      <c r="L108" s="831"/>
      <c r="M108" s="831"/>
      <c r="N108" s="831"/>
      <c r="O108" s="945"/>
      <c r="P108" s="945"/>
    </row>
    <row r="109" spans="1:16" ht="19.5">
      <c r="A109" s="949"/>
      <c r="B109" s="950"/>
      <c r="C109" s="950"/>
      <c r="D109" s="957"/>
      <c r="E109" s="956" t="s">
        <v>57</v>
      </c>
      <c r="F109" s="957"/>
      <c r="G109" s="958"/>
      <c r="H109" s="590" t="s">
        <v>49</v>
      </c>
      <c r="I109" s="830">
        <f ca="1">IFERROR(__xludf.DUMMYFUNCTION("IMPORTRANGE(""https://docs.google.com/spreadsheets/d/1QqKyyYR6Q21VydFLVH3TRQUabQu_ym0Zz7PgGX0-kHA/edit?usp=sharing"",""แผน!Q19"")"),0)</f>
        <v>0</v>
      </c>
      <c r="J109" s="959">
        <v>0</v>
      </c>
      <c r="K109" s="831">
        <f t="shared" ref="K109:K116" ca="1" si="58">IF(I109&gt;0,J109*100/I109,0)</f>
        <v>0</v>
      </c>
      <c r="L109" s="831"/>
      <c r="M109" s="831"/>
      <c r="N109" s="831"/>
      <c r="O109" s="945"/>
      <c r="P109" s="945"/>
    </row>
    <row r="110" spans="1:16" ht="18.75">
      <c r="A110" s="949"/>
      <c r="B110" s="950"/>
      <c r="C110" s="950"/>
      <c r="D110" s="957"/>
      <c r="E110" s="964" t="s">
        <v>58</v>
      </c>
      <c r="F110" s="957"/>
      <c r="G110" s="958"/>
      <c r="H110" s="590" t="s">
        <v>49</v>
      </c>
      <c r="I110" s="830">
        <f ca="1">IFERROR(__xludf.DUMMYFUNCTION("IMPORTRANGE(""https://docs.google.com/spreadsheets/d/1QqKyyYR6Q21VydFLVH3TRQUabQu_ym0Zz7PgGX0-kHA/edit?usp=sharing"",""แผน!Q19"")"),0)</f>
        <v>0</v>
      </c>
      <c r="J110" s="959">
        <v>0</v>
      </c>
      <c r="K110" s="831">
        <f t="shared" ca="1" si="58"/>
        <v>0</v>
      </c>
      <c r="L110" s="831"/>
      <c r="M110" s="831"/>
      <c r="N110" s="831"/>
      <c r="O110" s="945"/>
      <c r="P110" s="945"/>
    </row>
    <row r="111" spans="1:16" ht="19.5">
      <c r="A111" s="949"/>
      <c r="B111" s="950"/>
      <c r="C111" s="950"/>
      <c r="D111" s="960" t="s">
        <v>59</v>
      </c>
      <c r="E111" s="960"/>
      <c r="F111" s="957"/>
      <c r="G111" s="958"/>
      <c r="H111" s="733" t="s">
        <v>35</v>
      </c>
      <c r="I111" s="965">
        <f ca="1">IFERROR(__xludf.DUMMYFUNCTION("IMPORTRANGE(""https://docs.google.com/spreadsheets/d/1QqKyyYR6Q21VydFLVH3TRQUabQu_ym0Zz7PgGX0-kHA/edit?usp=sharing"",""แผน!R19"")"),50)</f>
        <v>50</v>
      </c>
      <c r="J111" s="966">
        <f>J114</f>
        <v>0</v>
      </c>
      <c r="K111" s="967">
        <f t="shared" ca="1" si="58"/>
        <v>0</v>
      </c>
      <c r="L111" s="831"/>
      <c r="M111" s="831"/>
      <c r="N111" s="831"/>
      <c r="O111" s="945"/>
      <c r="P111" s="945"/>
    </row>
    <row r="112" spans="1:16" ht="19.5">
      <c r="A112" s="949"/>
      <c r="B112" s="950"/>
      <c r="C112" s="950"/>
      <c r="D112" s="950"/>
      <c r="E112" s="957"/>
      <c r="F112" s="957"/>
      <c r="G112" s="958"/>
      <c r="H112" s="196" t="s">
        <v>49</v>
      </c>
      <c r="I112" s="965">
        <f t="shared" ref="I112:J112" ca="1" si="59">I115+I116</f>
        <v>0</v>
      </c>
      <c r="J112" s="966">
        <f t="shared" si="59"/>
        <v>0</v>
      </c>
      <c r="K112" s="967">
        <f t="shared" ca="1" si="58"/>
        <v>0</v>
      </c>
      <c r="L112" s="831"/>
      <c r="M112" s="831"/>
      <c r="N112" s="831"/>
      <c r="O112" s="945"/>
      <c r="P112" s="945"/>
    </row>
    <row r="113" spans="1:26" ht="19.5">
      <c r="A113" s="949"/>
      <c r="B113" s="950"/>
      <c r="C113" s="950"/>
      <c r="D113" s="950"/>
      <c r="E113" s="968" t="s">
        <v>60</v>
      </c>
      <c r="F113" s="957"/>
      <c r="G113" s="958"/>
      <c r="H113" s="198" t="s">
        <v>35</v>
      </c>
      <c r="I113" s="944">
        <f ca="1">IFERROR(__xludf.DUMMYFUNCTION("IMPORTRANGE(""https://docs.google.com/spreadsheets/d/1QqKyyYR6Q21VydFLVH3TRQUabQu_ym0Zz7PgGX0-kHA/edit?usp=sharing"",""แผน!R19"")"),50)</f>
        <v>50</v>
      </c>
      <c r="J113" s="959">
        <v>0</v>
      </c>
      <c r="K113" s="831">
        <f t="shared" ca="1" si="58"/>
        <v>0</v>
      </c>
      <c r="L113" s="831"/>
      <c r="M113" s="831"/>
      <c r="N113" s="831"/>
      <c r="O113" s="945"/>
      <c r="P113" s="945"/>
    </row>
    <row r="114" spans="1:26" ht="19.5">
      <c r="A114" s="949"/>
      <c r="B114" s="950"/>
      <c r="C114" s="950"/>
      <c r="D114" s="950"/>
      <c r="E114" s="956" t="s">
        <v>61</v>
      </c>
      <c r="F114" s="957"/>
      <c r="G114" s="958"/>
      <c r="H114" s="199" t="s">
        <v>35</v>
      </c>
      <c r="I114" s="944">
        <f ca="1">IFERROR(__xludf.DUMMYFUNCTION("IMPORTRANGE(""https://docs.google.com/spreadsheets/d/1QqKyyYR6Q21VydFLVH3TRQUabQu_ym0Zz7PgGX0-kHA/edit?usp=sharing"",""แผน!R19"")"),50)</f>
        <v>50</v>
      </c>
      <c r="J114" s="959">
        <v>0</v>
      </c>
      <c r="K114" s="831">
        <f t="shared" ca="1" si="58"/>
        <v>0</v>
      </c>
      <c r="L114" s="831"/>
      <c r="M114" s="831"/>
      <c r="N114" s="831"/>
      <c r="O114" s="945"/>
      <c r="P114" s="945"/>
    </row>
    <row r="115" spans="1:26" ht="18.75">
      <c r="A115" s="949"/>
      <c r="B115" s="950"/>
      <c r="C115" s="950"/>
      <c r="D115" s="950"/>
      <c r="E115" s="956" t="s">
        <v>62</v>
      </c>
      <c r="F115" s="957"/>
      <c r="G115" s="958"/>
      <c r="H115" s="199" t="s">
        <v>49</v>
      </c>
      <c r="I115" s="944">
        <f ca="1">IFERROR(__xludf.DUMMYFUNCTION("IMPORTRANGE(""https://docs.google.com/spreadsheets/d/1QqKyyYR6Q21VydFLVH3TRQUabQu_ym0Zz7PgGX0-kHA/edit?usp=sharing"",""แผน!S19"")"),0)</f>
        <v>0</v>
      </c>
      <c r="J115" s="959">
        <v>0</v>
      </c>
      <c r="K115" s="831">
        <f t="shared" ca="1" si="58"/>
        <v>0</v>
      </c>
      <c r="L115" s="831"/>
      <c r="M115" s="831"/>
      <c r="N115" s="831"/>
      <c r="O115" s="945"/>
      <c r="P115" s="945"/>
    </row>
    <row r="116" spans="1:26" ht="18.75">
      <c r="A116" s="949"/>
      <c r="B116" s="950"/>
      <c r="C116" s="950"/>
      <c r="D116" s="950"/>
      <c r="E116" s="956" t="s">
        <v>63</v>
      </c>
      <c r="F116" s="957"/>
      <c r="G116" s="958"/>
      <c r="H116" s="199" t="s">
        <v>49</v>
      </c>
      <c r="I116" s="944">
        <f ca="1">IFERROR(__xludf.DUMMYFUNCTION("IMPORTRANGE(""https://docs.google.com/spreadsheets/d/1QqKyyYR6Q21VydFLVH3TRQUabQu_ym0Zz7PgGX0-kHA/edit?usp=sharing"",""แผน!T19"")"),0)</f>
        <v>0</v>
      </c>
      <c r="J116" s="959">
        <v>0</v>
      </c>
      <c r="K116" s="831">
        <f t="shared" ca="1" si="58"/>
        <v>0</v>
      </c>
      <c r="L116" s="831"/>
      <c r="M116" s="831"/>
      <c r="N116" s="831"/>
      <c r="O116" s="945"/>
      <c r="P116" s="945"/>
    </row>
    <row r="117" spans="1:26" ht="19.5">
      <c r="A117" s="917" t="s">
        <v>64</v>
      </c>
      <c r="B117" s="918"/>
      <c r="C117" s="969"/>
      <c r="D117" s="918"/>
      <c r="E117" s="918"/>
      <c r="F117" s="918"/>
      <c r="G117" s="918"/>
      <c r="H117" s="970"/>
      <c r="I117" s="971"/>
      <c r="J117" s="971"/>
      <c r="K117" s="972"/>
      <c r="L117" s="923"/>
      <c r="M117" s="923"/>
      <c r="N117" s="923"/>
      <c r="O117" s="923"/>
      <c r="P117" s="923"/>
    </row>
    <row r="118" spans="1:26" ht="19.5">
      <c r="A118" s="924"/>
      <c r="B118" s="925" t="s">
        <v>65</v>
      </c>
      <c r="C118" s="973"/>
      <c r="D118" s="927"/>
      <c r="E118" s="926"/>
      <c r="F118" s="926"/>
      <c r="G118" s="928"/>
      <c r="H118" s="205" t="s">
        <v>66</v>
      </c>
      <c r="I118" s="974">
        <v>1</v>
      </c>
      <c r="J118" s="974">
        <f>J440</f>
        <v>1</v>
      </c>
      <c r="K118" s="931">
        <f>IF(I118&gt;0,J118*100/I118,0)</f>
        <v>100</v>
      </c>
      <c r="L118" s="931"/>
      <c r="M118" s="931"/>
      <c r="N118" s="931"/>
      <c r="O118" s="931"/>
      <c r="P118" s="931"/>
    </row>
    <row r="119" spans="1:26" ht="19.5">
      <c r="A119" s="932"/>
      <c r="B119" s="933"/>
      <c r="C119" s="934" t="s">
        <v>16</v>
      </c>
      <c r="D119" s="935" t="s">
        <v>17</v>
      </c>
      <c r="E119" s="933"/>
      <c r="F119" s="933"/>
      <c r="G119" s="936"/>
      <c r="H119" s="152" t="s">
        <v>12</v>
      </c>
      <c r="I119" s="937"/>
      <c r="J119" s="937"/>
      <c r="K119" s="938"/>
      <c r="L119" s="939">
        <f t="shared" ref="L119:N119" ca="1" si="60">L120+L121</f>
        <v>2067000</v>
      </c>
      <c r="M119" s="939">
        <f t="shared" ca="1" si="60"/>
        <v>1891300</v>
      </c>
      <c r="N119" s="939">
        <f t="shared" ca="1" si="60"/>
        <v>1891300</v>
      </c>
      <c r="O119" s="939">
        <f t="shared" ref="O119:O127" ca="1" si="61">IF(L119&gt;0,N119*100/L119,0)</f>
        <v>91.49975810353169</v>
      </c>
      <c r="P119" s="939">
        <f t="shared" ref="P119:P127" ca="1" si="62">IF(M119&gt;0,N119*100/M119,0)</f>
        <v>100</v>
      </c>
      <c r="Q119" s="818"/>
      <c r="R119" s="818"/>
      <c r="S119" s="818"/>
      <c r="T119" s="818"/>
      <c r="U119" s="818"/>
      <c r="V119" s="818"/>
      <c r="W119" s="818"/>
      <c r="X119" s="818"/>
      <c r="Y119" s="818"/>
      <c r="Z119" s="818"/>
    </row>
    <row r="120" spans="1:26" ht="18.75" hidden="1">
      <c r="A120" s="940"/>
      <c r="B120" s="833"/>
      <c r="C120" s="833"/>
      <c r="D120" s="833"/>
      <c r="E120" s="834" t="s">
        <v>18</v>
      </c>
      <c r="F120" s="833"/>
      <c r="G120" s="941"/>
      <c r="H120" s="158" t="s">
        <v>12</v>
      </c>
      <c r="I120" s="836"/>
      <c r="J120" s="836"/>
      <c r="K120" s="837"/>
      <c r="L120" s="837">
        <f t="shared" ref="L120:N121" si="63">L123+L126</f>
        <v>0</v>
      </c>
      <c r="M120" s="837">
        <f t="shared" si="63"/>
        <v>0</v>
      </c>
      <c r="N120" s="837">
        <f t="shared" si="63"/>
        <v>0</v>
      </c>
      <c r="O120" s="837">
        <f t="shared" si="61"/>
        <v>0</v>
      </c>
      <c r="P120" s="837">
        <f t="shared" si="62"/>
        <v>0</v>
      </c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</row>
    <row r="121" spans="1:26" ht="18.75" hidden="1">
      <c r="A121" s="940"/>
      <c r="B121" s="833"/>
      <c r="C121" s="833"/>
      <c r="D121" s="833"/>
      <c r="E121" s="834" t="s">
        <v>19</v>
      </c>
      <c r="F121" s="833"/>
      <c r="G121" s="941"/>
      <c r="H121" s="158" t="s">
        <v>12</v>
      </c>
      <c r="I121" s="836"/>
      <c r="J121" s="836"/>
      <c r="K121" s="837"/>
      <c r="L121" s="837">
        <f t="shared" ca="1" si="63"/>
        <v>2067000</v>
      </c>
      <c r="M121" s="837">
        <f t="shared" ca="1" si="63"/>
        <v>1891300</v>
      </c>
      <c r="N121" s="837">
        <f t="shared" ca="1" si="63"/>
        <v>1891300</v>
      </c>
      <c r="O121" s="837">
        <f t="shared" ca="1" si="61"/>
        <v>91.49975810353169</v>
      </c>
      <c r="P121" s="837">
        <f t="shared" ca="1" si="62"/>
        <v>100</v>
      </c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</row>
    <row r="122" spans="1:26" ht="18.75">
      <c r="A122" s="942"/>
      <c r="B122" s="827"/>
      <c r="C122" s="943"/>
      <c r="D122" s="828" t="s">
        <v>20</v>
      </c>
      <c r="E122" s="827"/>
      <c r="F122" s="827"/>
      <c r="G122" s="829"/>
      <c r="H122" s="778" t="s">
        <v>12</v>
      </c>
      <c r="I122" s="944"/>
      <c r="J122" s="944"/>
      <c r="K122" s="945"/>
      <c r="L122" s="831">
        <f t="shared" ref="L122:N122" ca="1" si="64">L123+L124</f>
        <v>0</v>
      </c>
      <c r="M122" s="831">
        <f t="shared" ca="1" si="64"/>
        <v>0</v>
      </c>
      <c r="N122" s="831">
        <f t="shared" ca="1" si="64"/>
        <v>0</v>
      </c>
      <c r="O122" s="831">
        <f t="shared" ca="1" si="61"/>
        <v>0</v>
      </c>
      <c r="P122" s="831">
        <f t="shared" ca="1" si="62"/>
        <v>0</v>
      </c>
      <c r="Q122" s="818"/>
      <c r="R122" s="818"/>
      <c r="S122" s="818"/>
      <c r="T122" s="818"/>
      <c r="U122" s="818"/>
      <c r="V122" s="818"/>
      <c r="W122" s="818"/>
      <c r="X122" s="818"/>
      <c r="Y122" s="818"/>
      <c r="Z122" s="818"/>
    </row>
    <row r="123" spans="1:26" ht="18.75" hidden="1">
      <c r="A123" s="940"/>
      <c r="B123" s="833"/>
      <c r="C123" s="834"/>
      <c r="D123" s="833"/>
      <c r="E123" s="834" t="s">
        <v>36</v>
      </c>
      <c r="F123" s="833"/>
      <c r="G123" s="941"/>
      <c r="H123" s="165" t="s">
        <v>12</v>
      </c>
      <c r="I123" s="947"/>
      <c r="J123" s="947"/>
      <c r="K123" s="948"/>
      <c r="L123" s="837">
        <v>0</v>
      </c>
      <c r="M123" s="837">
        <v>0</v>
      </c>
      <c r="N123" s="837">
        <v>0</v>
      </c>
      <c r="O123" s="837">
        <f t="shared" si="61"/>
        <v>0</v>
      </c>
      <c r="P123" s="837">
        <f t="shared" si="62"/>
        <v>0</v>
      </c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</row>
    <row r="124" spans="1:26" ht="18.75" hidden="1">
      <c r="A124" s="940"/>
      <c r="B124" s="833"/>
      <c r="C124" s="834"/>
      <c r="D124" s="833"/>
      <c r="E124" s="834" t="s">
        <v>37</v>
      </c>
      <c r="F124" s="833"/>
      <c r="G124" s="941"/>
      <c r="H124" s="165" t="s">
        <v>12</v>
      </c>
      <c r="I124" s="947"/>
      <c r="J124" s="947"/>
      <c r="K124" s="948"/>
      <c r="L124" s="837">
        <f ca="1">IFERROR(__xludf.DUMMYFUNCTION("IMPORTRANGE(""https://docs.google.com/spreadsheets/d/1MeEWN-I1oV_STSDYn1IFDPWt_1FKiwhDph83XaGc0o0/edit?usp=sharing"",""งบพรบ!BA19"")"),0)</f>
        <v>0</v>
      </c>
      <c r="M124" s="837">
        <f ca="1">IFERROR(__xludf.DUMMYFUNCTION("IMPORTRANGE(""https://docs.google.com/spreadsheets/d/1MeEWN-I1oV_STSDYn1IFDPWt_1FKiwhDph83XaGc0o0/edit?usp=sharing"",""งบพรบ!BF19"")"),0)</f>
        <v>0</v>
      </c>
      <c r="N124" s="837">
        <f ca="1">IFERROR(__xludf.DUMMYFUNCTION("IMPORTRANGE(""https://docs.google.com/spreadsheets/d/1MeEWN-I1oV_STSDYn1IFDPWt_1FKiwhDph83XaGc0o0/edit?usp=sharing"",""งบพรบ!BH19"")"),0)</f>
        <v>0</v>
      </c>
      <c r="O124" s="837">
        <f t="shared" ca="1" si="61"/>
        <v>0</v>
      </c>
      <c r="P124" s="837">
        <f t="shared" ca="1" si="62"/>
        <v>0</v>
      </c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</row>
    <row r="125" spans="1:26" ht="18.75">
      <c r="A125" s="942"/>
      <c r="B125" s="827"/>
      <c r="C125" s="943"/>
      <c r="D125" s="828" t="s">
        <v>21</v>
      </c>
      <c r="E125" s="827"/>
      <c r="F125" s="827"/>
      <c r="G125" s="829"/>
      <c r="H125" s="168" t="s">
        <v>12</v>
      </c>
      <c r="I125" s="944"/>
      <c r="J125" s="944"/>
      <c r="K125" s="945"/>
      <c r="L125" s="831">
        <f t="shared" ref="L125:N125" ca="1" si="65">L126+L127</f>
        <v>2067000</v>
      </c>
      <c r="M125" s="831">
        <f t="shared" ca="1" si="65"/>
        <v>1891300</v>
      </c>
      <c r="N125" s="831">
        <f t="shared" ca="1" si="65"/>
        <v>1891300</v>
      </c>
      <c r="O125" s="831">
        <f t="shared" ca="1" si="61"/>
        <v>91.49975810353169</v>
      </c>
      <c r="P125" s="831">
        <f t="shared" ca="1" si="62"/>
        <v>100</v>
      </c>
      <c r="Q125" s="818"/>
      <c r="R125" s="818"/>
      <c r="S125" s="818"/>
      <c r="T125" s="818"/>
      <c r="U125" s="818"/>
      <c r="V125" s="818"/>
      <c r="W125" s="818"/>
      <c r="X125" s="818"/>
      <c r="Y125" s="818"/>
      <c r="Z125" s="818"/>
    </row>
    <row r="126" spans="1:26" ht="19.5" hidden="1">
      <c r="A126" s="940"/>
      <c r="B126" s="833"/>
      <c r="C126" s="946"/>
      <c r="D126" s="833"/>
      <c r="E126" s="834" t="s">
        <v>18</v>
      </c>
      <c r="F126" s="833"/>
      <c r="G126" s="941"/>
      <c r="H126" s="165" t="s">
        <v>12</v>
      </c>
      <c r="I126" s="947"/>
      <c r="J126" s="947"/>
      <c r="K126" s="948"/>
      <c r="L126" s="837">
        <v>0</v>
      </c>
      <c r="M126" s="837">
        <v>0</v>
      </c>
      <c r="N126" s="837">
        <v>0</v>
      </c>
      <c r="O126" s="837">
        <f t="shared" si="61"/>
        <v>0</v>
      </c>
      <c r="P126" s="837">
        <f t="shared" si="62"/>
        <v>0</v>
      </c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</row>
    <row r="127" spans="1:26" ht="19.5" hidden="1">
      <c r="A127" s="940"/>
      <c r="B127" s="833"/>
      <c r="C127" s="946"/>
      <c r="D127" s="833"/>
      <c r="E127" s="834" t="s">
        <v>19</v>
      </c>
      <c r="F127" s="833"/>
      <c r="G127" s="941"/>
      <c r="H127" s="169" t="s">
        <v>12</v>
      </c>
      <c r="I127" s="947"/>
      <c r="J127" s="947"/>
      <c r="K127" s="948"/>
      <c r="L127" s="837">
        <f ca="1">IFERROR(__xludf.DUMMYFUNCTION("IMPORTRANGE(""https://docs.google.com/spreadsheets/d/1MeEWN-I1oV_STSDYn1IFDPWt_1FKiwhDph83XaGc0o0/edit?usp=sharing"",""งบพรบ!BD19"")"),2067000)</f>
        <v>2067000</v>
      </c>
      <c r="M127" s="837">
        <f ca="1">IFERROR(__xludf.DUMMYFUNCTION("IMPORTRANGE(""https://docs.google.com/spreadsheets/d/1MeEWN-I1oV_STSDYn1IFDPWt_1FKiwhDph83XaGc0o0/edit?usp=sharing"",""งบพรบ!BG19"")"),1891300)</f>
        <v>1891300</v>
      </c>
      <c r="N127" s="837">
        <f ca="1">IFERROR(__xludf.DUMMYFUNCTION("IMPORTRANGE(""https://docs.google.com/spreadsheets/d/1MeEWN-I1oV_STSDYn1IFDPWt_1FKiwhDph83XaGc0o0/edit?usp=sharing"",""งบพรบ!BI19"")"),1891300)</f>
        <v>1891300</v>
      </c>
      <c r="O127" s="837">
        <f t="shared" ca="1" si="61"/>
        <v>91.49975810353169</v>
      </c>
      <c r="P127" s="837">
        <f t="shared" ca="1" si="62"/>
        <v>100</v>
      </c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</row>
    <row r="128" spans="1:26" ht="19.5">
      <c r="A128" s="917" t="s">
        <v>67</v>
      </c>
      <c r="B128" s="918"/>
      <c r="C128" s="969"/>
      <c r="D128" s="918"/>
      <c r="E128" s="918"/>
      <c r="F128" s="918"/>
      <c r="G128" s="918"/>
      <c r="H128" s="970"/>
      <c r="I128" s="971"/>
      <c r="J128" s="971"/>
      <c r="K128" s="972"/>
      <c r="L128" s="923"/>
      <c r="M128" s="923"/>
      <c r="N128" s="923"/>
      <c r="O128" s="923"/>
      <c r="P128" s="923"/>
    </row>
    <row r="129" spans="1:26" ht="19.5">
      <c r="A129" s="924"/>
      <c r="B129" s="925" t="s">
        <v>68</v>
      </c>
      <c r="C129" s="973"/>
      <c r="D129" s="927"/>
      <c r="E129" s="926"/>
      <c r="F129" s="926"/>
      <c r="G129" s="926"/>
      <c r="H129" s="207"/>
      <c r="I129" s="974"/>
      <c r="J129" s="974"/>
      <c r="K129" s="931"/>
      <c r="L129" s="931"/>
      <c r="M129" s="931"/>
      <c r="N129" s="931"/>
      <c r="O129" s="931"/>
      <c r="P129" s="931"/>
    </row>
    <row r="130" spans="1:26" ht="19.5">
      <c r="A130" s="924"/>
      <c r="B130" s="925"/>
      <c r="C130" s="975" t="s">
        <v>69</v>
      </c>
      <c r="D130" s="927"/>
      <c r="E130" s="926"/>
      <c r="F130" s="926"/>
      <c r="G130" s="928"/>
      <c r="H130" s="205" t="s">
        <v>66</v>
      </c>
      <c r="I130" s="929">
        <f t="shared" ref="I130:J130" ca="1" si="66">I146</f>
        <v>2</v>
      </c>
      <c r="J130" s="929">
        <f t="shared" si="66"/>
        <v>0</v>
      </c>
      <c r="K130" s="930">
        <f t="shared" ref="K130:K131" ca="1" si="67">IF(I130&gt;0,J130*100/I130,0)</f>
        <v>0</v>
      </c>
      <c r="L130" s="931"/>
      <c r="M130" s="931"/>
      <c r="N130" s="931"/>
      <c r="O130" s="931"/>
      <c r="P130" s="931"/>
    </row>
    <row r="131" spans="1:26" ht="19.5">
      <c r="A131" s="924"/>
      <c r="B131" s="925"/>
      <c r="C131" s="975" t="s">
        <v>70</v>
      </c>
      <c r="D131" s="927"/>
      <c r="E131" s="926"/>
      <c r="F131" s="926"/>
      <c r="G131" s="928"/>
      <c r="H131" s="205" t="s">
        <v>35</v>
      </c>
      <c r="I131" s="929">
        <f t="shared" ref="I131:J131" ca="1" si="68">I143</f>
        <v>20</v>
      </c>
      <c r="J131" s="929">
        <f t="shared" ca="1" si="68"/>
        <v>0</v>
      </c>
      <c r="K131" s="930">
        <f t="shared" ca="1" si="67"/>
        <v>0</v>
      </c>
      <c r="L131" s="931"/>
      <c r="M131" s="931"/>
      <c r="N131" s="931"/>
      <c r="O131" s="931"/>
      <c r="P131" s="931"/>
    </row>
    <row r="132" spans="1:26" ht="19.5">
      <c r="A132" s="932"/>
      <c r="B132" s="933"/>
      <c r="C132" s="934" t="s">
        <v>16</v>
      </c>
      <c r="D132" s="935" t="s">
        <v>17</v>
      </c>
      <c r="E132" s="933"/>
      <c r="F132" s="933"/>
      <c r="G132" s="936"/>
      <c r="H132" s="152" t="s">
        <v>12</v>
      </c>
      <c r="I132" s="937"/>
      <c r="J132" s="937"/>
      <c r="K132" s="938"/>
      <c r="L132" s="939">
        <f t="shared" ref="L132:N132" ca="1" si="69">L133+L134</f>
        <v>303310</v>
      </c>
      <c r="M132" s="939">
        <f t="shared" ca="1" si="69"/>
        <v>272700</v>
      </c>
      <c r="N132" s="939">
        <f t="shared" ca="1" si="69"/>
        <v>195310</v>
      </c>
      <c r="O132" s="939">
        <f t="shared" ref="O132:O140" ca="1" si="70">IF(L132&gt;0,N132*100/L132,0)</f>
        <v>64.392865385249408</v>
      </c>
      <c r="P132" s="939">
        <f t="shared" ref="P132:P140" ca="1" si="71">IF(M132&gt;0,N132*100/M132,0)</f>
        <v>71.620828749541616</v>
      </c>
      <c r="Q132" s="818"/>
      <c r="R132" s="818"/>
      <c r="S132" s="818"/>
      <c r="T132" s="818"/>
      <c r="U132" s="818"/>
      <c r="V132" s="818"/>
      <c r="W132" s="818"/>
      <c r="X132" s="818"/>
      <c r="Y132" s="818"/>
      <c r="Z132" s="818"/>
    </row>
    <row r="133" spans="1:26" ht="18.75" hidden="1">
      <c r="A133" s="940"/>
      <c r="B133" s="833"/>
      <c r="C133" s="833"/>
      <c r="D133" s="833"/>
      <c r="E133" s="834" t="s">
        <v>18</v>
      </c>
      <c r="F133" s="833"/>
      <c r="G133" s="941"/>
      <c r="H133" s="158" t="s">
        <v>12</v>
      </c>
      <c r="I133" s="836"/>
      <c r="J133" s="836"/>
      <c r="K133" s="837"/>
      <c r="L133" s="837">
        <f t="shared" ref="L133:N134" si="72">L136+L139</f>
        <v>0</v>
      </c>
      <c r="M133" s="837">
        <f t="shared" si="72"/>
        <v>0</v>
      </c>
      <c r="N133" s="837">
        <f t="shared" si="72"/>
        <v>0</v>
      </c>
      <c r="O133" s="837">
        <f t="shared" si="70"/>
        <v>0</v>
      </c>
      <c r="P133" s="837">
        <f t="shared" si="71"/>
        <v>0</v>
      </c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</row>
    <row r="134" spans="1:26" ht="18.75" hidden="1">
      <c r="A134" s="940"/>
      <c r="B134" s="833"/>
      <c r="C134" s="833"/>
      <c r="D134" s="833"/>
      <c r="E134" s="834" t="s">
        <v>19</v>
      </c>
      <c r="F134" s="833"/>
      <c r="G134" s="941"/>
      <c r="H134" s="158" t="s">
        <v>12</v>
      </c>
      <c r="I134" s="836"/>
      <c r="J134" s="836"/>
      <c r="K134" s="837"/>
      <c r="L134" s="837">
        <f t="shared" ca="1" si="72"/>
        <v>303310</v>
      </c>
      <c r="M134" s="837">
        <f t="shared" ca="1" si="72"/>
        <v>272700</v>
      </c>
      <c r="N134" s="837">
        <f t="shared" ca="1" si="72"/>
        <v>195310</v>
      </c>
      <c r="O134" s="837">
        <f t="shared" ca="1" si="70"/>
        <v>64.392865385249408</v>
      </c>
      <c r="P134" s="837">
        <f t="shared" ca="1" si="71"/>
        <v>71.620828749541616</v>
      </c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</row>
    <row r="135" spans="1:26" ht="18.75">
      <c r="A135" s="942"/>
      <c r="B135" s="827"/>
      <c r="C135" s="943"/>
      <c r="D135" s="828" t="s">
        <v>20</v>
      </c>
      <c r="E135" s="827"/>
      <c r="F135" s="827"/>
      <c r="G135" s="829"/>
      <c r="H135" s="778" t="s">
        <v>12</v>
      </c>
      <c r="I135" s="944"/>
      <c r="J135" s="944"/>
      <c r="K135" s="945"/>
      <c r="L135" s="831">
        <f t="shared" ref="L135:N135" ca="1" si="73">L136+L137</f>
        <v>97310</v>
      </c>
      <c r="M135" s="831">
        <f t="shared" ca="1" si="73"/>
        <v>87700</v>
      </c>
      <c r="N135" s="831">
        <f t="shared" ca="1" si="73"/>
        <v>16310</v>
      </c>
      <c r="O135" s="831">
        <f t="shared" ca="1" si="70"/>
        <v>16.760867331209536</v>
      </c>
      <c r="P135" s="831">
        <f t="shared" ca="1" si="71"/>
        <v>18.597491448118586</v>
      </c>
      <c r="Q135" s="818"/>
      <c r="R135" s="818"/>
      <c r="S135" s="818"/>
      <c r="T135" s="818"/>
      <c r="U135" s="818"/>
      <c r="V135" s="818"/>
      <c r="W135" s="818"/>
      <c r="X135" s="818"/>
      <c r="Y135" s="818"/>
      <c r="Z135" s="818"/>
    </row>
    <row r="136" spans="1:26" ht="19.5" hidden="1">
      <c r="A136" s="940"/>
      <c r="B136" s="833"/>
      <c r="C136" s="946"/>
      <c r="D136" s="833"/>
      <c r="E136" s="834" t="s">
        <v>36</v>
      </c>
      <c r="F136" s="833"/>
      <c r="G136" s="941"/>
      <c r="H136" s="165" t="s">
        <v>12</v>
      </c>
      <c r="I136" s="947"/>
      <c r="J136" s="947"/>
      <c r="K136" s="948"/>
      <c r="L136" s="837">
        <v>0</v>
      </c>
      <c r="M136" s="837">
        <v>0</v>
      </c>
      <c r="N136" s="837">
        <v>0</v>
      </c>
      <c r="O136" s="837">
        <f t="shared" si="70"/>
        <v>0</v>
      </c>
      <c r="P136" s="837">
        <f t="shared" si="71"/>
        <v>0</v>
      </c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</row>
    <row r="137" spans="1:26" ht="19.5" hidden="1">
      <c r="A137" s="940"/>
      <c r="B137" s="833"/>
      <c r="C137" s="946"/>
      <c r="D137" s="833"/>
      <c r="E137" s="834" t="s">
        <v>37</v>
      </c>
      <c r="F137" s="833"/>
      <c r="G137" s="941"/>
      <c r="H137" s="165" t="s">
        <v>12</v>
      </c>
      <c r="I137" s="947"/>
      <c r="J137" s="947"/>
      <c r="K137" s="948"/>
      <c r="L137" s="837">
        <f ca="1">IFERROR(__xludf.DUMMYFUNCTION("IMPORTRANGE(""https://docs.google.com/spreadsheets/d/1MeEWN-I1oV_STSDYn1IFDPWt_1FKiwhDph83XaGc0o0/edit?usp=sharing"",""งบพรบ!BK19"")"),97310)</f>
        <v>97310</v>
      </c>
      <c r="M137" s="837">
        <f ca="1">IFERROR(__xludf.DUMMYFUNCTION("IMPORTRANGE(""https://docs.google.com/spreadsheets/d/1MeEWN-I1oV_STSDYn1IFDPWt_1FKiwhDph83XaGc0o0/edit?usp=sharing"",""งบพรบ!BP19"")"),87700)</f>
        <v>87700</v>
      </c>
      <c r="N137" s="837">
        <f ca="1">IFERROR(__xludf.DUMMYFUNCTION("IMPORTRANGE(""https://docs.google.com/spreadsheets/d/1MeEWN-I1oV_STSDYn1IFDPWt_1FKiwhDph83XaGc0o0/edit?usp=sharing"",""งบพรบ!BR19"")"),16310)</f>
        <v>16310</v>
      </c>
      <c r="O137" s="837">
        <f t="shared" ca="1" si="70"/>
        <v>16.760867331209536</v>
      </c>
      <c r="P137" s="837">
        <f t="shared" ca="1" si="71"/>
        <v>18.597491448118586</v>
      </c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</row>
    <row r="138" spans="1:26" ht="18.75">
      <c r="A138" s="942"/>
      <c r="B138" s="827"/>
      <c r="C138" s="943"/>
      <c r="D138" s="828" t="s">
        <v>21</v>
      </c>
      <c r="E138" s="827"/>
      <c r="F138" s="827"/>
      <c r="G138" s="829"/>
      <c r="H138" s="168" t="s">
        <v>12</v>
      </c>
      <c r="I138" s="944"/>
      <c r="J138" s="944"/>
      <c r="K138" s="945"/>
      <c r="L138" s="831">
        <f t="shared" ref="L138:N138" ca="1" si="74">L139+L140</f>
        <v>206000</v>
      </c>
      <c r="M138" s="831">
        <f t="shared" ca="1" si="74"/>
        <v>185000</v>
      </c>
      <c r="N138" s="831">
        <f t="shared" ca="1" si="74"/>
        <v>179000</v>
      </c>
      <c r="O138" s="831">
        <f t="shared" ca="1" si="70"/>
        <v>86.893203883495147</v>
      </c>
      <c r="P138" s="831">
        <f t="shared" ca="1" si="71"/>
        <v>96.756756756756758</v>
      </c>
      <c r="Q138" s="818"/>
      <c r="R138" s="818"/>
      <c r="S138" s="818"/>
      <c r="T138" s="818"/>
      <c r="U138" s="818"/>
      <c r="V138" s="818"/>
      <c r="W138" s="818"/>
      <c r="X138" s="818"/>
      <c r="Y138" s="818"/>
      <c r="Z138" s="818"/>
    </row>
    <row r="139" spans="1:26" ht="19.5" hidden="1">
      <c r="A139" s="940"/>
      <c r="B139" s="833"/>
      <c r="C139" s="946"/>
      <c r="D139" s="833"/>
      <c r="E139" s="834" t="s">
        <v>18</v>
      </c>
      <c r="F139" s="833"/>
      <c r="G139" s="941"/>
      <c r="H139" s="165" t="s">
        <v>12</v>
      </c>
      <c r="I139" s="947"/>
      <c r="J139" s="947"/>
      <c r="K139" s="948"/>
      <c r="L139" s="837">
        <v>0</v>
      </c>
      <c r="M139" s="837">
        <v>0</v>
      </c>
      <c r="N139" s="837">
        <v>0</v>
      </c>
      <c r="O139" s="837">
        <f t="shared" si="70"/>
        <v>0</v>
      </c>
      <c r="P139" s="837">
        <f t="shared" si="71"/>
        <v>0</v>
      </c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</row>
    <row r="140" spans="1:26" ht="19.5" hidden="1">
      <c r="A140" s="940"/>
      <c r="B140" s="833"/>
      <c r="C140" s="946"/>
      <c r="D140" s="833"/>
      <c r="E140" s="834" t="s">
        <v>19</v>
      </c>
      <c r="F140" s="833"/>
      <c r="G140" s="941"/>
      <c r="H140" s="169" t="s">
        <v>12</v>
      </c>
      <c r="I140" s="947"/>
      <c r="J140" s="947"/>
      <c r="K140" s="948"/>
      <c r="L140" s="837">
        <f ca="1">IFERROR(__xludf.DUMMYFUNCTION("IMPORTRANGE(""https://docs.google.com/spreadsheets/d/1MeEWN-I1oV_STSDYn1IFDPWt_1FKiwhDph83XaGc0o0/edit?usp=sharing"",""งบพรบ!BN19"")"),206000)</f>
        <v>206000</v>
      </c>
      <c r="M140" s="837">
        <f ca="1">IFERROR(__xludf.DUMMYFUNCTION("IMPORTRANGE(""https://docs.google.com/spreadsheets/d/1MeEWN-I1oV_STSDYn1IFDPWt_1FKiwhDph83XaGc0o0/edit?usp=sharing"",""งบพรบ!BQ19"")"),185000)</f>
        <v>185000</v>
      </c>
      <c r="N140" s="837">
        <f ca="1">IFERROR(__xludf.DUMMYFUNCTION("IMPORTRANGE(""https://docs.google.com/spreadsheets/d/1MeEWN-I1oV_STSDYn1IFDPWt_1FKiwhDph83XaGc0o0/edit?usp=sharing"",""งบพรบ!BS19"")"),179000)</f>
        <v>179000</v>
      </c>
      <c r="O140" s="837">
        <f t="shared" ca="1" si="70"/>
        <v>86.893203883495147</v>
      </c>
      <c r="P140" s="837">
        <f t="shared" ca="1" si="71"/>
        <v>96.756756756756758</v>
      </c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</row>
    <row r="141" spans="1:26" ht="19.5">
      <c r="A141" s="949"/>
      <c r="B141" s="950"/>
      <c r="C141" s="934" t="s">
        <v>16</v>
      </c>
      <c r="D141" s="951" t="s">
        <v>38</v>
      </c>
      <c r="E141" s="952"/>
      <c r="F141" s="952"/>
      <c r="G141" s="953"/>
      <c r="H141" s="168"/>
      <c r="I141" s="830"/>
      <c r="J141" s="830"/>
      <c r="K141" s="831"/>
      <c r="L141" s="831"/>
      <c r="M141" s="831"/>
      <c r="N141" s="831"/>
      <c r="O141" s="831"/>
      <c r="P141" s="831"/>
    </row>
    <row r="142" spans="1:26" ht="19.5">
      <c r="A142" s="942"/>
      <c r="B142" s="827"/>
      <c r="C142" s="976"/>
      <c r="D142" s="943" t="s">
        <v>71</v>
      </c>
      <c r="E142" s="828"/>
      <c r="F142" s="827"/>
      <c r="G142" s="977"/>
      <c r="H142" s="168"/>
      <c r="I142" s="830"/>
      <c r="J142" s="959">
        <v>0</v>
      </c>
      <c r="K142" s="831"/>
      <c r="L142" s="831"/>
      <c r="M142" s="831"/>
      <c r="N142" s="831"/>
      <c r="O142" s="831"/>
      <c r="P142" s="831"/>
    </row>
    <row r="143" spans="1:26" ht="19.5">
      <c r="A143" s="942"/>
      <c r="B143" s="827"/>
      <c r="C143" s="976"/>
      <c r="D143" s="943" t="s">
        <v>72</v>
      </c>
      <c r="E143" s="828"/>
      <c r="F143" s="827"/>
      <c r="G143" s="977"/>
      <c r="H143" s="168" t="s">
        <v>35</v>
      </c>
      <c r="I143" s="830">
        <f ca="1">I145</f>
        <v>20</v>
      </c>
      <c r="J143" s="830">
        <f ca="1">IF(AND(J144&gt;=I144,J145&gt;=I145),J145,0)</f>
        <v>0</v>
      </c>
      <c r="K143" s="831">
        <f t="shared" ref="K143:K146" ca="1" si="75">IF(I143&gt;0,J143*100/I143,0)</f>
        <v>0</v>
      </c>
      <c r="L143" s="831"/>
      <c r="M143" s="831"/>
      <c r="N143" s="831"/>
      <c r="O143" s="831"/>
      <c r="P143" s="831"/>
    </row>
    <row r="144" spans="1:26" ht="19.5">
      <c r="A144" s="942"/>
      <c r="B144" s="827"/>
      <c r="C144" s="976"/>
      <c r="D144" s="957"/>
      <c r="E144" s="943" t="s">
        <v>73</v>
      </c>
      <c r="F144" s="827"/>
      <c r="G144" s="977"/>
      <c r="H144" s="168" t="s">
        <v>35</v>
      </c>
      <c r="I144" s="830">
        <f ca="1">IFERROR(__xludf.DUMMYFUNCTION("IMPORTRANGE(""https://docs.google.com/spreadsheets/d/1QqKyyYR6Q21VydFLVH3TRQUabQu_ym0Zz7PgGX0-kHA/edit?usp=sharing"",""แผน!U19"")"),10)</f>
        <v>10</v>
      </c>
      <c r="J144" s="959">
        <v>0</v>
      </c>
      <c r="K144" s="831">
        <f t="shared" ca="1" si="75"/>
        <v>0</v>
      </c>
      <c r="L144" s="831"/>
      <c r="M144" s="831"/>
      <c r="N144" s="831"/>
      <c r="O144" s="831"/>
      <c r="P144" s="831"/>
    </row>
    <row r="145" spans="1:26" ht="19.5">
      <c r="A145" s="942"/>
      <c r="B145" s="827"/>
      <c r="C145" s="976"/>
      <c r="D145" s="957"/>
      <c r="E145" s="943" t="s">
        <v>74</v>
      </c>
      <c r="F145" s="827"/>
      <c r="G145" s="977"/>
      <c r="H145" s="168" t="s">
        <v>35</v>
      </c>
      <c r="I145" s="830">
        <f ca="1">IFERROR(__xludf.DUMMYFUNCTION("IMPORTRANGE(""https://docs.google.com/spreadsheets/d/1QqKyyYR6Q21VydFLVH3TRQUabQu_ym0Zz7PgGX0-kHA/edit?usp=sharing"",""แผน!V19"")"),20)</f>
        <v>20</v>
      </c>
      <c r="J145" s="959">
        <v>0</v>
      </c>
      <c r="K145" s="831">
        <f t="shared" ca="1" si="75"/>
        <v>0</v>
      </c>
      <c r="L145" s="831"/>
      <c r="M145" s="831"/>
      <c r="N145" s="831"/>
      <c r="O145" s="831"/>
      <c r="P145" s="831"/>
    </row>
    <row r="146" spans="1:26" ht="19.5">
      <c r="A146" s="942"/>
      <c r="B146" s="827"/>
      <c r="C146" s="976"/>
      <c r="D146" s="943" t="s">
        <v>75</v>
      </c>
      <c r="E146" s="828"/>
      <c r="F146" s="827"/>
      <c r="G146" s="977"/>
      <c r="H146" s="168" t="s">
        <v>66</v>
      </c>
      <c r="I146" s="830">
        <f ca="1">IFERROR(__xludf.DUMMYFUNCTION("IMPORTRANGE(""https://docs.google.com/spreadsheets/d/1QqKyyYR6Q21VydFLVH3TRQUabQu_ym0Zz7PgGX0-kHA/edit?usp=sharing"",""แผน!W19"")"),2)</f>
        <v>2</v>
      </c>
      <c r="J146" s="959">
        <v>0</v>
      </c>
      <c r="K146" s="831">
        <f t="shared" ca="1" si="75"/>
        <v>0</v>
      </c>
      <c r="L146" s="831"/>
      <c r="M146" s="831"/>
      <c r="N146" s="831"/>
      <c r="O146" s="831"/>
      <c r="P146" s="831"/>
    </row>
    <row r="147" spans="1:26" ht="19.5" hidden="1">
      <c r="A147" s="917" t="s">
        <v>76</v>
      </c>
      <c r="B147" s="918"/>
      <c r="C147" s="969"/>
      <c r="D147" s="918"/>
      <c r="E147" s="918"/>
      <c r="F147" s="918"/>
      <c r="G147" s="918"/>
      <c r="H147" s="970"/>
      <c r="I147" s="971"/>
      <c r="J147" s="971"/>
      <c r="K147" s="972"/>
      <c r="L147" s="923"/>
      <c r="M147" s="923"/>
      <c r="N147" s="923"/>
      <c r="O147" s="923"/>
      <c r="P147" s="923"/>
    </row>
    <row r="148" spans="1:26" ht="19.5" hidden="1">
      <c r="A148" s="978"/>
      <c r="B148" s="925" t="s">
        <v>77</v>
      </c>
      <c r="C148" s="925"/>
      <c r="D148" s="925"/>
      <c r="E148" s="979"/>
      <c r="F148" s="980"/>
      <c r="G148" s="981"/>
      <c r="H148" s="221" t="s">
        <v>35</v>
      </c>
      <c r="I148" s="929">
        <f t="shared" ref="I148:J148" ca="1" si="76">I159</f>
        <v>0</v>
      </c>
      <c r="J148" s="929">
        <f t="shared" si="76"/>
        <v>0</v>
      </c>
      <c r="K148" s="930">
        <f ca="1">IF(I148&gt;0,J148*100/I148,0)</f>
        <v>0</v>
      </c>
      <c r="L148" s="930"/>
      <c r="M148" s="930"/>
      <c r="N148" s="930"/>
      <c r="O148" s="930"/>
      <c r="P148" s="930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32"/>
      <c r="B149" s="933"/>
      <c r="C149" s="934" t="s">
        <v>16</v>
      </c>
      <c r="D149" s="935" t="s">
        <v>17</v>
      </c>
      <c r="E149" s="933"/>
      <c r="F149" s="933"/>
      <c r="G149" s="936"/>
      <c r="H149" s="152" t="s">
        <v>12</v>
      </c>
      <c r="I149" s="937"/>
      <c r="J149" s="937"/>
      <c r="K149" s="938"/>
      <c r="L149" s="939">
        <f t="shared" ref="L149:N149" ca="1" si="77">L150+L151</f>
        <v>0</v>
      </c>
      <c r="M149" s="939">
        <f t="shared" ca="1" si="77"/>
        <v>0</v>
      </c>
      <c r="N149" s="939">
        <f t="shared" ca="1" si="77"/>
        <v>0</v>
      </c>
      <c r="O149" s="939">
        <f t="shared" ref="O149:O157" ca="1" si="78">IF(L149&gt;0,N149*100/L149,0)</f>
        <v>0</v>
      </c>
      <c r="P149" s="939">
        <f t="shared" ref="P149:P157" ca="1" si="79">IF(M149&gt;0,N149*100/M149,0)</f>
        <v>0</v>
      </c>
      <c r="Q149" s="818"/>
      <c r="R149" s="818"/>
      <c r="S149" s="818"/>
      <c r="T149" s="818"/>
      <c r="U149" s="818"/>
      <c r="V149" s="818"/>
      <c r="W149" s="818"/>
      <c r="X149" s="818"/>
      <c r="Y149" s="818"/>
      <c r="Z149" s="818"/>
    </row>
    <row r="150" spans="1:26" ht="18.75" hidden="1">
      <c r="A150" s="940"/>
      <c r="B150" s="833"/>
      <c r="C150" s="833"/>
      <c r="D150" s="833"/>
      <c r="E150" s="834" t="s">
        <v>18</v>
      </c>
      <c r="F150" s="833"/>
      <c r="G150" s="941"/>
      <c r="H150" s="158" t="s">
        <v>12</v>
      </c>
      <c r="I150" s="836"/>
      <c r="J150" s="836"/>
      <c r="K150" s="837"/>
      <c r="L150" s="837">
        <f t="shared" ref="L150:N151" si="80">L153+L156</f>
        <v>0</v>
      </c>
      <c r="M150" s="837">
        <f t="shared" si="80"/>
        <v>0</v>
      </c>
      <c r="N150" s="837">
        <f t="shared" si="80"/>
        <v>0</v>
      </c>
      <c r="O150" s="837">
        <f t="shared" si="78"/>
        <v>0</v>
      </c>
      <c r="P150" s="837">
        <f t="shared" si="79"/>
        <v>0</v>
      </c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</row>
    <row r="151" spans="1:26" ht="18.75" hidden="1">
      <c r="A151" s="940"/>
      <c r="B151" s="833"/>
      <c r="C151" s="833"/>
      <c r="D151" s="833"/>
      <c r="E151" s="834" t="s">
        <v>19</v>
      </c>
      <c r="F151" s="833"/>
      <c r="G151" s="941"/>
      <c r="H151" s="158" t="s">
        <v>12</v>
      </c>
      <c r="I151" s="836"/>
      <c r="J151" s="836"/>
      <c r="K151" s="837"/>
      <c r="L151" s="837">
        <f t="shared" ca="1" si="80"/>
        <v>0</v>
      </c>
      <c r="M151" s="837">
        <f t="shared" ca="1" si="80"/>
        <v>0</v>
      </c>
      <c r="N151" s="837">
        <f t="shared" ca="1" si="80"/>
        <v>0</v>
      </c>
      <c r="O151" s="837">
        <f t="shared" ca="1" si="78"/>
        <v>0</v>
      </c>
      <c r="P151" s="837">
        <f t="shared" ca="1" si="79"/>
        <v>0</v>
      </c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</row>
    <row r="152" spans="1:26" ht="18.75" hidden="1">
      <c r="A152" s="942"/>
      <c r="B152" s="827"/>
      <c r="C152" s="943"/>
      <c r="D152" s="828" t="s">
        <v>20</v>
      </c>
      <c r="E152" s="827"/>
      <c r="F152" s="827"/>
      <c r="G152" s="829"/>
      <c r="H152" s="778" t="s">
        <v>12</v>
      </c>
      <c r="I152" s="944"/>
      <c r="J152" s="944"/>
      <c r="K152" s="945"/>
      <c r="L152" s="831">
        <f t="shared" ref="L152:N152" ca="1" si="81">L153+L154</f>
        <v>0</v>
      </c>
      <c r="M152" s="831">
        <f t="shared" ca="1" si="81"/>
        <v>0</v>
      </c>
      <c r="N152" s="831">
        <f t="shared" ca="1" si="81"/>
        <v>0</v>
      </c>
      <c r="O152" s="831">
        <f t="shared" ca="1" si="78"/>
        <v>0</v>
      </c>
      <c r="P152" s="831">
        <f t="shared" ca="1" si="79"/>
        <v>0</v>
      </c>
      <c r="Q152" s="818"/>
      <c r="R152" s="818"/>
      <c r="S152" s="818"/>
      <c r="T152" s="818"/>
      <c r="U152" s="818"/>
      <c r="V152" s="818"/>
      <c r="W152" s="818"/>
      <c r="X152" s="818"/>
      <c r="Y152" s="818"/>
      <c r="Z152" s="818"/>
    </row>
    <row r="153" spans="1:26" ht="19.5" hidden="1">
      <c r="A153" s="940"/>
      <c r="B153" s="833"/>
      <c r="C153" s="946"/>
      <c r="D153" s="833"/>
      <c r="E153" s="834" t="s">
        <v>36</v>
      </c>
      <c r="F153" s="833"/>
      <c r="G153" s="941"/>
      <c r="H153" s="165" t="s">
        <v>12</v>
      </c>
      <c r="I153" s="947"/>
      <c r="J153" s="947"/>
      <c r="K153" s="948"/>
      <c r="L153" s="837">
        <v>0</v>
      </c>
      <c r="M153" s="837">
        <v>0</v>
      </c>
      <c r="N153" s="837">
        <v>0</v>
      </c>
      <c r="O153" s="837">
        <f t="shared" si="78"/>
        <v>0</v>
      </c>
      <c r="P153" s="837">
        <f t="shared" si="79"/>
        <v>0</v>
      </c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</row>
    <row r="154" spans="1:26" ht="19.5" hidden="1">
      <c r="A154" s="940"/>
      <c r="B154" s="833"/>
      <c r="C154" s="946"/>
      <c r="D154" s="833"/>
      <c r="E154" s="834" t="s">
        <v>37</v>
      </c>
      <c r="F154" s="833"/>
      <c r="G154" s="941"/>
      <c r="H154" s="165" t="s">
        <v>12</v>
      </c>
      <c r="I154" s="947"/>
      <c r="J154" s="947"/>
      <c r="K154" s="948"/>
      <c r="L154" s="837">
        <f ca="1">IFERROR(__xludf.DUMMYFUNCTION("IMPORTRANGE(""https://docs.google.com/spreadsheets/d/1MeEWN-I1oV_STSDYn1IFDPWt_1FKiwhDph83XaGc0o0/edit?usp=sharing"",""งบพรบ!BU19"")"),0)</f>
        <v>0</v>
      </c>
      <c r="M154" s="837">
        <f ca="1">IFERROR(__xludf.DUMMYFUNCTION("IMPORTRANGE(""https://docs.google.com/spreadsheets/d/1MeEWN-I1oV_STSDYn1IFDPWt_1FKiwhDph83XaGc0o0/edit?usp=sharing"",""งบพรบ!BZ19"")"),0)</f>
        <v>0</v>
      </c>
      <c r="N154" s="837">
        <f ca="1">IFERROR(__xludf.DUMMYFUNCTION("IMPORTRANGE(""https://docs.google.com/spreadsheets/d/1MeEWN-I1oV_STSDYn1IFDPWt_1FKiwhDph83XaGc0o0/edit?usp=sharing"",""งบพรบ!CB19"")"),0)</f>
        <v>0</v>
      </c>
      <c r="O154" s="837">
        <f t="shared" ca="1" si="78"/>
        <v>0</v>
      </c>
      <c r="P154" s="837">
        <f t="shared" ca="1" si="79"/>
        <v>0</v>
      </c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</row>
    <row r="155" spans="1:26" ht="18.75" hidden="1">
      <c r="A155" s="942"/>
      <c r="B155" s="827"/>
      <c r="C155" s="943"/>
      <c r="D155" s="828" t="s">
        <v>21</v>
      </c>
      <c r="E155" s="827"/>
      <c r="F155" s="827"/>
      <c r="G155" s="829"/>
      <c r="H155" s="168" t="s">
        <v>12</v>
      </c>
      <c r="I155" s="944"/>
      <c r="J155" s="944"/>
      <c r="K155" s="945"/>
      <c r="L155" s="831">
        <f t="shared" ref="L155:N155" ca="1" si="82">L156+L157</f>
        <v>0</v>
      </c>
      <c r="M155" s="831">
        <f t="shared" ca="1" si="82"/>
        <v>0</v>
      </c>
      <c r="N155" s="831">
        <f t="shared" ca="1" si="82"/>
        <v>0</v>
      </c>
      <c r="O155" s="831">
        <f t="shared" ca="1" si="78"/>
        <v>0</v>
      </c>
      <c r="P155" s="831">
        <f t="shared" ca="1" si="79"/>
        <v>0</v>
      </c>
      <c r="Q155" s="818"/>
      <c r="R155" s="818"/>
      <c r="S155" s="818"/>
      <c r="T155" s="818"/>
      <c r="U155" s="818"/>
      <c r="V155" s="818"/>
      <c r="W155" s="818"/>
      <c r="X155" s="818"/>
      <c r="Y155" s="818"/>
      <c r="Z155" s="818"/>
    </row>
    <row r="156" spans="1:26" ht="19.5" hidden="1">
      <c r="A156" s="940"/>
      <c r="B156" s="833"/>
      <c r="C156" s="946"/>
      <c r="D156" s="833"/>
      <c r="E156" s="834" t="s">
        <v>18</v>
      </c>
      <c r="F156" s="833"/>
      <c r="G156" s="941"/>
      <c r="H156" s="165" t="s">
        <v>12</v>
      </c>
      <c r="I156" s="947"/>
      <c r="J156" s="947"/>
      <c r="K156" s="948"/>
      <c r="L156" s="837">
        <v>0</v>
      </c>
      <c r="M156" s="837">
        <v>0</v>
      </c>
      <c r="N156" s="837">
        <v>0</v>
      </c>
      <c r="O156" s="837">
        <f t="shared" si="78"/>
        <v>0</v>
      </c>
      <c r="P156" s="837">
        <f t="shared" si="79"/>
        <v>0</v>
      </c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</row>
    <row r="157" spans="1:26" ht="19.5" hidden="1">
      <c r="A157" s="940"/>
      <c r="B157" s="833"/>
      <c r="C157" s="946"/>
      <c r="D157" s="833"/>
      <c r="E157" s="834" t="s">
        <v>19</v>
      </c>
      <c r="F157" s="833"/>
      <c r="G157" s="941"/>
      <c r="H157" s="169" t="s">
        <v>12</v>
      </c>
      <c r="I157" s="947"/>
      <c r="J157" s="947"/>
      <c r="K157" s="948"/>
      <c r="L157" s="837">
        <f ca="1">IFERROR(__xludf.DUMMYFUNCTION("IMPORTRANGE(""https://docs.google.com/spreadsheets/d/1MeEWN-I1oV_STSDYn1IFDPWt_1FKiwhDph83XaGc0o0/edit?usp=sharing"",""งบพรบ!BX19"")"),0)</f>
        <v>0</v>
      </c>
      <c r="M157" s="837">
        <f ca="1">IFERROR(__xludf.DUMMYFUNCTION("IMPORTRANGE(""https://docs.google.com/spreadsheets/d/1MeEWN-I1oV_STSDYn1IFDPWt_1FKiwhDph83XaGc0o0/edit?usp=sharing"",""งบพรบ!CA19"")"),0)</f>
        <v>0</v>
      </c>
      <c r="N157" s="837">
        <f ca="1">IFERROR(__xludf.DUMMYFUNCTION("IMPORTRANGE(""https://docs.google.com/spreadsheets/d/1MeEWN-I1oV_STSDYn1IFDPWt_1FKiwhDph83XaGc0o0/edit?usp=sharing"",""งบพรบ!CC19"")"),0)</f>
        <v>0</v>
      </c>
      <c r="O157" s="837">
        <f t="shared" ca="1" si="78"/>
        <v>0</v>
      </c>
      <c r="P157" s="837">
        <f t="shared" ca="1" si="79"/>
        <v>0</v>
      </c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</row>
    <row r="158" spans="1:26" ht="19.5" hidden="1">
      <c r="A158" s="949"/>
      <c r="B158" s="950"/>
      <c r="C158" s="946" t="s">
        <v>16</v>
      </c>
      <c r="D158" s="951" t="s">
        <v>38</v>
      </c>
      <c r="E158" s="952"/>
      <c r="F158" s="952"/>
      <c r="G158" s="953"/>
      <c r="H158" s="168"/>
      <c r="I158" s="830"/>
      <c r="J158" s="830"/>
      <c r="K158" s="831"/>
      <c r="L158" s="831"/>
      <c r="M158" s="831"/>
      <c r="N158" s="831"/>
      <c r="O158" s="831"/>
      <c r="P158" s="831"/>
    </row>
    <row r="159" spans="1:26" ht="19.5" hidden="1">
      <c r="A159" s="942"/>
      <c r="B159" s="827"/>
      <c r="C159" s="976"/>
      <c r="D159" s="943" t="s">
        <v>78</v>
      </c>
      <c r="E159" s="828"/>
      <c r="F159" s="827"/>
      <c r="G159" s="977"/>
      <c r="H159" s="168" t="s">
        <v>35</v>
      </c>
      <c r="I159" s="830">
        <f ca="1">IFERROR(__xludf.DUMMYFUNCTION("IMPORTRANGE(""https://docs.google.com/spreadsheets/d/1QqKyyYR6Q21VydFLVH3TRQUabQu_ym0Zz7PgGX0-kHA/edit?usp=sharing"",""แผน!X19"")"),0)</f>
        <v>0</v>
      </c>
      <c r="J159" s="959">
        <v>0</v>
      </c>
      <c r="K159" s="831">
        <f ca="1">IF(I159&gt;0,J159*100/I159,0)</f>
        <v>0</v>
      </c>
      <c r="L159" s="831"/>
      <c r="M159" s="831"/>
      <c r="N159" s="831"/>
      <c r="O159" s="831"/>
      <c r="P159" s="831"/>
    </row>
    <row r="160" spans="1:26" ht="19.5" hidden="1">
      <c r="A160" s="940"/>
      <c r="B160" s="833"/>
      <c r="C160" s="946"/>
      <c r="D160" s="834" t="s">
        <v>79</v>
      </c>
      <c r="E160" s="982"/>
      <c r="F160" s="833"/>
      <c r="G160" s="941"/>
      <c r="H160" s="169" t="s">
        <v>35</v>
      </c>
      <c r="I160" s="836"/>
      <c r="J160" s="836"/>
      <c r="K160" s="837"/>
      <c r="L160" s="837"/>
      <c r="M160" s="837"/>
      <c r="N160" s="837"/>
      <c r="O160" s="837"/>
      <c r="P160" s="83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983"/>
      <c r="B161" s="984"/>
      <c r="C161" s="985"/>
      <c r="D161" s="986" t="s">
        <v>80</v>
      </c>
      <c r="E161" s="987"/>
      <c r="F161" s="984"/>
      <c r="G161" s="988"/>
      <c r="H161" s="232" t="s">
        <v>35</v>
      </c>
      <c r="I161" s="989"/>
      <c r="J161" s="989"/>
      <c r="K161" s="990"/>
      <c r="L161" s="990"/>
      <c r="M161" s="990"/>
      <c r="N161" s="990"/>
      <c r="O161" s="990"/>
      <c r="P161" s="990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991" t="s">
        <v>81</v>
      </c>
      <c r="B162" s="992"/>
      <c r="C162" s="992"/>
      <c r="D162" s="992"/>
      <c r="E162" s="993"/>
      <c r="F162" s="993"/>
      <c r="G162" s="994"/>
      <c r="H162" s="995"/>
      <c r="I162" s="996"/>
      <c r="J162" s="996"/>
      <c r="K162" s="997"/>
      <c r="L162" s="997"/>
      <c r="M162" s="997"/>
      <c r="N162" s="997"/>
      <c r="O162" s="997"/>
      <c r="P162" s="997"/>
    </row>
    <row r="163" spans="1:26" ht="19.5">
      <c r="A163" s="998" t="s">
        <v>82</v>
      </c>
      <c r="B163" s="999"/>
      <c r="C163" s="999"/>
      <c r="D163" s="1000"/>
      <c r="E163" s="1000"/>
      <c r="F163" s="1000"/>
      <c r="G163" s="1001"/>
      <c r="H163" s="1002"/>
      <c r="I163" s="1003"/>
      <c r="J163" s="1003"/>
      <c r="K163" s="1004"/>
      <c r="L163" s="1004"/>
      <c r="M163" s="1004"/>
      <c r="N163" s="1004"/>
      <c r="O163" s="1004"/>
      <c r="P163" s="1004"/>
    </row>
    <row r="164" spans="1:26" ht="19.5">
      <c r="A164" s="1005"/>
      <c r="B164" s="1006" t="s">
        <v>83</v>
      </c>
      <c r="C164" s="1007"/>
      <c r="D164" s="952"/>
      <c r="E164" s="952"/>
      <c r="F164" s="952"/>
      <c r="G164" s="953"/>
      <c r="H164" s="252" t="s">
        <v>35</v>
      </c>
      <c r="I164" s="1008">
        <f t="shared" ref="I164:J164" ca="1" si="83">I174+I177</f>
        <v>10</v>
      </c>
      <c r="J164" s="1008">
        <f t="shared" si="83"/>
        <v>10</v>
      </c>
      <c r="K164" s="1009">
        <f ca="1">IF(I164&gt;0,J164*100/I164,0)</f>
        <v>100</v>
      </c>
      <c r="L164" s="1010"/>
      <c r="M164" s="1010"/>
      <c r="N164" s="1010"/>
      <c r="O164" s="1010"/>
      <c r="P164" s="1010"/>
    </row>
    <row r="165" spans="1:26" ht="19.5">
      <c r="A165" s="932"/>
      <c r="B165" s="933"/>
      <c r="C165" s="934" t="s">
        <v>16</v>
      </c>
      <c r="D165" s="935" t="s">
        <v>17</v>
      </c>
      <c r="E165" s="933"/>
      <c r="F165" s="933"/>
      <c r="G165" s="936"/>
      <c r="H165" s="152" t="s">
        <v>12</v>
      </c>
      <c r="I165" s="937"/>
      <c r="J165" s="937"/>
      <c r="K165" s="938"/>
      <c r="L165" s="939">
        <f t="shared" ref="L165:N165" ca="1" si="84">L166+L167</f>
        <v>21050</v>
      </c>
      <c r="M165" s="939">
        <f t="shared" ca="1" si="84"/>
        <v>41260</v>
      </c>
      <c r="N165" s="939">
        <f t="shared" ca="1" si="84"/>
        <v>39410</v>
      </c>
      <c r="O165" s="939">
        <f t="shared" ref="O165:O173" ca="1" si="85">IF(L165&gt;0,N165*100/L165,0)</f>
        <v>187.22090261282659</v>
      </c>
      <c r="P165" s="939">
        <f t="shared" ref="P165:P173" ca="1" si="86">IF(M165&gt;0,N165*100/M165,0)</f>
        <v>95.516238487639356</v>
      </c>
      <c r="Q165" s="818"/>
      <c r="R165" s="818"/>
      <c r="S165" s="818"/>
      <c r="T165" s="818"/>
      <c r="U165" s="818"/>
      <c r="V165" s="818"/>
      <c r="W165" s="818"/>
      <c r="X165" s="818"/>
      <c r="Y165" s="818"/>
      <c r="Z165" s="818"/>
    </row>
    <row r="166" spans="1:26" ht="18.75" hidden="1">
      <c r="A166" s="940"/>
      <c r="B166" s="833"/>
      <c r="C166" s="833"/>
      <c r="D166" s="833"/>
      <c r="E166" s="834" t="s">
        <v>18</v>
      </c>
      <c r="F166" s="833"/>
      <c r="G166" s="941"/>
      <c r="H166" s="158" t="s">
        <v>12</v>
      </c>
      <c r="I166" s="836"/>
      <c r="J166" s="836"/>
      <c r="K166" s="837"/>
      <c r="L166" s="837">
        <f t="shared" ref="L166:N167" si="87">L169+L172</f>
        <v>0</v>
      </c>
      <c r="M166" s="837">
        <f t="shared" si="87"/>
        <v>0</v>
      </c>
      <c r="N166" s="837">
        <f t="shared" si="87"/>
        <v>0</v>
      </c>
      <c r="O166" s="837">
        <f t="shared" si="85"/>
        <v>0</v>
      </c>
      <c r="P166" s="837">
        <f t="shared" si="86"/>
        <v>0</v>
      </c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</row>
    <row r="167" spans="1:26" ht="18.75" hidden="1">
      <c r="A167" s="940"/>
      <c r="B167" s="833"/>
      <c r="C167" s="833"/>
      <c r="D167" s="833"/>
      <c r="E167" s="834" t="s">
        <v>19</v>
      </c>
      <c r="F167" s="833"/>
      <c r="G167" s="941"/>
      <c r="H167" s="158" t="s">
        <v>12</v>
      </c>
      <c r="I167" s="836"/>
      <c r="J167" s="836"/>
      <c r="K167" s="837"/>
      <c r="L167" s="837">
        <f t="shared" ca="1" si="87"/>
        <v>21050</v>
      </c>
      <c r="M167" s="837">
        <f t="shared" ca="1" si="87"/>
        <v>41260</v>
      </c>
      <c r="N167" s="837">
        <f t="shared" ca="1" si="87"/>
        <v>39410</v>
      </c>
      <c r="O167" s="837">
        <f t="shared" ca="1" si="85"/>
        <v>187.22090261282659</v>
      </c>
      <c r="P167" s="837">
        <f t="shared" ca="1" si="86"/>
        <v>95.516238487639356</v>
      </c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</row>
    <row r="168" spans="1:26" ht="18.75">
      <c r="A168" s="942"/>
      <c r="B168" s="827"/>
      <c r="C168" s="943"/>
      <c r="D168" s="828" t="s">
        <v>20</v>
      </c>
      <c r="E168" s="827"/>
      <c r="F168" s="827"/>
      <c r="G168" s="829"/>
      <c r="H168" s="778" t="s">
        <v>12</v>
      </c>
      <c r="I168" s="944"/>
      <c r="J168" s="944"/>
      <c r="K168" s="945"/>
      <c r="L168" s="831">
        <f t="shared" ref="L168:N168" ca="1" si="88">L169+L170</f>
        <v>21050</v>
      </c>
      <c r="M168" s="831">
        <f t="shared" ca="1" si="88"/>
        <v>41260</v>
      </c>
      <c r="N168" s="831">
        <f t="shared" ca="1" si="88"/>
        <v>39410</v>
      </c>
      <c r="O168" s="831">
        <f t="shared" ca="1" si="85"/>
        <v>187.22090261282659</v>
      </c>
      <c r="P168" s="831">
        <f t="shared" ca="1" si="86"/>
        <v>95.516238487639356</v>
      </c>
      <c r="Q168" s="818"/>
      <c r="R168" s="818"/>
      <c r="S168" s="818"/>
      <c r="T168" s="818"/>
      <c r="U168" s="818"/>
      <c r="V168" s="818"/>
      <c r="W168" s="818"/>
      <c r="X168" s="818"/>
      <c r="Y168" s="818"/>
      <c r="Z168" s="818"/>
    </row>
    <row r="169" spans="1:26" ht="19.5" hidden="1">
      <c r="A169" s="940"/>
      <c r="B169" s="833"/>
      <c r="C169" s="946"/>
      <c r="D169" s="833"/>
      <c r="E169" s="834" t="s">
        <v>36</v>
      </c>
      <c r="F169" s="833"/>
      <c r="G169" s="941"/>
      <c r="H169" s="165" t="s">
        <v>12</v>
      </c>
      <c r="I169" s="947"/>
      <c r="J169" s="947"/>
      <c r="K169" s="948"/>
      <c r="L169" s="837">
        <v>0</v>
      </c>
      <c r="M169" s="837">
        <v>0</v>
      </c>
      <c r="N169" s="837">
        <v>0</v>
      </c>
      <c r="O169" s="837">
        <f t="shared" si="85"/>
        <v>0</v>
      </c>
      <c r="P169" s="837">
        <f t="shared" si="86"/>
        <v>0</v>
      </c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</row>
    <row r="170" spans="1:26" ht="19.5" hidden="1">
      <c r="A170" s="940"/>
      <c r="B170" s="833"/>
      <c r="C170" s="946"/>
      <c r="D170" s="833"/>
      <c r="E170" s="834" t="s">
        <v>37</v>
      </c>
      <c r="F170" s="833"/>
      <c r="G170" s="941"/>
      <c r="H170" s="165" t="s">
        <v>12</v>
      </c>
      <c r="I170" s="947"/>
      <c r="J170" s="947"/>
      <c r="K170" s="948"/>
      <c r="L170" s="837">
        <f ca="1">IFERROR(__xludf.DUMMYFUNCTION("IMPORTRANGE(""https://docs.google.com/spreadsheets/d/1MeEWN-I1oV_STSDYn1IFDPWt_1FKiwhDph83XaGc0o0/edit?usp=sharing"",""งบพรบ!CE19"")"),21050)</f>
        <v>21050</v>
      </c>
      <c r="M170" s="837">
        <f ca="1">IFERROR(__xludf.DUMMYFUNCTION("IMPORTRANGE(""https://docs.google.com/spreadsheets/d/1MeEWN-I1oV_STSDYn1IFDPWt_1FKiwhDph83XaGc0o0/edit?usp=sharing"",""งบพรบ!CJ19"")"),41260)</f>
        <v>41260</v>
      </c>
      <c r="N170" s="837">
        <f ca="1">IFERROR(__xludf.DUMMYFUNCTION("IMPORTRANGE(""https://docs.google.com/spreadsheets/d/1MeEWN-I1oV_STSDYn1IFDPWt_1FKiwhDph83XaGc0o0/edit?usp=sharing"",""งบพรบ!CL19"")"),39410)</f>
        <v>39410</v>
      </c>
      <c r="O170" s="837">
        <f t="shared" ca="1" si="85"/>
        <v>187.22090261282659</v>
      </c>
      <c r="P170" s="837">
        <f t="shared" ca="1" si="86"/>
        <v>95.516238487639356</v>
      </c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</row>
    <row r="171" spans="1:26" ht="18.75">
      <c r="A171" s="942"/>
      <c r="B171" s="827"/>
      <c r="C171" s="943"/>
      <c r="D171" s="828" t="s">
        <v>21</v>
      </c>
      <c r="E171" s="827"/>
      <c r="F171" s="827"/>
      <c r="G171" s="829"/>
      <c r="H171" s="168" t="s">
        <v>12</v>
      </c>
      <c r="I171" s="944"/>
      <c r="J171" s="944"/>
      <c r="K171" s="945"/>
      <c r="L171" s="831">
        <f t="shared" ref="L171:N171" ca="1" si="89">L172+L173</f>
        <v>0</v>
      </c>
      <c r="M171" s="831">
        <f t="shared" ca="1" si="89"/>
        <v>0</v>
      </c>
      <c r="N171" s="831">
        <f t="shared" ca="1" si="89"/>
        <v>0</v>
      </c>
      <c r="O171" s="831">
        <f t="shared" ca="1" si="85"/>
        <v>0</v>
      </c>
      <c r="P171" s="831">
        <f t="shared" ca="1" si="86"/>
        <v>0</v>
      </c>
      <c r="Q171" s="818"/>
      <c r="R171" s="818"/>
      <c r="S171" s="818"/>
      <c r="T171" s="818"/>
      <c r="U171" s="818"/>
      <c r="V171" s="818"/>
      <c r="W171" s="818"/>
      <c r="X171" s="818"/>
      <c r="Y171" s="818"/>
      <c r="Z171" s="818"/>
    </row>
    <row r="172" spans="1:26" ht="19.5" hidden="1">
      <c r="A172" s="940"/>
      <c r="B172" s="833"/>
      <c r="C172" s="946"/>
      <c r="D172" s="833"/>
      <c r="E172" s="834" t="s">
        <v>18</v>
      </c>
      <c r="F172" s="833"/>
      <c r="G172" s="941"/>
      <c r="H172" s="165" t="s">
        <v>12</v>
      </c>
      <c r="I172" s="947"/>
      <c r="J172" s="947"/>
      <c r="K172" s="948"/>
      <c r="L172" s="837">
        <v>0</v>
      </c>
      <c r="M172" s="837">
        <v>0</v>
      </c>
      <c r="N172" s="837">
        <v>0</v>
      </c>
      <c r="O172" s="837">
        <f t="shared" si="85"/>
        <v>0</v>
      </c>
      <c r="P172" s="837">
        <f t="shared" si="86"/>
        <v>0</v>
      </c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</row>
    <row r="173" spans="1:26" ht="19.5" hidden="1">
      <c r="A173" s="940"/>
      <c r="B173" s="833"/>
      <c r="C173" s="946"/>
      <c r="D173" s="833"/>
      <c r="E173" s="834" t="s">
        <v>19</v>
      </c>
      <c r="F173" s="833"/>
      <c r="G173" s="941"/>
      <c r="H173" s="169" t="s">
        <v>12</v>
      </c>
      <c r="I173" s="947"/>
      <c r="J173" s="947"/>
      <c r="K173" s="948"/>
      <c r="L173" s="837">
        <f ca="1">IFERROR(__xludf.DUMMYFUNCTION("IMPORTRANGE(""https://docs.google.com/spreadsheets/d/1MeEWN-I1oV_STSDYn1IFDPWt_1FKiwhDph83XaGc0o0/edit?usp=sharing"",""งบพรบ!CH19"")"),0)</f>
        <v>0</v>
      </c>
      <c r="M173" s="837">
        <f ca="1">IFERROR(__xludf.DUMMYFUNCTION("IMPORTRANGE(""https://docs.google.com/spreadsheets/d/1MeEWN-I1oV_STSDYn1IFDPWt_1FKiwhDph83XaGc0o0/edit?usp=sharing"",""งบพรบ!CK19"")"),0)</f>
        <v>0</v>
      </c>
      <c r="N173" s="837">
        <f ca="1">IFERROR(__xludf.DUMMYFUNCTION("IMPORTRANGE(""https://docs.google.com/spreadsheets/d/1MeEWN-I1oV_STSDYn1IFDPWt_1FKiwhDph83XaGc0o0/edit?usp=sharing"",""งบพรบ!CM19"")"),0)</f>
        <v>0</v>
      </c>
      <c r="O173" s="837">
        <f t="shared" ca="1" si="85"/>
        <v>0</v>
      </c>
      <c r="P173" s="837">
        <f t="shared" ca="1" si="86"/>
        <v>0</v>
      </c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</row>
    <row r="174" spans="1:26" ht="19.5">
      <c r="A174" s="1011"/>
      <c r="B174" s="1012"/>
      <c r="C174" s="1013" t="s">
        <v>84</v>
      </c>
      <c r="D174" s="1012"/>
      <c r="E174" s="1012"/>
      <c r="F174" s="1012"/>
      <c r="G174" s="1014"/>
      <c r="H174" s="260" t="s">
        <v>35</v>
      </c>
      <c r="I174" s="1015">
        <f t="shared" ref="I174:J174" ca="1" si="90">I176</f>
        <v>10</v>
      </c>
      <c r="J174" s="1015">
        <f t="shared" si="90"/>
        <v>10</v>
      </c>
      <c r="K174" s="1016">
        <f ca="1">IF(I174&gt;0,J174*100/I174,0)</f>
        <v>100</v>
      </c>
      <c r="L174" s="1016"/>
      <c r="M174" s="1016"/>
      <c r="N174" s="1016"/>
      <c r="O174" s="1016"/>
      <c r="P174" s="1016"/>
    </row>
    <row r="175" spans="1:26" ht="19.5">
      <c r="A175" s="949"/>
      <c r="B175" s="950"/>
      <c r="C175" s="946" t="s">
        <v>16</v>
      </c>
      <c r="D175" s="951" t="s">
        <v>38</v>
      </c>
      <c r="E175" s="952"/>
      <c r="F175" s="952"/>
      <c r="G175" s="953"/>
      <c r="H175" s="954"/>
      <c r="I175" s="944"/>
      <c r="J175" s="944"/>
      <c r="K175" s="945"/>
      <c r="L175" s="945"/>
      <c r="M175" s="945"/>
      <c r="N175" s="945"/>
      <c r="O175" s="945"/>
      <c r="P175" s="945"/>
    </row>
    <row r="176" spans="1:26" ht="18.75">
      <c r="A176" s="949"/>
      <c r="B176" s="950"/>
      <c r="C176" s="950"/>
      <c r="D176" s="1017" t="s">
        <v>85</v>
      </c>
      <c r="E176" s="957"/>
      <c r="F176" s="957"/>
      <c r="G176" s="958"/>
      <c r="H176" s="590" t="s">
        <v>35</v>
      </c>
      <c r="I176" s="830">
        <f ca="1">IFERROR(__xludf.DUMMYFUNCTION("IMPORTRANGE(""https://docs.google.com/spreadsheets/d/1QqKyyYR6Q21VydFLVH3TRQUabQu_ym0Zz7PgGX0-kHA/edit?usp=sharing"",""แผน!Y19"")"),10)</f>
        <v>10</v>
      </c>
      <c r="J176" s="959">
        <v>10</v>
      </c>
      <c r="K176" s="945">
        <f ca="1">IF(I176&gt;0,J176*100/I176,0)</f>
        <v>100</v>
      </c>
      <c r="L176" s="945"/>
      <c r="M176" s="945"/>
      <c r="N176" s="945"/>
      <c r="O176" s="945"/>
      <c r="P176" s="945"/>
    </row>
    <row r="177" spans="1:26" ht="19.5" hidden="1">
      <c r="A177" s="1011"/>
      <c r="B177" s="1018"/>
      <c r="C177" s="1019" t="s">
        <v>86</v>
      </c>
      <c r="D177" s="1018"/>
      <c r="E177" s="1012"/>
      <c r="F177" s="1012"/>
      <c r="G177" s="1014"/>
      <c r="H177" s="266" t="s">
        <v>35</v>
      </c>
      <c r="I177" s="1015"/>
      <c r="J177" s="1015">
        <f>J179</f>
        <v>0</v>
      </c>
      <c r="K177" s="1016"/>
      <c r="L177" s="1016"/>
      <c r="M177" s="1016"/>
      <c r="N177" s="1016"/>
      <c r="O177" s="1016"/>
      <c r="P177" s="1016"/>
    </row>
    <row r="178" spans="1:26" ht="19.5" hidden="1">
      <c r="A178" s="949"/>
      <c r="B178" s="950"/>
      <c r="C178" s="946" t="s">
        <v>16</v>
      </c>
      <c r="D178" s="1020" t="s">
        <v>38</v>
      </c>
      <c r="E178" s="952"/>
      <c r="F178" s="952"/>
      <c r="G178" s="953"/>
      <c r="H178" s="954"/>
      <c r="I178" s="944"/>
      <c r="J178" s="944"/>
      <c r="K178" s="945"/>
      <c r="L178" s="945"/>
      <c r="M178" s="945"/>
      <c r="N178" s="945"/>
      <c r="O178" s="945"/>
      <c r="P178" s="945"/>
    </row>
    <row r="179" spans="1:26" ht="18.75" hidden="1">
      <c r="A179" s="949"/>
      <c r="B179" s="950"/>
      <c r="C179" s="950"/>
      <c r="D179" s="1021" t="s">
        <v>87</v>
      </c>
      <c r="E179" s="957"/>
      <c r="F179" s="1022"/>
      <c r="G179" s="958"/>
      <c r="H179" s="43" t="s">
        <v>35</v>
      </c>
      <c r="I179" s="830"/>
      <c r="J179" s="830"/>
      <c r="K179" s="945"/>
      <c r="L179" s="945"/>
      <c r="M179" s="945"/>
      <c r="N179" s="945"/>
      <c r="O179" s="945"/>
      <c r="P179" s="945"/>
    </row>
    <row r="180" spans="1:26" ht="19.5">
      <c r="A180" s="1005"/>
      <c r="B180" s="1006" t="s">
        <v>88</v>
      </c>
      <c r="C180" s="1007"/>
      <c r="D180" s="952"/>
      <c r="E180" s="952"/>
      <c r="F180" s="952"/>
      <c r="G180" s="953"/>
      <c r="H180" s="252" t="s">
        <v>35</v>
      </c>
      <c r="I180" s="1008">
        <f t="shared" ref="I180:J180" ca="1" si="91">I225+I226</f>
        <v>80</v>
      </c>
      <c r="J180" s="1008">
        <f t="shared" si="91"/>
        <v>80</v>
      </c>
      <c r="K180" s="1009">
        <f ca="1">IF(I180&gt;0,J180*100/I180,0)</f>
        <v>100</v>
      </c>
      <c r="L180" s="1010"/>
      <c r="M180" s="1010"/>
      <c r="N180" s="1010"/>
      <c r="O180" s="1010"/>
      <c r="P180" s="1010"/>
    </row>
    <row r="181" spans="1:26" ht="19.5">
      <c r="A181" s="932"/>
      <c r="B181" s="933"/>
      <c r="C181" s="934" t="s">
        <v>16</v>
      </c>
      <c r="D181" s="935" t="s">
        <v>17</v>
      </c>
      <c r="E181" s="933"/>
      <c r="F181" s="933"/>
      <c r="G181" s="936"/>
      <c r="H181" s="152" t="s">
        <v>12</v>
      </c>
      <c r="I181" s="937"/>
      <c r="J181" s="937"/>
      <c r="K181" s="938"/>
      <c r="L181" s="939">
        <f t="shared" ref="L181:N181" ca="1" si="92">L182+L183</f>
        <v>962600</v>
      </c>
      <c r="M181" s="939">
        <f t="shared" ca="1" si="92"/>
        <v>770725</v>
      </c>
      <c r="N181" s="939">
        <f t="shared" ca="1" si="92"/>
        <v>406814.69</v>
      </c>
      <c r="O181" s="939">
        <f t="shared" ref="O181:O189" ca="1" si="93">IF(L181&gt;0,N181*100/L181,0)</f>
        <v>42.262070434240599</v>
      </c>
      <c r="P181" s="939">
        <f t="shared" ref="P181:P189" ca="1" si="94">IF(M181&gt;0,N181*100/M181,0)</f>
        <v>52.783377988257811</v>
      </c>
      <c r="Q181" s="818"/>
      <c r="R181" s="818"/>
      <c r="S181" s="818"/>
      <c r="T181" s="818"/>
      <c r="U181" s="818"/>
      <c r="V181" s="818"/>
      <c r="W181" s="818"/>
      <c r="X181" s="818"/>
      <c r="Y181" s="818"/>
      <c r="Z181" s="818"/>
    </row>
    <row r="182" spans="1:26" ht="18.75" hidden="1">
      <c r="A182" s="940"/>
      <c r="B182" s="833"/>
      <c r="C182" s="833"/>
      <c r="D182" s="833"/>
      <c r="E182" s="834" t="s">
        <v>18</v>
      </c>
      <c r="F182" s="833"/>
      <c r="G182" s="941"/>
      <c r="H182" s="158" t="s">
        <v>12</v>
      </c>
      <c r="I182" s="836"/>
      <c r="J182" s="836"/>
      <c r="K182" s="837"/>
      <c r="L182" s="837">
        <f t="shared" ref="L182:N183" si="95">L185+L188</f>
        <v>0</v>
      </c>
      <c r="M182" s="837">
        <f t="shared" si="95"/>
        <v>0</v>
      </c>
      <c r="N182" s="837">
        <f t="shared" si="95"/>
        <v>0</v>
      </c>
      <c r="O182" s="837">
        <f t="shared" si="93"/>
        <v>0</v>
      </c>
      <c r="P182" s="837">
        <f t="shared" si="94"/>
        <v>0</v>
      </c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</row>
    <row r="183" spans="1:26" ht="18.75" hidden="1">
      <c r="A183" s="940"/>
      <c r="B183" s="833"/>
      <c r="C183" s="833"/>
      <c r="D183" s="833"/>
      <c r="E183" s="834" t="s">
        <v>19</v>
      </c>
      <c r="F183" s="833"/>
      <c r="G183" s="941"/>
      <c r="H183" s="158" t="s">
        <v>12</v>
      </c>
      <c r="I183" s="836"/>
      <c r="J183" s="836"/>
      <c r="K183" s="837"/>
      <c r="L183" s="837">
        <f t="shared" ca="1" si="95"/>
        <v>962600</v>
      </c>
      <c r="M183" s="837">
        <f t="shared" ca="1" si="95"/>
        <v>770725</v>
      </c>
      <c r="N183" s="837">
        <f t="shared" ca="1" si="95"/>
        <v>406814.69</v>
      </c>
      <c r="O183" s="837">
        <f t="shared" ca="1" si="93"/>
        <v>42.262070434240599</v>
      </c>
      <c r="P183" s="837">
        <f t="shared" ca="1" si="94"/>
        <v>52.783377988257811</v>
      </c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</row>
    <row r="184" spans="1:26" ht="18.75">
      <c r="A184" s="942"/>
      <c r="B184" s="827"/>
      <c r="C184" s="943"/>
      <c r="D184" s="828" t="s">
        <v>20</v>
      </c>
      <c r="E184" s="827"/>
      <c r="F184" s="827"/>
      <c r="G184" s="829"/>
      <c r="H184" s="778" t="s">
        <v>12</v>
      </c>
      <c r="I184" s="944"/>
      <c r="J184" s="944"/>
      <c r="K184" s="945"/>
      <c r="L184" s="831">
        <f t="shared" ref="L184:N184" ca="1" si="96">L185+L186</f>
        <v>962600</v>
      </c>
      <c r="M184" s="831">
        <f t="shared" ca="1" si="96"/>
        <v>770725</v>
      </c>
      <c r="N184" s="831">
        <f t="shared" ca="1" si="96"/>
        <v>406814.69</v>
      </c>
      <c r="O184" s="831">
        <f t="shared" ca="1" si="93"/>
        <v>42.262070434240599</v>
      </c>
      <c r="P184" s="831">
        <f t="shared" ca="1" si="94"/>
        <v>52.783377988257811</v>
      </c>
      <c r="Q184" s="818"/>
      <c r="R184" s="818"/>
      <c r="S184" s="818"/>
      <c r="T184" s="818"/>
      <c r="U184" s="818"/>
      <c r="V184" s="818"/>
      <c r="W184" s="818"/>
      <c r="X184" s="818"/>
      <c r="Y184" s="818"/>
      <c r="Z184" s="818"/>
    </row>
    <row r="185" spans="1:26" ht="19.5" hidden="1">
      <c r="A185" s="940"/>
      <c r="B185" s="833"/>
      <c r="C185" s="946"/>
      <c r="D185" s="833"/>
      <c r="E185" s="834" t="s">
        <v>36</v>
      </c>
      <c r="F185" s="833"/>
      <c r="G185" s="941"/>
      <c r="H185" s="165" t="s">
        <v>12</v>
      </c>
      <c r="I185" s="947"/>
      <c r="J185" s="947"/>
      <c r="K185" s="948"/>
      <c r="L185" s="837">
        <v>0</v>
      </c>
      <c r="M185" s="837">
        <v>0</v>
      </c>
      <c r="N185" s="837">
        <v>0</v>
      </c>
      <c r="O185" s="837">
        <f t="shared" si="93"/>
        <v>0</v>
      </c>
      <c r="P185" s="837">
        <f t="shared" si="94"/>
        <v>0</v>
      </c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</row>
    <row r="186" spans="1:26" ht="19.5" hidden="1">
      <c r="A186" s="940"/>
      <c r="B186" s="833"/>
      <c r="C186" s="946"/>
      <c r="D186" s="833"/>
      <c r="E186" s="834" t="s">
        <v>37</v>
      </c>
      <c r="F186" s="833"/>
      <c r="G186" s="941"/>
      <c r="H186" s="165" t="s">
        <v>12</v>
      </c>
      <c r="I186" s="947"/>
      <c r="J186" s="947"/>
      <c r="K186" s="948"/>
      <c r="L186" s="837">
        <f ca="1">IFERROR(__xludf.DUMMYFUNCTION("IMPORTRANGE(""https://docs.google.com/spreadsheets/d/1MeEWN-I1oV_STSDYn1IFDPWt_1FKiwhDph83XaGc0o0/edit?usp=sharing"",""งบพรบ!CO19"")"),962600)</f>
        <v>962600</v>
      </c>
      <c r="M186" s="837">
        <f ca="1">IFERROR(__xludf.DUMMYFUNCTION("IMPORTRANGE(""https://docs.google.com/spreadsheets/d/1MeEWN-I1oV_STSDYn1IFDPWt_1FKiwhDph83XaGc0o0/edit?usp=sharing"",""งบพรบ!CT19"")"),770725)</f>
        <v>770725</v>
      </c>
      <c r="N186" s="837">
        <f ca="1">IFERROR(__xludf.DUMMYFUNCTION("IMPORTRANGE(""https://docs.google.com/spreadsheets/d/1MeEWN-I1oV_STSDYn1IFDPWt_1FKiwhDph83XaGc0o0/edit?usp=sharing"",""งบพรบ!CV19"")"),406814.69)</f>
        <v>406814.69</v>
      </c>
      <c r="O186" s="837">
        <f t="shared" ca="1" si="93"/>
        <v>42.262070434240599</v>
      </c>
      <c r="P186" s="837">
        <f t="shared" ca="1" si="94"/>
        <v>52.783377988257811</v>
      </c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</row>
    <row r="187" spans="1:26" ht="18.75">
      <c r="A187" s="942"/>
      <c r="B187" s="827"/>
      <c r="C187" s="943"/>
      <c r="D187" s="828" t="s">
        <v>21</v>
      </c>
      <c r="E187" s="827"/>
      <c r="F187" s="827"/>
      <c r="G187" s="829"/>
      <c r="H187" s="168" t="s">
        <v>12</v>
      </c>
      <c r="I187" s="944"/>
      <c r="J187" s="944"/>
      <c r="K187" s="945"/>
      <c r="L187" s="831">
        <f t="shared" ref="L187:N187" ca="1" si="97">L188+L189</f>
        <v>0</v>
      </c>
      <c r="M187" s="831">
        <f t="shared" ca="1" si="97"/>
        <v>0</v>
      </c>
      <c r="N187" s="831">
        <f t="shared" ca="1" si="97"/>
        <v>0</v>
      </c>
      <c r="O187" s="831">
        <f t="shared" ca="1" si="93"/>
        <v>0</v>
      </c>
      <c r="P187" s="831">
        <f t="shared" ca="1" si="94"/>
        <v>0</v>
      </c>
      <c r="Q187" s="818"/>
      <c r="R187" s="818"/>
      <c r="S187" s="818"/>
      <c r="T187" s="818"/>
      <c r="U187" s="818"/>
      <c r="V187" s="818"/>
      <c r="W187" s="818"/>
      <c r="X187" s="818"/>
      <c r="Y187" s="818"/>
      <c r="Z187" s="818"/>
    </row>
    <row r="188" spans="1:26" ht="19.5" hidden="1">
      <c r="A188" s="940"/>
      <c r="B188" s="833"/>
      <c r="C188" s="946"/>
      <c r="D188" s="833"/>
      <c r="E188" s="834" t="s">
        <v>18</v>
      </c>
      <c r="F188" s="833"/>
      <c r="G188" s="941"/>
      <c r="H188" s="165" t="s">
        <v>12</v>
      </c>
      <c r="I188" s="947"/>
      <c r="J188" s="947"/>
      <c r="K188" s="948"/>
      <c r="L188" s="837">
        <v>0</v>
      </c>
      <c r="M188" s="837">
        <v>0</v>
      </c>
      <c r="N188" s="837">
        <v>0</v>
      </c>
      <c r="O188" s="837">
        <f t="shared" si="93"/>
        <v>0</v>
      </c>
      <c r="P188" s="837">
        <f t="shared" si="94"/>
        <v>0</v>
      </c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</row>
    <row r="189" spans="1:26" ht="19.5" hidden="1">
      <c r="A189" s="940"/>
      <c r="B189" s="833"/>
      <c r="C189" s="946"/>
      <c r="D189" s="833"/>
      <c r="E189" s="834" t="s">
        <v>19</v>
      </c>
      <c r="F189" s="833"/>
      <c r="G189" s="941"/>
      <c r="H189" s="169" t="s">
        <v>12</v>
      </c>
      <c r="I189" s="947"/>
      <c r="J189" s="947"/>
      <c r="K189" s="948"/>
      <c r="L189" s="837">
        <f ca="1">IFERROR(__xludf.DUMMYFUNCTION("IMPORTRANGE(""https://docs.google.com/spreadsheets/d/1MeEWN-I1oV_STSDYn1IFDPWt_1FKiwhDph83XaGc0o0/edit?usp=sharing"",""งบพรบ!CR19"")"),0)</f>
        <v>0</v>
      </c>
      <c r="M189" s="837">
        <f ca="1">IFERROR(__xludf.DUMMYFUNCTION("IMPORTRANGE(""https://docs.google.com/spreadsheets/d/1MeEWN-I1oV_STSDYn1IFDPWt_1FKiwhDph83XaGc0o0/edit?usp=sharing"",""งบพรบ!CU19"")"),0)</f>
        <v>0</v>
      </c>
      <c r="N189" s="837">
        <f ca="1">IFERROR(__xludf.DUMMYFUNCTION("IMPORTRANGE(""https://docs.google.com/spreadsheets/d/1MeEWN-I1oV_STSDYn1IFDPWt_1FKiwhDph83XaGc0o0/edit?usp=sharing"",""งบพรบ!CW19"")"),0)</f>
        <v>0</v>
      </c>
      <c r="O189" s="837">
        <f t="shared" ca="1" si="93"/>
        <v>0</v>
      </c>
      <c r="P189" s="837">
        <f t="shared" ca="1" si="94"/>
        <v>0</v>
      </c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</row>
    <row r="190" spans="1:26" ht="19.5">
      <c r="A190" s="1011"/>
      <c r="B190" s="1018"/>
      <c r="C190" s="1023" t="s">
        <v>89</v>
      </c>
      <c r="D190" s="1012"/>
      <c r="E190" s="1012"/>
      <c r="F190" s="1012"/>
      <c r="G190" s="1014"/>
      <c r="H190" s="260" t="s">
        <v>90</v>
      </c>
      <c r="I190" s="1024">
        <f t="shared" ref="I190:J190" ca="1" si="98">I193</f>
        <v>4</v>
      </c>
      <c r="J190" s="1024">
        <f t="shared" si="98"/>
        <v>2</v>
      </c>
      <c r="K190" s="1025">
        <f ca="1">IF(I190&gt;0,J190*100/I190,0)</f>
        <v>50</v>
      </c>
      <c r="L190" s="1016"/>
      <c r="M190" s="1016"/>
      <c r="N190" s="1016"/>
      <c r="O190" s="1016"/>
      <c r="P190" s="1016"/>
    </row>
    <row r="191" spans="1:26" ht="19.5">
      <c r="A191" s="932"/>
      <c r="B191" s="933"/>
      <c r="C191" s="934" t="s">
        <v>16</v>
      </c>
      <c r="D191" s="1026" t="s">
        <v>17</v>
      </c>
      <c r="E191" s="933"/>
      <c r="F191" s="933"/>
      <c r="G191" s="936"/>
      <c r="H191" s="275" t="s">
        <v>12</v>
      </c>
      <c r="I191" s="937"/>
      <c r="J191" s="937"/>
      <c r="K191" s="938"/>
      <c r="L191" s="939">
        <f ca="1">IFERROR(__xludf.DUMMYFUNCTION("IMPORTRANGE(""https://docs.google.com/spreadsheets/d/1QqKyyYR6Q21VydFLVH3TRQUabQu_ym0Zz7PgGX0-kHA/edit?usp=sharing"",""แผน!Z19"")"),6000)</f>
        <v>6000</v>
      </c>
      <c r="M191" s="939"/>
      <c r="N191" s="1027">
        <v>1500</v>
      </c>
      <c r="O191" s="939">
        <f ca="1">IF(L191&gt;0,N191*100/L191,0)</f>
        <v>25</v>
      </c>
      <c r="P191" s="939">
        <f>IF(M191&gt;0,N191*100/M191,0)</f>
        <v>0</v>
      </c>
      <c r="Q191" s="818"/>
      <c r="R191" s="818"/>
      <c r="S191" s="818"/>
      <c r="T191" s="818"/>
      <c r="U191" s="818"/>
      <c r="V191" s="818"/>
      <c r="W191" s="818"/>
      <c r="X191" s="818"/>
      <c r="Y191" s="818"/>
      <c r="Z191" s="818"/>
    </row>
    <row r="192" spans="1:26" ht="19.5">
      <c r="A192" s="949"/>
      <c r="B192" s="950"/>
      <c r="C192" s="976" t="s">
        <v>16</v>
      </c>
      <c r="D192" s="951" t="s">
        <v>38</v>
      </c>
      <c r="E192" s="952"/>
      <c r="F192" s="952"/>
      <c r="G192" s="953"/>
      <c r="H192" s="954"/>
      <c r="I192" s="830"/>
      <c r="J192" s="830"/>
      <c r="K192" s="831"/>
      <c r="L192" s="831"/>
      <c r="M192" s="831"/>
      <c r="N192" s="831"/>
      <c r="O192" s="831"/>
      <c r="P192" s="831"/>
      <c r="Q192" s="818"/>
      <c r="R192" s="818"/>
      <c r="S192" s="818"/>
      <c r="T192" s="818"/>
      <c r="U192" s="818"/>
      <c r="V192" s="818"/>
      <c r="W192" s="818"/>
      <c r="X192" s="818"/>
      <c r="Y192" s="818"/>
      <c r="Z192" s="818"/>
    </row>
    <row r="193" spans="1:26" ht="18.75">
      <c r="A193" s="949"/>
      <c r="B193" s="950"/>
      <c r="C193" s="950"/>
      <c r="D193" s="956" t="s">
        <v>91</v>
      </c>
      <c r="E193" s="957"/>
      <c r="F193" s="957"/>
      <c r="G193" s="958"/>
      <c r="H193" s="730" t="s">
        <v>90</v>
      </c>
      <c r="I193" s="830">
        <f ca="1">IFERROR(__xludf.DUMMYFUNCTION("IMPORTRANGE(""https://docs.google.com/spreadsheets/d/1QqKyyYR6Q21VydFLVH3TRQUabQu_ym0Zz7PgGX0-kHA/edit?usp=sharing"",""แผน!AC19"")"),4)</f>
        <v>4</v>
      </c>
      <c r="J193" s="959">
        <v>2</v>
      </c>
      <c r="K193" s="831">
        <f ca="1">IF(I193&gt;0,J193*100/I193,0)</f>
        <v>50</v>
      </c>
      <c r="L193" s="831"/>
      <c r="M193" s="831"/>
      <c r="N193" s="831"/>
      <c r="O193" s="831"/>
      <c r="P193" s="831"/>
      <c r="Q193" s="818"/>
      <c r="R193" s="818"/>
      <c r="S193" s="818"/>
      <c r="T193" s="818"/>
      <c r="U193" s="818"/>
      <c r="V193" s="818"/>
      <c r="W193" s="818"/>
      <c r="X193" s="818"/>
      <c r="Y193" s="818"/>
      <c r="Z193" s="818"/>
    </row>
    <row r="194" spans="1:26" ht="18.75">
      <c r="A194" s="949"/>
      <c r="B194" s="950"/>
      <c r="C194" s="950"/>
      <c r="D194" s="956" t="s">
        <v>92</v>
      </c>
      <c r="E194" s="957"/>
      <c r="F194" s="957"/>
      <c r="G194" s="958"/>
      <c r="H194" s="277" t="s">
        <v>35</v>
      </c>
      <c r="I194" s="830"/>
      <c r="J194" s="830">
        <f>J195+J196</f>
        <v>80</v>
      </c>
      <c r="K194" s="831"/>
      <c r="L194" s="831"/>
      <c r="M194" s="831"/>
      <c r="N194" s="831"/>
      <c r="O194" s="831"/>
      <c r="P194" s="831"/>
      <c r="Q194" s="818"/>
      <c r="R194" s="818"/>
      <c r="S194" s="818"/>
      <c r="T194" s="818"/>
      <c r="U194" s="818"/>
      <c r="V194" s="818"/>
      <c r="W194" s="818"/>
      <c r="X194" s="818"/>
      <c r="Y194" s="818"/>
      <c r="Z194" s="818"/>
    </row>
    <row r="195" spans="1:26" ht="18.75">
      <c r="A195" s="949"/>
      <c r="B195" s="950"/>
      <c r="C195" s="950"/>
      <c r="D195" s="950"/>
      <c r="E195" s="956" t="s">
        <v>93</v>
      </c>
      <c r="F195" s="957"/>
      <c r="G195" s="958"/>
      <c r="H195" s="277" t="s">
        <v>35</v>
      </c>
      <c r="I195" s="830"/>
      <c r="J195" s="959">
        <v>80</v>
      </c>
      <c r="K195" s="831"/>
      <c r="L195" s="831"/>
      <c r="M195" s="831"/>
      <c r="N195" s="831"/>
      <c r="O195" s="831"/>
      <c r="P195" s="831"/>
      <c r="Q195" s="818"/>
      <c r="R195" s="818"/>
      <c r="S195" s="818"/>
      <c r="T195" s="818"/>
      <c r="U195" s="818"/>
      <c r="V195" s="818"/>
      <c r="W195" s="818"/>
      <c r="X195" s="818"/>
      <c r="Y195" s="818"/>
      <c r="Z195" s="818"/>
    </row>
    <row r="196" spans="1:26" ht="18.75">
      <c r="A196" s="949"/>
      <c r="B196" s="950"/>
      <c r="C196" s="950"/>
      <c r="D196" s="950"/>
      <c r="E196" s="956" t="s">
        <v>94</v>
      </c>
      <c r="F196" s="957"/>
      <c r="G196" s="958"/>
      <c r="H196" s="277" t="s">
        <v>35</v>
      </c>
      <c r="I196" s="830"/>
      <c r="J196" s="959">
        <v>0</v>
      </c>
      <c r="K196" s="831"/>
      <c r="L196" s="831"/>
      <c r="M196" s="831"/>
      <c r="N196" s="831"/>
      <c r="O196" s="831"/>
      <c r="P196" s="831"/>
      <c r="Q196" s="818"/>
      <c r="R196" s="818"/>
      <c r="S196" s="818"/>
      <c r="T196" s="818"/>
      <c r="U196" s="818"/>
      <c r="V196" s="818"/>
      <c r="W196" s="818"/>
      <c r="X196" s="818"/>
      <c r="Y196" s="818"/>
      <c r="Z196" s="818"/>
    </row>
    <row r="197" spans="1:26" ht="19.5">
      <c r="A197" s="1011"/>
      <c r="B197" s="1018"/>
      <c r="C197" s="1023" t="s">
        <v>95</v>
      </c>
      <c r="D197" s="1012"/>
      <c r="E197" s="1012"/>
      <c r="F197" s="1012"/>
      <c r="G197" s="1014"/>
      <c r="H197" s="278" t="s">
        <v>96</v>
      </c>
      <c r="I197" s="1024">
        <f t="shared" ref="I197:J197" ca="1" si="99">I204</f>
        <v>4</v>
      </c>
      <c r="J197" s="1024">
        <f t="shared" si="99"/>
        <v>4</v>
      </c>
      <c r="K197" s="1025">
        <f ca="1">IF(I197&gt;0,J197*100/I197,0)</f>
        <v>100</v>
      </c>
      <c r="L197" s="1016"/>
      <c r="M197" s="1016"/>
      <c r="N197" s="1016"/>
      <c r="O197" s="1016"/>
      <c r="P197" s="1016"/>
    </row>
    <row r="198" spans="1:26" ht="19.5">
      <c r="A198" s="932"/>
      <c r="B198" s="933"/>
      <c r="C198" s="934" t="s">
        <v>16</v>
      </c>
      <c r="D198" s="1026" t="s">
        <v>17</v>
      </c>
      <c r="E198" s="933"/>
      <c r="F198" s="933"/>
      <c r="G198" s="936"/>
      <c r="H198" s="275" t="s">
        <v>12</v>
      </c>
      <c r="I198" s="1028"/>
      <c r="J198" s="1028"/>
      <c r="K198" s="1029"/>
      <c r="L198" s="939">
        <f ca="1">L199+L200+L201+L202</f>
        <v>57000</v>
      </c>
      <c r="M198" s="939"/>
      <c r="N198" s="939">
        <f>N199+N200+N201+N202</f>
        <v>34420</v>
      </c>
      <c r="O198" s="939">
        <f ca="1">IF(L198&gt;0,N198*100/L198,0)</f>
        <v>60.385964912280699</v>
      </c>
      <c r="P198" s="939">
        <f>IF(M198&gt;0,N198*100/M198,0)</f>
        <v>0</v>
      </c>
      <c r="Q198" s="818"/>
      <c r="R198" s="818"/>
      <c r="S198" s="818"/>
      <c r="T198" s="818"/>
      <c r="U198" s="818"/>
      <c r="V198" s="818"/>
      <c r="W198" s="818"/>
      <c r="X198" s="818"/>
      <c r="Y198" s="818"/>
      <c r="Z198" s="818"/>
    </row>
    <row r="199" spans="1:26" ht="18.75">
      <c r="A199" s="942"/>
      <c r="B199" s="1030"/>
      <c r="C199" s="827"/>
      <c r="D199" s="943" t="s">
        <v>97</v>
      </c>
      <c r="E199" s="827"/>
      <c r="F199" s="827"/>
      <c r="G199" s="829"/>
      <c r="H199" s="778" t="s">
        <v>12</v>
      </c>
      <c r="I199" s="944"/>
      <c r="J199" s="944"/>
      <c r="K199" s="945"/>
      <c r="L199" s="831">
        <f ca="1">IFERROR(__xludf.DUMMYFUNCTION("IMPORTRANGE(""https://docs.google.com/spreadsheets/d/1QqKyyYR6Q21VydFLVH3TRQUabQu_ym0Zz7PgGX0-kHA/edit?usp=sharing"",""แผน!AE19"")"),4000)</f>
        <v>4000</v>
      </c>
      <c r="M199" s="831"/>
      <c r="N199" s="1031">
        <v>2500</v>
      </c>
      <c r="O199" s="831"/>
      <c r="P199" s="831"/>
      <c r="Q199" s="818"/>
      <c r="R199" s="818"/>
      <c r="S199" s="818"/>
      <c r="T199" s="818"/>
      <c r="U199" s="818"/>
      <c r="V199" s="818"/>
      <c r="W199" s="818"/>
      <c r="X199" s="818"/>
      <c r="Y199" s="818"/>
      <c r="Z199" s="818"/>
    </row>
    <row r="200" spans="1:26" ht="19.5">
      <c r="A200" s="1032"/>
      <c r="B200" s="1030"/>
      <c r="C200" s="976"/>
      <c r="D200" s="943" t="s">
        <v>98</v>
      </c>
      <c r="E200" s="827"/>
      <c r="F200" s="827"/>
      <c r="G200" s="829"/>
      <c r="H200" s="590" t="s">
        <v>12</v>
      </c>
      <c r="I200" s="830"/>
      <c r="J200" s="830"/>
      <c r="K200" s="831"/>
      <c r="L200" s="831">
        <f ca="1">IFERROR(__xludf.DUMMYFUNCTION("IMPORTRANGE(""https://docs.google.com/spreadsheets/d/1QqKyyYR6Q21VydFLVH3TRQUabQu_ym0Zz7PgGX0-kHA/edit?usp=sharing"",""แผน!AF19"")"),32000)</f>
        <v>32000</v>
      </c>
      <c r="M200" s="831"/>
      <c r="N200" s="1031">
        <v>31920</v>
      </c>
      <c r="O200" s="831"/>
      <c r="P200" s="831"/>
      <c r="Q200" s="1033"/>
      <c r="R200" s="1033"/>
      <c r="S200" s="1033"/>
      <c r="T200" s="1033"/>
      <c r="U200" s="1033"/>
      <c r="V200" s="1033"/>
      <c r="W200" s="1033"/>
      <c r="X200" s="1033"/>
      <c r="Y200" s="1033"/>
      <c r="Z200" s="1033"/>
    </row>
    <row r="201" spans="1:26" ht="19.5">
      <c r="A201" s="1032"/>
      <c r="B201" s="1030"/>
      <c r="C201" s="976"/>
      <c r="D201" s="943" t="s">
        <v>99</v>
      </c>
      <c r="E201" s="827"/>
      <c r="F201" s="827"/>
      <c r="G201" s="829"/>
      <c r="H201" s="590" t="s">
        <v>12</v>
      </c>
      <c r="I201" s="830"/>
      <c r="J201" s="830"/>
      <c r="K201" s="831"/>
      <c r="L201" s="831">
        <f ca="1">IFERROR(__xludf.DUMMYFUNCTION("IMPORTRANGE(""https://docs.google.com/spreadsheets/d/1QqKyyYR6Q21VydFLVH3TRQUabQu_ym0Zz7PgGX0-kHA/edit?usp=sharing"",""แผน!AG19"")"),16000)</f>
        <v>16000</v>
      </c>
      <c r="M201" s="831"/>
      <c r="N201" s="1031">
        <v>0</v>
      </c>
      <c r="O201" s="831"/>
      <c r="P201" s="831"/>
      <c r="Q201" s="1033"/>
      <c r="R201" s="1033"/>
      <c r="S201" s="1033"/>
      <c r="T201" s="1033"/>
      <c r="U201" s="1033"/>
      <c r="V201" s="1033"/>
      <c r="W201" s="1033"/>
      <c r="X201" s="1033"/>
      <c r="Y201" s="1033"/>
      <c r="Z201" s="1033"/>
    </row>
    <row r="202" spans="1:26" ht="19.5">
      <c r="A202" s="1032"/>
      <c r="B202" s="1030"/>
      <c r="C202" s="976"/>
      <c r="D202" s="943" t="s">
        <v>100</v>
      </c>
      <c r="E202" s="827"/>
      <c r="F202" s="827"/>
      <c r="G202" s="829"/>
      <c r="H202" s="590" t="s">
        <v>12</v>
      </c>
      <c r="I202" s="830"/>
      <c r="J202" s="830"/>
      <c r="K202" s="831"/>
      <c r="L202" s="831">
        <f ca="1">IFERROR(__xludf.DUMMYFUNCTION("IMPORTRANGE(""https://docs.google.com/spreadsheets/d/1QqKyyYR6Q21VydFLVH3TRQUabQu_ym0Zz7PgGX0-kHA/edit?usp=sharing"",""แผน!AH19"")"),5000)</f>
        <v>5000</v>
      </c>
      <c r="M202" s="831"/>
      <c r="N202" s="1031">
        <v>0</v>
      </c>
      <c r="O202" s="831"/>
      <c r="P202" s="831"/>
      <c r="Q202" s="1033"/>
      <c r="R202" s="1033"/>
      <c r="S202" s="1033"/>
      <c r="T202" s="1033"/>
      <c r="U202" s="1033"/>
      <c r="V202" s="1033"/>
      <c r="W202" s="1033"/>
      <c r="X202" s="1033"/>
      <c r="Y202" s="1033"/>
      <c r="Z202" s="1033"/>
    </row>
    <row r="203" spans="1:26" ht="19.5">
      <c r="A203" s="949"/>
      <c r="B203" s="950"/>
      <c r="C203" s="976" t="s">
        <v>16</v>
      </c>
      <c r="D203" s="951" t="s">
        <v>38</v>
      </c>
      <c r="E203" s="952"/>
      <c r="F203" s="952"/>
      <c r="G203" s="953"/>
      <c r="H203" s="954"/>
      <c r="I203" s="944"/>
      <c r="J203" s="944"/>
      <c r="K203" s="945"/>
      <c r="L203" s="945"/>
      <c r="M203" s="945"/>
      <c r="N203" s="945"/>
      <c r="O203" s="945"/>
      <c r="P203" s="945"/>
      <c r="Q203" s="818"/>
      <c r="R203" s="818"/>
      <c r="S203" s="818"/>
      <c r="T203" s="818"/>
      <c r="U203" s="818"/>
      <c r="V203" s="818"/>
      <c r="W203" s="818"/>
      <c r="X203" s="818"/>
      <c r="Y203" s="818"/>
      <c r="Z203" s="818"/>
    </row>
    <row r="204" spans="1:26" ht="18.75">
      <c r="A204" s="949"/>
      <c r="B204" s="950"/>
      <c r="C204" s="950"/>
      <c r="D204" s="955" t="s">
        <v>101</v>
      </c>
      <c r="E204" s="957"/>
      <c r="F204" s="957"/>
      <c r="G204" s="958"/>
      <c r="H204" s="954" t="s">
        <v>96</v>
      </c>
      <c r="I204" s="830">
        <f ca="1">IFERROR(__xludf.DUMMYFUNCTION("IMPORTRANGE(""https://docs.google.com/spreadsheets/d/1QqKyyYR6Q21VydFLVH3TRQUabQu_ym0Zz7PgGX0-kHA/edit?usp=sharing"",""แผน!AI19"")"),4)</f>
        <v>4</v>
      </c>
      <c r="J204" s="959">
        <v>4</v>
      </c>
      <c r="K204" s="945">
        <f ca="1">IF(I204&gt;0,J204*100/I204,0)</f>
        <v>100</v>
      </c>
      <c r="L204" s="831"/>
      <c r="M204" s="831"/>
      <c r="N204" s="831"/>
      <c r="O204" s="831"/>
      <c r="P204" s="831"/>
      <c r="Q204" s="818"/>
      <c r="R204" s="818"/>
      <c r="S204" s="818"/>
      <c r="T204" s="818"/>
      <c r="U204" s="818"/>
      <c r="V204" s="818"/>
      <c r="W204" s="818"/>
      <c r="X204" s="818"/>
      <c r="Y204" s="818"/>
      <c r="Z204" s="818"/>
    </row>
    <row r="205" spans="1:26" ht="18.75">
      <c r="A205" s="949"/>
      <c r="B205" s="950"/>
      <c r="C205" s="950"/>
      <c r="D205" s="956" t="s">
        <v>59</v>
      </c>
      <c r="E205" s="957"/>
      <c r="F205" s="957"/>
      <c r="G205" s="958"/>
      <c r="H205" s="954"/>
      <c r="I205" s="830"/>
      <c r="J205" s="830"/>
      <c r="K205" s="945"/>
      <c r="L205" s="831"/>
      <c r="M205" s="831"/>
      <c r="N205" s="831"/>
      <c r="O205" s="831"/>
      <c r="P205" s="831"/>
      <c r="Q205" s="818"/>
      <c r="R205" s="818"/>
      <c r="S205" s="818"/>
      <c r="T205" s="818"/>
      <c r="U205" s="818"/>
      <c r="V205" s="818"/>
      <c r="W205" s="818"/>
      <c r="X205" s="818"/>
      <c r="Y205" s="818"/>
      <c r="Z205" s="818"/>
    </row>
    <row r="206" spans="1:26" ht="18.75">
      <c r="A206" s="949"/>
      <c r="B206" s="950"/>
      <c r="C206" s="950"/>
      <c r="D206" s="957"/>
      <c r="E206" s="968" t="s">
        <v>102</v>
      </c>
      <c r="F206" s="1034"/>
      <c r="G206" s="1035"/>
      <c r="H206" s="1036" t="s">
        <v>96</v>
      </c>
      <c r="I206" s="830">
        <v>4</v>
      </c>
      <c r="J206" s="959">
        <v>4</v>
      </c>
      <c r="K206" s="945">
        <f t="shared" ref="K206:K208" si="100">IF(I206&gt;0,J206*100/I206,0)</f>
        <v>100</v>
      </c>
      <c r="L206" s="831"/>
      <c r="M206" s="831"/>
      <c r="N206" s="831"/>
      <c r="O206" s="831"/>
      <c r="P206" s="831"/>
      <c r="Q206" s="818"/>
      <c r="R206" s="818"/>
      <c r="S206" s="818"/>
      <c r="T206" s="818"/>
      <c r="U206" s="818"/>
      <c r="V206" s="818"/>
      <c r="W206" s="818"/>
      <c r="X206" s="818"/>
      <c r="Y206" s="818"/>
      <c r="Z206" s="818"/>
    </row>
    <row r="207" spans="1:26" ht="18.75">
      <c r="A207" s="949"/>
      <c r="B207" s="950"/>
      <c r="C207" s="950"/>
      <c r="D207" s="956"/>
      <c r="E207" s="956" t="s">
        <v>103</v>
      </c>
      <c r="F207" s="957"/>
      <c r="G207" s="957"/>
      <c r="H207" s="290" t="s">
        <v>104</v>
      </c>
      <c r="I207" s="830">
        <v>1</v>
      </c>
      <c r="J207" s="959">
        <v>0</v>
      </c>
      <c r="K207" s="945">
        <f t="shared" si="100"/>
        <v>0</v>
      </c>
      <c r="L207" s="831"/>
      <c r="M207" s="831"/>
      <c r="N207" s="831"/>
      <c r="O207" s="831"/>
      <c r="P207" s="831"/>
      <c r="Q207" s="818"/>
      <c r="R207" s="818"/>
      <c r="S207" s="818"/>
      <c r="T207" s="818"/>
      <c r="U207" s="818"/>
      <c r="V207" s="818"/>
      <c r="W207" s="818"/>
      <c r="X207" s="818"/>
      <c r="Y207" s="818"/>
      <c r="Z207" s="818"/>
    </row>
    <row r="208" spans="1:26" ht="19.5" hidden="1">
      <c r="A208" s="1011"/>
      <c r="B208" s="1018"/>
      <c r="C208" s="1023" t="s">
        <v>105</v>
      </c>
      <c r="D208" s="1012"/>
      <c r="E208" s="1012"/>
      <c r="F208" s="1037"/>
      <c r="G208" s="1014"/>
      <c r="H208" s="278" t="s">
        <v>96</v>
      </c>
      <c r="I208" s="1024">
        <f t="shared" ref="I208:J208" ca="1" si="101">I215</f>
        <v>0</v>
      </c>
      <c r="J208" s="1024">
        <f t="shared" si="101"/>
        <v>0</v>
      </c>
      <c r="K208" s="1025">
        <f t="shared" ca="1" si="100"/>
        <v>0</v>
      </c>
      <c r="L208" s="1016"/>
      <c r="M208" s="1016"/>
      <c r="N208" s="1016"/>
      <c r="O208" s="1016"/>
      <c r="P208" s="1016"/>
    </row>
    <row r="209" spans="1:26" ht="19.5" hidden="1">
      <c r="A209" s="932"/>
      <c r="B209" s="933"/>
      <c r="C209" s="934" t="s">
        <v>16</v>
      </c>
      <c r="D209" s="1026" t="s">
        <v>17</v>
      </c>
      <c r="E209" s="933"/>
      <c r="F209" s="933"/>
      <c r="G209" s="936"/>
      <c r="H209" s="275" t="s">
        <v>12</v>
      </c>
      <c r="I209" s="1028"/>
      <c r="J209" s="1028"/>
      <c r="K209" s="1029"/>
      <c r="L209" s="939">
        <f ca="1">L210+L211+L212</f>
        <v>0</v>
      </c>
      <c r="M209" s="939"/>
      <c r="N209" s="939">
        <f>N210+N211+N212</f>
        <v>0</v>
      </c>
      <c r="O209" s="939">
        <f ca="1">IF(L209&gt;0,N209*100/L209,0)</f>
        <v>0</v>
      </c>
      <c r="P209" s="939">
        <f>IF(M209&gt;0,N209*100/M209,0)</f>
        <v>0</v>
      </c>
      <c r="Q209" s="818"/>
      <c r="R209" s="818"/>
      <c r="S209" s="818"/>
      <c r="T209" s="818"/>
      <c r="U209" s="818"/>
      <c r="V209" s="818"/>
      <c r="W209" s="818"/>
      <c r="X209" s="818"/>
      <c r="Y209" s="818"/>
      <c r="Z209" s="818"/>
    </row>
    <row r="210" spans="1:26" ht="18.75" hidden="1">
      <c r="A210" s="942"/>
      <c r="B210" s="1030"/>
      <c r="C210" s="827"/>
      <c r="D210" s="943" t="s">
        <v>97</v>
      </c>
      <c r="E210" s="827"/>
      <c r="F210" s="827"/>
      <c r="G210" s="829"/>
      <c r="H210" s="778" t="s">
        <v>12</v>
      </c>
      <c r="I210" s="944"/>
      <c r="J210" s="944"/>
      <c r="K210" s="945"/>
      <c r="L210" s="831">
        <f ca="1">IFERROR(__xludf.DUMMYFUNCTION("IMPORTRANGE(""https://docs.google.com/spreadsheets/d/1QqKyyYR6Q21VydFLVH3TRQUabQu_ym0Zz7PgGX0-kHA/edit?usp=sharing"",""แผน!AK19"")"),0)</f>
        <v>0</v>
      </c>
      <c r="M210" s="831"/>
      <c r="N210" s="1031">
        <v>0</v>
      </c>
      <c r="O210" s="831"/>
      <c r="P210" s="831"/>
      <c r="Q210" s="818"/>
      <c r="R210" s="818"/>
      <c r="S210" s="818"/>
      <c r="T210" s="818"/>
      <c r="U210" s="818"/>
      <c r="V210" s="818"/>
      <c r="W210" s="818"/>
      <c r="X210" s="818"/>
      <c r="Y210" s="818"/>
      <c r="Z210" s="818"/>
    </row>
    <row r="211" spans="1:26" ht="19.5" hidden="1">
      <c r="A211" s="1032"/>
      <c r="B211" s="1030"/>
      <c r="C211" s="1038"/>
      <c r="D211" s="943" t="s">
        <v>99</v>
      </c>
      <c r="E211" s="827"/>
      <c r="F211" s="827"/>
      <c r="G211" s="829"/>
      <c r="H211" s="778" t="s">
        <v>12</v>
      </c>
      <c r="I211" s="830"/>
      <c r="J211" s="830"/>
      <c r="K211" s="831"/>
      <c r="L211" s="831">
        <f ca="1">IFERROR(__xludf.DUMMYFUNCTION("IMPORTRANGE(""https://docs.google.com/spreadsheets/d/1QqKyyYR6Q21VydFLVH3TRQUabQu_ym0Zz7PgGX0-kHA/edit?usp=sharing"",""แผน!AL19"")"),0)</f>
        <v>0</v>
      </c>
      <c r="M211" s="831"/>
      <c r="N211" s="1031">
        <v>0</v>
      </c>
      <c r="O211" s="831"/>
      <c r="P211" s="831"/>
      <c r="Q211" s="1033"/>
      <c r="R211" s="1033"/>
      <c r="S211" s="1033"/>
      <c r="T211" s="1033"/>
      <c r="U211" s="1033"/>
      <c r="V211" s="1033"/>
      <c r="W211" s="1033"/>
      <c r="X211" s="1033"/>
      <c r="Y211" s="1033"/>
      <c r="Z211" s="1033"/>
    </row>
    <row r="212" spans="1:26" ht="19.5" hidden="1">
      <c r="A212" s="1032"/>
      <c r="B212" s="1030"/>
      <c r="C212" s="1038"/>
      <c r="D212" s="943" t="s">
        <v>98</v>
      </c>
      <c r="E212" s="827"/>
      <c r="F212" s="827"/>
      <c r="G212" s="829"/>
      <c r="H212" s="778" t="s">
        <v>12</v>
      </c>
      <c r="I212" s="830"/>
      <c r="J212" s="830"/>
      <c r="K212" s="831"/>
      <c r="L212" s="831">
        <f ca="1">IFERROR(__xludf.DUMMYFUNCTION("IMPORTRANGE(""https://docs.google.com/spreadsheets/d/1QqKyyYR6Q21VydFLVH3TRQUabQu_ym0Zz7PgGX0-kHA/edit?usp=sharing"",""แผน!AM19"")"),0)</f>
        <v>0</v>
      </c>
      <c r="M212" s="831"/>
      <c r="N212" s="1031">
        <v>0</v>
      </c>
      <c r="O212" s="831"/>
      <c r="P212" s="831"/>
      <c r="Q212" s="1033"/>
      <c r="R212" s="1033"/>
      <c r="S212" s="1033"/>
      <c r="T212" s="1033"/>
      <c r="U212" s="1033"/>
      <c r="V212" s="1033"/>
      <c r="W212" s="1033"/>
      <c r="X212" s="1033"/>
      <c r="Y212" s="1033"/>
      <c r="Z212" s="1033"/>
    </row>
    <row r="213" spans="1:26" ht="19.5" hidden="1">
      <c r="A213" s="949"/>
      <c r="B213" s="950"/>
      <c r="C213" s="1038" t="s">
        <v>16</v>
      </c>
      <c r="D213" s="951" t="s">
        <v>38</v>
      </c>
      <c r="E213" s="952"/>
      <c r="F213" s="952"/>
      <c r="G213" s="953"/>
      <c r="H213" s="954"/>
      <c r="I213" s="944"/>
      <c r="J213" s="830"/>
      <c r="K213" s="831"/>
      <c r="L213" s="831"/>
      <c r="M213" s="831"/>
      <c r="N213" s="831"/>
      <c r="O213" s="945"/>
      <c r="P213" s="945"/>
      <c r="Q213" s="818"/>
      <c r="R213" s="818"/>
      <c r="S213" s="818"/>
      <c r="T213" s="818"/>
      <c r="U213" s="818"/>
      <c r="V213" s="818"/>
      <c r="W213" s="818"/>
      <c r="X213" s="818"/>
      <c r="Y213" s="818"/>
      <c r="Z213" s="818"/>
    </row>
    <row r="214" spans="1:26" ht="18.75" hidden="1">
      <c r="A214" s="949"/>
      <c r="B214" s="950"/>
      <c r="C214" s="950"/>
      <c r="D214" s="955" t="s">
        <v>106</v>
      </c>
      <c r="E214" s="957"/>
      <c r="F214" s="957"/>
      <c r="G214" s="958"/>
      <c r="H214" s="954" t="s">
        <v>96</v>
      </c>
      <c r="I214" s="830">
        <f ca="1">IFERROR(__xludf.DUMMYFUNCTION("IMPORTRANGE(""https://docs.google.com/spreadsheets/d/1QqKyyYR6Q21VydFLVH3TRQUabQu_ym0Zz7PgGX0-kHA/edit?usp=sharing"",""แผน!AN19"")"),0)</f>
        <v>0</v>
      </c>
      <c r="J214" s="959">
        <v>0</v>
      </c>
      <c r="K214" s="831">
        <f t="shared" ref="K214:K216" ca="1" si="102">IF(I214&gt;0,J214*100/I214,0)</f>
        <v>0</v>
      </c>
      <c r="L214" s="831"/>
      <c r="M214" s="831"/>
      <c r="N214" s="831"/>
      <c r="O214" s="831"/>
      <c r="P214" s="831"/>
      <c r="Q214" s="818"/>
      <c r="R214" s="818"/>
      <c r="S214" s="818"/>
      <c r="T214" s="818"/>
      <c r="U214" s="818"/>
      <c r="V214" s="818"/>
      <c r="W214" s="818"/>
      <c r="X214" s="818"/>
      <c r="Y214" s="818"/>
      <c r="Z214" s="818"/>
    </row>
    <row r="215" spans="1:26" ht="18.75" hidden="1">
      <c r="A215" s="949"/>
      <c r="B215" s="950"/>
      <c r="C215" s="950"/>
      <c r="D215" s="955" t="s">
        <v>107</v>
      </c>
      <c r="E215" s="957"/>
      <c r="F215" s="957"/>
      <c r="G215" s="958"/>
      <c r="H215" s="954" t="s">
        <v>96</v>
      </c>
      <c r="I215" s="830">
        <f ca="1">IFERROR(__xludf.DUMMYFUNCTION("IMPORTRANGE(""https://docs.google.com/spreadsheets/d/1QqKyyYR6Q21VydFLVH3TRQUabQu_ym0Zz7PgGX0-kHA/edit?usp=sharing"",""แผน!AN19"")"),0)</f>
        <v>0</v>
      </c>
      <c r="J215" s="959">
        <v>0</v>
      </c>
      <c r="K215" s="831">
        <f t="shared" ca="1" si="102"/>
        <v>0</v>
      </c>
      <c r="L215" s="831"/>
      <c r="M215" s="831"/>
      <c r="N215" s="831"/>
      <c r="O215" s="831"/>
      <c r="P215" s="831"/>
      <c r="Q215" s="818"/>
      <c r="R215" s="818"/>
      <c r="S215" s="818"/>
      <c r="T215" s="818"/>
      <c r="U215" s="818"/>
      <c r="V215" s="818"/>
      <c r="W215" s="818"/>
      <c r="X215" s="818"/>
      <c r="Y215" s="818"/>
      <c r="Z215" s="818"/>
    </row>
    <row r="216" spans="1:26" ht="19.5">
      <c r="A216" s="1011"/>
      <c r="B216" s="1018"/>
      <c r="C216" s="1023" t="s">
        <v>108</v>
      </c>
      <c r="D216" s="1012"/>
      <c r="E216" s="1012"/>
      <c r="F216" s="1037"/>
      <c r="G216" s="1014"/>
      <c r="H216" s="260" t="s">
        <v>109</v>
      </c>
      <c r="I216" s="1024">
        <f t="shared" ref="I216:J216" ca="1" si="103">I224</f>
        <v>50000</v>
      </c>
      <c r="J216" s="1024">
        <f t="shared" si="103"/>
        <v>0</v>
      </c>
      <c r="K216" s="1025">
        <f t="shared" ca="1" si="102"/>
        <v>0</v>
      </c>
      <c r="L216" s="1016"/>
      <c r="M216" s="1016"/>
      <c r="N216" s="1016"/>
      <c r="O216" s="1016"/>
      <c r="P216" s="1016"/>
    </row>
    <row r="217" spans="1:26" ht="19.5">
      <c r="A217" s="932"/>
      <c r="B217" s="933"/>
      <c r="C217" s="934" t="s">
        <v>16</v>
      </c>
      <c r="D217" s="1026" t="s">
        <v>17</v>
      </c>
      <c r="E217" s="933"/>
      <c r="F217" s="933"/>
      <c r="G217" s="936"/>
      <c r="H217" s="275" t="s">
        <v>12</v>
      </c>
      <c r="I217" s="1028"/>
      <c r="J217" s="1028"/>
      <c r="K217" s="1029"/>
      <c r="L217" s="939">
        <f ca="1">L218+L219+L220</f>
        <v>18500</v>
      </c>
      <c r="M217" s="939"/>
      <c r="N217" s="939">
        <f>N218+N219+N220</f>
        <v>0</v>
      </c>
      <c r="O217" s="939">
        <f ca="1">IF(L217&gt;0,N217*100/L217,0)</f>
        <v>0</v>
      </c>
      <c r="P217" s="939">
        <f>IF(M217&gt;0,N217*100/M217,0)</f>
        <v>0</v>
      </c>
      <c r="Q217" s="818"/>
      <c r="R217" s="818"/>
      <c r="S217" s="818"/>
      <c r="T217" s="818"/>
      <c r="U217" s="818"/>
      <c r="V217" s="818"/>
      <c r="W217" s="818"/>
      <c r="X217" s="818"/>
      <c r="Y217" s="818"/>
      <c r="Z217" s="818"/>
    </row>
    <row r="218" spans="1:26" ht="18.75">
      <c r="A218" s="942"/>
      <c r="B218" s="1030"/>
      <c r="C218" s="827"/>
      <c r="D218" s="943" t="s">
        <v>97</v>
      </c>
      <c r="E218" s="827"/>
      <c r="F218" s="827"/>
      <c r="G218" s="829"/>
      <c r="H218" s="778" t="s">
        <v>12</v>
      </c>
      <c r="I218" s="944"/>
      <c r="J218" s="944"/>
      <c r="K218" s="945"/>
      <c r="L218" s="831">
        <f ca="1">IFERROR(__xludf.DUMMYFUNCTION("IMPORTRANGE(""https://docs.google.com/spreadsheets/d/1QqKyyYR6Q21VydFLVH3TRQUabQu_ym0Zz7PgGX0-kHA/edit?usp=sharing"",""แผน!AP19"")"),5000)</f>
        <v>5000</v>
      </c>
      <c r="M218" s="831"/>
      <c r="N218" s="1031">
        <v>0</v>
      </c>
      <c r="O218" s="831"/>
      <c r="P218" s="831"/>
      <c r="Q218" s="818"/>
      <c r="R218" s="818"/>
      <c r="S218" s="818"/>
      <c r="T218" s="818"/>
      <c r="U218" s="818"/>
      <c r="V218" s="818"/>
      <c r="W218" s="818"/>
      <c r="X218" s="818"/>
      <c r="Y218" s="818"/>
      <c r="Z218" s="818"/>
    </row>
    <row r="219" spans="1:26" ht="19.5">
      <c r="A219" s="1032"/>
      <c r="B219" s="1030"/>
      <c r="C219" s="1038"/>
      <c r="D219" s="943" t="s">
        <v>110</v>
      </c>
      <c r="E219" s="827"/>
      <c r="F219" s="827"/>
      <c r="G219" s="829"/>
      <c r="H219" s="778" t="s">
        <v>12</v>
      </c>
      <c r="I219" s="830"/>
      <c r="J219" s="830"/>
      <c r="K219" s="831"/>
      <c r="L219" s="831">
        <f ca="1">IFERROR(__xludf.DUMMYFUNCTION("IMPORTRANGE(""https://docs.google.com/spreadsheets/d/1QqKyyYR6Q21VydFLVH3TRQUabQu_ym0Zz7PgGX0-kHA/edit?usp=sharing"",""แผน!AQ19"")"),13500)</f>
        <v>13500</v>
      </c>
      <c r="M219" s="831"/>
      <c r="N219" s="1031">
        <v>0</v>
      </c>
      <c r="O219" s="831"/>
      <c r="P219" s="831"/>
      <c r="Q219" s="1033"/>
      <c r="R219" s="1033"/>
      <c r="S219" s="1033"/>
      <c r="T219" s="1033"/>
      <c r="U219" s="1033"/>
      <c r="V219" s="1033"/>
      <c r="W219" s="1033"/>
      <c r="X219" s="1033"/>
      <c r="Y219" s="1033"/>
      <c r="Z219" s="1033"/>
    </row>
    <row r="220" spans="1:26" ht="19.5">
      <c r="A220" s="1032"/>
      <c r="B220" s="1030"/>
      <c r="C220" s="1038"/>
      <c r="D220" s="943" t="s">
        <v>98</v>
      </c>
      <c r="E220" s="827"/>
      <c r="F220" s="827"/>
      <c r="G220" s="829"/>
      <c r="H220" s="778" t="s">
        <v>12</v>
      </c>
      <c r="I220" s="830"/>
      <c r="J220" s="830"/>
      <c r="K220" s="831"/>
      <c r="L220" s="831">
        <f ca="1">IFERROR(__xludf.DUMMYFUNCTION("IMPORTRANGE(""https://docs.google.com/spreadsheets/d/1QqKyyYR6Q21VydFLVH3TRQUabQu_ym0Zz7PgGX0-kHA/edit?usp=sharing"",""แผน!AR19"")"),0)</f>
        <v>0</v>
      </c>
      <c r="M220" s="831"/>
      <c r="N220" s="1031">
        <v>0</v>
      </c>
      <c r="O220" s="831"/>
      <c r="P220" s="831"/>
      <c r="Q220" s="1033"/>
      <c r="R220" s="1033"/>
      <c r="S220" s="1033"/>
      <c r="T220" s="1033"/>
      <c r="U220" s="1033"/>
      <c r="V220" s="1033"/>
      <c r="W220" s="1033"/>
      <c r="X220" s="1033"/>
      <c r="Y220" s="1033"/>
      <c r="Z220" s="1033"/>
    </row>
    <row r="221" spans="1:26" ht="19.5">
      <c r="A221" s="949"/>
      <c r="B221" s="950"/>
      <c r="C221" s="1038" t="s">
        <v>16</v>
      </c>
      <c r="D221" s="951" t="s">
        <v>38</v>
      </c>
      <c r="E221" s="952"/>
      <c r="F221" s="952"/>
      <c r="G221" s="953"/>
      <c r="H221" s="954"/>
      <c r="I221" s="944"/>
      <c r="J221" s="944"/>
      <c r="K221" s="945"/>
      <c r="L221" s="945"/>
      <c r="M221" s="945"/>
      <c r="N221" s="945"/>
      <c r="O221" s="945"/>
      <c r="P221" s="945"/>
      <c r="Q221" s="818"/>
      <c r="R221" s="818"/>
      <c r="S221" s="818"/>
      <c r="T221" s="818"/>
      <c r="U221" s="818"/>
      <c r="V221" s="818"/>
      <c r="W221" s="818"/>
      <c r="X221" s="818"/>
      <c r="Y221" s="818"/>
      <c r="Z221" s="818"/>
    </row>
    <row r="222" spans="1:26" ht="18.75">
      <c r="A222" s="949"/>
      <c r="B222" s="950"/>
      <c r="C222" s="950"/>
      <c r="D222" s="943" t="s">
        <v>111</v>
      </c>
      <c r="E222" s="957"/>
      <c r="F222" s="957"/>
      <c r="G222" s="958"/>
      <c r="H222" s="954"/>
      <c r="I222" s="830"/>
      <c r="J222" s="830"/>
      <c r="K222" s="945"/>
      <c r="L222" s="945"/>
      <c r="M222" s="945"/>
      <c r="N222" s="945"/>
      <c r="O222" s="945"/>
      <c r="P222" s="945"/>
      <c r="Q222" s="818"/>
      <c r="R222" s="818"/>
      <c r="S222" s="818"/>
      <c r="T222" s="818"/>
      <c r="U222" s="818"/>
      <c r="V222" s="818"/>
      <c r="W222" s="818"/>
      <c r="X222" s="818"/>
      <c r="Y222" s="818"/>
      <c r="Z222" s="818"/>
    </row>
    <row r="223" spans="1:26" ht="18.75">
      <c r="A223" s="949"/>
      <c r="B223" s="950"/>
      <c r="C223" s="950"/>
      <c r="D223" s="950"/>
      <c r="E223" s="955" t="s">
        <v>112</v>
      </c>
      <c r="F223" s="957"/>
      <c r="G223" s="958"/>
      <c r="H223" s="730" t="s">
        <v>109</v>
      </c>
      <c r="I223" s="830">
        <f ca="1">IFERROR(__xludf.DUMMYFUNCTION("IMPORTRANGE(""https://docs.google.com/spreadsheets/d/1QqKyyYR6Q21VydFLVH3TRQUabQu_ym0Zz7PgGX0-kHA/edit?usp=sharing"",""แผน!AT19"")"),50000)</f>
        <v>50000</v>
      </c>
      <c r="J223" s="959">
        <v>0</v>
      </c>
      <c r="K223" s="945">
        <f t="shared" ref="K223:K226" ca="1" si="104">IF(I223&gt;0,J223*100/I223,0)</f>
        <v>0</v>
      </c>
      <c r="L223" s="945"/>
      <c r="M223" s="945"/>
      <c r="N223" s="945"/>
      <c r="O223" s="945"/>
      <c r="P223" s="945"/>
      <c r="Q223" s="818"/>
      <c r="R223" s="818"/>
      <c r="S223" s="818"/>
      <c r="T223" s="818"/>
      <c r="U223" s="818"/>
      <c r="V223" s="818"/>
      <c r="W223" s="818"/>
      <c r="X223" s="818"/>
      <c r="Y223" s="818"/>
      <c r="Z223" s="818"/>
    </row>
    <row r="224" spans="1:26" ht="18.75">
      <c r="A224" s="949"/>
      <c r="B224" s="950"/>
      <c r="C224" s="950"/>
      <c r="D224" s="950"/>
      <c r="E224" s="955" t="s">
        <v>113</v>
      </c>
      <c r="F224" s="957"/>
      <c r="G224" s="958"/>
      <c r="H224" s="730" t="s">
        <v>109</v>
      </c>
      <c r="I224" s="830">
        <f ca="1">IFERROR(__xludf.DUMMYFUNCTION("IMPORTRANGE(""https://docs.google.com/spreadsheets/d/1QqKyyYR6Q21VydFLVH3TRQUabQu_ym0Zz7PgGX0-kHA/edit?usp=sharing"",""แผน!AT19"")"),50000)</f>
        <v>50000</v>
      </c>
      <c r="J224" s="959">
        <v>0</v>
      </c>
      <c r="K224" s="945">
        <f t="shared" ca="1" si="104"/>
        <v>0</v>
      </c>
      <c r="L224" s="831"/>
      <c r="M224" s="831"/>
      <c r="N224" s="831"/>
      <c r="O224" s="831"/>
      <c r="P224" s="831"/>
      <c r="Q224" s="818"/>
      <c r="R224" s="818"/>
      <c r="S224" s="818"/>
      <c r="T224" s="818"/>
      <c r="U224" s="818"/>
      <c r="V224" s="818"/>
      <c r="W224" s="818"/>
      <c r="X224" s="818"/>
      <c r="Y224" s="818"/>
      <c r="Z224" s="818"/>
    </row>
    <row r="225" spans="1:26" ht="18.75">
      <c r="A225" s="949"/>
      <c r="B225" s="950"/>
      <c r="C225" s="950"/>
      <c r="D225" s="943" t="s">
        <v>114</v>
      </c>
      <c r="E225" s="957"/>
      <c r="F225" s="957"/>
      <c r="G225" s="958"/>
      <c r="H225" s="730" t="s">
        <v>35</v>
      </c>
      <c r="I225" s="830">
        <f ca="1">IFERROR(__xludf.DUMMYFUNCTION("IMPORTRANGE(""https://docs.google.com/spreadsheets/d/1QqKyyYR6Q21VydFLVH3TRQUabQu_ym0Zz7PgGX0-kHA/edit?usp=sharing"",""แผน!AS19"")"),0)</f>
        <v>0</v>
      </c>
      <c r="J225" s="959">
        <v>0</v>
      </c>
      <c r="K225" s="945">
        <f t="shared" ca="1" si="104"/>
        <v>0</v>
      </c>
      <c r="L225" s="831"/>
      <c r="M225" s="831"/>
      <c r="N225" s="831"/>
      <c r="O225" s="831"/>
      <c r="P225" s="831"/>
      <c r="Q225" s="818"/>
      <c r="R225" s="818"/>
      <c r="S225" s="818"/>
      <c r="T225" s="818"/>
      <c r="U225" s="818"/>
      <c r="V225" s="818"/>
      <c r="W225" s="818"/>
      <c r="X225" s="818"/>
      <c r="Y225" s="818"/>
      <c r="Z225" s="818"/>
    </row>
    <row r="226" spans="1:26" ht="19.5" hidden="1">
      <c r="A226" s="1011"/>
      <c r="B226" s="1018"/>
      <c r="C226" s="1039" t="s">
        <v>115</v>
      </c>
      <c r="D226" s="1012"/>
      <c r="E226" s="1012"/>
      <c r="F226" s="1012"/>
      <c r="G226" s="1014"/>
      <c r="H226" s="266" t="s">
        <v>35</v>
      </c>
      <c r="I226" s="1040">
        <f t="shared" ref="I226:J226" ca="1" si="105">I237+I248</f>
        <v>80</v>
      </c>
      <c r="J226" s="1040">
        <f t="shared" si="105"/>
        <v>80</v>
      </c>
      <c r="K226" s="1041">
        <f t="shared" ca="1" si="104"/>
        <v>100</v>
      </c>
      <c r="L226" s="1016"/>
      <c r="M226" s="1016"/>
      <c r="N226" s="1016"/>
      <c r="O226" s="1016"/>
      <c r="P226" s="1016"/>
    </row>
    <row r="227" spans="1:26" ht="19.5" hidden="1">
      <c r="A227" s="1042"/>
      <c r="B227" s="1043"/>
      <c r="C227" s="1044" t="s">
        <v>16</v>
      </c>
      <c r="D227" s="1045" t="s">
        <v>17</v>
      </c>
      <c r="E227" s="1043"/>
      <c r="F227" s="1043"/>
      <c r="G227" s="1046"/>
      <c r="H227" s="1047" t="s">
        <v>12</v>
      </c>
      <c r="I227" s="1048"/>
      <c r="J227" s="1048"/>
      <c r="K227" s="1049"/>
      <c r="L227" s="1050">
        <f t="shared" ref="L227:L231" ca="1" si="106">L238+L249</f>
        <v>381600</v>
      </c>
      <c r="M227" s="1050"/>
      <c r="N227" s="1050">
        <f t="shared" ref="N227:N231" si="107">N238+N249</f>
        <v>140350</v>
      </c>
      <c r="O227" s="1051"/>
      <c r="P227" s="1051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</row>
    <row r="228" spans="1:26" ht="18.75" hidden="1">
      <c r="A228" s="940"/>
      <c r="B228" s="1052"/>
      <c r="C228" s="833"/>
      <c r="D228" s="834" t="s">
        <v>97</v>
      </c>
      <c r="E228" s="833"/>
      <c r="F228" s="833"/>
      <c r="G228" s="835"/>
      <c r="H228" s="165" t="s">
        <v>12</v>
      </c>
      <c r="I228" s="947"/>
      <c r="J228" s="947"/>
      <c r="K228" s="948"/>
      <c r="L228" s="837">
        <f t="shared" ca="1" si="106"/>
        <v>185000</v>
      </c>
      <c r="M228" s="837"/>
      <c r="N228" s="837">
        <f t="shared" si="107"/>
        <v>66660</v>
      </c>
      <c r="O228" s="837"/>
      <c r="P228" s="837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</row>
    <row r="229" spans="1:26" ht="19.5" hidden="1">
      <c r="A229" s="1053"/>
      <c r="B229" s="1052"/>
      <c r="C229" s="1054"/>
      <c r="D229" s="834" t="s">
        <v>98</v>
      </c>
      <c r="E229" s="833"/>
      <c r="F229" s="833"/>
      <c r="G229" s="835"/>
      <c r="H229" s="165" t="s">
        <v>12</v>
      </c>
      <c r="I229" s="836"/>
      <c r="J229" s="836"/>
      <c r="K229" s="837"/>
      <c r="L229" s="837">
        <f t="shared" ca="1" si="106"/>
        <v>111600</v>
      </c>
      <c r="M229" s="837"/>
      <c r="N229" s="837">
        <f t="shared" si="107"/>
        <v>73690</v>
      </c>
      <c r="O229" s="837"/>
      <c r="P229" s="837"/>
      <c r="Q229" s="1055"/>
      <c r="R229" s="1055"/>
      <c r="S229" s="1055"/>
      <c r="T229" s="1055"/>
      <c r="U229" s="1055"/>
      <c r="V229" s="1055"/>
      <c r="W229" s="1055"/>
      <c r="X229" s="1055"/>
      <c r="Y229" s="1055"/>
      <c r="Z229" s="1055"/>
    </row>
    <row r="230" spans="1:26" ht="19.5" hidden="1">
      <c r="A230" s="1053"/>
      <c r="B230" s="1052"/>
      <c r="C230" s="1054"/>
      <c r="D230" s="834" t="s">
        <v>116</v>
      </c>
      <c r="E230" s="833"/>
      <c r="F230" s="833"/>
      <c r="G230" s="835"/>
      <c r="H230" s="165" t="s">
        <v>12</v>
      </c>
      <c r="I230" s="836"/>
      <c r="J230" s="836"/>
      <c r="K230" s="837"/>
      <c r="L230" s="837">
        <f t="shared" ca="1" si="106"/>
        <v>65000</v>
      </c>
      <c r="M230" s="837"/>
      <c r="N230" s="837">
        <f t="shared" si="107"/>
        <v>0</v>
      </c>
      <c r="O230" s="837"/>
      <c r="P230" s="837"/>
      <c r="Q230" s="1055"/>
      <c r="R230" s="1055"/>
      <c r="S230" s="1055"/>
      <c r="T230" s="1055"/>
      <c r="U230" s="1055"/>
      <c r="V230" s="1055"/>
      <c r="W230" s="1055"/>
      <c r="X230" s="1055"/>
      <c r="Y230" s="1055"/>
      <c r="Z230" s="1055"/>
    </row>
    <row r="231" spans="1:26" ht="19.5" hidden="1">
      <c r="A231" s="1053"/>
      <c r="B231" s="1052"/>
      <c r="C231" s="1054"/>
      <c r="D231" s="834" t="s">
        <v>100</v>
      </c>
      <c r="E231" s="833"/>
      <c r="F231" s="833"/>
      <c r="G231" s="835"/>
      <c r="H231" s="165" t="s">
        <v>12</v>
      </c>
      <c r="I231" s="836"/>
      <c r="J231" s="836"/>
      <c r="K231" s="837"/>
      <c r="L231" s="837">
        <f t="shared" ca="1" si="106"/>
        <v>20000</v>
      </c>
      <c r="M231" s="837"/>
      <c r="N231" s="837">
        <f t="shared" si="107"/>
        <v>0</v>
      </c>
      <c r="O231" s="837"/>
      <c r="P231" s="837"/>
      <c r="Q231" s="1055"/>
      <c r="R231" s="1055"/>
      <c r="S231" s="1055"/>
      <c r="T231" s="1055"/>
      <c r="U231" s="1055"/>
      <c r="V231" s="1055"/>
      <c r="W231" s="1055"/>
      <c r="X231" s="1055"/>
      <c r="Y231" s="1055"/>
      <c r="Z231" s="1055"/>
    </row>
    <row r="232" spans="1:26" ht="19.5" hidden="1">
      <c r="A232" s="1056"/>
      <c r="B232" s="1057"/>
      <c r="C232" s="1054" t="s">
        <v>16</v>
      </c>
      <c r="D232" s="1020" t="s">
        <v>38</v>
      </c>
      <c r="E232" s="1058"/>
      <c r="F232" s="1058"/>
      <c r="G232" s="1059"/>
      <c r="H232" s="1060"/>
      <c r="I232" s="947"/>
      <c r="J232" s="836"/>
      <c r="K232" s="837"/>
      <c r="L232" s="837"/>
      <c r="M232" s="837"/>
      <c r="N232" s="837"/>
      <c r="O232" s="948"/>
      <c r="P232" s="948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</row>
    <row r="233" spans="1:26" ht="18.75" hidden="1">
      <c r="A233" s="1056"/>
      <c r="B233" s="1057"/>
      <c r="C233" s="1057"/>
      <c r="D233" s="1022" t="s">
        <v>117</v>
      </c>
      <c r="E233" s="1061"/>
      <c r="F233" s="1061"/>
      <c r="G233" s="1062"/>
      <c r="H233" s="583" t="s">
        <v>35</v>
      </c>
      <c r="I233" s="836">
        <f t="shared" ref="I233:J233" ca="1" si="108">I244+I255</f>
        <v>80</v>
      </c>
      <c r="J233" s="836">
        <f t="shared" si="108"/>
        <v>80</v>
      </c>
      <c r="K233" s="837">
        <f ca="1">IF(I233&gt;0,J233*100/I233,0)</f>
        <v>100</v>
      </c>
      <c r="L233" s="837"/>
      <c r="M233" s="837"/>
      <c r="N233" s="837"/>
      <c r="O233" s="837"/>
      <c r="P233" s="837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</row>
    <row r="234" spans="1:26" ht="18.75" hidden="1">
      <c r="A234" s="1056"/>
      <c r="B234" s="1057"/>
      <c r="C234" s="1057"/>
      <c r="D234" s="1063" t="s">
        <v>43</v>
      </c>
      <c r="E234" s="1061"/>
      <c r="F234" s="1061"/>
      <c r="G234" s="1062"/>
      <c r="H234" s="583"/>
      <c r="I234" s="836"/>
      <c r="J234" s="836"/>
      <c r="K234" s="837"/>
      <c r="L234" s="837"/>
      <c r="M234" s="837"/>
      <c r="N234" s="837"/>
      <c r="O234" s="948"/>
      <c r="P234" s="948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</row>
    <row r="235" spans="1:26" ht="18.75" hidden="1">
      <c r="A235" s="1056"/>
      <c r="B235" s="1057"/>
      <c r="C235" s="1057"/>
      <c r="D235" s="1057"/>
      <c r="E235" s="1021" t="s">
        <v>118</v>
      </c>
      <c r="F235" s="1061"/>
      <c r="G235" s="1062"/>
      <c r="H235" s="583" t="s">
        <v>35</v>
      </c>
      <c r="I235" s="836">
        <f t="shared" ref="I235:J236" si="109">I246+I257</f>
        <v>80</v>
      </c>
      <c r="J235" s="836">
        <f t="shared" si="109"/>
        <v>0</v>
      </c>
      <c r="K235" s="837">
        <f t="shared" ref="K235:K237" si="110">IF(I235&gt;0,J235*100/I235,0)</f>
        <v>0</v>
      </c>
      <c r="L235" s="837"/>
      <c r="M235" s="837"/>
      <c r="N235" s="837"/>
      <c r="O235" s="837"/>
      <c r="P235" s="837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</row>
    <row r="236" spans="1:26" ht="18.75" hidden="1">
      <c r="A236" s="1056"/>
      <c r="B236" s="1057"/>
      <c r="C236" s="1057"/>
      <c r="D236" s="1057"/>
      <c r="E236" s="1021" t="s">
        <v>119</v>
      </c>
      <c r="F236" s="1061"/>
      <c r="G236" s="1062"/>
      <c r="H236" s="583" t="s">
        <v>66</v>
      </c>
      <c r="I236" s="836">
        <f t="shared" si="109"/>
        <v>2</v>
      </c>
      <c r="J236" s="836">
        <f t="shared" si="109"/>
        <v>0</v>
      </c>
      <c r="K236" s="837">
        <f t="shared" si="110"/>
        <v>0</v>
      </c>
      <c r="L236" s="837"/>
      <c r="M236" s="837"/>
      <c r="N236" s="837"/>
      <c r="O236" s="837"/>
      <c r="P236" s="837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</row>
    <row r="237" spans="1:26" ht="19.5">
      <c r="A237" s="1011"/>
      <c r="B237" s="1018"/>
      <c r="C237" s="1023" t="s">
        <v>340</v>
      </c>
      <c r="D237" s="1012"/>
      <c r="E237" s="1012"/>
      <c r="F237" s="1012"/>
      <c r="G237" s="1014"/>
      <c r="H237" s="260" t="s">
        <v>35</v>
      </c>
      <c r="I237" s="1024">
        <f t="shared" ref="I237:J237" ca="1" si="111">I244</f>
        <v>40</v>
      </c>
      <c r="J237" s="1024">
        <f t="shared" si="111"/>
        <v>40</v>
      </c>
      <c r="K237" s="1025">
        <f t="shared" ca="1" si="110"/>
        <v>100</v>
      </c>
      <c r="L237" s="1016"/>
      <c r="M237" s="1016"/>
      <c r="N237" s="1016"/>
      <c r="O237" s="1016"/>
      <c r="P237" s="1016"/>
    </row>
    <row r="238" spans="1:26" ht="19.5">
      <c r="A238" s="932"/>
      <c r="B238" s="933"/>
      <c r="C238" s="934" t="s">
        <v>16</v>
      </c>
      <c r="D238" s="935" t="s">
        <v>17</v>
      </c>
      <c r="E238" s="933"/>
      <c r="F238" s="933"/>
      <c r="G238" s="936"/>
      <c r="H238" s="275" t="s">
        <v>12</v>
      </c>
      <c r="I238" s="1028"/>
      <c r="J238" s="1028"/>
      <c r="K238" s="1029"/>
      <c r="L238" s="939">
        <f ca="1">L239+L240+L241+L242</f>
        <v>104000</v>
      </c>
      <c r="M238" s="939"/>
      <c r="N238" s="939">
        <f>N239+N240+N241+N242</f>
        <v>43440</v>
      </c>
      <c r="O238" s="939">
        <f ca="1">IF(L238&gt;0,N238*100/L238,0)</f>
        <v>41.769230769230766</v>
      </c>
      <c r="P238" s="939">
        <f>IF(M238&gt;0,N238*100/M238,0)</f>
        <v>0</v>
      </c>
      <c r="Q238" s="818"/>
      <c r="R238" s="818"/>
      <c r="S238" s="818"/>
      <c r="T238" s="818"/>
      <c r="U238" s="818"/>
      <c r="V238" s="818"/>
      <c r="W238" s="818"/>
      <c r="X238" s="818"/>
      <c r="Y238" s="818"/>
      <c r="Z238" s="818"/>
    </row>
    <row r="239" spans="1:26" ht="18.75">
      <c r="A239" s="1064"/>
      <c r="B239" s="1065"/>
      <c r="C239" s="1066"/>
      <c r="D239" s="1067" t="s">
        <v>97</v>
      </c>
      <c r="E239" s="1066"/>
      <c r="F239" s="1066"/>
      <c r="G239" s="1068"/>
      <c r="H239" s="319" t="s">
        <v>12</v>
      </c>
      <c r="I239" s="1069"/>
      <c r="J239" s="1069"/>
      <c r="K239" s="1070"/>
      <c r="L239" s="1071">
        <f ca="1">IFERROR(__xludf.DUMMYFUNCTION("IMPORTRANGE(""https://docs.google.com/spreadsheets/d/1QqKyyYR6Q21VydFLVH3TRQUabQu_ym0Zz7PgGX0-kHA/edit?usp=sharing"",""แผน!AV19"")"),20000)</f>
        <v>20000</v>
      </c>
      <c r="M239" s="1071"/>
      <c r="N239" s="1072">
        <v>4120</v>
      </c>
      <c r="O239" s="1071"/>
      <c r="P239" s="1071"/>
      <c r="Q239" s="1073"/>
      <c r="R239" s="1073"/>
      <c r="S239" s="1073"/>
      <c r="T239" s="1073"/>
      <c r="U239" s="1073"/>
      <c r="V239" s="1073"/>
      <c r="W239" s="1073"/>
      <c r="X239" s="1073"/>
      <c r="Y239" s="1073"/>
      <c r="Z239" s="1073"/>
    </row>
    <row r="240" spans="1:26" ht="19.5">
      <c r="A240" s="1074"/>
      <c r="B240" s="1065"/>
      <c r="C240" s="1075"/>
      <c r="D240" s="1067" t="s">
        <v>98</v>
      </c>
      <c r="E240" s="1066"/>
      <c r="F240" s="1066"/>
      <c r="G240" s="1068"/>
      <c r="H240" s="319" t="s">
        <v>12</v>
      </c>
      <c r="I240" s="1076"/>
      <c r="J240" s="1076"/>
      <c r="K240" s="1071"/>
      <c r="L240" s="1071">
        <f ca="1">IFERROR(__xludf.DUMMYFUNCTION("IMPORTRANGE(""https://docs.google.com/spreadsheets/d/1QqKyyYR6Q21VydFLVH3TRQUabQu_ym0Zz7PgGX0-kHA/edit?usp=sharing"",""แผน!AW19"")"),54000)</f>
        <v>54000</v>
      </c>
      <c r="M240" s="1071"/>
      <c r="N240" s="1072">
        <v>39320</v>
      </c>
      <c r="O240" s="1071"/>
      <c r="P240" s="1071"/>
      <c r="Q240" s="1077"/>
      <c r="R240" s="1077"/>
      <c r="S240" s="1077"/>
      <c r="T240" s="1077"/>
      <c r="U240" s="1077"/>
      <c r="V240" s="1077"/>
      <c r="W240" s="1077"/>
      <c r="X240" s="1077"/>
      <c r="Y240" s="1077"/>
      <c r="Z240" s="1077"/>
    </row>
    <row r="241" spans="1:26" ht="19.5">
      <c r="A241" s="1074"/>
      <c r="B241" s="1065"/>
      <c r="C241" s="1075"/>
      <c r="D241" s="1067" t="s">
        <v>116</v>
      </c>
      <c r="E241" s="1066"/>
      <c r="F241" s="1066"/>
      <c r="G241" s="1068"/>
      <c r="H241" s="319" t="s">
        <v>12</v>
      </c>
      <c r="I241" s="1076"/>
      <c r="J241" s="1076"/>
      <c r="K241" s="1071"/>
      <c r="L241" s="1071">
        <f ca="1">IFERROR(__xludf.DUMMYFUNCTION("IMPORTRANGE(""https://docs.google.com/spreadsheets/d/1QqKyyYR6Q21VydFLVH3TRQUabQu_ym0Zz7PgGX0-kHA/edit?usp=sharing"",""แผน!AX19"")"),20000)</f>
        <v>20000</v>
      </c>
      <c r="M241" s="1071"/>
      <c r="N241" s="1072">
        <v>0</v>
      </c>
      <c r="O241" s="1071"/>
      <c r="P241" s="1071"/>
      <c r="Q241" s="1077"/>
      <c r="R241" s="1077"/>
      <c r="S241" s="1077"/>
      <c r="T241" s="1077"/>
      <c r="U241" s="1077"/>
      <c r="V241" s="1077"/>
      <c r="W241" s="1077"/>
      <c r="X241" s="1077"/>
      <c r="Y241" s="1077"/>
      <c r="Z241" s="1077"/>
    </row>
    <row r="242" spans="1:26" ht="19.5">
      <c r="A242" s="1074"/>
      <c r="B242" s="1065"/>
      <c r="C242" s="1075"/>
      <c r="D242" s="1067" t="s">
        <v>100</v>
      </c>
      <c r="E242" s="1066"/>
      <c r="F242" s="1066"/>
      <c r="G242" s="1068"/>
      <c r="H242" s="319" t="s">
        <v>12</v>
      </c>
      <c r="I242" s="1076"/>
      <c r="J242" s="1076"/>
      <c r="K242" s="1071"/>
      <c r="L242" s="1071">
        <f ca="1">IFERROR(__xludf.DUMMYFUNCTION("IMPORTRANGE(""https://docs.google.com/spreadsheets/d/1QqKyyYR6Q21VydFLVH3TRQUabQu_ym0Zz7PgGX0-kHA/edit?usp=sharing"",""แผน!AY19"")"),10000)</f>
        <v>10000</v>
      </c>
      <c r="M242" s="1071"/>
      <c r="N242" s="1072">
        <v>0</v>
      </c>
      <c r="O242" s="1071"/>
      <c r="P242" s="1071"/>
      <c r="Q242" s="1077"/>
      <c r="R242" s="1077"/>
      <c r="S242" s="1077"/>
      <c r="T242" s="1077"/>
      <c r="U242" s="1077"/>
      <c r="V242" s="1077"/>
      <c r="W242" s="1077"/>
      <c r="X242" s="1077"/>
      <c r="Y242" s="1077"/>
      <c r="Z242" s="1077"/>
    </row>
    <row r="243" spans="1:26" ht="19.5">
      <c r="A243" s="949"/>
      <c r="B243" s="950"/>
      <c r="C243" s="1038" t="s">
        <v>16</v>
      </c>
      <c r="D243" s="951" t="s">
        <v>38</v>
      </c>
      <c r="E243" s="952"/>
      <c r="F243" s="952"/>
      <c r="G243" s="953"/>
      <c r="H243" s="954"/>
      <c r="I243" s="944"/>
      <c r="J243" s="830"/>
      <c r="K243" s="831"/>
      <c r="L243" s="831"/>
      <c r="M243" s="831"/>
      <c r="N243" s="831"/>
      <c r="O243" s="945"/>
      <c r="P243" s="945"/>
      <c r="Q243" s="818"/>
      <c r="R243" s="818"/>
      <c r="S243" s="818"/>
      <c r="T243" s="818"/>
      <c r="U243" s="818"/>
      <c r="V243" s="818"/>
      <c r="W243" s="818"/>
      <c r="X243" s="818"/>
      <c r="Y243" s="818"/>
      <c r="Z243" s="818"/>
    </row>
    <row r="244" spans="1:26" ht="18.75">
      <c r="A244" s="949"/>
      <c r="B244" s="950"/>
      <c r="C244" s="950"/>
      <c r="D244" s="956" t="s">
        <v>117</v>
      </c>
      <c r="E244" s="957"/>
      <c r="F244" s="957"/>
      <c r="G244" s="958"/>
      <c r="H244" s="730" t="s">
        <v>35</v>
      </c>
      <c r="I244" s="830">
        <f ca="1">IFERROR(__xludf.DUMMYFUNCTION("IMPORTRANGE(""https://docs.google.com/spreadsheets/d/1QqKyyYR6Q21VydFLVH3TRQUabQu_ym0Zz7PgGX0-kHA/edit?usp=sharing"",""แผน!BE19"")"),40)</f>
        <v>40</v>
      </c>
      <c r="J244" s="959">
        <v>40</v>
      </c>
      <c r="K244" s="831">
        <f ca="1">IF(I244&gt;0,J244*100/I244,0)</f>
        <v>100</v>
      </c>
      <c r="L244" s="831"/>
      <c r="M244" s="831"/>
      <c r="N244" s="831"/>
      <c r="O244" s="831"/>
      <c r="P244" s="831"/>
      <c r="Q244" s="818"/>
      <c r="R244" s="818"/>
      <c r="S244" s="818"/>
      <c r="T244" s="818"/>
      <c r="U244" s="818"/>
      <c r="V244" s="818"/>
      <c r="W244" s="818"/>
      <c r="X244" s="818"/>
      <c r="Y244" s="818"/>
      <c r="Z244" s="818"/>
    </row>
    <row r="245" spans="1:26" ht="18.75">
      <c r="A245" s="949"/>
      <c r="B245" s="950"/>
      <c r="C245" s="950"/>
      <c r="D245" s="1078" t="s">
        <v>43</v>
      </c>
      <c r="E245" s="957"/>
      <c r="F245" s="957"/>
      <c r="G245" s="958"/>
      <c r="H245" s="730"/>
      <c r="I245" s="830"/>
      <c r="J245" s="830"/>
      <c r="K245" s="831"/>
      <c r="L245" s="831"/>
      <c r="M245" s="831"/>
      <c r="N245" s="831"/>
      <c r="O245" s="945"/>
      <c r="P245" s="945"/>
      <c r="Q245" s="818"/>
      <c r="R245" s="818"/>
      <c r="S245" s="818"/>
      <c r="T245" s="818"/>
      <c r="U245" s="818"/>
      <c r="V245" s="818"/>
      <c r="W245" s="818"/>
      <c r="X245" s="818"/>
      <c r="Y245" s="818"/>
      <c r="Z245" s="818"/>
    </row>
    <row r="246" spans="1:26" ht="18.75">
      <c r="A246" s="949"/>
      <c r="B246" s="950"/>
      <c r="C246" s="950"/>
      <c r="D246" s="950"/>
      <c r="E246" s="955" t="s">
        <v>118</v>
      </c>
      <c r="F246" s="957"/>
      <c r="G246" s="958"/>
      <c r="H246" s="730" t="s">
        <v>35</v>
      </c>
      <c r="I246" s="830">
        <v>40</v>
      </c>
      <c r="J246" s="959">
        <v>0</v>
      </c>
      <c r="K246" s="831">
        <f t="shared" ref="K246:K248" si="112">IF(I246&gt;0,J246*100/I246,0)</f>
        <v>0</v>
      </c>
      <c r="L246" s="831"/>
      <c r="M246" s="831"/>
      <c r="N246" s="831"/>
      <c r="O246" s="831"/>
      <c r="P246" s="831"/>
      <c r="Q246" s="818"/>
      <c r="R246" s="818"/>
      <c r="S246" s="818"/>
      <c r="T246" s="818"/>
      <c r="U246" s="818"/>
      <c r="V246" s="818"/>
      <c r="W246" s="818"/>
      <c r="X246" s="818"/>
      <c r="Y246" s="818"/>
      <c r="Z246" s="818"/>
    </row>
    <row r="247" spans="1:26" ht="18.75">
      <c r="A247" s="949"/>
      <c r="B247" s="950"/>
      <c r="C247" s="950"/>
      <c r="D247" s="950"/>
      <c r="E247" s="955" t="s">
        <v>119</v>
      </c>
      <c r="F247" s="957"/>
      <c r="G247" s="958"/>
      <c r="H247" s="730" t="s">
        <v>66</v>
      </c>
      <c r="I247" s="830">
        <v>1</v>
      </c>
      <c r="J247" s="959">
        <v>0</v>
      </c>
      <c r="K247" s="831">
        <f t="shared" si="112"/>
        <v>0</v>
      </c>
      <c r="L247" s="831"/>
      <c r="M247" s="831"/>
      <c r="N247" s="831"/>
      <c r="O247" s="831"/>
      <c r="P247" s="831"/>
      <c r="Q247" s="818"/>
      <c r="R247" s="818"/>
      <c r="S247" s="818"/>
      <c r="T247" s="818"/>
      <c r="U247" s="818"/>
      <c r="V247" s="818"/>
      <c r="W247" s="818"/>
      <c r="X247" s="818"/>
      <c r="Y247" s="818"/>
      <c r="Z247" s="818"/>
    </row>
    <row r="248" spans="1:26" ht="19.5">
      <c r="A248" s="1011"/>
      <c r="B248" s="1018"/>
      <c r="C248" s="1023" t="s">
        <v>341</v>
      </c>
      <c r="D248" s="1012"/>
      <c r="E248" s="1012"/>
      <c r="F248" s="1012"/>
      <c r="G248" s="1014"/>
      <c r="H248" s="260" t="s">
        <v>35</v>
      </c>
      <c r="I248" s="1024">
        <f t="shared" ref="I248:J248" ca="1" si="113">I255</f>
        <v>40</v>
      </c>
      <c r="J248" s="1024">
        <f t="shared" si="113"/>
        <v>40</v>
      </c>
      <c r="K248" s="1025">
        <f t="shared" ca="1" si="112"/>
        <v>100</v>
      </c>
      <c r="L248" s="1016"/>
      <c r="M248" s="1016"/>
      <c r="N248" s="1016"/>
      <c r="O248" s="1016"/>
      <c r="P248" s="1016"/>
    </row>
    <row r="249" spans="1:26" ht="19.5">
      <c r="A249" s="932"/>
      <c r="B249" s="933"/>
      <c r="C249" s="934" t="s">
        <v>16</v>
      </c>
      <c r="D249" s="1026" t="s">
        <v>17</v>
      </c>
      <c r="E249" s="933"/>
      <c r="F249" s="933"/>
      <c r="G249" s="936"/>
      <c r="H249" s="275" t="s">
        <v>12</v>
      </c>
      <c r="I249" s="1028"/>
      <c r="J249" s="1028"/>
      <c r="K249" s="1029"/>
      <c r="L249" s="939">
        <f ca="1">L250+L251+L252+L253</f>
        <v>277600</v>
      </c>
      <c r="M249" s="939"/>
      <c r="N249" s="939">
        <f>N250+N251+N252+N253</f>
        <v>96910</v>
      </c>
      <c r="O249" s="939">
        <f ca="1">IF(L249&gt;0,N249*100/L249,0)</f>
        <v>34.909942363112393</v>
      </c>
      <c r="P249" s="939">
        <f>IF(M249&gt;0,N249*100/M249,0)</f>
        <v>0</v>
      </c>
      <c r="Q249" s="818"/>
      <c r="R249" s="818"/>
      <c r="S249" s="818"/>
      <c r="T249" s="818"/>
      <c r="U249" s="818"/>
      <c r="V249" s="818"/>
      <c r="W249" s="818"/>
      <c r="X249" s="818"/>
      <c r="Y249" s="818"/>
      <c r="Z249" s="818"/>
    </row>
    <row r="250" spans="1:26" ht="18.75">
      <c r="A250" s="1064"/>
      <c r="B250" s="1065"/>
      <c r="C250" s="1066"/>
      <c r="D250" s="1067" t="s">
        <v>97</v>
      </c>
      <c r="E250" s="1066"/>
      <c r="F250" s="1066"/>
      <c r="G250" s="1068"/>
      <c r="H250" s="319" t="s">
        <v>12</v>
      </c>
      <c r="I250" s="1069"/>
      <c r="J250" s="1069"/>
      <c r="K250" s="1070"/>
      <c r="L250" s="1071">
        <f ca="1">IFERROR(__xludf.DUMMYFUNCTION("IMPORTRANGE(""https://docs.google.com/spreadsheets/d/1QqKyyYR6Q21VydFLVH3TRQUabQu_ym0Zz7PgGX0-kHA/edit?usp=sharing"",""แผน!AZ19"")"),165000)</f>
        <v>165000</v>
      </c>
      <c r="M250" s="1071"/>
      <c r="N250" s="1072">
        <v>62540</v>
      </c>
      <c r="O250" s="1071"/>
      <c r="P250" s="1071"/>
      <c r="Q250" s="1073"/>
      <c r="R250" s="1073"/>
      <c r="S250" s="1073"/>
      <c r="T250" s="1073"/>
      <c r="U250" s="1073"/>
      <c r="V250" s="1073"/>
      <c r="W250" s="1073"/>
      <c r="X250" s="1073"/>
      <c r="Y250" s="1073"/>
      <c r="Z250" s="1073"/>
    </row>
    <row r="251" spans="1:26" ht="19.5">
      <c r="A251" s="1074"/>
      <c r="B251" s="1065"/>
      <c r="C251" s="1075"/>
      <c r="D251" s="1067" t="s">
        <v>98</v>
      </c>
      <c r="E251" s="1066"/>
      <c r="F251" s="1066"/>
      <c r="G251" s="1068"/>
      <c r="H251" s="319" t="s">
        <v>12</v>
      </c>
      <c r="I251" s="1076"/>
      <c r="J251" s="1076"/>
      <c r="K251" s="1071"/>
      <c r="L251" s="1071">
        <f ca="1">IFERROR(__xludf.DUMMYFUNCTION("IMPORTRANGE(""https://docs.google.com/spreadsheets/d/1QqKyyYR6Q21VydFLVH3TRQUabQu_ym0Zz7PgGX0-kHA/edit?usp=sharing"",""แผน!BA19"")"),57600)</f>
        <v>57600</v>
      </c>
      <c r="M251" s="1071"/>
      <c r="N251" s="1072">
        <v>34370</v>
      </c>
      <c r="O251" s="1071"/>
      <c r="P251" s="1071"/>
      <c r="Q251" s="1077"/>
      <c r="R251" s="1077"/>
      <c r="S251" s="1077"/>
      <c r="T251" s="1077"/>
      <c r="U251" s="1077"/>
      <c r="V251" s="1077"/>
      <c r="W251" s="1077"/>
      <c r="X251" s="1077"/>
      <c r="Y251" s="1077"/>
      <c r="Z251" s="1077"/>
    </row>
    <row r="252" spans="1:26" ht="19.5">
      <c r="A252" s="1074"/>
      <c r="B252" s="1065"/>
      <c r="C252" s="1075"/>
      <c r="D252" s="1067" t="s">
        <v>116</v>
      </c>
      <c r="E252" s="1066"/>
      <c r="F252" s="1066"/>
      <c r="G252" s="1068"/>
      <c r="H252" s="319" t="s">
        <v>12</v>
      </c>
      <c r="I252" s="1076"/>
      <c r="J252" s="1076"/>
      <c r="K252" s="1071"/>
      <c r="L252" s="1071">
        <f ca="1">IFERROR(__xludf.DUMMYFUNCTION("IMPORTRANGE(""https://docs.google.com/spreadsheets/d/1QqKyyYR6Q21VydFLVH3TRQUabQu_ym0Zz7PgGX0-kHA/edit?usp=sharing"",""แผน!BB19"")"),45000)</f>
        <v>45000</v>
      </c>
      <c r="M252" s="1071"/>
      <c r="N252" s="1072">
        <v>0</v>
      </c>
      <c r="O252" s="1071"/>
      <c r="P252" s="1071"/>
      <c r="Q252" s="1077"/>
      <c r="R252" s="1077"/>
      <c r="S252" s="1077"/>
      <c r="T252" s="1077"/>
      <c r="U252" s="1077"/>
      <c r="V252" s="1077"/>
      <c r="W252" s="1077"/>
      <c r="X252" s="1077"/>
      <c r="Y252" s="1077"/>
      <c r="Z252" s="1077"/>
    </row>
    <row r="253" spans="1:26" ht="19.5">
      <c r="A253" s="1074"/>
      <c r="B253" s="1065"/>
      <c r="C253" s="1075"/>
      <c r="D253" s="1067" t="s">
        <v>100</v>
      </c>
      <c r="E253" s="1066"/>
      <c r="F253" s="1066"/>
      <c r="G253" s="1068"/>
      <c r="H253" s="319" t="s">
        <v>12</v>
      </c>
      <c r="I253" s="1076"/>
      <c r="J253" s="1076"/>
      <c r="K253" s="1071"/>
      <c r="L253" s="1071">
        <f ca="1">IFERROR(__xludf.DUMMYFUNCTION("IMPORTRANGE(""https://docs.google.com/spreadsheets/d/1QqKyyYR6Q21VydFLVH3TRQUabQu_ym0Zz7PgGX0-kHA/edit?usp=sharing"",""แผน!BC19"")"),10000)</f>
        <v>10000</v>
      </c>
      <c r="M253" s="1071"/>
      <c r="N253" s="1072">
        <v>0</v>
      </c>
      <c r="O253" s="1071"/>
      <c r="P253" s="1071"/>
      <c r="Q253" s="1077"/>
      <c r="R253" s="1077"/>
      <c r="S253" s="1077"/>
      <c r="T253" s="1077"/>
      <c r="U253" s="1077"/>
      <c r="V253" s="1077"/>
      <c r="W253" s="1077"/>
      <c r="X253" s="1077"/>
      <c r="Y253" s="1077"/>
      <c r="Z253" s="1077"/>
    </row>
    <row r="254" spans="1:26" ht="19.5">
      <c r="A254" s="949"/>
      <c r="B254" s="950"/>
      <c r="C254" s="1038" t="s">
        <v>16</v>
      </c>
      <c r="D254" s="951" t="s">
        <v>38</v>
      </c>
      <c r="E254" s="952"/>
      <c r="F254" s="952"/>
      <c r="G254" s="953"/>
      <c r="H254" s="954"/>
      <c r="I254" s="944"/>
      <c r="J254" s="830"/>
      <c r="K254" s="831"/>
      <c r="L254" s="831"/>
      <c r="M254" s="831"/>
      <c r="N254" s="831"/>
      <c r="O254" s="945"/>
      <c r="P254" s="945"/>
      <c r="Q254" s="818"/>
      <c r="R254" s="818"/>
      <c r="S254" s="818"/>
      <c r="T254" s="818"/>
      <c r="U254" s="818"/>
      <c r="V254" s="818"/>
      <c r="W254" s="818"/>
      <c r="X254" s="818"/>
      <c r="Y254" s="818"/>
      <c r="Z254" s="818"/>
    </row>
    <row r="255" spans="1:26" ht="18.75">
      <c r="A255" s="949"/>
      <c r="B255" s="950"/>
      <c r="C255" s="950"/>
      <c r="D255" s="956" t="s">
        <v>117</v>
      </c>
      <c r="E255" s="957"/>
      <c r="F255" s="957"/>
      <c r="G255" s="958"/>
      <c r="H255" s="730" t="s">
        <v>35</v>
      </c>
      <c r="I255" s="830">
        <f ca="1">IFERROR(__xludf.DUMMYFUNCTION("IMPORTRANGE(""https://docs.google.com/spreadsheets/d/1QqKyyYR6Q21VydFLVH3TRQUabQu_ym0Zz7PgGX0-kHA/edit?usp=sharing"",""แผน!BF19"")"),40)</f>
        <v>40</v>
      </c>
      <c r="J255" s="959">
        <v>40</v>
      </c>
      <c r="K255" s="831">
        <f ca="1">IF(I255&gt;0,J255*100/I255,0)</f>
        <v>100</v>
      </c>
      <c r="L255" s="831"/>
      <c r="M255" s="831"/>
      <c r="N255" s="831"/>
      <c r="O255" s="831"/>
      <c r="P255" s="831"/>
      <c r="Q255" s="818"/>
      <c r="R255" s="818"/>
      <c r="S255" s="818"/>
      <c r="T255" s="818"/>
      <c r="U255" s="818"/>
      <c r="V255" s="818"/>
      <c r="W255" s="818"/>
      <c r="X255" s="818"/>
      <c r="Y255" s="818"/>
      <c r="Z255" s="818"/>
    </row>
    <row r="256" spans="1:26" ht="18.75">
      <c r="A256" s="949"/>
      <c r="B256" s="950"/>
      <c r="C256" s="950"/>
      <c r="D256" s="1078" t="s">
        <v>43</v>
      </c>
      <c r="E256" s="957"/>
      <c r="F256" s="957"/>
      <c r="G256" s="958"/>
      <c r="H256" s="730"/>
      <c r="I256" s="830"/>
      <c r="J256" s="830"/>
      <c r="K256" s="831"/>
      <c r="L256" s="831"/>
      <c r="M256" s="831"/>
      <c r="N256" s="831"/>
      <c r="O256" s="945"/>
      <c r="P256" s="945"/>
      <c r="Q256" s="818"/>
      <c r="R256" s="818"/>
      <c r="S256" s="818"/>
      <c r="T256" s="818"/>
      <c r="U256" s="818"/>
      <c r="V256" s="818"/>
      <c r="W256" s="818"/>
      <c r="X256" s="818"/>
      <c r="Y256" s="818"/>
      <c r="Z256" s="818"/>
    </row>
    <row r="257" spans="1:26" ht="18.75">
      <c r="A257" s="949"/>
      <c r="B257" s="950"/>
      <c r="C257" s="950"/>
      <c r="D257" s="950"/>
      <c r="E257" s="955" t="s">
        <v>118</v>
      </c>
      <c r="F257" s="957"/>
      <c r="G257" s="958"/>
      <c r="H257" s="730" t="s">
        <v>35</v>
      </c>
      <c r="I257" s="830">
        <v>40</v>
      </c>
      <c r="J257" s="959">
        <v>0</v>
      </c>
      <c r="K257" s="831">
        <f t="shared" ref="K257:K258" si="114">IF(I257&gt;0,J257*100/I257,0)</f>
        <v>0</v>
      </c>
      <c r="L257" s="831"/>
      <c r="M257" s="831"/>
      <c r="N257" s="831"/>
      <c r="O257" s="831"/>
      <c r="P257" s="831"/>
      <c r="Q257" s="818"/>
      <c r="R257" s="818"/>
      <c r="S257" s="818"/>
      <c r="T257" s="818"/>
      <c r="U257" s="818"/>
      <c r="V257" s="818"/>
      <c r="W257" s="818"/>
      <c r="X257" s="818"/>
      <c r="Y257" s="818"/>
      <c r="Z257" s="818"/>
    </row>
    <row r="258" spans="1:26" ht="18.75">
      <c r="A258" s="949"/>
      <c r="B258" s="950"/>
      <c r="C258" s="950"/>
      <c r="D258" s="950"/>
      <c r="E258" s="955" t="s">
        <v>119</v>
      </c>
      <c r="F258" s="957"/>
      <c r="G258" s="958"/>
      <c r="H258" s="730" t="s">
        <v>66</v>
      </c>
      <c r="I258" s="830">
        <v>1</v>
      </c>
      <c r="J258" s="959">
        <v>0</v>
      </c>
      <c r="K258" s="831">
        <f t="shared" si="114"/>
        <v>0</v>
      </c>
      <c r="L258" s="831"/>
      <c r="M258" s="831"/>
      <c r="N258" s="831"/>
      <c r="O258" s="831"/>
      <c r="P258" s="831"/>
      <c r="Q258" s="818"/>
      <c r="R258" s="818"/>
      <c r="S258" s="818"/>
      <c r="T258" s="818"/>
      <c r="U258" s="818"/>
      <c r="V258" s="818"/>
      <c r="W258" s="818"/>
      <c r="X258" s="818"/>
      <c r="Y258" s="818"/>
      <c r="Z258" s="818"/>
    </row>
    <row r="259" spans="1:26" ht="19.5">
      <c r="A259" s="998" t="s">
        <v>122</v>
      </c>
      <c r="B259" s="999"/>
      <c r="C259" s="999"/>
      <c r="D259" s="1000"/>
      <c r="E259" s="1000"/>
      <c r="F259" s="1000"/>
      <c r="G259" s="1001"/>
      <c r="H259" s="1002"/>
      <c r="I259" s="1003"/>
      <c r="J259" s="1003"/>
      <c r="K259" s="1004"/>
      <c r="L259" s="1004"/>
      <c r="M259" s="1004"/>
      <c r="N259" s="1004"/>
      <c r="O259" s="1004"/>
      <c r="P259" s="1004"/>
    </row>
    <row r="260" spans="1:26" ht="19.5">
      <c r="A260" s="1005"/>
      <c r="B260" s="1006" t="s">
        <v>123</v>
      </c>
      <c r="C260" s="1007"/>
      <c r="D260" s="952"/>
      <c r="E260" s="952"/>
      <c r="F260" s="952"/>
      <c r="G260" s="953"/>
      <c r="H260" s="252" t="s">
        <v>35</v>
      </c>
      <c r="I260" s="1008">
        <f t="shared" ref="I260:J260" ca="1" si="115">I271</f>
        <v>22</v>
      </c>
      <c r="J260" s="1008">
        <f t="shared" si="115"/>
        <v>22</v>
      </c>
      <c r="K260" s="1009">
        <f ca="1">IF(I260&gt;0,J260*100/I260,0)</f>
        <v>100</v>
      </c>
      <c r="L260" s="1010"/>
      <c r="M260" s="1010"/>
      <c r="N260" s="1010"/>
      <c r="O260" s="1010"/>
      <c r="P260" s="1010"/>
    </row>
    <row r="261" spans="1:26" ht="19.5">
      <c r="A261" s="932"/>
      <c r="B261" s="933"/>
      <c r="C261" s="934" t="s">
        <v>16</v>
      </c>
      <c r="D261" s="935" t="s">
        <v>17</v>
      </c>
      <c r="E261" s="933"/>
      <c r="F261" s="933"/>
      <c r="G261" s="936"/>
      <c r="H261" s="152" t="s">
        <v>12</v>
      </c>
      <c r="I261" s="937"/>
      <c r="J261" s="937"/>
      <c r="K261" s="938"/>
      <c r="L261" s="939">
        <f t="shared" ref="L261:N261" ca="1" si="116">L262+L263</f>
        <v>26900</v>
      </c>
      <c r="M261" s="939">
        <f t="shared" ca="1" si="116"/>
        <v>23900</v>
      </c>
      <c r="N261" s="939">
        <f t="shared" ca="1" si="116"/>
        <v>21324</v>
      </c>
      <c r="O261" s="939">
        <f t="shared" ref="O261:O269" ca="1" si="117">IF(L261&gt;0,N261*100/L261,0)</f>
        <v>79.271375464684013</v>
      </c>
      <c r="P261" s="939">
        <f t="shared" ref="P261:P269" ca="1" si="118">IF(M261&gt;0,N261*100/M261,0)</f>
        <v>89.221757322175733</v>
      </c>
      <c r="Q261" s="818"/>
      <c r="R261" s="818"/>
      <c r="S261" s="818"/>
      <c r="T261" s="818"/>
      <c r="U261" s="818"/>
      <c r="V261" s="818"/>
      <c r="W261" s="818"/>
      <c r="X261" s="818"/>
      <c r="Y261" s="818"/>
      <c r="Z261" s="818"/>
    </row>
    <row r="262" spans="1:26" ht="18.75" hidden="1">
      <c r="A262" s="940"/>
      <c r="B262" s="833"/>
      <c r="C262" s="833"/>
      <c r="D262" s="833"/>
      <c r="E262" s="834" t="s">
        <v>18</v>
      </c>
      <c r="F262" s="833"/>
      <c r="G262" s="941"/>
      <c r="H262" s="158" t="s">
        <v>12</v>
      </c>
      <c r="I262" s="836"/>
      <c r="J262" s="836"/>
      <c r="K262" s="837"/>
      <c r="L262" s="837">
        <f t="shared" ref="L262:N263" si="119">L265+L268</f>
        <v>0</v>
      </c>
      <c r="M262" s="837">
        <f t="shared" si="119"/>
        <v>0</v>
      </c>
      <c r="N262" s="837">
        <f t="shared" si="119"/>
        <v>0</v>
      </c>
      <c r="O262" s="837">
        <f t="shared" si="117"/>
        <v>0</v>
      </c>
      <c r="P262" s="837">
        <f t="shared" si="118"/>
        <v>0</v>
      </c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</row>
    <row r="263" spans="1:26" ht="18.75" hidden="1">
      <c r="A263" s="940"/>
      <c r="B263" s="833"/>
      <c r="C263" s="833"/>
      <c r="D263" s="833"/>
      <c r="E263" s="834" t="s">
        <v>19</v>
      </c>
      <c r="F263" s="833"/>
      <c r="G263" s="941"/>
      <c r="H263" s="158" t="s">
        <v>12</v>
      </c>
      <c r="I263" s="836"/>
      <c r="J263" s="836"/>
      <c r="K263" s="837"/>
      <c r="L263" s="837">
        <f t="shared" ca="1" si="119"/>
        <v>26900</v>
      </c>
      <c r="M263" s="837">
        <f t="shared" ca="1" si="119"/>
        <v>23900</v>
      </c>
      <c r="N263" s="837">
        <f t="shared" ca="1" si="119"/>
        <v>21324</v>
      </c>
      <c r="O263" s="837">
        <f t="shared" ca="1" si="117"/>
        <v>79.271375464684013</v>
      </c>
      <c r="P263" s="837">
        <f t="shared" ca="1" si="118"/>
        <v>89.221757322175733</v>
      </c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</row>
    <row r="264" spans="1:26" ht="18.75">
      <c r="A264" s="942"/>
      <c r="B264" s="827"/>
      <c r="C264" s="943"/>
      <c r="D264" s="828" t="s">
        <v>20</v>
      </c>
      <c r="E264" s="827"/>
      <c r="F264" s="827"/>
      <c r="G264" s="829"/>
      <c r="H264" s="778" t="s">
        <v>12</v>
      </c>
      <c r="I264" s="944"/>
      <c r="J264" s="944"/>
      <c r="K264" s="945"/>
      <c r="L264" s="831">
        <f t="shared" ref="L264:N264" ca="1" si="120">L265+L266</f>
        <v>26900</v>
      </c>
      <c r="M264" s="831">
        <f t="shared" ca="1" si="120"/>
        <v>23900</v>
      </c>
      <c r="N264" s="831">
        <f t="shared" ca="1" si="120"/>
        <v>21324</v>
      </c>
      <c r="O264" s="831">
        <f t="shared" ca="1" si="117"/>
        <v>79.271375464684013</v>
      </c>
      <c r="P264" s="831">
        <f t="shared" ca="1" si="118"/>
        <v>89.221757322175733</v>
      </c>
      <c r="Q264" s="818"/>
      <c r="R264" s="818"/>
      <c r="S264" s="818"/>
      <c r="T264" s="818"/>
      <c r="U264" s="818"/>
      <c r="V264" s="818"/>
      <c r="W264" s="818"/>
      <c r="X264" s="818"/>
      <c r="Y264" s="818"/>
      <c r="Z264" s="818"/>
    </row>
    <row r="265" spans="1:26" ht="19.5" hidden="1">
      <c r="A265" s="940"/>
      <c r="B265" s="833"/>
      <c r="C265" s="946"/>
      <c r="D265" s="833"/>
      <c r="E265" s="834" t="s">
        <v>36</v>
      </c>
      <c r="F265" s="833"/>
      <c r="G265" s="941"/>
      <c r="H265" s="165" t="s">
        <v>12</v>
      </c>
      <c r="I265" s="947"/>
      <c r="J265" s="947"/>
      <c r="K265" s="948"/>
      <c r="L265" s="837">
        <v>0</v>
      </c>
      <c r="M265" s="837">
        <v>0</v>
      </c>
      <c r="N265" s="837">
        <v>0</v>
      </c>
      <c r="O265" s="837">
        <f t="shared" si="117"/>
        <v>0</v>
      </c>
      <c r="P265" s="837">
        <f t="shared" si="118"/>
        <v>0</v>
      </c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</row>
    <row r="266" spans="1:26" ht="19.5" hidden="1">
      <c r="A266" s="940"/>
      <c r="B266" s="833"/>
      <c r="C266" s="946"/>
      <c r="D266" s="833"/>
      <c r="E266" s="834" t="s">
        <v>37</v>
      </c>
      <c r="F266" s="833"/>
      <c r="G266" s="941"/>
      <c r="H266" s="165" t="s">
        <v>12</v>
      </c>
      <c r="I266" s="947"/>
      <c r="J266" s="947"/>
      <c r="K266" s="948"/>
      <c r="L266" s="837">
        <f ca="1">IFERROR(__xludf.DUMMYFUNCTION("IMPORTRANGE(""https://docs.google.com/spreadsheets/d/1MeEWN-I1oV_STSDYn1IFDPWt_1FKiwhDph83XaGc0o0/edit?usp=sharing"",""งบพรบ!CY19"")"),26900)</f>
        <v>26900</v>
      </c>
      <c r="M266" s="837">
        <f ca="1">IFERROR(__xludf.DUMMYFUNCTION("IMPORTRANGE(""https://docs.google.com/spreadsheets/d/1MeEWN-I1oV_STSDYn1IFDPWt_1FKiwhDph83XaGc0o0/edit?usp=sharing"",""งบพรบ!DD19"")"),23900)</f>
        <v>23900</v>
      </c>
      <c r="N266" s="837">
        <f ca="1">IFERROR(__xludf.DUMMYFUNCTION("IMPORTRANGE(""https://docs.google.com/spreadsheets/d/1MeEWN-I1oV_STSDYn1IFDPWt_1FKiwhDph83XaGc0o0/edit?usp=sharing"",""งบพรบ!DF19"")"),21324)</f>
        <v>21324</v>
      </c>
      <c r="O266" s="837">
        <f t="shared" ca="1" si="117"/>
        <v>79.271375464684013</v>
      </c>
      <c r="P266" s="837">
        <f t="shared" ca="1" si="118"/>
        <v>89.221757322175733</v>
      </c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</row>
    <row r="267" spans="1:26" ht="18.75">
      <c r="A267" s="942"/>
      <c r="B267" s="827"/>
      <c r="C267" s="943"/>
      <c r="D267" s="828" t="s">
        <v>21</v>
      </c>
      <c r="E267" s="827"/>
      <c r="F267" s="827"/>
      <c r="G267" s="829"/>
      <c r="H267" s="168" t="s">
        <v>12</v>
      </c>
      <c r="I267" s="944"/>
      <c r="J267" s="944"/>
      <c r="K267" s="945"/>
      <c r="L267" s="831">
        <f t="shared" ref="L267:N267" ca="1" si="121">L268+L269</f>
        <v>0</v>
      </c>
      <c r="M267" s="831">
        <f t="shared" ca="1" si="121"/>
        <v>0</v>
      </c>
      <c r="N267" s="831">
        <f t="shared" ca="1" si="121"/>
        <v>0</v>
      </c>
      <c r="O267" s="831">
        <f t="shared" ca="1" si="117"/>
        <v>0</v>
      </c>
      <c r="P267" s="831">
        <f t="shared" ca="1" si="118"/>
        <v>0</v>
      </c>
      <c r="Q267" s="818"/>
      <c r="R267" s="818"/>
      <c r="S267" s="818"/>
      <c r="T267" s="818"/>
      <c r="U267" s="818"/>
      <c r="V267" s="818"/>
      <c r="W267" s="818"/>
      <c r="X267" s="818"/>
      <c r="Y267" s="818"/>
      <c r="Z267" s="818"/>
    </row>
    <row r="268" spans="1:26" ht="19.5" hidden="1">
      <c r="A268" s="940"/>
      <c r="B268" s="833"/>
      <c r="C268" s="946"/>
      <c r="D268" s="833"/>
      <c r="E268" s="834" t="s">
        <v>18</v>
      </c>
      <c r="F268" s="833"/>
      <c r="G268" s="941"/>
      <c r="H268" s="165" t="s">
        <v>12</v>
      </c>
      <c r="I268" s="947"/>
      <c r="J268" s="947"/>
      <c r="K268" s="948"/>
      <c r="L268" s="837">
        <v>0</v>
      </c>
      <c r="M268" s="837">
        <v>0</v>
      </c>
      <c r="N268" s="837">
        <v>0</v>
      </c>
      <c r="O268" s="837">
        <f t="shared" si="117"/>
        <v>0</v>
      </c>
      <c r="P268" s="837">
        <f t="shared" si="118"/>
        <v>0</v>
      </c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</row>
    <row r="269" spans="1:26" ht="19.5" hidden="1">
      <c r="A269" s="940"/>
      <c r="B269" s="833"/>
      <c r="C269" s="946"/>
      <c r="D269" s="833"/>
      <c r="E269" s="834" t="s">
        <v>19</v>
      </c>
      <c r="F269" s="833"/>
      <c r="G269" s="941"/>
      <c r="H269" s="169" t="s">
        <v>12</v>
      </c>
      <c r="I269" s="947"/>
      <c r="J269" s="947"/>
      <c r="K269" s="948"/>
      <c r="L269" s="837">
        <f ca="1">IFERROR(__xludf.DUMMYFUNCTION("IMPORTRANGE(""https://docs.google.com/spreadsheets/d/1MeEWN-I1oV_STSDYn1IFDPWt_1FKiwhDph83XaGc0o0/edit?usp=sharing"",""งบพรบ!DB19"")"),0)</f>
        <v>0</v>
      </c>
      <c r="M269" s="837">
        <f ca="1">IFERROR(__xludf.DUMMYFUNCTION("IMPORTRANGE(""https://docs.google.com/spreadsheets/d/1MeEWN-I1oV_STSDYn1IFDPWt_1FKiwhDph83XaGc0o0/edit?usp=sharing"",""งบพรบ!DE19"")"),0)</f>
        <v>0</v>
      </c>
      <c r="N269" s="837">
        <f ca="1">IFERROR(__xludf.DUMMYFUNCTION("IMPORTRANGE(""https://docs.google.com/spreadsheets/d/1MeEWN-I1oV_STSDYn1IFDPWt_1FKiwhDph83XaGc0o0/edit?usp=sharing"",""งบพรบ!DG19"")"),0)</f>
        <v>0</v>
      </c>
      <c r="O269" s="837">
        <f t="shared" ca="1" si="117"/>
        <v>0</v>
      </c>
      <c r="P269" s="837">
        <f t="shared" ca="1" si="118"/>
        <v>0</v>
      </c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</row>
    <row r="270" spans="1:26" ht="19.5">
      <c r="A270" s="949"/>
      <c r="B270" s="950"/>
      <c r="C270" s="943" t="s">
        <v>16</v>
      </c>
      <c r="D270" s="951" t="s">
        <v>38</v>
      </c>
      <c r="E270" s="952"/>
      <c r="F270" s="952"/>
      <c r="G270" s="953"/>
      <c r="H270" s="954"/>
      <c r="I270" s="944"/>
      <c r="J270" s="944"/>
      <c r="K270" s="945"/>
      <c r="L270" s="945"/>
      <c r="M270" s="945"/>
      <c r="N270" s="945"/>
      <c r="O270" s="945"/>
      <c r="P270" s="945"/>
    </row>
    <row r="271" spans="1:26" ht="18.75">
      <c r="A271" s="949"/>
      <c r="B271" s="950"/>
      <c r="C271" s="950"/>
      <c r="D271" s="1079" t="s">
        <v>124</v>
      </c>
      <c r="E271" s="957"/>
      <c r="F271" s="1022"/>
      <c r="G271" s="958"/>
      <c r="H271" s="346" t="s">
        <v>35</v>
      </c>
      <c r="I271" s="830">
        <f ca="1">IFERROR(__xludf.DUMMYFUNCTION("IMPORTRANGE(""https://docs.google.com/spreadsheets/d/1QqKyyYR6Q21VydFLVH3TRQUabQu_ym0Zz7PgGX0-kHA/edit?usp=sharing"",""แผน!EA19"")"),22)</f>
        <v>22</v>
      </c>
      <c r="J271" s="959">
        <v>22</v>
      </c>
      <c r="K271" s="945">
        <f ca="1">IF(I271&gt;0,J271*100/I271,0)</f>
        <v>100</v>
      </c>
      <c r="L271" s="945"/>
      <c r="M271" s="945"/>
      <c r="N271" s="945"/>
      <c r="O271" s="945"/>
      <c r="P271" s="945"/>
    </row>
    <row r="272" spans="1:26" ht="18.75" hidden="1">
      <c r="A272" s="1080"/>
      <c r="B272" s="1081"/>
      <c r="C272" s="1081"/>
      <c r="D272" s="1082" t="s">
        <v>125</v>
      </c>
      <c r="E272" s="1083"/>
      <c r="F272" s="1083"/>
      <c r="G272" s="1084"/>
      <c r="H272" s="50" t="s">
        <v>35</v>
      </c>
      <c r="I272" s="1085">
        <v>0</v>
      </c>
      <c r="J272" s="1085">
        <v>0</v>
      </c>
      <c r="K272" s="1086">
        <v>0</v>
      </c>
      <c r="L272" s="1086"/>
      <c r="M272" s="1086"/>
      <c r="N272" s="1086"/>
      <c r="O272" s="1086"/>
      <c r="P272" s="1086"/>
    </row>
    <row r="273" spans="1:26" ht="19.5">
      <c r="A273" s="1087" t="s">
        <v>126</v>
      </c>
      <c r="B273" s="1088"/>
      <c r="C273" s="1088"/>
      <c r="D273" s="1088"/>
      <c r="E273" s="1089"/>
      <c r="F273" s="1089"/>
      <c r="G273" s="1090"/>
      <c r="H273" s="1091"/>
      <c r="I273" s="1092"/>
      <c r="J273" s="1092"/>
      <c r="K273" s="1093"/>
      <c r="L273" s="1093"/>
      <c r="M273" s="1093"/>
      <c r="N273" s="1093"/>
      <c r="O273" s="1093"/>
      <c r="P273" s="1093"/>
    </row>
    <row r="274" spans="1:26" ht="19.5">
      <c r="A274" s="1094" t="s">
        <v>127</v>
      </c>
      <c r="B274" s="1095"/>
      <c r="C274" s="1096"/>
      <c r="D274" s="1095"/>
      <c r="E274" s="1095"/>
      <c r="F274" s="1095"/>
      <c r="G274" s="1095"/>
      <c r="H274" s="1097"/>
      <c r="I274" s="1098"/>
      <c r="J274" s="1099"/>
      <c r="K274" s="1100"/>
      <c r="L274" s="1100"/>
      <c r="M274" s="1100"/>
      <c r="N274" s="1100"/>
      <c r="O274" s="1100"/>
      <c r="P274" s="1100"/>
    </row>
    <row r="275" spans="1:26" ht="19.5">
      <c r="A275" s="1101"/>
      <c r="B275" s="1102" t="s">
        <v>128</v>
      </c>
      <c r="C275" s="1103"/>
      <c r="D275" s="1104"/>
      <c r="E275" s="1103"/>
      <c r="F275" s="1103"/>
      <c r="G275" s="1105"/>
      <c r="H275" s="374" t="s">
        <v>35</v>
      </c>
      <c r="I275" s="1106">
        <f t="shared" ref="I275:J275" ca="1" si="122">I288</f>
        <v>5</v>
      </c>
      <c r="J275" s="1106">
        <f t="shared" ca="1" si="122"/>
        <v>0</v>
      </c>
      <c r="K275" s="1107">
        <f t="shared" ref="K275:K276" ca="1" si="123">IF(I275&gt;0,J275*100/I275,0)</f>
        <v>0</v>
      </c>
      <c r="L275" s="1108"/>
      <c r="M275" s="1108"/>
      <c r="N275" s="1108"/>
      <c r="O275" s="1108"/>
      <c r="P275" s="1108"/>
    </row>
    <row r="276" spans="1:26" ht="19.5">
      <c r="A276" s="1101"/>
      <c r="B276" s="1102"/>
      <c r="C276" s="1103"/>
      <c r="D276" s="1104"/>
      <c r="E276" s="1103"/>
      <c r="F276" s="1103"/>
      <c r="G276" s="1105"/>
      <c r="H276" s="374" t="s">
        <v>46</v>
      </c>
      <c r="I276" s="1106">
        <f t="shared" ref="I276:J276" ca="1" si="124">I287</f>
        <v>50</v>
      </c>
      <c r="J276" s="1106">
        <f t="shared" si="124"/>
        <v>50</v>
      </c>
      <c r="K276" s="1107">
        <f t="shared" ca="1" si="123"/>
        <v>100</v>
      </c>
      <c r="L276" s="1108"/>
      <c r="M276" s="1108"/>
      <c r="N276" s="1108"/>
      <c r="O276" s="1108"/>
      <c r="P276" s="1108"/>
    </row>
    <row r="277" spans="1:26" ht="19.5">
      <c r="A277" s="932"/>
      <c r="B277" s="933"/>
      <c r="C277" s="934" t="s">
        <v>16</v>
      </c>
      <c r="D277" s="935" t="s">
        <v>17</v>
      </c>
      <c r="E277" s="933"/>
      <c r="F277" s="933"/>
      <c r="G277" s="936"/>
      <c r="H277" s="152" t="s">
        <v>12</v>
      </c>
      <c r="I277" s="937"/>
      <c r="J277" s="937"/>
      <c r="K277" s="938"/>
      <c r="L277" s="939">
        <f t="shared" ref="L277:N277" ca="1" si="125">L278+L279</f>
        <v>24630</v>
      </c>
      <c r="M277" s="939">
        <f t="shared" ca="1" si="125"/>
        <v>15100</v>
      </c>
      <c r="N277" s="939">
        <f t="shared" ca="1" si="125"/>
        <v>9355</v>
      </c>
      <c r="O277" s="939">
        <f t="shared" ref="O277:O285" ca="1" si="126">IF(L277&gt;0,N277*100/L277,0)</f>
        <v>37.982135606983356</v>
      </c>
      <c r="P277" s="939">
        <f t="shared" ref="P277:P285" ca="1" si="127">IF(M277&gt;0,N277*100/M277,0)</f>
        <v>61.953642384105962</v>
      </c>
      <c r="Q277" s="818"/>
      <c r="R277" s="818"/>
      <c r="S277" s="818"/>
      <c r="T277" s="818"/>
      <c r="U277" s="818"/>
      <c r="V277" s="818"/>
      <c r="W277" s="818"/>
      <c r="X277" s="818"/>
      <c r="Y277" s="818"/>
      <c r="Z277" s="818"/>
    </row>
    <row r="278" spans="1:26" ht="18.75" hidden="1">
      <c r="A278" s="940"/>
      <c r="B278" s="833"/>
      <c r="C278" s="833"/>
      <c r="D278" s="833"/>
      <c r="E278" s="834" t="s">
        <v>18</v>
      </c>
      <c r="F278" s="833"/>
      <c r="G278" s="941"/>
      <c r="H278" s="158" t="s">
        <v>12</v>
      </c>
      <c r="I278" s="836"/>
      <c r="J278" s="836"/>
      <c r="K278" s="837"/>
      <c r="L278" s="837">
        <f t="shared" ref="L278:N279" si="128">L281+L284</f>
        <v>0</v>
      </c>
      <c r="M278" s="837">
        <f t="shared" si="128"/>
        <v>0</v>
      </c>
      <c r="N278" s="837">
        <f t="shared" si="128"/>
        <v>0</v>
      </c>
      <c r="O278" s="837">
        <f t="shared" si="126"/>
        <v>0</v>
      </c>
      <c r="P278" s="837">
        <f t="shared" si="127"/>
        <v>0</v>
      </c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</row>
    <row r="279" spans="1:26" ht="18.75" hidden="1">
      <c r="A279" s="940"/>
      <c r="B279" s="833"/>
      <c r="C279" s="833"/>
      <c r="D279" s="833"/>
      <c r="E279" s="834" t="s">
        <v>19</v>
      </c>
      <c r="F279" s="833"/>
      <c r="G279" s="941"/>
      <c r="H279" s="158" t="s">
        <v>12</v>
      </c>
      <c r="I279" s="836"/>
      <c r="J279" s="836"/>
      <c r="K279" s="837"/>
      <c r="L279" s="837">
        <f t="shared" ca="1" si="128"/>
        <v>24630</v>
      </c>
      <c r="M279" s="837">
        <f t="shared" ca="1" si="128"/>
        <v>15100</v>
      </c>
      <c r="N279" s="837">
        <f t="shared" ca="1" si="128"/>
        <v>9355</v>
      </c>
      <c r="O279" s="837">
        <f t="shared" ca="1" si="126"/>
        <v>37.982135606983356</v>
      </c>
      <c r="P279" s="837">
        <f t="shared" ca="1" si="127"/>
        <v>61.953642384105962</v>
      </c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</row>
    <row r="280" spans="1:26" ht="18.75">
      <c r="A280" s="942"/>
      <c r="B280" s="827"/>
      <c r="C280" s="943"/>
      <c r="D280" s="828" t="s">
        <v>20</v>
      </c>
      <c r="E280" s="827"/>
      <c r="F280" s="827"/>
      <c r="G280" s="829"/>
      <c r="H280" s="778" t="s">
        <v>12</v>
      </c>
      <c r="I280" s="944"/>
      <c r="J280" s="944"/>
      <c r="K280" s="945"/>
      <c r="L280" s="831">
        <f t="shared" ref="L280:N280" ca="1" si="129">L281+L282</f>
        <v>24630</v>
      </c>
      <c r="M280" s="831">
        <f t="shared" ca="1" si="129"/>
        <v>15100</v>
      </c>
      <c r="N280" s="831">
        <f t="shared" ca="1" si="129"/>
        <v>9355</v>
      </c>
      <c r="O280" s="831">
        <f t="shared" ca="1" si="126"/>
        <v>37.982135606983356</v>
      </c>
      <c r="P280" s="831">
        <f t="shared" ca="1" si="127"/>
        <v>61.953642384105962</v>
      </c>
      <c r="Q280" s="818"/>
      <c r="R280" s="818"/>
      <c r="S280" s="818"/>
      <c r="T280" s="818"/>
      <c r="U280" s="818"/>
      <c r="V280" s="818"/>
      <c r="W280" s="818"/>
      <c r="X280" s="818"/>
      <c r="Y280" s="818"/>
      <c r="Z280" s="818"/>
    </row>
    <row r="281" spans="1:26" ht="19.5" hidden="1">
      <c r="A281" s="940"/>
      <c r="B281" s="833"/>
      <c r="C281" s="946"/>
      <c r="D281" s="833"/>
      <c r="E281" s="834" t="s">
        <v>36</v>
      </c>
      <c r="F281" s="833"/>
      <c r="G281" s="941"/>
      <c r="H281" s="165" t="s">
        <v>12</v>
      </c>
      <c r="I281" s="947"/>
      <c r="J281" s="947"/>
      <c r="K281" s="948"/>
      <c r="L281" s="837">
        <v>0</v>
      </c>
      <c r="M281" s="837">
        <v>0</v>
      </c>
      <c r="N281" s="837">
        <v>0</v>
      </c>
      <c r="O281" s="837">
        <f t="shared" si="126"/>
        <v>0</v>
      </c>
      <c r="P281" s="837">
        <f t="shared" si="127"/>
        <v>0</v>
      </c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</row>
    <row r="282" spans="1:26" ht="19.5" hidden="1">
      <c r="A282" s="940"/>
      <c r="B282" s="833"/>
      <c r="C282" s="946"/>
      <c r="D282" s="833"/>
      <c r="E282" s="834" t="s">
        <v>37</v>
      </c>
      <c r="F282" s="833"/>
      <c r="G282" s="941"/>
      <c r="H282" s="165" t="s">
        <v>12</v>
      </c>
      <c r="I282" s="947"/>
      <c r="J282" s="947"/>
      <c r="K282" s="948"/>
      <c r="L282" s="837">
        <f ca="1">IFERROR(__xludf.DUMMYFUNCTION("IMPORTRANGE(""https://docs.google.com/spreadsheets/d/1MeEWN-I1oV_STSDYn1IFDPWt_1FKiwhDph83XaGc0o0/edit?usp=sharing"",""งบพรบ!DI19"")"),24630)</f>
        <v>24630</v>
      </c>
      <c r="M282" s="837">
        <f ca="1">IFERROR(__xludf.DUMMYFUNCTION("IMPORTRANGE(""https://docs.google.com/spreadsheets/d/1MeEWN-I1oV_STSDYn1IFDPWt_1FKiwhDph83XaGc0o0/edit?usp=sharing"",""งบพรบ!DN19"")"),15100)</f>
        <v>15100</v>
      </c>
      <c r="N282" s="837">
        <f ca="1">IFERROR(__xludf.DUMMYFUNCTION("IMPORTRANGE(""https://docs.google.com/spreadsheets/d/1MeEWN-I1oV_STSDYn1IFDPWt_1FKiwhDph83XaGc0o0/edit?usp=sharing"",""งบพรบ!DP19"")"),9355)</f>
        <v>9355</v>
      </c>
      <c r="O282" s="837">
        <f t="shared" ca="1" si="126"/>
        <v>37.982135606983356</v>
      </c>
      <c r="P282" s="837">
        <f t="shared" ca="1" si="127"/>
        <v>61.953642384105962</v>
      </c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</row>
    <row r="283" spans="1:26" ht="18.75">
      <c r="A283" s="942"/>
      <c r="B283" s="827"/>
      <c r="C283" s="943"/>
      <c r="D283" s="828" t="s">
        <v>21</v>
      </c>
      <c r="E283" s="827"/>
      <c r="F283" s="827"/>
      <c r="G283" s="829"/>
      <c r="H283" s="168" t="s">
        <v>12</v>
      </c>
      <c r="I283" s="944"/>
      <c r="J283" s="944"/>
      <c r="K283" s="945"/>
      <c r="L283" s="831">
        <f t="shared" ref="L283:N283" ca="1" si="130">L284+L285</f>
        <v>0</v>
      </c>
      <c r="M283" s="831">
        <f t="shared" ca="1" si="130"/>
        <v>0</v>
      </c>
      <c r="N283" s="831">
        <f t="shared" ca="1" si="130"/>
        <v>0</v>
      </c>
      <c r="O283" s="831">
        <f t="shared" ca="1" si="126"/>
        <v>0</v>
      </c>
      <c r="P283" s="831">
        <f t="shared" ca="1" si="127"/>
        <v>0</v>
      </c>
      <c r="Q283" s="818"/>
      <c r="R283" s="818"/>
      <c r="S283" s="818"/>
      <c r="T283" s="818"/>
      <c r="U283" s="818"/>
      <c r="V283" s="818"/>
      <c r="W283" s="818"/>
      <c r="X283" s="818"/>
      <c r="Y283" s="818"/>
      <c r="Z283" s="818"/>
    </row>
    <row r="284" spans="1:26" ht="19.5" hidden="1">
      <c r="A284" s="940"/>
      <c r="B284" s="833"/>
      <c r="C284" s="946"/>
      <c r="D284" s="833"/>
      <c r="E284" s="834" t="s">
        <v>18</v>
      </c>
      <c r="F284" s="833"/>
      <c r="G284" s="941"/>
      <c r="H284" s="165" t="s">
        <v>12</v>
      </c>
      <c r="I284" s="947"/>
      <c r="J284" s="947"/>
      <c r="K284" s="948"/>
      <c r="L284" s="837">
        <v>0</v>
      </c>
      <c r="M284" s="837">
        <v>0</v>
      </c>
      <c r="N284" s="837">
        <v>0</v>
      </c>
      <c r="O284" s="837">
        <f t="shared" si="126"/>
        <v>0</v>
      </c>
      <c r="P284" s="837">
        <f t="shared" si="127"/>
        <v>0</v>
      </c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</row>
    <row r="285" spans="1:26" ht="19.5" hidden="1">
      <c r="A285" s="940"/>
      <c r="B285" s="833"/>
      <c r="C285" s="946"/>
      <c r="D285" s="833"/>
      <c r="E285" s="834" t="s">
        <v>19</v>
      </c>
      <c r="F285" s="833"/>
      <c r="G285" s="941"/>
      <c r="H285" s="169" t="s">
        <v>12</v>
      </c>
      <c r="I285" s="947"/>
      <c r="J285" s="947"/>
      <c r="K285" s="948"/>
      <c r="L285" s="837">
        <f ca="1">IFERROR(__xludf.DUMMYFUNCTION("IMPORTRANGE(""https://docs.google.com/spreadsheets/d/1MeEWN-I1oV_STSDYn1IFDPWt_1FKiwhDph83XaGc0o0/edit?usp=sharing"",""งบพรบ!DL19"")"),0)</f>
        <v>0</v>
      </c>
      <c r="M285" s="837">
        <f ca="1">IFERROR(__xludf.DUMMYFUNCTION("IMPORTRANGE(""https://docs.google.com/spreadsheets/d/1MeEWN-I1oV_STSDYn1IFDPWt_1FKiwhDph83XaGc0o0/edit?usp=sharing"",""งบพรบ!DO19"")"),0)</f>
        <v>0</v>
      </c>
      <c r="N285" s="837">
        <f ca="1">IFERROR(__xludf.DUMMYFUNCTION("IMPORTRANGE(""https://docs.google.com/spreadsheets/d/1MeEWN-I1oV_STSDYn1IFDPWt_1FKiwhDph83XaGc0o0/edit?usp=sharing"",""งบพรบ!DQ19"")"),0)</f>
        <v>0</v>
      </c>
      <c r="O285" s="837">
        <f t="shared" ca="1" si="126"/>
        <v>0</v>
      </c>
      <c r="P285" s="837">
        <f t="shared" ca="1" si="127"/>
        <v>0</v>
      </c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</row>
    <row r="286" spans="1:26" ht="19.5">
      <c r="A286" s="949"/>
      <c r="B286" s="950"/>
      <c r="C286" s="946" t="s">
        <v>16</v>
      </c>
      <c r="D286" s="951" t="s">
        <v>38</v>
      </c>
      <c r="E286" s="952"/>
      <c r="F286" s="952"/>
      <c r="G286" s="953"/>
      <c r="H286" s="954"/>
      <c r="I286" s="944"/>
      <c r="J286" s="944"/>
      <c r="K286" s="945"/>
      <c r="L286" s="945"/>
      <c r="M286" s="945"/>
      <c r="N286" s="945"/>
      <c r="O286" s="945"/>
      <c r="P286" s="945"/>
    </row>
    <row r="287" spans="1:26" ht="18.75">
      <c r="A287" s="949"/>
      <c r="B287" s="950"/>
      <c r="C287" s="950"/>
      <c r="D287" s="961" t="s">
        <v>129</v>
      </c>
      <c r="E287" s="950"/>
      <c r="F287" s="957"/>
      <c r="G287" s="958"/>
      <c r="H287" s="777" t="s">
        <v>46</v>
      </c>
      <c r="I287" s="830">
        <f ca="1">IFERROR(__xludf.DUMMYFUNCTION("IMPORTRANGE(""https://docs.google.com/spreadsheets/d/1QqKyyYR6Q21VydFLVH3TRQUabQu_ym0Zz7PgGX0-kHA/edit?usp=sharing"",""แผน!EC19"")"),50)</f>
        <v>50</v>
      </c>
      <c r="J287" s="959">
        <v>50</v>
      </c>
      <c r="K287" s="945">
        <f t="shared" ref="K287:K288" ca="1" si="131">IF(I287&gt;0,J287*100/I287,0)</f>
        <v>100</v>
      </c>
      <c r="L287" s="945"/>
      <c r="M287" s="945"/>
      <c r="N287" s="945"/>
      <c r="O287" s="945"/>
      <c r="P287" s="945"/>
    </row>
    <row r="288" spans="1:26" ht="19.5">
      <c r="A288" s="949"/>
      <c r="B288" s="950"/>
      <c r="C288" s="950"/>
      <c r="D288" s="961" t="s">
        <v>130</v>
      </c>
      <c r="E288" s="950"/>
      <c r="F288" s="957"/>
      <c r="G288" s="958"/>
      <c r="H288" s="180" t="s">
        <v>35</v>
      </c>
      <c r="I288" s="966">
        <f ca="1">IFERROR(__xludf.DUMMYFUNCTION("IMPORTRANGE(""https://docs.google.com/spreadsheets/d/1QqKyyYR6Q21VydFLVH3TRQUabQu_ym0Zz7PgGX0-kHA/edit?usp=sharing"",""แผน!EB19"")"),5)</f>
        <v>5</v>
      </c>
      <c r="J288" s="966">
        <f ca="1">IF(AND(J291&gt;=I288,J294&gt;=I288),J294,0)</f>
        <v>0</v>
      </c>
      <c r="K288" s="1109">
        <f t="shared" ca="1" si="131"/>
        <v>0</v>
      </c>
      <c r="L288" s="945"/>
      <c r="M288" s="945"/>
      <c r="N288" s="945"/>
      <c r="O288" s="945"/>
      <c r="P288" s="945"/>
    </row>
    <row r="289" spans="1:26" ht="19.5">
      <c r="A289" s="949"/>
      <c r="B289" s="950"/>
      <c r="C289" s="950"/>
      <c r="D289" s="1110"/>
      <c r="E289" s="1111" t="s">
        <v>131</v>
      </c>
      <c r="F289" s="957"/>
      <c r="G289" s="958"/>
      <c r="H289" s="730"/>
      <c r="I289" s="944"/>
      <c r="J289" s="830"/>
      <c r="K289" s="945"/>
      <c r="L289" s="945"/>
      <c r="M289" s="945"/>
      <c r="N289" s="945"/>
      <c r="O289" s="945"/>
      <c r="P289" s="945"/>
    </row>
    <row r="290" spans="1:26" ht="19.5">
      <c r="A290" s="949"/>
      <c r="B290" s="950"/>
      <c r="C290" s="950"/>
      <c r="D290" s="1110"/>
      <c r="E290" s="961" t="s">
        <v>132</v>
      </c>
      <c r="F290" s="957"/>
      <c r="G290" s="958"/>
      <c r="H290" s="730" t="s">
        <v>35</v>
      </c>
      <c r="I290" s="944">
        <f ca="1">IFERROR(__xludf.DUMMYFUNCTION("IMPORTRANGE(""https://docs.google.com/spreadsheets/d/1QqKyyYR6Q21VydFLVH3TRQUabQu_ym0Zz7PgGX0-kHA/edit?usp=sharing"",""แผน!EB19"")"),5)</f>
        <v>5</v>
      </c>
      <c r="J290" s="959">
        <v>5</v>
      </c>
      <c r="K290" s="945">
        <f t="shared" ref="K290:K291" ca="1" si="132">IF(I290&gt;0,J290*100/I290,0)</f>
        <v>100</v>
      </c>
      <c r="L290" s="945"/>
      <c r="M290" s="945"/>
      <c r="N290" s="945"/>
      <c r="O290" s="945"/>
      <c r="P290" s="945"/>
    </row>
    <row r="291" spans="1:26" ht="19.5">
      <c r="A291" s="949"/>
      <c r="B291" s="950"/>
      <c r="C291" s="950"/>
      <c r="D291" s="957"/>
      <c r="E291" s="961" t="s">
        <v>133</v>
      </c>
      <c r="F291" s="957"/>
      <c r="G291" s="958"/>
      <c r="H291" s="730" t="s">
        <v>35</v>
      </c>
      <c r="I291" s="944">
        <f ca="1">IFERROR(__xludf.DUMMYFUNCTION("IMPORTRANGE(""https://docs.google.com/spreadsheets/d/1QqKyyYR6Q21VydFLVH3TRQUabQu_ym0Zz7PgGX0-kHA/edit?usp=sharing"",""แผน!EB19"")"),5)</f>
        <v>5</v>
      </c>
      <c r="J291" s="959">
        <v>5</v>
      </c>
      <c r="K291" s="945">
        <f t="shared" ca="1" si="132"/>
        <v>100</v>
      </c>
      <c r="L291" s="945"/>
      <c r="M291" s="945"/>
      <c r="N291" s="945"/>
      <c r="O291" s="945"/>
      <c r="P291" s="945"/>
    </row>
    <row r="292" spans="1:26" ht="19.5">
      <c r="A292" s="1112"/>
      <c r="B292" s="1113"/>
      <c r="C292" s="1113"/>
      <c r="D292" s="1114"/>
      <c r="E292" s="1115" t="s">
        <v>134</v>
      </c>
      <c r="F292" s="1034"/>
      <c r="G292" s="1035"/>
      <c r="H292" s="387"/>
      <c r="I292" s="1028"/>
      <c r="J292" s="937"/>
      <c r="K292" s="1029"/>
      <c r="L292" s="1029"/>
      <c r="M292" s="1029"/>
      <c r="N292" s="1029"/>
      <c r="O292" s="1029"/>
      <c r="P292" s="1029"/>
    </row>
    <row r="293" spans="1:26" ht="19.5">
      <c r="A293" s="949"/>
      <c r="B293" s="950"/>
      <c r="C293" s="950"/>
      <c r="D293" s="1110"/>
      <c r="E293" s="961" t="s">
        <v>132</v>
      </c>
      <c r="F293" s="957"/>
      <c r="G293" s="958"/>
      <c r="H293" s="730" t="s">
        <v>35</v>
      </c>
      <c r="I293" s="944">
        <f ca="1">IFERROR(__xludf.DUMMYFUNCTION("IMPORTRANGE(""https://docs.google.com/spreadsheets/d/1QqKyyYR6Q21VydFLVH3TRQUabQu_ym0Zz7PgGX0-kHA/edit?usp=sharing"",""แผน!EB19"")"),5)</f>
        <v>5</v>
      </c>
      <c r="J293" s="959">
        <v>0</v>
      </c>
      <c r="K293" s="945">
        <f t="shared" ref="K293:K294" ca="1" si="133">IF(I293&gt;0,J293*100/I293,0)</f>
        <v>0</v>
      </c>
      <c r="L293" s="945"/>
      <c r="M293" s="945"/>
      <c r="N293" s="945"/>
      <c r="O293" s="945"/>
      <c r="P293" s="945"/>
    </row>
    <row r="294" spans="1:26" ht="19.5">
      <c r="A294" s="1080"/>
      <c r="B294" s="1081"/>
      <c r="C294" s="1081"/>
      <c r="D294" s="1083"/>
      <c r="E294" s="1116" t="s">
        <v>136</v>
      </c>
      <c r="F294" s="1083"/>
      <c r="G294" s="1084"/>
      <c r="H294" s="391" t="s">
        <v>35</v>
      </c>
      <c r="I294" s="1117">
        <f ca="1">IFERROR(__xludf.DUMMYFUNCTION("IMPORTRANGE(""https://docs.google.com/spreadsheets/d/1QqKyyYR6Q21VydFLVH3TRQUabQu_ym0Zz7PgGX0-kHA/edit?usp=sharing"",""แผน!EB19"")"),5)</f>
        <v>5</v>
      </c>
      <c r="J294" s="1118">
        <v>0</v>
      </c>
      <c r="K294" s="1086">
        <f t="shared" ca="1" si="133"/>
        <v>0</v>
      </c>
      <c r="L294" s="1086"/>
      <c r="M294" s="1086"/>
      <c r="N294" s="1086"/>
      <c r="O294" s="1086"/>
      <c r="P294" s="1086"/>
    </row>
    <row r="295" spans="1:26" ht="19.5">
      <c r="A295" s="1119" t="s">
        <v>137</v>
      </c>
      <c r="B295" s="1120"/>
      <c r="C295" s="1120"/>
      <c r="D295" s="1120"/>
      <c r="E295" s="1121"/>
      <c r="F295" s="1121"/>
      <c r="G295" s="1122"/>
      <c r="H295" s="1123"/>
      <c r="I295" s="1124"/>
      <c r="J295" s="1124"/>
      <c r="K295" s="1125"/>
      <c r="L295" s="1125"/>
      <c r="M295" s="1125"/>
      <c r="N295" s="1125"/>
      <c r="O295" s="1125"/>
      <c r="P295" s="1125"/>
    </row>
    <row r="296" spans="1:26" ht="19.5" hidden="1">
      <c r="A296" s="1126" t="s">
        <v>138</v>
      </c>
      <c r="B296" s="1127"/>
      <c r="C296" s="1127"/>
      <c r="D296" s="1128"/>
      <c r="E296" s="1128"/>
      <c r="F296" s="1128"/>
      <c r="G296" s="1129"/>
      <c r="H296" s="1130"/>
      <c r="I296" s="1131"/>
      <c r="J296" s="1131"/>
      <c r="K296" s="1132"/>
      <c r="L296" s="1132"/>
      <c r="M296" s="1132"/>
      <c r="N296" s="1132"/>
      <c r="O296" s="1132"/>
      <c r="P296" s="1132"/>
    </row>
    <row r="297" spans="1:26" ht="19.5" hidden="1">
      <c r="A297" s="1133"/>
      <c r="B297" s="1134" t="s">
        <v>139</v>
      </c>
      <c r="C297" s="1135"/>
      <c r="D297" s="1135"/>
      <c r="E297" s="1135"/>
      <c r="F297" s="1135"/>
      <c r="G297" s="1136"/>
      <c r="H297" s="412" t="s">
        <v>35</v>
      </c>
      <c r="I297" s="1137">
        <f t="shared" ref="I297:J297" ca="1" si="134">I309</f>
        <v>0</v>
      </c>
      <c r="J297" s="1137">
        <f t="shared" si="134"/>
        <v>0</v>
      </c>
      <c r="K297" s="1138">
        <f ca="1">IF(I297&gt;0,J297*100/I297,0)</f>
        <v>0</v>
      </c>
      <c r="L297" s="1139"/>
      <c r="M297" s="1139"/>
      <c r="N297" s="1139"/>
      <c r="O297" s="1139"/>
      <c r="P297" s="1139"/>
    </row>
    <row r="298" spans="1:26" ht="19.5" hidden="1">
      <c r="A298" s="932"/>
      <c r="B298" s="933"/>
      <c r="C298" s="934" t="s">
        <v>16</v>
      </c>
      <c r="D298" s="935" t="s">
        <v>17</v>
      </c>
      <c r="E298" s="933"/>
      <c r="F298" s="933"/>
      <c r="G298" s="936"/>
      <c r="H298" s="152" t="s">
        <v>12</v>
      </c>
      <c r="I298" s="937"/>
      <c r="J298" s="937"/>
      <c r="K298" s="938"/>
      <c r="L298" s="939">
        <f t="shared" ref="L298:N298" ca="1" si="135">L299+L300</f>
        <v>0</v>
      </c>
      <c r="M298" s="939">
        <f t="shared" ca="1" si="135"/>
        <v>0</v>
      </c>
      <c r="N298" s="939">
        <f t="shared" ca="1" si="135"/>
        <v>0</v>
      </c>
      <c r="O298" s="939">
        <f t="shared" ref="O298:O306" ca="1" si="136">IF(L298&gt;0,N298*100/L298,0)</f>
        <v>0</v>
      </c>
      <c r="P298" s="939">
        <f t="shared" ref="P298:P306" ca="1" si="137">IF(M298&gt;0,N298*100/M298,0)</f>
        <v>0</v>
      </c>
      <c r="Q298" s="818"/>
      <c r="R298" s="818"/>
      <c r="S298" s="818"/>
      <c r="T298" s="818"/>
      <c r="U298" s="818"/>
      <c r="V298" s="818"/>
      <c r="W298" s="818"/>
      <c r="X298" s="818"/>
      <c r="Y298" s="818"/>
      <c r="Z298" s="818"/>
    </row>
    <row r="299" spans="1:26" ht="18.75" hidden="1">
      <c r="A299" s="940"/>
      <c r="B299" s="833"/>
      <c r="C299" s="833"/>
      <c r="D299" s="833"/>
      <c r="E299" s="834" t="s">
        <v>18</v>
      </c>
      <c r="F299" s="833"/>
      <c r="G299" s="941"/>
      <c r="H299" s="158" t="s">
        <v>12</v>
      </c>
      <c r="I299" s="836"/>
      <c r="J299" s="836"/>
      <c r="K299" s="837"/>
      <c r="L299" s="837">
        <f t="shared" ref="L299:N300" si="138">L302+L305</f>
        <v>0</v>
      </c>
      <c r="M299" s="837">
        <f t="shared" si="138"/>
        <v>0</v>
      </c>
      <c r="N299" s="837">
        <f t="shared" si="138"/>
        <v>0</v>
      </c>
      <c r="O299" s="837">
        <f t="shared" si="136"/>
        <v>0</v>
      </c>
      <c r="P299" s="837">
        <f t="shared" si="137"/>
        <v>0</v>
      </c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</row>
    <row r="300" spans="1:26" ht="18.75" hidden="1">
      <c r="A300" s="940"/>
      <c r="B300" s="833"/>
      <c r="C300" s="833"/>
      <c r="D300" s="833"/>
      <c r="E300" s="834" t="s">
        <v>19</v>
      </c>
      <c r="F300" s="833"/>
      <c r="G300" s="941"/>
      <c r="H300" s="158" t="s">
        <v>12</v>
      </c>
      <c r="I300" s="836"/>
      <c r="J300" s="836"/>
      <c r="K300" s="837"/>
      <c r="L300" s="837">
        <f t="shared" ca="1" si="138"/>
        <v>0</v>
      </c>
      <c r="M300" s="837">
        <f t="shared" ca="1" si="138"/>
        <v>0</v>
      </c>
      <c r="N300" s="837">
        <f t="shared" ca="1" si="138"/>
        <v>0</v>
      </c>
      <c r="O300" s="837">
        <f t="shared" ca="1" si="136"/>
        <v>0</v>
      </c>
      <c r="P300" s="837">
        <f t="shared" ca="1" si="137"/>
        <v>0</v>
      </c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</row>
    <row r="301" spans="1:26" ht="18.75" hidden="1">
      <c r="A301" s="942"/>
      <c r="B301" s="827"/>
      <c r="C301" s="943"/>
      <c r="D301" s="828" t="s">
        <v>20</v>
      </c>
      <c r="E301" s="827"/>
      <c r="F301" s="827"/>
      <c r="G301" s="829"/>
      <c r="H301" s="778" t="s">
        <v>12</v>
      </c>
      <c r="I301" s="944"/>
      <c r="J301" s="944"/>
      <c r="K301" s="945"/>
      <c r="L301" s="831">
        <f t="shared" ref="L301:N301" ca="1" si="139">L302+L303</f>
        <v>0</v>
      </c>
      <c r="M301" s="831">
        <f t="shared" ca="1" si="139"/>
        <v>0</v>
      </c>
      <c r="N301" s="831">
        <f t="shared" ca="1" si="139"/>
        <v>0</v>
      </c>
      <c r="O301" s="831">
        <f t="shared" ca="1" si="136"/>
        <v>0</v>
      </c>
      <c r="P301" s="831">
        <f t="shared" ca="1" si="137"/>
        <v>0</v>
      </c>
      <c r="Q301" s="818"/>
      <c r="R301" s="818"/>
      <c r="S301" s="818"/>
      <c r="T301" s="818"/>
      <c r="U301" s="818"/>
      <c r="V301" s="818"/>
      <c r="W301" s="818"/>
      <c r="X301" s="818"/>
      <c r="Y301" s="818"/>
      <c r="Z301" s="818"/>
    </row>
    <row r="302" spans="1:26" ht="19.5" hidden="1">
      <c r="A302" s="940"/>
      <c r="B302" s="833"/>
      <c r="C302" s="946"/>
      <c r="D302" s="833"/>
      <c r="E302" s="834" t="s">
        <v>36</v>
      </c>
      <c r="F302" s="833"/>
      <c r="G302" s="941"/>
      <c r="H302" s="165" t="s">
        <v>12</v>
      </c>
      <c r="I302" s="947"/>
      <c r="J302" s="947"/>
      <c r="K302" s="948"/>
      <c r="L302" s="837">
        <v>0</v>
      </c>
      <c r="M302" s="837">
        <v>0</v>
      </c>
      <c r="N302" s="837">
        <v>0</v>
      </c>
      <c r="O302" s="837">
        <f t="shared" si="136"/>
        <v>0</v>
      </c>
      <c r="P302" s="837">
        <f t="shared" si="137"/>
        <v>0</v>
      </c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</row>
    <row r="303" spans="1:26" ht="19.5" hidden="1">
      <c r="A303" s="940"/>
      <c r="B303" s="833"/>
      <c r="C303" s="946"/>
      <c r="D303" s="833"/>
      <c r="E303" s="834" t="s">
        <v>37</v>
      </c>
      <c r="F303" s="833"/>
      <c r="G303" s="941"/>
      <c r="H303" s="165" t="s">
        <v>12</v>
      </c>
      <c r="I303" s="947"/>
      <c r="J303" s="947"/>
      <c r="K303" s="948"/>
      <c r="L303" s="837">
        <f ca="1">IFERROR(__xludf.DUMMYFUNCTION("IMPORTRANGE(""https://docs.google.com/spreadsheets/d/1MeEWN-I1oV_STSDYn1IFDPWt_1FKiwhDph83XaGc0o0/edit?usp=sharing"",""งบพรบ!DS19"")"),0)</f>
        <v>0</v>
      </c>
      <c r="M303" s="837">
        <f ca="1">IFERROR(__xludf.DUMMYFUNCTION("IMPORTRANGE(""https://docs.google.com/spreadsheets/d/1MeEWN-I1oV_STSDYn1IFDPWt_1FKiwhDph83XaGc0o0/edit?usp=sharing"",""งบพรบ!DX19"")"),0)</f>
        <v>0</v>
      </c>
      <c r="N303" s="837">
        <f ca="1">IFERROR(__xludf.DUMMYFUNCTION("IMPORTRANGE(""https://docs.google.com/spreadsheets/d/1MeEWN-I1oV_STSDYn1IFDPWt_1FKiwhDph83XaGc0o0/edit?usp=sharing"",""งบพรบ!DZ19"")"),0)</f>
        <v>0</v>
      </c>
      <c r="O303" s="837">
        <f t="shared" ca="1" si="136"/>
        <v>0</v>
      </c>
      <c r="P303" s="837">
        <f t="shared" ca="1" si="137"/>
        <v>0</v>
      </c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</row>
    <row r="304" spans="1:26" ht="18.75" hidden="1">
      <c r="A304" s="942"/>
      <c r="B304" s="827"/>
      <c r="C304" s="943"/>
      <c r="D304" s="828" t="s">
        <v>21</v>
      </c>
      <c r="E304" s="827"/>
      <c r="F304" s="827"/>
      <c r="G304" s="829"/>
      <c r="H304" s="168" t="s">
        <v>12</v>
      </c>
      <c r="I304" s="944"/>
      <c r="J304" s="944"/>
      <c r="K304" s="945"/>
      <c r="L304" s="831">
        <f t="shared" ref="L304:N304" ca="1" si="140">L305+L306</f>
        <v>0</v>
      </c>
      <c r="M304" s="831">
        <f t="shared" ca="1" si="140"/>
        <v>0</v>
      </c>
      <c r="N304" s="831">
        <f t="shared" ca="1" si="140"/>
        <v>0</v>
      </c>
      <c r="O304" s="831">
        <f t="shared" ca="1" si="136"/>
        <v>0</v>
      </c>
      <c r="P304" s="831">
        <f t="shared" ca="1" si="137"/>
        <v>0</v>
      </c>
      <c r="Q304" s="818"/>
      <c r="R304" s="818"/>
      <c r="S304" s="818"/>
      <c r="T304" s="818"/>
      <c r="U304" s="818"/>
      <c r="V304" s="818"/>
      <c r="W304" s="818"/>
      <c r="X304" s="818"/>
      <c r="Y304" s="818"/>
      <c r="Z304" s="818"/>
    </row>
    <row r="305" spans="1:26" ht="19.5" hidden="1">
      <c r="A305" s="940"/>
      <c r="B305" s="833"/>
      <c r="C305" s="946"/>
      <c r="D305" s="833"/>
      <c r="E305" s="834" t="s">
        <v>18</v>
      </c>
      <c r="F305" s="833"/>
      <c r="G305" s="941"/>
      <c r="H305" s="165" t="s">
        <v>12</v>
      </c>
      <c r="I305" s="947"/>
      <c r="J305" s="947"/>
      <c r="K305" s="948"/>
      <c r="L305" s="837">
        <v>0</v>
      </c>
      <c r="M305" s="837">
        <v>0</v>
      </c>
      <c r="N305" s="837">
        <v>0</v>
      </c>
      <c r="O305" s="837">
        <f t="shared" si="136"/>
        <v>0</v>
      </c>
      <c r="P305" s="837">
        <f t="shared" si="137"/>
        <v>0</v>
      </c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</row>
    <row r="306" spans="1:26" ht="19.5" hidden="1">
      <c r="A306" s="940"/>
      <c r="B306" s="833"/>
      <c r="C306" s="946"/>
      <c r="D306" s="833"/>
      <c r="E306" s="834" t="s">
        <v>19</v>
      </c>
      <c r="F306" s="833"/>
      <c r="G306" s="941"/>
      <c r="H306" s="169" t="s">
        <v>12</v>
      </c>
      <c r="I306" s="947"/>
      <c r="J306" s="947"/>
      <c r="K306" s="948"/>
      <c r="L306" s="837">
        <f ca="1">IFERROR(__xludf.DUMMYFUNCTION("IMPORTRANGE(""https://docs.google.com/spreadsheets/d/1MeEWN-I1oV_STSDYn1IFDPWt_1FKiwhDph83XaGc0o0/edit?usp=sharing"",""งบพรบ!DV19"")"),0)</f>
        <v>0</v>
      </c>
      <c r="M306" s="837">
        <f ca="1">IFERROR(__xludf.DUMMYFUNCTION("IMPORTRANGE(""https://docs.google.com/spreadsheets/d/1MeEWN-I1oV_STSDYn1IFDPWt_1FKiwhDph83XaGc0o0/edit?usp=sharing"",""งบพรบ!DY19"")"),0)</f>
        <v>0</v>
      </c>
      <c r="N306" s="837">
        <f ca="1">IFERROR(__xludf.DUMMYFUNCTION("IMPORTRANGE(""https://docs.google.com/spreadsheets/d/1MeEWN-I1oV_STSDYn1IFDPWt_1FKiwhDph83XaGc0o0/edit?usp=sharing"",""งบพรบ!EA19"")"),0)</f>
        <v>0</v>
      </c>
      <c r="O306" s="837">
        <f t="shared" ca="1" si="136"/>
        <v>0</v>
      </c>
      <c r="P306" s="837">
        <f t="shared" ca="1" si="137"/>
        <v>0</v>
      </c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</row>
    <row r="307" spans="1:26" ht="19.5" hidden="1">
      <c r="A307" s="949"/>
      <c r="B307" s="950"/>
      <c r="C307" s="946" t="s">
        <v>16</v>
      </c>
      <c r="D307" s="951" t="s">
        <v>38</v>
      </c>
      <c r="E307" s="952"/>
      <c r="F307" s="952"/>
      <c r="G307" s="953"/>
      <c r="H307" s="954"/>
      <c r="I307" s="830"/>
      <c r="J307" s="830"/>
      <c r="K307" s="831"/>
      <c r="L307" s="831"/>
      <c r="M307" s="831"/>
      <c r="N307" s="831"/>
      <c r="O307" s="831"/>
      <c r="P307" s="831"/>
    </row>
    <row r="308" spans="1:26" ht="18.75" hidden="1">
      <c r="A308" s="949"/>
      <c r="B308" s="950"/>
      <c r="C308" s="950"/>
      <c r="D308" s="956" t="s">
        <v>140</v>
      </c>
      <c r="E308" s="956"/>
      <c r="F308" s="956"/>
      <c r="G308" s="958"/>
      <c r="H308" s="730"/>
      <c r="I308" s="830"/>
      <c r="J308" s="959">
        <v>0</v>
      </c>
      <c r="K308" s="831"/>
      <c r="L308" s="831"/>
      <c r="M308" s="831"/>
      <c r="N308" s="831"/>
      <c r="O308" s="831"/>
      <c r="P308" s="831"/>
    </row>
    <row r="309" spans="1:26" ht="18.75" hidden="1">
      <c r="A309" s="949"/>
      <c r="B309" s="950"/>
      <c r="C309" s="950"/>
      <c r="D309" s="956" t="s">
        <v>141</v>
      </c>
      <c r="E309" s="956"/>
      <c r="F309" s="956"/>
      <c r="G309" s="958"/>
      <c r="H309" s="730" t="s">
        <v>35</v>
      </c>
      <c r="I309" s="830">
        <f ca="1">IFERROR(__xludf.DUMMYFUNCTION("IMPORTRANGE(""https://docs.google.com/spreadsheets/d/1QqKyyYR6Q21VydFLVH3TRQUabQu_ym0Zz7PgGX0-kHA/edit?usp=sharing"",""แผน!ED19"")"),0)</f>
        <v>0</v>
      </c>
      <c r="J309" s="959">
        <v>0</v>
      </c>
      <c r="K309" s="831">
        <f t="shared" ref="K309:K312" ca="1" si="141">IF(I309&gt;0,J309*100/I309,0)</f>
        <v>0</v>
      </c>
      <c r="L309" s="831"/>
      <c r="M309" s="831"/>
      <c r="N309" s="831"/>
      <c r="O309" s="831"/>
      <c r="P309" s="831"/>
    </row>
    <row r="310" spans="1:26" ht="18.75" hidden="1">
      <c r="A310" s="949"/>
      <c r="B310" s="950"/>
      <c r="C310" s="950"/>
      <c r="D310" s="956" t="s">
        <v>142</v>
      </c>
      <c r="E310" s="956"/>
      <c r="F310" s="956"/>
      <c r="G310" s="958"/>
      <c r="H310" s="730" t="s">
        <v>35</v>
      </c>
      <c r="I310" s="830">
        <f ca="1">IFERROR(__xludf.DUMMYFUNCTION("IMPORTRANGE(""https://docs.google.com/spreadsheets/d/1QqKyyYR6Q21VydFLVH3TRQUabQu_ym0Zz7PgGX0-kHA/edit?usp=sharing"",""แผน!ED19"")"),0)</f>
        <v>0</v>
      </c>
      <c r="J310" s="959">
        <v>0</v>
      </c>
      <c r="K310" s="831">
        <f t="shared" ca="1" si="141"/>
        <v>0</v>
      </c>
      <c r="L310" s="831"/>
      <c r="M310" s="831"/>
      <c r="N310" s="831"/>
      <c r="O310" s="831"/>
      <c r="P310" s="831"/>
    </row>
    <row r="311" spans="1:26" ht="18.75" hidden="1">
      <c r="A311" s="949"/>
      <c r="B311" s="950"/>
      <c r="C311" s="950"/>
      <c r="D311" s="956" t="s">
        <v>59</v>
      </c>
      <c r="E311" s="956"/>
      <c r="F311" s="956"/>
      <c r="G311" s="958"/>
      <c r="H311" s="730" t="s">
        <v>35</v>
      </c>
      <c r="I311" s="830">
        <f ca="1">IFERROR(__xludf.DUMMYFUNCTION("IMPORTRANGE(""https://docs.google.com/spreadsheets/d/1QqKyyYR6Q21VydFLVH3TRQUabQu_ym0Zz7PgGX0-kHA/edit?usp=sharing"",""แผน!ED19"")"),0)</f>
        <v>0</v>
      </c>
      <c r="J311" s="959">
        <v>0</v>
      </c>
      <c r="K311" s="831">
        <f t="shared" ca="1" si="141"/>
        <v>0</v>
      </c>
      <c r="L311" s="831"/>
      <c r="M311" s="831"/>
      <c r="N311" s="831"/>
      <c r="O311" s="831"/>
      <c r="P311" s="831"/>
    </row>
    <row r="312" spans="1:26" ht="18.75" hidden="1">
      <c r="A312" s="949"/>
      <c r="B312" s="950"/>
      <c r="C312" s="950"/>
      <c r="D312" s="956" t="s">
        <v>143</v>
      </c>
      <c r="E312" s="956"/>
      <c r="F312" s="956"/>
      <c r="G312" s="958"/>
      <c r="H312" s="730" t="s">
        <v>35</v>
      </c>
      <c r="I312" s="830">
        <f ca="1">IFERROR(__xludf.DUMMYFUNCTION("IMPORTRANGE(""https://docs.google.com/spreadsheets/d/1QqKyyYR6Q21VydFLVH3TRQUabQu_ym0Zz7PgGX0-kHA/edit?usp=sharing"",""แผน!EE19"")"),0)</f>
        <v>0</v>
      </c>
      <c r="J312" s="959">
        <v>0</v>
      </c>
      <c r="K312" s="831">
        <f t="shared" ca="1" si="141"/>
        <v>0</v>
      </c>
      <c r="L312" s="831"/>
      <c r="M312" s="831"/>
      <c r="N312" s="831"/>
      <c r="O312" s="831"/>
      <c r="P312" s="831"/>
    </row>
    <row r="313" spans="1:26" ht="19.5" hidden="1">
      <c r="A313" s="1126" t="s">
        <v>144</v>
      </c>
      <c r="B313" s="1127"/>
      <c r="C313" s="1127"/>
      <c r="D313" s="1128"/>
      <c r="E313" s="1127"/>
      <c r="F313" s="1127"/>
      <c r="G313" s="1127"/>
      <c r="H313" s="1140"/>
      <c r="I313" s="1131"/>
      <c r="J313" s="1131"/>
      <c r="K313" s="1132"/>
      <c r="L313" s="1132"/>
      <c r="M313" s="1132"/>
      <c r="N313" s="1132"/>
      <c r="O313" s="1132"/>
      <c r="P313" s="1132"/>
    </row>
    <row r="314" spans="1:26" ht="19.5" hidden="1">
      <c r="A314" s="1141"/>
      <c r="B314" s="1134" t="s">
        <v>145</v>
      </c>
      <c r="C314" s="1142"/>
      <c r="D314" s="1143"/>
      <c r="E314" s="1135"/>
      <c r="F314" s="1135"/>
      <c r="G314" s="1136"/>
      <c r="H314" s="412" t="s">
        <v>146</v>
      </c>
      <c r="I314" s="1137">
        <f t="shared" ref="I314:J314" ca="1" si="142">I325</f>
        <v>0</v>
      </c>
      <c r="J314" s="1137">
        <f t="shared" si="142"/>
        <v>0</v>
      </c>
      <c r="K314" s="1138">
        <f ca="1">IF(I314&gt;0,J314*100/I314,0)</f>
        <v>0</v>
      </c>
      <c r="L314" s="1139"/>
      <c r="M314" s="1139"/>
      <c r="N314" s="1139"/>
      <c r="O314" s="1139"/>
      <c r="P314" s="1139"/>
    </row>
    <row r="315" spans="1:26" ht="19.5" hidden="1">
      <c r="A315" s="932"/>
      <c r="B315" s="933"/>
      <c r="C315" s="934" t="s">
        <v>16</v>
      </c>
      <c r="D315" s="935" t="s">
        <v>17</v>
      </c>
      <c r="E315" s="933"/>
      <c r="F315" s="933"/>
      <c r="G315" s="936"/>
      <c r="H315" s="152" t="s">
        <v>12</v>
      </c>
      <c r="I315" s="937"/>
      <c r="J315" s="937"/>
      <c r="K315" s="938"/>
      <c r="L315" s="939">
        <f t="shared" ref="L315:N315" ca="1" si="143">L316+L317</f>
        <v>0</v>
      </c>
      <c r="M315" s="939">
        <f t="shared" ca="1" si="143"/>
        <v>0</v>
      </c>
      <c r="N315" s="939">
        <f t="shared" ca="1" si="143"/>
        <v>0</v>
      </c>
      <c r="O315" s="939">
        <f t="shared" ref="O315:O323" ca="1" si="144">IF(L315&gt;0,N315*100/L315,0)</f>
        <v>0</v>
      </c>
      <c r="P315" s="939">
        <f t="shared" ref="P315:P323" ca="1" si="145">IF(M315&gt;0,N315*100/M315,0)</f>
        <v>0</v>
      </c>
      <c r="Q315" s="818"/>
      <c r="R315" s="818"/>
      <c r="S315" s="818"/>
      <c r="T315" s="818"/>
      <c r="U315" s="818"/>
      <c r="V315" s="818"/>
      <c r="W315" s="818"/>
      <c r="X315" s="818"/>
      <c r="Y315" s="818"/>
      <c r="Z315" s="818"/>
    </row>
    <row r="316" spans="1:26" ht="18.75" hidden="1">
      <c r="A316" s="940"/>
      <c r="B316" s="833"/>
      <c r="C316" s="833"/>
      <c r="D316" s="833"/>
      <c r="E316" s="834" t="s">
        <v>18</v>
      </c>
      <c r="F316" s="833"/>
      <c r="G316" s="941"/>
      <c r="H316" s="158" t="s">
        <v>12</v>
      </c>
      <c r="I316" s="836"/>
      <c r="J316" s="836"/>
      <c r="K316" s="837"/>
      <c r="L316" s="837">
        <f t="shared" ref="L316:N317" si="146">L319+L322</f>
        <v>0</v>
      </c>
      <c r="M316" s="837">
        <f t="shared" si="146"/>
        <v>0</v>
      </c>
      <c r="N316" s="837">
        <f t="shared" si="146"/>
        <v>0</v>
      </c>
      <c r="O316" s="837">
        <f t="shared" si="144"/>
        <v>0</v>
      </c>
      <c r="P316" s="837">
        <f t="shared" si="145"/>
        <v>0</v>
      </c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</row>
    <row r="317" spans="1:26" ht="18.75" hidden="1">
      <c r="A317" s="940"/>
      <c r="B317" s="833"/>
      <c r="C317" s="833"/>
      <c r="D317" s="833"/>
      <c r="E317" s="834" t="s">
        <v>19</v>
      </c>
      <c r="F317" s="833"/>
      <c r="G317" s="941"/>
      <c r="H317" s="158" t="s">
        <v>12</v>
      </c>
      <c r="I317" s="836"/>
      <c r="J317" s="836"/>
      <c r="K317" s="837"/>
      <c r="L317" s="837">
        <f t="shared" ca="1" si="146"/>
        <v>0</v>
      </c>
      <c r="M317" s="837">
        <f t="shared" ca="1" si="146"/>
        <v>0</v>
      </c>
      <c r="N317" s="837">
        <f t="shared" ca="1" si="146"/>
        <v>0</v>
      </c>
      <c r="O317" s="837">
        <f t="shared" ca="1" si="144"/>
        <v>0</v>
      </c>
      <c r="P317" s="837">
        <f t="shared" ca="1" si="145"/>
        <v>0</v>
      </c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</row>
    <row r="318" spans="1:26" ht="18.75" hidden="1">
      <c r="A318" s="942"/>
      <c r="B318" s="827"/>
      <c r="C318" s="943"/>
      <c r="D318" s="828" t="s">
        <v>20</v>
      </c>
      <c r="E318" s="827"/>
      <c r="F318" s="827"/>
      <c r="G318" s="829"/>
      <c r="H318" s="778" t="s">
        <v>12</v>
      </c>
      <c r="I318" s="944"/>
      <c r="J318" s="944"/>
      <c r="K318" s="945"/>
      <c r="L318" s="831">
        <f t="shared" ref="L318:N318" ca="1" si="147">L319+L320</f>
        <v>0</v>
      </c>
      <c r="M318" s="831">
        <f t="shared" ca="1" si="147"/>
        <v>0</v>
      </c>
      <c r="N318" s="831">
        <f t="shared" ca="1" si="147"/>
        <v>0</v>
      </c>
      <c r="O318" s="831">
        <f t="shared" ca="1" si="144"/>
        <v>0</v>
      </c>
      <c r="P318" s="831">
        <f t="shared" ca="1" si="145"/>
        <v>0</v>
      </c>
      <c r="Q318" s="818"/>
      <c r="R318" s="818"/>
      <c r="S318" s="818"/>
      <c r="T318" s="818"/>
      <c r="U318" s="818"/>
      <c r="V318" s="818"/>
      <c r="W318" s="818"/>
      <c r="X318" s="818"/>
      <c r="Y318" s="818"/>
      <c r="Z318" s="818"/>
    </row>
    <row r="319" spans="1:26" ht="19.5" hidden="1">
      <c r="A319" s="940"/>
      <c r="B319" s="833"/>
      <c r="C319" s="946"/>
      <c r="D319" s="833"/>
      <c r="E319" s="834" t="s">
        <v>36</v>
      </c>
      <c r="F319" s="833"/>
      <c r="G319" s="941"/>
      <c r="H319" s="165" t="s">
        <v>12</v>
      </c>
      <c r="I319" s="947"/>
      <c r="J319" s="947"/>
      <c r="K319" s="948"/>
      <c r="L319" s="837">
        <v>0</v>
      </c>
      <c r="M319" s="837">
        <v>0</v>
      </c>
      <c r="N319" s="837">
        <v>0</v>
      </c>
      <c r="O319" s="837">
        <f t="shared" si="144"/>
        <v>0</v>
      </c>
      <c r="P319" s="837">
        <f t="shared" si="145"/>
        <v>0</v>
      </c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</row>
    <row r="320" spans="1:26" ht="19.5" hidden="1">
      <c r="A320" s="940"/>
      <c r="B320" s="833"/>
      <c r="C320" s="946"/>
      <c r="D320" s="833"/>
      <c r="E320" s="834" t="s">
        <v>37</v>
      </c>
      <c r="F320" s="833"/>
      <c r="G320" s="941"/>
      <c r="H320" s="165" t="s">
        <v>12</v>
      </c>
      <c r="I320" s="947"/>
      <c r="J320" s="947"/>
      <c r="K320" s="948"/>
      <c r="L320" s="837">
        <f ca="1">IFERROR(__xludf.DUMMYFUNCTION("IMPORTRANGE(""https://docs.google.com/spreadsheets/d/1MeEWN-I1oV_STSDYn1IFDPWt_1FKiwhDph83XaGc0o0/edit?usp=sharing"",""งบพรบ!EC19"")"),0)</f>
        <v>0</v>
      </c>
      <c r="M320" s="837">
        <f ca="1">IFERROR(__xludf.DUMMYFUNCTION("IMPORTRANGE(""https://docs.google.com/spreadsheets/d/1MeEWN-I1oV_STSDYn1IFDPWt_1FKiwhDph83XaGc0o0/edit?usp=sharing"",""งบพรบ!EH19"")"),0)</f>
        <v>0</v>
      </c>
      <c r="N320" s="837">
        <f ca="1">IFERROR(__xludf.DUMMYFUNCTION("IMPORTRANGE(""https://docs.google.com/spreadsheets/d/1MeEWN-I1oV_STSDYn1IFDPWt_1FKiwhDph83XaGc0o0/edit?usp=sharing"",""งบพรบ!EJ19"")"),0)</f>
        <v>0</v>
      </c>
      <c r="O320" s="837">
        <f t="shared" ca="1" si="144"/>
        <v>0</v>
      </c>
      <c r="P320" s="837">
        <f t="shared" ca="1" si="145"/>
        <v>0</v>
      </c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</row>
    <row r="321" spans="1:26" ht="18.75" hidden="1">
      <c r="A321" s="942"/>
      <c r="B321" s="827"/>
      <c r="C321" s="943"/>
      <c r="D321" s="828" t="s">
        <v>21</v>
      </c>
      <c r="E321" s="827"/>
      <c r="F321" s="827"/>
      <c r="G321" s="829"/>
      <c r="H321" s="168" t="s">
        <v>12</v>
      </c>
      <c r="I321" s="944"/>
      <c r="J321" s="944"/>
      <c r="K321" s="945"/>
      <c r="L321" s="831">
        <f t="shared" ref="L321:N321" ca="1" si="148">L322+L323</f>
        <v>0</v>
      </c>
      <c r="M321" s="831">
        <f t="shared" ca="1" si="148"/>
        <v>0</v>
      </c>
      <c r="N321" s="831">
        <f t="shared" ca="1" si="148"/>
        <v>0</v>
      </c>
      <c r="O321" s="831">
        <f t="shared" ca="1" si="144"/>
        <v>0</v>
      </c>
      <c r="P321" s="831">
        <f t="shared" ca="1" si="145"/>
        <v>0</v>
      </c>
      <c r="Q321" s="818"/>
      <c r="R321" s="818"/>
      <c r="S321" s="818"/>
      <c r="T321" s="818"/>
      <c r="U321" s="818"/>
      <c r="V321" s="818"/>
      <c r="W321" s="818"/>
      <c r="X321" s="818"/>
      <c r="Y321" s="818"/>
      <c r="Z321" s="818"/>
    </row>
    <row r="322" spans="1:26" ht="19.5" hidden="1">
      <c r="A322" s="940"/>
      <c r="B322" s="833"/>
      <c r="C322" s="946"/>
      <c r="D322" s="833"/>
      <c r="E322" s="834" t="s">
        <v>18</v>
      </c>
      <c r="F322" s="833"/>
      <c r="G322" s="941"/>
      <c r="H322" s="165" t="s">
        <v>12</v>
      </c>
      <c r="I322" s="947"/>
      <c r="J322" s="947"/>
      <c r="K322" s="948"/>
      <c r="L322" s="837">
        <v>0</v>
      </c>
      <c r="M322" s="837">
        <v>0</v>
      </c>
      <c r="N322" s="837">
        <v>0</v>
      </c>
      <c r="O322" s="837">
        <f t="shared" si="144"/>
        <v>0</v>
      </c>
      <c r="P322" s="837">
        <f t="shared" si="145"/>
        <v>0</v>
      </c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</row>
    <row r="323" spans="1:26" ht="19.5" hidden="1">
      <c r="A323" s="940"/>
      <c r="B323" s="833"/>
      <c r="C323" s="946"/>
      <c r="D323" s="833"/>
      <c r="E323" s="834" t="s">
        <v>19</v>
      </c>
      <c r="F323" s="833"/>
      <c r="G323" s="941"/>
      <c r="H323" s="169" t="s">
        <v>12</v>
      </c>
      <c r="I323" s="947"/>
      <c r="J323" s="947"/>
      <c r="K323" s="948"/>
      <c r="L323" s="837">
        <f ca="1">IFERROR(__xludf.DUMMYFUNCTION("IMPORTRANGE(""https://docs.google.com/spreadsheets/d/1MeEWN-I1oV_STSDYn1IFDPWt_1FKiwhDph83XaGc0o0/edit?usp=sharing"",""งบพรบ!EF19"")"),0)</f>
        <v>0</v>
      </c>
      <c r="M323" s="837">
        <f ca="1">IFERROR(__xludf.DUMMYFUNCTION("IMPORTRANGE(""https://docs.google.com/spreadsheets/d/1MeEWN-I1oV_STSDYn1IFDPWt_1FKiwhDph83XaGc0o0/edit?usp=sharing"",""งบพรบ!EI19"")"),0)</f>
        <v>0</v>
      </c>
      <c r="N323" s="837">
        <f ca="1">IFERROR(__xludf.DUMMYFUNCTION("IMPORTRANGE(""https://docs.google.com/spreadsheets/d/1MeEWN-I1oV_STSDYn1IFDPWt_1FKiwhDph83XaGc0o0/edit?usp=sharing"",""งบพรบ!EK19"")"),0)</f>
        <v>0</v>
      </c>
      <c r="O323" s="837">
        <f t="shared" ca="1" si="144"/>
        <v>0</v>
      </c>
      <c r="P323" s="837">
        <f t="shared" ca="1" si="145"/>
        <v>0</v>
      </c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</row>
    <row r="324" spans="1:26" ht="19.5" hidden="1">
      <c r="A324" s="949"/>
      <c r="B324" s="950"/>
      <c r="C324" s="946" t="s">
        <v>16</v>
      </c>
      <c r="D324" s="951" t="s">
        <v>38</v>
      </c>
      <c r="E324" s="952"/>
      <c r="F324" s="952"/>
      <c r="G324" s="953"/>
      <c r="H324" s="954"/>
      <c r="I324" s="944"/>
      <c r="J324" s="830"/>
      <c r="K324" s="831"/>
      <c r="L324" s="831"/>
      <c r="M324" s="831"/>
      <c r="N324" s="831"/>
      <c r="O324" s="945"/>
      <c r="P324" s="945"/>
    </row>
    <row r="325" spans="1:26" ht="18.75" hidden="1">
      <c r="A325" s="949"/>
      <c r="B325" s="950"/>
      <c r="C325" s="950"/>
      <c r="D325" s="955" t="s">
        <v>147</v>
      </c>
      <c r="E325" s="957"/>
      <c r="F325" s="956"/>
      <c r="G325" s="958"/>
      <c r="H325" s="590" t="s">
        <v>146</v>
      </c>
      <c r="I325" s="830">
        <f ca="1">IFERROR(__xludf.DUMMYFUNCTION("IMPORTRANGE(""https://docs.google.com/spreadsheets/d/1QqKyyYR6Q21VydFLVH3TRQUabQu_ym0Zz7PgGX0-kHA/edit?usp=sharing"",""แผน!EF19"")"),0)</f>
        <v>0</v>
      </c>
      <c r="J325" s="959">
        <v>0</v>
      </c>
      <c r="K325" s="831">
        <f ca="1">IF(I325&gt;0,J325*100/I325,0)</f>
        <v>0</v>
      </c>
      <c r="L325" s="831"/>
      <c r="M325" s="831"/>
      <c r="N325" s="831"/>
      <c r="O325" s="945"/>
      <c r="P325" s="945"/>
    </row>
    <row r="326" spans="1:26" ht="19.5">
      <c r="A326" s="1126" t="s">
        <v>148</v>
      </c>
      <c r="B326" s="1127"/>
      <c r="C326" s="1127"/>
      <c r="D326" s="1128"/>
      <c r="E326" s="1127"/>
      <c r="F326" s="1127"/>
      <c r="G326" s="1127"/>
      <c r="H326" s="1140"/>
      <c r="I326" s="1131"/>
      <c r="J326" s="1131"/>
      <c r="K326" s="1132"/>
      <c r="L326" s="1132"/>
      <c r="M326" s="1132"/>
      <c r="N326" s="1132"/>
      <c r="O326" s="1132"/>
      <c r="P326" s="1132"/>
    </row>
    <row r="327" spans="1:26" ht="19.5">
      <c r="A327" s="1133"/>
      <c r="B327" s="1134" t="s">
        <v>149</v>
      </c>
      <c r="C327" s="1143"/>
      <c r="D327" s="1135"/>
      <c r="E327" s="1135"/>
      <c r="F327" s="1135"/>
      <c r="G327" s="1136"/>
      <c r="H327" s="412" t="s">
        <v>35</v>
      </c>
      <c r="I327" s="1137">
        <f ca="1">IFERROR(__xludf.DUMMYFUNCTION("IMPORTRANGE(""https://docs.google.com/spreadsheets/d/1QqKyyYR6Q21VydFLVH3TRQUabQu_ym0Zz7PgGX0-kHA/edit?usp=sharing"",""แผน!EG19"")"),1600)</f>
        <v>1600</v>
      </c>
      <c r="J327" s="1137">
        <f ca="1">J338+J341+J342+J343</f>
        <v>1270</v>
      </c>
      <c r="K327" s="1138">
        <f ca="1">IF(I327&gt;0,J327*100/I327,0)</f>
        <v>79.375</v>
      </c>
      <c r="L327" s="1139"/>
      <c r="M327" s="1139"/>
      <c r="N327" s="1139"/>
      <c r="O327" s="1139"/>
      <c r="P327" s="1139"/>
    </row>
    <row r="328" spans="1:26" ht="19.5">
      <c r="A328" s="932"/>
      <c r="B328" s="933"/>
      <c r="C328" s="934" t="s">
        <v>16</v>
      </c>
      <c r="D328" s="935" t="s">
        <v>17</v>
      </c>
      <c r="E328" s="933"/>
      <c r="F328" s="933"/>
      <c r="G328" s="936"/>
      <c r="H328" s="152" t="s">
        <v>12</v>
      </c>
      <c r="I328" s="937"/>
      <c r="J328" s="937"/>
      <c r="K328" s="938"/>
      <c r="L328" s="939">
        <f t="shared" ref="L328:N328" ca="1" si="149">L329+L330</f>
        <v>172000</v>
      </c>
      <c r="M328" s="939">
        <f t="shared" ca="1" si="149"/>
        <v>131500</v>
      </c>
      <c r="N328" s="939">
        <f t="shared" ca="1" si="149"/>
        <v>51040</v>
      </c>
      <c r="O328" s="939">
        <f t="shared" ref="O328:O336" ca="1" si="150">IF(L328&gt;0,N328*100/L328,0)</f>
        <v>29.674418604651162</v>
      </c>
      <c r="P328" s="939">
        <f t="shared" ref="P328:P336" ca="1" si="151">IF(M328&gt;0,N328*100/M328,0)</f>
        <v>38.813688212927758</v>
      </c>
      <c r="Q328" s="818"/>
      <c r="R328" s="818"/>
      <c r="S328" s="818"/>
      <c r="T328" s="818"/>
      <c r="U328" s="818"/>
      <c r="V328" s="818"/>
      <c r="W328" s="818"/>
      <c r="X328" s="818"/>
      <c r="Y328" s="818"/>
      <c r="Z328" s="818"/>
    </row>
    <row r="329" spans="1:26" ht="18.75" hidden="1">
      <c r="A329" s="940"/>
      <c r="B329" s="833"/>
      <c r="C329" s="833"/>
      <c r="D329" s="833"/>
      <c r="E329" s="834" t="s">
        <v>18</v>
      </c>
      <c r="F329" s="833"/>
      <c r="G329" s="941"/>
      <c r="H329" s="158" t="s">
        <v>12</v>
      </c>
      <c r="I329" s="836"/>
      <c r="J329" s="836"/>
      <c r="K329" s="837"/>
      <c r="L329" s="837">
        <f t="shared" ref="L329:N330" si="152">L332+L335</f>
        <v>0</v>
      </c>
      <c r="M329" s="837">
        <f t="shared" si="152"/>
        <v>0</v>
      </c>
      <c r="N329" s="837">
        <f t="shared" si="152"/>
        <v>0</v>
      </c>
      <c r="O329" s="837">
        <f t="shared" si="150"/>
        <v>0</v>
      </c>
      <c r="P329" s="837">
        <f t="shared" si="151"/>
        <v>0</v>
      </c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</row>
    <row r="330" spans="1:26" ht="18.75" hidden="1">
      <c r="A330" s="940"/>
      <c r="B330" s="833"/>
      <c r="C330" s="833"/>
      <c r="D330" s="833"/>
      <c r="E330" s="834" t="s">
        <v>19</v>
      </c>
      <c r="F330" s="833"/>
      <c r="G330" s="941"/>
      <c r="H330" s="158" t="s">
        <v>12</v>
      </c>
      <c r="I330" s="836"/>
      <c r="J330" s="836"/>
      <c r="K330" s="837"/>
      <c r="L330" s="837">
        <f t="shared" ca="1" si="152"/>
        <v>172000</v>
      </c>
      <c r="M330" s="837">
        <f t="shared" ca="1" si="152"/>
        <v>131500</v>
      </c>
      <c r="N330" s="837">
        <f t="shared" ca="1" si="152"/>
        <v>51040</v>
      </c>
      <c r="O330" s="837">
        <f t="shared" ca="1" si="150"/>
        <v>29.674418604651162</v>
      </c>
      <c r="P330" s="837">
        <f t="shared" ca="1" si="151"/>
        <v>38.813688212927758</v>
      </c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</row>
    <row r="331" spans="1:26" ht="18.75">
      <c r="A331" s="942"/>
      <c r="B331" s="827"/>
      <c r="C331" s="943"/>
      <c r="D331" s="828" t="s">
        <v>20</v>
      </c>
      <c r="E331" s="827"/>
      <c r="F331" s="827"/>
      <c r="G331" s="829"/>
      <c r="H331" s="778" t="s">
        <v>12</v>
      </c>
      <c r="I331" s="944"/>
      <c r="J331" s="944"/>
      <c r="K331" s="945"/>
      <c r="L331" s="831">
        <f t="shared" ref="L331:N331" ca="1" si="153">L332+L333</f>
        <v>172000</v>
      </c>
      <c r="M331" s="831">
        <f t="shared" ca="1" si="153"/>
        <v>131500</v>
      </c>
      <c r="N331" s="831">
        <f t="shared" ca="1" si="153"/>
        <v>51040</v>
      </c>
      <c r="O331" s="831">
        <f t="shared" ca="1" si="150"/>
        <v>29.674418604651162</v>
      </c>
      <c r="P331" s="831">
        <f t="shared" ca="1" si="151"/>
        <v>38.813688212927758</v>
      </c>
      <c r="Q331" s="818"/>
      <c r="R331" s="818"/>
      <c r="S331" s="818"/>
      <c r="T331" s="818"/>
      <c r="U331" s="818"/>
      <c r="V331" s="818"/>
      <c r="W331" s="818"/>
      <c r="X331" s="818"/>
      <c r="Y331" s="818"/>
      <c r="Z331" s="818"/>
    </row>
    <row r="332" spans="1:26" ht="19.5" hidden="1">
      <c r="A332" s="940"/>
      <c r="B332" s="833"/>
      <c r="C332" s="946"/>
      <c r="D332" s="833"/>
      <c r="E332" s="834" t="s">
        <v>36</v>
      </c>
      <c r="F332" s="833"/>
      <c r="G332" s="941"/>
      <c r="H332" s="165" t="s">
        <v>12</v>
      </c>
      <c r="I332" s="947"/>
      <c r="J332" s="947"/>
      <c r="K332" s="948"/>
      <c r="L332" s="837">
        <v>0</v>
      </c>
      <c r="M332" s="837">
        <v>0</v>
      </c>
      <c r="N332" s="837">
        <v>0</v>
      </c>
      <c r="O332" s="837">
        <f t="shared" si="150"/>
        <v>0</v>
      </c>
      <c r="P332" s="837">
        <f t="shared" si="151"/>
        <v>0</v>
      </c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</row>
    <row r="333" spans="1:26" ht="19.5" hidden="1">
      <c r="A333" s="940"/>
      <c r="B333" s="833"/>
      <c r="C333" s="946"/>
      <c r="D333" s="833"/>
      <c r="E333" s="834" t="s">
        <v>37</v>
      </c>
      <c r="F333" s="833"/>
      <c r="G333" s="941"/>
      <c r="H333" s="165" t="s">
        <v>12</v>
      </c>
      <c r="I333" s="947"/>
      <c r="J333" s="947"/>
      <c r="K333" s="948"/>
      <c r="L333" s="837">
        <f ca="1">IFERROR(__xludf.DUMMYFUNCTION("IMPORTRANGE(""https://docs.google.com/spreadsheets/d/1MeEWN-I1oV_STSDYn1IFDPWt_1FKiwhDph83XaGc0o0/edit?usp=sharing"",""งบพรบ!EM19"")"),172000)</f>
        <v>172000</v>
      </c>
      <c r="M333" s="837">
        <f ca="1">IFERROR(__xludf.DUMMYFUNCTION("IMPORTRANGE(""https://docs.google.com/spreadsheets/d/1MeEWN-I1oV_STSDYn1IFDPWt_1FKiwhDph83XaGc0o0/edit?usp=sharing"",""งบพรบ!ER19"")"),131500)</f>
        <v>131500</v>
      </c>
      <c r="N333" s="837">
        <f ca="1">IFERROR(__xludf.DUMMYFUNCTION("IMPORTRANGE(""https://docs.google.com/spreadsheets/d/1MeEWN-I1oV_STSDYn1IFDPWt_1FKiwhDph83XaGc0o0/edit?usp=sharing"",""งบพรบ!ET19"")"),51040)</f>
        <v>51040</v>
      </c>
      <c r="O333" s="837">
        <f t="shared" ca="1" si="150"/>
        <v>29.674418604651162</v>
      </c>
      <c r="P333" s="837">
        <f t="shared" ca="1" si="151"/>
        <v>38.813688212927758</v>
      </c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</row>
    <row r="334" spans="1:26" ht="18.75">
      <c r="A334" s="942"/>
      <c r="B334" s="827"/>
      <c r="C334" s="943"/>
      <c r="D334" s="828" t="s">
        <v>21</v>
      </c>
      <c r="E334" s="827"/>
      <c r="F334" s="827"/>
      <c r="G334" s="829"/>
      <c r="H334" s="168" t="s">
        <v>12</v>
      </c>
      <c r="I334" s="944"/>
      <c r="J334" s="944"/>
      <c r="K334" s="945"/>
      <c r="L334" s="831">
        <f t="shared" ref="L334:N334" ca="1" si="154">L335+L336</f>
        <v>0</v>
      </c>
      <c r="M334" s="831">
        <f t="shared" ca="1" si="154"/>
        <v>0</v>
      </c>
      <c r="N334" s="831">
        <f t="shared" ca="1" si="154"/>
        <v>0</v>
      </c>
      <c r="O334" s="831">
        <f t="shared" ca="1" si="150"/>
        <v>0</v>
      </c>
      <c r="P334" s="831">
        <f t="shared" ca="1" si="151"/>
        <v>0</v>
      </c>
      <c r="Q334" s="818"/>
      <c r="R334" s="818"/>
      <c r="S334" s="818"/>
      <c r="T334" s="818"/>
      <c r="U334" s="818"/>
      <c r="V334" s="818"/>
      <c r="W334" s="818"/>
      <c r="X334" s="818"/>
      <c r="Y334" s="818"/>
      <c r="Z334" s="818"/>
    </row>
    <row r="335" spans="1:26" ht="19.5" hidden="1">
      <c r="A335" s="940"/>
      <c r="B335" s="833"/>
      <c r="C335" s="946"/>
      <c r="D335" s="833"/>
      <c r="E335" s="834" t="s">
        <v>18</v>
      </c>
      <c r="F335" s="833"/>
      <c r="G335" s="941"/>
      <c r="H335" s="165" t="s">
        <v>12</v>
      </c>
      <c r="I335" s="947"/>
      <c r="J335" s="947"/>
      <c r="K335" s="948"/>
      <c r="L335" s="837">
        <v>0</v>
      </c>
      <c r="M335" s="837">
        <v>0</v>
      </c>
      <c r="N335" s="837">
        <v>0</v>
      </c>
      <c r="O335" s="837">
        <f t="shared" si="150"/>
        <v>0</v>
      </c>
      <c r="P335" s="837">
        <f t="shared" si="151"/>
        <v>0</v>
      </c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</row>
    <row r="336" spans="1:26" ht="19.5" hidden="1">
      <c r="A336" s="940"/>
      <c r="B336" s="833"/>
      <c r="C336" s="946"/>
      <c r="D336" s="833"/>
      <c r="E336" s="834" t="s">
        <v>19</v>
      </c>
      <c r="F336" s="833"/>
      <c r="G336" s="941"/>
      <c r="H336" s="169" t="s">
        <v>12</v>
      </c>
      <c r="I336" s="947"/>
      <c r="J336" s="947"/>
      <c r="K336" s="948"/>
      <c r="L336" s="837">
        <f ca="1">IFERROR(__xludf.DUMMYFUNCTION("IMPORTRANGE(""https://docs.google.com/spreadsheets/d/1MeEWN-I1oV_STSDYn1IFDPWt_1FKiwhDph83XaGc0o0/edit?usp=sharing"",""งบพรบ!EP19"")"),0)</f>
        <v>0</v>
      </c>
      <c r="M336" s="837">
        <f ca="1">IFERROR(__xludf.DUMMYFUNCTION("IMPORTRANGE(""https://docs.google.com/spreadsheets/d/1MeEWN-I1oV_STSDYn1IFDPWt_1FKiwhDph83XaGc0o0/edit?usp=sharing"",""งบพรบ!ES19"")"),0)</f>
        <v>0</v>
      </c>
      <c r="N336" s="837">
        <f ca="1">IFERROR(__xludf.DUMMYFUNCTION("IMPORTRANGE(""https://docs.google.com/spreadsheets/d/1MeEWN-I1oV_STSDYn1IFDPWt_1FKiwhDph83XaGc0o0/edit?usp=sharing"",""งบพรบ!EU19"")"),0)</f>
        <v>0</v>
      </c>
      <c r="O336" s="837">
        <f t="shared" ca="1" si="150"/>
        <v>0</v>
      </c>
      <c r="P336" s="837">
        <f t="shared" ca="1" si="151"/>
        <v>0</v>
      </c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</row>
    <row r="337" spans="1:26" ht="19.5">
      <c r="A337" s="949"/>
      <c r="B337" s="950"/>
      <c r="C337" s="946" t="s">
        <v>16</v>
      </c>
      <c r="D337" s="951" t="s">
        <v>38</v>
      </c>
      <c r="E337" s="952"/>
      <c r="F337" s="952"/>
      <c r="G337" s="953"/>
      <c r="H337" s="954"/>
      <c r="I337" s="944"/>
      <c r="J337" s="830"/>
      <c r="K337" s="831"/>
      <c r="L337" s="831"/>
      <c r="M337" s="831"/>
      <c r="N337" s="831"/>
      <c r="O337" s="945"/>
      <c r="P337" s="945"/>
    </row>
    <row r="338" spans="1:26" ht="18.75">
      <c r="A338" s="1032"/>
      <c r="B338" s="827"/>
      <c r="C338" s="1030"/>
      <c r="D338" s="956" t="s">
        <v>150</v>
      </c>
      <c r="E338" s="950"/>
      <c r="F338" s="827"/>
      <c r="G338" s="829"/>
      <c r="H338" s="277" t="s">
        <v>35</v>
      </c>
      <c r="I338" s="830">
        <f ca="1">IFERROR(__xludf.DUMMYFUNCTION("IMPORTRANGE(""https://docs.google.com/spreadsheets/d/1QqKyyYR6Q21VydFLVH3TRQUabQu_ym0Zz7PgGX0-kHA/edit?usp=sharing"",""แผน!EG19"")"),1600)</f>
        <v>1600</v>
      </c>
      <c r="J338" s="830">
        <f ca="1">IFERROR(__xludf.DUMMYFUNCTION("IMPORTRANGE(""https://docs.google.com/spreadsheets/d/1kVcqe37tkHyjCSG3S0O1AXqVkqjo8mSIZil3BcpIysc/edit?usp=sharing"",""ศูนย์!D19"")"),1072)</f>
        <v>1072</v>
      </c>
      <c r="K338" s="831">
        <f ca="1">IF(I338&gt;0,J338*100/I338,0)</f>
        <v>67</v>
      </c>
      <c r="L338" s="831"/>
      <c r="M338" s="831"/>
      <c r="N338" s="831"/>
      <c r="O338" s="831"/>
      <c r="P338" s="831"/>
    </row>
    <row r="339" spans="1:26" ht="18.75">
      <c r="A339" s="1032"/>
      <c r="B339" s="827"/>
      <c r="C339" s="1030"/>
      <c r="D339" s="956" t="s">
        <v>151</v>
      </c>
      <c r="E339" s="950"/>
      <c r="F339" s="827"/>
      <c r="G339" s="829"/>
      <c r="H339" s="277"/>
      <c r="I339" s="830"/>
      <c r="J339" s="830"/>
      <c r="K339" s="831"/>
      <c r="L339" s="831"/>
      <c r="M339" s="831"/>
      <c r="N339" s="831"/>
      <c r="O339" s="831"/>
      <c r="P339" s="831"/>
    </row>
    <row r="340" spans="1:26" ht="18.75">
      <c r="A340" s="1032"/>
      <c r="B340" s="827"/>
      <c r="C340" s="1030"/>
      <c r="D340" s="957"/>
      <c r="E340" s="956" t="s">
        <v>152</v>
      </c>
      <c r="F340" s="827"/>
      <c r="G340" s="829"/>
      <c r="H340" s="277" t="s">
        <v>153</v>
      </c>
      <c r="I340" s="830">
        <f ca="1">IFERROR(__xludf.DUMMYFUNCTION("IMPORTRANGE(""https://docs.google.com/spreadsheets/d/1QqKyyYR6Q21VydFLVH3TRQUabQu_ym0Zz7PgGX0-kHA/edit?usp=sharing"",""แผน!EH19"")"),7)</f>
        <v>7</v>
      </c>
      <c r="J340" s="830">
        <f ca="1">IFERROR(__xludf.DUMMYFUNCTION("IMPORTRANGE(""https://docs.google.com/spreadsheets/d/1kVcqe37tkHyjCSG3S0O1AXqVkqjo8mSIZil3BcpIysc/edit?usp=sharing"",""ศูนย์!E19"")"),3)</f>
        <v>3</v>
      </c>
      <c r="K340" s="831">
        <f ca="1">IF(I340&gt;0,J340*100/I340,0)</f>
        <v>42.857142857142854</v>
      </c>
      <c r="L340" s="831"/>
      <c r="M340" s="831"/>
      <c r="N340" s="831"/>
      <c r="O340" s="831"/>
      <c r="P340" s="831"/>
    </row>
    <row r="341" spans="1:26" ht="18.75">
      <c r="A341" s="1032"/>
      <c r="B341" s="827"/>
      <c r="C341" s="1030"/>
      <c r="D341" s="957"/>
      <c r="E341" s="956" t="s">
        <v>154</v>
      </c>
      <c r="F341" s="827"/>
      <c r="G341" s="829"/>
      <c r="H341" s="277" t="s">
        <v>35</v>
      </c>
      <c r="I341" s="830"/>
      <c r="J341" s="830">
        <f ca="1">IFERROR(__xludf.DUMMYFUNCTION("IMPORTRANGE(""https://docs.google.com/spreadsheets/d/1kVcqe37tkHyjCSG3S0O1AXqVkqjo8mSIZil3BcpIysc/edit?usp=sharing"",""ศูนย์!F19"")"),192)</f>
        <v>192</v>
      </c>
      <c r="K341" s="831"/>
      <c r="L341" s="831"/>
      <c r="M341" s="831"/>
      <c r="N341" s="831"/>
      <c r="O341" s="831"/>
      <c r="P341" s="831"/>
    </row>
    <row r="342" spans="1:26" ht="18.75">
      <c r="A342" s="1032"/>
      <c r="B342" s="827"/>
      <c r="C342" s="1030"/>
      <c r="D342" s="956" t="s">
        <v>155</v>
      </c>
      <c r="E342" s="957"/>
      <c r="F342" s="957"/>
      <c r="G342" s="829"/>
      <c r="H342" s="277" t="s">
        <v>35</v>
      </c>
      <c r="I342" s="830"/>
      <c r="J342" s="830">
        <f ca="1">IFERROR(__xludf.DUMMYFUNCTION("IMPORTRANGE(""https://docs.google.com/spreadsheets/d/1kVcqe37tkHyjCSG3S0O1AXqVkqjo8mSIZil3BcpIysc/edit?usp=sharing"",""ศูนย์!G19"")"),6)</f>
        <v>6</v>
      </c>
      <c r="K342" s="831"/>
      <c r="L342" s="831"/>
      <c r="M342" s="831"/>
      <c r="N342" s="831"/>
      <c r="O342" s="831"/>
      <c r="P342" s="831"/>
    </row>
    <row r="343" spans="1:26" ht="18.75">
      <c r="A343" s="1032"/>
      <c r="B343" s="827"/>
      <c r="C343" s="1030"/>
      <c r="D343" s="956" t="s">
        <v>156</v>
      </c>
      <c r="E343" s="957"/>
      <c r="F343" s="957"/>
      <c r="G343" s="829"/>
      <c r="H343" s="277" t="s">
        <v>35</v>
      </c>
      <c r="I343" s="830"/>
      <c r="J343" s="830">
        <f ca="1">IFERROR(__xludf.DUMMYFUNCTION("IMPORTRANGE(""https://docs.google.com/spreadsheets/d/1kVcqe37tkHyjCSG3S0O1AXqVkqjo8mSIZil3BcpIysc/edit?usp=sharing"",""ศูนย์!H19"")"),0)</f>
        <v>0</v>
      </c>
      <c r="K343" s="831"/>
      <c r="L343" s="831"/>
      <c r="M343" s="831"/>
      <c r="N343" s="831"/>
      <c r="O343" s="831"/>
      <c r="P343" s="831"/>
    </row>
    <row r="344" spans="1:26" ht="19.5">
      <c r="A344" s="1133"/>
      <c r="B344" s="1134" t="s">
        <v>157</v>
      </c>
      <c r="C344" s="1143"/>
      <c r="D344" s="1135"/>
      <c r="E344" s="1135"/>
      <c r="F344" s="1135"/>
      <c r="G344" s="1136"/>
      <c r="H344" s="412"/>
      <c r="I344" s="1144"/>
      <c r="J344" s="1144"/>
      <c r="K344" s="1139"/>
      <c r="L344" s="1139"/>
      <c r="M344" s="1139"/>
      <c r="N344" s="1139"/>
      <c r="O344" s="1139"/>
      <c r="P344" s="1139"/>
    </row>
    <row r="345" spans="1:26" ht="19.5">
      <c r="A345" s="932"/>
      <c r="B345" s="933"/>
      <c r="C345" s="934" t="s">
        <v>16</v>
      </c>
      <c r="D345" s="935" t="s">
        <v>17</v>
      </c>
      <c r="E345" s="933"/>
      <c r="F345" s="933"/>
      <c r="G345" s="936"/>
      <c r="H345" s="152" t="s">
        <v>12</v>
      </c>
      <c r="I345" s="937"/>
      <c r="J345" s="937"/>
      <c r="K345" s="938"/>
      <c r="L345" s="939">
        <f t="shared" ref="L345:N345" ca="1" si="155">L346+L347</f>
        <v>637150</v>
      </c>
      <c r="M345" s="939">
        <f t="shared" ca="1" si="155"/>
        <v>500570</v>
      </c>
      <c r="N345" s="939">
        <f t="shared" ca="1" si="155"/>
        <v>319980</v>
      </c>
      <c r="O345" s="939">
        <f t="shared" ref="O345:O353" ca="1" si="156">IF(L345&gt;0,N345*100/L345,0)</f>
        <v>50.220513222945932</v>
      </c>
      <c r="P345" s="939">
        <f t="shared" ref="P345:P353" ca="1" si="157">IF(M345&gt;0,N345*100/M345,0)</f>
        <v>63.923127634496673</v>
      </c>
      <c r="Q345" s="818"/>
      <c r="R345" s="818"/>
      <c r="S345" s="818"/>
      <c r="T345" s="818"/>
      <c r="U345" s="818"/>
      <c r="V345" s="818"/>
      <c r="W345" s="818"/>
      <c r="X345" s="818"/>
      <c r="Y345" s="818"/>
      <c r="Z345" s="818"/>
    </row>
    <row r="346" spans="1:26" ht="18.75" hidden="1">
      <c r="A346" s="940"/>
      <c r="B346" s="833"/>
      <c r="C346" s="833"/>
      <c r="D346" s="833"/>
      <c r="E346" s="834" t="s">
        <v>18</v>
      </c>
      <c r="F346" s="833"/>
      <c r="G346" s="941"/>
      <c r="H346" s="158" t="s">
        <v>12</v>
      </c>
      <c r="I346" s="836"/>
      <c r="J346" s="836"/>
      <c r="K346" s="837"/>
      <c r="L346" s="837">
        <f t="shared" ref="L346:N347" si="158">L349+L352</f>
        <v>0</v>
      </c>
      <c r="M346" s="837">
        <f t="shared" si="158"/>
        <v>0</v>
      </c>
      <c r="N346" s="837">
        <f t="shared" si="158"/>
        <v>0</v>
      </c>
      <c r="O346" s="837">
        <f t="shared" si="156"/>
        <v>0</v>
      </c>
      <c r="P346" s="837">
        <f t="shared" si="157"/>
        <v>0</v>
      </c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</row>
    <row r="347" spans="1:26" ht="18.75" hidden="1">
      <c r="A347" s="940"/>
      <c r="B347" s="833"/>
      <c r="C347" s="833"/>
      <c r="D347" s="833"/>
      <c r="E347" s="834" t="s">
        <v>19</v>
      </c>
      <c r="F347" s="833"/>
      <c r="G347" s="941"/>
      <c r="H347" s="158" t="s">
        <v>12</v>
      </c>
      <c r="I347" s="836"/>
      <c r="J347" s="836"/>
      <c r="K347" s="837"/>
      <c r="L347" s="837">
        <f t="shared" ca="1" si="158"/>
        <v>637150</v>
      </c>
      <c r="M347" s="837">
        <f t="shared" ca="1" si="158"/>
        <v>500570</v>
      </c>
      <c r="N347" s="837">
        <f t="shared" ca="1" si="158"/>
        <v>319980</v>
      </c>
      <c r="O347" s="837">
        <f t="shared" ca="1" si="156"/>
        <v>50.220513222945932</v>
      </c>
      <c r="P347" s="837">
        <f t="shared" ca="1" si="157"/>
        <v>63.923127634496673</v>
      </c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</row>
    <row r="348" spans="1:26" ht="18.75">
      <c r="A348" s="942"/>
      <c r="B348" s="827"/>
      <c r="C348" s="943"/>
      <c r="D348" s="828" t="s">
        <v>20</v>
      </c>
      <c r="E348" s="827"/>
      <c r="F348" s="827"/>
      <c r="G348" s="829"/>
      <c r="H348" s="778" t="s">
        <v>12</v>
      </c>
      <c r="I348" s="944"/>
      <c r="J348" s="944"/>
      <c r="K348" s="945"/>
      <c r="L348" s="831">
        <f t="shared" ref="L348:N348" ca="1" si="159">L349+L350</f>
        <v>515550</v>
      </c>
      <c r="M348" s="831">
        <f t="shared" ca="1" si="159"/>
        <v>378970</v>
      </c>
      <c r="N348" s="831">
        <f t="shared" ca="1" si="159"/>
        <v>198380</v>
      </c>
      <c r="O348" s="831">
        <f t="shared" ca="1" si="156"/>
        <v>38.479293957909029</v>
      </c>
      <c r="P348" s="831">
        <f t="shared" ca="1" si="157"/>
        <v>52.347151489563821</v>
      </c>
      <c r="Q348" s="818"/>
      <c r="R348" s="818"/>
      <c r="S348" s="818"/>
      <c r="T348" s="818"/>
      <c r="U348" s="818"/>
      <c r="V348" s="818"/>
      <c r="W348" s="818"/>
      <c r="X348" s="818"/>
      <c r="Y348" s="818"/>
      <c r="Z348" s="818"/>
    </row>
    <row r="349" spans="1:26" ht="19.5" hidden="1">
      <c r="A349" s="940"/>
      <c r="B349" s="833"/>
      <c r="C349" s="946"/>
      <c r="D349" s="833"/>
      <c r="E349" s="834" t="s">
        <v>36</v>
      </c>
      <c r="F349" s="833"/>
      <c r="G349" s="941"/>
      <c r="H349" s="165" t="s">
        <v>12</v>
      </c>
      <c r="I349" s="947"/>
      <c r="J349" s="947"/>
      <c r="K349" s="948"/>
      <c r="L349" s="837">
        <v>0</v>
      </c>
      <c r="M349" s="837">
        <v>0</v>
      </c>
      <c r="N349" s="837">
        <v>0</v>
      </c>
      <c r="O349" s="837">
        <f t="shared" si="156"/>
        <v>0</v>
      </c>
      <c r="P349" s="837">
        <f t="shared" si="157"/>
        <v>0</v>
      </c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</row>
    <row r="350" spans="1:26" ht="19.5" hidden="1">
      <c r="A350" s="940"/>
      <c r="B350" s="833"/>
      <c r="C350" s="946"/>
      <c r="D350" s="833"/>
      <c r="E350" s="834" t="s">
        <v>37</v>
      </c>
      <c r="F350" s="833"/>
      <c r="G350" s="941"/>
      <c r="H350" s="165" t="s">
        <v>12</v>
      </c>
      <c r="I350" s="947"/>
      <c r="J350" s="947"/>
      <c r="K350" s="948"/>
      <c r="L350" s="837">
        <f ca="1">IFERROR(__xludf.DUMMYFUNCTION("IMPORTRANGE(""https://docs.google.com/spreadsheets/d/1MeEWN-I1oV_STSDYn1IFDPWt_1FKiwhDph83XaGc0o0/edit?usp=sharing"",""งบพรบ!EW19"")"),515550)</f>
        <v>515550</v>
      </c>
      <c r="M350" s="837">
        <f ca="1">IFERROR(__xludf.DUMMYFUNCTION("IMPORTRANGE(""https://docs.google.com/spreadsheets/d/1MeEWN-I1oV_STSDYn1IFDPWt_1FKiwhDph83XaGc0o0/edit?usp=sharing"",""งบพรบ!FB19"")"),378970)</f>
        <v>378970</v>
      </c>
      <c r="N350" s="837">
        <f ca="1">IFERROR(__xludf.DUMMYFUNCTION("IMPORTRANGE(""https://docs.google.com/spreadsheets/d/1MeEWN-I1oV_STSDYn1IFDPWt_1FKiwhDph83XaGc0o0/edit?usp=sharing"",""งบพรบ!FD19"")"),198380)</f>
        <v>198380</v>
      </c>
      <c r="O350" s="837">
        <f t="shared" ca="1" si="156"/>
        <v>38.479293957909029</v>
      </c>
      <c r="P350" s="837">
        <f t="shared" ca="1" si="157"/>
        <v>52.347151489563821</v>
      </c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</row>
    <row r="351" spans="1:26" ht="18.75">
      <c r="A351" s="942"/>
      <c r="B351" s="827"/>
      <c r="C351" s="943"/>
      <c r="D351" s="828" t="s">
        <v>21</v>
      </c>
      <c r="E351" s="827"/>
      <c r="F351" s="827"/>
      <c r="G351" s="829"/>
      <c r="H351" s="168" t="s">
        <v>12</v>
      </c>
      <c r="I351" s="944"/>
      <c r="J351" s="944"/>
      <c r="K351" s="945"/>
      <c r="L351" s="831">
        <f t="shared" ref="L351:N351" ca="1" si="160">L352+L353</f>
        <v>121600</v>
      </c>
      <c r="M351" s="831">
        <f t="shared" ca="1" si="160"/>
        <v>121600</v>
      </c>
      <c r="N351" s="831">
        <f t="shared" ca="1" si="160"/>
        <v>121600</v>
      </c>
      <c r="O351" s="831">
        <f t="shared" ca="1" si="156"/>
        <v>100</v>
      </c>
      <c r="P351" s="831">
        <f t="shared" ca="1" si="157"/>
        <v>100</v>
      </c>
      <c r="Q351" s="818"/>
      <c r="R351" s="818"/>
      <c r="S351" s="818"/>
      <c r="T351" s="818"/>
      <c r="U351" s="818"/>
      <c r="V351" s="818"/>
      <c r="W351" s="818"/>
      <c r="X351" s="818"/>
      <c r="Y351" s="818"/>
      <c r="Z351" s="818"/>
    </row>
    <row r="352" spans="1:26" ht="19.5" hidden="1">
      <c r="A352" s="940"/>
      <c r="B352" s="833"/>
      <c r="C352" s="946"/>
      <c r="D352" s="833"/>
      <c r="E352" s="834" t="s">
        <v>18</v>
      </c>
      <c r="F352" s="833"/>
      <c r="G352" s="941"/>
      <c r="H352" s="165" t="s">
        <v>12</v>
      </c>
      <c r="I352" s="947"/>
      <c r="J352" s="947"/>
      <c r="K352" s="948"/>
      <c r="L352" s="837">
        <v>0</v>
      </c>
      <c r="M352" s="837">
        <v>0</v>
      </c>
      <c r="N352" s="837">
        <v>0</v>
      </c>
      <c r="O352" s="837">
        <f t="shared" si="156"/>
        <v>0</v>
      </c>
      <c r="P352" s="837">
        <f t="shared" si="157"/>
        <v>0</v>
      </c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</row>
    <row r="353" spans="1:26" ht="19.5" hidden="1">
      <c r="A353" s="940"/>
      <c r="B353" s="833"/>
      <c r="C353" s="946"/>
      <c r="D353" s="833"/>
      <c r="E353" s="834" t="s">
        <v>19</v>
      </c>
      <c r="F353" s="833"/>
      <c r="G353" s="941"/>
      <c r="H353" s="169" t="s">
        <v>12</v>
      </c>
      <c r="I353" s="947"/>
      <c r="J353" s="947"/>
      <c r="K353" s="948"/>
      <c r="L353" s="837">
        <f ca="1">IFERROR(__xludf.DUMMYFUNCTION("IMPORTRANGE(""https://docs.google.com/spreadsheets/d/1MeEWN-I1oV_STSDYn1IFDPWt_1FKiwhDph83XaGc0o0/edit?usp=sharing"",""งบพรบ!EZ19"")"),121600)</f>
        <v>121600</v>
      </c>
      <c r="M353" s="837">
        <f ca="1">IFERROR(__xludf.DUMMYFUNCTION("IMPORTRANGE(""https://docs.google.com/spreadsheets/d/1MeEWN-I1oV_STSDYn1IFDPWt_1FKiwhDph83XaGc0o0/edit?usp=sharing"",""งบพรบ!FC19"")"),121600)</f>
        <v>121600</v>
      </c>
      <c r="N353" s="837">
        <f ca="1">IFERROR(__xludf.DUMMYFUNCTION("IMPORTRANGE(""https://docs.google.com/spreadsheets/d/1MeEWN-I1oV_STSDYn1IFDPWt_1FKiwhDph83XaGc0o0/edit?usp=sharing"",""งบพรบ!FE19"")"),121600)</f>
        <v>121600</v>
      </c>
      <c r="O353" s="837">
        <f t="shared" ca="1" si="156"/>
        <v>100</v>
      </c>
      <c r="P353" s="837">
        <f t="shared" ca="1" si="157"/>
        <v>100</v>
      </c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</row>
    <row r="354" spans="1:26" ht="19.5">
      <c r="A354" s="1011"/>
      <c r="B354" s="1018"/>
      <c r="C354" s="1012"/>
      <c r="D354" s="1145" t="s">
        <v>158</v>
      </c>
      <c r="E354" s="1012"/>
      <c r="F354" s="1012"/>
      <c r="G354" s="1014"/>
      <c r="H354" s="1146"/>
      <c r="I354" s="1015"/>
      <c r="J354" s="1015"/>
      <c r="K354" s="1016"/>
      <c r="L354" s="1016"/>
      <c r="M354" s="1016"/>
      <c r="N354" s="1016"/>
      <c r="O354" s="1016"/>
      <c r="P354" s="1016"/>
    </row>
    <row r="355" spans="1:26" ht="19.5">
      <c r="A355" s="1147"/>
      <c r="B355" s="1148"/>
      <c r="C355" s="1149"/>
      <c r="D355" s="1150" t="s">
        <v>159</v>
      </c>
      <c r="E355" s="1151"/>
      <c r="F355" s="1151"/>
      <c r="G355" s="1152"/>
      <c r="H355" s="431" t="s">
        <v>35</v>
      </c>
      <c r="I355" s="1153">
        <f ca="1">IFERROR(__xludf.DUMMYFUNCTION("IMPORTRANGE(""https://docs.google.com/spreadsheets/d/1QqKyyYR6Q21VydFLVH3TRQUabQu_ym0Zz7PgGX0-kHA/edit?usp=sharing"",""แผน!EP19"")"),200)</f>
        <v>200</v>
      </c>
      <c r="J355" s="1153">
        <f ca="1">J362</f>
        <v>103</v>
      </c>
      <c r="K355" s="1154">
        <f ca="1">IF(I355&gt;0,J355*100/I355,0)</f>
        <v>51.5</v>
      </c>
      <c r="L355" s="1155"/>
      <c r="M355" s="1155"/>
      <c r="N355" s="1155"/>
      <c r="O355" s="1155"/>
      <c r="P355" s="1155"/>
    </row>
    <row r="356" spans="1:26" ht="19.5">
      <c r="A356" s="1147"/>
      <c r="B356" s="1148"/>
      <c r="C356" s="1149"/>
      <c r="D356" s="1156" t="s">
        <v>160</v>
      </c>
      <c r="E356" s="1151"/>
      <c r="F356" s="1151"/>
      <c r="G356" s="1152"/>
      <c r="H356" s="1157"/>
      <c r="I356" s="1158"/>
      <c r="J356" s="1158"/>
      <c r="K356" s="1155"/>
      <c r="L356" s="1155"/>
      <c r="M356" s="1155"/>
      <c r="N356" s="1155"/>
      <c r="O356" s="1155"/>
      <c r="P356" s="1155"/>
    </row>
    <row r="357" spans="1:26" ht="19.5">
      <c r="A357" s="949"/>
      <c r="B357" s="950"/>
      <c r="C357" s="946" t="s">
        <v>16</v>
      </c>
      <c r="D357" s="951" t="s">
        <v>38</v>
      </c>
      <c r="E357" s="952"/>
      <c r="F357" s="952"/>
      <c r="G357" s="953"/>
      <c r="H357" s="954"/>
      <c r="I357" s="830"/>
      <c r="J357" s="830"/>
      <c r="K357" s="831"/>
      <c r="L357" s="945"/>
      <c r="M357" s="945"/>
      <c r="N357" s="945"/>
      <c r="O357" s="945"/>
      <c r="P357" s="945"/>
    </row>
    <row r="358" spans="1:26" ht="18.75">
      <c r="A358" s="949"/>
      <c r="B358" s="957"/>
      <c r="C358" s="950"/>
      <c r="D358" s="957"/>
      <c r="E358" s="955" t="s">
        <v>161</v>
      </c>
      <c r="F358" s="957"/>
      <c r="G358" s="958"/>
      <c r="H358" s="777" t="s">
        <v>35</v>
      </c>
      <c r="I358" s="830">
        <v>0</v>
      </c>
      <c r="J358" s="830">
        <f ca="1">IFERROR(__xludf.DUMMYFUNCTION("IMPORTRANGE(""https://docs.google.com/spreadsheets/d/1XWAQStnk-4SwqDmLtmXYiTMKHgktTP8We1SCoS47DrQ/edit?usp=sharing"",""จัดที่ดิน!W19"")"),127)</f>
        <v>127</v>
      </c>
      <c r="K358" s="831">
        <f t="shared" ref="K358:K365" si="161">IF(I358&gt;0,J358*100/I358,0)</f>
        <v>0</v>
      </c>
      <c r="L358" s="945"/>
      <c r="M358" s="945"/>
      <c r="N358" s="945"/>
      <c r="O358" s="945"/>
      <c r="P358" s="945"/>
    </row>
    <row r="359" spans="1:26" ht="18.75">
      <c r="A359" s="949"/>
      <c r="B359" s="957"/>
      <c r="C359" s="950"/>
      <c r="D359" s="957"/>
      <c r="E359" s="957"/>
      <c r="F359" s="957"/>
      <c r="G359" s="958"/>
      <c r="H359" s="777" t="s">
        <v>46</v>
      </c>
      <c r="I359" s="830">
        <f ca="1">IFERROR(__xludf.DUMMYFUNCTION("IMPORTRANGE(""https://docs.google.com/spreadsheets/d/1QqKyyYR6Q21VydFLVH3TRQUabQu_ym0Zz7PgGX0-kHA/edit?usp=sharing"",""แผน!EO19"")"),1600)</f>
        <v>1600</v>
      </c>
      <c r="J359" s="830">
        <f ca="1">IFERROR(__xludf.DUMMYFUNCTION("IMPORTRANGE(""https://docs.google.com/spreadsheets/d/1XWAQStnk-4SwqDmLtmXYiTMKHgktTP8We1SCoS47DrQ/edit?usp=sharing"",""จัดที่ดิน!X19"")"),556.04)</f>
        <v>556.04</v>
      </c>
      <c r="K359" s="831">
        <f t="shared" ca="1" si="161"/>
        <v>34.752499999999998</v>
      </c>
      <c r="L359" s="945"/>
      <c r="M359" s="945"/>
      <c r="N359" s="945"/>
      <c r="O359" s="945"/>
      <c r="P359" s="945"/>
    </row>
    <row r="360" spans="1:26" ht="18.75">
      <c r="A360" s="949"/>
      <c r="B360" s="957"/>
      <c r="C360" s="950"/>
      <c r="D360" s="957"/>
      <c r="E360" s="955" t="s">
        <v>162</v>
      </c>
      <c r="F360" s="957"/>
      <c r="G360" s="958"/>
      <c r="H360" s="730" t="s">
        <v>35</v>
      </c>
      <c r="I360" s="830">
        <f ca="1">IFERROR(__xludf.DUMMYFUNCTION("IMPORTRANGE(""https://docs.google.com/spreadsheets/d/1QqKyyYR6Q21VydFLVH3TRQUabQu_ym0Zz7PgGX0-kHA/edit?usp=sharing"",""แผน!EP19"")"),200)</f>
        <v>200</v>
      </c>
      <c r="J360" s="830">
        <f ca="1">IFERROR(__xludf.DUMMYFUNCTION("IMPORTRANGE(""https://docs.google.com/spreadsheets/d/1XWAQStnk-4SwqDmLtmXYiTMKHgktTP8We1SCoS47DrQ/edit?usp=sharing"",""จัดที่ดิน!Y19"")"),116)</f>
        <v>116</v>
      </c>
      <c r="K360" s="831">
        <f t="shared" ca="1" si="161"/>
        <v>58</v>
      </c>
      <c r="L360" s="945"/>
      <c r="M360" s="945"/>
      <c r="N360" s="945"/>
      <c r="O360" s="945"/>
      <c r="P360" s="945"/>
    </row>
    <row r="361" spans="1:26" ht="18.75">
      <c r="A361" s="949"/>
      <c r="B361" s="957"/>
      <c r="C361" s="950"/>
      <c r="D361" s="957"/>
      <c r="E361" s="957"/>
      <c r="F361" s="957"/>
      <c r="G361" s="958"/>
      <c r="H361" s="730" t="s">
        <v>46</v>
      </c>
      <c r="I361" s="830">
        <v>0</v>
      </c>
      <c r="J361" s="830">
        <f ca="1">IFERROR(__xludf.DUMMYFUNCTION("IMPORTRANGE(""https://docs.google.com/spreadsheets/d/1XWAQStnk-4SwqDmLtmXYiTMKHgktTP8We1SCoS47DrQ/edit?usp=sharing"",""จัดที่ดิน!Z19"")"),529.71)</f>
        <v>529.71</v>
      </c>
      <c r="K361" s="831">
        <f t="shared" si="161"/>
        <v>0</v>
      </c>
      <c r="L361" s="945"/>
      <c r="M361" s="945"/>
      <c r="N361" s="945"/>
      <c r="O361" s="945"/>
      <c r="P361" s="945"/>
    </row>
    <row r="362" spans="1:26" ht="18.75">
      <c r="A362" s="949"/>
      <c r="B362" s="957"/>
      <c r="C362" s="950"/>
      <c r="D362" s="957"/>
      <c r="E362" s="955" t="s">
        <v>163</v>
      </c>
      <c r="F362" s="957"/>
      <c r="G362" s="958"/>
      <c r="H362" s="730" t="s">
        <v>35</v>
      </c>
      <c r="I362" s="830">
        <f ca="1">IFERROR(__xludf.DUMMYFUNCTION("IMPORTRANGE(""https://docs.google.com/spreadsheets/d/1QqKyyYR6Q21VydFLVH3TRQUabQu_ym0Zz7PgGX0-kHA/edit?usp=sharing"",""แผน!EP19"")"),200)</f>
        <v>200</v>
      </c>
      <c r="J362" s="830">
        <f ca="1">IFERROR(__xludf.DUMMYFUNCTION("IMPORTRANGE(""https://docs.google.com/spreadsheets/d/1XWAQStnk-4SwqDmLtmXYiTMKHgktTP8We1SCoS47DrQ/edit?usp=sharing"",""จัดที่ดิน!AA19"")"),103)</f>
        <v>103</v>
      </c>
      <c r="K362" s="831">
        <f t="shared" ca="1" si="161"/>
        <v>51.5</v>
      </c>
      <c r="L362" s="945"/>
      <c r="M362" s="945"/>
      <c r="N362" s="945"/>
      <c r="O362" s="945"/>
      <c r="P362" s="945"/>
    </row>
    <row r="363" spans="1:26" ht="18.75">
      <c r="A363" s="1159" t="s">
        <v>164</v>
      </c>
      <c r="B363" s="957"/>
      <c r="C363" s="950"/>
      <c r="D363" s="957"/>
      <c r="E363" s="956"/>
      <c r="F363" s="957"/>
      <c r="G363" s="958"/>
      <c r="H363" s="730" t="s">
        <v>46</v>
      </c>
      <c r="I363" s="830">
        <v>0</v>
      </c>
      <c r="J363" s="830">
        <f ca="1">IFERROR(__xludf.DUMMYFUNCTION("IMPORTRANGE(""https://docs.google.com/spreadsheets/d/1XWAQStnk-4SwqDmLtmXYiTMKHgktTP8We1SCoS47DrQ/edit?usp=sharing"",""จัดที่ดิน!AB19"")"),480.52)</f>
        <v>480.52</v>
      </c>
      <c r="K363" s="831">
        <f t="shared" si="161"/>
        <v>0</v>
      </c>
      <c r="L363" s="945"/>
      <c r="M363" s="945"/>
      <c r="N363" s="945"/>
      <c r="O363" s="945"/>
      <c r="P363" s="945"/>
    </row>
    <row r="364" spans="1:26" ht="19.5">
      <c r="A364" s="1160"/>
      <c r="B364" s="1161"/>
      <c r="C364" s="1162"/>
      <c r="D364" s="1163" t="s">
        <v>165</v>
      </c>
      <c r="E364" s="1164"/>
      <c r="F364" s="1164"/>
      <c r="G364" s="1165"/>
      <c r="H364" s="446" t="s">
        <v>35</v>
      </c>
      <c r="I364" s="1166">
        <f t="shared" ref="I364:J364" ca="1" si="162">I365+I374</f>
        <v>500</v>
      </c>
      <c r="J364" s="1166">
        <f t="shared" ca="1" si="162"/>
        <v>132</v>
      </c>
      <c r="K364" s="1167">
        <f t="shared" ca="1" si="161"/>
        <v>26.4</v>
      </c>
      <c r="L364" s="1168"/>
      <c r="M364" s="1168"/>
      <c r="N364" s="1168"/>
      <c r="O364" s="1168"/>
      <c r="P364" s="1168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69"/>
      <c r="B365" s="1170"/>
      <c r="C365" s="1171"/>
      <c r="D365" s="1171" t="s">
        <v>166</v>
      </c>
      <c r="E365" s="1172"/>
      <c r="F365" s="1172"/>
      <c r="G365" s="1173"/>
      <c r="H365" s="457" t="s">
        <v>35</v>
      </c>
      <c r="I365" s="1174">
        <f ca="1">IFERROR(__xludf.DUMMYFUNCTION("IMPORTRANGE(""https://docs.google.com/spreadsheets/d/1QqKyyYR6Q21VydFLVH3TRQUabQu_ym0Zz7PgGX0-kHA/edit?usp=sharing"",""แผน!EJ19"")"),60)</f>
        <v>60</v>
      </c>
      <c r="J365" s="1174">
        <f ca="1">J372</f>
        <v>12</v>
      </c>
      <c r="K365" s="1175">
        <f t="shared" ca="1" si="161"/>
        <v>20</v>
      </c>
      <c r="L365" s="1176"/>
      <c r="M365" s="1176"/>
      <c r="N365" s="1176"/>
      <c r="O365" s="1176"/>
      <c r="P365" s="1176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69"/>
      <c r="B366" s="1170"/>
      <c r="C366" s="1171"/>
      <c r="D366" s="1177" t="s">
        <v>167</v>
      </c>
      <c r="E366" s="1172"/>
      <c r="F366" s="1172"/>
      <c r="G366" s="1173"/>
      <c r="H366" s="1178"/>
      <c r="I366" s="1179"/>
      <c r="J366" s="1179"/>
      <c r="K366" s="1176"/>
      <c r="L366" s="1176"/>
      <c r="M366" s="1176"/>
      <c r="N366" s="1176"/>
      <c r="O366" s="1176"/>
      <c r="P366" s="1176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49"/>
      <c r="B367" s="950"/>
      <c r="C367" s="946" t="s">
        <v>16</v>
      </c>
      <c r="D367" s="951" t="s">
        <v>38</v>
      </c>
      <c r="E367" s="952"/>
      <c r="F367" s="952"/>
      <c r="G367" s="953"/>
      <c r="H367" s="954"/>
      <c r="I367" s="830"/>
      <c r="J367" s="830"/>
      <c r="K367" s="831"/>
      <c r="L367" s="945"/>
      <c r="M367" s="945"/>
      <c r="N367" s="945"/>
      <c r="O367" s="945"/>
      <c r="P367" s="945"/>
    </row>
    <row r="368" spans="1:26" ht="18.75">
      <c r="A368" s="949"/>
      <c r="B368" s="957"/>
      <c r="C368" s="950"/>
      <c r="D368" s="957"/>
      <c r="E368" s="955" t="s">
        <v>161</v>
      </c>
      <c r="F368" s="957"/>
      <c r="G368" s="958"/>
      <c r="H368" s="777" t="s">
        <v>35</v>
      </c>
      <c r="I368" s="830">
        <v>0</v>
      </c>
      <c r="J368" s="830">
        <f ca="1">IFERROR(__xludf.DUMMYFUNCTION("IMPORTRANGE(""https://docs.google.com/spreadsheets/d/1XWAQStnk-4SwqDmLtmXYiTMKHgktTP8We1SCoS47DrQ/edit?usp=sharing"",""จัดที่ดิน!E19"")"),36)</f>
        <v>36</v>
      </c>
      <c r="K368" s="831">
        <f t="shared" ref="K368:K374" si="163">IF(I368&gt;0,J368*100/I368,0)</f>
        <v>0</v>
      </c>
      <c r="L368" s="945"/>
      <c r="M368" s="945"/>
      <c r="N368" s="945"/>
      <c r="O368" s="945"/>
      <c r="P368" s="945"/>
    </row>
    <row r="369" spans="1:26" ht="18.75">
      <c r="A369" s="949"/>
      <c r="B369" s="957"/>
      <c r="C369" s="950"/>
      <c r="D369" s="957"/>
      <c r="E369" s="957"/>
      <c r="F369" s="957"/>
      <c r="G369" s="958"/>
      <c r="H369" s="777" t="s">
        <v>46</v>
      </c>
      <c r="I369" s="830">
        <f ca="1">IFERROR(__xludf.DUMMYFUNCTION("IMPORTRANGE(""https://docs.google.com/spreadsheets/d/1QqKyyYR6Q21VydFLVH3TRQUabQu_ym0Zz7PgGX0-kHA/edit?usp=sharing"",""แผน!EI19"")"),600)</f>
        <v>600</v>
      </c>
      <c r="J369" s="830">
        <f ca="1">IFERROR(__xludf.DUMMYFUNCTION("IMPORTRANGE(""https://docs.google.com/spreadsheets/d/1XWAQStnk-4SwqDmLtmXYiTMKHgktTP8We1SCoS47DrQ/edit?usp=sharing"",""จัดที่ดิน!F19"")"),145.12)</f>
        <v>145.12</v>
      </c>
      <c r="K369" s="831">
        <f t="shared" ca="1" si="163"/>
        <v>24.186666666666667</v>
      </c>
      <c r="L369" s="945"/>
      <c r="M369" s="945"/>
      <c r="N369" s="945"/>
      <c r="O369" s="945"/>
      <c r="P369" s="945"/>
    </row>
    <row r="370" spans="1:26" ht="18.75">
      <c r="A370" s="949"/>
      <c r="B370" s="957"/>
      <c r="C370" s="950"/>
      <c r="D370" s="957"/>
      <c r="E370" s="955" t="s">
        <v>162</v>
      </c>
      <c r="F370" s="957"/>
      <c r="G370" s="958"/>
      <c r="H370" s="730" t="s">
        <v>35</v>
      </c>
      <c r="I370" s="830">
        <f ca="1">IFERROR(__xludf.DUMMYFUNCTION("IMPORTRANGE(""https://docs.google.com/spreadsheets/d/1QqKyyYR6Q21VydFLVH3TRQUabQu_ym0Zz7PgGX0-kHA/edit?usp=sharing"",""แผน!EJ19"")"),60)</f>
        <v>60</v>
      </c>
      <c r="J370" s="830">
        <f ca="1">IFERROR(__xludf.DUMMYFUNCTION("IMPORTRANGE(""https://docs.google.com/spreadsheets/d/1XWAQStnk-4SwqDmLtmXYiTMKHgktTP8We1SCoS47DrQ/edit?usp=sharing"",""จัดที่ดิน!G19"")"),25)</f>
        <v>25</v>
      </c>
      <c r="K370" s="831">
        <f t="shared" ca="1" si="163"/>
        <v>41.666666666666664</v>
      </c>
      <c r="L370" s="945"/>
      <c r="M370" s="945"/>
      <c r="N370" s="945"/>
      <c r="O370" s="945"/>
      <c r="P370" s="945"/>
    </row>
    <row r="371" spans="1:26" ht="18.75">
      <c r="A371" s="949"/>
      <c r="B371" s="957"/>
      <c r="C371" s="950"/>
      <c r="D371" s="957"/>
      <c r="E371" s="957"/>
      <c r="F371" s="957"/>
      <c r="G371" s="958"/>
      <c r="H371" s="730" t="s">
        <v>46</v>
      </c>
      <c r="I371" s="830">
        <v>0</v>
      </c>
      <c r="J371" s="830">
        <f ca="1">IFERROR(__xludf.DUMMYFUNCTION("IMPORTRANGE(""https://docs.google.com/spreadsheets/d/1XWAQStnk-4SwqDmLtmXYiTMKHgktTP8We1SCoS47DrQ/edit?usp=sharing"",""จัดที่ดิน!H19"")"),118.79)</f>
        <v>118.79</v>
      </c>
      <c r="K371" s="831">
        <f t="shared" si="163"/>
        <v>0</v>
      </c>
      <c r="L371" s="945"/>
      <c r="M371" s="945"/>
      <c r="N371" s="945"/>
      <c r="O371" s="945"/>
      <c r="P371" s="945"/>
    </row>
    <row r="372" spans="1:26" ht="18.75">
      <c r="A372" s="949"/>
      <c r="B372" s="957"/>
      <c r="C372" s="950"/>
      <c r="D372" s="957"/>
      <c r="E372" s="955" t="s">
        <v>163</v>
      </c>
      <c r="F372" s="957"/>
      <c r="G372" s="958"/>
      <c r="H372" s="730" t="s">
        <v>35</v>
      </c>
      <c r="I372" s="830">
        <f ca="1">IFERROR(__xludf.DUMMYFUNCTION("IMPORTRANGE(""https://docs.google.com/spreadsheets/d/1QqKyyYR6Q21VydFLVH3TRQUabQu_ym0Zz7PgGX0-kHA/edit?usp=sharing"",""แผน!EJ19"")"),60)</f>
        <v>60</v>
      </c>
      <c r="J372" s="830">
        <f ca="1">IFERROR(__xludf.DUMMYFUNCTION("IMPORTRANGE(""https://docs.google.com/spreadsheets/d/1XWAQStnk-4SwqDmLtmXYiTMKHgktTP8We1SCoS47DrQ/edit?usp=sharing"",""จัดที่ดิน!I19"")"),12)</f>
        <v>12</v>
      </c>
      <c r="K372" s="831">
        <f t="shared" ca="1" si="163"/>
        <v>20</v>
      </c>
      <c r="L372" s="945"/>
      <c r="M372" s="945"/>
      <c r="N372" s="945"/>
      <c r="O372" s="945"/>
      <c r="P372" s="945"/>
    </row>
    <row r="373" spans="1:26" ht="18.75">
      <c r="A373" s="1159" t="s">
        <v>164</v>
      </c>
      <c r="B373" s="957"/>
      <c r="C373" s="950"/>
      <c r="D373" s="957"/>
      <c r="E373" s="956"/>
      <c r="F373" s="957"/>
      <c r="G373" s="958"/>
      <c r="H373" s="730" t="s">
        <v>46</v>
      </c>
      <c r="I373" s="830">
        <v>0</v>
      </c>
      <c r="J373" s="830">
        <f ca="1">IFERROR(__xludf.DUMMYFUNCTION("IMPORTRANGE(""https://docs.google.com/spreadsheets/d/1XWAQStnk-4SwqDmLtmXYiTMKHgktTP8We1SCoS47DrQ/edit?usp=sharing"",""จัดที่ดิน!J19"")"),69.6)</f>
        <v>69.599999999999994</v>
      </c>
      <c r="K373" s="831">
        <f t="shared" si="163"/>
        <v>0</v>
      </c>
      <c r="L373" s="945"/>
      <c r="M373" s="945"/>
      <c r="N373" s="945"/>
      <c r="O373" s="945"/>
      <c r="P373" s="945"/>
    </row>
    <row r="374" spans="1:26" ht="19.5">
      <c r="A374" s="1169"/>
      <c r="B374" s="1170"/>
      <c r="C374" s="1171"/>
      <c r="D374" s="1171" t="s">
        <v>168</v>
      </c>
      <c r="E374" s="1172"/>
      <c r="F374" s="1172"/>
      <c r="G374" s="1173"/>
      <c r="H374" s="457" t="s">
        <v>35</v>
      </c>
      <c r="I374" s="1180">
        <f ca="1">IFERROR(__xludf.DUMMYFUNCTION("IMPORTRANGE(""https://docs.google.com/spreadsheets/d/1QqKyyYR6Q21VydFLVH3TRQUabQu_ym0Zz7PgGX0-kHA/edit?usp=sharing"",""แผน!EU19"")"),440)</f>
        <v>440</v>
      </c>
      <c r="J374" s="1174">
        <f ca="1">J381</f>
        <v>120</v>
      </c>
      <c r="K374" s="1175">
        <f t="shared" ca="1" si="163"/>
        <v>27.272727272727273</v>
      </c>
      <c r="L374" s="1176"/>
      <c r="M374" s="1176"/>
      <c r="N374" s="1176"/>
      <c r="O374" s="1176"/>
      <c r="P374" s="1176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69"/>
      <c r="B375" s="1170"/>
      <c r="C375" s="1171"/>
      <c r="D375" s="1177" t="s">
        <v>169</v>
      </c>
      <c r="E375" s="1172"/>
      <c r="F375" s="1172"/>
      <c r="G375" s="1173"/>
      <c r="H375" s="1178"/>
      <c r="I375" s="1179"/>
      <c r="J375" s="1179"/>
      <c r="K375" s="1176"/>
      <c r="L375" s="1176"/>
      <c r="M375" s="1176"/>
      <c r="N375" s="1176"/>
      <c r="O375" s="1176"/>
      <c r="P375" s="1176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49"/>
      <c r="B376" s="950"/>
      <c r="C376" s="946" t="s">
        <v>16</v>
      </c>
      <c r="D376" s="951" t="s">
        <v>38</v>
      </c>
      <c r="E376" s="952"/>
      <c r="F376" s="952"/>
      <c r="G376" s="953"/>
      <c r="H376" s="954"/>
      <c r="I376" s="830"/>
      <c r="J376" s="830"/>
      <c r="K376" s="831"/>
      <c r="L376" s="945"/>
      <c r="M376" s="945"/>
      <c r="N376" s="945"/>
      <c r="O376" s="945"/>
      <c r="P376" s="945"/>
    </row>
    <row r="377" spans="1:26" ht="18.75">
      <c r="A377" s="949"/>
      <c r="B377" s="957"/>
      <c r="C377" s="950"/>
      <c r="D377" s="957"/>
      <c r="E377" s="955" t="s">
        <v>161</v>
      </c>
      <c r="F377" s="957"/>
      <c r="G377" s="958"/>
      <c r="H377" s="777" t="s">
        <v>35</v>
      </c>
      <c r="I377" s="830">
        <v>0</v>
      </c>
      <c r="J377" s="830">
        <f ca="1">IFERROR(__xludf.DUMMYFUNCTION("IMPORTRANGE(""https://docs.google.com/spreadsheets/d/1XWAQStnk-4SwqDmLtmXYiTMKHgktTP8We1SCoS47DrQ/edit?usp=sharing"",""จัดที่ดิน!AH19"")"),91)</f>
        <v>91</v>
      </c>
      <c r="K377" s="831">
        <f t="shared" ref="K377:K382" si="164">IF(I377&gt;0,J377*100/I377,0)</f>
        <v>0</v>
      </c>
      <c r="L377" s="945"/>
      <c r="M377" s="945"/>
      <c r="N377" s="945"/>
      <c r="O377" s="945"/>
      <c r="P377" s="945"/>
    </row>
    <row r="378" spans="1:26" ht="18.75">
      <c r="A378" s="949"/>
      <c r="B378" s="957"/>
      <c r="C378" s="950"/>
      <c r="D378" s="957"/>
      <c r="E378" s="957"/>
      <c r="F378" s="957"/>
      <c r="G378" s="958"/>
      <c r="H378" s="777" t="s">
        <v>46</v>
      </c>
      <c r="I378" s="830">
        <f ca="1">IFERROR(__xludf.DUMMYFUNCTION("IMPORTRANGE(""https://docs.google.com/spreadsheets/d/1QqKyyYR6Q21VydFLVH3TRQUabQu_ym0Zz7PgGX0-kHA/edit?usp=sharing"",""แผน!ET19"")"),1000)</f>
        <v>1000</v>
      </c>
      <c r="J378" s="830">
        <f ca="1">IFERROR(__xludf.DUMMYFUNCTION("IMPORTRANGE(""https://docs.google.com/spreadsheets/d/1XWAQStnk-4SwqDmLtmXYiTMKHgktTP8We1SCoS47DrQ/edit?usp=sharing"",""จัดที่ดิน!AI19"")"),410.92)</f>
        <v>410.92</v>
      </c>
      <c r="K378" s="831">
        <f t="shared" ca="1" si="164"/>
        <v>41.091999999999999</v>
      </c>
      <c r="L378" s="945"/>
      <c r="M378" s="945"/>
      <c r="N378" s="945"/>
      <c r="O378" s="945"/>
      <c r="P378" s="945"/>
    </row>
    <row r="379" spans="1:26" ht="18.75">
      <c r="A379" s="949"/>
      <c r="B379" s="957"/>
      <c r="C379" s="950"/>
      <c r="D379" s="957"/>
      <c r="E379" s="955" t="s">
        <v>162</v>
      </c>
      <c r="F379" s="957"/>
      <c r="G379" s="958"/>
      <c r="H379" s="730" t="s">
        <v>35</v>
      </c>
      <c r="I379" s="830">
        <f ca="1">IFERROR(__xludf.DUMMYFUNCTION("IMPORTRANGE(""https://docs.google.com/spreadsheets/d/1QqKyyYR6Q21VydFLVH3TRQUabQu_ym0Zz7PgGX0-kHA/edit?usp=sharing"",""แผน!EU19"")"),440)</f>
        <v>440</v>
      </c>
      <c r="J379" s="830">
        <f ca="1">IFERROR(__xludf.DUMMYFUNCTION("IMPORTRANGE(""https://docs.google.com/spreadsheets/d/1XWAQStnk-4SwqDmLtmXYiTMKHgktTP8We1SCoS47DrQ/edit?usp=sharing"",""จัดที่ดิน!AJ19"")"),120)</f>
        <v>120</v>
      </c>
      <c r="K379" s="831">
        <f t="shared" ca="1" si="164"/>
        <v>27.272727272727273</v>
      </c>
      <c r="L379" s="945"/>
      <c r="M379" s="945"/>
      <c r="N379" s="945"/>
      <c r="O379" s="945"/>
      <c r="P379" s="945"/>
    </row>
    <row r="380" spans="1:26" ht="18.75">
      <c r="A380" s="949"/>
      <c r="B380" s="957"/>
      <c r="C380" s="950"/>
      <c r="D380" s="957"/>
      <c r="E380" s="957"/>
      <c r="F380" s="957"/>
      <c r="G380" s="958"/>
      <c r="H380" s="730" t="s">
        <v>46</v>
      </c>
      <c r="I380" s="830">
        <v>0</v>
      </c>
      <c r="J380" s="830">
        <f ca="1">IFERROR(__xludf.DUMMYFUNCTION("IMPORTRANGE(""https://docs.google.com/spreadsheets/d/1XWAQStnk-4SwqDmLtmXYiTMKHgktTP8We1SCoS47DrQ/edit?usp=sharing"",""จัดที่ดิน!AK19"")"),605.04)</f>
        <v>605.04</v>
      </c>
      <c r="K380" s="831">
        <f t="shared" si="164"/>
        <v>0</v>
      </c>
      <c r="L380" s="945"/>
      <c r="M380" s="945"/>
      <c r="N380" s="945"/>
      <c r="O380" s="945"/>
      <c r="P380" s="945"/>
    </row>
    <row r="381" spans="1:26" ht="18.75">
      <c r="A381" s="949"/>
      <c r="B381" s="957"/>
      <c r="C381" s="950"/>
      <c r="D381" s="957"/>
      <c r="E381" s="955" t="s">
        <v>163</v>
      </c>
      <c r="F381" s="957"/>
      <c r="G381" s="958"/>
      <c r="H381" s="730" t="s">
        <v>35</v>
      </c>
      <c r="I381" s="830">
        <f ca="1">IFERROR(__xludf.DUMMYFUNCTION("IMPORTRANGE(""https://docs.google.com/spreadsheets/d/1QqKyyYR6Q21VydFLVH3TRQUabQu_ym0Zz7PgGX0-kHA/edit?usp=sharing"",""แผน!EU19"")"),440)</f>
        <v>440</v>
      </c>
      <c r="J381" s="830">
        <f ca="1">IFERROR(__xludf.DUMMYFUNCTION("IMPORTRANGE(""https://docs.google.com/spreadsheets/d/1XWAQStnk-4SwqDmLtmXYiTMKHgktTP8We1SCoS47DrQ/edit?usp=sharing"",""จัดที่ดิน!AL19"")"),120)</f>
        <v>120</v>
      </c>
      <c r="K381" s="831">
        <f t="shared" ca="1" si="164"/>
        <v>27.272727272727273</v>
      </c>
      <c r="L381" s="945"/>
      <c r="M381" s="945"/>
      <c r="N381" s="945"/>
      <c r="O381" s="945"/>
      <c r="P381" s="945"/>
    </row>
    <row r="382" spans="1:26" ht="18.75">
      <c r="A382" s="1159" t="s">
        <v>164</v>
      </c>
      <c r="B382" s="957"/>
      <c r="C382" s="950"/>
      <c r="D382" s="957"/>
      <c r="E382" s="956"/>
      <c r="F382" s="957"/>
      <c r="G382" s="958"/>
      <c r="H382" s="730" t="s">
        <v>46</v>
      </c>
      <c r="I382" s="830">
        <v>0</v>
      </c>
      <c r="J382" s="830">
        <f ca="1">IFERROR(__xludf.DUMMYFUNCTION("IMPORTRANGE(""https://docs.google.com/spreadsheets/d/1XWAQStnk-4SwqDmLtmXYiTMKHgktTP8We1SCoS47DrQ/edit?usp=sharing"",""จัดที่ดิน!AM19"")"),605.04)</f>
        <v>605.04</v>
      </c>
      <c r="K382" s="831">
        <f t="shared" si="164"/>
        <v>0</v>
      </c>
      <c r="L382" s="945"/>
      <c r="M382" s="945"/>
      <c r="N382" s="945"/>
      <c r="O382" s="945"/>
      <c r="P382" s="945"/>
    </row>
    <row r="383" spans="1:26" ht="19.5">
      <c r="A383" s="1011"/>
      <c r="B383" s="1018"/>
      <c r="C383" s="1012"/>
      <c r="D383" s="1145" t="s">
        <v>170</v>
      </c>
      <c r="E383" s="1012"/>
      <c r="F383" s="1012"/>
      <c r="G383" s="1014"/>
      <c r="H383" s="1146"/>
      <c r="I383" s="1015"/>
      <c r="J383" s="1015"/>
      <c r="K383" s="1016"/>
      <c r="L383" s="1016"/>
      <c r="M383" s="1016"/>
      <c r="N383" s="1016"/>
      <c r="O383" s="1016"/>
      <c r="P383" s="1016"/>
    </row>
    <row r="384" spans="1:26" ht="19.5">
      <c r="A384" s="949"/>
      <c r="B384" s="950"/>
      <c r="C384" s="827" t="s">
        <v>16</v>
      </c>
      <c r="D384" s="951" t="s">
        <v>38</v>
      </c>
      <c r="E384" s="952"/>
      <c r="F384" s="952"/>
      <c r="G384" s="953"/>
      <c r="H384" s="954"/>
      <c r="I384" s="830"/>
      <c r="J384" s="830"/>
      <c r="K384" s="831"/>
      <c r="L384" s="945"/>
      <c r="M384" s="945"/>
      <c r="N384" s="945"/>
      <c r="O384" s="945"/>
      <c r="P384" s="945"/>
    </row>
    <row r="385" spans="1:26" ht="18.75">
      <c r="A385" s="1080"/>
      <c r="B385" s="1083"/>
      <c r="C385" s="1081"/>
      <c r="D385" s="1083"/>
      <c r="E385" s="1181" t="s">
        <v>163</v>
      </c>
      <c r="F385" s="1083"/>
      <c r="G385" s="1084"/>
      <c r="H385" s="468" t="s">
        <v>35</v>
      </c>
      <c r="I385" s="1085">
        <f ca="1">IFERROR(__xludf.DUMMYFUNCTION("IMPORTRANGE(""https://docs.google.com/spreadsheets/d/1QqKyyYR6Q21VydFLVH3TRQUabQu_ym0Zz7PgGX0-kHA/edit?usp=sharing"",""แผน!EW19"")"),50)</f>
        <v>50</v>
      </c>
      <c r="J385" s="1085">
        <f ca="1">IFERROR(__xludf.DUMMYFUNCTION("IMPORTRANGE(""https://docs.google.com/spreadsheets/d/1XWAQStnk-4SwqDmLtmXYiTMKHgktTP8We1SCoS47DrQ/edit?usp=sharing"",""จัดที่ดิน!AP19"")"),14)</f>
        <v>14</v>
      </c>
      <c r="K385" s="1182">
        <f ca="1">IF(I385&gt;0,J385*100/I385,0)</f>
        <v>28</v>
      </c>
      <c r="L385" s="1086"/>
      <c r="M385" s="1086"/>
      <c r="N385" s="1086"/>
      <c r="O385" s="1086"/>
      <c r="P385" s="1086"/>
    </row>
    <row r="386" spans="1:26" ht="19.5" hidden="1">
      <c r="A386" s="1183" t="s">
        <v>171</v>
      </c>
      <c r="B386" s="1184"/>
      <c r="C386" s="1184"/>
      <c r="D386" s="1184"/>
      <c r="E386" s="1185"/>
      <c r="F386" s="1185"/>
      <c r="G386" s="1186"/>
      <c r="H386" s="1187"/>
      <c r="I386" s="1188"/>
      <c r="J386" s="1188"/>
      <c r="K386" s="1189"/>
      <c r="L386" s="1189"/>
      <c r="M386" s="1189"/>
      <c r="N386" s="1189"/>
      <c r="O386" s="1189"/>
      <c r="P386" s="1189"/>
    </row>
    <row r="387" spans="1:26" ht="19.5" hidden="1">
      <c r="A387" s="1190" t="s">
        <v>172</v>
      </c>
      <c r="B387" s="1191"/>
      <c r="C387" s="1191"/>
      <c r="D387" s="1192"/>
      <c r="E387" s="1191"/>
      <c r="F387" s="1191"/>
      <c r="G387" s="1191"/>
      <c r="H387" s="1193"/>
      <c r="I387" s="1194"/>
      <c r="J387" s="1194"/>
      <c r="K387" s="1195"/>
      <c r="L387" s="1195"/>
      <c r="M387" s="1195"/>
      <c r="N387" s="1195"/>
      <c r="O387" s="1195"/>
      <c r="P387" s="1195"/>
    </row>
    <row r="388" spans="1:26" ht="19.5" hidden="1">
      <c r="A388" s="1196"/>
      <c r="B388" s="1197" t="s">
        <v>173</v>
      </c>
      <c r="C388" s="1198"/>
      <c r="D388" s="1199"/>
      <c r="E388" s="1199"/>
      <c r="F388" s="1199"/>
      <c r="G388" s="1200"/>
      <c r="H388" s="489" t="s">
        <v>66</v>
      </c>
      <c r="I388" s="1201">
        <f t="shared" ref="I388:J388" si="165">I400</f>
        <v>0</v>
      </c>
      <c r="J388" s="1201">
        <f t="shared" si="165"/>
        <v>0</v>
      </c>
      <c r="K388" s="1202">
        <f>IF(I388&gt;0,J388*100/I388,0)</f>
        <v>0</v>
      </c>
      <c r="L388" s="1203"/>
      <c r="M388" s="1203"/>
      <c r="N388" s="1203"/>
      <c r="O388" s="1203"/>
      <c r="P388" s="1203"/>
    </row>
    <row r="389" spans="1:26" ht="19.5" hidden="1">
      <c r="A389" s="932"/>
      <c r="B389" s="933"/>
      <c r="C389" s="934" t="s">
        <v>16</v>
      </c>
      <c r="D389" s="935" t="s">
        <v>17</v>
      </c>
      <c r="E389" s="933"/>
      <c r="F389" s="933"/>
      <c r="G389" s="936"/>
      <c r="H389" s="152" t="s">
        <v>12</v>
      </c>
      <c r="I389" s="937"/>
      <c r="J389" s="937"/>
      <c r="K389" s="938"/>
      <c r="L389" s="939">
        <f t="shared" ref="L389:N389" ca="1" si="166">L390+L391</f>
        <v>0</v>
      </c>
      <c r="M389" s="939">
        <f t="shared" ca="1" si="166"/>
        <v>0</v>
      </c>
      <c r="N389" s="939">
        <f t="shared" ca="1" si="166"/>
        <v>0</v>
      </c>
      <c r="O389" s="939">
        <f t="shared" ref="O389:O397" ca="1" si="167">IF(L389&gt;0,N389*100/L389,0)</f>
        <v>0</v>
      </c>
      <c r="P389" s="939">
        <f t="shared" ref="P389:P397" ca="1" si="168">IF(M389&gt;0,N389*100/M389,0)</f>
        <v>0</v>
      </c>
      <c r="Q389" s="818"/>
      <c r="R389" s="818"/>
      <c r="S389" s="818"/>
      <c r="T389" s="818"/>
      <c r="U389" s="818"/>
      <c r="V389" s="818"/>
      <c r="W389" s="818"/>
      <c r="X389" s="818"/>
      <c r="Y389" s="818"/>
      <c r="Z389" s="818"/>
    </row>
    <row r="390" spans="1:26" ht="18.75" hidden="1">
      <c r="A390" s="940"/>
      <c r="B390" s="833"/>
      <c r="C390" s="833"/>
      <c r="D390" s="833"/>
      <c r="E390" s="834" t="s">
        <v>18</v>
      </c>
      <c r="F390" s="833"/>
      <c r="G390" s="941"/>
      <c r="H390" s="158" t="s">
        <v>12</v>
      </c>
      <c r="I390" s="836"/>
      <c r="J390" s="836"/>
      <c r="K390" s="837"/>
      <c r="L390" s="837">
        <f t="shared" ref="L390:N391" si="169">L393+L396</f>
        <v>0</v>
      </c>
      <c r="M390" s="837">
        <f t="shared" si="169"/>
        <v>0</v>
      </c>
      <c r="N390" s="837">
        <f t="shared" si="169"/>
        <v>0</v>
      </c>
      <c r="O390" s="837">
        <f t="shared" si="167"/>
        <v>0</v>
      </c>
      <c r="P390" s="837">
        <f t="shared" si="168"/>
        <v>0</v>
      </c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</row>
    <row r="391" spans="1:26" ht="18.75" hidden="1">
      <c r="A391" s="940"/>
      <c r="B391" s="833"/>
      <c r="C391" s="833"/>
      <c r="D391" s="833"/>
      <c r="E391" s="834" t="s">
        <v>19</v>
      </c>
      <c r="F391" s="833"/>
      <c r="G391" s="941"/>
      <c r="H391" s="158" t="s">
        <v>12</v>
      </c>
      <c r="I391" s="836"/>
      <c r="J391" s="836"/>
      <c r="K391" s="837"/>
      <c r="L391" s="837">
        <f t="shared" ca="1" si="169"/>
        <v>0</v>
      </c>
      <c r="M391" s="837">
        <f t="shared" ca="1" si="169"/>
        <v>0</v>
      </c>
      <c r="N391" s="837">
        <f t="shared" ca="1" si="169"/>
        <v>0</v>
      </c>
      <c r="O391" s="837">
        <f t="shared" ca="1" si="167"/>
        <v>0</v>
      </c>
      <c r="P391" s="837">
        <f t="shared" ca="1" si="168"/>
        <v>0</v>
      </c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</row>
    <row r="392" spans="1:26" ht="18.75" hidden="1">
      <c r="A392" s="942"/>
      <c r="B392" s="827"/>
      <c r="C392" s="943"/>
      <c r="D392" s="828" t="s">
        <v>20</v>
      </c>
      <c r="E392" s="827"/>
      <c r="F392" s="827"/>
      <c r="G392" s="829"/>
      <c r="H392" s="778" t="s">
        <v>12</v>
      </c>
      <c r="I392" s="944"/>
      <c r="J392" s="944"/>
      <c r="K392" s="945"/>
      <c r="L392" s="831">
        <f t="shared" ref="L392:N392" ca="1" si="170">L393+L394</f>
        <v>0</v>
      </c>
      <c r="M392" s="831">
        <f t="shared" ca="1" si="170"/>
        <v>0</v>
      </c>
      <c r="N392" s="831">
        <f t="shared" ca="1" si="170"/>
        <v>0</v>
      </c>
      <c r="O392" s="831">
        <f t="shared" ca="1" si="167"/>
        <v>0</v>
      </c>
      <c r="P392" s="831">
        <f t="shared" ca="1" si="168"/>
        <v>0</v>
      </c>
      <c r="Q392" s="818"/>
      <c r="R392" s="818"/>
      <c r="S392" s="818"/>
      <c r="T392" s="818"/>
      <c r="U392" s="818"/>
      <c r="V392" s="818"/>
      <c r="W392" s="818"/>
      <c r="X392" s="818"/>
      <c r="Y392" s="818"/>
      <c r="Z392" s="818"/>
    </row>
    <row r="393" spans="1:26" ht="19.5" hidden="1">
      <c r="A393" s="940"/>
      <c r="B393" s="833"/>
      <c r="C393" s="946"/>
      <c r="D393" s="833"/>
      <c r="E393" s="834" t="s">
        <v>36</v>
      </c>
      <c r="F393" s="833"/>
      <c r="G393" s="941"/>
      <c r="H393" s="165" t="s">
        <v>12</v>
      </c>
      <c r="I393" s="947"/>
      <c r="J393" s="947"/>
      <c r="K393" s="948"/>
      <c r="L393" s="837">
        <v>0</v>
      </c>
      <c r="M393" s="837">
        <v>0</v>
      </c>
      <c r="N393" s="837">
        <v>0</v>
      </c>
      <c r="O393" s="837">
        <f t="shared" si="167"/>
        <v>0</v>
      </c>
      <c r="P393" s="837">
        <f t="shared" si="168"/>
        <v>0</v>
      </c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</row>
    <row r="394" spans="1:26" ht="19.5" hidden="1">
      <c r="A394" s="940"/>
      <c r="B394" s="833"/>
      <c r="C394" s="946"/>
      <c r="D394" s="833"/>
      <c r="E394" s="834" t="s">
        <v>37</v>
      </c>
      <c r="F394" s="833"/>
      <c r="G394" s="941"/>
      <c r="H394" s="165" t="s">
        <v>12</v>
      </c>
      <c r="I394" s="947"/>
      <c r="J394" s="947"/>
      <c r="K394" s="948"/>
      <c r="L394" s="837">
        <f ca="1">IFERROR(__xludf.DUMMYFUNCTION("IMPORTRANGE(""https://docs.google.com/spreadsheets/d/1MeEWN-I1oV_STSDYn1IFDPWt_1FKiwhDph83XaGc0o0/edit?usp=sharing"",""งบพรบ!FG19"")"),0)</f>
        <v>0</v>
      </c>
      <c r="M394" s="837">
        <f ca="1">IFERROR(__xludf.DUMMYFUNCTION("IMPORTRANGE(""https://docs.google.com/spreadsheets/d/1MeEWN-I1oV_STSDYn1IFDPWt_1FKiwhDph83XaGc0o0/edit?usp=sharing"",""งบพรบ!FL19"")"),0)</f>
        <v>0</v>
      </c>
      <c r="N394" s="837">
        <f ca="1">IFERROR(__xludf.DUMMYFUNCTION("IMPORTRANGE(""https://docs.google.com/spreadsheets/d/1MeEWN-I1oV_STSDYn1IFDPWt_1FKiwhDph83XaGc0o0/edit?usp=sharing"",""งบพรบ!FN19"")"),0)</f>
        <v>0</v>
      </c>
      <c r="O394" s="837">
        <f t="shared" ca="1" si="167"/>
        <v>0</v>
      </c>
      <c r="P394" s="837">
        <f t="shared" ca="1" si="168"/>
        <v>0</v>
      </c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</row>
    <row r="395" spans="1:26" ht="18.75" hidden="1">
      <c r="A395" s="942"/>
      <c r="B395" s="827"/>
      <c r="C395" s="943"/>
      <c r="D395" s="828" t="s">
        <v>21</v>
      </c>
      <c r="E395" s="827"/>
      <c r="F395" s="827"/>
      <c r="G395" s="829"/>
      <c r="H395" s="168" t="s">
        <v>12</v>
      </c>
      <c r="I395" s="944"/>
      <c r="J395" s="944"/>
      <c r="K395" s="945"/>
      <c r="L395" s="831">
        <f t="shared" ref="L395:N395" ca="1" si="171">L396+L397</f>
        <v>0</v>
      </c>
      <c r="M395" s="831">
        <f t="shared" ca="1" si="171"/>
        <v>0</v>
      </c>
      <c r="N395" s="831">
        <f t="shared" ca="1" si="171"/>
        <v>0</v>
      </c>
      <c r="O395" s="831">
        <f t="shared" ca="1" si="167"/>
        <v>0</v>
      </c>
      <c r="P395" s="831">
        <f t="shared" ca="1" si="168"/>
        <v>0</v>
      </c>
      <c r="Q395" s="818"/>
      <c r="R395" s="818"/>
      <c r="S395" s="818"/>
      <c r="T395" s="818"/>
      <c r="U395" s="818"/>
      <c r="V395" s="818"/>
      <c r="W395" s="818"/>
      <c r="X395" s="818"/>
      <c r="Y395" s="818"/>
      <c r="Z395" s="818"/>
    </row>
    <row r="396" spans="1:26" ht="19.5" hidden="1">
      <c r="A396" s="940"/>
      <c r="B396" s="833"/>
      <c r="C396" s="946"/>
      <c r="D396" s="833"/>
      <c r="E396" s="834" t="s">
        <v>18</v>
      </c>
      <c r="F396" s="833"/>
      <c r="G396" s="941"/>
      <c r="H396" s="165" t="s">
        <v>12</v>
      </c>
      <c r="I396" s="947"/>
      <c r="J396" s="947"/>
      <c r="K396" s="948"/>
      <c r="L396" s="837">
        <v>0</v>
      </c>
      <c r="M396" s="837">
        <v>0</v>
      </c>
      <c r="N396" s="837">
        <v>0</v>
      </c>
      <c r="O396" s="837">
        <f t="shared" si="167"/>
        <v>0</v>
      </c>
      <c r="P396" s="837">
        <f t="shared" si="168"/>
        <v>0</v>
      </c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</row>
    <row r="397" spans="1:26" ht="19.5" hidden="1">
      <c r="A397" s="940"/>
      <c r="B397" s="833"/>
      <c r="C397" s="946"/>
      <c r="D397" s="833"/>
      <c r="E397" s="834" t="s">
        <v>19</v>
      </c>
      <c r="F397" s="833"/>
      <c r="G397" s="941"/>
      <c r="H397" s="169" t="s">
        <v>12</v>
      </c>
      <c r="I397" s="947"/>
      <c r="J397" s="947"/>
      <c r="K397" s="948"/>
      <c r="L397" s="837">
        <f ca="1">IFERROR(__xludf.DUMMYFUNCTION("IMPORTRANGE(""https://docs.google.com/spreadsheets/d/1MeEWN-I1oV_STSDYn1IFDPWt_1FKiwhDph83XaGc0o0/edit?usp=sharing"",""งบพรบ!FJ19"")"),0)</f>
        <v>0</v>
      </c>
      <c r="M397" s="837">
        <f ca="1">IFERROR(__xludf.DUMMYFUNCTION("IMPORTRANGE(""https://docs.google.com/spreadsheets/d/1MeEWN-I1oV_STSDYn1IFDPWt_1FKiwhDph83XaGc0o0/edit?usp=sharing"",""งบพรบ!FM19"")"),0)</f>
        <v>0</v>
      </c>
      <c r="N397" s="837">
        <f ca="1">IFERROR(__xludf.DUMMYFUNCTION("IMPORTRANGE(""https://docs.google.com/spreadsheets/d/1MeEWN-I1oV_STSDYn1IFDPWt_1FKiwhDph83XaGc0o0/edit?usp=sharing"",""งบพรบ!FO19"")"),0)</f>
        <v>0</v>
      </c>
      <c r="O397" s="837">
        <f t="shared" ca="1" si="167"/>
        <v>0</v>
      </c>
      <c r="P397" s="837">
        <f t="shared" ca="1" si="168"/>
        <v>0</v>
      </c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</row>
    <row r="398" spans="1:26" ht="19.5" hidden="1">
      <c r="A398" s="949"/>
      <c r="B398" s="950"/>
      <c r="C398" s="946" t="s">
        <v>16</v>
      </c>
      <c r="D398" s="951" t="s">
        <v>38</v>
      </c>
      <c r="E398" s="952"/>
      <c r="F398" s="952"/>
      <c r="G398" s="953"/>
      <c r="H398" s="954"/>
      <c r="I398" s="944"/>
      <c r="J398" s="830"/>
      <c r="K398" s="831"/>
      <c r="L398" s="831"/>
      <c r="M398" s="831"/>
      <c r="N398" s="831"/>
      <c r="O398" s="945"/>
      <c r="P398" s="945"/>
    </row>
    <row r="399" spans="1:26" ht="18.75" hidden="1">
      <c r="A399" s="1204"/>
      <c r="B399" s="933"/>
      <c r="C399" s="1205"/>
      <c r="D399" s="968" t="s">
        <v>174</v>
      </c>
      <c r="E399" s="1113"/>
      <c r="F399" s="933"/>
      <c r="G399" s="936"/>
      <c r="H399" s="496" t="s">
        <v>9</v>
      </c>
      <c r="I399" s="830">
        <v>0</v>
      </c>
      <c r="J399" s="959">
        <v>0</v>
      </c>
      <c r="K399" s="831">
        <f t="shared" ref="K399:K401" si="172">IF(I399&gt;0,J399*100/I399,0)</f>
        <v>0</v>
      </c>
      <c r="L399" s="1206"/>
      <c r="M399" s="1206"/>
      <c r="N399" s="1206"/>
      <c r="O399" s="1206"/>
      <c r="P399" s="1206"/>
      <c r="Q399" s="818"/>
      <c r="R399" s="818"/>
      <c r="S399" s="818"/>
      <c r="T399" s="818"/>
      <c r="U399" s="818"/>
      <c r="V399" s="818"/>
      <c r="W399" s="818"/>
      <c r="X399" s="818"/>
      <c r="Y399" s="818"/>
      <c r="Z399" s="818"/>
    </row>
    <row r="400" spans="1:26" ht="18.75" hidden="1">
      <c r="A400" s="1032"/>
      <c r="B400" s="827"/>
      <c r="C400" s="1030"/>
      <c r="D400" s="956" t="s">
        <v>175</v>
      </c>
      <c r="E400" s="950"/>
      <c r="F400" s="827"/>
      <c r="G400" s="829"/>
      <c r="H400" s="277" t="s">
        <v>66</v>
      </c>
      <c r="I400" s="830">
        <v>0</v>
      </c>
      <c r="J400" s="959">
        <v>0</v>
      </c>
      <c r="K400" s="831">
        <f t="shared" si="172"/>
        <v>0</v>
      </c>
      <c r="L400" s="831"/>
      <c r="M400" s="831"/>
      <c r="N400" s="831"/>
      <c r="O400" s="831"/>
      <c r="P400" s="831"/>
    </row>
    <row r="401" spans="1:26" ht="19.5" hidden="1">
      <c r="A401" s="1196"/>
      <c r="B401" s="1197" t="s">
        <v>176</v>
      </c>
      <c r="C401" s="1198"/>
      <c r="D401" s="1199"/>
      <c r="E401" s="1199"/>
      <c r="F401" s="1199"/>
      <c r="G401" s="1200"/>
      <c r="H401" s="489" t="s">
        <v>66</v>
      </c>
      <c r="I401" s="1201">
        <f t="shared" ref="I401:J401" si="173">I412</f>
        <v>0</v>
      </c>
      <c r="J401" s="1201">
        <f t="shared" si="173"/>
        <v>0</v>
      </c>
      <c r="K401" s="1202">
        <f t="shared" si="172"/>
        <v>0</v>
      </c>
      <c r="L401" s="1203"/>
      <c r="M401" s="1203"/>
      <c r="N401" s="1203"/>
      <c r="O401" s="1203"/>
      <c r="P401" s="1203"/>
    </row>
    <row r="402" spans="1:26" ht="19.5" hidden="1">
      <c r="A402" s="932"/>
      <c r="B402" s="933"/>
      <c r="C402" s="934" t="s">
        <v>16</v>
      </c>
      <c r="D402" s="935" t="s">
        <v>17</v>
      </c>
      <c r="E402" s="933"/>
      <c r="F402" s="933"/>
      <c r="G402" s="936"/>
      <c r="H402" s="152" t="s">
        <v>12</v>
      </c>
      <c r="I402" s="937"/>
      <c r="J402" s="937"/>
      <c r="K402" s="938"/>
      <c r="L402" s="939">
        <f t="shared" ref="L402:N402" ca="1" si="174">L403+L404</f>
        <v>0</v>
      </c>
      <c r="M402" s="939">
        <f t="shared" ca="1" si="174"/>
        <v>0</v>
      </c>
      <c r="N402" s="939">
        <f t="shared" ca="1" si="174"/>
        <v>0</v>
      </c>
      <c r="O402" s="939">
        <f t="shared" ref="O402:O410" ca="1" si="175">IF(L402&gt;0,N402*100/L402,0)</f>
        <v>0</v>
      </c>
      <c r="P402" s="939">
        <f t="shared" ref="P402:P410" ca="1" si="176">IF(M402&gt;0,N402*100/M402,0)</f>
        <v>0</v>
      </c>
      <c r="Q402" s="818"/>
      <c r="R402" s="818"/>
      <c r="S402" s="818"/>
      <c r="T402" s="818"/>
      <c r="U402" s="818"/>
      <c r="V402" s="818"/>
      <c r="W402" s="818"/>
      <c r="X402" s="818"/>
      <c r="Y402" s="818"/>
      <c r="Z402" s="818"/>
    </row>
    <row r="403" spans="1:26" ht="18.75" hidden="1">
      <c r="A403" s="940"/>
      <c r="B403" s="833"/>
      <c r="C403" s="833"/>
      <c r="D403" s="833"/>
      <c r="E403" s="834" t="s">
        <v>18</v>
      </c>
      <c r="F403" s="833"/>
      <c r="G403" s="941"/>
      <c r="H403" s="158" t="s">
        <v>12</v>
      </c>
      <c r="I403" s="836"/>
      <c r="J403" s="836"/>
      <c r="K403" s="837"/>
      <c r="L403" s="837">
        <f t="shared" ref="L403:N404" si="177">L406+L409</f>
        <v>0</v>
      </c>
      <c r="M403" s="837">
        <f t="shared" si="177"/>
        <v>0</v>
      </c>
      <c r="N403" s="837">
        <f t="shared" si="177"/>
        <v>0</v>
      </c>
      <c r="O403" s="837">
        <f t="shared" si="175"/>
        <v>0</v>
      </c>
      <c r="P403" s="837">
        <f t="shared" si="176"/>
        <v>0</v>
      </c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</row>
    <row r="404" spans="1:26" ht="18.75" hidden="1">
      <c r="A404" s="940"/>
      <c r="B404" s="833"/>
      <c r="C404" s="833"/>
      <c r="D404" s="833"/>
      <c r="E404" s="834" t="s">
        <v>19</v>
      </c>
      <c r="F404" s="833"/>
      <c r="G404" s="941"/>
      <c r="H404" s="158" t="s">
        <v>12</v>
      </c>
      <c r="I404" s="836"/>
      <c r="J404" s="836"/>
      <c r="K404" s="837"/>
      <c r="L404" s="837">
        <f t="shared" ca="1" si="177"/>
        <v>0</v>
      </c>
      <c r="M404" s="837">
        <f t="shared" ca="1" si="177"/>
        <v>0</v>
      </c>
      <c r="N404" s="837">
        <f t="shared" ca="1" si="177"/>
        <v>0</v>
      </c>
      <c r="O404" s="837">
        <f t="shared" ca="1" si="175"/>
        <v>0</v>
      </c>
      <c r="P404" s="837">
        <f t="shared" ca="1" si="176"/>
        <v>0</v>
      </c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</row>
    <row r="405" spans="1:26" ht="18.75" hidden="1">
      <c r="A405" s="942"/>
      <c r="B405" s="827"/>
      <c r="C405" s="943"/>
      <c r="D405" s="828" t="s">
        <v>20</v>
      </c>
      <c r="E405" s="827"/>
      <c r="F405" s="827"/>
      <c r="G405" s="829"/>
      <c r="H405" s="778" t="s">
        <v>12</v>
      </c>
      <c r="I405" s="944"/>
      <c r="J405" s="944"/>
      <c r="K405" s="945"/>
      <c r="L405" s="831">
        <f t="shared" ref="L405:N405" ca="1" si="178">L406+L407</f>
        <v>0</v>
      </c>
      <c r="M405" s="831">
        <f t="shared" ca="1" si="178"/>
        <v>0</v>
      </c>
      <c r="N405" s="831">
        <f t="shared" ca="1" si="178"/>
        <v>0</v>
      </c>
      <c r="O405" s="831">
        <f t="shared" ca="1" si="175"/>
        <v>0</v>
      </c>
      <c r="P405" s="831">
        <f t="shared" ca="1" si="176"/>
        <v>0</v>
      </c>
      <c r="Q405" s="818"/>
      <c r="R405" s="818"/>
      <c r="S405" s="818"/>
      <c r="T405" s="818"/>
      <c r="U405" s="818"/>
      <c r="V405" s="818"/>
      <c r="W405" s="818"/>
      <c r="X405" s="818"/>
      <c r="Y405" s="818"/>
      <c r="Z405" s="818"/>
    </row>
    <row r="406" spans="1:26" ht="19.5" hidden="1">
      <c r="A406" s="940"/>
      <c r="B406" s="833"/>
      <c r="C406" s="946"/>
      <c r="D406" s="833"/>
      <c r="E406" s="834" t="s">
        <v>36</v>
      </c>
      <c r="F406" s="833"/>
      <c r="G406" s="941"/>
      <c r="H406" s="165" t="s">
        <v>12</v>
      </c>
      <c r="I406" s="947"/>
      <c r="J406" s="947"/>
      <c r="K406" s="948"/>
      <c r="L406" s="837">
        <v>0</v>
      </c>
      <c r="M406" s="837">
        <v>0</v>
      </c>
      <c r="N406" s="837">
        <v>0</v>
      </c>
      <c r="O406" s="837">
        <f t="shared" si="175"/>
        <v>0</v>
      </c>
      <c r="P406" s="837">
        <f t="shared" si="176"/>
        <v>0</v>
      </c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</row>
    <row r="407" spans="1:26" ht="19.5" hidden="1">
      <c r="A407" s="940"/>
      <c r="B407" s="833"/>
      <c r="C407" s="946"/>
      <c r="D407" s="833"/>
      <c r="E407" s="834" t="s">
        <v>37</v>
      </c>
      <c r="F407" s="833"/>
      <c r="G407" s="941"/>
      <c r="H407" s="165" t="s">
        <v>12</v>
      </c>
      <c r="I407" s="947"/>
      <c r="J407" s="947"/>
      <c r="K407" s="948"/>
      <c r="L407" s="837">
        <f ca="1">IFERROR(__xludf.DUMMYFUNCTION("IMPORTRANGE(""https://docs.google.com/spreadsheets/d/1MeEWN-I1oV_STSDYn1IFDPWt_1FKiwhDph83XaGc0o0/edit?usp=sharing"",""งบพรบ!FQ19"")"),0)</f>
        <v>0</v>
      </c>
      <c r="M407" s="837">
        <f ca="1">IFERROR(__xludf.DUMMYFUNCTION("IMPORTRANGE(""https://docs.google.com/spreadsheets/d/1MeEWN-I1oV_STSDYn1IFDPWt_1FKiwhDph83XaGc0o0/edit?usp=sharing"",""งบพรบ!FV19"")"),0)</f>
        <v>0</v>
      </c>
      <c r="N407" s="837">
        <f ca="1">IFERROR(__xludf.DUMMYFUNCTION("IMPORTRANGE(""https://docs.google.com/spreadsheets/d/1MeEWN-I1oV_STSDYn1IFDPWt_1FKiwhDph83XaGc0o0/edit?usp=sharing"",""งบพรบ!FX19"")"),0)</f>
        <v>0</v>
      </c>
      <c r="O407" s="837">
        <f t="shared" ca="1" si="175"/>
        <v>0</v>
      </c>
      <c r="P407" s="837">
        <f t="shared" ca="1" si="176"/>
        <v>0</v>
      </c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</row>
    <row r="408" spans="1:26" ht="18.75" hidden="1">
      <c r="A408" s="942"/>
      <c r="B408" s="827"/>
      <c r="C408" s="943"/>
      <c r="D408" s="828" t="s">
        <v>21</v>
      </c>
      <c r="E408" s="827"/>
      <c r="F408" s="827"/>
      <c r="G408" s="829"/>
      <c r="H408" s="168" t="s">
        <v>12</v>
      </c>
      <c r="I408" s="944"/>
      <c r="J408" s="944"/>
      <c r="K408" s="945"/>
      <c r="L408" s="831">
        <f t="shared" ref="L408:N408" ca="1" si="179">L409+L410</f>
        <v>0</v>
      </c>
      <c r="M408" s="831">
        <f t="shared" ca="1" si="179"/>
        <v>0</v>
      </c>
      <c r="N408" s="831">
        <f t="shared" ca="1" si="179"/>
        <v>0</v>
      </c>
      <c r="O408" s="831">
        <f t="shared" ca="1" si="175"/>
        <v>0</v>
      </c>
      <c r="P408" s="831">
        <f t="shared" ca="1" si="176"/>
        <v>0</v>
      </c>
      <c r="Q408" s="818"/>
      <c r="R408" s="818"/>
      <c r="S408" s="818"/>
      <c r="T408" s="818"/>
      <c r="U408" s="818"/>
      <c r="V408" s="818"/>
      <c r="W408" s="818"/>
      <c r="X408" s="818"/>
      <c r="Y408" s="818"/>
      <c r="Z408" s="818"/>
    </row>
    <row r="409" spans="1:26" ht="19.5" hidden="1">
      <c r="A409" s="940"/>
      <c r="B409" s="833"/>
      <c r="C409" s="946"/>
      <c r="D409" s="833"/>
      <c r="E409" s="834" t="s">
        <v>18</v>
      </c>
      <c r="F409" s="833"/>
      <c r="G409" s="941"/>
      <c r="H409" s="165" t="s">
        <v>12</v>
      </c>
      <c r="I409" s="947"/>
      <c r="J409" s="947"/>
      <c r="K409" s="948"/>
      <c r="L409" s="837">
        <v>0</v>
      </c>
      <c r="M409" s="837">
        <v>0</v>
      </c>
      <c r="N409" s="837">
        <v>0</v>
      </c>
      <c r="O409" s="837">
        <f t="shared" si="175"/>
        <v>0</v>
      </c>
      <c r="P409" s="837">
        <f t="shared" si="176"/>
        <v>0</v>
      </c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</row>
    <row r="410" spans="1:26" ht="19.5" hidden="1">
      <c r="A410" s="940"/>
      <c r="B410" s="833"/>
      <c r="C410" s="946"/>
      <c r="D410" s="833"/>
      <c r="E410" s="834" t="s">
        <v>19</v>
      </c>
      <c r="F410" s="833"/>
      <c r="G410" s="941"/>
      <c r="H410" s="169" t="s">
        <v>12</v>
      </c>
      <c r="I410" s="947"/>
      <c r="J410" s="947"/>
      <c r="K410" s="948"/>
      <c r="L410" s="837">
        <f ca="1">IFERROR(__xludf.DUMMYFUNCTION("IMPORTRANGE(""https://docs.google.com/spreadsheets/d/1MeEWN-I1oV_STSDYn1IFDPWt_1FKiwhDph83XaGc0o0/edit?usp=sharing"",""งบพรบ!FT19"")"),0)</f>
        <v>0</v>
      </c>
      <c r="M410" s="837">
        <f ca="1">IFERROR(__xludf.DUMMYFUNCTION("IMPORTRANGE(""https://docs.google.com/spreadsheets/d/1MeEWN-I1oV_STSDYn1IFDPWt_1FKiwhDph83XaGc0o0/edit?usp=sharing"",""งบพรบ!FW19"")"),0)</f>
        <v>0</v>
      </c>
      <c r="N410" s="837">
        <f ca="1">IFERROR(__xludf.DUMMYFUNCTION("IMPORTRANGE(""https://docs.google.com/spreadsheets/d/1MeEWN-I1oV_STSDYn1IFDPWt_1FKiwhDph83XaGc0o0/edit?usp=sharing"",""งบพรบ!FY19"")"),0)</f>
        <v>0</v>
      </c>
      <c r="O410" s="837">
        <f t="shared" ca="1" si="175"/>
        <v>0</v>
      </c>
      <c r="P410" s="837">
        <f t="shared" ca="1" si="176"/>
        <v>0</v>
      </c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</row>
    <row r="411" spans="1:26" ht="19.5" hidden="1">
      <c r="A411" s="949"/>
      <c r="B411" s="950"/>
      <c r="C411" s="946" t="s">
        <v>16</v>
      </c>
      <c r="D411" s="1207" t="s">
        <v>38</v>
      </c>
      <c r="E411" s="1208"/>
      <c r="F411" s="1208"/>
      <c r="G411" s="1209"/>
      <c r="H411" s="954"/>
      <c r="I411" s="830"/>
      <c r="J411" s="830"/>
      <c r="K411" s="831"/>
      <c r="L411" s="945"/>
      <c r="M411" s="945"/>
      <c r="N411" s="945"/>
      <c r="O411" s="945"/>
      <c r="P411" s="945"/>
    </row>
    <row r="412" spans="1:26" ht="18.75" hidden="1">
      <c r="A412" s="949"/>
      <c r="B412" s="957"/>
      <c r="C412" s="957"/>
      <c r="D412" s="956" t="s">
        <v>177</v>
      </c>
      <c r="E412" s="957"/>
      <c r="F412" s="957"/>
      <c r="G412" s="958"/>
      <c r="H412" s="501" t="s">
        <v>66</v>
      </c>
      <c r="I412" s="830">
        <v>0</v>
      </c>
      <c r="J412" s="959">
        <v>0</v>
      </c>
      <c r="K412" s="831">
        <f t="shared" ref="K412:K413" si="180">IF(I412&gt;0,J412*100/I412,0)</f>
        <v>0</v>
      </c>
      <c r="L412" s="945"/>
      <c r="M412" s="945"/>
      <c r="N412" s="945"/>
      <c r="O412" s="945"/>
      <c r="P412" s="945"/>
    </row>
    <row r="413" spans="1:26" ht="19.5" hidden="1" thickBot="1">
      <c r="A413" s="1210"/>
      <c r="B413" s="1211"/>
      <c r="C413" s="1211"/>
      <c r="D413" s="1212" t="s">
        <v>178</v>
      </c>
      <c r="E413" s="1211"/>
      <c r="F413" s="1211"/>
      <c r="G413" s="1213"/>
      <c r="H413" s="506" t="s">
        <v>179</v>
      </c>
      <c r="I413" s="1214">
        <v>0</v>
      </c>
      <c r="J413" s="1215">
        <v>0</v>
      </c>
      <c r="K413" s="1216">
        <f t="shared" si="180"/>
        <v>0</v>
      </c>
      <c r="L413" s="1217"/>
      <c r="M413" s="1217"/>
      <c r="N413" s="1217"/>
      <c r="O413" s="1217"/>
      <c r="P413" s="1217"/>
    </row>
    <row r="414" spans="1:26" ht="19.5">
      <c r="A414" s="1218" t="s">
        <v>180</v>
      </c>
      <c r="B414" s="1219"/>
      <c r="C414" s="1219"/>
      <c r="D414" s="1219"/>
      <c r="E414" s="1219"/>
      <c r="F414" s="1219"/>
      <c r="G414" s="1220"/>
      <c r="H414" s="1221"/>
      <c r="I414" s="1222"/>
      <c r="J414" s="1222"/>
      <c r="K414" s="1223"/>
      <c r="L414" s="1224">
        <f t="shared" ref="L414:N414" ca="1" si="181">L419+L444+L467+L502+L523+L544+L629+L655+L685+L737+L754+L770+L786+L805</f>
        <v>1726992</v>
      </c>
      <c r="M414" s="1224">
        <f t="shared" si="181"/>
        <v>0</v>
      </c>
      <c r="N414" s="1224">
        <f t="shared" si="181"/>
        <v>423953</v>
      </c>
      <c r="O414" s="1224">
        <f ca="1">IF(L414&gt;0,N414*100/L414,0)</f>
        <v>24.548637167977617</v>
      </c>
      <c r="P414" s="1224">
        <f>IF(M414&gt;0,N414*100/M414,0)</f>
        <v>0</v>
      </c>
    </row>
    <row r="415" spans="1:26" ht="19.5">
      <c r="A415" s="1225" t="s">
        <v>181</v>
      </c>
      <c r="B415" s="1226"/>
      <c r="C415" s="1226"/>
      <c r="D415" s="1226"/>
      <c r="E415" s="1226"/>
      <c r="F415" s="1226"/>
      <c r="G415" s="1226"/>
      <c r="H415" s="1227"/>
      <c r="I415" s="1228"/>
      <c r="J415" s="1228"/>
      <c r="K415" s="1229"/>
      <c r="L415" s="1230"/>
      <c r="M415" s="1230"/>
      <c r="N415" s="1230"/>
      <c r="O415" s="1230"/>
      <c r="P415" s="1230"/>
    </row>
    <row r="416" spans="1:26" ht="19.5">
      <c r="A416" s="1225" t="s">
        <v>182</v>
      </c>
      <c r="B416" s="1226"/>
      <c r="C416" s="1226"/>
      <c r="D416" s="1226"/>
      <c r="E416" s="1226"/>
      <c r="F416" s="1226"/>
      <c r="G416" s="1231"/>
      <c r="H416" s="1232"/>
      <c r="I416" s="1233"/>
      <c r="J416" s="1233"/>
      <c r="K416" s="1230"/>
      <c r="L416" s="1230"/>
      <c r="M416" s="1230"/>
      <c r="N416" s="1230"/>
      <c r="O416" s="1230"/>
      <c r="P416" s="1230"/>
    </row>
    <row r="417" spans="1:26" ht="39">
      <c r="A417" s="527">
        <v>1</v>
      </c>
      <c r="B417" s="1234" t="s">
        <v>183</v>
      </c>
      <c r="C417" s="1234"/>
      <c r="D417" s="1235"/>
      <c r="E417" s="1235"/>
      <c r="F417" s="1235"/>
      <c r="G417" s="1236"/>
      <c r="H417" s="532" t="s">
        <v>35</v>
      </c>
      <c r="I417" s="1237">
        <f t="shared" ref="I417:J418" ca="1" si="182">I433</f>
        <v>20</v>
      </c>
      <c r="J417" s="1237">
        <f t="shared" ca="1" si="182"/>
        <v>20</v>
      </c>
      <c r="K417" s="1238">
        <f t="shared" ref="K417:K418" ca="1" si="183">IF(I417&gt;0,J417*100/I417,0)</f>
        <v>100</v>
      </c>
      <c r="L417" s="1239"/>
      <c r="M417" s="1239"/>
      <c r="N417" s="1239"/>
      <c r="O417" s="1239"/>
      <c r="P417" s="1239"/>
    </row>
    <row r="418" spans="1:26" ht="19.5">
      <c r="A418" s="1240"/>
      <c r="B418" s="527"/>
      <c r="C418" s="1234"/>
      <c r="D418" s="1235"/>
      <c r="E418" s="1235"/>
      <c r="F418" s="1235"/>
      <c r="G418" s="1236"/>
      <c r="H418" s="532" t="s">
        <v>49</v>
      </c>
      <c r="I418" s="1237">
        <f t="shared" ca="1" si="182"/>
        <v>1</v>
      </c>
      <c r="J418" s="1237">
        <f t="shared" si="182"/>
        <v>1</v>
      </c>
      <c r="K418" s="1238">
        <f t="shared" ca="1" si="183"/>
        <v>100</v>
      </c>
      <c r="L418" s="1239"/>
      <c r="M418" s="1239"/>
      <c r="N418" s="1239"/>
      <c r="O418" s="1239"/>
      <c r="P418" s="1239"/>
    </row>
    <row r="419" spans="1:26" ht="19.5">
      <c r="A419" s="932"/>
      <c r="B419" s="933"/>
      <c r="C419" s="933" t="s">
        <v>16</v>
      </c>
      <c r="D419" s="1510" t="s">
        <v>17</v>
      </c>
      <c r="E419" s="1487"/>
      <c r="F419" s="1487"/>
      <c r="G419" s="936"/>
      <c r="H419" s="275" t="s">
        <v>12</v>
      </c>
      <c r="I419" s="937"/>
      <c r="J419" s="937"/>
      <c r="K419" s="938"/>
      <c r="L419" s="939">
        <f t="shared" ref="L419:N419" ca="1" si="184">L420+L421</f>
        <v>100160</v>
      </c>
      <c r="M419" s="939">
        <f t="shared" si="184"/>
        <v>0</v>
      </c>
      <c r="N419" s="939">
        <f t="shared" si="184"/>
        <v>74520</v>
      </c>
      <c r="O419" s="939">
        <f t="shared" ref="O419:O424" ca="1" si="185">IF(L419&gt;0,N419*100/L419,0)</f>
        <v>74.400958466453673</v>
      </c>
      <c r="P419" s="939">
        <f t="shared" ref="P419:P424" si="186">IF(M419&gt;0,N419*100/M419,0)</f>
        <v>0</v>
      </c>
      <c r="Q419" s="818"/>
      <c r="R419" s="818"/>
      <c r="S419" s="818"/>
      <c r="T419" s="818"/>
      <c r="U419" s="818"/>
      <c r="V419" s="818"/>
      <c r="W419" s="818"/>
      <c r="X419" s="818"/>
      <c r="Y419" s="818"/>
      <c r="Z419" s="818"/>
    </row>
    <row r="420" spans="1:26" ht="18.75" hidden="1">
      <c r="A420" s="940"/>
      <c r="B420" s="833"/>
      <c r="C420" s="833"/>
      <c r="D420" s="1061"/>
      <c r="E420" s="834" t="s">
        <v>184</v>
      </c>
      <c r="F420" s="833"/>
      <c r="G420" s="941"/>
      <c r="H420" s="165" t="s">
        <v>12</v>
      </c>
      <c r="I420" s="836"/>
      <c r="J420" s="836"/>
      <c r="K420" s="837"/>
      <c r="L420" s="837">
        <f t="shared" ref="L420:N421" si="187">L423+L430</f>
        <v>0</v>
      </c>
      <c r="M420" s="837">
        <f t="shared" si="187"/>
        <v>0</v>
      </c>
      <c r="N420" s="837">
        <f t="shared" si="187"/>
        <v>0</v>
      </c>
      <c r="O420" s="837">
        <f t="shared" si="185"/>
        <v>0</v>
      </c>
      <c r="P420" s="837">
        <f t="shared" si="186"/>
        <v>0</v>
      </c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</row>
    <row r="421" spans="1:26" ht="18.75" hidden="1">
      <c r="A421" s="940"/>
      <c r="B421" s="833"/>
      <c r="C421" s="833"/>
      <c r="D421" s="1061"/>
      <c r="E421" s="834" t="s">
        <v>185</v>
      </c>
      <c r="F421" s="833"/>
      <c r="G421" s="941"/>
      <c r="H421" s="165" t="s">
        <v>12</v>
      </c>
      <c r="I421" s="836"/>
      <c r="J421" s="836"/>
      <c r="K421" s="837"/>
      <c r="L421" s="837">
        <f t="shared" ca="1" si="187"/>
        <v>100160</v>
      </c>
      <c r="M421" s="837">
        <f t="shared" si="187"/>
        <v>0</v>
      </c>
      <c r="N421" s="837">
        <f t="shared" si="187"/>
        <v>74520</v>
      </c>
      <c r="O421" s="837">
        <f t="shared" ca="1" si="185"/>
        <v>74.400958466453673</v>
      </c>
      <c r="P421" s="837">
        <f t="shared" si="186"/>
        <v>0</v>
      </c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</row>
    <row r="422" spans="1:26" ht="18.75">
      <c r="A422" s="942"/>
      <c r="B422" s="1030"/>
      <c r="C422" s="827"/>
      <c r="D422" s="828" t="s">
        <v>20</v>
      </c>
      <c r="E422" s="827"/>
      <c r="F422" s="827"/>
      <c r="G422" s="829"/>
      <c r="H422" s="778" t="s">
        <v>12</v>
      </c>
      <c r="I422" s="944"/>
      <c r="J422" s="944"/>
      <c r="K422" s="945"/>
      <c r="L422" s="831">
        <f t="shared" ref="L422:N422" ca="1" si="188">L423+L424</f>
        <v>100160</v>
      </c>
      <c r="M422" s="831">
        <f t="shared" si="188"/>
        <v>0</v>
      </c>
      <c r="N422" s="831">
        <f t="shared" si="188"/>
        <v>74520</v>
      </c>
      <c r="O422" s="831">
        <f t="shared" ca="1" si="185"/>
        <v>74.400958466453673</v>
      </c>
      <c r="P422" s="831">
        <f t="shared" si="186"/>
        <v>0</v>
      </c>
      <c r="Q422" s="818"/>
      <c r="R422" s="818"/>
      <c r="S422" s="818"/>
      <c r="T422" s="818"/>
      <c r="U422" s="818"/>
      <c r="V422" s="818"/>
      <c r="W422" s="818"/>
      <c r="X422" s="818"/>
      <c r="Y422" s="818"/>
      <c r="Z422" s="818"/>
    </row>
    <row r="423" spans="1:26" ht="18.75" hidden="1">
      <c r="A423" s="940"/>
      <c r="B423" s="833"/>
      <c r="C423" s="833"/>
      <c r="D423" s="1061"/>
      <c r="E423" s="834" t="s">
        <v>184</v>
      </c>
      <c r="F423" s="833"/>
      <c r="G423" s="941"/>
      <c r="H423" s="165" t="s">
        <v>12</v>
      </c>
      <c r="I423" s="836"/>
      <c r="J423" s="836"/>
      <c r="K423" s="837"/>
      <c r="L423" s="837">
        <v>0</v>
      </c>
      <c r="M423" s="837">
        <v>0</v>
      </c>
      <c r="N423" s="837">
        <v>0</v>
      </c>
      <c r="O423" s="837">
        <f t="shared" si="185"/>
        <v>0</v>
      </c>
      <c r="P423" s="837">
        <f t="shared" si="186"/>
        <v>0</v>
      </c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</row>
    <row r="424" spans="1:26" ht="18.75" hidden="1">
      <c r="A424" s="940"/>
      <c r="B424" s="833"/>
      <c r="C424" s="833"/>
      <c r="D424" s="1061"/>
      <c r="E424" s="834" t="s">
        <v>185</v>
      </c>
      <c r="F424" s="833"/>
      <c r="G424" s="941"/>
      <c r="H424" s="165" t="s">
        <v>12</v>
      </c>
      <c r="I424" s="836"/>
      <c r="J424" s="836"/>
      <c r="K424" s="837"/>
      <c r="L424" s="837">
        <f ca="1">IFERROR(__xludf.DUMMYFUNCTION("IMPORTRANGE(""https://docs.google.com/spreadsheets/d/1QqKyyYR6Q21VydFLVH3TRQUabQu_ym0Zz7PgGX0-kHA/edit?usp=sharing"",""แผน!EY19"")"),100160)</f>
        <v>100160</v>
      </c>
      <c r="M424" s="837">
        <v>0</v>
      </c>
      <c r="N424" s="837">
        <f>N425+N426+N427+N428</f>
        <v>74520</v>
      </c>
      <c r="O424" s="837">
        <f t="shared" ca="1" si="185"/>
        <v>74.400958466453673</v>
      </c>
      <c r="P424" s="837">
        <f t="shared" si="186"/>
        <v>0</v>
      </c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</row>
    <row r="425" spans="1:26" ht="18.75">
      <c r="A425" s="1241"/>
      <c r="B425" s="1242"/>
      <c r="C425" s="1243"/>
      <c r="D425" s="1243"/>
      <c r="E425" s="1243"/>
      <c r="F425" s="1243" t="s">
        <v>186</v>
      </c>
      <c r="G425" s="963"/>
      <c r="H425" s="778" t="s">
        <v>12</v>
      </c>
      <c r="I425" s="830"/>
      <c r="J425" s="830"/>
      <c r="K425" s="831"/>
      <c r="L425" s="831"/>
      <c r="M425" s="831"/>
      <c r="N425" s="1031">
        <v>69900</v>
      </c>
      <c r="O425" s="831"/>
      <c r="P425" s="831"/>
      <c r="Q425" s="1244"/>
      <c r="R425" s="1244"/>
      <c r="S425" s="1244"/>
      <c r="T425" s="1244"/>
      <c r="U425" s="1244"/>
      <c r="V425" s="1244"/>
      <c r="W425" s="1244"/>
      <c r="X425" s="1244"/>
      <c r="Y425" s="1244"/>
      <c r="Z425" s="1244"/>
    </row>
    <row r="426" spans="1:26" ht="18.75">
      <c r="A426" s="1241"/>
      <c r="B426" s="1242"/>
      <c r="C426" s="1243"/>
      <c r="D426" s="1243"/>
      <c r="E426" s="1243"/>
      <c r="F426" s="1243" t="s">
        <v>187</v>
      </c>
      <c r="G426" s="963"/>
      <c r="H426" s="778" t="s">
        <v>12</v>
      </c>
      <c r="I426" s="830"/>
      <c r="J426" s="830"/>
      <c r="K426" s="831"/>
      <c r="L426" s="831"/>
      <c r="M426" s="831"/>
      <c r="N426" s="1031">
        <v>0</v>
      </c>
      <c r="O426" s="831"/>
      <c r="P426" s="831"/>
      <c r="Q426" s="1244"/>
      <c r="R426" s="1244"/>
      <c r="S426" s="1244"/>
      <c r="T426" s="1244"/>
      <c r="U426" s="1244"/>
      <c r="V426" s="1244"/>
      <c r="W426" s="1244"/>
      <c r="X426" s="1244"/>
      <c r="Y426" s="1244"/>
      <c r="Z426" s="1244"/>
    </row>
    <row r="427" spans="1:26" ht="18.75">
      <c r="A427" s="1241"/>
      <c r="B427" s="1242"/>
      <c r="C427" s="1243"/>
      <c r="D427" s="1243"/>
      <c r="E427" s="1243"/>
      <c r="F427" s="1243" t="s">
        <v>188</v>
      </c>
      <c r="G427" s="963"/>
      <c r="H427" s="778" t="s">
        <v>12</v>
      </c>
      <c r="I427" s="830"/>
      <c r="J427" s="830"/>
      <c r="K427" s="831"/>
      <c r="L427" s="831"/>
      <c r="M427" s="831"/>
      <c r="N427" s="1031">
        <v>0</v>
      </c>
      <c r="O427" s="831"/>
      <c r="P427" s="831"/>
      <c r="Q427" s="1244"/>
      <c r="R427" s="1244"/>
      <c r="S427" s="1244"/>
      <c r="T427" s="1244"/>
      <c r="U427" s="1244"/>
      <c r="V427" s="1244"/>
      <c r="W427" s="1244"/>
      <c r="X427" s="1244"/>
      <c r="Y427" s="1244"/>
      <c r="Z427" s="1244"/>
    </row>
    <row r="428" spans="1:26" ht="18.75">
      <c r="A428" s="1032"/>
      <c r="B428" s="1030"/>
      <c r="C428" s="827"/>
      <c r="D428" s="827"/>
      <c r="E428" s="827"/>
      <c r="F428" s="943" t="s">
        <v>189</v>
      </c>
      <c r="G428" s="977"/>
      <c r="H428" s="778" t="s">
        <v>12</v>
      </c>
      <c r="I428" s="830"/>
      <c r="J428" s="830"/>
      <c r="K428" s="831"/>
      <c r="L428" s="831"/>
      <c r="M428" s="831"/>
      <c r="N428" s="1031">
        <v>4620</v>
      </c>
      <c r="O428" s="831"/>
      <c r="P428" s="831"/>
      <c r="Q428" s="818"/>
      <c r="R428" s="818"/>
      <c r="S428" s="818"/>
      <c r="T428" s="818"/>
      <c r="U428" s="818"/>
      <c r="V428" s="818"/>
      <c r="W428" s="818"/>
      <c r="X428" s="818"/>
      <c r="Y428" s="818"/>
      <c r="Z428" s="818"/>
    </row>
    <row r="429" spans="1:26" ht="18.75">
      <c r="A429" s="942"/>
      <c r="B429" s="1030"/>
      <c r="C429" s="827"/>
      <c r="D429" s="828" t="s">
        <v>21</v>
      </c>
      <c r="E429" s="827"/>
      <c r="F429" s="827"/>
      <c r="G429" s="829"/>
      <c r="H429" s="168" t="s">
        <v>12</v>
      </c>
      <c r="I429" s="944"/>
      <c r="J429" s="944"/>
      <c r="K429" s="945"/>
      <c r="L429" s="831">
        <f t="shared" ref="L429:N429" ca="1" si="189">L430+L431</f>
        <v>0</v>
      </c>
      <c r="M429" s="831">
        <f t="shared" si="189"/>
        <v>0</v>
      </c>
      <c r="N429" s="831">
        <f t="shared" si="189"/>
        <v>0</v>
      </c>
      <c r="O429" s="831">
        <f t="shared" ref="O429:O431" ca="1" si="190">IF(L429&gt;0,N429*100/L429,0)</f>
        <v>0</v>
      </c>
      <c r="P429" s="831">
        <f t="shared" ref="P429:P431" si="191">IF(M429&gt;0,N429*100/M429,0)</f>
        <v>0</v>
      </c>
      <c r="Q429" s="818"/>
      <c r="R429" s="818"/>
      <c r="S429" s="818"/>
      <c r="T429" s="818"/>
      <c r="U429" s="818"/>
      <c r="V429" s="818"/>
      <c r="W429" s="818"/>
      <c r="X429" s="818"/>
      <c r="Y429" s="818"/>
      <c r="Z429" s="818"/>
    </row>
    <row r="430" spans="1:26" ht="18.75" hidden="1">
      <c r="A430" s="940"/>
      <c r="B430" s="1052"/>
      <c r="C430" s="833"/>
      <c r="D430" s="833"/>
      <c r="E430" s="834" t="s">
        <v>18</v>
      </c>
      <c r="F430" s="833"/>
      <c r="G430" s="835"/>
      <c r="H430" s="165" t="s">
        <v>12</v>
      </c>
      <c r="I430" s="947"/>
      <c r="J430" s="947"/>
      <c r="K430" s="948"/>
      <c r="L430" s="837">
        <v>0</v>
      </c>
      <c r="M430" s="837">
        <v>0</v>
      </c>
      <c r="N430" s="837">
        <v>0</v>
      </c>
      <c r="O430" s="837">
        <f t="shared" si="190"/>
        <v>0</v>
      </c>
      <c r="P430" s="837">
        <f t="shared" si="191"/>
        <v>0</v>
      </c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</row>
    <row r="431" spans="1:26" ht="18.75" hidden="1">
      <c r="A431" s="940"/>
      <c r="B431" s="1052"/>
      <c r="C431" s="833"/>
      <c r="D431" s="833"/>
      <c r="E431" s="834" t="s">
        <v>19</v>
      </c>
      <c r="F431" s="833"/>
      <c r="G431" s="835"/>
      <c r="H431" s="169" t="s">
        <v>12</v>
      </c>
      <c r="I431" s="947"/>
      <c r="J431" s="947"/>
      <c r="K431" s="948"/>
      <c r="L431" s="837">
        <f ca="1">IFERROR(__xludf.DUMMYFUNCTION("IMPORTRANGE(""https://docs.google.com/spreadsheets/d/1QqKyyYR6Q21VydFLVH3TRQUabQu_ym0Zz7PgGX0-kHA/edit?usp=sharing"",""แผน!FB19"")"),0)</f>
        <v>0</v>
      </c>
      <c r="M431" s="837">
        <v>0</v>
      </c>
      <c r="N431" s="837">
        <v>0</v>
      </c>
      <c r="O431" s="837">
        <f t="shared" ca="1" si="190"/>
        <v>0</v>
      </c>
      <c r="P431" s="837">
        <f t="shared" si="191"/>
        <v>0</v>
      </c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</row>
    <row r="432" spans="1:26" ht="19.5">
      <c r="A432" s="1112"/>
      <c r="B432" s="1113"/>
      <c r="C432" s="933" t="s">
        <v>16</v>
      </c>
      <c r="D432" s="1245" t="s">
        <v>38</v>
      </c>
      <c r="E432" s="1246"/>
      <c r="F432" s="1246"/>
      <c r="G432" s="1247"/>
      <c r="H432" s="1248"/>
      <c r="I432" s="937"/>
      <c r="J432" s="937"/>
      <c r="K432" s="938"/>
      <c r="L432" s="938"/>
      <c r="M432" s="938"/>
      <c r="N432" s="938"/>
      <c r="O432" s="938"/>
      <c r="P432" s="938"/>
      <c r="Q432" s="818"/>
      <c r="R432" s="818"/>
      <c r="S432" s="818"/>
      <c r="T432" s="818"/>
      <c r="U432" s="818"/>
      <c r="V432" s="818"/>
      <c r="W432" s="818"/>
      <c r="X432" s="818"/>
      <c r="Y432" s="818"/>
      <c r="Z432" s="818"/>
    </row>
    <row r="433" spans="1:26" ht="19.5">
      <c r="A433" s="949"/>
      <c r="B433" s="950"/>
      <c r="C433" s="950"/>
      <c r="D433" s="960" t="s">
        <v>190</v>
      </c>
      <c r="E433" s="957"/>
      <c r="F433" s="957"/>
      <c r="G433" s="958"/>
      <c r="H433" s="196" t="s">
        <v>35</v>
      </c>
      <c r="I433" s="966">
        <f ca="1">I435</f>
        <v>20</v>
      </c>
      <c r="J433" s="966">
        <f ca="1">IF(AND(J435=I435,J437=I437,J439=I439),I437+I439,IF(AND(J435=I437,J437=I437),I437,IF(AND(J435=I439,J439=I439),I439,0)))</f>
        <v>20</v>
      </c>
      <c r="K433" s="967">
        <f t="shared" ref="K433:K435" ca="1" si="192">IF(I433&gt;0,J433*100/I433,0)</f>
        <v>100</v>
      </c>
      <c r="L433" s="831"/>
      <c r="M433" s="831"/>
      <c r="N433" s="831"/>
      <c r="O433" s="831"/>
      <c r="P433" s="831"/>
      <c r="Q433" s="818"/>
      <c r="R433" s="818"/>
      <c r="S433" s="818"/>
      <c r="T433" s="818"/>
      <c r="U433" s="818"/>
      <c r="V433" s="818"/>
      <c r="W433" s="818"/>
      <c r="X433" s="818"/>
      <c r="Y433" s="818"/>
      <c r="Z433" s="818"/>
    </row>
    <row r="434" spans="1:26" ht="19.5">
      <c r="A434" s="949"/>
      <c r="B434" s="950"/>
      <c r="C434" s="950"/>
      <c r="D434" s="960" t="s">
        <v>191</v>
      </c>
      <c r="E434" s="957"/>
      <c r="F434" s="957"/>
      <c r="G434" s="958"/>
      <c r="H434" s="196" t="s">
        <v>49</v>
      </c>
      <c r="I434" s="966">
        <f t="shared" ref="I434:J434" ca="1" si="193">I438+I440</f>
        <v>1</v>
      </c>
      <c r="J434" s="966">
        <f t="shared" si="193"/>
        <v>1</v>
      </c>
      <c r="K434" s="967">
        <f t="shared" ca="1" si="192"/>
        <v>100</v>
      </c>
      <c r="L434" s="831"/>
      <c r="M434" s="831"/>
      <c r="N434" s="831"/>
      <c r="O434" s="831"/>
      <c r="P434" s="831"/>
      <c r="Q434" s="818"/>
      <c r="R434" s="818"/>
      <c r="S434" s="818"/>
      <c r="T434" s="818"/>
      <c r="U434" s="818"/>
      <c r="V434" s="818"/>
      <c r="W434" s="818"/>
      <c r="X434" s="818"/>
      <c r="Y434" s="818"/>
      <c r="Z434" s="818"/>
    </row>
    <row r="435" spans="1:26" ht="18.75">
      <c r="A435" s="949"/>
      <c r="B435" s="950"/>
      <c r="C435" s="950"/>
      <c r="D435" s="956" t="s">
        <v>192</v>
      </c>
      <c r="E435" s="957"/>
      <c r="F435" s="957"/>
      <c r="G435" s="958"/>
      <c r="H435" s="590" t="s">
        <v>35</v>
      </c>
      <c r="I435" s="548">
        <f ca="1">IFERROR(__xludf.DUMMYFUNCTION("IMPORTRANGE(""https://docs.google.com/spreadsheets/d/1QqKyyYR6Q21VydFLVH3TRQUabQu_ym0Zz7PgGX0-kHA/edit?usp=sharing"",""แผน!FC19"")"),20)</f>
        <v>20</v>
      </c>
      <c r="J435" s="549">
        <v>20</v>
      </c>
      <c r="K435" s="831">
        <f t="shared" ca="1" si="192"/>
        <v>100</v>
      </c>
      <c r="L435" s="831"/>
      <c r="M435" s="831"/>
      <c r="N435" s="831"/>
      <c r="O435" s="831"/>
      <c r="P435" s="831"/>
      <c r="Q435" s="818"/>
      <c r="R435" s="818"/>
      <c r="S435" s="818"/>
      <c r="T435" s="818"/>
      <c r="U435" s="818"/>
      <c r="V435" s="818"/>
      <c r="W435" s="818"/>
      <c r="X435" s="818"/>
      <c r="Y435" s="818"/>
      <c r="Z435" s="818"/>
    </row>
    <row r="436" spans="1:26" ht="18.75">
      <c r="A436" s="949"/>
      <c r="B436" s="950"/>
      <c r="C436" s="950"/>
      <c r="D436" s="956" t="s">
        <v>193</v>
      </c>
      <c r="E436" s="957"/>
      <c r="F436" s="957"/>
      <c r="G436" s="958"/>
      <c r="H436" s="590"/>
      <c r="I436" s="830"/>
      <c r="J436" s="830"/>
      <c r="K436" s="831"/>
      <c r="L436" s="831"/>
      <c r="M436" s="831"/>
      <c r="N436" s="831"/>
      <c r="O436" s="831"/>
      <c r="P436" s="831"/>
      <c r="Q436" s="818"/>
      <c r="R436" s="818"/>
      <c r="S436" s="818"/>
      <c r="T436" s="818"/>
      <c r="U436" s="818"/>
      <c r="V436" s="818"/>
      <c r="W436" s="818"/>
      <c r="X436" s="818"/>
      <c r="Y436" s="818"/>
      <c r="Z436" s="818"/>
    </row>
    <row r="437" spans="1:26" ht="18.75">
      <c r="A437" s="949"/>
      <c r="B437" s="950"/>
      <c r="C437" s="950"/>
      <c r="D437" s="956" t="s">
        <v>194</v>
      </c>
      <c r="E437" s="957"/>
      <c r="F437" s="957"/>
      <c r="G437" s="958"/>
      <c r="H437" s="590" t="s">
        <v>35</v>
      </c>
      <c r="I437" s="548">
        <f ca="1">IFERROR(__xludf.DUMMYFUNCTION("IMPORTRANGE(""https://docs.google.com/spreadsheets/d/1QqKyyYR6Q21VydFLVH3TRQUabQu_ym0Zz7PgGX0-kHA/edit?usp=sharing"",""แผน!FD19"")"),0)</f>
        <v>0</v>
      </c>
      <c r="J437" s="549">
        <v>0</v>
      </c>
      <c r="K437" s="831">
        <f t="shared" ref="K437:K443" ca="1" si="194">IF(I437&gt;0,J437*100/I437,0)</f>
        <v>0</v>
      </c>
      <c r="L437" s="831"/>
      <c r="M437" s="831"/>
      <c r="N437" s="831"/>
      <c r="O437" s="831"/>
      <c r="P437" s="831"/>
      <c r="Q437" s="818"/>
      <c r="R437" s="818"/>
      <c r="S437" s="818"/>
      <c r="T437" s="818"/>
      <c r="U437" s="818"/>
      <c r="V437" s="818"/>
      <c r="W437" s="818"/>
      <c r="X437" s="818"/>
      <c r="Y437" s="818"/>
      <c r="Z437" s="818"/>
    </row>
    <row r="438" spans="1:26" ht="18.75">
      <c r="A438" s="949"/>
      <c r="B438" s="950"/>
      <c r="C438" s="950"/>
      <c r="D438" s="956" t="s">
        <v>195</v>
      </c>
      <c r="E438" s="957"/>
      <c r="F438" s="957"/>
      <c r="G438" s="958"/>
      <c r="H438" s="590" t="s">
        <v>49</v>
      </c>
      <c r="I438" s="830">
        <f ca="1">IFERROR(__xludf.DUMMYFUNCTION("IMPORTRANGE(""https://docs.google.com/spreadsheets/d/1QqKyyYR6Q21VydFLVH3TRQUabQu_ym0Zz7PgGX0-kHA/edit?usp=sharing"",""แผน!FE19"")"),0)</f>
        <v>0</v>
      </c>
      <c r="J438" s="959">
        <v>0</v>
      </c>
      <c r="K438" s="831">
        <f t="shared" ca="1" si="194"/>
        <v>0</v>
      </c>
      <c r="L438" s="831"/>
      <c r="M438" s="831"/>
      <c r="N438" s="831"/>
      <c r="O438" s="831"/>
      <c r="P438" s="831"/>
      <c r="Q438" s="818"/>
      <c r="R438" s="818"/>
      <c r="S438" s="818"/>
      <c r="T438" s="818"/>
      <c r="U438" s="818"/>
      <c r="V438" s="818"/>
      <c r="W438" s="818"/>
      <c r="X438" s="818"/>
      <c r="Y438" s="818"/>
      <c r="Z438" s="818"/>
    </row>
    <row r="439" spans="1:26" ht="18.75">
      <c r="A439" s="949"/>
      <c r="B439" s="950"/>
      <c r="C439" s="950"/>
      <c r="D439" s="956" t="s">
        <v>196</v>
      </c>
      <c r="E439" s="957"/>
      <c r="F439" s="957"/>
      <c r="G439" s="958"/>
      <c r="H439" s="590" t="s">
        <v>35</v>
      </c>
      <c r="I439" s="548">
        <f ca="1">IFERROR(__xludf.DUMMYFUNCTION("IMPORTRANGE(""https://docs.google.com/spreadsheets/d/1QqKyyYR6Q21VydFLVH3TRQUabQu_ym0Zz7PgGX0-kHA/edit?usp=sharing"",""แผน!FF19"")"),20)</f>
        <v>20</v>
      </c>
      <c r="J439" s="549">
        <v>20</v>
      </c>
      <c r="K439" s="831">
        <f t="shared" ca="1" si="194"/>
        <v>100</v>
      </c>
      <c r="L439" s="831"/>
      <c r="M439" s="831"/>
      <c r="N439" s="831"/>
      <c r="O439" s="831"/>
      <c r="P439" s="831"/>
      <c r="Q439" s="818"/>
      <c r="R439" s="818"/>
      <c r="S439" s="818"/>
      <c r="T439" s="818"/>
      <c r="U439" s="818"/>
      <c r="V439" s="818"/>
      <c r="W439" s="818"/>
      <c r="X439" s="818"/>
      <c r="Y439" s="818"/>
      <c r="Z439" s="818"/>
    </row>
    <row r="440" spans="1:26" ht="18.75">
      <c r="A440" s="949"/>
      <c r="B440" s="950"/>
      <c r="C440" s="950"/>
      <c r="D440" s="956" t="s">
        <v>197</v>
      </c>
      <c r="E440" s="957"/>
      <c r="F440" s="957"/>
      <c r="G440" s="958"/>
      <c r="H440" s="590" t="s">
        <v>49</v>
      </c>
      <c r="I440" s="830">
        <f ca="1">IFERROR(__xludf.DUMMYFUNCTION("IMPORTRANGE(""https://docs.google.com/spreadsheets/d/1QqKyyYR6Q21VydFLVH3TRQUabQu_ym0Zz7PgGX0-kHA/edit?usp=sharing"",""แผน!FG19"")"),1)</f>
        <v>1</v>
      </c>
      <c r="J440" s="959">
        <v>1</v>
      </c>
      <c r="K440" s="831">
        <f t="shared" ca="1" si="194"/>
        <v>100</v>
      </c>
      <c r="L440" s="831"/>
      <c r="M440" s="831"/>
      <c r="N440" s="831"/>
      <c r="O440" s="831"/>
      <c r="P440" s="831"/>
      <c r="Q440" s="818"/>
      <c r="R440" s="818"/>
      <c r="S440" s="818"/>
      <c r="T440" s="818"/>
      <c r="U440" s="818"/>
      <c r="V440" s="818"/>
      <c r="W440" s="818"/>
      <c r="X440" s="818"/>
      <c r="Y440" s="818"/>
      <c r="Z440" s="818"/>
    </row>
    <row r="441" spans="1:26" ht="18.75" hidden="1">
      <c r="A441" s="949"/>
      <c r="B441" s="950"/>
      <c r="C441" s="950"/>
      <c r="D441" s="956" t="s">
        <v>198</v>
      </c>
      <c r="E441" s="957"/>
      <c r="F441" s="957"/>
      <c r="G441" s="958"/>
      <c r="H441" s="590" t="s">
        <v>35</v>
      </c>
      <c r="I441" s="830">
        <f ca="1">IFERROR(__xludf.DUMMYFUNCTION("IMPORTRANGE(""https://docs.google.com/spreadsheets/d/1QqKyyYR6Q21VydFLVH3TRQUabQu_ym0Zz7PgGX0-kHA/edit?usp=sharing"",""แผน!FH19"")"),0)</f>
        <v>0</v>
      </c>
      <c r="J441" s="830">
        <v>0</v>
      </c>
      <c r="K441" s="831">
        <f t="shared" ca="1" si="194"/>
        <v>0</v>
      </c>
      <c r="L441" s="831"/>
      <c r="M441" s="831"/>
      <c r="N441" s="831"/>
      <c r="O441" s="831"/>
      <c r="P441" s="831"/>
      <c r="Q441" s="818"/>
      <c r="R441" s="818"/>
      <c r="S441" s="818"/>
      <c r="T441" s="818"/>
      <c r="U441" s="818"/>
      <c r="V441" s="818"/>
      <c r="W441" s="818"/>
      <c r="X441" s="818"/>
      <c r="Y441" s="818"/>
      <c r="Z441" s="818"/>
    </row>
    <row r="442" spans="1:26" ht="19.5">
      <c r="A442" s="550">
        <v>2</v>
      </c>
      <c r="B442" s="1249" t="s">
        <v>199</v>
      </c>
      <c r="C442" s="1250"/>
      <c r="D442" s="1250"/>
      <c r="E442" s="1250"/>
      <c r="F442" s="1250"/>
      <c r="G442" s="1251"/>
      <c r="H442" s="554" t="s">
        <v>35</v>
      </c>
      <c r="I442" s="1252">
        <f t="shared" ref="I442:J442" ca="1" si="195">I460</f>
        <v>45</v>
      </c>
      <c r="J442" s="1252">
        <f t="shared" si="195"/>
        <v>45</v>
      </c>
      <c r="K442" s="1253">
        <f t="shared" ca="1" si="194"/>
        <v>100</v>
      </c>
      <c r="L442" s="1254"/>
      <c r="M442" s="1254"/>
      <c r="N442" s="1254"/>
      <c r="O442" s="1254"/>
      <c r="P442" s="1254"/>
      <c r="Q442" s="1244"/>
      <c r="R442" s="1244"/>
      <c r="S442" s="1244"/>
      <c r="T442" s="1244"/>
      <c r="U442" s="1244"/>
      <c r="V442" s="1244"/>
      <c r="W442" s="1244"/>
      <c r="X442" s="1244"/>
      <c r="Y442" s="1244"/>
      <c r="Z442" s="1244"/>
    </row>
    <row r="443" spans="1:26" ht="19.5">
      <c r="A443" s="1255"/>
      <c r="B443" s="1256"/>
      <c r="C443" s="1257"/>
      <c r="D443" s="1257"/>
      <c r="E443" s="1257"/>
      <c r="F443" s="1257"/>
      <c r="G443" s="1258"/>
      <c r="H443" s="532" t="s">
        <v>46</v>
      </c>
      <c r="I443" s="1237">
        <f t="shared" ref="I443:J443" ca="1" si="196">I462</f>
        <v>110</v>
      </c>
      <c r="J443" s="1237">
        <f t="shared" si="196"/>
        <v>110</v>
      </c>
      <c r="K443" s="1238">
        <f t="shared" ca="1" si="194"/>
        <v>100</v>
      </c>
      <c r="L443" s="1239"/>
      <c r="M443" s="1239"/>
      <c r="N443" s="1239"/>
      <c r="O443" s="1239"/>
      <c r="P443" s="1239"/>
      <c r="Q443" s="1244"/>
      <c r="R443" s="1244"/>
      <c r="S443" s="1244"/>
      <c r="T443" s="1244"/>
      <c r="U443" s="1244"/>
      <c r="V443" s="1244"/>
      <c r="W443" s="1244"/>
      <c r="X443" s="1244"/>
      <c r="Y443" s="1244"/>
      <c r="Z443" s="1244"/>
    </row>
    <row r="444" spans="1:26" ht="19.5">
      <c r="A444" s="1259"/>
      <c r="B444" s="1243"/>
      <c r="C444" s="1243" t="s">
        <v>16</v>
      </c>
      <c r="D444" s="1507" t="s">
        <v>17</v>
      </c>
      <c r="E444" s="1485"/>
      <c r="F444" s="1485"/>
      <c r="G444" s="963"/>
      <c r="H444" s="563" t="s">
        <v>12</v>
      </c>
      <c r="I444" s="830"/>
      <c r="J444" s="830"/>
      <c r="K444" s="831"/>
      <c r="L444" s="967">
        <f t="shared" ref="L444:N444" ca="1" si="197">L445+L446</f>
        <v>358780</v>
      </c>
      <c r="M444" s="967">
        <f t="shared" si="197"/>
        <v>0</v>
      </c>
      <c r="N444" s="967">
        <f t="shared" si="197"/>
        <v>95528</v>
      </c>
      <c r="O444" s="967">
        <f t="shared" ref="O444:O449" ca="1" si="198">IF(L444&gt;0,N444*100/L444,0)</f>
        <v>26.625787390601484</v>
      </c>
      <c r="P444" s="967">
        <f t="shared" ref="P444:P449" si="199">IF(M444&gt;0,N444*100/M444,0)</f>
        <v>0</v>
      </c>
      <c r="Q444" s="1244"/>
      <c r="R444" s="1244"/>
      <c r="S444" s="1244"/>
      <c r="T444" s="1244"/>
      <c r="U444" s="1244"/>
      <c r="V444" s="1244"/>
      <c r="W444" s="1244"/>
      <c r="X444" s="1244"/>
      <c r="Y444" s="1244"/>
      <c r="Z444" s="1244"/>
    </row>
    <row r="445" spans="1:26" ht="18.75" hidden="1">
      <c r="A445" s="1260"/>
      <c r="B445" s="1261"/>
      <c r="C445" s="1261"/>
      <c r="D445" s="1262"/>
      <c r="E445" s="1261" t="s">
        <v>184</v>
      </c>
      <c r="F445" s="1261"/>
      <c r="G445" s="1263"/>
      <c r="H445" s="165" t="s">
        <v>12</v>
      </c>
      <c r="I445" s="836"/>
      <c r="J445" s="836"/>
      <c r="K445" s="837"/>
      <c r="L445" s="837">
        <f t="shared" ref="L445:N446" si="200">L448+L455</f>
        <v>0</v>
      </c>
      <c r="M445" s="837">
        <f t="shared" si="200"/>
        <v>0</v>
      </c>
      <c r="N445" s="837">
        <f t="shared" si="200"/>
        <v>0</v>
      </c>
      <c r="O445" s="837">
        <f t="shared" si="198"/>
        <v>0</v>
      </c>
      <c r="P445" s="837">
        <f t="shared" si="199"/>
        <v>0</v>
      </c>
      <c r="Q445" s="1264"/>
      <c r="R445" s="1264"/>
      <c r="S445" s="1264"/>
      <c r="T445" s="1264"/>
      <c r="U445" s="1264"/>
      <c r="V445" s="1264"/>
      <c r="W445" s="1264"/>
      <c r="X445" s="1264"/>
      <c r="Y445" s="1264"/>
      <c r="Z445" s="1264"/>
    </row>
    <row r="446" spans="1:26" ht="18.75" hidden="1">
      <c r="A446" s="1260"/>
      <c r="B446" s="1265"/>
      <c r="C446" s="1261"/>
      <c r="D446" s="1262"/>
      <c r="E446" s="1261" t="s">
        <v>185</v>
      </c>
      <c r="F446" s="1261"/>
      <c r="G446" s="1263"/>
      <c r="H446" s="165" t="s">
        <v>12</v>
      </c>
      <c r="I446" s="836"/>
      <c r="J446" s="836"/>
      <c r="K446" s="837"/>
      <c r="L446" s="837">
        <f t="shared" ca="1" si="200"/>
        <v>358780</v>
      </c>
      <c r="M446" s="837">
        <f t="shared" si="200"/>
        <v>0</v>
      </c>
      <c r="N446" s="837">
        <f t="shared" si="200"/>
        <v>95528</v>
      </c>
      <c r="O446" s="837">
        <f t="shared" ca="1" si="198"/>
        <v>26.625787390601484</v>
      </c>
      <c r="P446" s="837">
        <f t="shared" si="199"/>
        <v>0</v>
      </c>
      <c r="Q446" s="1264"/>
      <c r="R446" s="1264"/>
      <c r="S446" s="1264"/>
      <c r="T446" s="1264"/>
      <c r="U446" s="1264"/>
      <c r="V446" s="1264"/>
      <c r="W446" s="1264"/>
      <c r="X446" s="1264"/>
      <c r="Y446" s="1264"/>
      <c r="Z446" s="1264"/>
    </row>
    <row r="447" spans="1:26" ht="18.75">
      <c r="A447" s="1259"/>
      <c r="B447" s="1242"/>
      <c r="C447" s="1243"/>
      <c r="D447" s="1266" t="s">
        <v>20</v>
      </c>
      <c r="E447" s="1243"/>
      <c r="F447" s="1243"/>
      <c r="G447" s="963"/>
      <c r="H447" s="778" t="s">
        <v>12</v>
      </c>
      <c r="I447" s="944"/>
      <c r="J447" s="944"/>
      <c r="K447" s="945"/>
      <c r="L447" s="831">
        <f t="shared" ref="L447:N447" ca="1" si="201">L448+L449</f>
        <v>358780</v>
      </c>
      <c r="M447" s="831">
        <f t="shared" si="201"/>
        <v>0</v>
      </c>
      <c r="N447" s="831">
        <f t="shared" si="201"/>
        <v>95528</v>
      </c>
      <c r="O447" s="831">
        <f t="shared" ca="1" si="198"/>
        <v>26.625787390601484</v>
      </c>
      <c r="P447" s="831">
        <f t="shared" si="199"/>
        <v>0</v>
      </c>
      <c r="Q447" s="1244"/>
      <c r="R447" s="1244"/>
      <c r="S447" s="1244"/>
      <c r="T447" s="1244"/>
      <c r="U447" s="1244"/>
      <c r="V447" s="1244"/>
      <c r="W447" s="1244"/>
      <c r="X447" s="1244"/>
      <c r="Y447" s="1244"/>
      <c r="Z447" s="1244"/>
    </row>
    <row r="448" spans="1:26" ht="18.75" hidden="1">
      <c r="A448" s="1260"/>
      <c r="B448" s="1265"/>
      <c r="C448" s="1261"/>
      <c r="D448" s="1262"/>
      <c r="E448" s="1261" t="s">
        <v>184</v>
      </c>
      <c r="F448" s="1261"/>
      <c r="G448" s="1263"/>
      <c r="H448" s="165" t="s">
        <v>12</v>
      </c>
      <c r="I448" s="836"/>
      <c r="J448" s="836"/>
      <c r="K448" s="837"/>
      <c r="L448" s="837">
        <v>0</v>
      </c>
      <c r="M448" s="837">
        <v>0</v>
      </c>
      <c r="N448" s="837">
        <v>0</v>
      </c>
      <c r="O448" s="837">
        <f t="shared" si="198"/>
        <v>0</v>
      </c>
      <c r="P448" s="837">
        <f t="shared" si="199"/>
        <v>0</v>
      </c>
      <c r="Q448" s="1264"/>
      <c r="R448" s="1264"/>
      <c r="S448" s="1264"/>
      <c r="T448" s="1264"/>
      <c r="U448" s="1264"/>
      <c r="V448" s="1264"/>
      <c r="W448" s="1264"/>
      <c r="X448" s="1264"/>
      <c r="Y448" s="1264"/>
      <c r="Z448" s="1264"/>
    </row>
    <row r="449" spans="1:26" ht="18.75" hidden="1">
      <c r="A449" s="1260"/>
      <c r="B449" s="1265"/>
      <c r="C449" s="1261"/>
      <c r="D449" s="1262"/>
      <c r="E449" s="1261" t="s">
        <v>185</v>
      </c>
      <c r="F449" s="1261"/>
      <c r="G449" s="1263"/>
      <c r="H449" s="165" t="s">
        <v>12</v>
      </c>
      <c r="I449" s="836"/>
      <c r="J449" s="836"/>
      <c r="K449" s="837"/>
      <c r="L449" s="837">
        <f ca="1">IFERROR(__xludf.DUMMYFUNCTION("IMPORTRANGE(""https://docs.google.com/spreadsheets/d/1QqKyyYR6Q21VydFLVH3TRQUabQu_ym0Zz7PgGX0-kHA/edit?usp=sharing"",""แผน!FJ19"")"),358780)</f>
        <v>358780</v>
      </c>
      <c r="M449" s="837">
        <v>0</v>
      </c>
      <c r="N449" s="837">
        <f>N450+N451+N452+N453</f>
        <v>95528</v>
      </c>
      <c r="O449" s="837">
        <f t="shared" ca="1" si="198"/>
        <v>26.625787390601484</v>
      </c>
      <c r="P449" s="837">
        <f t="shared" si="199"/>
        <v>0</v>
      </c>
      <c r="Q449" s="1264"/>
      <c r="R449" s="1264"/>
      <c r="S449" s="1264"/>
      <c r="T449" s="1264"/>
      <c r="U449" s="1264"/>
      <c r="V449" s="1264"/>
      <c r="W449" s="1264"/>
      <c r="X449" s="1264"/>
      <c r="Y449" s="1264"/>
      <c r="Z449" s="1264"/>
    </row>
    <row r="450" spans="1:26" ht="18.75">
      <c r="A450" s="1241"/>
      <c r="B450" s="1242"/>
      <c r="C450" s="1243"/>
      <c r="D450" s="1243"/>
      <c r="E450" s="1243"/>
      <c r="F450" s="1243" t="s">
        <v>186</v>
      </c>
      <c r="G450" s="963"/>
      <c r="H450" s="778" t="s">
        <v>12</v>
      </c>
      <c r="I450" s="830"/>
      <c r="J450" s="830"/>
      <c r="K450" s="831"/>
      <c r="L450" s="831"/>
      <c r="M450" s="831"/>
      <c r="N450" s="1031">
        <v>40548</v>
      </c>
      <c r="O450" s="831"/>
      <c r="P450" s="831"/>
      <c r="Q450" s="1244"/>
      <c r="R450" s="1244"/>
      <c r="S450" s="1244"/>
      <c r="T450" s="1244"/>
      <c r="U450" s="1244"/>
      <c r="V450" s="1244"/>
      <c r="W450" s="1244"/>
      <c r="X450" s="1244"/>
      <c r="Y450" s="1244"/>
      <c r="Z450" s="1244"/>
    </row>
    <row r="451" spans="1:26" ht="18.75">
      <c r="A451" s="1241"/>
      <c r="B451" s="1242"/>
      <c r="C451" s="1243"/>
      <c r="D451" s="1243"/>
      <c r="E451" s="1243"/>
      <c r="F451" s="1243" t="s">
        <v>187</v>
      </c>
      <c r="G451" s="963"/>
      <c r="H451" s="778" t="s">
        <v>12</v>
      </c>
      <c r="I451" s="830"/>
      <c r="J451" s="830"/>
      <c r="K451" s="831"/>
      <c r="L451" s="831"/>
      <c r="M451" s="831"/>
      <c r="N451" s="1031">
        <v>0</v>
      </c>
      <c r="O451" s="831"/>
      <c r="P451" s="831"/>
      <c r="Q451" s="1244"/>
      <c r="R451" s="1244"/>
      <c r="S451" s="1244"/>
      <c r="T451" s="1244"/>
      <c r="U451" s="1244"/>
      <c r="V451" s="1244"/>
      <c r="W451" s="1244"/>
      <c r="X451" s="1244"/>
      <c r="Y451" s="1244"/>
      <c r="Z451" s="1244"/>
    </row>
    <row r="452" spans="1:26" ht="18.75">
      <c r="A452" s="1241"/>
      <c r="B452" s="1242"/>
      <c r="C452" s="1242"/>
      <c r="D452" s="1242"/>
      <c r="E452" s="1242"/>
      <c r="F452" s="1243" t="s">
        <v>188</v>
      </c>
      <c r="G452" s="963"/>
      <c r="H452" s="778" t="s">
        <v>12</v>
      </c>
      <c r="I452" s="830"/>
      <c r="J452" s="830"/>
      <c r="K452" s="831"/>
      <c r="L452" s="831"/>
      <c r="M452" s="831"/>
      <c r="N452" s="1031">
        <v>52000</v>
      </c>
      <c r="O452" s="831"/>
      <c r="P452" s="831"/>
      <c r="Q452" s="1244"/>
      <c r="R452" s="1244"/>
      <c r="S452" s="1244"/>
      <c r="T452" s="1244"/>
      <c r="U452" s="1244"/>
      <c r="V452" s="1244"/>
      <c r="W452" s="1244"/>
      <c r="X452" s="1244"/>
      <c r="Y452" s="1244"/>
      <c r="Z452" s="1244"/>
    </row>
    <row r="453" spans="1:26" ht="18.75">
      <c r="A453" s="1241"/>
      <c r="B453" s="1242"/>
      <c r="C453" s="1242"/>
      <c r="D453" s="1242"/>
      <c r="E453" s="1242"/>
      <c r="F453" s="1243" t="s">
        <v>189</v>
      </c>
      <c r="G453" s="963"/>
      <c r="H453" s="778" t="s">
        <v>12</v>
      </c>
      <c r="I453" s="830"/>
      <c r="J453" s="830"/>
      <c r="K453" s="831"/>
      <c r="L453" s="831"/>
      <c r="M453" s="831"/>
      <c r="N453" s="1031">
        <v>2980</v>
      </c>
      <c r="O453" s="831"/>
      <c r="P453" s="831"/>
      <c r="Q453" s="1244"/>
      <c r="R453" s="1244"/>
      <c r="S453" s="1244"/>
      <c r="T453" s="1244"/>
      <c r="U453" s="1244"/>
      <c r="V453" s="1244"/>
      <c r="W453" s="1244"/>
      <c r="X453" s="1244"/>
      <c r="Y453" s="1244"/>
      <c r="Z453" s="1244"/>
    </row>
    <row r="454" spans="1:26" ht="18.75">
      <c r="A454" s="1259"/>
      <c r="B454" s="1242"/>
      <c r="C454" s="1242"/>
      <c r="D454" s="1266" t="s">
        <v>21</v>
      </c>
      <c r="E454" s="1242"/>
      <c r="F454" s="1243"/>
      <c r="G454" s="963"/>
      <c r="H454" s="168" t="s">
        <v>12</v>
      </c>
      <c r="I454" s="944"/>
      <c r="J454" s="944"/>
      <c r="K454" s="945"/>
      <c r="L454" s="831">
        <f t="shared" ref="L454:N454" ca="1" si="202">L455+L456</f>
        <v>0</v>
      </c>
      <c r="M454" s="831">
        <f t="shared" si="202"/>
        <v>0</v>
      </c>
      <c r="N454" s="831">
        <f t="shared" si="202"/>
        <v>0</v>
      </c>
      <c r="O454" s="831">
        <f t="shared" ref="O454:O456" ca="1" si="203">IF(L454&gt;0,N454*100/L454,0)</f>
        <v>0</v>
      </c>
      <c r="P454" s="831">
        <f t="shared" ref="P454:P456" si="204">IF(M454&gt;0,N454*100/M454,0)</f>
        <v>0</v>
      </c>
      <c r="Q454" s="1244"/>
      <c r="R454" s="1244"/>
      <c r="S454" s="1244"/>
      <c r="T454" s="1244"/>
      <c r="U454" s="1244"/>
      <c r="V454" s="1244"/>
      <c r="W454" s="1244"/>
      <c r="X454" s="1244"/>
      <c r="Y454" s="1244"/>
      <c r="Z454" s="1244"/>
    </row>
    <row r="455" spans="1:26" ht="18.75" hidden="1">
      <c r="A455" s="1260"/>
      <c r="B455" s="1265"/>
      <c r="C455" s="1265"/>
      <c r="D455" s="1265"/>
      <c r="E455" s="1265" t="s">
        <v>18</v>
      </c>
      <c r="F455" s="1261"/>
      <c r="G455" s="1263"/>
      <c r="H455" s="165" t="s">
        <v>12</v>
      </c>
      <c r="I455" s="947"/>
      <c r="J455" s="947"/>
      <c r="K455" s="948"/>
      <c r="L455" s="837">
        <v>0</v>
      </c>
      <c r="M455" s="837">
        <v>0</v>
      </c>
      <c r="N455" s="837">
        <v>0</v>
      </c>
      <c r="O455" s="837">
        <f t="shared" si="203"/>
        <v>0</v>
      </c>
      <c r="P455" s="837">
        <f t="shared" si="204"/>
        <v>0</v>
      </c>
      <c r="Q455" s="1264"/>
      <c r="R455" s="1264"/>
      <c r="S455" s="1264"/>
      <c r="T455" s="1264"/>
      <c r="U455" s="1264"/>
      <c r="V455" s="1264"/>
      <c r="W455" s="1264"/>
      <c r="X455" s="1264"/>
      <c r="Y455" s="1264"/>
      <c r="Z455" s="1264"/>
    </row>
    <row r="456" spans="1:26" ht="18.75" hidden="1">
      <c r="A456" s="1260"/>
      <c r="B456" s="1265"/>
      <c r="C456" s="1265"/>
      <c r="D456" s="1265"/>
      <c r="E456" s="1265" t="s">
        <v>19</v>
      </c>
      <c r="F456" s="1261"/>
      <c r="G456" s="1263"/>
      <c r="H456" s="169" t="s">
        <v>12</v>
      </c>
      <c r="I456" s="947"/>
      <c r="J456" s="947"/>
      <c r="K456" s="948"/>
      <c r="L456" s="837">
        <f ca="1">IFERROR(__xludf.DUMMYFUNCTION("IMPORTRANGE(""https://docs.google.com/spreadsheets/d/1QqKyyYR6Q21VydFLVH3TRQUabQu_ym0Zz7PgGX0-kHA/edit?usp=sharing"",""แผน!FM19"")"),0)</f>
        <v>0</v>
      </c>
      <c r="M456" s="837">
        <v>0</v>
      </c>
      <c r="N456" s="837">
        <v>0</v>
      </c>
      <c r="O456" s="837">
        <f t="shared" ca="1" si="203"/>
        <v>0</v>
      </c>
      <c r="P456" s="837">
        <f t="shared" si="204"/>
        <v>0</v>
      </c>
      <c r="Q456" s="1264"/>
      <c r="R456" s="1264"/>
      <c r="S456" s="1264"/>
      <c r="T456" s="1264"/>
      <c r="U456" s="1264"/>
      <c r="V456" s="1264"/>
      <c r="W456" s="1264"/>
      <c r="X456" s="1264"/>
      <c r="Y456" s="1264"/>
      <c r="Z456" s="1264"/>
    </row>
    <row r="457" spans="1:26" ht="19.5">
      <c r="A457" s="1267"/>
      <c r="B457" s="1268"/>
      <c r="C457" s="1242" t="s">
        <v>16</v>
      </c>
      <c r="D457" s="1269" t="s">
        <v>38</v>
      </c>
      <c r="E457" s="1270"/>
      <c r="F457" s="1271"/>
      <c r="G457" s="1272"/>
      <c r="H457" s="954"/>
      <c r="I457" s="830"/>
      <c r="J457" s="830"/>
      <c r="K457" s="831"/>
      <c r="L457" s="831"/>
      <c r="M457" s="831"/>
      <c r="N457" s="831"/>
      <c r="O457" s="831"/>
      <c r="P457" s="831"/>
      <c r="Q457" s="1244"/>
      <c r="R457" s="1244"/>
      <c r="S457" s="1244"/>
      <c r="T457" s="1244"/>
      <c r="U457" s="1244"/>
      <c r="V457" s="1244"/>
      <c r="W457" s="1244"/>
      <c r="X457" s="1244"/>
      <c r="Y457" s="1244"/>
      <c r="Z457" s="1244"/>
    </row>
    <row r="458" spans="1:26" ht="18.75" hidden="1">
      <c r="A458" s="1273"/>
      <c r="B458" s="1274"/>
      <c r="C458" s="1274"/>
      <c r="D458" s="1274" t="s">
        <v>200</v>
      </c>
      <c r="E458" s="1274"/>
      <c r="F458" s="1262"/>
      <c r="G458" s="1060"/>
      <c r="H458" s="583" t="s">
        <v>35</v>
      </c>
      <c r="I458" s="836">
        <v>0</v>
      </c>
      <c r="J458" s="836">
        <v>0</v>
      </c>
      <c r="K458" s="837">
        <f>IF(I458&gt;0,J458*100/I458,0)</f>
        <v>0</v>
      </c>
      <c r="L458" s="837"/>
      <c r="M458" s="837"/>
      <c r="N458" s="837"/>
      <c r="O458" s="837"/>
      <c r="P458" s="837"/>
      <c r="Q458" s="1264"/>
      <c r="R458" s="1264"/>
      <c r="S458" s="1264"/>
      <c r="T458" s="1264"/>
      <c r="U458" s="1264"/>
      <c r="V458" s="1264"/>
      <c r="W458" s="1264"/>
      <c r="X458" s="1264"/>
      <c r="Y458" s="1264"/>
      <c r="Z458" s="1264"/>
    </row>
    <row r="459" spans="1:26" ht="18.75" hidden="1">
      <c r="A459" s="1273"/>
      <c r="B459" s="1274"/>
      <c r="C459" s="1274"/>
      <c r="D459" s="1274" t="s">
        <v>201</v>
      </c>
      <c r="E459" s="1274"/>
      <c r="F459" s="1262"/>
      <c r="G459" s="1060"/>
      <c r="H459" s="583"/>
      <c r="I459" s="836"/>
      <c r="J459" s="836"/>
      <c r="K459" s="837"/>
      <c r="L459" s="837"/>
      <c r="M459" s="837"/>
      <c r="N459" s="837"/>
      <c r="O459" s="837"/>
      <c r="P459" s="837"/>
      <c r="Q459" s="1264"/>
      <c r="R459" s="1264"/>
      <c r="S459" s="1264"/>
      <c r="T459" s="1264"/>
      <c r="U459" s="1264"/>
      <c r="V459" s="1264"/>
      <c r="W459" s="1264"/>
      <c r="X459" s="1264"/>
      <c r="Y459" s="1264"/>
      <c r="Z459" s="1264"/>
    </row>
    <row r="460" spans="1:26" ht="18.75">
      <c r="A460" s="1267"/>
      <c r="B460" s="1268"/>
      <c r="C460" s="1268"/>
      <c r="D460" s="1268" t="s">
        <v>202</v>
      </c>
      <c r="E460" s="1268"/>
      <c r="F460" s="961"/>
      <c r="G460" s="954"/>
      <c r="H460" s="730" t="s">
        <v>35</v>
      </c>
      <c r="I460" s="830">
        <f ca="1">IFERROR(__xludf.DUMMYFUNCTION("IMPORTRANGE(""https://docs.google.com/spreadsheets/d/1QqKyyYR6Q21VydFLVH3TRQUabQu_ym0Zz7PgGX0-kHA/edit?usp=sharing"",""แผน!FN19"")"),45)</f>
        <v>45</v>
      </c>
      <c r="J460" s="959">
        <v>45</v>
      </c>
      <c r="K460" s="831">
        <f ca="1">IF(I460&gt;0,J460*100/I460,0)</f>
        <v>100</v>
      </c>
      <c r="L460" s="831"/>
      <c r="M460" s="831"/>
      <c r="N460" s="831"/>
      <c r="O460" s="831"/>
      <c r="P460" s="831"/>
      <c r="Q460" s="1244"/>
      <c r="R460" s="1244"/>
      <c r="S460" s="1244"/>
      <c r="T460" s="1244"/>
      <c r="U460" s="1244"/>
      <c r="V460" s="1244"/>
      <c r="W460" s="1244"/>
      <c r="X460" s="1244"/>
      <c r="Y460" s="1244"/>
      <c r="Z460" s="1244"/>
    </row>
    <row r="461" spans="1:26" ht="18.75">
      <c r="A461" s="1267"/>
      <c r="B461" s="1268"/>
      <c r="C461" s="1268"/>
      <c r="D461" s="1268" t="s">
        <v>203</v>
      </c>
      <c r="E461" s="961"/>
      <c r="F461" s="961"/>
      <c r="G461" s="954"/>
      <c r="H461" s="730"/>
      <c r="I461" s="830"/>
      <c r="J461" s="830"/>
      <c r="K461" s="831"/>
      <c r="L461" s="831"/>
      <c r="M461" s="831"/>
      <c r="N461" s="831"/>
      <c r="O461" s="831"/>
      <c r="P461" s="831"/>
      <c r="Q461" s="1244"/>
      <c r="R461" s="1244"/>
      <c r="S461" s="1244"/>
      <c r="T461" s="1244"/>
      <c r="U461" s="1244"/>
      <c r="V461" s="1244"/>
      <c r="W461" s="1244"/>
      <c r="X461" s="1244"/>
      <c r="Y461" s="1244"/>
      <c r="Z461" s="1244"/>
    </row>
    <row r="462" spans="1:26" ht="18.75">
      <c r="A462" s="1267"/>
      <c r="B462" s="1268"/>
      <c r="C462" s="1268"/>
      <c r="D462" s="1268" t="s">
        <v>204</v>
      </c>
      <c r="E462" s="961"/>
      <c r="F462" s="961"/>
      <c r="G462" s="954"/>
      <c r="H462" s="730" t="s">
        <v>46</v>
      </c>
      <c r="I462" s="830">
        <f ca="1">IFERROR(__xludf.DUMMYFUNCTION("IMPORTRANGE(""https://docs.google.com/spreadsheets/d/1QqKyyYR6Q21VydFLVH3TRQUabQu_ym0Zz7PgGX0-kHA/edit?usp=sharing"",""แผน!FO19"")"),110)</f>
        <v>110</v>
      </c>
      <c r="J462" s="959">
        <v>110</v>
      </c>
      <c r="K462" s="831">
        <f ca="1">IF(I462&gt;0,J462*100/I462,0)</f>
        <v>100</v>
      </c>
      <c r="L462" s="831"/>
      <c r="M462" s="831"/>
      <c r="N462" s="831"/>
      <c r="O462" s="831"/>
      <c r="P462" s="831"/>
      <c r="Q462" s="1244"/>
      <c r="R462" s="1244"/>
      <c r="S462" s="1244"/>
      <c r="T462" s="1244"/>
      <c r="U462" s="1244"/>
      <c r="V462" s="1244"/>
      <c r="W462" s="1244"/>
      <c r="X462" s="1244"/>
      <c r="Y462" s="1244"/>
      <c r="Z462" s="1244"/>
    </row>
    <row r="463" spans="1:26" ht="18.75">
      <c r="A463" s="1267"/>
      <c r="B463" s="1268"/>
      <c r="C463" s="1268"/>
      <c r="D463" s="1268" t="s">
        <v>59</v>
      </c>
      <c r="E463" s="961"/>
      <c r="F463" s="1243"/>
      <c r="G463" s="963"/>
      <c r="H463" s="730" t="s">
        <v>46</v>
      </c>
      <c r="I463" s="830">
        <f ca="1">IFERROR(__xludf.DUMMYFUNCTION("IMPORTRANGE(""https://docs.google.com/spreadsheets/d/1QqKyyYR6Q21VydFLVH3TRQUabQu_ym0Zz7PgGX0-kHA/edit?usp=sharing"",""แผน!FO19"")"),110)</f>
        <v>110</v>
      </c>
      <c r="J463" s="959">
        <v>0</v>
      </c>
      <c r="K463" s="831"/>
      <c r="L463" s="831"/>
      <c r="M463" s="831"/>
      <c r="N463" s="831"/>
      <c r="O463" s="831"/>
      <c r="P463" s="831"/>
      <c r="Q463" s="1244"/>
      <c r="R463" s="1244"/>
      <c r="S463" s="1244"/>
      <c r="T463" s="1244"/>
      <c r="U463" s="1244"/>
      <c r="V463" s="1244"/>
      <c r="W463" s="1244"/>
      <c r="X463" s="1244"/>
      <c r="Y463" s="1244"/>
      <c r="Z463" s="1244"/>
    </row>
    <row r="464" spans="1:26" ht="19.5">
      <c r="A464" s="1267"/>
      <c r="B464" s="1268"/>
      <c r="C464" s="1268"/>
      <c r="D464" s="1268"/>
      <c r="E464" s="961"/>
      <c r="F464" s="961"/>
      <c r="G464" s="1275"/>
      <c r="H464" s="730" t="s">
        <v>35</v>
      </c>
      <c r="I464" s="830">
        <f ca="1">IFERROR(__xludf.DUMMYFUNCTION("IMPORTRANGE(""https://docs.google.com/spreadsheets/d/1QqKyyYR6Q21VydFLVH3TRQUabQu_ym0Zz7PgGX0-kHA/edit?usp=sharing"",""แผน!FN19"")"),45)</f>
        <v>45</v>
      </c>
      <c r="J464" s="959">
        <v>0</v>
      </c>
      <c r="K464" s="831"/>
      <c r="L464" s="831"/>
      <c r="M464" s="831"/>
      <c r="N464" s="831"/>
      <c r="O464" s="831"/>
      <c r="P464" s="831"/>
      <c r="Q464" s="1244"/>
      <c r="R464" s="1244"/>
      <c r="S464" s="1244"/>
      <c r="T464" s="1244"/>
      <c r="U464" s="1244"/>
      <c r="V464" s="1244"/>
      <c r="W464" s="1244"/>
      <c r="X464" s="1244"/>
      <c r="Y464" s="1244"/>
      <c r="Z464" s="1244"/>
    </row>
    <row r="465" spans="1:26" ht="19.5">
      <c r="A465" s="550">
        <v>3</v>
      </c>
      <c r="B465" s="1249" t="s">
        <v>205</v>
      </c>
      <c r="C465" s="1250"/>
      <c r="D465" s="1250"/>
      <c r="E465" s="1250"/>
      <c r="F465" s="1250"/>
      <c r="G465" s="1251"/>
      <c r="H465" s="554" t="s">
        <v>35</v>
      </c>
      <c r="I465" s="1252">
        <f ca="1">IFERROR(__xludf.DUMMYFUNCTION("IMPORTRANGE(""https://docs.google.com/spreadsheets/d/1QqKyyYR6Q21VydFLVH3TRQUabQu_ym0Zz7PgGX0-kHA/edit?usp=sharing"",""แผน!FX19"")"),61)</f>
        <v>61</v>
      </c>
      <c r="J465" s="1252">
        <f>J485+J489+J492</f>
        <v>61</v>
      </c>
      <c r="K465" s="1253">
        <f t="shared" ref="K465:K466" ca="1" si="205">IF(I465&gt;0,J465*100/I465,0)</f>
        <v>100</v>
      </c>
      <c r="L465" s="1254"/>
      <c r="M465" s="1254"/>
      <c r="N465" s="1254"/>
      <c r="O465" s="1254"/>
      <c r="P465" s="1254"/>
      <c r="Q465" s="1244"/>
      <c r="R465" s="1244"/>
      <c r="S465" s="1244"/>
      <c r="T465" s="1244"/>
      <c r="U465" s="1244"/>
      <c r="V465" s="1244"/>
      <c r="W465" s="1244"/>
      <c r="X465" s="1244"/>
      <c r="Y465" s="1244"/>
      <c r="Z465" s="1244"/>
    </row>
    <row r="466" spans="1:26" ht="19.5">
      <c r="A466" s="1255"/>
      <c r="B466" s="1256"/>
      <c r="C466" s="1257"/>
      <c r="D466" s="1257"/>
      <c r="E466" s="1257"/>
      <c r="F466" s="1257"/>
      <c r="G466" s="1258"/>
      <c r="H466" s="532" t="s">
        <v>46</v>
      </c>
      <c r="I466" s="1237">
        <f ca="1">IFERROR(__xludf.DUMMYFUNCTION("IMPORTRANGE(""https://docs.google.com/spreadsheets/d/1QqKyyYR6Q21VydFLVH3TRQUabQu_ym0Zz7PgGX0-kHA/edit?usp=sharing"",""แผน!FW19"")"),600)</f>
        <v>600</v>
      </c>
      <c r="J466" s="1237">
        <f>J495+J498</f>
        <v>0</v>
      </c>
      <c r="K466" s="1238">
        <f t="shared" ca="1" si="205"/>
        <v>0</v>
      </c>
      <c r="L466" s="1239"/>
      <c r="M466" s="1239"/>
      <c r="N466" s="1239"/>
      <c r="O466" s="1239"/>
      <c r="P466" s="1239"/>
      <c r="Q466" s="1244"/>
      <c r="R466" s="1244"/>
      <c r="S466" s="1244"/>
      <c r="T466" s="1244"/>
      <c r="U466" s="1244"/>
      <c r="V466" s="1244"/>
      <c r="W466" s="1244"/>
      <c r="X466" s="1244"/>
      <c r="Y466" s="1244"/>
      <c r="Z466" s="1244"/>
    </row>
    <row r="467" spans="1:26" ht="19.5">
      <c r="A467" s="1259"/>
      <c r="B467" s="1243"/>
      <c r="C467" s="1243" t="s">
        <v>16</v>
      </c>
      <c r="D467" s="1507" t="s">
        <v>17</v>
      </c>
      <c r="E467" s="1485"/>
      <c r="F467" s="1485"/>
      <c r="G467" s="963"/>
      <c r="H467" s="563" t="s">
        <v>12</v>
      </c>
      <c r="I467" s="830"/>
      <c r="J467" s="830"/>
      <c r="K467" s="831"/>
      <c r="L467" s="967">
        <f t="shared" ref="L467:N467" ca="1" si="206">L468+L469</f>
        <v>491293</v>
      </c>
      <c r="M467" s="967">
        <f t="shared" si="206"/>
        <v>0</v>
      </c>
      <c r="N467" s="967">
        <f t="shared" si="206"/>
        <v>79010</v>
      </c>
      <c r="O467" s="967">
        <f t="shared" ref="O467:O472" ca="1" si="207">IF(L467&gt;0,N467*100/L467,0)</f>
        <v>16.082052868654753</v>
      </c>
      <c r="P467" s="967">
        <f t="shared" ref="P467:P472" si="208">IF(M467&gt;0,N467*100/M467,0)</f>
        <v>0</v>
      </c>
      <c r="Q467" s="1244"/>
      <c r="R467" s="1244"/>
      <c r="S467" s="1244"/>
      <c r="T467" s="1244"/>
      <c r="U467" s="1244"/>
      <c r="V467" s="1244"/>
      <c r="W467" s="1244"/>
      <c r="X467" s="1244"/>
      <c r="Y467" s="1244"/>
      <c r="Z467" s="1244"/>
    </row>
    <row r="468" spans="1:26" ht="18.75" hidden="1">
      <c r="A468" s="1260"/>
      <c r="B468" s="1261"/>
      <c r="C468" s="1261"/>
      <c r="D468" s="1262"/>
      <c r="E468" s="1261" t="s">
        <v>184</v>
      </c>
      <c r="F468" s="1261"/>
      <c r="G468" s="1263"/>
      <c r="H468" s="165" t="s">
        <v>12</v>
      </c>
      <c r="I468" s="836"/>
      <c r="J468" s="836"/>
      <c r="K468" s="837"/>
      <c r="L468" s="837">
        <f t="shared" ref="L468:N469" si="209">L471+L478</f>
        <v>0</v>
      </c>
      <c r="M468" s="837">
        <f t="shared" si="209"/>
        <v>0</v>
      </c>
      <c r="N468" s="837">
        <f t="shared" si="209"/>
        <v>0</v>
      </c>
      <c r="O468" s="837">
        <f t="shared" si="207"/>
        <v>0</v>
      </c>
      <c r="P468" s="837">
        <f t="shared" si="208"/>
        <v>0</v>
      </c>
      <c r="Q468" s="1264"/>
      <c r="R468" s="1264"/>
      <c r="S468" s="1264"/>
      <c r="T468" s="1264"/>
      <c r="U468" s="1264"/>
      <c r="V468" s="1264"/>
      <c r="W468" s="1264"/>
      <c r="X468" s="1264"/>
      <c r="Y468" s="1264"/>
      <c r="Z468" s="1264"/>
    </row>
    <row r="469" spans="1:26" ht="18.75" hidden="1">
      <c r="A469" s="1260"/>
      <c r="B469" s="1265"/>
      <c r="C469" s="1261"/>
      <c r="D469" s="1262"/>
      <c r="E469" s="1261" t="s">
        <v>185</v>
      </c>
      <c r="F469" s="1261"/>
      <c r="G469" s="1263"/>
      <c r="H469" s="165" t="s">
        <v>12</v>
      </c>
      <c r="I469" s="836"/>
      <c r="J469" s="836"/>
      <c r="K469" s="837"/>
      <c r="L469" s="837">
        <f t="shared" ca="1" si="209"/>
        <v>491293</v>
      </c>
      <c r="M469" s="837">
        <f t="shared" si="209"/>
        <v>0</v>
      </c>
      <c r="N469" s="837">
        <f t="shared" si="209"/>
        <v>79010</v>
      </c>
      <c r="O469" s="837">
        <f t="shared" ca="1" si="207"/>
        <v>16.082052868654753</v>
      </c>
      <c r="P469" s="837">
        <f t="shared" si="208"/>
        <v>0</v>
      </c>
      <c r="Q469" s="1264"/>
      <c r="R469" s="1264"/>
      <c r="S469" s="1264"/>
      <c r="T469" s="1264"/>
      <c r="U469" s="1264"/>
      <c r="V469" s="1264"/>
      <c r="W469" s="1264"/>
      <c r="X469" s="1264"/>
      <c r="Y469" s="1264"/>
      <c r="Z469" s="1264"/>
    </row>
    <row r="470" spans="1:26" ht="18.75">
      <c r="A470" s="1259"/>
      <c r="B470" s="1242"/>
      <c r="C470" s="1243"/>
      <c r="D470" s="1266" t="s">
        <v>20</v>
      </c>
      <c r="E470" s="1243"/>
      <c r="F470" s="1243"/>
      <c r="G470" s="963"/>
      <c r="H470" s="778" t="s">
        <v>12</v>
      </c>
      <c r="I470" s="944"/>
      <c r="J470" s="944"/>
      <c r="K470" s="945"/>
      <c r="L470" s="831">
        <f t="shared" ref="L470:N470" ca="1" si="210">L471+L472</f>
        <v>491293</v>
      </c>
      <c r="M470" s="831">
        <f t="shared" si="210"/>
        <v>0</v>
      </c>
      <c r="N470" s="831">
        <f t="shared" si="210"/>
        <v>79010</v>
      </c>
      <c r="O470" s="831">
        <f t="shared" ca="1" si="207"/>
        <v>16.082052868654753</v>
      </c>
      <c r="P470" s="831">
        <f t="shared" si="208"/>
        <v>0</v>
      </c>
      <c r="Q470" s="1244"/>
      <c r="R470" s="1244"/>
      <c r="S470" s="1244"/>
      <c r="T470" s="1244"/>
      <c r="U470" s="1244"/>
      <c r="V470" s="1244"/>
      <c r="W470" s="1244"/>
      <c r="X470" s="1244"/>
      <c r="Y470" s="1244"/>
      <c r="Z470" s="1244"/>
    </row>
    <row r="471" spans="1:26" ht="18.75" hidden="1">
      <c r="A471" s="1260"/>
      <c r="B471" s="1265"/>
      <c r="C471" s="1261"/>
      <c r="D471" s="1262"/>
      <c r="E471" s="1261" t="s">
        <v>184</v>
      </c>
      <c r="F471" s="1261"/>
      <c r="G471" s="1263"/>
      <c r="H471" s="165" t="s">
        <v>12</v>
      </c>
      <c r="I471" s="836"/>
      <c r="J471" s="836"/>
      <c r="K471" s="837"/>
      <c r="L471" s="837">
        <v>0</v>
      </c>
      <c r="M471" s="837">
        <v>0</v>
      </c>
      <c r="N471" s="837">
        <v>0</v>
      </c>
      <c r="O471" s="837">
        <f t="shared" si="207"/>
        <v>0</v>
      </c>
      <c r="P471" s="837">
        <f t="shared" si="208"/>
        <v>0</v>
      </c>
      <c r="Q471" s="1264"/>
      <c r="R471" s="1264"/>
      <c r="S471" s="1264"/>
      <c r="T471" s="1264"/>
      <c r="U471" s="1264"/>
      <c r="V471" s="1264"/>
      <c r="W471" s="1264"/>
      <c r="X471" s="1264"/>
      <c r="Y471" s="1264"/>
      <c r="Z471" s="1264"/>
    </row>
    <row r="472" spans="1:26" ht="18.75" hidden="1">
      <c r="A472" s="1260"/>
      <c r="B472" s="1265"/>
      <c r="C472" s="1261"/>
      <c r="D472" s="1262"/>
      <c r="E472" s="1261" t="s">
        <v>185</v>
      </c>
      <c r="F472" s="1261"/>
      <c r="G472" s="1263"/>
      <c r="H472" s="165" t="s">
        <v>12</v>
      </c>
      <c r="I472" s="836"/>
      <c r="J472" s="836"/>
      <c r="K472" s="837"/>
      <c r="L472" s="837">
        <f ca="1">IFERROR(__xludf.DUMMYFUNCTION("IMPORTRANGE(""https://docs.google.com/spreadsheets/d/1QqKyyYR6Q21VydFLVH3TRQUabQu_ym0Zz7PgGX0-kHA/edit?usp=sharing"",""แผน!FS19"")"),491293)</f>
        <v>491293</v>
      </c>
      <c r="M472" s="837">
        <v>0</v>
      </c>
      <c r="N472" s="837">
        <f>N473+N474+N475+N476</f>
        <v>79010</v>
      </c>
      <c r="O472" s="837">
        <f t="shared" ca="1" si="207"/>
        <v>16.082052868654753</v>
      </c>
      <c r="P472" s="837">
        <f t="shared" si="208"/>
        <v>0</v>
      </c>
      <c r="Q472" s="1264"/>
      <c r="R472" s="1264"/>
      <c r="S472" s="1264"/>
      <c r="T472" s="1264"/>
      <c r="U472" s="1264"/>
      <c r="V472" s="1264"/>
      <c r="W472" s="1264"/>
      <c r="X472" s="1264"/>
      <c r="Y472" s="1264"/>
      <c r="Z472" s="1264"/>
    </row>
    <row r="473" spans="1:26" ht="18.75">
      <c r="A473" s="1241"/>
      <c r="B473" s="1242"/>
      <c r="C473" s="1243"/>
      <c r="D473" s="1243"/>
      <c r="E473" s="1243"/>
      <c r="F473" s="1243" t="s">
        <v>186</v>
      </c>
      <c r="G473" s="963"/>
      <c r="H473" s="778" t="s">
        <v>12</v>
      </c>
      <c r="I473" s="830"/>
      <c r="J473" s="830"/>
      <c r="K473" s="831"/>
      <c r="L473" s="831"/>
      <c r="M473" s="831"/>
      <c r="N473" s="1031">
        <v>71830</v>
      </c>
      <c r="O473" s="831"/>
      <c r="P473" s="831"/>
      <c r="Q473" s="1244"/>
      <c r="R473" s="1244"/>
      <c r="S473" s="1244"/>
      <c r="T473" s="1244"/>
      <c r="U473" s="1244"/>
      <c r="V473" s="1244"/>
      <c r="W473" s="1244"/>
      <c r="X473" s="1244"/>
      <c r="Y473" s="1244"/>
      <c r="Z473" s="1244"/>
    </row>
    <row r="474" spans="1:26" ht="18.75">
      <c r="A474" s="1241"/>
      <c r="B474" s="1242"/>
      <c r="C474" s="1243"/>
      <c r="D474" s="1243"/>
      <c r="E474" s="1243"/>
      <c r="F474" s="1243" t="s">
        <v>187</v>
      </c>
      <c r="G474" s="963"/>
      <c r="H474" s="778" t="s">
        <v>12</v>
      </c>
      <c r="I474" s="830"/>
      <c r="J474" s="830"/>
      <c r="K474" s="831"/>
      <c r="L474" s="831"/>
      <c r="M474" s="831"/>
      <c r="N474" s="1031">
        <v>0</v>
      </c>
      <c r="O474" s="831"/>
      <c r="P474" s="831"/>
      <c r="Q474" s="1244"/>
      <c r="R474" s="1244"/>
      <c r="S474" s="1244"/>
      <c r="T474" s="1244"/>
      <c r="U474" s="1244"/>
      <c r="V474" s="1244"/>
      <c r="W474" s="1244"/>
      <c r="X474" s="1244"/>
      <c r="Y474" s="1244"/>
      <c r="Z474" s="1244"/>
    </row>
    <row r="475" spans="1:26" ht="18.75">
      <c r="A475" s="1241"/>
      <c r="B475" s="1242"/>
      <c r="C475" s="1242"/>
      <c r="D475" s="1242"/>
      <c r="E475" s="1242"/>
      <c r="F475" s="1243" t="s">
        <v>188</v>
      </c>
      <c r="G475" s="963"/>
      <c r="H475" s="778" t="s">
        <v>12</v>
      </c>
      <c r="I475" s="830"/>
      <c r="J475" s="830"/>
      <c r="K475" s="831"/>
      <c r="L475" s="831"/>
      <c r="M475" s="831"/>
      <c r="N475" s="1031">
        <v>0</v>
      </c>
      <c r="O475" s="831"/>
      <c r="P475" s="831"/>
      <c r="Q475" s="1244"/>
      <c r="R475" s="1244"/>
      <c r="S475" s="1244"/>
      <c r="T475" s="1244"/>
      <c r="U475" s="1244"/>
      <c r="V475" s="1244"/>
      <c r="W475" s="1244"/>
      <c r="X475" s="1244"/>
      <c r="Y475" s="1244"/>
      <c r="Z475" s="1244"/>
    </row>
    <row r="476" spans="1:26" ht="18.75">
      <c r="A476" s="1241"/>
      <c r="B476" s="1242"/>
      <c r="C476" s="1242"/>
      <c r="D476" s="1242"/>
      <c r="E476" s="1242"/>
      <c r="F476" s="1243" t="s">
        <v>189</v>
      </c>
      <c r="G476" s="963"/>
      <c r="H476" s="778" t="s">
        <v>12</v>
      </c>
      <c r="I476" s="830"/>
      <c r="J476" s="830"/>
      <c r="K476" s="831"/>
      <c r="L476" s="831"/>
      <c r="M476" s="831"/>
      <c r="N476" s="1031">
        <v>7180</v>
      </c>
      <c r="O476" s="831"/>
      <c r="P476" s="831"/>
      <c r="Q476" s="1244"/>
      <c r="R476" s="1244"/>
      <c r="S476" s="1244"/>
      <c r="T476" s="1244"/>
      <c r="U476" s="1244"/>
      <c r="V476" s="1244"/>
      <c r="W476" s="1244"/>
      <c r="X476" s="1244"/>
      <c r="Y476" s="1244"/>
      <c r="Z476" s="1244"/>
    </row>
    <row r="477" spans="1:26" ht="18.75">
      <c r="A477" s="1259"/>
      <c r="B477" s="1242"/>
      <c r="C477" s="1242"/>
      <c r="D477" s="1266" t="s">
        <v>21</v>
      </c>
      <c r="E477" s="1242"/>
      <c r="F477" s="1242"/>
      <c r="G477" s="963"/>
      <c r="H477" s="168" t="s">
        <v>12</v>
      </c>
      <c r="I477" s="944"/>
      <c r="J477" s="944"/>
      <c r="K477" s="945"/>
      <c r="L477" s="831">
        <f t="shared" ref="L477:N477" ca="1" si="211">L478+L479</f>
        <v>0</v>
      </c>
      <c r="M477" s="831">
        <f t="shared" si="211"/>
        <v>0</v>
      </c>
      <c r="N477" s="831">
        <f t="shared" si="211"/>
        <v>0</v>
      </c>
      <c r="O477" s="831">
        <f t="shared" ref="O477:O479" ca="1" si="212">IF(L477&gt;0,N477*100/L477,0)</f>
        <v>0</v>
      </c>
      <c r="P477" s="831">
        <f t="shared" ref="P477:P479" si="213">IF(M477&gt;0,N477*100/M477,0)</f>
        <v>0</v>
      </c>
      <c r="Q477" s="1244"/>
      <c r="R477" s="1244"/>
      <c r="S477" s="1244"/>
      <c r="T477" s="1244"/>
      <c r="U477" s="1244"/>
      <c r="V477" s="1244"/>
      <c r="W477" s="1244"/>
      <c r="X477" s="1244"/>
      <c r="Y477" s="1244"/>
      <c r="Z477" s="1244"/>
    </row>
    <row r="478" spans="1:26" ht="18.75" hidden="1">
      <c r="A478" s="1260"/>
      <c r="B478" s="1265"/>
      <c r="C478" s="1265"/>
      <c r="D478" s="1265"/>
      <c r="E478" s="1265" t="s">
        <v>18</v>
      </c>
      <c r="F478" s="1265"/>
      <c r="G478" s="1263"/>
      <c r="H478" s="165" t="s">
        <v>12</v>
      </c>
      <c r="I478" s="947"/>
      <c r="J478" s="947"/>
      <c r="K478" s="948"/>
      <c r="L478" s="837">
        <v>0</v>
      </c>
      <c r="M478" s="837">
        <v>0</v>
      </c>
      <c r="N478" s="837">
        <v>0</v>
      </c>
      <c r="O478" s="837">
        <f t="shared" si="212"/>
        <v>0</v>
      </c>
      <c r="P478" s="837">
        <f t="shared" si="213"/>
        <v>0</v>
      </c>
      <c r="Q478" s="1264"/>
      <c r="R478" s="1264"/>
      <c r="S478" s="1264"/>
      <c r="T478" s="1264"/>
      <c r="U478" s="1264"/>
      <c r="V478" s="1264"/>
      <c r="W478" s="1264"/>
      <c r="X478" s="1264"/>
      <c r="Y478" s="1264"/>
      <c r="Z478" s="1264"/>
    </row>
    <row r="479" spans="1:26" ht="18.75" hidden="1">
      <c r="A479" s="1260"/>
      <c r="B479" s="1265"/>
      <c r="C479" s="1265"/>
      <c r="D479" s="1265"/>
      <c r="E479" s="1265" t="s">
        <v>19</v>
      </c>
      <c r="F479" s="1265"/>
      <c r="G479" s="1263"/>
      <c r="H479" s="169" t="s">
        <v>12</v>
      </c>
      <c r="I479" s="947"/>
      <c r="J479" s="947"/>
      <c r="K479" s="948"/>
      <c r="L479" s="837">
        <f ca="1">IFERROR(__xludf.DUMMYFUNCTION("IMPORTRANGE(""https://docs.google.com/spreadsheets/d/1QqKyyYR6Q21VydFLVH3TRQUabQu_ym0Zz7PgGX0-kHA/edit?usp=sharing"",""แผน!FV19"")"),0)</f>
        <v>0</v>
      </c>
      <c r="M479" s="837">
        <v>0</v>
      </c>
      <c r="N479" s="837">
        <v>0</v>
      </c>
      <c r="O479" s="837">
        <f t="shared" ca="1" si="212"/>
        <v>0</v>
      </c>
      <c r="P479" s="837">
        <f t="shared" si="213"/>
        <v>0</v>
      </c>
      <c r="Q479" s="1264"/>
      <c r="R479" s="1264"/>
      <c r="S479" s="1264"/>
      <c r="T479" s="1264"/>
      <c r="U479" s="1264"/>
      <c r="V479" s="1264"/>
      <c r="W479" s="1264"/>
      <c r="X479" s="1264"/>
      <c r="Y479" s="1264"/>
      <c r="Z479" s="1264"/>
    </row>
    <row r="480" spans="1:26" ht="19.5">
      <c r="A480" s="1267"/>
      <c r="B480" s="1268"/>
      <c r="C480" s="1242" t="s">
        <v>16</v>
      </c>
      <c r="D480" s="1276" t="s">
        <v>38</v>
      </c>
      <c r="E480" s="1270"/>
      <c r="F480" s="1271"/>
      <c r="G480" s="1272"/>
      <c r="H480" s="954"/>
      <c r="I480" s="830"/>
      <c r="J480" s="830"/>
      <c r="K480" s="831"/>
      <c r="L480" s="831"/>
      <c r="M480" s="831"/>
      <c r="N480" s="831"/>
      <c r="O480" s="831"/>
      <c r="P480" s="831"/>
      <c r="Q480" s="1244"/>
      <c r="R480" s="1244"/>
      <c r="S480" s="1244"/>
      <c r="T480" s="1244"/>
      <c r="U480" s="1244"/>
      <c r="V480" s="1244"/>
      <c r="W480" s="1244"/>
      <c r="X480" s="1244"/>
      <c r="Y480" s="1244"/>
      <c r="Z480" s="1244"/>
    </row>
    <row r="481" spans="1:26" ht="19.5">
      <c r="A481" s="1267"/>
      <c r="B481" s="1268"/>
      <c r="C481" s="1268"/>
      <c r="D481" s="1277" t="s">
        <v>206</v>
      </c>
      <c r="E481" s="1268"/>
      <c r="F481" s="1268"/>
      <c r="G481" s="954"/>
      <c r="H481" s="963"/>
      <c r="I481" s="830"/>
      <c r="J481" s="830"/>
      <c r="K481" s="831"/>
      <c r="L481" s="831"/>
      <c r="M481" s="831"/>
      <c r="N481" s="831"/>
      <c r="O481" s="831"/>
      <c r="P481" s="831"/>
      <c r="Q481" s="1244"/>
      <c r="R481" s="1244"/>
      <c r="S481" s="1244"/>
      <c r="T481" s="1244"/>
      <c r="U481" s="1244"/>
      <c r="V481" s="1244"/>
      <c r="W481" s="1244"/>
      <c r="X481" s="1244"/>
      <c r="Y481" s="1244"/>
      <c r="Z481" s="1244"/>
    </row>
    <row r="482" spans="1:26" ht="18.75">
      <c r="A482" s="1267"/>
      <c r="B482" s="1268"/>
      <c r="C482" s="1268"/>
      <c r="D482" s="1268"/>
      <c r="E482" s="1268" t="s">
        <v>207</v>
      </c>
      <c r="F482" s="1268"/>
      <c r="G482" s="954"/>
      <c r="H482" s="963"/>
      <c r="I482" s="830"/>
      <c r="J482" s="830"/>
      <c r="K482" s="831"/>
      <c r="L482" s="831"/>
      <c r="M482" s="831"/>
      <c r="N482" s="831"/>
      <c r="O482" s="831"/>
      <c r="P482" s="831"/>
      <c r="Q482" s="1244"/>
      <c r="R482" s="1244"/>
      <c r="S482" s="1244"/>
      <c r="T482" s="1244"/>
      <c r="U482" s="1244"/>
      <c r="V482" s="1244"/>
      <c r="W482" s="1244"/>
      <c r="X482" s="1244"/>
      <c r="Y482" s="1244"/>
      <c r="Z482" s="1244"/>
    </row>
    <row r="483" spans="1:26" ht="18.75">
      <c r="A483" s="1267"/>
      <c r="B483" s="1268"/>
      <c r="C483" s="1268"/>
      <c r="D483" s="1268"/>
      <c r="E483" s="1268"/>
      <c r="F483" s="1268" t="s">
        <v>208</v>
      </c>
      <c r="G483" s="954"/>
      <c r="H483" s="590" t="s">
        <v>46</v>
      </c>
      <c r="I483" s="830">
        <f ca="1">IFERROR(__xludf.DUMMYFUNCTION("IMPORTRANGE(""https://docs.google.com/spreadsheets/d/1QqKyyYR6Q21VydFLVH3TRQUabQu_ym0Zz7PgGX0-kHA/edit?usp=sharing"",""แผน!FY19"")"),540)</f>
        <v>540</v>
      </c>
      <c r="J483" s="959">
        <v>540</v>
      </c>
      <c r="K483" s="831">
        <f ca="1">IF(I483&gt;0,J483*100/I483,0)</f>
        <v>100</v>
      </c>
      <c r="L483" s="831"/>
      <c r="M483" s="831"/>
      <c r="N483" s="831"/>
      <c r="O483" s="831"/>
      <c r="P483" s="831"/>
      <c r="Q483" s="1244"/>
      <c r="R483" s="1244"/>
      <c r="S483" s="1244"/>
      <c r="T483" s="1244"/>
      <c r="U483" s="1244"/>
      <c r="V483" s="1244"/>
      <c r="W483" s="1244"/>
      <c r="X483" s="1244"/>
      <c r="Y483" s="1244"/>
      <c r="Z483" s="1244"/>
    </row>
    <row r="484" spans="1:26" ht="18.75">
      <c r="A484" s="1267"/>
      <c r="B484" s="1268"/>
      <c r="C484" s="1268"/>
      <c r="D484" s="1268"/>
      <c r="E484" s="1268"/>
      <c r="F484" s="1268" t="s">
        <v>209</v>
      </c>
      <c r="G484" s="954"/>
      <c r="H484" s="590" t="s">
        <v>35</v>
      </c>
      <c r="I484" s="830"/>
      <c r="J484" s="959">
        <v>54</v>
      </c>
      <c r="K484" s="831"/>
      <c r="L484" s="831"/>
      <c r="M484" s="831"/>
      <c r="N484" s="831"/>
      <c r="O484" s="831"/>
      <c r="P484" s="831"/>
      <c r="Q484" s="1244"/>
      <c r="R484" s="1244"/>
      <c r="S484" s="1244"/>
      <c r="T484" s="1244"/>
      <c r="U484" s="1244"/>
      <c r="V484" s="1244"/>
      <c r="W484" s="1244"/>
      <c r="X484" s="1244"/>
      <c r="Y484" s="1244"/>
      <c r="Z484" s="1244"/>
    </row>
    <row r="485" spans="1:26" ht="18.75">
      <c r="A485" s="1267"/>
      <c r="B485" s="1268"/>
      <c r="C485" s="1268"/>
      <c r="D485" s="1268"/>
      <c r="E485" s="1268"/>
      <c r="F485" s="1268" t="s">
        <v>210</v>
      </c>
      <c r="G485" s="954"/>
      <c r="H485" s="590" t="s">
        <v>35</v>
      </c>
      <c r="I485" s="830">
        <f ca="1">IFERROR(__xludf.DUMMYFUNCTION("IMPORTRANGE(""https://docs.google.com/spreadsheets/d/1QqKyyYR6Q21VydFLVH3TRQUabQu_ym0Zz7PgGX0-kHA/edit?usp=sharing"",""แผน!FZ19"")"),54)</f>
        <v>54</v>
      </c>
      <c r="J485" s="959">
        <v>54</v>
      </c>
      <c r="K485" s="831">
        <f ca="1">IF(I485&gt;0,J485*100/I485,0)</f>
        <v>100</v>
      </c>
      <c r="L485" s="831"/>
      <c r="M485" s="831"/>
      <c r="N485" s="831"/>
      <c r="O485" s="831"/>
      <c r="P485" s="831"/>
      <c r="Q485" s="1244"/>
      <c r="R485" s="1244"/>
      <c r="S485" s="1244"/>
      <c r="T485" s="1244"/>
      <c r="U485" s="1244"/>
      <c r="V485" s="1244"/>
      <c r="W485" s="1244"/>
      <c r="X485" s="1244"/>
      <c r="Y485" s="1244"/>
      <c r="Z485" s="1244"/>
    </row>
    <row r="486" spans="1:26" ht="18.75">
      <c r="A486" s="1267"/>
      <c r="B486" s="1268"/>
      <c r="C486" s="1268"/>
      <c r="D486" s="1268"/>
      <c r="E486" s="1268" t="s">
        <v>62</v>
      </c>
      <c r="F486" s="1268"/>
      <c r="G486" s="954"/>
      <c r="H486" s="590"/>
      <c r="I486" s="830"/>
      <c r="J486" s="830"/>
      <c r="K486" s="831"/>
      <c r="L486" s="831"/>
      <c r="M486" s="831"/>
      <c r="N486" s="831"/>
      <c r="O486" s="831"/>
      <c r="P486" s="831"/>
      <c r="Q486" s="1244"/>
      <c r="R486" s="1244"/>
      <c r="S486" s="1244"/>
      <c r="T486" s="1244"/>
      <c r="U486" s="1244"/>
      <c r="V486" s="1244"/>
      <c r="W486" s="1244"/>
      <c r="X486" s="1244"/>
      <c r="Y486" s="1244"/>
      <c r="Z486" s="1244"/>
    </row>
    <row r="487" spans="1:26" ht="18.75">
      <c r="A487" s="1267"/>
      <c r="B487" s="1268"/>
      <c r="C487" s="1268"/>
      <c r="D487" s="1268"/>
      <c r="E487" s="1268"/>
      <c r="F487" s="1268" t="s">
        <v>208</v>
      </c>
      <c r="G487" s="954"/>
      <c r="H487" s="590" t="s">
        <v>46</v>
      </c>
      <c r="I487" s="830">
        <f ca="1">IFERROR(__xludf.DUMMYFUNCTION("IMPORTRANGE(""https://docs.google.com/spreadsheets/d/1QqKyyYR6Q21VydFLVH3TRQUabQu_ym0Zz7PgGX0-kHA/edit?usp=sharing"",""แผน!GA19"")"),60)</f>
        <v>60</v>
      </c>
      <c r="J487" s="959">
        <v>60</v>
      </c>
      <c r="K487" s="831">
        <f ca="1">IF(I487&gt;0,J487*100/I487,0)</f>
        <v>100</v>
      </c>
      <c r="L487" s="831"/>
      <c r="M487" s="831"/>
      <c r="N487" s="831"/>
      <c r="O487" s="831"/>
      <c r="P487" s="831"/>
      <c r="Q487" s="1244"/>
      <c r="R487" s="1244"/>
      <c r="S487" s="1244"/>
      <c r="T487" s="1244"/>
      <c r="U487" s="1244"/>
      <c r="V487" s="1244"/>
      <c r="W487" s="1244"/>
      <c r="X487" s="1244"/>
      <c r="Y487" s="1244"/>
      <c r="Z487" s="1244"/>
    </row>
    <row r="488" spans="1:26" ht="18.75">
      <c r="A488" s="1267"/>
      <c r="B488" s="1268"/>
      <c r="C488" s="1268"/>
      <c r="D488" s="1268"/>
      <c r="E488" s="1268"/>
      <c r="F488" s="1268" t="s">
        <v>211</v>
      </c>
      <c r="G488" s="954"/>
      <c r="H488" s="590" t="s">
        <v>35</v>
      </c>
      <c r="I488" s="830"/>
      <c r="J488" s="959">
        <v>6</v>
      </c>
      <c r="K488" s="831"/>
      <c r="L488" s="831"/>
      <c r="M488" s="831"/>
      <c r="N488" s="831"/>
      <c r="O488" s="831"/>
      <c r="P488" s="831"/>
      <c r="Q488" s="1244"/>
      <c r="R488" s="1244"/>
      <c r="S488" s="1244"/>
      <c r="T488" s="1244"/>
      <c r="U488" s="1244"/>
      <c r="V488" s="1244"/>
      <c r="W488" s="1244"/>
      <c r="X488" s="1244"/>
      <c r="Y488" s="1244"/>
      <c r="Z488" s="1244"/>
    </row>
    <row r="489" spans="1:26" ht="18.75">
      <c r="A489" s="1267"/>
      <c r="B489" s="1268"/>
      <c r="C489" s="1268"/>
      <c r="D489" s="1268"/>
      <c r="E489" s="1268"/>
      <c r="F489" s="1268" t="s">
        <v>212</v>
      </c>
      <c r="G489" s="954"/>
      <c r="H489" s="590" t="s">
        <v>35</v>
      </c>
      <c r="I489" s="830">
        <f ca="1">IFERROR(__xludf.DUMMYFUNCTION("IMPORTRANGE(""https://docs.google.com/spreadsheets/d/1QqKyyYR6Q21VydFLVH3TRQUabQu_ym0Zz7PgGX0-kHA/edit?usp=sharing"",""แผน!GB19"")"),6)</f>
        <v>6</v>
      </c>
      <c r="J489" s="959">
        <v>6</v>
      </c>
      <c r="K489" s="831">
        <f ca="1">IF(I489&gt;0,J489*100/I489,0)</f>
        <v>100</v>
      </c>
      <c r="L489" s="831"/>
      <c r="M489" s="831"/>
      <c r="N489" s="831"/>
      <c r="O489" s="831"/>
      <c r="P489" s="831"/>
      <c r="Q489" s="1244"/>
      <c r="R489" s="1244"/>
      <c r="S489" s="1244"/>
      <c r="T489" s="1244"/>
      <c r="U489" s="1244"/>
      <c r="V489" s="1244"/>
      <c r="W489" s="1244"/>
      <c r="X489" s="1244"/>
      <c r="Y489" s="1244"/>
      <c r="Z489" s="1244"/>
    </row>
    <row r="490" spans="1:26" ht="18.75">
      <c r="A490" s="1267"/>
      <c r="B490" s="1268"/>
      <c r="C490" s="1268"/>
      <c r="D490" s="1268"/>
      <c r="E490" s="1268" t="s">
        <v>63</v>
      </c>
      <c r="F490" s="961"/>
      <c r="G490" s="954"/>
      <c r="H490" s="590"/>
      <c r="I490" s="830"/>
      <c r="J490" s="830"/>
      <c r="K490" s="831"/>
      <c r="L490" s="831"/>
      <c r="M490" s="831"/>
      <c r="N490" s="831"/>
      <c r="O490" s="831"/>
      <c r="P490" s="831"/>
      <c r="Q490" s="1244"/>
      <c r="R490" s="1244"/>
      <c r="S490" s="1244"/>
      <c r="T490" s="1244"/>
      <c r="U490" s="1244"/>
      <c r="V490" s="1244"/>
      <c r="W490" s="1244"/>
      <c r="X490" s="1244"/>
      <c r="Y490" s="1244"/>
      <c r="Z490" s="1244"/>
    </row>
    <row r="491" spans="1:26" ht="18.75">
      <c r="A491" s="1267"/>
      <c r="B491" s="1268"/>
      <c r="C491" s="1268"/>
      <c r="D491" s="1268"/>
      <c r="E491" s="1268"/>
      <c r="F491" s="1268" t="s">
        <v>213</v>
      </c>
      <c r="G491" s="954"/>
      <c r="H491" s="590" t="s">
        <v>35</v>
      </c>
      <c r="I491" s="830"/>
      <c r="J491" s="959">
        <v>1</v>
      </c>
      <c r="K491" s="831"/>
      <c r="L491" s="831"/>
      <c r="M491" s="831"/>
      <c r="N491" s="831"/>
      <c r="O491" s="831"/>
      <c r="P491" s="831"/>
      <c r="Q491" s="1244"/>
      <c r="R491" s="1244"/>
      <c r="S491" s="1244"/>
      <c r="T491" s="1244"/>
      <c r="U491" s="1244"/>
      <c r="V491" s="1244"/>
      <c r="W491" s="1244"/>
      <c r="X491" s="1244"/>
      <c r="Y491" s="1244"/>
      <c r="Z491" s="1244"/>
    </row>
    <row r="492" spans="1:26" ht="18.75">
      <c r="A492" s="1267"/>
      <c r="B492" s="1268"/>
      <c r="C492" s="1268"/>
      <c r="D492" s="1268"/>
      <c r="E492" s="1268"/>
      <c r="F492" s="1268" t="s">
        <v>214</v>
      </c>
      <c r="G492" s="954"/>
      <c r="H492" s="590" t="s">
        <v>35</v>
      </c>
      <c r="I492" s="830">
        <f ca="1">IFERROR(__xludf.DUMMYFUNCTION("IMPORTRANGE(""https://docs.google.com/spreadsheets/d/1QqKyyYR6Q21VydFLVH3TRQUabQu_ym0Zz7PgGX0-kHA/edit?usp=sharing"",""แผน!GC19"")"),1)</f>
        <v>1</v>
      </c>
      <c r="J492" s="959">
        <v>1</v>
      </c>
      <c r="K492" s="831">
        <f ca="1">IF(I492&gt;0,J492*100/I492,0)</f>
        <v>100</v>
      </c>
      <c r="L492" s="831"/>
      <c r="M492" s="831"/>
      <c r="N492" s="831"/>
      <c r="O492" s="831"/>
      <c r="P492" s="831"/>
      <c r="Q492" s="1244"/>
      <c r="R492" s="1244"/>
      <c r="S492" s="1244"/>
      <c r="T492" s="1244"/>
      <c r="U492" s="1244"/>
      <c r="V492" s="1244"/>
      <c r="W492" s="1244"/>
      <c r="X492" s="1244"/>
      <c r="Y492" s="1244"/>
      <c r="Z492" s="1244"/>
    </row>
    <row r="493" spans="1:26" ht="19.5">
      <c r="A493" s="1267"/>
      <c r="B493" s="1268"/>
      <c r="C493" s="1268"/>
      <c r="D493" s="1277" t="s">
        <v>59</v>
      </c>
      <c r="E493" s="1268"/>
      <c r="F493" s="961"/>
      <c r="G493" s="954"/>
      <c r="H493" s="963"/>
      <c r="I493" s="830"/>
      <c r="J493" s="830"/>
      <c r="K493" s="831"/>
      <c r="L493" s="831"/>
      <c r="M493" s="831"/>
      <c r="N493" s="831"/>
      <c r="O493" s="831"/>
      <c r="P493" s="831"/>
      <c r="Q493" s="1244"/>
      <c r="R493" s="1244"/>
      <c r="S493" s="1244"/>
      <c r="T493" s="1244"/>
      <c r="U493" s="1244"/>
      <c r="V493" s="1244"/>
      <c r="W493" s="1244"/>
      <c r="X493" s="1244"/>
      <c r="Y493" s="1244"/>
      <c r="Z493" s="1244"/>
    </row>
    <row r="494" spans="1:26" ht="18.75">
      <c r="A494" s="1267"/>
      <c r="B494" s="1268"/>
      <c r="C494" s="1268"/>
      <c r="D494" s="1268"/>
      <c r="E494" s="1268" t="s">
        <v>207</v>
      </c>
      <c r="F494" s="961"/>
      <c r="G494" s="954"/>
      <c r="H494" s="963"/>
      <c r="I494" s="830"/>
      <c r="J494" s="830"/>
      <c r="K494" s="831"/>
      <c r="L494" s="831"/>
      <c r="M494" s="831"/>
      <c r="N494" s="831"/>
      <c r="O494" s="831"/>
      <c r="P494" s="831"/>
      <c r="Q494" s="1244"/>
      <c r="R494" s="1244"/>
      <c r="S494" s="1244"/>
      <c r="T494" s="1244"/>
      <c r="U494" s="1244"/>
      <c r="V494" s="1244"/>
      <c r="W494" s="1244"/>
      <c r="X494" s="1244"/>
      <c r="Y494" s="1244"/>
      <c r="Z494" s="1244"/>
    </row>
    <row r="495" spans="1:26" ht="18.75">
      <c r="A495" s="1267"/>
      <c r="B495" s="1268"/>
      <c r="C495" s="1268"/>
      <c r="D495" s="1268"/>
      <c r="E495" s="1268"/>
      <c r="F495" s="961" t="s">
        <v>215</v>
      </c>
      <c r="G495" s="954"/>
      <c r="H495" s="590" t="s">
        <v>46</v>
      </c>
      <c r="I495" s="830">
        <f ca="1">IFERROR(__xludf.DUMMYFUNCTION("IMPORTRANGE(""https://docs.google.com/spreadsheets/d/1QqKyyYR6Q21VydFLVH3TRQUabQu_ym0Zz7PgGX0-kHA/edit?usp=sharing"",""แผน!FY19"")"),540)</f>
        <v>540</v>
      </c>
      <c r="J495" s="959">
        <v>0</v>
      </c>
      <c r="K495" s="831">
        <f ca="1">IF(I495&gt;0,J495*100/I495,0)</f>
        <v>0</v>
      </c>
      <c r="L495" s="831"/>
      <c r="M495" s="831"/>
      <c r="N495" s="831"/>
      <c r="O495" s="831"/>
      <c r="P495" s="831"/>
      <c r="Q495" s="1244"/>
      <c r="R495" s="1244"/>
      <c r="S495" s="1244"/>
      <c r="T495" s="1244"/>
      <c r="U495" s="1244"/>
      <c r="V495" s="1244"/>
      <c r="W495" s="1244"/>
      <c r="X495" s="1244"/>
      <c r="Y495" s="1244"/>
      <c r="Z495" s="1244"/>
    </row>
    <row r="496" spans="1:26" ht="18.75">
      <c r="A496" s="1267"/>
      <c r="B496" s="1268"/>
      <c r="C496" s="1268"/>
      <c r="D496" s="1268"/>
      <c r="E496" s="1268"/>
      <c r="F496" s="961" t="s">
        <v>216</v>
      </c>
      <c r="G496" s="954"/>
      <c r="H496" s="590" t="s">
        <v>46</v>
      </c>
      <c r="I496" s="830"/>
      <c r="J496" s="959">
        <v>0</v>
      </c>
      <c r="K496" s="831"/>
      <c r="L496" s="831"/>
      <c r="M496" s="831"/>
      <c r="N496" s="831"/>
      <c r="O496" s="831"/>
      <c r="P496" s="831"/>
      <c r="Q496" s="1244"/>
      <c r="R496" s="1244"/>
      <c r="S496" s="1244"/>
      <c r="T496" s="1244"/>
      <c r="U496" s="1244"/>
      <c r="V496" s="1244"/>
      <c r="W496" s="1244"/>
      <c r="X496" s="1244"/>
      <c r="Y496" s="1244"/>
      <c r="Z496" s="1244"/>
    </row>
    <row r="497" spans="1:26" ht="18.75">
      <c r="A497" s="1267"/>
      <c r="B497" s="1268"/>
      <c r="C497" s="1268"/>
      <c r="D497" s="1268"/>
      <c r="E497" s="1268" t="s">
        <v>62</v>
      </c>
      <c r="F497" s="961"/>
      <c r="G497" s="954"/>
      <c r="H497" s="963"/>
      <c r="I497" s="830"/>
      <c r="J497" s="830"/>
      <c r="K497" s="831"/>
      <c r="L497" s="831"/>
      <c r="M497" s="831"/>
      <c r="N497" s="831"/>
      <c r="O497" s="831"/>
      <c r="P497" s="831"/>
      <c r="Q497" s="1244"/>
      <c r="R497" s="1244"/>
      <c r="S497" s="1244"/>
      <c r="T497" s="1244"/>
      <c r="U497" s="1244"/>
      <c r="V497" s="1244"/>
      <c r="W497" s="1244"/>
      <c r="X497" s="1244"/>
      <c r="Y497" s="1244"/>
      <c r="Z497" s="1244"/>
    </row>
    <row r="498" spans="1:26" ht="18.75">
      <c r="A498" s="1267"/>
      <c r="B498" s="1268"/>
      <c r="C498" s="1268"/>
      <c r="D498" s="1268"/>
      <c r="E498" s="961"/>
      <c r="F498" s="961" t="s">
        <v>217</v>
      </c>
      <c r="G498" s="954"/>
      <c r="H498" s="590" t="s">
        <v>46</v>
      </c>
      <c r="I498" s="830">
        <f ca="1">IFERROR(__xludf.DUMMYFUNCTION("IMPORTRANGE(""https://docs.google.com/spreadsheets/d/1QqKyyYR6Q21VydFLVH3TRQUabQu_ym0Zz7PgGX0-kHA/edit?usp=sharing"",""แผน!GA19"")"),60)</f>
        <v>60</v>
      </c>
      <c r="J498" s="959">
        <v>0</v>
      </c>
      <c r="K498" s="831">
        <f ca="1">IF(I498&gt;0,J498*100/I498,0)</f>
        <v>0</v>
      </c>
      <c r="L498" s="831"/>
      <c r="M498" s="831"/>
      <c r="N498" s="831"/>
      <c r="O498" s="831"/>
      <c r="P498" s="831"/>
      <c r="Q498" s="1244"/>
      <c r="R498" s="1244"/>
      <c r="S498" s="1244"/>
      <c r="T498" s="1244"/>
      <c r="U498" s="1244"/>
      <c r="V498" s="1244"/>
      <c r="W498" s="1244"/>
      <c r="X498" s="1244"/>
      <c r="Y498" s="1244"/>
      <c r="Z498" s="1244"/>
    </row>
    <row r="499" spans="1:26" ht="18.75">
      <c r="A499" s="1267"/>
      <c r="B499" s="1268"/>
      <c r="C499" s="1268"/>
      <c r="D499" s="1268"/>
      <c r="E499" s="961"/>
      <c r="F499" s="961" t="s">
        <v>218</v>
      </c>
      <c r="G499" s="954"/>
      <c r="H499" s="590" t="s">
        <v>46</v>
      </c>
      <c r="I499" s="830"/>
      <c r="J499" s="959">
        <v>0</v>
      </c>
      <c r="K499" s="831"/>
      <c r="L499" s="831"/>
      <c r="M499" s="831"/>
      <c r="N499" s="831"/>
      <c r="O499" s="831"/>
      <c r="P499" s="831"/>
      <c r="Q499" s="1244"/>
      <c r="R499" s="1244"/>
      <c r="S499" s="1244"/>
      <c r="T499" s="1244"/>
      <c r="U499" s="1244"/>
      <c r="V499" s="1244"/>
      <c r="W499" s="1244"/>
      <c r="X499" s="1244"/>
      <c r="Y499" s="1244"/>
      <c r="Z499" s="1244"/>
    </row>
    <row r="500" spans="1:26" ht="19.5" hidden="1">
      <c r="A500" s="594">
        <v>4</v>
      </c>
      <c r="B500" s="1278" t="s">
        <v>219</v>
      </c>
      <c r="C500" s="1279"/>
      <c r="D500" s="1280"/>
      <c r="E500" s="1280"/>
      <c r="F500" s="1280"/>
      <c r="G500" s="1281"/>
      <c r="H500" s="599" t="s">
        <v>109</v>
      </c>
      <c r="I500" s="1282"/>
      <c r="J500" s="1282">
        <f t="shared" ref="J500:J501" si="214">J516</f>
        <v>0</v>
      </c>
      <c r="K500" s="1283">
        <f t="shared" ref="K500:K501" si="215">IF(I500&gt;0,J500*100/I500,0)</f>
        <v>0</v>
      </c>
      <c r="L500" s="1284"/>
      <c r="M500" s="1284"/>
      <c r="N500" s="1284"/>
      <c r="O500" s="1284"/>
      <c r="P500" s="1284"/>
      <c r="Q500" s="1264"/>
      <c r="R500" s="1264"/>
      <c r="S500" s="1264"/>
      <c r="T500" s="1264"/>
      <c r="U500" s="1264"/>
      <c r="V500" s="1264"/>
      <c r="W500" s="1264"/>
      <c r="X500" s="1264"/>
      <c r="Y500" s="1264"/>
      <c r="Z500" s="1264"/>
    </row>
    <row r="501" spans="1:26" ht="19.5" hidden="1">
      <c r="A501" s="1285"/>
      <c r="B501" s="1286" t="s">
        <v>220</v>
      </c>
      <c r="C501" s="1286"/>
      <c r="D501" s="1287"/>
      <c r="E501" s="1287"/>
      <c r="F501" s="1287"/>
      <c r="G501" s="1288"/>
      <c r="H501" s="608" t="s">
        <v>35</v>
      </c>
      <c r="I501" s="1289"/>
      <c r="J501" s="1289">
        <f t="shared" si="214"/>
        <v>0</v>
      </c>
      <c r="K501" s="1290">
        <f t="shared" si="215"/>
        <v>0</v>
      </c>
      <c r="L501" s="1291"/>
      <c r="M501" s="1291"/>
      <c r="N501" s="1291"/>
      <c r="O501" s="1291"/>
      <c r="P501" s="1291"/>
      <c r="Q501" s="1264"/>
      <c r="R501" s="1264"/>
      <c r="S501" s="1264"/>
      <c r="T501" s="1264"/>
      <c r="U501" s="1264"/>
      <c r="V501" s="1264"/>
      <c r="W501" s="1264"/>
      <c r="X501" s="1264"/>
      <c r="Y501" s="1264"/>
      <c r="Z501" s="1264"/>
    </row>
    <row r="502" spans="1:26" ht="19.5" hidden="1">
      <c r="A502" s="1260"/>
      <c r="B502" s="1261"/>
      <c r="C502" s="1261" t="s">
        <v>16</v>
      </c>
      <c r="D502" s="1508" t="s">
        <v>17</v>
      </c>
      <c r="E502" s="1485"/>
      <c r="F502" s="1485"/>
      <c r="G502" s="1263"/>
      <c r="H502" s="612" t="s">
        <v>12</v>
      </c>
      <c r="I502" s="836"/>
      <c r="J502" s="836"/>
      <c r="K502" s="837"/>
      <c r="L502" s="1292">
        <f t="shared" ref="L502:N502" si="216">L503+L504</f>
        <v>0</v>
      </c>
      <c r="M502" s="1292">
        <f t="shared" si="216"/>
        <v>0</v>
      </c>
      <c r="N502" s="1292">
        <f t="shared" si="216"/>
        <v>0</v>
      </c>
      <c r="O502" s="1292">
        <f t="shared" ref="O502:O507" si="217">IF(L502&gt;0,N502*100/L502,0)</f>
        <v>0</v>
      </c>
      <c r="P502" s="1292">
        <f t="shared" ref="P502:P507" si="218">IF(M502&gt;0,N502*100/M502,0)</f>
        <v>0</v>
      </c>
      <c r="Q502" s="1264"/>
      <c r="R502" s="1264"/>
      <c r="S502" s="1264"/>
      <c r="T502" s="1264"/>
      <c r="U502" s="1264"/>
      <c r="V502" s="1264"/>
      <c r="W502" s="1264"/>
      <c r="X502" s="1264"/>
      <c r="Y502" s="1264"/>
      <c r="Z502" s="1264"/>
    </row>
    <row r="503" spans="1:26" ht="18.75" hidden="1">
      <c r="A503" s="1260"/>
      <c r="B503" s="1261"/>
      <c r="C503" s="1261"/>
      <c r="D503" s="1262"/>
      <c r="E503" s="1261" t="s">
        <v>184</v>
      </c>
      <c r="F503" s="1261"/>
      <c r="G503" s="1263"/>
      <c r="H503" s="165" t="s">
        <v>12</v>
      </c>
      <c r="I503" s="836"/>
      <c r="J503" s="836"/>
      <c r="K503" s="837"/>
      <c r="L503" s="837">
        <f t="shared" ref="L503:N504" si="219">L506+L513</f>
        <v>0</v>
      </c>
      <c r="M503" s="837">
        <f t="shared" si="219"/>
        <v>0</v>
      </c>
      <c r="N503" s="837">
        <f t="shared" si="219"/>
        <v>0</v>
      </c>
      <c r="O503" s="837">
        <f t="shared" si="217"/>
        <v>0</v>
      </c>
      <c r="P503" s="837">
        <f t="shared" si="218"/>
        <v>0</v>
      </c>
      <c r="Q503" s="1264"/>
      <c r="R503" s="1264"/>
      <c r="S503" s="1264"/>
      <c r="T503" s="1264"/>
      <c r="U503" s="1264"/>
      <c r="V503" s="1264"/>
      <c r="W503" s="1264"/>
      <c r="X503" s="1264"/>
      <c r="Y503" s="1264"/>
      <c r="Z503" s="1264"/>
    </row>
    <row r="504" spans="1:26" ht="18.75" hidden="1">
      <c r="A504" s="1260"/>
      <c r="B504" s="1265"/>
      <c r="C504" s="1261"/>
      <c r="D504" s="1262"/>
      <c r="E504" s="1261" t="s">
        <v>185</v>
      </c>
      <c r="F504" s="1261"/>
      <c r="G504" s="1263"/>
      <c r="H504" s="165" t="s">
        <v>12</v>
      </c>
      <c r="I504" s="836"/>
      <c r="J504" s="836"/>
      <c r="K504" s="837"/>
      <c r="L504" s="837">
        <f t="shared" si="219"/>
        <v>0</v>
      </c>
      <c r="M504" s="837">
        <f t="shared" si="219"/>
        <v>0</v>
      </c>
      <c r="N504" s="837">
        <f t="shared" si="219"/>
        <v>0</v>
      </c>
      <c r="O504" s="837">
        <f t="shared" si="217"/>
        <v>0</v>
      </c>
      <c r="P504" s="837">
        <f t="shared" si="218"/>
        <v>0</v>
      </c>
      <c r="Q504" s="1264"/>
      <c r="R504" s="1264"/>
      <c r="S504" s="1264"/>
      <c r="T504" s="1264"/>
      <c r="U504" s="1264"/>
      <c r="V504" s="1264"/>
      <c r="W504" s="1264"/>
      <c r="X504" s="1264"/>
      <c r="Y504" s="1264"/>
      <c r="Z504" s="1264"/>
    </row>
    <row r="505" spans="1:26" ht="18.75" hidden="1">
      <c r="A505" s="1260"/>
      <c r="B505" s="1265"/>
      <c r="C505" s="1261"/>
      <c r="D505" s="1293" t="s">
        <v>20</v>
      </c>
      <c r="E505" s="1261"/>
      <c r="F505" s="1261"/>
      <c r="G505" s="1263"/>
      <c r="H505" s="165" t="s">
        <v>12</v>
      </c>
      <c r="I505" s="947"/>
      <c r="J505" s="947"/>
      <c r="K505" s="948"/>
      <c r="L505" s="837">
        <f t="shared" ref="L505:N505" si="220">L506+L507</f>
        <v>0</v>
      </c>
      <c r="M505" s="837">
        <f t="shared" si="220"/>
        <v>0</v>
      </c>
      <c r="N505" s="837">
        <f t="shared" si="220"/>
        <v>0</v>
      </c>
      <c r="O505" s="837">
        <f t="shared" si="217"/>
        <v>0</v>
      </c>
      <c r="P505" s="837">
        <f t="shared" si="218"/>
        <v>0</v>
      </c>
      <c r="Q505" s="1264"/>
      <c r="R505" s="1264"/>
      <c r="S505" s="1264"/>
      <c r="T505" s="1264"/>
      <c r="U505" s="1264"/>
      <c r="V505" s="1264"/>
      <c r="W505" s="1264"/>
      <c r="X505" s="1264"/>
      <c r="Y505" s="1264"/>
      <c r="Z505" s="1264"/>
    </row>
    <row r="506" spans="1:26" ht="18.75" hidden="1">
      <c r="A506" s="1260"/>
      <c r="B506" s="1265"/>
      <c r="C506" s="1261"/>
      <c r="D506" s="1262"/>
      <c r="E506" s="1261" t="s">
        <v>184</v>
      </c>
      <c r="F506" s="1261"/>
      <c r="G506" s="1263"/>
      <c r="H506" s="165" t="s">
        <v>12</v>
      </c>
      <c r="I506" s="836"/>
      <c r="J506" s="836"/>
      <c r="K506" s="837"/>
      <c r="L506" s="837">
        <v>0</v>
      </c>
      <c r="M506" s="837">
        <v>0</v>
      </c>
      <c r="N506" s="837">
        <v>0</v>
      </c>
      <c r="O506" s="837">
        <f t="shared" si="217"/>
        <v>0</v>
      </c>
      <c r="P506" s="837">
        <f t="shared" si="218"/>
        <v>0</v>
      </c>
      <c r="Q506" s="1264"/>
      <c r="R506" s="1264"/>
      <c r="S506" s="1264"/>
      <c r="T506" s="1264"/>
      <c r="U506" s="1264"/>
      <c r="V506" s="1264"/>
      <c r="W506" s="1264"/>
      <c r="X506" s="1264"/>
      <c r="Y506" s="1264"/>
      <c r="Z506" s="1264"/>
    </row>
    <row r="507" spans="1:26" ht="18.75" hidden="1">
      <c r="A507" s="1260"/>
      <c r="B507" s="1265"/>
      <c r="C507" s="1261"/>
      <c r="D507" s="1262"/>
      <c r="E507" s="1261" t="s">
        <v>185</v>
      </c>
      <c r="F507" s="1261"/>
      <c r="G507" s="1263"/>
      <c r="H507" s="165" t="s">
        <v>12</v>
      </c>
      <c r="I507" s="836"/>
      <c r="J507" s="836"/>
      <c r="K507" s="837"/>
      <c r="L507" s="837">
        <v>0</v>
      </c>
      <c r="M507" s="837">
        <v>0</v>
      </c>
      <c r="N507" s="837">
        <f>N508+N509+N510+N511</f>
        <v>0</v>
      </c>
      <c r="O507" s="837">
        <f t="shared" si="217"/>
        <v>0</v>
      </c>
      <c r="P507" s="837">
        <f t="shared" si="218"/>
        <v>0</v>
      </c>
      <c r="Q507" s="1264"/>
      <c r="R507" s="1264"/>
      <c r="S507" s="1264"/>
      <c r="T507" s="1264"/>
      <c r="U507" s="1264"/>
      <c r="V507" s="1264"/>
      <c r="W507" s="1264"/>
      <c r="X507" s="1264"/>
      <c r="Y507" s="1264"/>
      <c r="Z507" s="1264"/>
    </row>
    <row r="508" spans="1:26" ht="18.75" hidden="1">
      <c r="A508" s="1294"/>
      <c r="B508" s="1265"/>
      <c r="C508" s="1261"/>
      <c r="D508" s="1261"/>
      <c r="E508" s="1261"/>
      <c r="F508" s="1261" t="s">
        <v>186</v>
      </c>
      <c r="G508" s="1263"/>
      <c r="H508" s="165" t="s">
        <v>12</v>
      </c>
      <c r="I508" s="836"/>
      <c r="J508" s="836"/>
      <c r="K508" s="837"/>
      <c r="L508" s="837"/>
      <c r="M508" s="837"/>
      <c r="N508" s="837">
        <v>0</v>
      </c>
      <c r="O508" s="837"/>
      <c r="P508" s="837"/>
      <c r="Q508" s="1264"/>
      <c r="R508" s="1264"/>
      <c r="S508" s="1264"/>
      <c r="T508" s="1264"/>
      <c r="U508" s="1264"/>
      <c r="V508" s="1264"/>
      <c r="W508" s="1264"/>
      <c r="X508" s="1264"/>
      <c r="Y508" s="1264"/>
      <c r="Z508" s="1264"/>
    </row>
    <row r="509" spans="1:26" ht="18.75" hidden="1">
      <c r="A509" s="1294"/>
      <c r="B509" s="1265"/>
      <c r="C509" s="1261"/>
      <c r="D509" s="1261"/>
      <c r="E509" s="1261"/>
      <c r="F509" s="1261" t="s">
        <v>187</v>
      </c>
      <c r="G509" s="1263"/>
      <c r="H509" s="165" t="s">
        <v>12</v>
      </c>
      <c r="I509" s="836"/>
      <c r="J509" s="836"/>
      <c r="K509" s="837"/>
      <c r="L509" s="837"/>
      <c r="M509" s="837"/>
      <c r="N509" s="837">
        <v>0</v>
      </c>
      <c r="O509" s="837"/>
      <c r="P509" s="837"/>
      <c r="Q509" s="1264"/>
      <c r="R509" s="1264"/>
      <c r="S509" s="1264"/>
      <c r="T509" s="1264"/>
      <c r="U509" s="1264"/>
      <c r="V509" s="1264"/>
      <c r="W509" s="1264"/>
      <c r="X509" s="1264"/>
      <c r="Y509" s="1264"/>
      <c r="Z509" s="1264"/>
    </row>
    <row r="510" spans="1:26" ht="18.75" hidden="1">
      <c r="A510" s="1294"/>
      <c r="B510" s="1265"/>
      <c r="C510" s="1265"/>
      <c r="D510" s="1265"/>
      <c r="E510" s="1261"/>
      <c r="F510" s="1261" t="s">
        <v>188</v>
      </c>
      <c r="G510" s="1263"/>
      <c r="H510" s="165" t="s">
        <v>12</v>
      </c>
      <c r="I510" s="836"/>
      <c r="J510" s="836"/>
      <c r="K510" s="837"/>
      <c r="L510" s="837"/>
      <c r="M510" s="837"/>
      <c r="N510" s="837">
        <v>0</v>
      </c>
      <c r="O510" s="837"/>
      <c r="P510" s="837"/>
      <c r="Q510" s="1264"/>
      <c r="R510" s="1264"/>
      <c r="S510" s="1264"/>
      <c r="T510" s="1264"/>
      <c r="U510" s="1264"/>
      <c r="V510" s="1264"/>
      <c r="W510" s="1264"/>
      <c r="X510" s="1264"/>
      <c r="Y510" s="1264"/>
      <c r="Z510" s="1264"/>
    </row>
    <row r="511" spans="1:26" ht="18.75" hidden="1">
      <c r="A511" s="1294"/>
      <c r="B511" s="1265"/>
      <c r="C511" s="1265"/>
      <c r="D511" s="1265"/>
      <c r="E511" s="1261"/>
      <c r="F511" s="1261" t="s">
        <v>189</v>
      </c>
      <c r="G511" s="1263"/>
      <c r="H511" s="165" t="s">
        <v>12</v>
      </c>
      <c r="I511" s="836"/>
      <c r="J511" s="836"/>
      <c r="K511" s="837"/>
      <c r="L511" s="837"/>
      <c r="M511" s="837"/>
      <c r="N511" s="837">
        <v>0</v>
      </c>
      <c r="O511" s="837"/>
      <c r="P511" s="837"/>
      <c r="Q511" s="1264"/>
      <c r="R511" s="1264"/>
      <c r="S511" s="1264"/>
      <c r="T511" s="1264"/>
      <c r="U511" s="1264"/>
      <c r="V511" s="1264"/>
      <c r="W511" s="1264"/>
      <c r="X511" s="1264"/>
      <c r="Y511" s="1264"/>
      <c r="Z511" s="1264"/>
    </row>
    <row r="512" spans="1:26" ht="18.75" hidden="1">
      <c r="A512" s="1260"/>
      <c r="B512" s="1265"/>
      <c r="C512" s="1265"/>
      <c r="D512" s="1293" t="s">
        <v>21</v>
      </c>
      <c r="E512" s="1265"/>
      <c r="F512" s="1261"/>
      <c r="G512" s="1263"/>
      <c r="H512" s="169" t="s">
        <v>12</v>
      </c>
      <c r="I512" s="947"/>
      <c r="J512" s="947"/>
      <c r="K512" s="948"/>
      <c r="L512" s="837">
        <f t="shared" ref="L512:N512" si="221">L513+L514</f>
        <v>0</v>
      </c>
      <c r="M512" s="837">
        <f t="shared" si="221"/>
        <v>0</v>
      </c>
      <c r="N512" s="837">
        <f t="shared" si="221"/>
        <v>0</v>
      </c>
      <c r="O512" s="837">
        <f t="shared" ref="O512:O514" si="222">IF(L512&gt;0,N512*100/L512,0)</f>
        <v>0</v>
      </c>
      <c r="P512" s="837">
        <f t="shared" ref="P512:P514" si="223">IF(M512&gt;0,N512*100/M512,0)</f>
        <v>0</v>
      </c>
      <c r="Q512" s="1264"/>
      <c r="R512" s="1264"/>
      <c r="S512" s="1264"/>
      <c r="T512" s="1264"/>
      <c r="U512" s="1264"/>
      <c r="V512" s="1264"/>
      <c r="W512" s="1264"/>
      <c r="X512" s="1264"/>
      <c r="Y512" s="1264"/>
      <c r="Z512" s="1264"/>
    </row>
    <row r="513" spans="1:26" ht="18.75" hidden="1">
      <c r="A513" s="1260"/>
      <c r="B513" s="1265"/>
      <c r="C513" s="1265"/>
      <c r="D513" s="1265"/>
      <c r="E513" s="1265" t="s">
        <v>18</v>
      </c>
      <c r="F513" s="1261"/>
      <c r="G513" s="1263"/>
      <c r="H513" s="165" t="s">
        <v>12</v>
      </c>
      <c r="I513" s="947"/>
      <c r="J513" s="947"/>
      <c r="K513" s="948"/>
      <c r="L513" s="837">
        <v>0</v>
      </c>
      <c r="M513" s="837">
        <v>0</v>
      </c>
      <c r="N513" s="837">
        <v>0</v>
      </c>
      <c r="O513" s="837">
        <f t="shared" si="222"/>
        <v>0</v>
      </c>
      <c r="P513" s="837">
        <f t="shared" si="223"/>
        <v>0</v>
      </c>
      <c r="Q513" s="1264"/>
      <c r="R513" s="1264"/>
      <c r="S513" s="1264"/>
      <c r="T513" s="1264"/>
      <c r="U513" s="1264"/>
      <c r="V513" s="1264"/>
      <c r="W513" s="1264"/>
      <c r="X513" s="1264"/>
      <c r="Y513" s="1264"/>
      <c r="Z513" s="1264"/>
    </row>
    <row r="514" spans="1:26" ht="18.75" hidden="1">
      <c r="A514" s="1260"/>
      <c r="B514" s="1265"/>
      <c r="C514" s="1265"/>
      <c r="D514" s="1261"/>
      <c r="E514" s="1265" t="s">
        <v>19</v>
      </c>
      <c r="F514" s="1261"/>
      <c r="G514" s="1263"/>
      <c r="H514" s="169" t="s">
        <v>12</v>
      </c>
      <c r="I514" s="947"/>
      <c r="J514" s="947"/>
      <c r="K514" s="948"/>
      <c r="L514" s="837">
        <v>0</v>
      </c>
      <c r="M514" s="837">
        <v>0</v>
      </c>
      <c r="N514" s="837">
        <v>0</v>
      </c>
      <c r="O514" s="837">
        <f t="shared" si="222"/>
        <v>0</v>
      </c>
      <c r="P514" s="837">
        <f t="shared" si="223"/>
        <v>0</v>
      </c>
      <c r="Q514" s="1264"/>
      <c r="R514" s="1264"/>
      <c r="S514" s="1264"/>
      <c r="T514" s="1264"/>
      <c r="U514" s="1264"/>
      <c r="V514" s="1264"/>
      <c r="W514" s="1264"/>
      <c r="X514" s="1264"/>
      <c r="Y514" s="1264"/>
      <c r="Z514" s="1264"/>
    </row>
    <row r="515" spans="1:26" ht="19.5" hidden="1">
      <c r="A515" s="1273"/>
      <c r="B515" s="1274"/>
      <c r="C515" s="1265" t="s">
        <v>16</v>
      </c>
      <c r="D515" s="1295" t="s">
        <v>38</v>
      </c>
      <c r="E515" s="1296"/>
      <c r="F515" s="1296"/>
      <c r="G515" s="1297"/>
      <c r="H515" s="1060"/>
      <c r="I515" s="947"/>
      <c r="J515" s="947"/>
      <c r="K515" s="948"/>
      <c r="L515" s="948"/>
      <c r="M515" s="948"/>
      <c r="N515" s="948"/>
      <c r="O515" s="948"/>
      <c r="P515" s="948"/>
      <c r="Q515" s="1264"/>
      <c r="R515" s="1264"/>
      <c r="S515" s="1264"/>
      <c r="T515" s="1264"/>
      <c r="U515" s="1264"/>
      <c r="V515" s="1264"/>
      <c r="W515" s="1264"/>
      <c r="X515" s="1264"/>
      <c r="Y515" s="1264"/>
      <c r="Z515" s="1264"/>
    </row>
    <row r="516" spans="1:26" ht="18.75" hidden="1">
      <c r="A516" s="1273"/>
      <c r="B516" s="1274"/>
      <c r="C516" s="1274"/>
      <c r="D516" s="1274" t="s">
        <v>221</v>
      </c>
      <c r="E516" s="1262"/>
      <c r="F516" s="1262"/>
      <c r="G516" s="1060"/>
      <c r="H516" s="619" t="s">
        <v>109</v>
      </c>
      <c r="I516" s="836"/>
      <c r="J516" s="836">
        <v>0</v>
      </c>
      <c r="K516" s="948">
        <f t="shared" ref="K516:K517" si="224">IF(I516&gt;0,J516*100/I516,0)</f>
        <v>0</v>
      </c>
      <c r="L516" s="948"/>
      <c r="M516" s="948"/>
      <c r="N516" s="948"/>
      <c r="O516" s="948"/>
      <c r="P516" s="948"/>
      <c r="Q516" s="1264"/>
      <c r="R516" s="1264"/>
      <c r="S516" s="1264"/>
      <c r="T516" s="1264"/>
      <c r="U516" s="1264"/>
      <c r="V516" s="1264"/>
      <c r="W516" s="1264"/>
      <c r="X516" s="1264"/>
      <c r="Y516" s="1264"/>
      <c r="Z516" s="1264"/>
    </row>
    <row r="517" spans="1:26" ht="19.5" hidden="1">
      <c r="A517" s="1273"/>
      <c r="B517" s="1274"/>
      <c r="C517" s="1274"/>
      <c r="D517" s="1274" t="s">
        <v>222</v>
      </c>
      <c r="E517" s="1262"/>
      <c r="F517" s="1262"/>
      <c r="G517" s="1060"/>
      <c r="H517" s="620" t="s">
        <v>35</v>
      </c>
      <c r="I517" s="1298"/>
      <c r="J517" s="1298">
        <f>J518+J519</f>
        <v>0</v>
      </c>
      <c r="K517" s="1299">
        <f t="shared" si="224"/>
        <v>0</v>
      </c>
      <c r="L517" s="948"/>
      <c r="M517" s="948"/>
      <c r="N517" s="948"/>
      <c r="O517" s="948"/>
      <c r="P517" s="948"/>
      <c r="Q517" s="1264"/>
      <c r="R517" s="1264"/>
      <c r="S517" s="1264"/>
      <c r="T517" s="1264"/>
      <c r="U517" s="1264"/>
      <c r="V517" s="1264"/>
      <c r="W517" s="1264"/>
      <c r="X517" s="1264"/>
      <c r="Y517" s="1264"/>
      <c r="Z517" s="1264"/>
    </row>
    <row r="518" spans="1:26" ht="18.75" hidden="1">
      <c r="A518" s="1273"/>
      <c r="B518" s="1274"/>
      <c r="C518" s="1274"/>
      <c r="D518" s="1274"/>
      <c r="E518" s="1274" t="s">
        <v>223</v>
      </c>
      <c r="F518" s="1262"/>
      <c r="G518" s="1060"/>
      <c r="H518" s="583" t="s">
        <v>35</v>
      </c>
      <c r="I518" s="836"/>
      <c r="J518" s="836"/>
      <c r="K518" s="948"/>
      <c r="L518" s="948"/>
      <c r="M518" s="948"/>
      <c r="N518" s="948"/>
      <c r="O518" s="948"/>
      <c r="P518" s="948"/>
      <c r="Q518" s="1264"/>
      <c r="R518" s="1264"/>
      <c r="S518" s="1264"/>
      <c r="T518" s="1264"/>
      <c r="U518" s="1264"/>
      <c r="V518" s="1264"/>
      <c r="W518" s="1264"/>
      <c r="X518" s="1264"/>
      <c r="Y518" s="1264"/>
      <c r="Z518" s="1264"/>
    </row>
    <row r="519" spans="1:26" ht="18.75" hidden="1">
      <c r="A519" s="1273"/>
      <c r="B519" s="1274"/>
      <c r="C519" s="1274"/>
      <c r="D519" s="1274"/>
      <c r="E519" s="1274" t="s">
        <v>224</v>
      </c>
      <c r="F519" s="1262"/>
      <c r="G519" s="1060"/>
      <c r="H519" s="619" t="s">
        <v>35</v>
      </c>
      <c r="I519" s="836"/>
      <c r="J519" s="836"/>
      <c r="K519" s="948"/>
      <c r="L519" s="948"/>
      <c r="M519" s="948"/>
      <c r="N519" s="948"/>
      <c r="O519" s="948"/>
      <c r="P519" s="948"/>
      <c r="Q519" s="1264"/>
      <c r="R519" s="1264"/>
      <c r="S519" s="1264"/>
      <c r="T519" s="1264"/>
      <c r="U519" s="1264"/>
      <c r="V519" s="1264"/>
      <c r="W519" s="1264"/>
      <c r="X519" s="1264"/>
      <c r="Y519" s="1264"/>
      <c r="Z519" s="1264"/>
    </row>
    <row r="520" spans="1:26" ht="19.5">
      <c r="A520" s="1300" t="s">
        <v>137</v>
      </c>
      <c r="B520" s="1301"/>
      <c r="C520" s="1301"/>
      <c r="D520" s="1302"/>
      <c r="E520" s="1302"/>
      <c r="F520" s="1302"/>
      <c r="G520" s="1303"/>
      <c r="H520" s="1304"/>
      <c r="I520" s="1305"/>
      <c r="J520" s="1305"/>
      <c r="K520" s="1306"/>
      <c r="L520" s="1306"/>
      <c r="M520" s="1306"/>
      <c r="N520" s="1306"/>
      <c r="O520" s="1306"/>
      <c r="P520" s="1306"/>
    </row>
    <row r="521" spans="1:26" ht="19.5" hidden="1">
      <c r="A521" s="630">
        <v>5</v>
      </c>
      <c r="B521" s="1307" t="s">
        <v>225</v>
      </c>
      <c r="C521" s="1308"/>
      <c r="D521" s="1309"/>
      <c r="E521" s="1309"/>
      <c r="F521" s="1309"/>
      <c r="G521" s="1309"/>
      <c r="H521" s="1310"/>
      <c r="I521" s="1311"/>
      <c r="J521" s="1311"/>
      <c r="K521" s="1312"/>
      <c r="L521" s="1312"/>
      <c r="M521" s="1312"/>
      <c r="N521" s="1312"/>
      <c r="O521" s="1312"/>
      <c r="P521" s="1312"/>
      <c r="Q521" s="1244"/>
      <c r="R521" s="1244"/>
      <c r="S521" s="1244"/>
      <c r="T521" s="1244"/>
      <c r="U521" s="1244"/>
      <c r="V521" s="1244"/>
      <c r="W521" s="1244"/>
      <c r="X521" s="1244"/>
      <c r="Y521" s="1244"/>
      <c r="Z521" s="1244"/>
    </row>
    <row r="522" spans="1:26" ht="19.5" hidden="1">
      <c r="A522" s="1313"/>
      <c r="B522" s="1314" t="s">
        <v>226</v>
      </c>
      <c r="C522" s="1315"/>
      <c r="D522" s="1315"/>
      <c r="E522" s="1315"/>
      <c r="F522" s="1315"/>
      <c r="G522" s="1316"/>
      <c r="H522" s="641" t="s">
        <v>35</v>
      </c>
      <c r="I522" s="1317">
        <f t="shared" ref="I522:J522" ca="1" si="225">I537</f>
        <v>0</v>
      </c>
      <c r="J522" s="1317">
        <f t="shared" ca="1" si="225"/>
        <v>0</v>
      </c>
      <c r="K522" s="1318">
        <f ca="1">IF(I522&gt;0,J522*100/I522,0)</f>
        <v>0</v>
      </c>
      <c r="L522" s="1319"/>
      <c r="M522" s="1319"/>
      <c r="N522" s="1319"/>
      <c r="O522" s="1319"/>
      <c r="P522" s="1319"/>
      <c r="Q522" s="1244"/>
      <c r="R522" s="1244"/>
      <c r="S522" s="1244"/>
      <c r="T522" s="1244"/>
      <c r="U522" s="1244"/>
      <c r="V522" s="1244"/>
      <c r="W522" s="1244"/>
      <c r="X522" s="1244"/>
      <c r="Y522" s="1244"/>
      <c r="Z522" s="1244"/>
    </row>
    <row r="523" spans="1:26" ht="19.5" hidden="1">
      <c r="A523" s="1259"/>
      <c r="B523" s="1243"/>
      <c r="C523" s="1243" t="s">
        <v>16</v>
      </c>
      <c r="D523" s="1507" t="s">
        <v>17</v>
      </c>
      <c r="E523" s="1485"/>
      <c r="F523" s="1485"/>
      <c r="G523" s="963"/>
      <c r="H523" s="563" t="s">
        <v>12</v>
      </c>
      <c r="I523" s="830"/>
      <c r="J523" s="830"/>
      <c r="K523" s="831"/>
      <c r="L523" s="967">
        <f t="shared" ref="L523:N523" ca="1" si="226">L524+L525</f>
        <v>0</v>
      </c>
      <c r="M523" s="967">
        <f t="shared" si="226"/>
        <v>0</v>
      </c>
      <c r="N523" s="967">
        <f t="shared" si="226"/>
        <v>0</v>
      </c>
      <c r="O523" s="967">
        <f t="shared" ref="O523:O528" ca="1" si="227">IF(L523&gt;0,N523*100/L523,0)</f>
        <v>0</v>
      </c>
      <c r="P523" s="967">
        <f t="shared" ref="P523:P528" si="228">IF(M523&gt;0,N523*100/M523,0)</f>
        <v>0</v>
      </c>
      <c r="Q523" s="1244"/>
      <c r="R523" s="1244"/>
      <c r="S523" s="1244"/>
      <c r="T523" s="1244"/>
      <c r="U523" s="1244"/>
      <c r="V523" s="1244"/>
      <c r="W523" s="1244"/>
      <c r="X523" s="1244"/>
      <c r="Y523" s="1244"/>
      <c r="Z523" s="1244"/>
    </row>
    <row r="524" spans="1:26" ht="18.75" hidden="1">
      <c r="A524" s="1260"/>
      <c r="B524" s="1261"/>
      <c r="C524" s="1261"/>
      <c r="D524" s="1262"/>
      <c r="E524" s="1261" t="s">
        <v>184</v>
      </c>
      <c r="F524" s="1261"/>
      <c r="G524" s="1263"/>
      <c r="H524" s="165" t="s">
        <v>12</v>
      </c>
      <c r="I524" s="836"/>
      <c r="J524" s="836"/>
      <c r="K524" s="837"/>
      <c r="L524" s="837">
        <f t="shared" ref="L524:N525" si="229">L527+L534</f>
        <v>0</v>
      </c>
      <c r="M524" s="837">
        <f t="shared" si="229"/>
        <v>0</v>
      </c>
      <c r="N524" s="837">
        <f t="shared" si="229"/>
        <v>0</v>
      </c>
      <c r="O524" s="837">
        <f t="shared" si="227"/>
        <v>0</v>
      </c>
      <c r="P524" s="837">
        <f t="shared" si="228"/>
        <v>0</v>
      </c>
      <c r="Q524" s="1264"/>
      <c r="R524" s="1264"/>
      <c r="S524" s="1264"/>
      <c r="T524" s="1264"/>
      <c r="U524" s="1264"/>
      <c r="V524" s="1264"/>
      <c r="W524" s="1264"/>
      <c r="X524" s="1264"/>
      <c r="Y524" s="1264"/>
      <c r="Z524" s="1264"/>
    </row>
    <row r="525" spans="1:26" ht="18.75" hidden="1">
      <c r="A525" s="1260"/>
      <c r="B525" s="1265"/>
      <c r="C525" s="1261"/>
      <c r="D525" s="1262"/>
      <c r="E525" s="1261" t="s">
        <v>185</v>
      </c>
      <c r="F525" s="1261"/>
      <c r="G525" s="1263"/>
      <c r="H525" s="165" t="s">
        <v>12</v>
      </c>
      <c r="I525" s="836"/>
      <c r="J525" s="836"/>
      <c r="K525" s="837"/>
      <c r="L525" s="837">
        <f t="shared" ca="1" si="229"/>
        <v>0</v>
      </c>
      <c r="M525" s="837">
        <f t="shared" si="229"/>
        <v>0</v>
      </c>
      <c r="N525" s="837">
        <f t="shared" si="229"/>
        <v>0</v>
      </c>
      <c r="O525" s="837">
        <f t="shared" ca="1" si="227"/>
        <v>0</v>
      </c>
      <c r="P525" s="837">
        <f t="shared" si="228"/>
        <v>0</v>
      </c>
      <c r="Q525" s="1264"/>
      <c r="R525" s="1264"/>
      <c r="S525" s="1264"/>
      <c r="T525" s="1264"/>
      <c r="U525" s="1264"/>
      <c r="V525" s="1264"/>
      <c r="W525" s="1264"/>
      <c r="X525" s="1264"/>
      <c r="Y525" s="1264"/>
      <c r="Z525" s="1264"/>
    </row>
    <row r="526" spans="1:26" ht="18.75" hidden="1">
      <c r="A526" s="1259"/>
      <c r="B526" s="1242"/>
      <c r="C526" s="1243"/>
      <c r="D526" s="1266" t="s">
        <v>20</v>
      </c>
      <c r="E526" s="1243"/>
      <c r="F526" s="1243"/>
      <c r="G526" s="963"/>
      <c r="H526" s="778" t="s">
        <v>12</v>
      </c>
      <c r="I526" s="944"/>
      <c r="J526" s="944"/>
      <c r="K526" s="945"/>
      <c r="L526" s="831">
        <f t="shared" ref="L526:N526" ca="1" si="230">L527+L528</f>
        <v>0</v>
      </c>
      <c r="M526" s="831">
        <f t="shared" si="230"/>
        <v>0</v>
      </c>
      <c r="N526" s="831">
        <f t="shared" si="230"/>
        <v>0</v>
      </c>
      <c r="O526" s="831">
        <f t="shared" ca="1" si="227"/>
        <v>0</v>
      </c>
      <c r="P526" s="831">
        <f t="shared" si="228"/>
        <v>0</v>
      </c>
      <c r="Q526" s="1244"/>
      <c r="R526" s="1244"/>
      <c r="S526" s="1244"/>
      <c r="T526" s="1244"/>
      <c r="U526" s="1244"/>
      <c r="V526" s="1244"/>
      <c r="W526" s="1244"/>
      <c r="X526" s="1244"/>
      <c r="Y526" s="1244"/>
      <c r="Z526" s="1244"/>
    </row>
    <row r="527" spans="1:26" ht="18.75" hidden="1">
      <c r="A527" s="1260"/>
      <c r="B527" s="1265"/>
      <c r="C527" s="1261"/>
      <c r="D527" s="1262"/>
      <c r="E527" s="1261" t="s">
        <v>184</v>
      </c>
      <c r="F527" s="1261"/>
      <c r="G527" s="1263"/>
      <c r="H527" s="165" t="s">
        <v>12</v>
      </c>
      <c r="I527" s="836"/>
      <c r="J527" s="836"/>
      <c r="K527" s="837"/>
      <c r="L527" s="837">
        <v>0</v>
      </c>
      <c r="M527" s="837">
        <v>0</v>
      </c>
      <c r="N527" s="837">
        <v>0</v>
      </c>
      <c r="O527" s="837">
        <f t="shared" si="227"/>
        <v>0</v>
      </c>
      <c r="P527" s="837">
        <f t="shared" si="228"/>
        <v>0</v>
      </c>
      <c r="Q527" s="1264"/>
      <c r="R527" s="1264"/>
      <c r="S527" s="1264"/>
      <c r="T527" s="1264"/>
      <c r="U527" s="1264"/>
      <c r="V527" s="1264"/>
      <c r="W527" s="1264"/>
      <c r="X527" s="1264"/>
      <c r="Y527" s="1264"/>
      <c r="Z527" s="1264"/>
    </row>
    <row r="528" spans="1:26" ht="18.75" hidden="1">
      <c r="A528" s="1260"/>
      <c r="B528" s="1265"/>
      <c r="C528" s="1261"/>
      <c r="D528" s="1262"/>
      <c r="E528" s="1261" t="s">
        <v>185</v>
      </c>
      <c r="F528" s="1261"/>
      <c r="G528" s="1263"/>
      <c r="H528" s="165" t="s">
        <v>12</v>
      </c>
      <c r="I528" s="836"/>
      <c r="J528" s="836"/>
      <c r="K528" s="837"/>
      <c r="L528" s="837">
        <f ca="1">IFERROR(__xludf.DUMMYFUNCTION("IMPORTRANGE(""https://docs.google.com/spreadsheets/d/1QqKyyYR6Q21VydFLVH3TRQUabQu_ym0Zz7PgGX0-kHA/edit?usp=sharing"",""แผน!GQ19"")"),0)</f>
        <v>0</v>
      </c>
      <c r="M528" s="837">
        <v>0</v>
      </c>
      <c r="N528" s="837">
        <f>N529+N530+N531+N532</f>
        <v>0</v>
      </c>
      <c r="O528" s="837">
        <f t="shared" ca="1" si="227"/>
        <v>0</v>
      </c>
      <c r="P528" s="837">
        <f t="shared" si="228"/>
        <v>0</v>
      </c>
      <c r="Q528" s="1264"/>
      <c r="R528" s="1264"/>
      <c r="S528" s="1264"/>
      <c r="T528" s="1264"/>
      <c r="U528" s="1264"/>
      <c r="V528" s="1264"/>
      <c r="W528" s="1264"/>
      <c r="X528" s="1264"/>
      <c r="Y528" s="1264"/>
      <c r="Z528" s="1264"/>
    </row>
    <row r="529" spans="1:26" ht="18.75" hidden="1">
      <c r="A529" s="1241"/>
      <c r="B529" s="1242"/>
      <c r="C529" s="1243"/>
      <c r="D529" s="1243"/>
      <c r="E529" s="1243"/>
      <c r="F529" s="1243" t="s">
        <v>186</v>
      </c>
      <c r="G529" s="963"/>
      <c r="H529" s="778" t="s">
        <v>12</v>
      </c>
      <c r="I529" s="830"/>
      <c r="J529" s="830"/>
      <c r="K529" s="831"/>
      <c r="L529" s="831"/>
      <c r="M529" s="831"/>
      <c r="N529" s="1031">
        <v>0</v>
      </c>
      <c r="O529" s="831"/>
      <c r="P529" s="831"/>
      <c r="Q529" s="1244"/>
      <c r="R529" s="1244"/>
      <c r="S529" s="1244"/>
      <c r="T529" s="1244"/>
      <c r="U529" s="1244"/>
      <c r="V529" s="1244"/>
      <c r="W529" s="1244"/>
      <c r="X529" s="1244"/>
      <c r="Y529" s="1244"/>
      <c r="Z529" s="1244"/>
    </row>
    <row r="530" spans="1:26" ht="18.75" hidden="1">
      <c r="A530" s="1241"/>
      <c r="B530" s="1242"/>
      <c r="C530" s="1243"/>
      <c r="D530" s="1243"/>
      <c r="E530" s="1243"/>
      <c r="F530" s="1243" t="s">
        <v>187</v>
      </c>
      <c r="G530" s="963"/>
      <c r="H530" s="778" t="s">
        <v>12</v>
      </c>
      <c r="I530" s="830"/>
      <c r="J530" s="830"/>
      <c r="K530" s="831"/>
      <c r="L530" s="831"/>
      <c r="M530" s="831"/>
      <c r="N530" s="1031">
        <v>0</v>
      </c>
      <c r="O530" s="831"/>
      <c r="P530" s="831"/>
      <c r="Q530" s="1244"/>
      <c r="R530" s="1244"/>
      <c r="S530" s="1244"/>
      <c r="T530" s="1244"/>
      <c r="U530" s="1244"/>
      <c r="V530" s="1244"/>
      <c r="W530" s="1244"/>
      <c r="X530" s="1244"/>
      <c r="Y530" s="1244"/>
      <c r="Z530" s="1244"/>
    </row>
    <row r="531" spans="1:26" ht="18.75" hidden="1">
      <c r="A531" s="1241"/>
      <c r="B531" s="1242"/>
      <c r="C531" s="1243"/>
      <c r="D531" s="1243"/>
      <c r="E531" s="1243"/>
      <c r="F531" s="1243" t="s">
        <v>188</v>
      </c>
      <c r="G531" s="963"/>
      <c r="H531" s="778" t="s">
        <v>12</v>
      </c>
      <c r="I531" s="830"/>
      <c r="J531" s="830"/>
      <c r="K531" s="831"/>
      <c r="L531" s="831"/>
      <c r="M531" s="831"/>
      <c r="N531" s="1031">
        <v>0</v>
      </c>
      <c r="O531" s="831"/>
      <c r="P531" s="831"/>
      <c r="Q531" s="1244"/>
      <c r="R531" s="1244"/>
      <c r="S531" s="1244"/>
      <c r="T531" s="1244"/>
      <c r="U531" s="1244"/>
      <c r="V531" s="1244"/>
      <c r="W531" s="1244"/>
      <c r="X531" s="1244"/>
      <c r="Y531" s="1244"/>
      <c r="Z531" s="1244"/>
    </row>
    <row r="532" spans="1:26" ht="18.75" hidden="1">
      <c r="A532" s="1241"/>
      <c r="B532" s="1242"/>
      <c r="C532" s="1243"/>
      <c r="D532" s="1243"/>
      <c r="E532" s="1243"/>
      <c r="F532" s="1243" t="s">
        <v>189</v>
      </c>
      <c r="G532" s="963"/>
      <c r="H532" s="778" t="s">
        <v>12</v>
      </c>
      <c r="I532" s="830"/>
      <c r="J532" s="830"/>
      <c r="K532" s="831"/>
      <c r="L532" s="831"/>
      <c r="M532" s="831"/>
      <c r="N532" s="1031">
        <v>0</v>
      </c>
      <c r="O532" s="831"/>
      <c r="P532" s="831"/>
      <c r="Q532" s="1244"/>
      <c r="R532" s="1244"/>
      <c r="S532" s="1244"/>
      <c r="T532" s="1244"/>
      <c r="U532" s="1244"/>
      <c r="V532" s="1244"/>
      <c r="W532" s="1244"/>
      <c r="X532" s="1244"/>
      <c r="Y532" s="1244"/>
      <c r="Z532" s="1244"/>
    </row>
    <row r="533" spans="1:26" ht="18.75" hidden="1">
      <c r="A533" s="1259"/>
      <c r="B533" s="1242"/>
      <c r="C533" s="1243"/>
      <c r="D533" s="1266" t="s">
        <v>21</v>
      </c>
      <c r="E533" s="1243"/>
      <c r="F533" s="1243"/>
      <c r="G533" s="963"/>
      <c r="H533" s="168" t="s">
        <v>12</v>
      </c>
      <c r="I533" s="944"/>
      <c r="J533" s="944"/>
      <c r="K533" s="945"/>
      <c r="L533" s="831">
        <f t="shared" ref="L533:N533" ca="1" si="231">L534+L535</f>
        <v>0</v>
      </c>
      <c r="M533" s="831">
        <f t="shared" si="231"/>
        <v>0</v>
      </c>
      <c r="N533" s="831">
        <f t="shared" si="231"/>
        <v>0</v>
      </c>
      <c r="O533" s="831">
        <f t="shared" ref="O533:O535" ca="1" si="232">IF(L533&gt;0,N533*100/L533,0)</f>
        <v>0</v>
      </c>
      <c r="P533" s="831">
        <f t="shared" ref="P533:P535" si="233">IF(M533&gt;0,N533*100/M533,0)</f>
        <v>0</v>
      </c>
      <c r="Q533" s="1244"/>
      <c r="R533" s="1244"/>
      <c r="S533" s="1244"/>
      <c r="T533" s="1244"/>
      <c r="U533" s="1244"/>
      <c r="V533" s="1244"/>
      <c r="W533" s="1244"/>
      <c r="X533" s="1244"/>
      <c r="Y533" s="1244"/>
      <c r="Z533" s="1244"/>
    </row>
    <row r="534" spans="1:26" ht="18.75" hidden="1">
      <c r="A534" s="1260"/>
      <c r="B534" s="1265"/>
      <c r="C534" s="1261"/>
      <c r="D534" s="1261"/>
      <c r="E534" s="1261" t="s">
        <v>18</v>
      </c>
      <c r="F534" s="1261"/>
      <c r="G534" s="1263"/>
      <c r="H534" s="165" t="s">
        <v>12</v>
      </c>
      <c r="I534" s="947"/>
      <c r="J534" s="947"/>
      <c r="K534" s="948"/>
      <c r="L534" s="837">
        <v>0</v>
      </c>
      <c r="M534" s="837">
        <v>0</v>
      </c>
      <c r="N534" s="837">
        <v>0</v>
      </c>
      <c r="O534" s="837">
        <f t="shared" si="232"/>
        <v>0</v>
      </c>
      <c r="P534" s="837">
        <f t="shared" si="233"/>
        <v>0</v>
      </c>
      <c r="Q534" s="1264"/>
      <c r="R534" s="1264"/>
      <c r="S534" s="1264"/>
      <c r="T534" s="1264"/>
      <c r="U534" s="1264"/>
      <c r="V534" s="1264"/>
      <c r="W534" s="1264"/>
      <c r="X534" s="1264"/>
      <c r="Y534" s="1264"/>
      <c r="Z534" s="1264"/>
    </row>
    <row r="535" spans="1:26" ht="18.75" hidden="1">
      <c r="A535" s="1260"/>
      <c r="B535" s="1265"/>
      <c r="C535" s="1261"/>
      <c r="D535" s="1261"/>
      <c r="E535" s="1261" t="s">
        <v>19</v>
      </c>
      <c r="F535" s="1261"/>
      <c r="G535" s="1263"/>
      <c r="H535" s="169" t="s">
        <v>12</v>
      </c>
      <c r="I535" s="947"/>
      <c r="J535" s="947"/>
      <c r="K535" s="948"/>
      <c r="L535" s="837">
        <f ca="1">IFERROR(__xludf.DUMMYFUNCTION("IMPORTRANGE(""https://docs.google.com/spreadsheets/d/1QqKyyYR6Q21VydFLVH3TRQUabQu_ym0Zz7PgGX0-kHA/edit?usp=sharing"",""แผน!GT19"")"),0)</f>
        <v>0</v>
      </c>
      <c r="M535" s="837">
        <v>0</v>
      </c>
      <c r="N535" s="837">
        <v>0</v>
      </c>
      <c r="O535" s="837">
        <f t="shared" ca="1" si="232"/>
        <v>0</v>
      </c>
      <c r="P535" s="837">
        <f t="shared" si="233"/>
        <v>0</v>
      </c>
      <c r="Q535" s="1264"/>
      <c r="R535" s="1264"/>
      <c r="S535" s="1264"/>
      <c r="T535" s="1264"/>
      <c r="U535" s="1264"/>
      <c r="V535" s="1264"/>
      <c r="W535" s="1264"/>
      <c r="X535" s="1264"/>
      <c r="Y535" s="1264"/>
      <c r="Z535" s="1264"/>
    </row>
    <row r="536" spans="1:26" ht="19.5" hidden="1">
      <c r="A536" s="1267"/>
      <c r="B536" s="1268"/>
      <c r="C536" s="1243" t="s">
        <v>16</v>
      </c>
      <c r="D536" s="1320" t="s">
        <v>38</v>
      </c>
      <c r="E536" s="1271"/>
      <c r="F536" s="1271"/>
      <c r="G536" s="1272"/>
      <c r="H536" s="954"/>
      <c r="I536" s="944"/>
      <c r="J536" s="944"/>
      <c r="K536" s="945"/>
      <c r="L536" s="945"/>
      <c r="M536" s="945"/>
      <c r="N536" s="945"/>
      <c r="O536" s="945"/>
      <c r="P536" s="945"/>
      <c r="Q536" s="1244"/>
      <c r="R536" s="1244"/>
      <c r="S536" s="1244"/>
      <c r="T536" s="1244"/>
      <c r="U536" s="1244"/>
      <c r="V536" s="1244"/>
      <c r="W536" s="1244"/>
      <c r="X536" s="1244"/>
      <c r="Y536" s="1244"/>
      <c r="Z536" s="1244"/>
    </row>
    <row r="537" spans="1:26" ht="19.5" hidden="1">
      <c r="A537" s="1241"/>
      <c r="B537" s="1242"/>
      <c r="C537" s="1243"/>
      <c r="D537" s="1243" t="s">
        <v>227</v>
      </c>
      <c r="E537" s="1243"/>
      <c r="F537" s="1243"/>
      <c r="G537" s="963"/>
      <c r="H537" s="590" t="s">
        <v>35</v>
      </c>
      <c r="I537" s="966">
        <f ca="1">IFERROR(__xludf.DUMMYFUNCTION("IMPORTRANGE(""https://docs.google.com/spreadsheets/d/1QqKyyYR6Q21VydFLVH3TRQUabQu_ym0Zz7PgGX0-kHA/edit?usp=sharing"",""แผน!GU19"")"),0)</f>
        <v>0</v>
      </c>
      <c r="J537" s="966">
        <f ca="1">IF(AND(J538=I538,J539=I539,J540=I540,J541=I541),I537,0)</f>
        <v>0</v>
      </c>
      <c r="K537" s="831">
        <f t="shared" ref="K537:K543" ca="1" si="234">IF(I537&gt;0,J537*100/I537,0)</f>
        <v>0</v>
      </c>
      <c r="L537" s="831"/>
      <c r="M537" s="831"/>
      <c r="N537" s="831"/>
      <c r="O537" s="831"/>
      <c r="P537" s="831"/>
      <c r="Q537" s="1321"/>
      <c r="R537" s="1321"/>
      <c r="S537" s="1321"/>
      <c r="T537" s="1321"/>
      <c r="U537" s="1321"/>
      <c r="V537" s="1321"/>
      <c r="W537" s="1321"/>
      <c r="X537" s="1321"/>
      <c r="Y537" s="1321"/>
      <c r="Z537" s="1321"/>
    </row>
    <row r="538" spans="1:26" ht="18.75" hidden="1">
      <c r="A538" s="1241"/>
      <c r="B538" s="1242"/>
      <c r="C538" s="1243"/>
      <c r="D538" s="1243"/>
      <c r="E538" s="1243" t="s">
        <v>228</v>
      </c>
      <c r="F538" s="1243"/>
      <c r="G538" s="963"/>
      <c r="H538" s="590" t="s">
        <v>35</v>
      </c>
      <c r="I538" s="830">
        <f ca="1">IFERROR(__xludf.DUMMYFUNCTION("IMPORTRANGE(""https://docs.google.com/spreadsheets/d/1QqKyyYR6Q21VydFLVH3TRQUabQu_ym0Zz7PgGX0-kHA/edit?usp=sharing"",""แผน!GV19"")"),0)</f>
        <v>0</v>
      </c>
      <c r="J538" s="959">
        <v>0</v>
      </c>
      <c r="K538" s="831">
        <f t="shared" ca="1" si="234"/>
        <v>0</v>
      </c>
      <c r="L538" s="831"/>
      <c r="M538" s="831"/>
      <c r="N538" s="831"/>
      <c r="O538" s="831"/>
      <c r="P538" s="831"/>
      <c r="Q538" s="1321"/>
      <c r="R538" s="1321"/>
      <c r="S538" s="1321"/>
      <c r="T538" s="1321"/>
      <c r="U538" s="1321"/>
      <c r="V538" s="1321"/>
      <c r="W538" s="1321"/>
      <c r="X538" s="1321"/>
      <c r="Y538" s="1321"/>
      <c r="Z538" s="1321"/>
    </row>
    <row r="539" spans="1:26" ht="18.75" hidden="1">
      <c r="A539" s="1241"/>
      <c r="B539" s="1242"/>
      <c r="C539" s="1243"/>
      <c r="D539" s="1243"/>
      <c r="E539" s="1243" t="s">
        <v>229</v>
      </c>
      <c r="F539" s="1243"/>
      <c r="G539" s="963"/>
      <c r="H539" s="590" t="s">
        <v>35</v>
      </c>
      <c r="I539" s="830">
        <f ca="1">IFERROR(__xludf.DUMMYFUNCTION("IMPORTRANGE(""https://docs.google.com/spreadsheets/d/1QqKyyYR6Q21VydFLVH3TRQUabQu_ym0Zz7PgGX0-kHA/edit?usp=sharing"",""แผน!GW19"")"),0)</f>
        <v>0</v>
      </c>
      <c r="J539" s="959">
        <v>0</v>
      </c>
      <c r="K539" s="831">
        <f t="shared" ca="1" si="234"/>
        <v>0</v>
      </c>
      <c r="L539" s="831"/>
      <c r="M539" s="831"/>
      <c r="N539" s="831"/>
      <c r="O539" s="831"/>
      <c r="P539" s="831"/>
      <c r="Q539" s="1321"/>
      <c r="R539" s="1321"/>
      <c r="S539" s="1321"/>
      <c r="T539" s="1321"/>
      <c r="U539" s="1321"/>
      <c r="V539" s="1321"/>
      <c r="W539" s="1321"/>
      <c r="X539" s="1321"/>
      <c r="Y539" s="1321"/>
      <c r="Z539" s="1321"/>
    </row>
    <row r="540" spans="1:26" ht="18.75" hidden="1">
      <c r="A540" s="1241"/>
      <c r="B540" s="1242"/>
      <c r="C540" s="1243"/>
      <c r="D540" s="1243"/>
      <c r="E540" s="1243" t="s">
        <v>230</v>
      </c>
      <c r="F540" s="1243"/>
      <c r="G540" s="963"/>
      <c r="H540" s="590" t="s">
        <v>35</v>
      </c>
      <c r="I540" s="830">
        <f ca="1">IFERROR(__xludf.DUMMYFUNCTION("IMPORTRANGE(""https://docs.google.com/spreadsheets/d/1QqKyyYR6Q21VydFLVH3TRQUabQu_ym0Zz7PgGX0-kHA/edit?usp=sharing"",""แผน!GX19"")"),0)</f>
        <v>0</v>
      </c>
      <c r="J540" s="959">
        <v>0</v>
      </c>
      <c r="K540" s="831">
        <f t="shared" ca="1" si="234"/>
        <v>0</v>
      </c>
      <c r="L540" s="831"/>
      <c r="M540" s="831"/>
      <c r="N540" s="831"/>
      <c r="O540" s="831"/>
      <c r="P540" s="831"/>
      <c r="Q540" s="1321"/>
      <c r="R540" s="1321"/>
      <c r="S540" s="1321"/>
      <c r="T540" s="1321"/>
      <c r="U540" s="1321"/>
      <c r="V540" s="1321"/>
      <c r="W540" s="1321"/>
      <c r="X540" s="1321"/>
      <c r="Y540" s="1321"/>
      <c r="Z540" s="1321"/>
    </row>
    <row r="541" spans="1:26" ht="18.75" hidden="1">
      <c r="A541" s="1241"/>
      <c r="B541" s="1242"/>
      <c r="C541" s="1243"/>
      <c r="D541" s="1243"/>
      <c r="E541" s="1322" t="s">
        <v>231</v>
      </c>
      <c r="F541" s="1243"/>
      <c r="G541" s="963"/>
      <c r="H541" s="590" t="s">
        <v>35</v>
      </c>
      <c r="I541" s="830">
        <f ca="1">IFERROR(__xludf.DUMMYFUNCTION("IMPORTRANGE(""https://docs.google.com/spreadsheets/d/1QqKyyYR6Q21VydFLVH3TRQUabQu_ym0Zz7PgGX0-kHA/edit?usp=sharing"",""แผน!GY19"")"),0)</f>
        <v>0</v>
      </c>
      <c r="J541" s="959">
        <v>0</v>
      </c>
      <c r="K541" s="831">
        <f t="shared" ca="1" si="234"/>
        <v>0</v>
      </c>
      <c r="L541" s="831"/>
      <c r="M541" s="831"/>
      <c r="N541" s="831"/>
      <c r="O541" s="831"/>
      <c r="P541" s="831"/>
      <c r="Q541" s="1321"/>
      <c r="R541" s="1321"/>
      <c r="S541" s="1321"/>
      <c r="T541" s="1321"/>
      <c r="U541" s="1321"/>
      <c r="V541" s="1321"/>
      <c r="W541" s="1321"/>
      <c r="X541" s="1321"/>
      <c r="Y541" s="1321"/>
      <c r="Z541" s="1321"/>
    </row>
    <row r="542" spans="1:26" ht="18.75" hidden="1">
      <c r="A542" s="1241"/>
      <c r="B542" s="1242"/>
      <c r="C542" s="1243"/>
      <c r="D542" s="1243" t="s">
        <v>59</v>
      </c>
      <c r="E542" s="1243"/>
      <c r="F542" s="1243"/>
      <c r="G542" s="963"/>
      <c r="H542" s="590" t="s">
        <v>35</v>
      </c>
      <c r="I542" s="830">
        <f ca="1">IFERROR(__xludf.DUMMYFUNCTION("IMPORTRANGE(""https://docs.google.com/spreadsheets/d/1QqKyyYR6Q21VydFLVH3TRQUabQu_ym0Zz7PgGX0-kHA/edit?usp=sharing"",""แผน!GZ19"")"),0)</f>
        <v>0</v>
      </c>
      <c r="J542" s="959">
        <v>0</v>
      </c>
      <c r="K542" s="831">
        <f t="shared" ca="1" si="234"/>
        <v>0</v>
      </c>
      <c r="L542" s="831"/>
      <c r="M542" s="831"/>
      <c r="N542" s="831"/>
      <c r="O542" s="831"/>
      <c r="P542" s="831"/>
      <c r="Q542" s="1321"/>
      <c r="R542" s="1321"/>
      <c r="S542" s="1321"/>
      <c r="T542" s="1321"/>
      <c r="U542" s="1321"/>
      <c r="V542" s="1321"/>
      <c r="W542" s="1321"/>
      <c r="X542" s="1321"/>
      <c r="Y542" s="1321"/>
      <c r="Z542" s="1321"/>
    </row>
    <row r="543" spans="1:26" ht="19.5">
      <c r="A543" s="630">
        <v>6</v>
      </c>
      <c r="B543" s="1323" t="s">
        <v>232</v>
      </c>
      <c r="C543" s="1309"/>
      <c r="D543" s="1309"/>
      <c r="E543" s="1309"/>
      <c r="F543" s="1309"/>
      <c r="G543" s="1310"/>
      <c r="H543" s="652" t="s">
        <v>46</v>
      </c>
      <c r="I543" s="1324">
        <f t="shared" ref="I543:J543" ca="1" si="235">I559</f>
        <v>41986</v>
      </c>
      <c r="J543" s="1324">
        <f t="shared" si="235"/>
        <v>0</v>
      </c>
      <c r="K543" s="1325">
        <f t="shared" ca="1" si="234"/>
        <v>0</v>
      </c>
      <c r="L543" s="1312"/>
      <c r="M543" s="1312"/>
      <c r="N543" s="1312"/>
      <c r="O543" s="1312"/>
      <c r="P543" s="1312"/>
      <c r="Q543" s="1244"/>
      <c r="R543" s="1244"/>
      <c r="S543" s="1244"/>
      <c r="T543" s="1244"/>
      <c r="U543" s="1244"/>
      <c r="V543" s="1244"/>
      <c r="W543" s="1244"/>
      <c r="X543" s="1244"/>
      <c r="Y543" s="1244"/>
      <c r="Z543" s="1244"/>
    </row>
    <row r="544" spans="1:26" ht="19.5">
      <c r="A544" s="1326"/>
      <c r="B544" s="1327"/>
      <c r="C544" s="1327" t="s">
        <v>16</v>
      </c>
      <c r="D544" s="1511" t="s">
        <v>17</v>
      </c>
      <c r="E544" s="1487"/>
      <c r="F544" s="1487"/>
      <c r="G544" s="1328"/>
      <c r="H544" s="275" t="s">
        <v>12</v>
      </c>
      <c r="I544" s="937"/>
      <c r="J544" s="937"/>
      <c r="K544" s="938"/>
      <c r="L544" s="939">
        <f t="shared" ref="L544:N544" ca="1" si="236">L545+L546</f>
        <v>402414</v>
      </c>
      <c r="M544" s="939">
        <f t="shared" si="236"/>
        <v>0</v>
      </c>
      <c r="N544" s="939">
        <f t="shared" si="236"/>
        <v>115935</v>
      </c>
      <c r="O544" s="939">
        <f t="shared" ref="O544:O549" ca="1" si="237">IF(L544&gt;0,N544*100/L544,0)</f>
        <v>28.809882359957655</v>
      </c>
      <c r="P544" s="939">
        <f t="shared" ref="P544:P549" si="238">IF(M544&gt;0,N544*100/M544,0)</f>
        <v>0</v>
      </c>
      <c r="Q544" s="1244"/>
      <c r="R544" s="1244"/>
      <c r="S544" s="1244"/>
      <c r="T544" s="1244"/>
      <c r="U544" s="1244"/>
      <c r="V544" s="1244"/>
      <c r="W544" s="1244"/>
      <c r="X544" s="1244"/>
      <c r="Y544" s="1244"/>
      <c r="Z544" s="1244"/>
    </row>
    <row r="545" spans="1:26" ht="18.75" hidden="1">
      <c r="A545" s="1260"/>
      <c r="B545" s="1261"/>
      <c r="C545" s="1261"/>
      <c r="D545" s="1261"/>
      <c r="E545" s="1261" t="s">
        <v>184</v>
      </c>
      <c r="F545" s="1261"/>
      <c r="G545" s="1263"/>
      <c r="H545" s="165" t="s">
        <v>12</v>
      </c>
      <c r="I545" s="836"/>
      <c r="J545" s="836"/>
      <c r="K545" s="837"/>
      <c r="L545" s="837">
        <f t="shared" ref="L545:L546" si="239">L548+L556</f>
        <v>0</v>
      </c>
      <c r="M545" s="837">
        <f t="shared" ref="M545:N546" si="240">M548+M555</f>
        <v>0</v>
      </c>
      <c r="N545" s="837">
        <f t="shared" si="240"/>
        <v>0</v>
      </c>
      <c r="O545" s="837">
        <f t="shared" si="237"/>
        <v>0</v>
      </c>
      <c r="P545" s="837">
        <f t="shared" si="238"/>
        <v>0</v>
      </c>
      <c r="Q545" s="1264"/>
      <c r="R545" s="1264"/>
      <c r="S545" s="1264"/>
      <c r="T545" s="1264"/>
      <c r="U545" s="1264"/>
      <c r="V545" s="1264"/>
      <c r="W545" s="1264"/>
      <c r="X545" s="1264"/>
      <c r="Y545" s="1264"/>
      <c r="Z545" s="1264"/>
    </row>
    <row r="546" spans="1:26" ht="18.75" hidden="1">
      <c r="A546" s="1260"/>
      <c r="B546" s="1265"/>
      <c r="C546" s="1261"/>
      <c r="D546" s="1261"/>
      <c r="E546" s="1261" t="s">
        <v>185</v>
      </c>
      <c r="F546" s="1261"/>
      <c r="G546" s="1263"/>
      <c r="H546" s="165" t="s">
        <v>12</v>
      </c>
      <c r="I546" s="836"/>
      <c r="J546" s="836"/>
      <c r="K546" s="837"/>
      <c r="L546" s="837">
        <f t="shared" ca="1" si="239"/>
        <v>402414</v>
      </c>
      <c r="M546" s="837">
        <f t="shared" si="240"/>
        <v>0</v>
      </c>
      <c r="N546" s="837">
        <f t="shared" si="240"/>
        <v>115935</v>
      </c>
      <c r="O546" s="837">
        <f t="shared" ca="1" si="237"/>
        <v>28.809882359957655</v>
      </c>
      <c r="P546" s="837">
        <f t="shared" si="238"/>
        <v>0</v>
      </c>
      <c r="Q546" s="1264"/>
      <c r="R546" s="1264"/>
      <c r="S546" s="1264"/>
      <c r="T546" s="1264"/>
      <c r="U546" s="1264"/>
      <c r="V546" s="1264"/>
      <c r="W546" s="1264"/>
      <c r="X546" s="1264"/>
      <c r="Y546" s="1264"/>
      <c r="Z546" s="1264"/>
    </row>
    <row r="547" spans="1:26" ht="18.75">
      <c r="A547" s="1259"/>
      <c r="B547" s="1242"/>
      <c r="C547" s="1243"/>
      <c r="D547" s="1266" t="s">
        <v>20</v>
      </c>
      <c r="E547" s="1243"/>
      <c r="F547" s="1243"/>
      <c r="G547" s="963"/>
      <c r="H547" s="778" t="s">
        <v>12</v>
      </c>
      <c r="I547" s="944"/>
      <c r="J547" s="944"/>
      <c r="K547" s="945"/>
      <c r="L547" s="831">
        <f t="shared" ref="L547:N547" ca="1" si="241">L548+L549</f>
        <v>402414</v>
      </c>
      <c r="M547" s="831">
        <f t="shared" si="241"/>
        <v>0</v>
      </c>
      <c r="N547" s="831">
        <f t="shared" si="241"/>
        <v>115935</v>
      </c>
      <c r="O547" s="831">
        <f t="shared" ca="1" si="237"/>
        <v>28.809882359957655</v>
      </c>
      <c r="P547" s="831">
        <f t="shared" si="238"/>
        <v>0</v>
      </c>
      <c r="Q547" s="1244"/>
      <c r="R547" s="1244"/>
      <c r="S547" s="1244"/>
      <c r="T547" s="1244"/>
      <c r="U547" s="1244"/>
      <c r="V547" s="1244"/>
      <c r="W547" s="1244"/>
      <c r="X547" s="1244"/>
      <c r="Y547" s="1244"/>
      <c r="Z547" s="1244"/>
    </row>
    <row r="548" spans="1:26" ht="18.75" hidden="1">
      <c r="A548" s="1260"/>
      <c r="B548" s="1265"/>
      <c r="C548" s="1261"/>
      <c r="D548" s="1262"/>
      <c r="E548" s="1261" t="s">
        <v>184</v>
      </c>
      <c r="F548" s="1261"/>
      <c r="G548" s="1263"/>
      <c r="H548" s="165" t="s">
        <v>12</v>
      </c>
      <c r="I548" s="836"/>
      <c r="J548" s="836"/>
      <c r="K548" s="837"/>
      <c r="L548" s="837">
        <v>0</v>
      </c>
      <c r="M548" s="837">
        <v>0</v>
      </c>
      <c r="N548" s="837">
        <v>0</v>
      </c>
      <c r="O548" s="837">
        <f t="shared" si="237"/>
        <v>0</v>
      </c>
      <c r="P548" s="837">
        <f t="shared" si="238"/>
        <v>0</v>
      </c>
      <c r="Q548" s="1264"/>
      <c r="R548" s="1264"/>
      <c r="S548" s="1264"/>
      <c r="T548" s="1264"/>
      <c r="U548" s="1264"/>
      <c r="V548" s="1264"/>
      <c r="W548" s="1264"/>
      <c r="X548" s="1264"/>
      <c r="Y548" s="1264"/>
      <c r="Z548" s="1264"/>
    </row>
    <row r="549" spans="1:26" ht="18.75" hidden="1">
      <c r="A549" s="1260"/>
      <c r="B549" s="1265"/>
      <c r="C549" s="1261"/>
      <c r="D549" s="1262"/>
      <c r="E549" s="1261" t="s">
        <v>185</v>
      </c>
      <c r="F549" s="1261"/>
      <c r="G549" s="1263"/>
      <c r="H549" s="165" t="s">
        <v>12</v>
      </c>
      <c r="I549" s="836"/>
      <c r="J549" s="836"/>
      <c r="K549" s="837"/>
      <c r="L549" s="837">
        <f ca="1">IFERROR(__xludf.DUMMYFUNCTION("IMPORTRANGE(""https://docs.google.com/spreadsheets/d/1QqKyyYR6Q21VydFLVH3TRQUabQu_ym0Zz7PgGX0-kHA/edit?usp=sharing"",""แผน!HB19"")"),402414)</f>
        <v>402414</v>
      </c>
      <c r="M549" s="837">
        <v>0</v>
      </c>
      <c r="N549" s="837">
        <f>N550+N551+N552+N553+N554</f>
        <v>115935</v>
      </c>
      <c r="O549" s="837">
        <f t="shared" ca="1" si="237"/>
        <v>28.809882359957655</v>
      </c>
      <c r="P549" s="837">
        <f t="shared" si="238"/>
        <v>0</v>
      </c>
      <c r="Q549" s="1264"/>
      <c r="R549" s="1264"/>
      <c r="S549" s="1264"/>
      <c r="T549" s="1264"/>
      <c r="U549" s="1264"/>
      <c r="V549" s="1264"/>
      <c r="W549" s="1264"/>
      <c r="X549" s="1264"/>
      <c r="Y549" s="1264"/>
      <c r="Z549" s="1264"/>
    </row>
    <row r="550" spans="1:26" ht="18.75">
      <c r="A550" s="1241"/>
      <c r="B550" s="1242"/>
      <c r="C550" s="1243"/>
      <c r="D550" s="1243"/>
      <c r="E550" s="1243"/>
      <c r="F550" s="1243" t="s">
        <v>186</v>
      </c>
      <c r="G550" s="963"/>
      <c r="H550" s="778" t="s">
        <v>12</v>
      </c>
      <c r="I550" s="830"/>
      <c r="J550" s="830"/>
      <c r="K550" s="831"/>
      <c r="L550" s="831"/>
      <c r="M550" s="831"/>
      <c r="N550" s="1031">
        <v>0</v>
      </c>
      <c r="O550" s="831"/>
      <c r="P550" s="831"/>
      <c r="Q550" s="1244"/>
      <c r="R550" s="1244"/>
      <c r="S550" s="1244"/>
      <c r="T550" s="1244"/>
      <c r="U550" s="1244"/>
      <c r="V550" s="1244"/>
      <c r="W550" s="1244"/>
      <c r="X550" s="1244"/>
      <c r="Y550" s="1244"/>
      <c r="Z550" s="1244"/>
    </row>
    <row r="551" spans="1:26" ht="18.75">
      <c r="A551" s="1241"/>
      <c r="B551" s="1242"/>
      <c r="C551" s="1242"/>
      <c r="D551" s="1242"/>
      <c r="E551" s="1243"/>
      <c r="F551" s="1243" t="s">
        <v>187</v>
      </c>
      <c r="G551" s="963"/>
      <c r="H551" s="778" t="s">
        <v>12</v>
      </c>
      <c r="I551" s="830"/>
      <c r="J551" s="830"/>
      <c r="K551" s="831"/>
      <c r="L551" s="831"/>
      <c r="M551" s="831"/>
      <c r="N551" s="1031">
        <v>0</v>
      </c>
      <c r="O551" s="831"/>
      <c r="P551" s="831"/>
      <c r="Q551" s="1244"/>
      <c r="R551" s="1244"/>
      <c r="S551" s="1244"/>
      <c r="T551" s="1244"/>
      <c r="U551" s="1244"/>
      <c r="V551" s="1244"/>
      <c r="W551" s="1244"/>
      <c r="X551" s="1244"/>
      <c r="Y551" s="1244"/>
      <c r="Z551" s="1244"/>
    </row>
    <row r="552" spans="1:26" ht="18.75">
      <c r="A552" s="1241"/>
      <c r="B552" s="1242"/>
      <c r="C552" s="1243"/>
      <c r="D552" s="1243"/>
      <c r="E552" s="1243"/>
      <c r="F552" s="1243" t="s">
        <v>188</v>
      </c>
      <c r="G552" s="963"/>
      <c r="H552" s="778" t="s">
        <v>12</v>
      </c>
      <c r="I552" s="830"/>
      <c r="J552" s="830"/>
      <c r="K552" s="831"/>
      <c r="L552" s="831"/>
      <c r="M552" s="831"/>
      <c r="N552" s="1031">
        <v>52000</v>
      </c>
      <c r="O552" s="831"/>
      <c r="P552" s="831"/>
      <c r="Q552" s="1244"/>
      <c r="R552" s="1244"/>
      <c r="S552" s="1244"/>
      <c r="T552" s="1244"/>
      <c r="U552" s="1244"/>
      <c r="V552" s="1244"/>
      <c r="W552" s="1244"/>
      <c r="X552" s="1244"/>
      <c r="Y552" s="1244"/>
      <c r="Z552" s="1244"/>
    </row>
    <row r="553" spans="1:26" ht="18.75">
      <c r="A553" s="1241"/>
      <c r="B553" s="1242"/>
      <c r="C553" s="1242"/>
      <c r="D553" s="1242"/>
      <c r="E553" s="1243"/>
      <c r="F553" s="1243" t="s">
        <v>189</v>
      </c>
      <c r="G553" s="963"/>
      <c r="H553" s="778" t="s">
        <v>12</v>
      </c>
      <c r="I553" s="830"/>
      <c r="J553" s="830"/>
      <c r="K553" s="831"/>
      <c r="L553" s="831"/>
      <c r="M553" s="831"/>
      <c r="N553" s="1031">
        <v>63935</v>
      </c>
      <c r="O553" s="831"/>
      <c r="P553" s="831"/>
      <c r="Q553" s="1244"/>
      <c r="R553" s="1244"/>
      <c r="S553" s="1244"/>
      <c r="T553" s="1244"/>
      <c r="U553" s="1244"/>
      <c r="V553" s="1244"/>
      <c r="W553" s="1244"/>
      <c r="X553" s="1244"/>
      <c r="Y553" s="1244"/>
      <c r="Z553" s="1244"/>
    </row>
    <row r="554" spans="1:26" ht="18.75">
      <c r="A554" s="1241"/>
      <c r="B554" s="1242"/>
      <c r="C554" s="1242"/>
      <c r="D554" s="1242"/>
      <c r="E554" s="1243"/>
      <c r="F554" s="1243" t="s">
        <v>233</v>
      </c>
      <c r="G554" s="963"/>
      <c r="H554" s="778" t="s">
        <v>12</v>
      </c>
      <c r="I554" s="830"/>
      <c r="J554" s="830"/>
      <c r="K554" s="831"/>
      <c r="L554" s="831"/>
      <c r="M554" s="831"/>
      <c r="N554" s="1031">
        <v>0</v>
      </c>
      <c r="O554" s="831"/>
      <c r="P554" s="831"/>
      <c r="Q554" s="1244"/>
      <c r="R554" s="1244"/>
      <c r="S554" s="1244"/>
      <c r="T554" s="1244"/>
      <c r="U554" s="1244"/>
      <c r="V554" s="1244"/>
      <c r="W554" s="1244"/>
      <c r="X554" s="1244"/>
      <c r="Y554" s="1244"/>
      <c r="Z554" s="1244"/>
    </row>
    <row r="555" spans="1:26" ht="18.75">
      <c r="A555" s="1259"/>
      <c r="B555" s="1242"/>
      <c r="C555" s="1242"/>
      <c r="D555" s="1266" t="s">
        <v>21</v>
      </c>
      <c r="E555" s="1243"/>
      <c r="F555" s="1243"/>
      <c r="G555" s="963"/>
      <c r="H555" s="168" t="s">
        <v>12</v>
      </c>
      <c r="I555" s="944"/>
      <c r="J555" s="944"/>
      <c r="K555" s="945"/>
      <c r="L555" s="831">
        <f t="shared" ref="L555:N555" ca="1" si="242">L556+L557</f>
        <v>0</v>
      </c>
      <c r="M555" s="831">
        <f t="shared" si="242"/>
        <v>0</v>
      </c>
      <c r="N555" s="831">
        <f t="shared" si="242"/>
        <v>0</v>
      </c>
      <c r="O555" s="831">
        <f t="shared" ref="O555:O557" ca="1" si="243">IF(L555&gt;0,N555*100/L555,0)</f>
        <v>0</v>
      </c>
      <c r="P555" s="831">
        <f t="shared" ref="P555:P557" si="244">IF(M555&gt;0,N555*100/M555,0)</f>
        <v>0</v>
      </c>
      <c r="Q555" s="1244"/>
      <c r="R555" s="1244"/>
      <c r="S555" s="1244"/>
      <c r="T555" s="1244"/>
      <c r="U555" s="1244"/>
      <c r="V555" s="1244"/>
      <c r="W555" s="1244"/>
      <c r="X555" s="1244"/>
      <c r="Y555" s="1244"/>
      <c r="Z555" s="1244"/>
    </row>
    <row r="556" spans="1:26" ht="18.75" hidden="1">
      <c r="A556" s="1260"/>
      <c r="B556" s="1265"/>
      <c r="C556" s="1265"/>
      <c r="D556" s="1261"/>
      <c r="E556" s="1261" t="s">
        <v>18</v>
      </c>
      <c r="F556" s="1261"/>
      <c r="G556" s="1263"/>
      <c r="H556" s="165" t="s">
        <v>12</v>
      </c>
      <c r="I556" s="947"/>
      <c r="J556" s="947"/>
      <c r="K556" s="948"/>
      <c r="L556" s="837">
        <v>0</v>
      </c>
      <c r="M556" s="837">
        <v>0</v>
      </c>
      <c r="N556" s="837">
        <v>0</v>
      </c>
      <c r="O556" s="837">
        <f t="shared" si="243"/>
        <v>0</v>
      </c>
      <c r="P556" s="837">
        <f t="shared" si="244"/>
        <v>0</v>
      </c>
      <c r="Q556" s="1264"/>
      <c r="R556" s="1264"/>
      <c r="S556" s="1264"/>
      <c r="T556" s="1264"/>
      <c r="U556" s="1264"/>
      <c r="V556" s="1264"/>
      <c r="W556" s="1264"/>
      <c r="X556" s="1264"/>
      <c r="Y556" s="1264"/>
      <c r="Z556" s="1264"/>
    </row>
    <row r="557" spans="1:26" ht="18.75" hidden="1">
      <c r="A557" s="1260"/>
      <c r="B557" s="1265"/>
      <c r="C557" s="1265"/>
      <c r="D557" s="1261"/>
      <c r="E557" s="1261" t="s">
        <v>19</v>
      </c>
      <c r="F557" s="1261"/>
      <c r="G557" s="1263"/>
      <c r="H557" s="169" t="s">
        <v>12</v>
      </c>
      <c r="I557" s="947"/>
      <c r="J557" s="947"/>
      <c r="K557" s="948"/>
      <c r="L557" s="837">
        <f ca="1">IFERROR(__xludf.DUMMYFUNCTION("IMPORTRANGE(""https://docs.google.com/spreadsheets/d/1QqKyyYR6Q21VydFLVH3TRQUabQu_ym0Zz7PgGX0-kHA/edit?usp=sharing"",""แผน!HF19"")"),0)</f>
        <v>0</v>
      </c>
      <c r="M557" s="837">
        <v>0</v>
      </c>
      <c r="N557" s="837">
        <v>0</v>
      </c>
      <c r="O557" s="837">
        <f t="shared" ca="1" si="243"/>
        <v>0</v>
      </c>
      <c r="P557" s="837">
        <f t="shared" si="244"/>
        <v>0</v>
      </c>
      <c r="Q557" s="1264"/>
      <c r="R557" s="1264"/>
      <c r="S557" s="1264"/>
      <c r="T557" s="1264"/>
      <c r="U557" s="1264"/>
      <c r="V557" s="1264"/>
      <c r="W557" s="1264"/>
      <c r="X557" s="1264"/>
      <c r="Y557" s="1264"/>
      <c r="Z557" s="1264"/>
    </row>
    <row r="558" spans="1:26" ht="19.5">
      <c r="A558" s="1267"/>
      <c r="B558" s="1268"/>
      <c r="C558" s="1242" t="s">
        <v>16</v>
      </c>
      <c r="D558" s="1320" t="s">
        <v>38</v>
      </c>
      <c r="E558" s="1271"/>
      <c r="F558" s="1271"/>
      <c r="G558" s="1272"/>
      <c r="H558" s="954"/>
      <c r="I558" s="944"/>
      <c r="J558" s="944"/>
      <c r="K558" s="945"/>
      <c r="L558" s="945"/>
      <c r="M558" s="945"/>
      <c r="N558" s="945"/>
      <c r="O558" s="945"/>
      <c r="P558" s="945"/>
      <c r="Q558" s="1244"/>
      <c r="R558" s="1244"/>
      <c r="S558" s="1244"/>
      <c r="T558" s="1244"/>
      <c r="U558" s="1244"/>
      <c r="V558" s="1244"/>
      <c r="W558" s="1244"/>
      <c r="X558" s="1244"/>
      <c r="Y558" s="1244"/>
      <c r="Z558" s="1244"/>
    </row>
    <row r="559" spans="1:26" ht="19.5">
      <c r="A559" s="1329"/>
      <c r="B559" s="1330" t="s">
        <v>234</v>
      </c>
      <c r="C559" s="1331"/>
      <c r="D559" s="1331"/>
      <c r="E559" s="1315"/>
      <c r="F559" s="1315"/>
      <c r="G559" s="1316"/>
      <c r="H559" s="661" t="s">
        <v>46</v>
      </c>
      <c r="I559" s="1317">
        <f t="shared" ref="I559:J559" ca="1" si="245">I576</f>
        <v>41986</v>
      </c>
      <c r="J559" s="1317">
        <f t="shared" si="245"/>
        <v>0</v>
      </c>
      <c r="K559" s="1318">
        <f t="shared" ref="K559:K561" ca="1" si="246">IF(I559&gt;0,J559*100/I559,0)</f>
        <v>0</v>
      </c>
      <c r="L559" s="1319"/>
      <c r="M559" s="1319"/>
      <c r="N559" s="1319"/>
      <c r="O559" s="1319"/>
      <c r="P559" s="1319"/>
      <c r="Q559" s="1244"/>
      <c r="R559" s="1244"/>
      <c r="S559" s="1244"/>
      <c r="T559" s="1244"/>
      <c r="U559" s="1244"/>
      <c r="V559" s="1244"/>
      <c r="W559" s="1244"/>
      <c r="X559" s="1244"/>
      <c r="Y559" s="1244"/>
      <c r="Z559" s="1244"/>
    </row>
    <row r="560" spans="1:26" ht="19.5">
      <c r="A560" s="1267"/>
      <c r="B560" s="1268"/>
      <c r="C560" s="1277" t="s">
        <v>235</v>
      </c>
      <c r="D560" s="1268"/>
      <c r="E560" s="961"/>
      <c r="F560" s="961"/>
      <c r="G560" s="954"/>
      <c r="H560" s="733" t="s">
        <v>46</v>
      </c>
      <c r="I560" s="965">
        <f ca="1">IFERROR(__xludf.DUMMYFUNCTION("IMPORTRANGE(""https://docs.google.com/spreadsheets/d/1QqKyyYR6Q21VydFLVH3TRQUabQu_ym0Zz7PgGX0-kHA/edit?usp=sharing"",""แผน!HH19"")"),41986)</f>
        <v>41986</v>
      </c>
      <c r="J560" s="965">
        <f t="shared" ref="J560:J561" si="247">J562+J564+J566</f>
        <v>34072</v>
      </c>
      <c r="K560" s="1109">
        <f t="shared" ca="1" si="246"/>
        <v>81.150859810412996</v>
      </c>
      <c r="L560" s="945"/>
      <c r="M560" s="945"/>
      <c r="N560" s="945"/>
      <c r="O560" s="945"/>
      <c r="P560" s="945"/>
      <c r="Q560" s="1244"/>
      <c r="R560" s="1244"/>
      <c r="S560" s="1244"/>
      <c r="T560" s="1244"/>
      <c r="U560" s="1244"/>
      <c r="V560" s="1244"/>
      <c r="W560" s="1244"/>
      <c r="X560" s="1244"/>
      <c r="Y560" s="1244"/>
      <c r="Z560" s="1244"/>
    </row>
    <row r="561" spans="1:26" ht="19.5">
      <c r="A561" s="1267"/>
      <c r="B561" s="1268"/>
      <c r="C561" s="1268"/>
      <c r="D561" s="961"/>
      <c r="E561" s="961"/>
      <c r="F561" s="961"/>
      <c r="G561" s="954"/>
      <c r="H561" s="733" t="s">
        <v>34</v>
      </c>
      <c r="I561" s="965">
        <f ca="1">IFERROR(__xludf.DUMMYFUNCTION("IMPORTRANGE(""https://docs.google.com/spreadsheets/d/1QqKyyYR6Q21VydFLVH3TRQUabQu_ym0Zz7PgGX0-kHA/edit?usp=sharing"",""แผน!HG19"")"),12241)</f>
        <v>12241</v>
      </c>
      <c r="J561" s="965">
        <f t="shared" si="247"/>
        <v>12032</v>
      </c>
      <c r="K561" s="1109">
        <f t="shared" ca="1" si="246"/>
        <v>98.292623151703296</v>
      </c>
      <c r="L561" s="945"/>
      <c r="M561" s="945"/>
      <c r="N561" s="945"/>
      <c r="O561" s="945"/>
      <c r="P561" s="945"/>
      <c r="Q561" s="1244"/>
      <c r="R561" s="1244"/>
      <c r="S561" s="1244"/>
      <c r="T561" s="1244"/>
      <c r="U561" s="1244"/>
      <c r="V561" s="1244"/>
      <c r="W561" s="1244"/>
      <c r="X561" s="1244"/>
      <c r="Y561" s="1244"/>
      <c r="Z561" s="1244"/>
    </row>
    <row r="562" spans="1:26" ht="18.75">
      <c r="A562" s="1267"/>
      <c r="B562" s="1268"/>
      <c r="C562" s="1268"/>
      <c r="D562" s="961" t="s">
        <v>236</v>
      </c>
      <c r="E562" s="961"/>
      <c r="F562" s="961"/>
      <c r="G562" s="954"/>
      <c r="H562" s="730" t="s">
        <v>46</v>
      </c>
      <c r="I562" s="944"/>
      <c r="J562" s="959">
        <v>30434</v>
      </c>
      <c r="K562" s="945"/>
      <c r="L562" s="945"/>
      <c r="M562" s="945"/>
      <c r="N562" s="945"/>
      <c r="O562" s="945"/>
      <c r="P562" s="945"/>
      <c r="Q562" s="1244"/>
      <c r="R562" s="1244"/>
      <c r="S562" s="1244"/>
      <c r="T562" s="1244"/>
      <c r="U562" s="1244"/>
      <c r="V562" s="1244"/>
      <c r="W562" s="1244"/>
      <c r="X562" s="1244"/>
      <c r="Y562" s="1244"/>
      <c r="Z562" s="1244"/>
    </row>
    <row r="563" spans="1:26" ht="18.75">
      <c r="A563" s="1267"/>
      <c r="B563" s="1268"/>
      <c r="C563" s="1268"/>
      <c r="D563" s="1268"/>
      <c r="E563" s="961"/>
      <c r="F563" s="961"/>
      <c r="G563" s="954"/>
      <c r="H563" s="730" t="s">
        <v>34</v>
      </c>
      <c r="I563" s="944"/>
      <c r="J563" s="959">
        <v>9217</v>
      </c>
      <c r="K563" s="945"/>
      <c r="L563" s="945"/>
      <c r="M563" s="945"/>
      <c r="N563" s="945"/>
      <c r="O563" s="945"/>
      <c r="P563" s="945"/>
      <c r="Q563" s="1244"/>
      <c r="R563" s="1244"/>
      <c r="S563" s="1244"/>
      <c r="T563" s="1244"/>
      <c r="U563" s="1244"/>
      <c r="V563" s="1244"/>
      <c r="W563" s="1244"/>
      <c r="X563" s="1244"/>
      <c r="Y563" s="1244"/>
      <c r="Z563" s="1244"/>
    </row>
    <row r="564" spans="1:26" ht="18.75">
      <c r="A564" s="1267"/>
      <c r="B564" s="1268"/>
      <c r="C564" s="1268"/>
      <c r="D564" s="961" t="s">
        <v>237</v>
      </c>
      <c r="E564" s="961"/>
      <c r="F564" s="961"/>
      <c r="G564" s="954"/>
      <c r="H564" s="730" t="s">
        <v>46</v>
      </c>
      <c r="I564" s="944"/>
      <c r="J564" s="959">
        <v>2931</v>
      </c>
      <c r="K564" s="945"/>
      <c r="L564" s="945"/>
      <c r="M564" s="945"/>
      <c r="N564" s="945"/>
      <c r="O564" s="945"/>
      <c r="P564" s="945"/>
      <c r="Q564" s="1244"/>
      <c r="R564" s="1244"/>
      <c r="S564" s="1244"/>
      <c r="T564" s="1244"/>
      <c r="U564" s="1244"/>
      <c r="V564" s="1244"/>
      <c r="W564" s="1244"/>
      <c r="X564" s="1244"/>
      <c r="Y564" s="1244"/>
      <c r="Z564" s="1244"/>
    </row>
    <row r="565" spans="1:26" ht="18.75">
      <c r="A565" s="1267"/>
      <c r="B565" s="1268"/>
      <c r="C565" s="1268"/>
      <c r="D565" s="961"/>
      <c r="E565" s="961"/>
      <c r="F565" s="961"/>
      <c r="G565" s="954"/>
      <c r="H565" s="730" t="s">
        <v>34</v>
      </c>
      <c r="I565" s="944"/>
      <c r="J565" s="959">
        <v>557</v>
      </c>
      <c r="K565" s="945"/>
      <c r="L565" s="945"/>
      <c r="M565" s="945"/>
      <c r="N565" s="945"/>
      <c r="O565" s="945"/>
      <c r="P565" s="945"/>
      <c r="Q565" s="1244"/>
      <c r="R565" s="1244"/>
      <c r="S565" s="1244"/>
      <c r="T565" s="1244"/>
      <c r="U565" s="1244"/>
      <c r="V565" s="1244"/>
      <c r="W565" s="1244"/>
      <c r="X565" s="1244"/>
      <c r="Y565" s="1244"/>
      <c r="Z565" s="1244"/>
    </row>
    <row r="566" spans="1:26" ht="18.75">
      <c r="A566" s="1267"/>
      <c r="B566" s="1268"/>
      <c r="C566" s="1268"/>
      <c r="D566" s="961" t="s">
        <v>238</v>
      </c>
      <c r="E566" s="961"/>
      <c r="F566" s="961"/>
      <c r="G566" s="954"/>
      <c r="H566" s="730" t="s">
        <v>46</v>
      </c>
      <c r="I566" s="944"/>
      <c r="J566" s="959">
        <v>707</v>
      </c>
      <c r="K566" s="945"/>
      <c r="L566" s="945"/>
      <c r="M566" s="945"/>
      <c r="N566" s="945"/>
      <c r="O566" s="945"/>
      <c r="P566" s="945"/>
      <c r="Q566" s="1244"/>
      <c r="R566" s="1244"/>
      <c r="S566" s="1244"/>
      <c r="T566" s="1244"/>
      <c r="U566" s="1244"/>
      <c r="V566" s="1244"/>
      <c r="W566" s="1244"/>
      <c r="X566" s="1244"/>
      <c r="Y566" s="1244"/>
      <c r="Z566" s="1244"/>
    </row>
    <row r="567" spans="1:26" ht="18.75">
      <c r="A567" s="1267"/>
      <c r="B567" s="1268"/>
      <c r="C567" s="1268"/>
      <c r="D567" s="961"/>
      <c r="E567" s="961"/>
      <c r="F567" s="961"/>
      <c r="G567" s="954"/>
      <c r="H567" s="730" t="s">
        <v>34</v>
      </c>
      <c r="I567" s="944"/>
      <c r="J567" s="959">
        <v>2258</v>
      </c>
      <c r="K567" s="945"/>
      <c r="L567" s="945"/>
      <c r="M567" s="945"/>
      <c r="N567" s="945"/>
      <c r="O567" s="945"/>
      <c r="P567" s="945"/>
      <c r="Q567" s="1244"/>
      <c r="R567" s="1244"/>
      <c r="S567" s="1244"/>
      <c r="T567" s="1244"/>
      <c r="U567" s="1244"/>
      <c r="V567" s="1244"/>
      <c r="W567" s="1244"/>
      <c r="X567" s="1244"/>
      <c r="Y567" s="1244"/>
      <c r="Z567" s="1244"/>
    </row>
    <row r="568" spans="1:26" ht="19.5">
      <c r="A568" s="1267"/>
      <c r="B568" s="1268"/>
      <c r="C568" s="1277" t="s">
        <v>239</v>
      </c>
      <c r="D568" s="961"/>
      <c r="E568" s="961"/>
      <c r="F568" s="961"/>
      <c r="G568" s="954"/>
      <c r="H568" s="733" t="s">
        <v>46</v>
      </c>
      <c r="I568" s="965">
        <f ca="1">IFERROR(__xludf.DUMMYFUNCTION("IMPORTRANGE(""https://docs.google.com/spreadsheets/d/1QqKyyYR6Q21VydFLVH3TRQUabQu_ym0Zz7PgGX0-kHA/edit?usp=sharing"",""แผน!HH19"")"),41986)</f>
        <v>41986</v>
      </c>
      <c r="J568" s="966">
        <f t="shared" ref="J568:J569" si="248">J570+J572+J574</f>
        <v>0</v>
      </c>
      <c r="K568" s="1109">
        <f t="shared" ref="K568:K569" ca="1" si="249">IF(I568&gt;0,J568*100/I568,0)</f>
        <v>0</v>
      </c>
      <c r="L568" s="945"/>
      <c r="M568" s="945"/>
      <c r="N568" s="945"/>
      <c r="O568" s="945"/>
      <c r="P568" s="945"/>
      <c r="Q568" s="1244"/>
      <c r="R568" s="1244"/>
      <c r="S568" s="1244"/>
      <c r="T568" s="1244"/>
      <c r="U568" s="1244"/>
      <c r="V568" s="1244"/>
      <c r="W568" s="1244"/>
      <c r="X568" s="1244"/>
      <c r="Y568" s="1244"/>
      <c r="Z568" s="1244"/>
    </row>
    <row r="569" spans="1:26" ht="19.5">
      <c r="A569" s="1267"/>
      <c r="B569" s="1268"/>
      <c r="C569" s="1268"/>
      <c r="D569" s="1268"/>
      <c r="E569" s="961"/>
      <c r="F569" s="961"/>
      <c r="G569" s="954"/>
      <c r="H569" s="733" t="s">
        <v>34</v>
      </c>
      <c r="I569" s="965">
        <f ca="1">IFERROR(__xludf.DUMMYFUNCTION("IMPORTRANGE(""https://docs.google.com/spreadsheets/d/1QqKyyYR6Q21VydFLVH3TRQUabQu_ym0Zz7PgGX0-kHA/edit?usp=sharing"",""แผน!HG19"")"),12241)</f>
        <v>12241</v>
      </c>
      <c r="J569" s="966">
        <f t="shared" si="248"/>
        <v>0</v>
      </c>
      <c r="K569" s="1109">
        <f t="shared" ca="1" si="249"/>
        <v>0</v>
      </c>
      <c r="L569" s="945"/>
      <c r="M569" s="945"/>
      <c r="N569" s="945"/>
      <c r="O569" s="945"/>
      <c r="P569" s="945"/>
      <c r="Q569" s="1244"/>
      <c r="R569" s="1244"/>
      <c r="S569" s="1244"/>
      <c r="T569" s="1244"/>
      <c r="U569" s="1244"/>
      <c r="V569" s="1244"/>
      <c r="W569" s="1244"/>
      <c r="X569" s="1244"/>
      <c r="Y569" s="1244"/>
      <c r="Z569" s="1244"/>
    </row>
    <row r="570" spans="1:26" ht="18.75">
      <c r="A570" s="1267"/>
      <c r="B570" s="1268"/>
      <c r="C570" s="1268"/>
      <c r="D570" s="961" t="s">
        <v>240</v>
      </c>
      <c r="E570" s="1268"/>
      <c r="F570" s="961"/>
      <c r="G570" s="954"/>
      <c r="H570" s="730" t="s">
        <v>46</v>
      </c>
      <c r="I570" s="944"/>
      <c r="J570" s="959">
        <v>0</v>
      </c>
      <c r="K570" s="945"/>
      <c r="L570" s="945"/>
      <c r="M570" s="945"/>
      <c r="N570" s="945"/>
      <c r="O570" s="945"/>
      <c r="P570" s="945"/>
      <c r="Q570" s="1244"/>
      <c r="R570" s="1244"/>
      <c r="S570" s="1244"/>
      <c r="T570" s="1244"/>
      <c r="U570" s="1244"/>
      <c r="V570" s="1244"/>
      <c r="W570" s="1244"/>
      <c r="X570" s="1244"/>
      <c r="Y570" s="1244"/>
      <c r="Z570" s="1244"/>
    </row>
    <row r="571" spans="1:26" ht="18.75">
      <c r="A571" s="1267"/>
      <c r="B571" s="1268"/>
      <c r="C571" s="1268"/>
      <c r="D571" s="1268"/>
      <c r="E571" s="961"/>
      <c r="F571" s="961"/>
      <c r="G571" s="954"/>
      <c r="H571" s="730" t="s">
        <v>34</v>
      </c>
      <c r="I571" s="944"/>
      <c r="J571" s="959">
        <v>0</v>
      </c>
      <c r="K571" s="945"/>
      <c r="L571" s="945"/>
      <c r="M571" s="945"/>
      <c r="N571" s="945"/>
      <c r="O571" s="945"/>
      <c r="P571" s="945"/>
      <c r="Q571" s="1244"/>
      <c r="R571" s="1244"/>
      <c r="S571" s="1244"/>
      <c r="T571" s="1244"/>
      <c r="U571" s="1244"/>
      <c r="V571" s="1244"/>
      <c r="W571" s="1244"/>
      <c r="X571" s="1244"/>
      <c r="Y571" s="1244"/>
      <c r="Z571" s="1244"/>
    </row>
    <row r="572" spans="1:26" ht="18.75">
      <c r="A572" s="1267"/>
      <c r="B572" s="1268"/>
      <c r="C572" s="1268"/>
      <c r="D572" s="961" t="s">
        <v>241</v>
      </c>
      <c r="E572" s="961"/>
      <c r="F572" s="961"/>
      <c r="G572" s="954"/>
      <c r="H572" s="730" t="s">
        <v>46</v>
      </c>
      <c r="I572" s="944"/>
      <c r="J572" s="959">
        <v>0</v>
      </c>
      <c r="K572" s="945"/>
      <c r="L572" s="945"/>
      <c r="M572" s="945"/>
      <c r="N572" s="945"/>
      <c r="O572" s="945"/>
      <c r="P572" s="945"/>
      <c r="Q572" s="1244"/>
      <c r="R572" s="1244"/>
      <c r="S572" s="1244"/>
      <c r="T572" s="1244"/>
      <c r="U572" s="1244"/>
      <c r="V572" s="1244"/>
      <c r="W572" s="1244"/>
      <c r="X572" s="1244"/>
      <c r="Y572" s="1244"/>
      <c r="Z572" s="1244"/>
    </row>
    <row r="573" spans="1:26" ht="18.75">
      <c r="A573" s="1267"/>
      <c r="B573" s="1268"/>
      <c r="C573" s="1268"/>
      <c r="D573" s="961"/>
      <c r="E573" s="961"/>
      <c r="F573" s="961"/>
      <c r="G573" s="954"/>
      <c r="H573" s="730" t="s">
        <v>34</v>
      </c>
      <c r="I573" s="944"/>
      <c r="J573" s="959">
        <v>0</v>
      </c>
      <c r="K573" s="945"/>
      <c r="L573" s="945"/>
      <c r="M573" s="945"/>
      <c r="N573" s="945"/>
      <c r="O573" s="945"/>
      <c r="P573" s="945"/>
      <c r="Q573" s="1244"/>
      <c r="R573" s="1244"/>
      <c r="S573" s="1244"/>
      <c r="T573" s="1244"/>
      <c r="U573" s="1244"/>
      <c r="V573" s="1244"/>
      <c r="W573" s="1244"/>
      <c r="X573" s="1244"/>
      <c r="Y573" s="1244"/>
      <c r="Z573" s="1244"/>
    </row>
    <row r="574" spans="1:26" ht="18.75">
      <c r="A574" s="1267"/>
      <c r="B574" s="1268"/>
      <c r="C574" s="1268"/>
      <c r="D574" s="961" t="s">
        <v>242</v>
      </c>
      <c r="E574" s="961"/>
      <c r="F574" s="961"/>
      <c r="G574" s="954"/>
      <c r="H574" s="730" t="s">
        <v>46</v>
      </c>
      <c r="I574" s="944"/>
      <c r="J574" s="959">
        <v>0</v>
      </c>
      <c r="K574" s="945"/>
      <c r="L574" s="945"/>
      <c r="M574" s="945"/>
      <c r="N574" s="945"/>
      <c r="O574" s="945"/>
      <c r="P574" s="945"/>
      <c r="Q574" s="1244"/>
      <c r="R574" s="1244"/>
      <c r="S574" s="1244"/>
      <c r="T574" s="1244"/>
      <c r="U574" s="1244"/>
      <c r="V574" s="1244"/>
      <c r="W574" s="1244"/>
      <c r="X574" s="1244"/>
      <c r="Y574" s="1244"/>
      <c r="Z574" s="1244"/>
    </row>
    <row r="575" spans="1:26" ht="18.75">
      <c r="A575" s="1267"/>
      <c r="B575" s="1268"/>
      <c r="C575" s="1268"/>
      <c r="D575" s="1268"/>
      <c r="E575" s="961"/>
      <c r="F575" s="961"/>
      <c r="G575" s="954"/>
      <c r="H575" s="730" t="s">
        <v>34</v>
      </c>
      <c r="I575" s="944"/>
      <c r="J575" s="959">
        <v>0</v>
      </c>
      <c r="K575" s="945"/>
      <c r="L575" s="945"/>
      <c r="M575" s="945"/>
      <c r="N575" s="945"/>
      <c r="O575" s="945"/>
      <c r="P575" s="945"/>
      <c r="Q575" s="1244"/>
      <c r="R575" s="1244"/>
      <c r="S575" s="1244"/>
      <c r="T575" s="1244"/>
      <c r="U575" s="1244"/>
      <c r="V575" s="1244"/>
      <c r="W575" s="1244"/>
      <c r="X575" s="1244"/>
      <c r="Y575" s="1244"/>
      <c r="Z575" s="1244"/>
    </row>
    <row r="576" spans="1:26" ht="19.5">
      <c r="A576" s="1267"/>
      <c r="B576" s="1268"/>
      <c r="C576" s="1277" t="s">
        <v>243</v>
      </c>
      <c r="D576" s="1268"/>
      <c r="E576" s="1268"/>
      <c r="F576" s="961"/>
      <c r="G576" s="954"/>
      <c r="H576" s="733" t="s">
        <v>46</v>
      </c>
      <c r="I576" s="965">
        <f ca="1">IFERROR(__xludf.DUMMYFUNCTION("IMPORTRANGE(""https://docs.google.com/spreadsheets/d/1QqKyyYR6Q21VydFLVH3TRQUabQu_ym0Zz7PgGX0-kHA/edit?usp=sharing"",""แผน!HH19"")"),41986)</f>
        <v>41986</v>
      </c>
      <c r="J576" s="966">
        <f t="shared" ref="J576:J577" si="250">J578+J580+J582+J588+J590</f>
        <v>0</v>
      </c>
      <c r="K576" s="1109">
        <f t="shared" ref="K576:K577" ca="1" si="251">IF(I576&gt;0,J576*100/I576,0)</f>
        <v>0</v>
      </c>
      <c r="L576" s="945"/>
      <c r="M576" s="945"/>
      <c r="N576" s="945"/>
      <c r="O576" s="945"/>
      <c r="P576" s="945"/>
      <c r="Q576" s="1244"/>
      <c r="R576" s="1244"/>
      <c r="S576" s="1244"/>
      <c r="T576" s="1244"/>
      <c r="U576" s="1244"/>
      <c r="V576" s="1244"/>
      <c r="W576" s="1244"/>
      <c r="X576" s="1244"/>
      <c r="Y576" s="1244"/>
      <c r="Z576" s="1244"/>
    </row>
    <row r="577" spans="1:26" ht="19.5">
      <c r="A577" s="1267"/>
      <c r="B577" s="1268"/>
      <c r="C577" s="1268"/>
      <c r="D577" s="1268"/>
      <c r="E577" s="961"/>
      <c r="F577" s="961"/>
      <c r="G577" s="954"/>
      <c r="H577" s="733" t="s">
        <v>34</v>
      </c>
      <c r="I577" s="965">
        <f ca="1">IFERROR(__xludf.DUMMYFUNCTION("IMPORTRANGE(""https://docs.google.com/spreadsheets/d/1QqKyyYR6Q21VydFLVH3TRQUabQu_ym0Zz7PgGX0-kHA/edit?usp=sharing"",""แผน!HG19"")"),12241)</f>
        <v>12241</v>
      </c>
      <c r="J577" s="966">
        <f t="shared" si="250"/>
        <v>0</v>
      </c>
      <c r="K577" s="1109">
        <f t="shared" ca="1" si="251"/>
        <v>0</v>
      </c>
      <c r="L577" s="945"/>
      <c r="M577" s="945"/>
      <c r="N577" s="945"/>
      <c r="O577" s="945"/>
      <c r="P577" s="945"/>
      <c r="Q577" s="1244"/>
      <c r="R577" s="1244"/>
      <c r="S577" s="1244"/>
      <c r="T577" s="1244"/>
      <c r="U577" s="1244"/>
      <c r="V577" s="1244"/>
      <c r="W577" s="1244"/>
      <c r="X577" s="1244"/>
      <c r="Y577" s="1244"/>
      <c r="Z577" s="1244"/>
    </row>
    <row r="578" spans="1:26" ht="18.75">
      <c r="A578" s="1267"/>
      <c r="B578" s="1268"/>
      <c r="C578" s="1268"/>
      <c r="D578" s="961" t="s">
        <v>244</v>
      </c>
      <c r="E578" s="961"/>
      <c r="F578" s="961"/>
      <c r="G578" s="954"/>
      <c r="H578" s="730" t="s">
        <v>46</v>
      </c>
      <c r="I578" s="944"/>
      <c r="J578" s="959">
        <v>0</v>
      </c>
      <c r="K578" s="945"/>
      <c r="L578" s="945"/>
      <c r="M578" s="945"/>
      <c r="N578" s="945"/>
      <c r="O578" s="945"/>
      <c r="P578" s="945"/>
      <c r="Q578" s="1244"/>
      <c r="R578" s="1244"/>
      <c r="S578" s="1244"/>
      <c r="T578" s="1244"/>
      <c r="U578" s="1244"/>
      <c r="V578" s="1244"/>
      <c r="W578" s="1244"/>
      <c r="X578" s="1244"/>
      <c r="Y578" s="1244"/>
      <c r="Z578" s="1244"/>
    </row>
    <row r="579" spans="1:26" ht="18.75">
      <c r="A579" s="1267"/>
      <c r="B579" s="1268"/>
      <c r="C579" s="1268"/>
      <c r="D579" s="1268"/>
      <c r="E579" s="961"/>
      <c r="F579" s="961"/>
      <c r="G579" s="954"/>
      <c r="H579" s="730" t="s">
        <v>34</v>
      </c>
      <c r="I579" s="944"/>
      <c r="J579" s="959">
        <v>0</v>
      </c>
      <c r="K579" s="945"/>
      <c r="L579" s="945"/>
      <c r="M579" s="945"/>
      <c r="N579" s="945"/>
      <c r="O579" s="945"/>
      <c r="P579" s="945"/>
      <c r="Q579" s="1244"/>
      <c r="R579" s="1244"/>
      <c r="S579" s="1244"/>
      <c r="T579" s="1244"/>
      <c r="U579" s="1244"/>
      <c r="V579" s="1244"/>
      <c r="W579" s="1244"/>
      <c r="X579" s="1244"/>
      <c r="Y579" s="1244"/>
      <c r="Z579" s="1244"/>
    </row>
    <row r="580" spans="1:26" ht="18.75">
      <c r="A580" s="1267"/>
      <c r="B580" s="1268"/>
      <c r="C580" s="1268"/>
      <c r="D580" s="961" t="s">
        <v>245</v>
      </c>
      <c r="E580" s="961"/>
      <c r="F580" s="961"/>
      <c r="G580" s="954"/>
      <c r="H580" s="730" t="s">
        <v>46</v>
      </c>
      <c r="I580" s="944"/>
      <c r="J580" s="959">
        <v>0</v>
      </c>
      <c r="K580" s="945"/>
      <c r="L580" s="945"/>
      <c r="M580" s="945"/>
      <c r="N580" s="945"/>
      <c r="O580" s="945"/>
      <c r="P580" s="945"/>
      <c r="Q580" s="1244"/>
      <c r="R580" s="1244"/>
      <c r="S580" s="1244"/>
      <c r="T580" s="1244"/>
      <c r="U580" s="1244"/>
      <c r="V580" s="1244"/>
      <c r="W580" s="1244"/>
      <c r="X580" s="1244"/>
      <c r="Y580" s="1244"/>
      <c r="Z580" s="1244"/>
    </row>
    <row r="581" spans="1:26" ht="18.75">
      <c r="A581" s="1267"/>
      <c r="B581" s="1268"/>
      <c r="C581" s="1268"/>
      <c r="D581" s="1268"/>
      <c r="E581" s="961"/>
      <c r="F581" s="961"/>
      <c r="G581" s="954"/>
      <c r="H581" s="730" t="s">
        <v>34</v>
      </c>
      <c r="I581" s="944"/>
      <c r="J581" s="959">
        <v>0</v>
      </c>
      <c r="K581" s="945"/>
      <c r="L581" s="945"/>
      <c r="M581" s="945"/>
      <c r="N581" s="945"/>
      <c r="O581" s="945"/>
      <c r="P581" s="945"/>
      <c r="Q581" s="1244"/>
      <c r="R581" s="1244"/>
      <c r="S581" s="1244"/>
      <c r="T581" s="1244"/>
      <c r="U581" s="1244"/>
      <c r="V581" s="1244"/>
      <c r="W581" s="1244"/>
      <c r="X581" s="1244"/>
      <c r="Y581" s="1244"/>
      <c r="Z581" s="1244"/>
    </row>
    <row r="582" spans="1:26" ht="19.5">
      <c r="A582" s="1267"/>
      <c r="B582" s="1268"/>
      <c r="C582" s="1268"/>
      <c r="D582" s="961" t="s">
        <v>246</v>
      </c>
      <c r="E582" s="961"/>
      <c r="F582" s="961"/>
      <c r="G582" s="954"/>
      <c r="H582" s="730" t="s">
        <v>46</v>
      </c>
      <c r="I582" s="944"/>
      <c r="J582" s="966">
        <f t="shared" ref="J582:J583" si="252">J584+J586</f>
        <v>0</v>
      </c>
      <c r="K582" s="1109"/>
      <c r="L582" s="945"/>
      <c r="M582" s="945"/>
      <c r="N582" s="945"/>
      <c r="O582" s="945"/>
      <c r="P582" s="945"/>
      <c r="Q582" s="1244"/>
      <c r="R582" s="1244"/>
      <c r="S582" s="1244"/>
      <c r="T582" s="1244"/>
      <c r="U582" s="1244"/>
      <c r="V582" s="1244"/>
      <c r="W582" s="1244"/>
      <c r="X582" s="1244"/>
      <c r="Y582" s="1244"/>
      <c r="Z582" s="1244"/>
    </row>
    <row r="583" spans="1:26" ht="19.5">
      <c r="A583" s="1267"/>
      <c r="B583" s="1268"/>
      <c r="C583" s="1268"/>
      <c r="D583" s="1268"/>
      <c r="E583" s="961"/>
      <c r="F583" s="961"/>
      <c r="G583" s="954"/>
      <c r="H583" s="730" t="s">
        <v>34</v>
      </c>
      <c r="I583" s="944"/>
      <c r="J583" s="966">
        <f t="shared" si="252"/>
        <v>0</v>
      </c>
      <c r="K583" s="1109"/>
      <c r="L583" s="945"/>
      <c r="M583" s="945"/>
      <c r="N583" s="945"/>
      <c r="O583" s="945"/>
      <c r="P583" s="945"/>
      <c r="Q583" s="1244"/>
      <c r="R583" s="1244"/>
      <c r="S583" s="1244"/>
      <c r="T583" s="1244"/>
      <c r="U583" s="1244"/>
      <c r="V583" s="1244"/>
      <c r="W583" s="1244"/>
      <c r="X583" s="1244"/>
      <c r="Y583" s="1244"/>
      <c r="Z583" s="1244"/>
    </row>
    <row r="584" spans="1:26" ht="18.75">
      <c r="A584" s="1267"/>
      <c r="B584" s="1268"/>
      <c r="C584" s="1268"/>
      <c r="D584" s="1268"/>
      <c r="E584" s="961" t="s">
        <v>247</v>
      </c>
      <c r="F584" s="961"/>
      <c r="G584" s="954"/>
      <c r="H584" s="730" t="s">
        <v>46</v>
      </c>
      <c r="I584" s="944"/>
      <c r="J584" s="959">
        <v>0</v>
      </c>
      <c r="K584" s="945"/>
      <c r="L584" s="945"/>
      <c r="M584" s="945"/>
      <c r="N584" s="945"/>
      <c r="O584" s="945"/>
      <c r="P584" s="945"/>
      <c r="Q584" s="1244"/>
      <c r="R584" s="1244"/>
      <c r="S584" s="1244"/>
      <c r="T584" s="1244"/>
      <c r="U584" s="1244"/>
      <c r="V584" s="1244"/>
      <c r="W584" s="1244"/>
      <c r="X584" s="1244"/>
      <c r="Y584" s="1244"/>
      <c r="Z584" s="1244"/>
    </row>
    <row r="585" spans="1:26" ht="18.75">
      <c r="A585" s="1267"/>
      <c r="B585" s="1268"/>
      <c r="C585" s="1268"/>
      <c r="D585" s="1268"/>
      <c r="E585" s="961"/>
      <c r="F585" s="961"/>
      <c r="G585" s="954"/>
      <c r="H585" s="730" t="s">
        <v>34</v>
      </c>
      <c r="I585" s="944"/>
      <c r="J585" s="959">
        <v>0</v>
      </c>
      <c r="K585" s="945"/>
      <c r="L585" s="945"/>
      <c r="M585" s="945"/>
      <c r="N585" s="945"/>
      <c r="O585" s="945"/>
      <c r="P585" s="945"/>
      <c r="Q585" s="1244"/>
      <c r="R585" s="1244"/>
      <c r="S585" s="1244"/>
      <c r="T585" s="1244"/>
      <c r="U585" s="1244"/>
      <c r="V585" s="1244"/>
      <c r="W585" s="1244"/>
      <c r="X585" s="1244"/>
      <c r="Y585" s="1244"/>
      <c r="Z585" s="1244"/>
    </row>
    <row r="586" spans="1:26" ht="18.75">
      <c r="A586" s="1267"/>
      <c r="B586" s="1268"/>
      <c r="C586" s="1268"/>
      <c r="D586" s="1268"/>
      <c r="E586" s="961" t="s">
        <v>248</v>
      </c>
      <c r="F586" s="961"/>
      <c r="G586" s="954"/>
      <c r="H586" s="730" t="s">
        <v>46</v>
      </c>
      <c r="I586" s="944"/>
      <c r="J586" s="959">
        <v>0</v>
      </c>
      <c r="K586" s="945"/>
      <c r="L586" s="945"/>
      <c r="M586" s="945"/>
      <c r="N586" s="945"/>
      <c r="O586" s="945"/>
      <c r="P586" s="945"/>
      <c r="Q586" s="1244"/>
      <c r="R586" s="1244"/>
      <c r="S586" s="1244"/>
      <c r="T586" s="1244"/>
      <c r="U586" s="1244"/>
      <c r="V586" s="1244"/>
      <c r="W586" s="1244"/>
      <c r="X586" s="1244"/>
      <c r="Y586" s="1244"/>
      <c r="Z586" s="1244"/>
    </row>
    <row r="587" spans="1:26" ht="18.75">
      <c r="A587" s="1267"/>
      <c r="B587" s="1268"/>
      <c r="C587" s="1268"/>
      <c r="D587" s="1268"/>
      <c r="E587" s="1268"/>
      <c r="F587" s="961"/>
      <c r="G587" s="954"/>
      <c r="H587" s="730" t="s">
        <v>34</v>
      </c>
      <c r="I587" s="944"/>
      <c r="J587" s="959">
        <v>0</v>
      </c>
      <c r="K587" s="945"/>
      <c r="L587" s="945"/>
      <c r="M587" s="945"/>
      <c r="N587" s="945"/>
      <c r="O587" s="945"/>
      <c r="P587" s="945"/>
      <c r="Q587" s="1244"/>
      <c r="R587" s="1244"/>
      <c r="S587" s="1244"/>
      <c r="T587" s="1244"/>
      <c r="U587" s="1244"/>
      <c r="V587" s="1244"/>
      <c r="W587" s="1244"/>
      <c r="X587" s="1244"/>
      <c r="Y587" s="1244"/>
      <c r="Z587" s="1244"/>
    </row>
    <row r="588" spans="1:26" ht="18.75">
      <c r="A588" s="1267"/>
      <c r="B588" s="1268"/>
      <c r="C588" s="1268"/>
      <c r="D588" s="961" t="s">
        <v>249</v>
      </c>
      <c r="E588" s="961"/>
      <c r="F588" s="961"/>
      <c r="G588" s="954"/>
      <c r="H588" s="730" t="s">
        <v>46</v>
      </c>
      <c r="I588" s="944"/>
      <c r="J588" s="959">
        <v>0</v>
      </c>
      <c r="K588" s="945"/>
      <c r="L588" s="945"/>
      <c r="M588" s="945"/>
      <c r="N588" s="945"/>
      <c r="O588" s="945"/>
      <c r="P588" s="945"/>
      <c r="Q588" s="1244"/>
      <c r="R588" s="1244"/>
      <c r="S588" s="1244"/>
      <c r="T588" s="1244"/>
      <c r="U588" s="1244"/>
      <c r="V588" s="1244"/>
      <c r="W588" s="1244"/>
      <c r="X588" s="1244"/>
      <c r="Y588" s="1244"/>
      <c r="Z588" s="1244"/>
    </row>
    <row r="589" spans="1:26" ht="18.75">
      <c r="A589" s="1267"/>
      <c r="B589" s="1268"/>
      <c r="C589" s="1268"/>
      <c r="D589" s="1268"/>
      <c r="E589" s="1268"/>
      <c r="F589" s="961"/>
      <c r="G589" s="954"/>
      <c r="H589" s="730" t="s">
        <v>34</v>
      </c>
      <c r="I589" s="944"/>
      <c r="J589" s="959">
        <v>0</v>
      </c>
      <c r="K589" s="945"/>
      <c r="L589" s="945"/>
      <c r="M589" s="945"/>
      <c r="N589" s="945"/>
      <c r="O589" s="945"/>
      <c r="P589" s="945"/>
      <c r="Q589" s="1244"/>
      <c r="R589" s="1244"/>
      <c r="S589" s="1244"/>
      <c r="T589" s="1244"/>
      <c r="U589" s="1244"/>
      <c r="V589" s="1244"/>
      <c r="W589" s="1244"/>
      <c r="X589" s="1244"/>
      <c r="Y589" s="1244"/>
      <c r="Z589" s="1244"/>
    </row>
    <row r="590" spans="1:26" ht="18.75">
      <c r="A590" s="1267"/>
      <c r="B590" s="1268"/>
      <c r="C590" s="1268"/>
      <c r="D590" s="961" t="s">
        <v>250</v>
      </c>
      <c r="E590" s="961"/>
      <c r="F590" s="961"/>
      <c r="G590" s="954"/>
      <c r="H590" s="730" t="s">
        <v>46</v>
      </c>
      <c r="I590" s="944"/>
      <c r="J590" s="959">
        <v>0</v>
      </c>
      <c r="K590" s="945"/>
      <c r="L590" s="945"/>
      <c r="M590" s="945"/>
      <c r="N590" s="945"/>
      <c r="O590" s="945"/>
      <c r="P590" s="945"/>
      <c r="Q590" s="1244"/>
      <c r="R590" s="1244"/>
      <c r="S590" s="1244"/>
      <c r="T590" s="1244"/>
      <c r="U590" s="1244"/>
      <c r="V590" s="1244"/>
      <c r="W590" s="1244"/>
      <c r="X590" s="1244"/>
      <c r="Y590" s="1244"/>
      <c r="Z590" s="1244"/>
    </row>
    <row r="591" spans="1:26" ht="18.75">
      <c r="A591" s="1332"/>
      <c r="B591" s="1333"/>
      <c r="C591" s="1333"/>
      <c r="D591" s="1333"/>
      <c r="E591" s="1244"/>
      <c r="F591" s="1244"/>
      <c r="G591" s="1334"/>
      <c r="H591" s="665" t="s">
        <v>34</v>
      </c>
      <c r="I591" s="1335"/>
      <c r="J591" s="1336">
        <v>0</v>
      </c>
      <c r="K591" s="1337"/>
      <c r="L591" s="1337"/>
      <c r="M591" s="1337"/>
      <c r="N591" s="1337"/>
      <c r="O591" s="1337"/>
      <c r="P591" s="1337"/>
      <c r="Q591" s="1244"/>
      <c r="R591" s="1244"/>
      <c r="S591" s="1244"/>
      <c r="T591" s="1244"/>
      <c r="U591" s="1244"/>
      <c r="V591" s="1244"/>
      <c r="W591" s="1244"/>
      <c r="X591" s="1244"/>
      <c r="Y591" s="1244"/>
      <c r="Z591" s="1244"/>
    </row>
    <row r="592" spans="1:26" ht="19.5">
      <c r="A592" s="1329"/>
      <c r="B592" s="1330" t="s">
        <v>251</v>
      </c>
      <c r="C592" s="1331"/>
      <c r="D592" s="1331"/>
      <c r="E592" s="1315"/>
      <c r="F592" s="1315"/>
      <c r="G592" s="1316"/>
      <c r="H592" s="661" t="s">
        <v>46</v>
      </c>
      <c r="I592" s="1338">
        <f t="shared" ref="I592:J592" ca="1" si="253">I593</f>
        <v>1261.48</v>
      </c>
      <c r="J592" s="1317">
        <f t="shared" si="253"/>
        <v>0</v>
      </c>
      <c r="K592" s="1318">
        <f t="shared" ref="K592:K594" ca="1" si="254">IF(I592&gt;0,J592*100/I592,0)</f>
        <v>0</v>
      </c>
      <c r="L592" s="1319"/>
      <c r="M592" s="1319"/>
      <c r="N592" s="1319"/>
      <c r="O592" s="1319"/>
      <c r="P592" s="1319"/>
      <c r="Q592" s="1244"/>
      <c r="R592" s="1244"/>
      <c r="S592" s="1244"/>
      <c r="T592" s="1244"/>
      <c r="U592" s="1244"/>
      <c r="V592" s="1244"/>
      <c r="W592" s="1244"/>
      <c r="X592" s="1244"/>
      <c r="Y592" s="1244"/>
      <c r="Z592" s="1244"/>
    </row>
    <row r="593" spans="1:26" ht="19.5">
      <c r="A593" s="1267"/>
      <c r="B593" s="1268"/>
      <c r="C593" s="1277" t="s">
        <v>252</v>
      </c>
      <c r="D593" s="1268"/>
      <c r="E593" s="1268"/>
      <c r="F593" s="961"/>
      <c r="G593" s="954"/>
      <c r="H593" s="733" t="s">
        <v>46</v>
      </c>
      <c r="I593" s="1339">
        <f ca="1">IFERROR(__xludf.DUMMYFUNCTION("IMPORTRANGE(""https://docs.google.com/spreadsheets/d/1QqKyyYR6Q21VydFLVH3TRQUabQu_ym0Zz7PgGX0-kHA/edit?usp=sharing"",""แผน!HJ19"")"),1261.48)</f>
        <v>1261.48</v>
      </c>
      <c r="J593" s="965">
        <f t="shared" ref="J593:J594" si="255">J595+J603+J609</f>
        <v>0</v>
      </c>
      <c r="K593" s="1109">
        <f t="shared" ca="1" si="254"/>
        <v>0</v>
      </c>
      <c r="L593" s="945"/>
      <c r="M593" s="945"/>
      <c r="N593" s="945"/>
      <c r="O593" s="945"/>
      <c r="P593" s="945"/>
      <c r="Q593" s="1244"/>
      <c r="R593" s="1244"/>
      <c r="S593" s="1244"/>
      <c r="T593" s="1244"/>
      <c r="U593" s="1244"/>
      <c r="V593" s="1244"/>
      <c r="W593" s="1244"/>
      <c r="X593" s="1244"/>
      <c r="Y593" s="1244"/>
      <c r="Z593" s="1244"/>
    </row>
    <row r="594" spans="1:26" ht="19.5">
      <c r="A594" s="1267"/>
      <c r="B594" s="1268"/>
      <c r="C594" s="1268"/>
      <c r="D594" s="1268"/>
      <c r="E594" s="961"/>
      <c r="F594" s="961"/>
      <c r="G594" s="954"/>
      <c r="H594" s="733" t="s">
        <v>34</v>
      </c>
      <c r="I594" s="965">
        <f ca="1">IFERROR(__xludf.DUMMYFUNCTION("IMPORTRANGE(""https://docs.google.com/spreadsheets/d/1QqKyyYR6Q21VydFLVH3TRQUabQu_ym0Zz7PgGX0-kHA/edit?usp=sharing"",""แผน!HI19"")"),190)</f>
        <v>190</v>
      </c>
      <c r="J594" s="965">
        <f t="shared" si="255"/>
        <v>0</v>
      </c>
      <c r="K594" s="1109">
        <f t="shared" ca="1" si="254"/>
        <v>0</v>
      </c>
      <c r="L594" s="945"/>
      <c r="M594" s="945"/>
      <c r="N594" s="945"/>
      <c r="O594" s="945"/>
      <c r="P594" s="945"/>
      <c r="Q594" s="1244"/>
      <c r="R594" s="1244"/>
      <c r="S594" s="1244"/>
      <c r="T594" s="1244"/>
      <c r="U594" s="1244"/>
      <c r="V594" s="1244"/>
      <c r="W594" s="1244"/>
      <c r="X594" s="1244"/>
      <c r="Y594" s="1244"/>
      <c r="Z594" s="1244"/>
    </row>
    <row r="595" spans="1:26" ht="18.75">
      <c r="A595" s="1267"/>
      <c r="B595" s="1268"/>
      <c r="C595" s="1268" t="s">
        <v>253</v>
      </c>
      <c r="D595" s="1268"/>
      <c r="E595" s="1268"/>
      <c r="F595" s="961"/>
      <c r="G595" s="954"/>
      <c r="H595" s="730" t="s">
        <v>46</v>
      </c>
      <c r="I595" s="944"/>
      <c r="J595" s="944">
        <f t="shared" ref="J595:J596" si="256">J597+J599</f>
        <v>0</v>
      </c>
      <c r="K595" s="945"/>
      <c r="L595" s="945"/>
      <c r="M595" s="945"/>
      <c r="N595" s="945"/>
      <c r="O595" s="945"/>
      <c r="P595" s="945"/>
      <c r="Q595" s="1244"/>
      <c r="R595" s="1244"/>
      <c r="S595" s="1244"/>
      <c r="T595" s="1244"/>
      <c r="U595" s="1244"/>
      <c r="V595" s="1244"/>
      <c r="W595" s="1244"/>
      <c r="X595" s="1244"/>
      <c r="Y595" s="1244"/>
      <c r="Z595" s="1244"/>
    </row>
    <row r="596" spans="1:26" ht="18.75">
      <c r="A596" s="1267"/>
      <c r="B596" s="1268"/>
      <c r="C596" s="1268"/>
      <c r="D596" s="1268"/>
      <c r="E596" s="961"/>
      <c r="F596" s="961"/>
      <c r="G596" s="954"/>
      <c r="H596" s="730" t="s">
        <v>34</v>
      </c>
      <c r="I596" s="944"/>
      <c r="J596" s="944">
        <f t="shared" si="256"/>
        <v>0</v>
      </c>
      <c r="K596" s="945"/>
      <c r="L596" s="945"/>
      <c r="M596" s="945"/>
      <c r="N596" s="945"/>
      <c r="O596" s="945"/>
      <c r="P596" s="945"/>
      <c r="Q596" s="1244"/>
      <c r="R596" s="1244"/>
      <c r="S596" s="1244"/>
      <c r="T596" s="1244"/>
      <c r="U596" s="1244"/>
      <c r="V596" s="1244"/>
      <c r="W596" s="1244"/>
      <c r="X596" s="1244"/>
      <c r="Y596" s="1244"/>
      <c r="Z596" s="1244"/>
    </row>
    <row r="597" spans="1:26" ht="18.75">
      <c r="A597" s="1267"/>
      <c r="B597" s="1268"/>
      <c r="C597" s="1268"/>
      <c r="D597" s="1017" t="s">
        <v>254</v>
      </c>
      <c r="E597" s="961"/>
      <c r="F597" s="961"/>
      <c r="G597" s="954"/>
      <c r="H597" s="730" t="s">
        <v>46</v>
      </c>
      <c r="I597" s="944"/>
      <c r="J597" s="959">
        <v>0</v>
      </c>
      <c r="K597" s="945"/>
      <c r="L597" s="945"/>
      <c r="M597" s="945"/>
      <c r="N597" s="945"/>
      <c r="O597" s="945"/>
      <c r="P597" s="945"/>
      <c r="Q597" s="1244"/>
      <c r="R597" s="1244"/>
      <c r="S597" s="1244"/>
      <c r="T597" s="1244"/>
      <c r="U597" s="1244"/>
      <c r="V597" s="1244"/>
      <c r="W597" s="1244"/>
      <c r="X597" s="1244"/>
      <c r="Y597" s="1244"/>
      <c r="Z597" s="1244"/>
    </row>
    <row r="598" spans="1:26" ht="18.75">
      <c r="A598" s="1267"/>
      <c r="B598" s="1268"/>
      <c r="C598" s="1268"/>
      <c r="D598" s="1268"/>
      <c r="E598" s="961"/>
      <c r="F598" s="961"/>
      <c r="G598" s="954"/>
      <c r="H598" s="730" t="s">
        <v>34</v>
      </c>
      <c r="I598" s="830"/>
      <c r="J598" s="959">
        <v>0</v>
      </c>
      <c r="K598" s="945"/>
      <c r="L598" s="945"/>
      <c r="M598" s="945"/>
      <c r="N598" s="945"/>
      <c r="O598" s="945"/>
      <c r="P598" s="945"/>
      <c r="Q598" s="1244"/>
      <c r="R598" s="1244"/>
      <c r="S598" s="1244"/>
      <c r="T598" s="1244"/>
      <c r="U598" s="1244"/>
      <c r="V598" s="1244"/>
      <c r="W598" s="1244"/>
      <c r="X598" s="1244"/>
      <c r="Y598" s="1244"/>
      <c r="Z598" s="1244"/>
    </row>
    <row r="599" spans="1:26" ht="18.75">
      <c r="A599" s="1267"/>
      <c r="B599" s="1268"/>
      <c r="C599" s="1268"/>
      <c r="D599" s="1017" t="s">
        <v>255</v>
      </c>
      <c r="E599" s="961"/>
      <c r="F599" s="961"/>
      <c r="G599" s="954"/>
      <c r="H599" s="730" t="s">
        <v>46</v>
      </c>
      <c r="I599" s="830"/>
      <c r="J599" s="959">
        <v>0</v>
      </c>
      <c r="K599" s="945"/>
      <c r="L599" s="945"/>
      <c r="M599" s="945"/>
      <c r="N599" s="945"/>
      <c r="O599" s="945"/>
      <c r="P599" s="945"/>
      <c r="Q599" s="1244"/>
      <c r="R599" s="1244"/>
      <c r="S599" s="1244"/>
      <c r="T599" s="1244"/>
      <c r="U599" s="1244"/>
      <c r="V599" s="1244"/>
      <c r="W599" s="1244"/>
      <c r="X599" s="1244"/>
      <c r="Y599" s="1244"/>
      <c r="Z599" s="1244"/>
    </row>
    <row r="600" spans="1:26" ht="18.75">
      <c r="A600" s="1267"/>
      <c r="B600" s="1268"/>
      <c r="C600" s="1268"/>
      <c r="D600" s="1268"/>
      <c r="E600" s="961"/>
      <c r="F600" s="961"/>
      <c r="G600" s="954"/>
      <c r="H600" s="730" t="s">
        <v>34</v>
      </c>
      <c r="I600" s="830"/>
      <c r="J600" s="959">
        <v>0</v>
      </c>
      <c r="K600" s="945"/>
      <c r="L600" s="945"/>
      <c r="M600" s="945"/>
      <c r="N600" s="945"/>
      <c r="O600" s="945"/>
      <c r="P600" s="945"/>
      <c r="Q600" s="1244"/>
      <c r="R600" s="1244"/>
      <c r="S600" s="1244"/>
      <c r="T600" s="1244"/>
      <c r="U600" s="1244"/>
      <c r="V600" s="1244"/>
      <c r="W600" s="1244"/>
      <c r="X600" s="1244"/>
      <c r="Y600" s="1244"/>
      <c r="Z600" s="1244"/>
    </row>
    <row r="601" spans="1:26" ht="18.75">
      <c r="A601" s="1267"/>
      <c r="B601" s="1268"/>
      <c r="C601" s="1268"/>
      <c r="D601" s="1017" t="s">
        <v>256</v>
      </c>
      <c r="E601" s="961"/>
      <c r="F601" s="961"/>
      <c r="G601" s="954"/>
      <c r="H601" s="730" t="s">
        <v>46</v>
      </c>
      <c r="I601" s="830"/>
      <c r="J601" s="959">
        <v>0</v>
      </c>
      <c r="K601" s="945"/>
      <c r="L601" s="945"/>
      <c r="M601" s="945"/>
      <c r="N601" s="945"/>
      <c r="O601" s="945"/>
      <c r="P601" s="945"/>
      <c r="Q601" s="1244"/>
      <c r="R601" s="1244"/>
      <c r="S601" s="1244"/>
      <c r="T601" s="1244"/>
      <c r="U601" s="1244"/>
      <c r="V601" s="1244"/>
      <c r="W601" s="1244"/>
      <c r="X601" s="1244"/>
      <c r="Y601" s="1244"/>
      <c r="Z601" s="1244"/>
    </row>
    <row r="602" spans="1:26" ht="18.75">
      <c r="A602" s="1267"/>
      <c r="B602" s="1268"/>
      <c r="C602" s="1268"/>
      <c r="D602" s="1268"/>
      <c r="E602" s="961"/>
      <c r="F602" s="961"/>
      <c r="G602" s="954"/>
      <c r="H602" s="730" t="s">
        <v>34</v>
      </c>
      <c r="I602" s="830"/>
      <c r="J602" s="959">
        <v>0</v>
      </c>
      <c r="K602" s="945"/>
      <c r="L602" s="945"/>
      <c r="M602" s="945"/>
      <c r="N602" s="945"/>
      <c r="O602" s="945"/>
      <c r="P602" s="945"/>
      <c r="Q602" s="1244"/>
      <c r="R602" s="1244"/>
      <c r="S602" s="1244"/>
      <c r="T602" s="1244"/>
      <c r="U602" s="1244"/>
      <c r="V602" s="1244"/>
      <c r="W602" s="1244"/>
      <c r="X602" s="1244"/>
      <c r="Y602" s="1244"/>
      <c r="Z602" s="1244"/>
    </row>
    <row r="603" spans="1:26" ht="18.75">
      <c r="A603" s="1267"/>
      <c r="B603" s="1268"/>
      <c r="C603" s="1340" t="s">
        <v>257</v>
      </c>
      <c r="D603" s="1268"/>
      <c r="E603" s="1268"/>
      <c r="F603" s="961"/>
      <c r="G603" s="954"/>
      <c r="H603" s="730" t="s">
        <v>46</v>
      </c>
      <c r="I603" s="830"/>
      <c r="J603" s="830">
        <f t="shared" ref="J603:J604" si="257">J605+J607</f>
        <v>0</v>
      </c>
      <c r="K603" s="945"/>
      <c r="L603" s="945"/>
      <c r="M603" s="945"/>
      <c r="N603" s="945"/>
      <c r="O603" s="945"/>
      <c r="P603" s="945"/>
      <c r="Q603" s="1244"/>
      <c r="R603" s="1244"/>
      <c r="S603" s="1244"/>
      <c r="T603" s="1244"/>
      <c r="U603" s="1244"/>
      <c r="V603" s="1244"/>
      <c r="W603" s="1244"/>
      <c r="X603" s="1244"/>
      <c r="Y603" s="1244"/>
      <c r="Z603" s="1244"/>
    </row>
    <row r="604" spans="1:26" ht="18.75">
      <c r="A604" s="1267"/>
      <c r="B604" s="1268"/>
      <c r="C604" s="1268"/>
      <c r="D604" s="1268"/>
      <c r="E604" s="961"/>
      <c r="F604" s="961"/>
      <c r="G604" s="954"/>
      <c r="H604" s="730" t="s">
        <v>34</v>
      </c>
      <c r="I604" s="830"/>
      <c r="J604" s="830">
        <f t="shared" si="257"/>
        <v>0</v>
      </c>
      <c r="K604" s="945"/>
      <c r="L604" s="945"/>
      <c r="M604" s="945"/>
      <c r="N604" s="945"/>
      <c r="O604" s="945"/>
      <c r="P604" s="945"/>
      <c r="Q604" s="1244"/>
      <c r="R604" s="1244"/>
      <c r="S604" s="1244"/>
      <c r="T604" s="1244"/>
      <c r="U604" s="1244"/>
      <c r="V604" s="1244"/>
      <c r="W604" s="1244"/>
      <c r="X604" s="1244"/>
      <c r="Y604" s="1244"/>
      <c r="Z604" s="1244"/>
    </row>
    <row r="605" spans="1:26" ht="18.75">
      <c r="A605" s="1267"/>
      <c r="B605" s="1268"/>
      <c r="C605" s="1268"/>
      <c r="D605" s="1340" t="s">
        <v>258</v>
      </c>
      <c r="E605" s="961"/>
      <c r="F605" s="961"/>
      <c r="G605" s="954"/>
      <c r="H605" s="730" t="s">
        <v>46</v>
      </c>
      <c r="I605" s="830"/>
      <c r="J605" s="959">
        <v>0</v>
      </c>
      <c r="K605" s="945"/>
      <c r="L605" s="945"/>
      <c r="M605" s="945"/>
      <c r="N605" s="945"/>
      <c r="O605" s="945"/>
      <c r="P605" s="945"/>
      <c r="Q605" s="1244"/>
      <c r="R605" s="1244"/>
      <c r="S605" s="1244"/>
      <c r="T605" s="1244"/>
      <c r="U605" s="1244"/>
      <c r="V605" s="1244"/>
      <c r="W605" s="1244"/>
      <c r="X605" s="1244"/>
      <c r="Y605" s="1244"/>
      <c r="Z605" s="1244"/>
    </row>
    <row r="606" spans="1:26" ht="18.75">
      <c r="A606" s="1267"/>
      <c r="B606" s="1268"/>
      <c r="C606" s="1268"/>
      <c r="D606" s="1268"/>
      <c r="E606" s="1268"/>
      <c r="F606" s="961"/>
      <c r="G606" s="954"/>
      <c r="H606" s="730" t="s">
        <v>34</v>
      </c>
      <c r="I606" s="830"/>
      <c r="J606" s="959">
        <v>0</v>
      </c>
      <c r="K606" s="945"/>
      <c r="L606" s="945"/>
      <c r="M606" s="945"/>
      <c r="N606" s="945"/>
      <c r="O606" s="945"/>
      <c r="P606" s="945"/>
      <c r="Q606" s="1244"/>
      <c r="R606" s="1244"/>
      <c r="S606" s="1244"/>
      <c r="T606" s="1244"/>
      <c r="U606" s="1244"/>
      <c r="V606" s="1244"/>
      <c r="W606" s="1244"/>
      <c r="X606" s="1244"/>
      <c r="Y606" s="1244"/>
      <c r="Z606" s="1244"/>
    </row>
    <row r="607" spans="1:26" ht="18.75">
      <c r="A607" s="1267"/>
      <c r="B607" s="1268"/>
      <c r="C607" s="1268"/>
      <c r="D607" s="1340" t="s">
        <v>259</v>
      </c>
      <c r="E607" s="1268"/>
      <c r="F607" s="961"/>
      <c r="G607" s="954"/>
      <c r="H607" s="730" t="s">
        <v>46</v>
      </c>
      <c r="I607" s="830"/>
      <c r="J607" s="959">
        <v>0</v>
      </c>
      <c r="K607" s="945"/>
      <c r="L607" s="945"/>
      <c r="M607" s="945"/>
      <c r="N607" s="945"/>
      <c r="O607" s="945"/>
      <c r="P607" s="945"/>
      <c r="Q607" s="1244"/>
      <c r="R607" s="1244"/>
      <c r="S607" s="1244"/>
      <c r="T607" s="1244"/>
      <c r="U607" s="1244"/>
      <c r="V607" s="1244"/>
      <c r="W607" s="1244"/>
      <c r="X607" s="1244"/>
      <c r="Y607" s="1244"/>
      <c r="Z607" s="1244"/>
    </row>
    <row r="608" spans="1:26" ht="18.75">
      <c r="A608" s="1267"/>
      <c r="B608" s="1268"/>
      <c r="C608" s="1268"/>
      <c r="D608" s="1268"/>
      <c r="E608" s="961"/>
      <c r="F608" s="961"/>
      <c r="G608" s="954"/>
      <c r="H608" s="730" t="s">
        <v>34</v>
      </c>
      <c r="I608" s="830"/>
      <c r="J608" s="959">
        <v>0</v>
      </c>
      <c r="K608" s="945"/>
      <c r="L608" s="945"/>
      <c r="M608" s="945"/>
      <c r="N608" s="945"/>
      <c r="O608" s="945"/>
      <c r="P608" s="945"/>
      <c r="Q608" s="1244"/>
      <c r="R608" s="1244"/>
      <c r="S608" s="1244"/>
      <c r="T608" s="1244"/>
      <c r="U608" s="1244"/>
      <c r="V608" s="1244"/>
      <c r="W608" s="1244"/>
      <c r="X608" s="1244"/>
      <c r="Y608" s="1244"/>
      <c r="Z608" s="1244"/>
    </row>
    <row r="609" spans="1:26" ht="18.75">
      <c r="A609" s="1267"/>
      <c r="B609" s="1268"/>
      <c r="C609" s="1268" t="s">
        <v>260</v>
      </c>
      <c r="D609" s="1268"/>
      <c r="E609" s="1268"/>
      <c r="F609" s="961"/>
      <c r="G609" s="954"/>
      <c r="H609" s="730" t="s">
        <v>46</v>
      </c>
      <c r="I609" s="830"/>
      <c r="J609" s="959">
        <v>0</v>
      </c>
      <c r="K609" s="945"/>
      <c r="L609" s="945"/>
      <c r="M609" s="945"/>
      <c r="N609" s="945"/>
      <c r="O609" s="945"/>
      <c r="P609" s="945"/>
      <c r="Q609" s="1244"/>
      <c r="R609" s="1244"/>
      <c r="S609" s="1244"/>
      <c r="T609" s="1244"/>
      <c r="U609" s="1244"/>
      <c r="V609" s="1244"/>
      <c r="W609" s="1244"/>
      <c r="X609" s="1244"/>
      <c r="Y609" s="1244"/>
      <c r="Z609" s="1244"/>
    </row>
    <row r="610" spans="1:26" ht="18.75">
      <c r="A610" s="1267"/>
      <c r="B610" s="1268"/>
      <c r="C610" s="1268"/>
      <c r="D610" s="1268"/>
      <c r="E610" s="961"/>
      <c r="F610" s="961"/>
      <c r="G610" s="954"/>
      <c r="H610" s="730" t="s">
        <v>34</v>
      </c>
      <c r="I610" s="830"/>
      <c r="J610" s="959">
        <v>0</v>
      </c>
      <c r="K610" s="945"/>
      <c r="L610" s="945"/>
      <c r="M610" s="945"/>
      <c r="N610" s="945"/>
      <c r="O610" s="945"/>
      <c r="P610" s="945"/>
      <c r="Q610" s="1244"/>
      <c r="R610" s="1244"/>
      <c r="S610" s="1244"/>
      <c r="T610" s="1244"/>
      <c r="U610" s="1244"/>
      <c r="V610" s="1244"/>
      <c r="W610" s="1244"/>
      <c r="X610" s="1244"/>
      <c r="Y610" s="1244"/>
      <c r="Z610" s="1244"/>
    </row>
    <row r="611" spans="1:26" ht="19.5" hidden="1">
      <c r="A611" s="1329"/>
      <c r="B611" s="1341" t="s">
        <v>261</v>
      </c>
      <c r="C611" s="1331"/>
      <c r="D611" s="1331"/>
      <c r="E611" s="1315"/>
      <c r="F611" s="1315"/>
      <c r="G611" s="1316"/>
      <c r="H611" s="673" t="s">
        <v>46</v>
      </c>
      <c r="I611" s="1317">
        <v>0</v>
      </c>
      <c r="J611" s="1317">
        <f>J614+J616</f>
        <v>0</v>
      </c>
      <c r="K611" s="1318">
        <f t="shared" ref="K611:K613" si="258">IF(I611&gt;0,J611*100/I611,0)</f>
        <v>0</v>
      </c>
      <c r="L611" s="1319"/>
      <c r="M611" s="1319"/>
      <c r="N611" s="1319"/>
      <c r="O611" s="1319"/>
      <c r="P611" s="1319"/>
      <c r="Q611" s="1244"/>
      <c r="R611" s="1244"/>
      <c r="S611" s="1244"/>
      <c r="T611" s="1244"/>
      <c r="U611" s="1244"/>
      <c r="V611" s="1244"/>
      <c r="W611" s="1244"/>
      <c r="X611" s="1244"/>
      <c r="Y611" s="1244"/>
      <c r="Z611" s="1244"/>
    </row>
    <row r="612" spans="1:26" ht="19.5" hidden="1">
      <c r="A612" s="1342"/>
      <c r="B612" s="1343"/>
      <c r="C612" s="1344" t="s">
        <v>262</v>
      </c>
      <c r="D612" s="1343"/>
      <c r="E612" s="1343"/>
      <c r="F612" s="1345"/>
      <c r="G612" s="1346"/>
      <c r="H612" s="680" t="s">
        <v>46</v>
      </c>
      <c r="I612" s="1347">
        <v>0</v>
      </c>
      <c r="J612" s="1347">
        <f t="shared" ref="J612:J613" si="259">J614+J616</f>
        <v>0</v>
      </c>
      <c r="K612" s="1348">
        <f t="shared" si="258"/>
        <v>0</v>
      </c>
      <c r="L612" s="1349"/>
      <c r="M612" s="1349"/>
      <c r="N612" s="1349"/>
      <c r="O612" s="1349"/>
      <c r="P612" s="1349"/>
      <c r="Q612" s="1264"/>
      <c r="R612" s="1264"/>
      <c r="S612" s="1264"/>
      <c r="T612" s="1264"/>
      <c r="U612" s="1264"/>
      <c r="V612" s="1264"/>
      <c r="W612" s="1264"/>
      <c r="X612" s="1264"/>
      <c r="Y612" s="1264"/>
      <c r="Z612" s="1264"/>
    </row>
    <row r="613" spans="1:26" ht="19.5" hidden="1">
      <c r="A613" s="1342"/>
      <c r="B613" s="1343"/>
      <c r="C613" s="1343" t="s">
        <v>263</v>
      </c>
      <c r="D613" s="1343"/>
      <c r="E613" s="1343"/>
      <c r="F613" s="1345"/>
      <c r="G613" s="1346"/>
      <c r="H613" s="680" t="s">
        <v>34</v>
      </c>
      <c r="I613" s="1347">
        <v>0</v>
      </c>
      <c r="J613" s="1347">
        <f t="shared" si="259"/>
        <v>0</v>
      </c>
      <c r="K613" s="1348">
        <f t="shared" si="258"/>
        <v>0</v>
      </c>
      <c r="L613" s="1349"/>
      <c r="M613" s="1349"/>
      <c r="N613" s="1349"/>
      <c r="O613" s="1349"/>
      <c r="P613" s="1349"/>
      <c r="Q613" s="1264"/>
      <c r="R613" s="1264"/>
      <c r="S613" s="1264"/>
      <c r="T613" s="1264"/>
      <c r="U613" s="1264"/>
      <c r="V613" s="1264"/>
      <c r="W613" s="1264"/>
      <c r="X613" s="1264"/>
      <c r="Y613" s="1264"/>
      <c r="Z613" s="1264"/>
    </row>
    <row r="614" spans="1:26" ht="18.75" hidden="1">
      <c r="A614" s="1273"/>
      <c r="B614" s="1274"/>
      <c r="C614" s="1274"/>
      <c r="D614" s="1262" t="s">
        <v>264</v>
      </c>
      <c r="E614" s="1274"/>
      <c r="F614" s="1262"/>
      <c r="G614" s="1060"/>
      <c r="H614" s="583" t="s">
        <v>46</v>
      </c>
      <c r="I614" s="836"/>
      <c r="J614" s="836">
        <v>0</v>
      </c>
      <c r="K614" s="948"/>
      <c r="L614" s="948"/>
      <c r="M614" s="948"/>
      <c r="N614" s="948"/>
      <c r="O614" s="948"/>
      <c r="P614" s="948"/>
      <c r="Q614" s="1264"/>
      <c r="R614" s="1264"/>
      <c r="S614" s="1264"/>
      <c r="T614" s="1264"/>
      <c r="U614" s="1264"/>
      <c r="V614" s="1264"/>
      <c r="W614" s="1264"/>
      <c r="X614" s="1264"/>
      <c r="Y614" s="1264"/>
      <c r="Z614" s="1264"/>
    </row>
    <row r="615" spans="1:26" ht="18.75" hidden="1">
      <c r="A615" s="1273"/>
      <c r="B615" s="1274"/>
      <c r="C615" s="1274"/>
      <c r="D615" s="1274"/>
      <c r="E615" s="1274"/>
      <c r="F615" s="1262"/>
      <c r="G615" s="1060"/>
      <c r="H615" s="583" t="s">
        <v>34</v>
      </c>
      <c r="I615" s="836"/>
      <c r="J615" s="836">
        <v>0</v>
      </c>
      <c r="K615" s="948"/>
      <c r="L615" s="948"/>
      <c r="M615" s="948"/>
      <c r="N615" s="948"/>
      <c r="O615" s="948"/>
      <c r="P615" s="948"/>
      <c r="Q615" s="1264"/>
      <c r="R615" s="1264"/>
      <c r="S615" s="1264"/>
      <c r="T615" s="1264"/>
      <c r="U615" s="1264"/>
      <c r="V615" s="1264"/>
      <c r="W615" s="1264"/>
      <c r="X615" s="1264"/>
      <c r="Y615" s="1264"/>
      <c r="Z615" s="1264"/>
    </row>
    <row r="616" spans="1:26" ht="18.75" hidden="1">
      <c r="A616" s="1273"/>
      <c r="B616" s="1274"/>
      <c r="C616" s="1274"/>
      <c r="D616" s="1350" t="s">
        <v>264</v>
      </c>
      <c r="E616" s="1262"/>
      <c r="F616" s="1262"/>
      <c r="G616" s="1060"/>
      <c r="H616" s="583" t="s">
        <v>46</v>
      </c>
      <c r="I616" s="836"/>
      <c r="J616" s="836">
        <v>0</v>
      </c>
      <c r="K616" s="948"/>
      <c r="L616" s="948"/>
      <c r="M616" s="948"/>
      <c r="N616" s="948"/>
      <c r="O616" s="948"/>
      <c r="P616" s="948"/>
      <c r="Q616" s="1264"/>
      <c r="R616" s="1264"/>
      <c r="S616" s="1264"/>
      <c r="T616" s="1264"/>
      <c r="U616" s="1264"/>
      <c r="V616" s="1264"/>
      <c r="W616" s="1264"/>
      <c r="X616" s="1264"/>
      <c r="Y616" s="1264"/>
      <c r="Z616" s="1264"/>
    </row>
    <row r="617" spans="1:26" ht="18.75" hidden="1">
      <c r="A617" s="1273"/>
      <c r="B617" s="1274"/>
      <c r="C617" s="1274"/>
      <c r="D617" s="1274"/>
      <c r="E617" s="1262"/>
      <c r="F617" s="1262"/>
      <c r="G617" s="1060"/>
      <c r="H617" s="583" t="s">
        <v>34</v>
      </c>
      <c r="I617" s="836"/>
      <c r="J617" s="836">
        <v>0</v>
      </c>
      <c r="K617" s="948"/>
      <c r="L617" s="948"/>
      <c r="M617" s="948"/>
      <c r="N617" s="948"/>
      <c r="O617" s="948"/>
      <c r="P617" s="948"/>
      <c r="Q617" s="1264"/>
      <c r="R617" s="1264"/>
      <c r="S617" s="1264"/>
      <c r="T617" s="1264"/>
      <c r="U617" s="1264"/>
      <c r="V617" s="1264"/>
      <c r="W617" s="1264"/>
      <c r="X617" s="1264"/>
      <c r="Y617" s="1264"/>
      <c r="Z617" s="1264"/>
    </row>
    <row r="618" spans="1:26" ht="18.75" hidden="1">
      <c r="A618" s="1273"/>
      <c r="B618" s="1274"/>
      <c r="C618" s="1274"/>
      <c r="D618" s="1350" t="s">
        <v>265</v>
      </c>
      <c r="E618" s="1262"/>
      <c r="F618" s="1262"/>
      <c r="G618" s="1060"/>
      <c r="H618" s="583" t="s">
        <v>46</v>
      </c>
      <c r="I618" s="836"/>
      <c r="J618" s="836">
        <v>0</v>
      </c>
      <c r="K618" s="948"/>
      <c r="L618" s="948"/>
      <c r="M618" s="948"/>
      <c r="N618" s="948"/>
      <c r="O618" s="948"/>
      <c r="P618" s="948"/>
      <c r="Q618" s="1264"/>
      <c r="R618" s="1264"/>
      <c r="S618" s="1264"/>
      <c r="T618" s="1264"/>
      <c r="U618" s="1264"/>
      <c r="V618" s="1264"/>
      <c r="W618" s="1264"/>
      <c r="X618" s="1264"/>
      <c r="Y618" s="1264"/>
      <c r="Z618" s="1264"/>
    </row>
    <row r="619" spans="1:26" ht="18.75" hidden="1">
      <c r="A619" s="1273"/>
      <c r="B619" s="1274"/>
      <c r="C619" s="1274"/>
      <c r="D619" s="1274"/>
      <c r="E619" s="1262"/>
      <c r="F619" s="1262"/>
      <c r="G619" s="1060"/>
      <c r="H619" s="583" t="s">
        <v>34</v>
      </c>
      <c r="I619" s="836"/>
      <c r="J619" s="836">
        <v>0</v>
      </c>
      <c r="K619" s="948"/>
      <c r="L619" s="948"/>
      <c r="M619" s="948"/>
      <c r="N619" s="948"/>
      <c r="O619" s="948"/>
      <c r="P619" s="948"/>
      <c r="Q619" s="1264"/>
      <c r="R619" s="1264"/>
      <c r="S619" s="1264"/>
      <c r="T619" s="1264"/>
      <c r="U619" s="1264"/>
      <c r="V619" s="1264"/>
      <c r="W619" s="1264"/>
      <c r="X619" s="1264"/>
      <c r="Y619" s="1264"/>
      <c r="Z619" s="1264"/>
    </row>
    <row r="620" spans="1:26" ht="19.5" hidden="1">
      <c r="A620" s="1351"/>
      <c r="B620" s="1352"/>
      <c r="C620" s="1353" t="s">
        <v>266</v>
      </c>
      <c r="D620" s="1352"/>
      <c r="E620" s="1352"/>
      <c r="F620" s="1354"/>
      <c r="G620" s="1355"/>
      <c r="H620" s="693" t="s">
        <v>46</v>
      </c>
      <c r="I620" s="1356">
        <f ca="1">IFERROR(__xludf.DUMMYFUNCTION("IMPORTRANGE(""https://docs.google.com/spreadsheets/d/1QqKyyYR6Q21VydFLVH3TRQUabQu_ym0Zz7PgGX0-kHA/edit?usp=sharing"",""แผน!HL19"")"),0)</f>
        <v>0</v>
      </c>
      <c r="J620" s="1356">
        <f t="shared" ref="J620:J621" si="260">J622+J624+J626</f>
        <v>0</v>
      </c>
      <c r="K620" s="1357">
        <f t="shared" ref="K620:K621" ca="1" si="261">IF(I620&gt;0,J620*100/I620,0)</f>
        <v>0</v>
      </c>
      <c r="L620" s="1358"/>
      <c r="M620" s="1358"/>
      <c r="N620" s="1358"/>
      <c r="O620" s="1358"/>
      <c r="P620" s="1358"/>
      <c r="Q620" s="1244"/>
      <c r="R620" s="1244"/>
      <c r="S620" s="1244"/>
      <c r="T620" s="1244"/>
      <c r="U620" s="1244"/>
      <c r="V620" s="1244"/>
      <c r="W620" s="1244"/>
      <c r="X620" s="1244"/>
      <c r="Y620" s="1244"/>
      <c r="Z620" s="1244"/>
    </row>
    <row r="621" spans="1:26" ht="19.5" hidden="1">
      <c r="A621" s="1351"/>
      <c r="B621" s="1352"/>
      <c r="C621" s="1352" t="s">
        <v>267</v>
      </c>
      <c r="D621" s="1352"/>
      <c r="E621" s="1352"/>
      <c r="F621" s="1354"/>
      <c r="G621" s="1355"/>
      <c r="H621" s="693" t="s">
        <v>34</v>
      </c>
      <c r="I621" s="1356">
        <f ca="1">IFERROR(__xludf.DUMMYFUNCTION("IMPORTRANGE(""https://docs.google.com/spreadsheets/d/1QqKyyYR6Q21VydFLVH3TRQUabQu_ym0Zz7PgGX0-kHA/edit?usp=sharing"",""แผน!HK19"")"),0)</f>
        <v>0</v>
      </c>
      <c r="J621" s="1356">
        <f t="shared" si="260"/>
        <v>0</v>
      </c>
      <c r="K621" s="1357">
        <f t="shared" ca="1" si="261"/>
        <v>0</v>
      </c>
      <c r="L621" s="1358"/>
      <c r="M621" s="1358"/>
      <c r="N621" s="1358"/>
      <c r="O621" s="1358"/>
      <c r="P621" s="1358"/>
      <c r="Q621" s="1244"/>
      <c r="R621" s="1244"/>
      <c r="S621" s="1244"/>
      <c r="T621" s="1244"/>
      <c r="U621" s="1244"/>
      <c r="V621" s="1244"/>
      <c r="W621" s="1244"/>
      <c r="X621" s="1244"/>
      <c r="Y621" s="1244"/>
      <c r="Z621" s="1244"/>
    </row>
    <row r="622" spans="1:26" ht="18.75" hidden="1">
      <c r="A622" s="1267"/>
      <c r="B622" s="1268"/>
      <c r="C622" s="1268"/>
      <c r="D622" s="1017" t="s">
        <v>268</v>
      </c>
      <c r="E622" s="961"/>
      <c r="F622" s="961"/>
      <c r="G622" s="954"/>
      <c r="H622" s="730" t="s">
        <v>46</v>
      </c>
      <c r="I622" s="830"/>
      <c r="J622" s="959">
        <v>0</v>
      </c>
      <c r="K622" s="945"/>
      <c r="L622" s="945"/>
      <c r="M622" s="945"/>
      <c r="N622" s="945"/>
      <c r="O622" s="945"/>
      <c r="P622" s="945"/>
      <c r="Q622" s="1244"/>
      <c r="R622" s="1244"/>
      <c r="S622" s="1244"/>
      <c r="T622" s="1244"/>
      <c r="U622" s="1244"/>
      <c r="V622" s="1244"/>
      <c r="W622" s="1244"/>
      <c r="X622" s="1244"/>
      <c r="Y622" s="1244"/>
      <c r="Z622" s="1244"/>
    </row>
    <row r="623" spans="1:26" ht="18.75" hidden="1">
      <c r="A623" s="1267"/>
      <c r="B623" s="1268"/>
      <c r="C623" s="1268"/>
      <c r="D623" s="1268"/>
      <c r="E623" s="961"/>
      <c r="F623" s="961"/>
      <c r="G623" s="954"/>
      <c r="H623" s="730" t="s">
        <v>34</v>
      </c>
      <c r="I623" s="830"/>
      <c r="J623" s="959">
        <v>0</v>
      </c>
      <c r="K623" s="945"/>
      <c r="L623" s="945"/>
      <c r="M623" s="945"/>
      <c r="N623" s="945"/>
      <c r="O623" s="945"/>
      <c r="P623" s="945"/>
      <c r="Q623" s="1244"/>
      <c r="R623" s="1244"/>
      <c r="S623" s="1244"/>
      <c r="T623" s="1244"/>
      <c r="U623" s="1244"/>
      <c r="V623" s="1244"/>
      <c r="W623" s="1244"/>
      <c r="X623" s="1244"/>
      <c r="Y623" s="1244"/>
      <c r="Z623" s="1244"/>
    </row>
    <row r="624" spans="1:26" ht="18.75" hidden="1">
      <c r="A624" s="1267"/>
      <c r="B624" s="1268"/>
      <c r="C624" s="1268"/>
      <c r="D624" s="1017" t="s">
        <v>264</v>
      </c>
      <c r="E624" s="961"/>
      <c r="F624" s="961"/>
      <c r="G624" s="954"/>
      <c r="H624" s="730" t="s">
        <v>46</v>
      </c>
      <c r="I624" s="830"/>
      <c r="J624" s="959">
        <v>0</v>
      </c>
      <c r="K624" s="945"/>
      <c r="L624" s="945"/>
      <c r="M624" s="945"/>
      <c r="N624" s="945"/>
      <c r="O624" s="945"/>
      <c r="P624" s="945"/>
      <c r="Q624" s="1244"/>
      <c r="R624" s="1244"/>
      <c r="S624" s="1244"/>
      <c r="T624" s="1244"/>
      <c r="U624" s="1244"/>
      <c r="V624" s="1244"/>
      <c r="W624" s="1244"/>
      <c r="X624" s="1244"/>
      <c r="Y624" s="1244"/>
      <c r="Z624" s="1244"/>
    </row>
    <row r="625" spans="1:26" ht="18.75" hidden="1">
      <c r="A625" s="1267"/>
      <c r="B625" s="1268"/>
      <c r="C625" s="1268"/>
      <c r="D625" s="1268"/>
      <c r="E625" s="961"/>
      <c r="F625" s="961"/>
      <c r="G625" s="954"/>
      <c r="H625" s="730" t="s">
        <v>34</v>
      </c>
      <c r="I625" s="830"/>
      <c r="J625" s="959">
        <v>0</v>
      </c>
      <c r="K625" s="945"/>
      <c r="L625" s="945"/>
      <c r="M625" s="945"/>
      <c r="N625" s="945"/>
      <c r="O625" s="945"/>
      <c r="P625" s="945"/>
      <c r="Q625" s="1244"/>
      <c r="R625" s="1244"/>
      <c r="S625" s="1244"/>
      <c r="T625" s="1244"/>
      <c r="U625" s="1244"/>
      <c r="V625" s="1244"/>
      <c r="W625" s="1244"/>
      <c r="X625" s="1244"/>
      <c r="Y625" s="1244"/>
      <c r="Z625" s="1244"/>
    </row>
    <row r="626" spans="1:26" ht="18.75" hidden="1">
      <c r="A626" s="1267"/>
      <c r="B626" s="1268"/>
      <c r="C626" s="1268"/>
      <c r="D626" s="1017" t="s">
        <v>269</v>
      </c>
      <c r="E626" s="961"/>
      <c r="F626" s="961"/>
      <c r="G626" s="954"/>
      <c r="H626" s="730" t="s">
        <v>46</v>
      </c>
      <c r="I626" s="830"/>
      <c r="J626" s="959">
        <v>0</v>
      </c>
      <c r="K626" s="945"/>
      <c r="L626" s="945"/>
      <c r="M626" s="945"/>
      <c r="N626" s="945"/>
      <c r="O626" s="945"/>
      <c r="P626" s="945"/>
      <c r="Q626" s="1244"/>
      <c r="R626" s="1244"/>
      <c r="S626" s="1244"/>
      <c r="T626" s="1244"/>
      <c r="U626" s="1244"/>
      <c r="V626" s="1244"/>
      <c r="W626" s="1244"/>
      <c r="X626" s="1244"/>
      <c r="Y626" s="1244"/>
      <c r="Z626" s="1244"/>
    </row>
    <row r="627" spans="1:26" ht="18.75" hidden="1">
      <c r="A627" s="1359"/>
      <c r="B627" s="1360"/>
      <c r="C627" s="1360"/>
      <c r="D627" s="1360"/>
      <c r="E627" s="1116"/>
      <c r="F627" s="1116"/>
      <c r="G627" s="1361"/>
      <c r="H627" s="391" t="s">
        <v>34</v>
      </c>
      <c r="I627" s="1085"/>
      <c r="J627" s="1118">
        <v>0</v>
      </c>
      <c r="K627" s="1086"/>
      <c r="L627" s="1086"/>
      <c r="M627" s="1086"/>
      <c r="N627" s="1086"/>
      <c r="O627" s="1086"/>
      <c r="P627" s="1086"/>
      <c r="Q627" s="1244"/>
      <c r="R627" s="1244"/>
      <c r="S627" s="1244"/>
      <c r="T627" s="1244"/>
      <c r="U627" s="1244"/>
      <c r="V627" s="1244"/>
      <c r="W627" s="1244"/>
      <c r="X627" s="1244"/>
      <c r="Y627" s="1244"/>
      <c r="Z627" s="1244"/>
    </row>
    <row r="628" spans="1:26" ht="19.5">
      <c r="A628" s="702">
        <v>7</v>
      </c>
      <c r="B628" s="1362" t="s">
        <v>270</v>
      </c>
      <c r="C628" s="1363"/>
      <c r="D628" s="1363"/>
      <c r="E628" s="1363"/>
      <c r="F628" s="1363"/>
      <c r="G628" s="1364"/>
      <c r="H628" s="706" t="s">
        <v>35</v>
      </c>
      <c r="I628" s="1365">
        <f t="shared" ref="I628:J628" ca="1" si="262">I651</f>
        <v>70</v>
      </c>
      <c r="J628" s="1365">
        <f t="shared" ca="1" si="262"/>
        <v>0</v>
      </c>
      <c r="K628" s="1366">
        <f ca="1">IF(I628&gt;0,J628*100/I628,0)</f>
        <v>0</v>
      </c>
      <c r="L628" s="1367"/>
      <c r="M628" s="1367"/>
      <c r="N628" s="1367"/>
      <c r="O628" s="1367"/>
      <c r="P628" s="1367"/>
      <c r="Q628" s="1244"/>
      <c r="R628" s="1244"/>
      <c r="S628" s="1244"/>
      <c r="T628" s="1244"/>
      <c r="U628" s="1244"/>
      <c r="V628" s="1244"/>
      <c r="W628" s="1244"/>
      <c r="X628" s="1244"/>
      <c r="Y628" s="1244"/>
      <c r="Z628" s="1244"/>
    </row>
    <row r="629" spans="1:26" ht="19.5">
      <c r="A629" s="1259"/>
      <c r="B629" s="1243"/>
      <c r="C629" s="1243" t="s">
        <v>16</v>
      </c>
      <c r="D629" s="1507" t="s">
        <v>17</v>
      </c>
      <c r="E629" s="1485"/>
      <c r="F629" s="1485"/>
      <c r="G629" s="963"/>
      <c r="H629" s="563" t="s">
        <v>12</v>
      </c>
      <c r="I629" s="830"/>
      <c r="J629" s="830"/>
      <c r="K629" s="831"/>
      <c r="L629" s="967">
        <f t="shared" ref="L629:N629" ca="1" si="263">L630+L631</f>
        <v>374345</v>
      </c>
      <c r="M629" s="967">
        <f t="shared" si="263"/>
        <v>0</v>
      </c>
      <c r="N629" s="967">
        <f t="shared" si="263"/>
        <v>58960</v>
      </c>
      <c r="O629" s="967">
        <f t="shared" ref="O629:O634" ca="1" si="264">IF(L629&gt;0,N629*100/L629,0)</f>
        <v>15.75017697578437</v>
      </c>
      <c r="P629" s="967">
        <f t="shared" ref="P629:P634" si="265">IF(M629&gt;0,N629*100/M629,0)</f>
        <v>0</v>
      </c>
      <c r="Q629" s="1244"/>
      <c r="R629" s="1244"/>
      <c r="S629" s="1244"/>
      <c r="T629" s="1244"/>
      <c r="U629" s="1244"/>
      <c r="V629" s="1244"/>
      <c r="W629" s="1244"/>
      <c r="X629" s="1244"/>
      <c r="Y629" s="1244"/>
      <c r="Z629" s="1244"/>
    </row>
    <row r="630" spans="1:26" ht="18.75" hidden="1">
      <c r="A630" s="1260"/>
      <c r="B630" s="1261"/>
      <c r="C630" s="1261"/>
      <c r="D630" s="1262"/>
      <c r="E630" s="1261" t="s">
        <v>184</v>
      </c>
      <c r="F630" s="1261"/>
      <c r="G630" s="1263"/>
      <c r="H630" s="165" t="s">
        <v>12</v>
      </c>
      <c r="I630" s="836"/>
      <c r="J630" s="836"/>
      <c r="K630" s="837"/>
      <c r="L630" s="837">
        <f t="shared" ref="L630:N631" si="266">L633+L640</f>
        <v>0</v>
      </c>
      <c r="M630" s="837">
        <f t="shared" si="266"/>
        <v>0</v>
      </c>
      <c r="N630" s="837">
        <f t="shared" si="266"/>
        <v>0</v>
      </c>
      <c r="O630" s="837">
        <f t="shared" si="264"/>
        <v>0</v>
      </c>
      <c r="P630" s="837">
        <f t="shared" si="265"/>
        <v>0</v>
      </c>
      <c r="Q630" s="1264"/>
      <c r="R630" s="1264"/>
      <c r="S630" s="1264"/>
      <c r="T630" s="1264"/>
      <c r="U630" s="1264"/>
      <c r="V630" s="1264"/>
      <c r="W630" s="1264"/>
      <c r="X630" s="1264"/>
      <c r="Y630" s="1264"/>
      <c r="Z630" s="1264"/>
    </row>
    <row r="631" spans="1:26" ht="18.75" hidden="1">
      <c r="A631" s="1260"/>
      <c r="B631" s="1265"/>
      <c r="C631" s="1261"/>
      <c r="D631" s="1262"/>
      <c r="E631" s="1261" t="s">
        <v>185</v>
      </c>
      <c r="F631" s="1261"/>
      <c r="G631" s="1263"/>
      <c r="H631" s="165" t="s">
        <v>12</v>
      </c>
      <c r="I631" s="836"/>
      <c r="J631" s="836"/>
      <c r="K631" s="837"/>
      <c r="L631" s="837">
        <f t="shared" ca="1" si="266"/>
        <v>374345</v>
      </c>
      <c r="M631" s="837">
        <f t="shared" si="266"/>
        <v>0</v>
      </c>
      <c r="N631" s="837">
        <f t="shared" si="266"/>
        <v>58960</v>
      </c>
      <c r="O631" s="837">
        <f t="shared" ca="1" si="264"/>
        <v>15.75017697578437</v>
      </c>
      <c r="P631" s="837">
        <f t="shared" si="265"/>
        <v>0</v>
      </c>
      <c r="Q631" s="1264"/>
      <c r="R631" s="1264"/>
      <c r="S631" s="1264"/>
      <c r="T631" s="1264"/>
      <c r="U631" s="1264"/>
      <c r="V631" s="1264"/>
      <c r="W631" s="1264"/>
      <c r="X631" s="1264"/>
      <c r="Y631" s="1264"/>
      <c r="Z631" s="1264"/>
    </row>
    <row r="632" spans="1:26" ht="18.75">
      <c r="A632" s="1259"/>
      <c r="B632" s="1242"/>
      <c r="C632" s="1243"/>
      <c r="D632" s="1266" t="s">
        <v>20</v>
      </c>
      <c r="E632" s="1243"/>
      <c r="F632" s="1243"/>
      <c r="G632" s="963"/>
      <c r="H632" s="778" t="s">
        <v>12</v>
      </c>
      <c r="I632" s="944"/>
      <c r="J632" s="944"/>
      <c r="K632" s="945"/>
      <c r="L632" s="831">
        <f t="shared" ref="L632:N632" ca="1" si="267">L633+L634</f>
        <v>374345</v>
      </c>
      <c r="M632" s="831">
        <f t="shared" si="267"/>
        <v>0</v>
      </c>
      <c r="N632" s="831">
        <f t="shared" si="267"/>
        <v>58960</v>
      </c>
      <c r="O632" s="831">
        <f t="shared" ca="1" si="264"/>
        <v>15.75017697578437</v>
      </c>
      <c r="P632" s="831">
        <f t="shared" si="265"/>
        <v>0</v>
      </c>
      <c r="Q632" s="1244"/>
      <c r="R632" s="1244"/>
      <c r="S632" s="1244"/>
      <c r="T632" s="1244"/>
      <c r="U632" s="1244"/>
      <c r="V632" s="1244"/>
      <c r="W632" s="1244"/>
      <c r="X632" s="1244"/>
      <c r="Y632" s="1244"/>
      <c r="Z632" s="1244"/>
    </row>
    <row r="633" spans="1:26" ht="18.75" hidden="1">
      <c r="A633" s="1260"/>
      <c r="B633" s="1265"/>
      <c r="C633" s="1261"/>
      <c r="D633" s="1262"/>
      <c r="E633" s="1261" t="s">
        <v>184</v>
      </c>
      <c r="F633" s="1261"/>
      <c r="G633" s="1263"/>
      <c r="H633" s="165" t="s">
        <v>12</v>
      </c>
      <c r="I633" s="836"/>
      <c r="J633" s="836"/>
      <c r="K633" s="837"/>
      <c r="L633" s="837">
        <v>0</v>
      </c>
      <c r="M633" s="837">
        <v>0</v>
      </c>
      <c r="N633" s="837">
        <v>0</v>
      </c>
      <c r="O633" s="837">
        <f t="shared" si="264"/>
        <v>0</v>
      </c>
      <c r="P633" s="837">
        <f t="shared" si="265"/>
        <v>0</v>
      </c>
      <c r="Q633" s="1264"/>
      <c r="R633" s="1264"/>
      <c r="S633" s="1264"/>
      <c r="T633" s="1264"/>
      <c r="U633" s="1264"/>
      <c r="V633" s="1264"/>
      <c r="W633" s="1264"/>
      <c r="X633" s="1264"/>
      <c r="Y633" s="1264"/>
      <c r="Z633" s="1264"/>
    </row>
    <row r="634" spans="1:26" ht="18.75" hidden="1">
      <c r="A634" s="1260"/>
      <c r="B634" s="1265"/>
      <c r="C634" s="1261"/>
      <c r="D634" s="1262"/>
      <c r="E634" s="1261" t="s">
        <v>185</v>
      </c>
      <c r="F634" s="1261"/>
      <c r="G634" s="1263"/>
      <c r="H634" s="165" t="s">
        <v>12</v>
      </c>
      <c r="I634" s="836"/>
      <c r="J634" s="836"/>
      <c r="K634" s="837"/>
      <c r="L634" s="837">
        <f ca="1">IFERROR(__xludf.DUMMYFUNCTION("IMPORTRANGE(""https://docs.google.com/spreadsheets/d/1QqKyyYR6Q21VydFLVH3TRQUabQu_ym0Zz7PgGX0-kHA/edit?usp=sharing"",""แผน!HN19"")"),374345)</f>
        <v>374345</v>
      </c>
      <c r="M634" s="837">
        <v>0</v>
      </c>
      <c r="N634" s="837">
        <f>N635+N636+N637+N638</f>
        <v>58960</v>
      </c>
      <c r="O634" s="837">
        <f t="shared" ca="1" si="264"/>
        <v>15.75017697578437</v>
      </c>
      <c r="P634" s="837">
        <f t="shared" si="265"/>
        <v>0</v>
      </c>
      <c r="Q634" s="1264"/>
      <c r="R634" s="1264"/>
      <c r="S634" s="1264"/>
      <c r="T634" s="1264"/>
      <c r="U634" s="1264"/>
      <c r="V634" s="1264"/>
      <c r="W634" s="1264"/>
      <c r="X634" s="1264"/>
      <c r="Y634" s="1264"/>
      <c r="Z634" s="1264"/>
    </row>
    <row r="635" spans="1:26" ht="18.75">
      <c r="A635" s="1241"/>
      <c r="B635" s="1242"/>
      <c r="C635" s="1243"/>
      <c r="D635" s="1243"/>
      <c r="E635" s="1243"/>
      <c r="F635" s="1243" t="s">
        <v>186</v>
      </c>
      <c r="G635" s="963"/>
      <c r="H635" s="778" t="s">
        <v>12</v>
      </c>
      <c r="I635" s="830"/>
      <c r="J635" s="830"/>
      <c r="K635" s="831"/>
      <c r="L635" s="831"/>
      <c r="M635" s="831"/>
      <c r="N635" s="1031">
        <v>0</v>
      </c>
      <c r="O635" s="831"/>
      <c r="P635" s="831"/>
      <c r="Q635" s="1244"/>
      <c r="R635" s="1244"/>
      <c r="S635" s="1244"/>
      <c r="T635" s="1244"/>
      <c r="U635" s="1244"/>
      <c r="V635" s="1244"/>
      <c r="W635" s="1244"/>
      <c r="X635" s="1244"/>
      <c r="Y635" s="1244"/>
      <c r="Z635" s="1244"/>
    </row>
    <row r="636" spans="1:26" ht="18.75">
      <c r="A636" s="1241"/>
      <c r="B636" s="1242"/>
      <c r="C636" s="1243"/>
      <c r="D636" s="1243"/>
      <c r="E636" s="1243"/>
      <c r="F636" s="1243" t="s">
        <v>187</v>
      </c>
      <c r="G636" s="963"/>
      <c r="H636" s="778" t="s">
        <v>12</v>
      </c>
      <c r="I636" s="830"/>
      <c r="J636" s="830"/>
      <c r="K636" s="831"/>
      <c r="L636" s="831"/>
      <c r="M636" s="831"/>
      <c r="N636" s="1031">
        <v>0</v>
      </c>
      <c r="O636" s="831"/>
      <c r="P636" s="831"/>
      <c r="Q636" s="1244"/>
      <c r="R636" s="1244"/>
      <c r="S636" s="1244"/>
      <c r="T636" s="1244"/>
      <c r="U636" s="1244"/>
      <c r="V636" s="1244"/>
      <c r="W636" s="1244"/>
      <c r="X636" s="1244"/>
      <c r="Y636" s="1244"/>
      <c r="Z636" s="1244"/>
    </row>
    <row r="637" spans="1:26" ht="18.75">
      <c r="A637" s="1241"/>
      <c r="B637" s="1242"/>
      <c r="C637" s="1243"/>
      <c r="D637" s="1243"/>
      <c r="E637" s="1243"/>
      <c r="F637" s="1243" t="s">
        <v>188</v>
      </c>
      <c r="G637" s="963"/>
      <c r="H637" s="778" t="s">
        <v>12</v>
      </c>
      <c r="I637" s="830"/>
      <c r="J637" s="830"/>
      <c r="K637" s="831"/>
      <c r="L637" s="831"/>
      <c r="M637" s="831"/>
      <c r="N637" s="1031">
        <v>52000</v>
      </c>
      <c r="O637" s="831"/>
      <c r="P637" s="831"/>
      <c r="Q637" s="1244"/>
      <c r="R637" s="1244"/>
      <c r="S637" s="1244"/>
      <c r="T637" s="1244"/>
      <c r="U637" s="1244"/>
      <c r="V637" s="1244"/>
      <c r="W637" s="1244"/>
      <c r="X637" s="1244"/>
      <c r="Y637" s="1244"/>
      <c r="Z637" s="1244"/>
    </row>
    <row r="638" spans="1:26" ht="18.75">
      <c r="A638" s="1241"/>
      <c r="B638" s="1242"/>
      <c r="C638" s="1243"/>
      <c r="D638" s="1243"/>
      <c r="E638" s="1243"/>
      <c r="F638" s="1243" t="s">
        <v>189</v>
      </c>
      <c r="G638" s="963"/>
      <c r="H638" s="778" t="s">
        <v>12</v>
      </c>
      <c r="I638" s="830"/>
      <c r="J638" s="830"/>
      <c r="K638" s="831"/>
      <c r="L638" s="831"/>
      <c r="M638" s="831"/>
      <c r="N638" s="1031">
        <v>6960</v>
      </c>
      <c r="O638" s="831"/>
      <c r="P638" s="831"/>
      <c r="Q638" s="1244"/>
      <c r="R638" s="1244"/>
      <c r="S638" s="1244"/>
      <c r="T638" s="1244"/>
      <c r="U638" s="1244"/>
      <c r="V638" s="1244"/>
      <c r="W638" s="1244"/>
      <c r="X638" s="1244"/>
      <c r="Y638" s="1244"/>
      <c r="Z638" s="1244"/>
    </row>
    <row r="639" spans="1:26" ht="18.75">
      <c r="A639" s="1259"/>
      <c r="B639" s="1242"/>
      <c r="C639" s="1243"/>
      <c r="D639" s="1266" t="s">
        <v>21</v>
      </c>
      <c r="E639" s="1243"/>
      <c r="F639" s="1243"/>
      <c r="G639" s="963"/>
      <c r="H639" s="168" t="s">
        <v>12</v>
      </c>
      <c r="I639" s="944"/>
      <c r="J639" s="944"/>
      <c r="K639" s="945"/>
      <c r="L639" s="831">
        <f t="shared" ref="L639:N639" ca="1" si="268">L640+L641</f>
        <v>0</v>
      </c>
      <c r="M639" s="831">
        <f t="shared" si="268"/>
        <v>0</v>
      </c>
      <c r="N639" s="831">
        <f t="shared" si="268"/>
        <v>0</v>
      </c>
      <c r="O639" s="831">
        <f t="shared" ref="O639:O641" ca="1" si="269">IF(L639&gt;0,N639*100/L639,0)</f>
        <v>0</v>
      </c>
      <c r="P639" s="831">
        <f t="shared" ref="P639:P641" si="270">IF(M639&gt;0,N639*100/M639,0)</f>
        <v>0</v>
      </c>
      <c r="Q639" s="1244"/>
      <c r="R639" s="1244"/>
      <c r="S639" s="1244"/>
      <c r="T639" s="1244"/>
      <c r="U639" s="1244"/>
      <c r="V639" s="1244"/>
      <c r="W639" s="1244"/>
      <c r="X639" s="1244"/>
      <c r="Y639" s="1244"/>
      <c r="Z639" s="1244"/>
    </row>
    <row r="640" spans="1:26" ht="18.75" hidden="1">
      <c r="A640" s="1260"/>
      <c r="B640" s="1265"/>
      <c r="C640" s="1261"/>
      <c r="D640" s="1261"/>
      <c r="E640" s="1261" t="s">
        <v>18</v>
      </c>
      <c r="F640" s="1261"/>
      <c r="G640" s="1263"/>
      <c r="H640" s="165" t="s">
        <v>12</v>
      </c>
      <c r="I640" s="947"/>
      <c r="J640" s="947"/>
      <c r="K640" s="948"/>
      <c r="L640" s="837">
        <v>0</v>
      </c>
      <c r="M640" s="837">
        <v>0</v>
      </c>
      <c r="N640" s="837">
        <v>0</v>
      </c>
      <c r="O640" s="837">
        <f t="shared" si="269"/>
        <v>0</v>
      </c>
      <c r="P640" s="837">
        <f t="shared" si="270"/>
        <v>0</v>
      </c>
      <c r="Q640" s="1264"/>
      <c r="R640" s="1264"/>
      <c r="S640" s="1264"/>
      <c r="T640" s="1264"/>
      <c r="U640" s="1264"/>
      <c r="V640" s="1264"/>
      <c r="W640" s="1264"/>
      <c r="X640" s="1264"/>
      <c r="Y640" s="1264"/>
      <c r="Z640" s="1264"/>
    </row>
    <row r="641" spans="1:26" ht="18.75" hidden="1">
      <c r="A641" s="1260"/>
      <c r="B641" s="1265"/>
      <c r="C641" s="1261"/>
      <c r="D641" s="1261"/>
      <c r="E641" s="1261" t="s">
        <v>19</v>
      </c>
      <c r="F641" s="1261"/>
      <c r="G641" s="1263"/>
      <c r="H641" s="169" t="s">
        <v>12</v>
      </c>
      <c r="I641" s="947"/>
      <c r="J641" s="947"/>
      <c r="K641" s="948"/>
      <c r="L641" s="837">
        <f ca="1">IFERROR(__xludf.DUMMYFUNCTION("IMPORTRANGE(""https://docs.google.com/spreadsheets/d/1QqKyyYR6Q21VydFLVH3TRQUabQu_ym0Zz7PgGX0-kHA/edit?usp=sharing"",""แผน!HQ19"")"),0)</f>
        <v>0</v>
      </c>
      <c r="M641" s="837">
        <v>0</v>
      </c>
      <c r="N641" s="837">
        <v>0</v>
      </c>
      <c r="O641" s="837">
        <f t="shared" ca="1" si="269"/>
        <v>0</v>
      </c>
      <c r="P641" s="837">
        <f t="shared" si="270"/>
        <v>0</v>
      </c>
      <c r="Q641" s="1264"/>
      <c r="R641" s="1264"/>
      <c r="S641" s="1264"/>
      <c r="T641" s="1264"/>
      <c r="U641" s="1264"/>
      <c r="V641" s="1264"/>
      <c r="W641" s="1264"/>
      <c r="X641" s="1264"/>
      <c r="Y641" s="1264"/>
      <c r="Z641" s="1264"/>
    </row>
    <row r="642" spans="1:26" ht="19.5">
      <c r="A642" s="1267"/>
      <c r="B642" s="1268"/>
      <c r="C642" s="1243" t="s">
        <v>16</v>
      </c>
      <c r="D642" s="1320" t="s">
        <v>38</v>
      </c>
      <c r="E642" s="1271"/>
      <c r="F642" s="1271"/>
      <c r="G642" s="1272"/>
      <c r="H642" s="954"/>
      <c r="I642" s="944"/>
      <c r="J642" s="944"/>
      <c r="K642" s="945"/>
      <c r="L642" s="945"/>
      <c r="M642" s="945"/>
      <c r="N642" s="945"/>
      <c r="O642" s="945"/>
      <c r="P642" s="945"/>
      <c r="Q642" s="1244"/>
      <c r="R642" s="1244"/>
      <c r="S642" s="1244"/>
      <c r="T642" s="1244"/>
      <c r="U642" s="1244"/>
      <c r="V642" s="1244"/>
      <c r="W642" s="1244"/>
      <c r="X642" s="1244"/>
      <c r="Y642" s="1244"/>
      <c r="Z642" s="1244"/>
    </row>
    <row r="643" spans="1:26" ht="18.75">
      <c r="A643" s="1368"/>
      <c r="B643" s="1242"/>
      <c r="C643" s="1243"/>
      <c r="D643" s="961"/>
      <c r="E643" s="1017" t="s">
        <v>271</v>
      </c>
      <c r="F643" s="961"/>
      <c r="G643" s="954"/>
      <c r="H643" s="730" t="s">
        <v>272</v>
      </c>
      <c r="I643" s="830">
        <f ca="1">IFERROR(__xludf.DUMMYFUNCTION("IMPORTRANGE(""https://docs.google.com/spreadsheets/d/1QqKyyYR6Q21VydFLVH3TRQUabQu_ym0Zz7PgGX0-kHA/edit?usp=sharing"",""แผน!HR19"")"),1)</f>
        <v>1</v>
      </c>
      <c r="J643" s="959">
        <v>0</v>
      </c>
      <c r="K643" s="945">
        <f t="shared" ref="K643:K652" ca="1" si="271">IF(I643&gt;0,J643*100/I643,0)</f>
        <v>0</v>
      </c>
      <c r="L643" s="945"/>
      <c r="M643" s="945"/>
      <c r="N643" s="831"/>
      <c r="O643" s="945"/>
      <c r="P643" s="945"/>
      <c r="Q643" s="1244"/>
      <c r="R643" s="1244"/>
      <c r="S643" s="1244"/>
      <c r="T643" s="1244"/>
      <c r="U643" s="1244"/>
      <c r="V643" s="1244"/>
      <c r="W643" s="1244"/>
      <c r="X643" s="1244"/>
      <c r="Y643" s="1244"/>
      <c r="Z643" s="1244"/>
    </row>
    <row r="644" spans="1:26" ht="18.75">
      <c r="A644" s="1368"/>
      <c r="B644" s="1242"/>
      <c r="C644" s="1243"/>
      <c r="D644" s="961"/>
      <c r="E644" s="1017" t="s">
        <v>273</v>
      </c>
      <c r="F644" s="961"/>
      <c r="G644" s="954"/>
      <c r="H644" s="730" t="s">
        <v>274</v>
      </c>
      <c r="I644" s="830">
        <f ca="1">IFERROR(__xludf.DUMMYFUNCTION("IMPORTRANGE(""https://docs.google.com/spreadsheets/d/1QqKyyYR6Q21VydFLVH3TRQUabQu_ym0Zz7PgGX0-kHA/edit?usp=sharing"",""แผน!HR19"")"),1)</f>
        <v>1</v>
      </c>
      <c r="J644" s="959">
        <v>0</v>
      </c>
      <c r="K644" s="945">
        <f t="shared" ca="1" si="271"/>
        <v>0</v>
      </c>
      <c r="L644" s="945"/>
      <c r="M644" s="945"/>
      <c r="N644" s="831"/>
      <c r="O644" s="945"/>
      <c r="P644" s="945"/>
      <c r="Q644" s="1244"/>
      <c r="R644" s="1244"/>
      <c r="S644" s="1244"/>
      <c r="T644" s="1244"/>
      <c r="U644" s="1244"/>
      <c r="V644" s="1244"/>
      <c r="W644" s="1244"/>
      <c r="X644" s="1244"/>
      <c r="Y644" s="1244"/>
      <c r="Z644" s="1244"/>
    </row>
    <row r="645" spans="1:26" ht="18.75">
      <c r="A645" s="1368"/>
      <c r="B645" s="1242"/>
      <c r="C645" s="1243"/>
      <c r="D645" s="961"/>
      <c r="E645" s="1017" t="s">
        <v>275</v>
      </c>
      <c r="F645" s="961"/>
      <c r="G645" s="954"/>
      <c r="H645" s="730" t="s">
        <v>34</v>
      </c>
      <c r="I645" s="830">
        <v>0</v>
      </c>
      <c r="J645" s="830">
        <f ca="1">IFERROR(__xludf.DUMMYFUNCTION("IMPORTRANGE(""https://docs.google.com/spreadsheets/d/1XWAQStnk-4SwqDmLtmXYiTMKHgktTP8We1SCoS47DrQ/edit?usp=sharing"",""จัดที่ดิน!AS19"")"),17)</f>
        <v>17</v>
      </c>
      <c r="K645" s="945">
        <f t="shared" si="271"/>
        <v>0</v>
      </c>
      <c r="L645" s="945"/>
      <c r="M645" s="945"/>
      <c r="N645" s="831"/>
      <c r="O645" s="945"/>
      <c r="P645" s="945"/>
      <c r="Q645" s="1244"/>
      <c r="R645" s="1244"/>
      <c r="S645" s="1244"/>
      <c r="T645" s="1244"/>
      <c r="U645" s="1244"/>
      <c r="V645" s="1244"/>
      <c r="W645" s="1244"/>
      <c r="X645" s="1244"/>
      <c r="Y645" s="1244"/>
      <c r="Z645" s="1244"/>
    </row>
    <row r="646" spans="1:26" ht="18.75">
      <c r="A646" s="1368"/>
      <c r="B646" s="1242"/>
      <c r="C646" s="1243"/>
      <c r="D646" s="961"/>
      <c r="E646" s="961"/>
      <c r="F646" s="961"/>
      <c r="G646" s="954"/>
      <c r="H646" s="730" t="s">
        <v>46</v>
      </c>
      <c r="I646" s="830">
        <v>0</v>
      </c>
      <c r="J646" s="1480">
        <f ca="1">IFERROR(__xludf.DUMMYFUNCTION("IMPORTRANGE(""https://docs.google.com/spreadsheets/d/1XWAQStnk-4SwqDmLtmXYiTMKHgktTP8We1SCoS47DrQ/edit?usp=sharing"",""จัดที่ดิน!AT19"")"),3.87)</f>
        <v>3.87</v>
      </c>
      <c r="K646" s="831">
        <f t="shared" si="271"/>
        <v>0</v>
      </c>
      <c r="L646" s="945"/>
      <c r="M646" s="945"/>
      <c r="N646" s="831"/>
      <c r="O646" s="945"/>
      <c r="P646" s="945"/>
      <c r="Q646" s="1244"/>
      <c r="R646" s="1244"/>
      <c r="S646" s="1244"/>
      <c r="T646" s="1244"/>
      <c r="U646" s="1244"/>
      <c r="V646" s="1244"/>
      <c r="W646" s="1244"/>
      <c r="X646" s="1244"/>
      <c r="Y646" s="1244"/>
      <c r="Z646" s="1244"/>
    </row>
    <row r="647" spans="1:26" ht="18.75">
      <c r="A647" s="1368"/>
      <c r="B647" s="1242"/>
      <c r="C647" s="1243"/>
      <c r="D647" s="961"/>
      <c r="E647" s="1017" t="s">
        <v>162</v>
      </c>
      <c r="F647" s="961"/>
      <c r="G647" s="954"/>
      <c r="H647" s="730" t="s">
        <v>35</v>
      </c>
      <c r="I647" s="830">
        <f ca="1">IFERROR(__xludf.DUMMYFUNCTION("IMPORTRANGE(""https://docs.google.com/spreadsheets/d/1QqKyyYR6Q21VydFLVH3TRQUabQu_ym0Zz7PgGX0-kHA/edit?usp=sharing"",""แผน!HS19"")"),70)</f>
        <v>70</v>
      </c>
      <c r="J647" s="830">
        <f ca="1">IFERROR(__xludf.DUMMYFUNCTION("IMPORTRANGE(""https://docs.google.com/spreadsheets/d/1XWAQStnk-4SwqDmLtmXYiTMKHgktTP8We1SCoS47DrQ/edit?usp=sharing"",""จัดที่ดิน!AU19"")"),51)</f>
        <v>51</v>
      </c>
      <c r="K647" s="945">
        <f t="shared" ca="1" si="271"/>
        <v>72.857142857142861</v>
      </c>
      <c r="L647" s="945"/>
      <c r="M647" s="945"/>
      <c r="N647" s="945"/>
      <c r="O647" s="945"/>
      <c r="P647" s="945"/>
      <c r="Q647" s="1244"/>
      <c r="R647" s="1244"/>
      <c r="S647" s="1244"/>
      <c r="T647" s="1244"/>
      <c r="U647" s="1244"/>
      <c r="V647" s="1244"/>
      <c r="W647" s="1244"/>
      <c r="X647" s="1244"/>
      <c r="Y647" s="1244"/>
      <c r="Z647" s="1244"/>
    </row>
    <row r="648" spans="1:26" ht="18.75">
      <c r="A648" s="1368"/>
      <c r="B648" s="1242"/>
      <c r="C648" s="1243"/>
      <c r="D648" s="961"/>
      <c r="E648" s="961"/>
      <c r="F648" s="961"/>
      <c r="G648" s="954"/>
      <c r="H648" s="730" t="s">
        <v>46</v>
      </c>
      <c r="I648" s="830">
        <v>0</v>
      </c>
      <c r="J648" s="830">
        <f ca="1">IFERROR(__xludf.DUMMYFUNCTION("IMPORTRANGE(""https://docs.google.com/spreadsheets/d/1XWAQStnk-4SwqDmLtmXYiTMKHgktTP8We1SCoS47DrQ/edit?usp=sharing"",""จัดที่ดิน!AV19"")"),20.25)</f>
        <v>20.25</v>
      </c>
      <c r="K648" s="831">
        <f t="shared" si="271"/>
        <v>0</v>
      </c>
      <c r="L648" s="945"/>
      <c r="M648" s="945"/>
      <c r="N648" s="945"/>
      <c r="O648" s="945"/>
      <c r="P648" s="945"/>
      <c r="Q648" s="1244"/>
      <c r="R648" s="1244"/>
      <c r="S648" s="1244"/>
      <c r="T648" s="1244"/>
      <c r="U648" s="1244"/>
      <c r="V648" s="1244"/>
      <c r="W648" s="1244"/>
      <c r="X648" s="1244"/>
      <c r="Y648" s="1244"/>
      <c r="Z648" s="1244"/>
    </row>
    <row r="649" spans="1:26" ht="18.75">
      <c r="A649" s="1368"/>
      <c r="B649" s="1242"/>
      <c r="C649" s="1243"/>
      <c r="D649" s="961"/>
      <c r="E649" s="1017" t="s">
        <v>276</v>
      </c>
      <c r="F649" s="961"/>
      <c r="G649" s="954"/>
      <c r="H649" s="730" t="s">
        <v>35</v>
      </c>
      <c r="I649" s="830">
        <f ca="1">IFERROR(__xludf.DUMMYFUNCTION("IMPORTRANGE(""https://docs.google.com/spreadsheets/d/1QqKyyYR6Q21VydFLVH3TRQUabQu_ym0Zz7PgGX0-kHA/edit?usp=sharing"",""แผน!HS19"")"),70)</f>
        <v>70</v>
      </c>
      <c r="J649" s="830">
        <f ca="1">IFERROR(__xludf.DUMMYFUNCTION("IMPORTRANGE(""https://docs.google.com/spreadsheets/d/1XWAQStnk-4SwqDmLtmXYiTMKHgktTP8We1SCoS47DrQ/edit?usp=sharing"",""จัดที่ดิน!AW19"")"),0)</f>
        <v>0</v>
      </c>
      <c r="K649" s="945">
        <f t="shared" ca="1" si="271"/>
        <v>0</v>
      </c>
      <c r="L649" s="945"/>
      <c r="M649" s="945"/>
      <c r="N649" s="945"/>
      <c r="O649" s="945"/>
      <c r="P649" s="945"/>
      <c r="Q649" s="1244"/>
      <c r="R649" s="1244"/>
      <c r="S649" s="1244"/>
      <c r="T649" s="1244"/>
      <c r="U649" s="1244"/>
      <c r="V649" s="1244"/>
      <c r="W649" s="1244"/>
      <c r="X649" s="1244"/>
      <c r="Y649" s="1244"/>
      <c r="Z649" s="1244"/>
    </row>
    <row r="650" spans="1:26" ht="18.75">
      <c r="A650" s="1368"/>
      <c r="B650" s="1242"/>
      <c r="C650" s="1243"/>
      <c r="D650" s="961"/>
      <c r="E650" s="961"/>
      <c r="F650" s="961"/>
      <c r="G650" s="954"/>
      <c r="H650" s="730" t="s">
        <v>46</v>
      </c>
      <c r="I650" s="830">
        <v>0</v>
      </c>
      <c r="J650" s="830">
        <f ca="1">IFERROR(__xludf.DUMMYFUNCTION("IMPORTRANGE(""https://docs.google.com/spreadsheets/d/1XWAQStnk-4SwqDmLtmXYiTMKHgktTP8We1SCoS47DrQ/edit?usp=sharing"",""จัดที่ดิน!AX19"")"),0)</f>
        <v>0</v>
      </c>
      <c r="K650" s="831">
        <f t="shared" si="271"/>
        <v>0</v>
      </c>
      <c r="L650" s="945"/>
      <c r="M650" s="945"/>
      <c r="N650" s="945"/>
      <c r="O650" s="945"/>
      <c r="P650" s="945"/>
      <c r="Q650" s="1244"/>
      <c r="R650" s="1244"/>
      <c r="S650" s="1244"/>
      <c r="T650" s="1244"/>
      <c r="U650" s="1244"/>
      <c r="V650" s="1244"/>
      <c r="W650" s="1244"/>
      <c r="X650" s="1244"/>
      <c r="Y650" s="1244"/>
      <c r="Z650" s="1244"/>
    </row>
    <row r="651" spans="1:26" ht="18.75">
      <c r="A651" s="1368"/>
      <c r="B651" s="1242"/>
      <c r="C651" s="1243"/>
      <c r="D651" s="961"/>
      <c r="E651" s="1017" t="s">
        <v>277</v>
      </c>
      <c r="F651" s="961"/>
      <c r="G651" s="954"/>
      <c r="H651" s="730" t="s">
        <v>35</v>
      </c>
      <c r="I651" s="830">
        <f ca="1">IFERROR(__xludf.DUMMYFUNCTION("IMPORTRANGE(""https://docs.google.com/spreadsheets/d/1QqKyyYR6Q21VydFLVH3TRQUabQu_ym0Zz7PgGX0-kHA/edit?usp=sharing"",""แผน!HS19"")"),70)</f>
        <v>70</v>
      </c>
      <c r="J651" s="830">
        <f ca="1">IFERROR(__xludf.DUMMYFUNCTION("IMPORTRANGE(""https://docs.google.com/spreadsheets/d/1XWAQStnk-4SwqDmLtmXYiTMKHgktTP8We1SCoS47DrQ/edit?usp=sharing"",""จัดที่ดิน!AY19"")"),0)</f>
        <v>0</v>
      </c>
      <c r="K651" s="945">
        <f t="shared" ca="1" si="271"/>
        <v>0</v>
      </c>
      <c r="L651" s="945"/>
      <c r="M651" s="945"/>
      <c r="N651" s="945"/>
      <c r="O651" s="945"/>
      <c r="P651" s="945"/>
      <c r="Q651" s="1244"/>
      <c r="R651" s="1244"/>
      <c r="S651" s="1244"/>
      <c r="T651" s="1244"/>
      <c r="U651" s="1244"/>
      <c r="V651" s="1244"/>
      <c r="W651" s="1244"/>
      <c r="X651" s="1244"/>
      <c r="Y651" s="1244"/>
      <c r="Z651" s="1244"/>
    </row>
    <row r="652" spans="1:26" ht="18.75">
      <c r="A652" s="1369"/>
      <c r="B652" s="1370"/>
      <c r="C652" s="1371"/>
      <c r="D652" s="1116"/>
      <c r="E652" s="1116"/>
      <c r="F652" s="1116"/>
      <c r="G652" s="1361"/>
      <c r="H652" s="468" t="s">
        <v>46</v>
      </c>
      <c r="I652" s="1085">
        <v>0</v>
      </c>
      <c r="J652" s="1085">
        <f ca="1">IFERROR(__xludf.DUMMYFUNCTION("IMPORTRANGE(""https://docs.google.com/spreadsheets/d/1XWAQStnk-4SwqDmLtmXYiTMKHgktTP8We1SCoS47DrQ/edit?usp=sharing"",""จัดที่ดิน!AZ19"")"),0)</f>
        <v>0</v>
      </c>
      <c r="K652" s="1182">
        <f t="shared" si="271"/>
        <v>0</v>
      </c>
      <c r="L652" s="1086"/>
      <c r="M652" s="1086"/>
      <c r="N652" s="1086"/>
      <c r="O652" s="1086"/>
      <c r="P652" s="1086"/>
      <c r="Q652" s="1244"/>
      <c r="R652" s="1244"/>
      <c r="S652" s="1244"/>
      <c r="T652" s="1244"/>
      <c r="U652" s="1244"/>
      <c r="V652" s="1244"/>
      <c r="W652" s="1244"/>
      <c r="X652" s="1244"/>
      <c r="Y652" s="1244"/>
      <c r="Z652" s="1244"/>
    </row>
    <row r="653" spans="1:26" ht="19.5" hidden="1">
      <c r="A653" s="716">
        <v>8</v>
      </c>
      <c r="B653" s="1362" t="s">
        <v>278</v>
      </c>
      <c r="C653" s="1363"/>
      <c r="D653" s="1363"/>
      <c r="E653" s="1363"/>
      <c r="F653" s="1363"/>
      <c r="G653" s="1364"/>
      <c r="H653" s="1364"/>
      <c r="I653" s="1372"/>
      <c r="J653" s="1372"/>
      <c r="K653" s="1367"/>
      <c r="L653" s="1367"/>
      <c r="M653" s="1367"/>
      <c r="N653" s="1367"/>
      <c r="O653" s="1367"/>
      <c r="P653" s="1367"/>
      <c r="Q653" s="1244"/>
      <c r="R653" s="1244"/>
      <c r="S653" s="1244"/>
      <c r="T653" s="1244"/>
      <c r="U653" s="1244"/>
      <c r="V653" s="1244"/>
      <c r="W653" s="1244"/>
      <c r="X653" s="1244"/>
      <c r="Y653" s="1244"/>
      <c r="Z653" s="1244"/>
    </row>
    <row r="654" spans="1:26" ht="19.5" hidden="1">
      <c r="A654" s="1315"/>
      <c r="B654" s="1314" t="s">
        <v>279</v>
      </c>
      <c r="C654" s="1315"/>
      <c r="D654" s="1315"/>
      <c r="E654" s="1315"/>
      <c r="F654" s="1315"/>
      <c r="G654" s="1316"/>
      <c r="H654" s="673" t="s">
        <v>46</v>
      </c>
      <c r="I654" s="1317">
        <f t="shared" ref="I654:J654" ca="1" si="272">I669</f>
        <v>0</v>
      </c>
      <c r="J654" s="1317">
        <f t="shared" si="272"/>
        <v>0</v>
      </c>
      <c r="K654" s="1318">
        <f ca="1">IF(I654&gt;0,J654*100/I654,0)</f>
        <v>0</v>
      </c>
      <c r="L654" s="1319"/>
      <c r="M654" s="1319"/>
      <c r="N654" s="1319"/>
      <c r="O654" s="1319"/>
      <c r="P654" s="1319"/>
      <c r="Q654" s="1244"/>
      <c r="R654" s="1244"/>
      <c r="S654" s="1244"/>
      <c r="T654" s="1244"/>
      <c r="U654" s="1244"/>
      <c r="V654" s="1244"/>
      <c r="W654" s="1244"/>
      <c r="X654" s="1244"/>
      <c r="Y654" s="1244"/>
      <c r="Z654" s="1244"/>
    </row>
    <row r="655" spans="1:26" ht="19.5" hidden="1">
      <c r="A655" s="1259"/>
      <c r="B655" s="1243"/>
      <c r="C655" s="1243" t="s">
        <v>16</v>
      </c>
      <c r="D655" s="1507" t="s">
        <v>17</v>
      </c>
      <c r="E655" s="1485"/>
      <c r="F655" s="1485"/>
      <c r="G655" s="963"/>
      <c r="H655" s="563" t="s">
        <v>12</v>
      </c>
      <c r="I655" s="830"/>
      <c r="J655" s="830"/>
      <c r="K655" s="831"/>
      <c r="L655" s="967">
        <f t="shared" ref="L655:N655" ca="1" si="273">L656+L657</f>
        <v>0</v>
      </c>
      <c r="M655" s="967">
        <f t="shared" si="273"/>
        <v>0</v>
      </c>
      <c r="N655" s="967">
        <f t="shared" si="273"/>
        <v>0</v>
      </c>
      <c r="O655" s="967">
        <f t="shared" ref="O655:O660" ca="1" si="274">IF(L655&gt;0,N655*100/L655,0)</f>
        <v>0</v>
      </c>
      <c r="P655" s="967">
        <f t="shared" ref="P655:P660" si="275">IF(M655&gt;0,N655*100/M655,0)</f>
        <v>0</v>
      </c>
      <c r="Q655" s="1244"/>
      <c r="R655" s="1244"/>
      <c r="S655" s="1244"/>
      <c r="T655" s="1244"/>
      <c r="U655" s="1244"/>
      <c r="V655" s="1244"/>
      <c r="W655" s="1244"/>
      <c r="X655" s="1244"/>
      <c r="Y655" s="1244"/>
      <c r="Z655" s="1244"/>
    </row>
    <row r="656" spans="1:26" ht="18.75" hidden="1">
      <c r="A656" s="1260"/>
      <c r="B656" s="1261"/>
      <c r="C656" s="1261"/>
      <c r="D656" s="1262"/>
      <c r="E656" s="1261" t="s">
        <v>184</v>
      </c>
      <c r="F656" s="1261"/>
      <c r="G656" s="1263"/>
      <c r="H656" s="165" t="s">
        <v>12</v>
      </c>
      <c r="I656" s="836"/>
      <c r="J656" s="836"/>
      <c r="K656" s="837"/>
      <c r="L656" s="837">
        <f t="shared" ref="L656:N657" si="276">L659+L666</f>
        <v>0</v>
      </c>
      <c r="M656" s="837">
        <f t="shared" si="276"/>
        <v>0</v>
      </c>
      <c r="N656" s="837">
        <f t="shared" si="276"/>
        <v>0</v>
      </c>
      <c r="O656" s="837">
        <f t="shared" si="274"/>
        <v>0</v>
      </c>
      <c r="P656" s="837">
        <f t="shared" si="275"/>
        <v>0</v>
      </c>
      <c r="Q656" s="1264"/>
      <c r="R656" s="1264"/>
      <c r="S656" s="1264"/>
      <c r="T656" s="1264"/>
      <c r="U656" s="1264"/>
      <c r="V656" s="1264"/>
      <c r="W656" s="1264"/>
      <c r="X656" s="1264"/>
      <c r="Y656" s="1264"/>
      <c r="Z656" s="1264"/>
    </row>
    <row r="657" spans="1:26" ht="18.75" hidden="1">
      <c r="A657" s="1260"/>
      <c r="B657" s="1265"/>
      <c r="C657" s="1261"/>
      <c r="D657" s="1262"/>
      <c r="E657" s="1261" t="s">
        <v>185</v>
      </c>
      <c r="F657" s="1261"/>
      <c r="G657" s="1263"/>
      <c r="H657" s="165" t="s">
        <v>12</v>
      </c>
      <c r="I657" s="836"/>
      <c r="J657" s="836"/>
      <c r="K657" s="837"/>
      <c r="L657" s="837">
        <f t="shared" ca="1" si="276"/>
        <v>0</v>
      </c>
      <c r="M657" s="837">
        <f t="shared" si="276"/>
        <v>0</v>
      </c>
      <c r="N657" s="837">
        <f t="shared" si="276"/>
        <v>0</v>
      </c>
      <c r="O657" s="837">
        <f t="shared" ca="1" si="274"/>
        <v>0</v>
      </c>
      <c r="P657" s="837">
        <f t="shared" si="275"/>
        <v>0</v>
      </c>
      <c r="Q657" s="1264"/>
      <c r="R657" s="1264"/>
      <c r="S657" s="1264"/>
      <c r="T657" s="1264"/>
      <c r="U657" s="1264"/>
      <c r="V657" s="1264"/>
      <c r="W657" s="1264"/>
      <c r="X657" s="1264"/>
      <c r="Y657" s="1264"/>
      <c r="Z657" s="1264"/>
    </row>
    <row r="658" spans="1:26" ht="18.75" hidden="1">
      <c r="A658" s="1259"/>
      <c r="B658" s="1242"/>
      <c r="C658" s="1243"/>
      <c r="D658" s="1266" t="s">
        <v>20</v>
      </c>
      <c r="E658" s="1243"/>
      <c r="F658" s="1243"/>
      <c r="G658" s="963"/>
      <c r="H658" s="778" t="s">
        <v>12</v>
      </c>
      <c r="I658" s="944"/>
      <c r="J658" s="944"/>
      <c r="K658" s="945"/>
      <c r="L658" s="831">
        <f t="shared" ref="L658:N658" ca="1" si="277">L659+L660</f>
        <v>0</v>
      </c>
      <c r="M658" s="831">
        <f t="shared" si="277"/>
        <v>0</v>
      </c>
      <c r="N658" s="831">
        <f t="shared" si="277"/>
        <v>0</v>
      </c>
      <c r="O658" s="831">
        <f t="shared" ca="1" si="274"/>
        <v>0</v>
      </c>
      <c r="P658" s="831">
        <f t="shared" si="275"/>
        <v>0</v>
      </c>
      <c r="Q658" s="1244"/>
      <c r="R658" s="1244"/>
      <c r="S658" s="1244"/>
      <c r="T658" s="1244"/>
      <c r="U658" s="1244"/>
      <c r="V658" s="1244"/>
      <c r="W658" s="1244"/>
      <c r="X658" s="1244"/>
      <c r="Y658" s="1244"/>
      <c r="Z658" s="1244"/>
    </row>
    <row r="659" spans="1:26" ht="18.75" hidden="1">
      <c r="A659" s="1260"/>
      <c r="B659" s="1265"/>
      <c r="C659" s="1261"/>
      <c r="D659" s="1262"/>
      <c r="E659" s="1261" t="s">
        <v>184</v>
      </c>
      <c r="F659" s="1261"/>
      <c r="G659" s="1263"/>
      <c r="H659" s="165" t="s">
        <v>12</v>
      </c>
      <c r="I659" s="836"/>
      <c r="J659" s="836"/>
      <c r="K659" s="837"/>
      <c r="L659" s="837">
        <v>0</v>
      </c>
      <c r="M659" s="837">
        <v>0</v>
      </c>
      <c r="N659" s="837">
        <v>0</v>
      </c>
      <c r="O659" s="837">
        <f t="shared" si="274"/>
        <v>0</v>
      </c>
      <c r="P659" s="837">
        <f t="shared" si="275"/>
        <v>0</v>
      </c>
      <c r="Q659" s="1264"/>
      <c r="R659" s="1264"/>
      <c r="S659" s="1264"/>
      <c r="T659" s="1264"/>
      <c r="U659" s="1264"/>
      <c r="V659" s="1264"/>
      <c r="W659" s="1264"/>
      <c r="X659" s="1264"/>
      <c r="Y659" s="1264"/>
      <c r="Z659" s="1264"/>
    </row>
    <row r="660" spans="1:26" ht="18.75" hidden="1">
      <c r="A660" s="1260"/>
      <c r="B660" s="1265"/>
      <c r="C660" s="1261"/>
      <c r="D660" s="1262"/>
      <c r="E660" s="1261" t="s">
        <v>185</v>
      </c>
      <c r="F660" s="1261"/>
      <c r="G660" s="1263"/>
      <c r="H660" s="165" t="s">
        <v>12</v>
      </c>
      <c r="I660" s="836"/>
      <c r="J660" s="836"/>
      <c r="K660" s="837"/>
      <c r="L660" s="837">
        <f ca="1">IFERROR(__xludf.DUMMYFUNCTION("IMPORTRANGE(""https://docs.google.com/spreadsheets/d/1QqKyyYR6Q21VydFLVH3TRQUabQu_ym0Zz7PgGX0-kHA/edit?usp=sharing"",""แผน!HV19"")"),0)</f>
        <v>0</v>
      </c>
      <c r="M660" s="837">
        <v>0</v>
      </c>
      <c r="N660" s="837">
        <f>N661+N662+N663+N664</f>
        <v>0</v>
      </c>
      <c r="O660" s="837">
        <f t="shared" ca="1" si="274"/>
        <v>0</v>
      </c>
      <c r="P660" s="837">
        <f t="shared" si="275"/>
        <v>0</v>
      </c>
      <c r="Q660" s="1264"/>
      <c r="R660" s="1264"/>
      <c r="S660" s="1264"/>
      <c r="T660" s="1264"/>
      <c r="U660" s="1264"/>
      <c r="V660" s="1264"/>
      <c r="W660" s="1264"/>
      <c r="X660" s="1264"/>
      <c r="Y660" s="1264"/>
      <c r="Z660" s="1264"/>
    </row>
    <row r="661" spans="1:26" ht="18.75" hidden="1">
      <c r="A661" s="1241"/>
      <c r="B661" s="1242"/>
      <c r="C661" s="1243"/>
      <c r="D661" s="1243"/>
      <c r="E661" s="1243"/>
      <c r="F661" s="1243" t="s">
        <v>186</v>
      </c>
      <c r="G661" s="963"/>
      <c r="H661" s="778" t="s">
        <v>12</v>
      </c>
      <c r="I661" s="830"/>
      <c r="J661" s="830"/>
      <c r="K661" s="831"/>
      <c r="L661" s="831"/>
      <c r="M661" s="831"/>
      <c r="N661" s="1031">
        <v>0</v>
      </c>
      <c r="O661" s="831"/>
      <c r="P661" s="831"/>
      <c r="Q661" s="1244"/>
      <c r="R661" s="1244"/>
      <c r="S661" s="1244"/>
      <c r="T661" s="1244"/>
      <c r="U661" s="1244"/>
      <c r="V661" s="1244"/>
      <c r="W661" s="1244"/>
      <c r="X661" s="1244"/>
      <c r="Y661" s="1244"/>
      <c r="Z661" s="1244"/>
    </row>
    <row r="662" spans="1:26" ht="18.75" hidden="1">
      <c r="A662" s="1241"/>
      <c r="B662" s="1242"/>
      <c r="C662" s="1243"/>
      <c r="D662" s="1243"/>
      <c r="E662" s="1243"/>
      <c r="F662" s="1243" t="s">
        <v>187</v>
      </c>
      <c r="G662" s="963"/>
      <c r="H662" s="778" t="s">
        <v>12</v>
      </c>
      <c r="I662" s="830"/>
      <c r="J662" s="830"/>
      <c r="K662" s="831"/>
      <c r="L662" s="831"/>
      <c r="M662" s="831"/>
      <c r="N662" s="1031">
        <v>0</v>
      </c>
      <c r="O662" s="831"/>
      <c r="P662" s="831"/>
      <c r="Q662" s="1244"/>
      <c r="R662" s="1244"/>
      <c r="S662" s="1244"/>
      <c r="T662" s="1244"/>
      <c r="U662" s="1244"/>
      <c r="V662" s="1244"/>
      <c r="W662" s="1244"/>
      <c r="X662" s="1244"/>
      <c r="Y662" s="1244"/>
      <c r="Z662" s="1244"/>
    </row>
    <row r="663" spans="1:26" ht="18.75" hidden="1">
      <c r="A663" s="1241"/>
      <c r="B663" s="1242"/>
      <c r="C663" s="1242"/>
      <c r="D663" s="1243"/>
      <c r="E663" s="1243"/>
      <c r="F663" s="1243" t="s">
        <v>188</v>
      </c>
      <c r="G663" s="963"/>
      <c r="H663" s="778" t="s">
        <v>12</v>
      </c>
      <c r="I663" s="830"/>
      <c r="J663" s="830"/>
      <c r="K663" s="831"/>
      <c r="L663" s="831"/>
      <c r="M663" s="831"/>
      <c r="N663" s="1031">
        <v>0</v>
      </c>
      <c r="O663" s="831"/>
      <c r="P663" s="831"/>
      <c r="Q663" s="1244"/>
      <c r="R663" s="1244"/>
      <c r="S663" s="1244"/>
      <c r="T663" s="1244"/>
      <c r="U663" s="1244"/>
      <c r="V663" s="1244"/>
      <c r="W663" s="1244"/>
      <c r="X663" s="1244"/>
      <c r="Y663" s="1244"/>
      <c r="Z663" s="1244"/>
    </row>
    <row r="664" spans="1:26" ht="18.75" hidden="1">
      <c r="A664" s="1241"/>
      <c r="B664" s="1242"/>
      <c r="C664" s="1242"/>
      <c r="D664" s="1242"/>
      <c r="E664" s="1243"/>
      <c r="F664" s="1243" t="s">
        <v>189</v>
      </c>
      <c r="G664" s="963"/>
      <c r="H664" s="778" t="s">
        <v>12</v>
      </c>
      <c r="I664" s="830"/>
      <c r="J664" s="830"/>
      <c r="K664" s="831"/>
      <c r="L664" s="831"/>
      <c r="M664" s="831"/>
      <c r="N664" s="1031">
        <v>0</v>
      </c>
      <c r="O664" s="831"/>
      <c r="P664" s="831"/>
      <c r="Q664" s="1244"/>
      <c r="R664" s="1244"/>
      <c r="S664" s="1244"/>
      <c r="T664" s="1244"/>
      <c r="U664" s="1244"/>
      <c r="V664" s="1244"/>
      <c r="W664" s="1244"/>
      <c r="X664" s="1244"/>
      <c r="Y664" s="1244"/>
      <c r="Z664" s="1244"/>
    </row>
    <row r="665" spans="1:26" ht="18.75" hidden="1">
      <c r="A665" s="1259"/>
      <c r="B665" s="1242"/>
      <c r="C665" s="1242"/>
      <c r="D665" s="1266" t="s">
        <v>21</v>
      </c>
      <c r="E665" s="1243"/>
      <c r="F665" s="1243"/>
      <c r="G665" s="963"/>
      <c r="H665" s="168" t="s">
        <v>12</v>
      </c>
      <c r="I665" s="944"/>
      <c r="J665" s="944"/>
      <c r="K665" s="945"/>
      <c r="L665" s="831">
        <f t="shared" ref="L665:N665" si="278">L666+L667</f>
        <v>0</v>
      </c>
      <c r="M665" s="831">
        <f t="shared" si="278"/>
        <v>0</v>
      </c>
      <c r="N665" s="831">
        <f t="shared" si="278"/>
        <v>0</v>
      </c>
      <c r="O665" s="831">
        <f t="shared" ref="O665:O667" si="279">IF(L665&gt;0,N665*100/L665,0)</f>
        <v>0</v>
      </c>
      <c r="P665" s="831">
        <f t="shared" ref="P665:P667" si="280">IF(M665&gt;0,N665*100/M665,0)</f>
        <v>0</v>
      </c>
      <c r="Q665" s="1244"/>
      <c r="R665" s="1244"/>
      <c r="S665" s="1244"/>
      <c r="T665" s="1244"/>
      <c r="U665" s="1244"/>
      <c r="V665" s="1244"/>
      <c r="W665" s="1244"/>
      <c r="X665" s="1244"/>
      <c r="Y665" s="1244"/>
      <c r="Z665" s="1244"/>
    </row>
    <row r="666" spans="1:26" ht="18.75" hidden="1">
      <c r="A666" s="1260"/>
      <c r="B666" s="1265"/>
      <c r="C666" s="1265"/>
      <c r="D666" s="1265"/>
      <c r="E666" s="1261" t="s">
        <v>18</v>
      </c>
      <c r="F666" s="1261"/>
      <c r="G666" s="1263"/>
      <c r="H666" s="165" t="s">
        <v>12</v>
      </c>
      <c r="I666" s="947"/>
      <c r="J666" s="947"/>
      <c r="K666" s="948"/>
      <c r="L666" s="837">
        <v>0</v>
      </c>
      <c r="M666" s="837">
        <v>0</v>
      </c>
      <c r="N666" s="837">
        <v>0</v>
      </c>
      <c r="O666" s="837">
        <f t="shared" si="279"/>
        <v>0</v>
      </c>
      <c r="P666" s="837">
        <f t="shared" si="280"/>
        <v>0</v>
      </c>
      <c r="Q666" s="1264"/>
      <c r="R666" s="1264"/>
      <c r="S666" s="1264"/>
      <c r="T666" s="1264"/>
      <c r="U666" s="1264"/>
      <c r="V666" s="1264"/>
      <c r="W666" s="1264"/>
      <c r="X666" s="1264"/>
      <c r="Y666" s="1264"/>
      <c r="Z666" s="1264"/>
    </row>
    <row r="667" spans="1:26" ht="18.75" hidden="1">
      <c r="A667" s="1260"/>
      <c r="B667" s="1265"/>
      <c r="C667" s="1265"/>
      <c r="D667" s="1265"/>
      <c r="E667" s="1261" t="s">
        <v>19</v>
      </c>
      <c r="F667" s="1261"/>
      <c r="G667" s="1263"/>
      <c r="H667" s="169" t="s">
        <v>12</v>
      </c>
      <c r="I667" s="947"/>
      <c r="J667" s="947"/>
      <c r="K667" s="948"/>
      <c r="L667" s="837">
        <v>0</v>
      </c>
      <c r="M667" s="837">
        <v>0</v>
      </c>
      <c r="N667" s="837">
        <v>0</v>
      </c>
      <c r="O667" s="837">
        <f t="shared" si="279"/>
        <v>0</v>
      </c>
      <c r="P667" s="837">
        <f t="shared" si="280"/>
        <v>0</v>
      </c>
      <c r="Q667" s="1264"/>
      <c r="R667" s="1264"/>
      <c r="S667" s="1264"/>
      <c r="T667" s="1264"/>
      <c r="U667" s="1264"/>
      <c r="V667" s="1264"/>
      <c r="W667" s="1264"/>
      <c r="X667" s="1264"/>
      <c r="Y667" s="1264"/>
      <c r="Z667" s="1264"/>
    </row>
    <row r="668" spans="1:26" ht="19.5" hidden="1">
      <c r="A668" s="1267"/>
      <c r="B668" s="1268"/>
      <c r="C668" s="1242" t="s">
        <v>16</v>
      </c>
      <c r="D668" s="1269" t="s">
        <v>38</v>
      </c>
      <c r="E668" s="1271"/>
      <c r="F668" s="1271"/>
      <c r="G668" s="1272"/>
      <c r="H668" s="954"/>
      <c r="I668" s="944"/>
      <c r="J668" s="944"/>
      <c r="K668" s="945"/>
      <c r="L668" s="945"/>
      <c r="M668" s="945"/>
      <c r="N668" s="945"/>
      <c r="O668" s="945"/>
      <c r="P668" s="945"/>
      <c r="Q668" s="1244"/>
      <c r="R668" s="1244"/>
      <c r="S668" s="1244"/>
      <c r="T668" s="1244"/>
      <c r="U668" s="1244"/>
      <c r="V668" s="1244"/>
      <c r="W668" s="1244"/>
      <c r="X668" s="1244"/>
      <c r="Y668" s="1244"/>
      <c r="Z668" s="1244"/>
    </row>
    <row r="669" spans="1:26" ht="19.5" hidden="1">
      <c r="A669" s="1267"/>
      <c r="B669" s="1268"/>
      <c r="C669" s="1268"/>
      <c r="D669" s="1268" t="s">
        <v>280</v>
      </c>
      <c r="E669" s="961"/>
      <c r="F669" s="961"/>
      <c r="G669" s="954"/>
      <c r="H669" s="733" t="s">
        <v>46</v>
      </c>
      <c r="I669" s="966">
        <f ca="1">IFERROR(__xludf.DUMMYFUNCTION("IMPORTRANGE(""https://docs.google.com/spreadsheets/d/1QqKyyYR6Q21VydFLVH3TRQUabQu_ym0Zz7PgGX0-kHA/edit?usp=sharing"",""แผน!IA19"")"),0)</f>
        <v>0</v>
      </c>
      <c r="J669" s="966">
        <f>J675</f>
        <v>0</v>
      </c>
      <c r="K669" s="967">
        <f ca="1">IF(I669&gt;0,J669*100/I669,0)</f>
        <v>0</v>
      </c>
      <c r="L669" s="945"/>
      <c r="M669" s="945"/>
      <c r="N669" s="945"/>
      <c r="O669" s="945"/>
      <c r="P669" s="945"/>
      <c r="Q669" s="1244"/>
      <c r="R669" s="1244"/>
      <c r="S669" s="1244"/>
      <c r="T669" s="1244"/>
      <c r="U669" s="1244"/>
      <c r="V669" s="1244"/>
      <c r="W669" s="1244"/>
      <c r="X669" s="1244"/>
      <c r="Y669" s="1244"/>
      <c r="Z669" s="1244"/>
    </row>
    <row r="670" spans="1:26" ht="18.75" hidden="1">
      <c r="A670" s="1267"/>
      <c r="B670" s="1268"/>
      <c r="C670" s="1268"/>
      <c r="D670" s="1268"/>
      <c r="E670" s="961" t="s">
        <v>281</v>
      </c>
      <c r="F670" s="961"/>
      <c r="G670" s="954"/>
      <c r="H670" s="730" t="s">
        <v>66</v>
      </c>
      <c r="I670" s="830">
        <f ca="1">IFERROR(__xludf.DUMMYFUNCTION("IMPORTRANGE(""https://docs.google.com/spreadsheets/d/1QqKyyYR6Q21VydFLVH3TRQUabQu_ym0Zz7PgGX0-kHA/edit?usp=sharing"",""แผน!HZ19"")"),0)</f>
        <v>0</v>
      </c>
      <c r="J670" s="959">
        <v>0</v>
      </c>
      <c r="K670" s="831">
        <f ca="1">IF(I670&gt;0,(J670*100)/I670,0)</f>
        <v>0</v>
      </c>
      <c r="L670" s="945"/>
      <c r="M670" s="945"/>
      <c r="N670" s="945"/>
      <c r="O670" s="945"/>
      <c r="P670" s="945"/>
      <c r="Q670" s="1244"/>
      <c r="R670" s="1244"/>
      <c r="S670" s="1244"/>
      <c r="T670" s="1244"/>
      <c r="U670" s="1244"/>
      <c r="V670" s="1244"/>
      <c r="W670" s="1244"/>
      <c r="X670" s="1244"/>
      <c r="Y670" s="1244"/>
      <c r="Z670" s="1244"/>
    </row>
    <row r="671" spans="1:26" ht="18.75" hidden="1">
      <c r="A671" s="1267"/>
      <c r="B671" s="1268"/>
      <c r="C671" s="1268"/>
      <c r="D671" s="1268"/>
      <c r="E671" s="961" t="s">
        <v>282</v>
      </c>
      <c r="F671" s="961"/>
      <c r="G671" s="954"/>
      <c r="H671" s="730" t="s">
        <v>66</v>
      </c>
      <c r="I671" s="830">
        <f ca="1">IFERROR(__xludf.DUMMYFUNCTION("IMPORTRANGE(""https://docs.google.com/spreadsheets/d/1QqKyyYR6Q21VydFLVH3TRQUabQu_ym0Zz7PgGX0-kHA/edit?usp=sharing"",""แผน!HZ19"")"),0)</f>
        <v>0</v>
      </c>
      <c r="J671" s="959">
        <v>0</v>
      </c>
      <c r="K671" s="831">
        <f ca="1">IF(I$671&gt;0,J671*100/I$671,0)</f>
        <v>0</v>
      </c>
      <c r="L671" s="945"/>
      <c r="M671" s="945"/>
      <c r="N671" s="945"/>
      <c r="O671" s="945"/>
      <c r="P671" s="945"/>
      <c r="Q671" s="1244"/>
      <c r="R671" s="1244"/>
      <c r="S671" s="1244"/>
      <c r="T671" s="1244"/>
      <c r="U671" s="1244"/>
      <c r="V671" s="1244"/>
      <c r="W671" s="1244"/>
      <c r="X671" s="1244"/>
      <c r="Y671" s="1244"/>
      <c r="Z671" s="1244"/>
    </row>
    <row r="672" spans="1:26" ht="18.75" hidden="1">
      <c r="A672" s="1267"/>
      <c r="B672" s="1268"/>
      <c r="C672" s="1268"/>
      <c r="D672" s="1268"/>
      <c r="E672" s="961" t="s">
        <v>283</v>
      </c>
      <c r="F672" s="961"/>
      <c r="G672" s="954"/>
      <c r="H672" s="730" t="s">
        <v>46</v>
      </c>
      <c r="I672" s="830"/>
      <c r="J672" s="959">
        <v>0</v>
      </c>
      <c r="K672" s="831">
        <f t="shared" ref="K672:K675" ca="1" si="281">IF(I$669&gt;0,J672*100/I$669,0)</f>
        <v>0</v>
      </c>
      <c r="L672" s="945"/>
      <c r="M672" s="945"/>
      <c r="N672" s="945"/>
      <c r="O672" s="945"/>
      <c r="P672" s="945"/>
      <c r="Q672" s="1244"/>
      <c r="R672" s="1244"/>
      <c r="S672" s="1244"/>
      <c r="T672" s="1244"/>
      <c r="U672" s="1244"/>
      <c r="V672" s="1244"/>
      <c r="W672" s="1244"/>
      <c r="X672" s="1244"/>
      <c r="Y672" s="1244"/>
      <c r="Z672" s="1244"/>
    </row>
    <row r="673" spans="1:26" ht="18.75" hidden="1">
      <c r="A673" s="1267"/>
      <c r="B673" s="1268"/>
      <c r="C673" s="1268"/>
      <c r="D673" s="1268"/>
      <c r="E673" s="961" t="s">
        <v>284</v>
      </c>
      <c r="F673" s="961"/>
      <c r="G673" s="954"/>
      <c r="H673" s="730" t="s">
        <v>46</v>
      </c>
      <c r="I673" s="830"/>
      <c r="J673" s="959">
        <v>0</v>
      </c>
      <c r="K673" s="831">
        <f t="shared" ca="1" si="281"/>
        <v>0</v>
      </c>
      <c r="L673" s="945"/>
      <c r="M673" s="945"/>
      <c r="N673" s="945"/>
      <c r="O673" s="945"/>
      <c r="P673" s="945"/>
      <c r="Q673" s="1244"/>
      <c r="R673" s="1244"/>
      <c r="S673" s="1244"/>
      <c r="T673" s="1244"/>
      <c r="U673" s="1244"/>
      <c r="V673" s="1244"/>
      <c r="W673" s="1244"/>
      <c r="X673" s="1244"/>
      <c r="Y673" s="1244"/>
      <c r="Z673" s="1244"/>
    </row>
    <row r="674" spans="1:26" ht="18.75" hidden="1">
      <c r="A674" s="1267"/>
      <c r="B674" s="1268"/>
      <c r="C674" s="1268"/>
      <c r="D674" s="1268"/>
      <c r="E674" s="961" t="s">
        <v>285</v>
      </c>
      <c r="F674" s="961"/>
      <c r="G674" s="954"/>
      <c r="H674" s="730" t="s">
        <v>46</v>
      </c>
      <c r="I674" s="830"/>
      <c r="J674" s="959">
        <v>0</v>
      </c>
      <c r="K674" s="831">
        <f t="shared" ca="1" si="281"/>
        <v>0</v>
      </c>
      <c r="L674" s="945"/>
      <c r="M674" s="945"/>
      <c r="N674" s="945"/>
      <c r="O674" s="945"/>
      <c r="P674" s="945"/>
      <c r="Q674" s="1244"/>
      <c r="R674" s="1244"/>
      <c r="S674" s="1244"/>
      <c r="T674" s="1244"/>
      <c r="U674" s="1244"/>
      <c r="V674" s="1244"/>
      <c r="W674" s="1244"/>
      <c r="X674" s="1244"/>
      <c r="Y674" s="1244"/>
      <c r="Z674" s="1244"/>
    </row>
    <row r="675" spans="1:26" ht="19.5" hidden="1">
      <c r="A675" s="1267"/>
      <c r="B675" s="1268"/>
      <c r="C675" s="1268"/>
      <c r="D675" s="1268"/>
      <c r="E675" s="961" t="s">
        <v>286</v>
      </c>
      <c r="F675" s="961"/>
      <c r="G675" s="954"/>
      <c r="H675" s="730" t="s">
        <v>46</v>
      </c>
      <c r="I675" s="830"/>
      <c r="J675" s="966">
        <f>J676+J677</f>
        <v>0</v>
      </c>
      <c r="K675" s="967">
        <f t="shared" ca="1" si="281"/>
        <v>0</v>
      </c>
      <c r="L675" s="945"/>
      <c r="M675" s="945"/>
      <c r="N675" s="945"/>
      <c r="O675" s="945"/>
      <c r="P675" s="945"/>
      <c r="Q675" s="1244"/>
      <c r="R675" s="1244"/>
      <c r="S675" s="1244"/>
      <c r="T675" s="1244"/>
      <c r="U675" s="1244"/>
      <c r="V675" s="1244"/>
      <c r="W675" s="1244"/>
      <c r="X675" s="1244"/>
      <c r="Y675" s="1244"/>
      <c r="Z675" s="1244"/>
    </row>
    <row r="676" spans="1:26" ht="18.75" hidden="1">
      <c r="A676" s="1267"/>
      <c r="B676" s="1268"/>
      <c r="C676" s="1268"/>
      <c r="D676" s="1268"/>
      <c r="E676" s="961"/>
      <c r="F676" s="961" t="s">
        <v>287</v>
      </c>
      <c r="G676" s="954"/>
      <c r="H676" s="730" t="s">
        <v>46</v>
      </c>
      <c r="I676" s="830"/>
      <c r="J676" s="959">
        <v>0</v>
      </c>
      <c r="K676" s="831"/>
      <c r="L676" s="945"/>
      <c r="M676" s="945"/>
      <c r="N676" s="945"/>
      <c r="O676" s="945"/>
      <c r="P676" s="945"/>
      <c r="Q676" s="1244"/>
      <c r="R676" s="1244"/>
      <c r="S676" s="1244"/>
      <c r="T676" s="1244"/>
      <c r="U676" s="1244"/>
      <c r="V676" s="1244"/>
      <c r="W676" s="1244"/>
      <c r="X676" s="1244"/>
      <c r="Y676" s="1244"/>
      <c r="Z676" s="1244"/>
    </row>
    <row r="677" spans="1:26" ht="18.75" hidden="1">
      <c r="A677" s="1267"/>
      <c r="B677" s="1268"/>
      <c r="C677" s="1268"/>
      <c r="D677" s="1268"/>
      <c r="E677" s="961"/>
      <c r="F677" s="961" t="s">
        <v>288</v>
      </c>
      <c r="G677" s="954"/>
      <c r="H677" s="730" t="s">
        <v>46</v>
      </c>
      <c r="I677" s="830"/>
      <c r="J677" s="959">
        <v>0</v>
      </c>
      <c r="K677" s="831"/>
      <c r="L677" s="945"/>
      <c r="M677" s="945"/>
      <c r="N677" s="945"/>
      <c r="O677" s="945"/>
      <c r="P677" s="945"/>
      <c r="Q677" s="1244"/>
      <c r="R677" s="1244"/>
      <c r="S677" s="1244"/>
      <c r="T677" s="1244"/>
      <c r="U677" s="1244"/>
      <c r="V677" s="1244"/>
      <c r="W677" s="1244"/>
      <c r="X677" s="1244"/>
      <c r="Y677" s="1244"/>
      <c r="Z677" s="1244"/>
    </row>
    <row r="678" spans="1:26" ht="19.5" hidden="1">
      <c r="A678" s="1267"/>
      <c r="B678" s="1268"/>
      <c r="C678" s="1268"/>
      <c r="D678" s="1268" t="s">
        <v>289</v>
      </c>
      <c r="E678" s="961"/>
      <c r="F678" s="961"/>
      <c r="G678" s="954"/>
      <c r="H678" s="730" t="s">
        <v>46</v>
      </c>
      <c r="I678" s="966">
        <f ca="1">IFERROR(__xludf.DUMMYFUNCTION("IMPORTRANGE(""https://docs.google.com/spreadsheets/d/1QqKyyYR6Q21VydFLVH3TRQUabQu_ym0Zz7PgGX0-kHA/edit?usp=sharing"",""แผน!IB19"")"),0)</f>
        <v>0</v>
      </c>
      <c r="J678" s="966">
        <f>J679</f>
        <v>0</v>
      </c>
      <c r="K678" s="967">
        <f ca="1">IF(I678&gt;0,J678*100/I678,0)</f>
        <v>0</v>
      </c>
      <c r="L678" s="945"/>
      <c r="M678" s="945"/>
      <c r="N678" s="945"/>
      <c r="O678" s="945"/>
      <c r="P678" s="945"/>
      <c r="Q678" s="1244"/>
      <c r="R678" s="1244"/>
      <c r="S678" s="1244"/>
      <c r="T678" s="1244"/>
      <c r="U678" s="1244"/>
      <c r="V678" s="1244"/>
      <c r="W678" s="1244"/>
      <c r="X678" s="1244"/>
      <c r="Y678" s="1244"/>
      <c r="Z678" s="1244"/>
    </row>
    <row r="679" spans="1:26" ht="18.75" hidden="1">
      <c r="A679" s="1267"/>
      <c r="B679" s="1268"/>
      <c r="C679" s="1268"/>
      <c r="D679" s="1268"/>
      <c r="E679" s="961" t="s">
        <v>290</v>
      </c>
      <c r="F679" s="961"/>
      <c r="G679" s="954"/>
      <c r="H679" s="730" t="s">
        <v>46</v>
      </c>
      <c r="I679" s="830"/>
      <c r="J679" s="830">
        <f>J680+J681</f>
        <v>0</v>
      </c>
      <c r="K679" s="831"/>
      <c r="L679" s="945"/>
      <c r="M679" s="945"/>
      <c r="N679" s="945"/>
      <c r="O679" s="945"/>
      <c r="P679" s="945"/>
      <c r="Q679" s="1244"/>
      <c r="R679" s="1244"/>
      <c r="S679" s="1244"/>
      <c r="T679" s="1244"/>
      <c r="U679" s="1244"/>
      <c r="V679" s="1244"/>
      <c r="W679" s="1244"/>
      <c r="X679" s="1244"/>
      <c r="Y679" s="1244"/>
      <c r="Z679" s="1244"/>
    </row>
    <row r="680" spans="1:26" ht="18.75" hidden="1">
      <c r="A680" s="1267"/>
      <c r="B680" s="1268"/>
      <c r="C680" s="1268"/>
      <c r="D680" s="1268"/>
      <c r="E680" s="961"/>
      <c r="F680" s="961" t="s">
        <v>287</v>
      </c>
      <c r="G680" s="954"/>
      <c r="H680" s="730" t="s">
        <v>46</v>
      </c>
      <c r="I680" s="830"/>
      <c r="J680" s="959">
        <v>0</v>
      </c>
      <c r="K680" s="831"/>
      <c r="L680" s="945"/>
      <c r="M680" s="945"/>
      <c r="N680" s="945"/>
      <c r="O680" s="945"/>
      <c r="P680" s="945"/>
      <c r="Q680" s="1244"/>
      <c r="R680" s="1244"/>
      <c r="S680" s="1244"/>
      <c r="T680" s="1244"/>
      <c r="U680" s="1244"/>
      <c r="V680" s="1244"/>
      <c r="W680" s="1244"/>
      <c r="X680" s="1244"/>
      <c r="Y680" s="1244"/>
      <c r="Z680" s="1244"/>
    </row>
    <row r="681" spans="1:26" ht="18.75" hidden="1">
      <c r="A681" s="1267"/>
      <c r="B681" s="1268"/>
      <c r="C681" s="1268"/>
      <c r="D681" s="1268"/>
      <c r="E681" s="961"/>
      <c r="F681" s="961" t="s">
        <v>288</v>
      </c>
      <c r="G681" s="954"/>
      <c r="H681" s="730" t="s">
        <v>46</v>
      </c>
      <c r="I681" s="830"/>
      <c r="J681" s="959">
        <v>0</v>
      </c>
      <c r="K681" s="831"/>
      <c r="L681" s="945"/>
      <c r="M681" s="945"/>
      <c r="N681" s="945"/>
      <c r="O681" s="945"/>
      <c r="P681" s="945"/>
      <c r="Q681" s="1244"/>
      <c r="R681" s="1244"/>
      <c r="S681" s="1244"/>
      <c r="T681" s="1244"/>
      <c r="U681" s="1244"/>
      <c r="V681" s="1244"/>
      <c r="W681" s="1244"/>
      <c r="X681" s="1244"/>
      <c r="Y681" s="1244"/>
      <c r="Z681" s="1244"/>
    </row>
    <row r="682" spans="1:26" ht="18.75" hidden="1">
      <c r="A682" s="1267"/>
      <c r="B682" s="1268"/>
      <c r="C682" s="1268"/>
      <c r="D682" s="1268"/>
      <c r="E682" s="961" t="s">
        <v>291</v>
      </c>
      <c r="F682" s="961"/>
      <c r="G682" s="954"/>
      <c r="H682" s="730" t="s">
        <v>46</v>
      </c>
      <c r="I682" s="830"/>
      <c r="J682" s="959">
        <v>0</v>
      </c>
      <c r="K682" s="831"/>
      <c r="L682" s="945"/>
      <c r="M682" s="945"/>
      <c r="N682" s="945"/>
      <c r="O682" s="945"/>
      <c r="P682" s="945"/>
      <c r="Q682" s="1244"/>
      <c r="R682" s="1244"/>
      <c r="S682" s="1244"/>
      <c r="T682" s="1244"/>
      <c r="U682" s="1244"/>
      <c r="V682" s="1244"/>
      <c r="W682" s="1244"/>
      <c r="X682" s="1244"/>
      <c r="Y682" s="1244"/>
      <c r="Z682" s="1244"/>
    </row>
    <row r="683" spans="1:26" ht="18.75" hidden="1">
      <c r="A683" s="1267"/>
      <c r="B683" s="1268"/>
      <c r="C683" s="1268"/>
      <c r="D683" s="1268"/>
      <c r="E683" s="961"/>
      <c r="F683" s="961" t="s">
        <v>292</v>
      </c>
      <c r="G683" s="954"/>
      <c r="H683" s="730" t="s">
        <v>46</v>
      </c>
      <c r="I683" s="830"/>
      <c r="J683" s="959">
        <v>0</v>
      </c>
      <c r="K683" s="831"/>
      <c r="L683" s="945"/>
      <c r="M683" s="945"/>
      <c r="N683" s="945"/>
      <c r="O683" s="945"/>
      <c r="P683" s="945"/>
      <c r="Q683" s="1244"/>
      <c r="R683" s="1244"/>
      <c r="S683" s="1244"/>
      <c r="T683" s="1244"/>
      <c r="U683" s="1244"/>
      <c r="V683" s="1244"/>
      <c r="W683" s="1244"/>
      <c r="X683" s="1244"/>
      <c r="Y683" s="1244"/>
      <c r="Z683" s="1244"/>
    </row>
    <row r="684" spans="1:26" ht="19.5" hidden="1">
      <c r="A684" s="1373"/>
      <c r="B684" s="1374" t="s">
        <v>293</v>
      </c>
      <c r="C684" s="1373"/>
      <c r="D684" s="1373"/>
      <c r="E684" s="1373"/>
      <c r="F684" s="1373"/>
      <c r="G684" s="1375"/>
      <c r="H684" s="1375"/>
      <c r="I684" s="1376"/>
      <c r="J684" s="1376"/>
      <c r="K684" s="1377"/>
      <c r="L684" s="1377"/>
      <c r="M684" s="1377"/>
      <c r="N684" s="1377"/>
      <c r="O684" s="1377"/>
      <c r="P684" s="1377"/>
      <c r="Q684" s="1244"/>
      <c r="R684" s="1244"/>
      <c r="S684" s="1244"/>
      <c r="T684" s="1244"/>
      <c r="U684" s="1244"/>
      <c r="V684" s="1244"/>
      <c r="W684" s="1244"/>
      <c r="X684" s="1244"/>
      <c r="Y684" s="1244"/>
      <c r="Z684" s="1244"/>
    </row>
    <row r="685" spans="1:26" ht="19.5" hidden="1">
      <c r="A685" s="1259"/>
      <c r="B685" s="1243"/>
      <c r="C685" s="1243" t="s">
        <v>16</v>
      </c>
      <c r="D685" s="1507" t="s">
        <v>17</v>
      </c>
      <c r="E685" s="1485"/>
      <c r="F685" s="1485"/>
      <c r="G685" s="963"/>
      <c r="H685" s="563" t="s">
        <v>12</v>
      </c>
      <c r="I685" s="830"/>
      <c r="J685" s="830"/>
      <c r="K685" s="831"/>
      <c r="L685" s="967">
        <f t="shared" ref="L685:N685" ca="1" si="282">L686+L687</f>
        <v>0</v>
      </c>
      <c r="M685" s="967">
        <f t="shared" si="282"/>
        <v>0</v>
      </c>
      <c r="N685" s="967">
        <f t="shared" si="282"/>
        <v>0</v>
      </c>
      <c r="O685" s="967">
        <f t="shared" ref="O685:O688" ca="1" si="283">IF(L685&gt;0,N685*100/L685,0)</f>
        <v>0</v>
      </c>
      <c r="P685" s="967">
        <f t="shared" ref="P685:P688" si="284">IF(M685&gt;0,N685*100/M685,0)</f>
        <v>0</v>
      </c>
      <c r="Q685" s="1244"/>
      <c r="R685" s="1244"/>
      <c r="S685" s="1244"/>
      <c r="T685" s="1244"/>
      <c r="U685" s="1244"/>
      <c r="V685" s="1244"/>
      <c r="W685" s="1244"/>
      <c r="X685" s="1244"/>
      <c r="Y685" s="1244"/>
      <c r="Z685" s="1244"/>
    </row>
    <row r="686" spans="1:26" ht="18.75" hidden="1">
      <c r="A686" s="1260"/>
      <c r="B686" s="1261"/>
      <c r="C686" s="1261"/>
      <c r="D686" s="1262"/>
      <c r="E686" s="1261" t="s">
        <v>184</v>
      </c>
      <c r="F686" s="1261"/>
      <c r="G686" s="1263"/>
      <c r="H686" s="165" t="s">
        <v>12</v>
      </c>
      <c r="I686" s="836"/>
      <c r="J686" s="836"/>
      <c r="K686" s="837"/>
      <c r="L686" s="837">
        <f t="shared" ref="L686:N687" si="285">L689+L696</f>
        <v>0</v>
      </c>
      <c r="M686" s="837">
        <f t="shared" si="285"/>
        <v>0</v>
      </c>
      <c r="N686" s="837">
        <f t="shared" si="285"/>
        <v>0</v>
      </c>
      <c r="O686" s="837">
        <f t="shared" si="283"/>
        <v>0</v>
      </c>
      <c r="P686" s="837">
        <f t="shared" si="284"/>
        <v>0</v>
      </c>
      <c r="Q686" s="1264"/>
      <c r="R686" s="1264"/>
      <c r="S686" s="1264"/>
      <c r="T686" s="1264"/>
      <c r="U686" s="1264"/>
      <c r="V686" s="1264"/>
      <c r="W686" s="1264"/>
      <c r="X686" s="1264"/>
      <c r="Y686" s="1264"/>
      <c r="Z686" s="1264"/>
    </row>
    <row r="687" spans="1:26" ht="18.75" hidden="1">
      <c r="A687" s="1260"/>
      <c r="B687" s="1265"/>
      <c r="C687" s="1261"/>
      <c r="D687" s="1262"/>
      <c r="E687" s="1261" t="s">
        <v>185</v>
      </c>
      <c r="F687" s="1261"/>
      <c r="G687" s="1263"/>
      <c r="H687" s="165" t="s">
        <v>12</v>
      </c>
      <c r="I687" s="836"/>
      <c r="J687" s="836"/>
      <c r="K687" s="837"/>
      <c r="L687" s="837">
        <f t="shared" ca="1" si="285"/>
        <v>0</v>
      </c>
      <c r="M687" s="837">
        <f t="shared" si="285"/>
        <v>0</v>
      </c>
      <c r="N687" s="837">
        <f t="shared" si="285"/>
        <v>0</v>
      </c>
      <c r="O687" s="837">
        <f t="shared" ca="1" si="283"/>
        <v>0</v>
      </c>
      <c r="P687" s="837">
        <f t="shared" si="284"/>
        <v>0</v>
      </c>
      <c r="Q687" s="1264"/>
      <c r="R687" s="1264"/>
      <c r="S687" s="1264"/>
      <c r="T687" s="1264"/>
      <c r="U687" s="1264"/>
      <c r="V687" s="1264"/>
      <c r="W687" s="1264"/>
      <c r="X687" s="1264"/>
      <c r="Y687" s="1264"/>
      <c r="Z687" s="1264"/>
    </row>
    <row r="688" spans="1:26" ht="18.75" hidden="1">
      <c r="A688" s="1259"/>
      <c r="B688" s="1242"/>
      <c r="C688" s="1243"/>
      <c r="D688" s="1266" t="s">
        <v>20</v>
      </c>
      <c r="E688" s="1243"/>
      <c r="F688" s="1243"/>
      <c r="G688" s="963"/>
      <c r="H688" s="778" t="s">
        <v>12</v>
      </c>
      <c r="I688" s="944"/>
      <c r="J688" s="944"/>
      <c r="K688" s="945"/>
      <c r="L688" s="831">
        <f t="shared" ref="L688:N688" ca="1" si="286">L689+L690</f>
        <v>0</v>
      </c>
      <c r="M688" s="831">
        <f t="shared" si="286"/>
        <v>0</v>
      </c>
      <c r="N688" s="831">
        <f t="shared" si="286"/>
        <v>0</v>
      </c>
      <c r="O688" s="831">
        <f t="shared" ca="1" si="283"/>
        <v>0</v>
      </c>
      <c r="P688" s="831">
        <f t="shared" si="284"/>
        <v>0</v>
      </c>
      <c r="Q688" s="1244"/>
      <c r="R688" s="1244"/>
      <c r="S688" s="1244"/>
      <c r="T688" s="1244"/>
      <c r="U688" s="1244"/>
      <c r="V688" s="1244"/>
      <c r="W688" s="1244"/>
      <c r="X688" s="1244"/>
      <c r="Y688" s="1244"/>
      <c r="Z688" s="1244"/>
    </row>
    <row r="689" spans="1:26" ht="18.75" hidden="1">
      <c r="A689" s="1260"/>
      <c r="B689" s="1265"/>
      <c r="C689" s="1261"/>
      <c r="D689" s="1262"/>
      <c r="E689" s="1261" t="s">
        <v>184</v>
      </c>
      <c r="F689" s="1261"/>
      <c r="G689" s="1263"/>
      <c r="H689" s="165" t="s">
        <v>12</v>
      </c>
      <c r="I689" s="836"/>
      <c r="J689" s="836"/>
      <c r="K689" s="837"/>
      <c r="L689" s="837">
        <v>0</v>
      </c>
      <c r="M689" s="837">
        <v>0</v>
      </c>
      <c r="N689" s="837">
        <v>0</v>
      </c>
      <c r="O689" s="837"/>
      <c r="P689" s="837"/>
      <c r="Q689" s="1264"/>
      <c r="R689" s="1264"/>
      <c r="S689" s="1264"/>
      <c r="T689" s="1264"/>
      <c r="U689" s="1264"/>
      <c r="V689" s="1264"/>
      <c r="W689" s="1264"/>
      <c r="X689" s="1264"/>
      <c r="Y689" s="1264"/>
      <c r="Z689" s="1264"/>
    </row>
    <row r="690" spans="1:26" ht="18.75" hidden="1">
      <c r="A690" s="1260"/>
      <c r="B690" s="1265"/>
      <c r="C690" s="1261"/>
      <c r="D690" s="1262"/>
      <c r="E690" s="1261" t="s">
        <v>185</v>
      </c>
      <c r="F690" s="1261"/>
      <c r="G690" s="1263"/>
      <c r="H690" s="165" t="s">
        <v>12</v>
      </c>
      <c r="I690" s="836"/>
      <c r="J690" s="836"/>
      <c r="K690" s="837"/>
      <c r="L690" s="837">
        <f ca="1">IFERROR(__xludf.DUMMYFUNCTION("IMPORTRANGE(""https://docs.google.com/spreadsheets/d/1QqKyyYR6Q21VydFLVH3TRQUabQu_ym0Zz7PgGX0-kHA/edit?usp=sharing"",""แผน!HW19"")"),0)</f>
        <v>0</v>
      </c>
      <c r="M690" s="837">
        <v>0</v>
      </c>
      <c r="N690" s="837">
        <f>N691+N692+N693+N694</f>
        <v>0</v>
      </c>
      <c r="O690" s="837">
        <f ca="1">IF(L690&gt;0,N690*100/L690,0)</f>
        <v>0</v>
      </c>
      <c r="P690" s="837">
        <f>IF(M690&gt;0,N690*100/M690,0)</f>
        <v>0</v>
      </c>
      <c r="Q690" s="1264"/>
      <c r="R690" s="1264"/>
      <c r="S690" s="1264"/>
      <c r="T690" s="1264"/>
      <c r="U690" s="1264"/>
      <c r="V690" s="1264"/>
      <c r="W690" s="1264"/>
      <c r="X690" s="1264"/>
      <c r="Y690" s="1264"/>
      <c r="Z690" s="1264"/>
    </row>
    <row r="691" spans="1:26" ht="18.75" hidden="1">
      <c r="A691" s="1241"/>
      <c r="B691" s="1242"/>
      <c r="C691" s="1243"/>
      <c r="D691" s="1243"/>
      <c r="E691" s="1243"/>
      <c r="F691" s="1243" t="s">
        <v>186</v>
      </c>
      <c r="G691" s="963"/>
      <c r="H691" s="778" t="s">
        <v>12</v>
      </c>
      <c r="I691" s="830"/>
      <c r="J691" s="830"/>
      <c r="K691" s="831"/>
      <c r="L691" s="831"/>
      <c r="M691" s="831"/>
      <c r="N691" s="1031">
        <v>0</v>
      </c>
      <c r="O691" s="831"/>
      <c r="P691" s="831"/>
      <c r="Q691" s="1244"/>
      <c r="R691" s="1244"/>
      <c r="S691" s="1244"/>
      <c r="T691" s="1244"/>
      <c r="U691" s="1244"/>
      <c r="V691" s="1244"/>
      <c r="W691" s="1244"/>
      <c r="X691" s="1244"/>
      <c r="Y691" s="1244"/>
      <c r="Z691" s="1244"/>
    </row>
    <row r="692" spans="1:26" ht="18.75" hidden="1">
      <c r="A692" s="1241"/>
      <c r="B692" s="1242"/>
      <c r="C692" s="1243"/>
      <c r="D692" s="1243"/>
      <c r="E692" s="1243"/>
      <c r="F692" s="1243" t="s">
        <v>187</v>
      </c>
      <c r="G692" s="963"/>
      <c r="H692" s="778" t="s">
        <v>12</v>
      </c>
      <c r="I692" s="830"/>
      <c r="J692" s="830"/>
      <c r="K692" s="831"/>
      <c r="L692" s="831"/>
      <c r="M692" s="831"/>
      <c r="N692" s="1031">
        <v>0</v>
      </c>
      <c r="O692" s="831"/>
      <c r="P692" s="831"/>
      <c r="Q692" s="1244"/>
      <c r="R692" s="1244"/>
      <c r="S692" s="1244"/>
      <c r="T692" s="1244"/>
      <c r="U692" s="1244"/>
      <c r="V692" s="1244"/>
      <c r="W692" s="1244"/>
      <c r="X692" s="1244"/>
      <c r="Y692" s="1244"/>
      <c r="Z692" s="1244"/>
    </row>
    <row r="693" spans="1:26" ht="18.75" hidden="1">
      <c r="A693" s="1241"/>
      <c r="B693" s="1242"/>
      <c r="C693" s="1243"/>
      <c r="D693" s="1243"/>
      <c r="E693" s="1243"/>
      <c r="F693" s="1243" t="s">
        <v>188</v>
      </c>
      <c r="G693" s="963"/>
      <c r="H693" s="778" t="s">
        <v>12</v>
      </c>
      <c r="I693" s="830"/>
      <c r="J693" s="830"/>
      <c r="K693" s="831"/>
      <c r="L693" s="831"/>
      <c r="M693" s="831"/>
      <c r="N693" s="1031">
        <v>0</v>
      </c>
      <c r="O693" s="831"/>
      <c r="P693" s="831"/>
      <c r="Q693" s="1244"/>
      <c r="R693" s="1244"/>
      <c r="S693" s="1244"/>
      <c r="T693" s="1244"/>
      <c r="U693" s="1244"/>
      <c r="V693" s="1244"/>
      <c r="W693" s="1244"/>
      <c r="X693" s="1244"/>
      <c r="Y693" s="1244"/>
      <c r="Z693" s="1244"/>
    </row>
    <row r="694" spans="1:26" ht="18.75" hidden="1">
      <c r="A694" s="1241"/>
      <c r="B694" s="1242"/>
      <c r="C694" s="1243"/>
      <c r="D694" s="1243"/>
      <c r="E694" s="1243"/>
      <c r="F694" s="1243" t="s">
        <v>189</v>
      </c>
      <c r="G694" s="963"/>
      <c r="H694" s="778" t="s">
        <v>12</v>
      </c>
      <c r="I694" s="830"/>
      <c r="J694" s="830"/>
      <c r="K694" s="831"/>
      <c r="L694" s="831"/>
      <c r="M694" s="831"/>
      <c r="N694" s="1031">
        <v>0</v>
      </c>
      <c r="O694" s="831"/>
      <c r="P694" s="831"/>
      <c r="Q694" s="1244"/>
      <c r="R694" s="1244"/>
      <c r="S694" s="1244"/>
      <c r="T694" s="1244"/>
      <c r="U694" s="1244"/>
      <c r="V694" s="1244"/>
      <c r="W694" s="1244"/>
      <c r="X694" s="1244"/>
      <c r="Y694" s="1244"/>
      <c r="Z694" s="1244"/>
    </row>
    <row r="695" spans="1:26" ht="18.75" hidden="1">
      <c r="A695" s="1259"/>
      <c r="B695" s="1242"/>
      <c r="C695" s="1243"/>
      <c r="D695" s="1266" t="s">
        <v>21</v>
      </c>
      <c r="E695" s="1243"/>
      <c r="F695" s="1243"/>
      <c r="G695" s="963"/>
      <c r="H695" s="168" t="s">
        <v>12</v>
      </c>
      <c r="I695" s="944"/>
      <c r="J695" s="944"/>
      <c r="K695" s="945"/>
      <c r="L695" s="831">
        <f t="shared" ref="L695:N695" si="287">L696+L697</f>
        <v>0</v>
      </c>
      <c r="M695" s="831">
        <f t="shared" si="287"/>
        <v>0</v>
      </c>
      <c r="N695" s="831">
        <f t="shared" si="287"/>
        <v>0</v>
      </c>
      <c r="O695" s="831">
        <f t="shared" ref="O695:O697" si="288">IF(L695&gt;0,N695*100/L695,0)</f>
        <v>0</v>
      </c>
      <c r="P695" s="831">
        <f t="shared" ref="P695:P697" si="289">IF(M695&gt;0,N695*100/M695,0)</f>
        <v>0</v>
      </c>
      <c r="Q695" s="1244"/>
      <c r="R695" s="1244"/>
      <c r="S695" s="1244"/>
      <c r="T695" s="1244"/>
      <c r="U695" s="1244"/>
      <c r="V695" s="1244"/>
      <c r="W695" s="1244"/>
      <c r="X695" s="1244"/>
      <c r="Y695" s="1244"/>
      <c r="Z695" s="1244"/>
    </row>
    <row r="696" spans="1:26" ht="18.75" hidden="1">
      <c r="A696" s="1260"/>
      <c r="B696" s="1265"/>
      <c r="C696" s="1261"/>
      <c r="D696" s="1261"/>
      <c r="E696" s="1261" t="s">
        <v>18</v>
      </c>
      <c r="F696" s="1261"/>
      <c r="G696" s="1263"/>
      <c r="H696" s="165" t="s">
        <v>12</v>
      </c>
      <c r="I696" s="947"/>
      <c r="J696" s="947"/>
      <c r="K696" s="948"/>
      <c r="L696" s="837">
        <v>0</v>
      </c>
      <c r="M696" s="837">
        <v>0</v>
      </c>
      <c r="N696" s="837">
        <v>0</v>
      </c>
      <c r="O696" s="837">
        <f t="shared" si="288"/>
        <v>0</v>
      </c>
      <c r="P696" s="837">
        <f t="shared" si="289"/>
        <v>0</v>
      </c>
      <c r="Q696" s="1264"/>
      <c r="R696" s="1264"/>
      <c r="S696" s="1264"/>
      <c r="T696" s="1264"/>
      <c r="U696" s="1264"/>
      <c r="V696" s="1264"/>
      <c r="W696" s="1264"/>
      <c r="X696" s="1264"/>
      <c r="Y696" s="1264"/>
      <c r="Z696" s="1264"/>
    </row>
    <row r="697" spans="1:26" ht="18.75" hidden="1">
      <c r="A697" s="1260"/>
      <c r="B697" s="1265"/>
      <c r="C697" s="1261"/>
      <c r="D697" s="1261"/>
      <c r="E697" s="1261" t="s">
        <v>19</v>
      </c>
      <c r="F697" s="1261"/>
      <c r="G697" s="1263"/>
      <c r="H697" s="169" t="s">
        <v>12</v>
      </c>
      <c r="I697" s="947"/>
      <c r="J697" s="947"/>
      <c r="K697" s="948"/>
      <c r="L697" s="837">
        <v>0</v>
      </c>
      <c r="M697" s="837">
        <v>0</v>
      </c>
      <c r="N697" s="837">
        <v>0</v>
      </c>
      <c r="O697" s="837">
        <f t="shared" si="288"/>
        <v>0</v>
      </c>
      <c r="P697" s="837">
        <f t="shared" si="289"/>
        <v>0</v>
      </c>
      <c r="Q697" s="1264"/>
      <c r="R697" s="1264"/>
      <c r="S697" s="1264"/>
      <c r="T697" s="1264"/>
      <c r="U697" s="1264"/>
      <c r="V697" s="1264"/>
      <c r="W697" s="1264"/>
      <c r="X697" s="1264"/>
      <c r="Y697" s="1264"/>
      <c r="Z697" s="1264"/>
    </row>
    <row r="698" spans="1:26" ht="19.5" hidden="1">
      <c r="A698" s="1267"/>
      <c r="B698" s="1268"/>
      <c r="C698" s="1243" t="s">
        <v>16</v>
      </c>
      <c r="D698" s="1378" t="s">
        <v>38</v>
      </c>
      <c r="E698" s="1271"/>
      <c r="F698" s="1271"/>
      <c r="G698" s="1272"/>
      <c r="H698" s="954"/>
      <c r="I698" s="944"/>
      <c r="J698" s="944"/>
      <c r="K698" s="945"/>
      <c r="L698" s="945"/>
      <c r="M698" s="945"/>
      <c r="N698" s="945"/>
      <c r="O698" s="945"/>
      <c r="P698" s="945"/>
      <c r="Q698" s="1244"/>
      <c r="R698" s="1244"/>
      <c r="S698" s="1244"/>
      <c r="T698" s="1244"/>
      <c r="U698" s="1244"/>
      <c r="V698" s="1244"/>
      <c r="W698" s="1244"/>
      <c r="X698" s="1244"/>
      <c r="Y698" s="1244"/>
      <c r="Z698" s="1244"/>
    </row>
    <row r="699" spans="1:26" ht="18.75" hidden="1">
      <c r="A699" s="1368"/>
      <c r="B699" s="1243"/>
      <c r="C699" s="1243"/>
      <c r="D699" s="1243" t="s">
        <v>294</v>
      </c>
      <c r="E699" s="1243"/>
      <c r="F699" s="1243"/>
      <c r="G699" s="963"/>
      <c r="H699" s="730" t="s">
        <v>46</v>
      </c>
      <c r="I699" s="1379">
        <f ca="1">IFERROR(__xludf.DUMMYFUNCTION("IMPORTRANGE(""https://docs.google.com/spreadsheets/d/1QqKyyYR6Q21VydFLVH3TRQUabQu_ym0Zz7PgGX0-kHA/edit?usp=sharing"",""แผน!IC19"")"),0)</f>
        <v>0</v>
      </c>
      <c r="J699" s="830">
        <f ca="1">IFERROR(__xludf.DUMMYFUNCTION("IMPORTRANGE(""https://docs.google.com/spreadsheets/d/1XWAQStnk-4SwqDmLtmXYiTMKHgktTP8We1SCoS47DrQ/edit?usp=sharing"",""จัดที่ดิน!BB19"")"),0)</f>
        <v>0</v>
      </c>
      <c r="K699" s="831">
        <f t="shared" ref="K699:K701" ca="1" si="290">IF(I699&gt;0,J699*100/I699,0)</f>
        <v>0</v>
      </c>
      <c r="L699" s="831"/>
      <c r="M699" s="963"/>
      <c r="N699" s="1380"/>
      <c r="O699" s="831"/>
      <c r="P699" s="831"/>
      <c r="Q699" s="1244"/>
      <c r="R699" s="1244"/>
      <c r="S699" s="1244"/>
      <c r="T699" s="1244"/>
      <c r="U699" s="1244"/>
      <c r="V699" s="1244"/>
      <c r="W699" s="1244"/>
      <c r="X699" s="1244"/>
      <c r="Y699" s="1244"/>
      <c r="Z699" s="1244"/>
    </row>
    <row r="700" spans="1:26" ht="18.75" hidden="1">
      <c r="A700" s="1368"/>
      <c r="B700" s="1243"/>
      <c r="C700" s="1243"/>
      <c r="D700" s="1243" t="s">
        <v>295</v>
      </c>
      <c r="E700" s="1243"/>
      <c r="F700" s="1243"/>
      <c r="G700" s="963"/>
      <c r="H700" s="730" t="s">
        <v>35</v>
      </c>
      <c r="I700" s="1379">
        <f ca="1">IFERROR(__xludf.DUMMYFUNCTION("IMPORTRANGE(""https://docs.google.com/spreadsheets/d/1QqKyyYR6Q21VydFLVH3TRQUabQu_ym0Zz7PgGX0-kHA/edit?usp=sharing"",""แผน!ID19"")"),0)</f>
        <v>0</v>
      </c>
      <c r="J700" s="830">
        <f ca="1">IFERROR(__xludf.DUMMYFUNCTION("IMPORTRANGE(""https://docs.google.com/spreadsheets/d/1XWAQStnk-4SwqDmLtmXYiTMKHgktTP8We1SCoS47DrQ/edit?usp=sharing"",""จัดที่ดิน!BD19"")"),0)</f>
        <v>0</v>
      </c>
      <c r="K700" s="831">
        <f t="shared" ca="1" si="290"/>
        <v>0</v>
      </c>
      <c r="L700" s="831"/>
      <c r="M700" s="963"/>
      <c r="N700" s="1380"/>
      <c r="O700" s="831"/>
      <c r="P700" s="831"/>
      <c r="Q700" s="1244"/>
      <c r="R700" s="1244"/>
      <c r="S700" s="1244"/>
      <c r="T700" s="1244"/>
      <c r="U700" s="1244"/>
      <c r="V700" s="1244"/>
      <c r="W700" s="1244"/>
      <c r="X700" s="1244"/>
      <c r="Y700" s="1244"/>
      <c r="Z700" s="1244"/>
    </row>
    <row r="701" spans="1:26" ht="19.5" hidden="1">
      <c r="A701" s="1368"/>
      <c r="B701" s="1243"/>
      <c r="C701" s="1243"/>
      <c r="D701" s="1243" t="s">
        <v>296</v>
      </c>
      <c r="E701" s="1243"/>
      <c r="F701" s="1243"/>
      <c r="G701" s="963"/>
      <c r="H701" s="733" t="s">
        <v>46</v>
      </c>
      <c r="I701" s="1381">
        <f ca="1">IFERROR(__xludf.DUMMYFUNCTION("IMPORTRANGE(""https://docs.google.com/spreadsheets/d/1QqKyyYR6Q21VydFLVH3TRQUabQu_ym0Zz7PgGX0-kHA/edit?usp=sharing"",""แผน!IE19"")"),0)</f>
        <v>0</v>
      </c>
      <c r="J701" s="966">
        <f>J704+J707</f>
        <v>0</v>
      </c>
      <c r="K701" s="967">
        <f t="shared" ca="1" si="290"/>
        <v>0</v>
      </c>
      <c r="L701" s="831"/>
      <c r="M701" s="963"/>
      <c r="N701" s="1380"/>
      <c r="O701" s="831"/>
      <c r="P701" s="831"/>
      <c r="Q701" s="1244"/>
      <c r="R701" s="1244"/>
      <c r="S701" s="1244"/>
      <c r="T701" s="1244"/>
      <c r="U701" s="1244"/>
      <c r="V701" s="1244"/>
      <c r="W701" s="1244"/>
      <c r="X701" s="1244"/>
      <c r="Y701" s="1244"/>
      <c r="Z701" s="1244"/>
    </row>
    <row r="702" spans="1:26" ht="18.75" hidden="1">
      <c r="A702" s="1368"/>
      <c r="B702" s="1243"/>
      <c r="C702" s="1243"/>
      <c r="D702" s="1243"/>
      <c r="E702" s="1243" t="s">
        <v>297</v>
      </c>
      <c r="F702" s="1243"/>
      <c r="G702" s="963"/>
      <c r="H702" s="730" t="s">
        <v>35</v>
      </c>
      <c r="I702" s="1379"/>
      <c r="J702" s="959">
        <v>0</v>
      </c>
      <c r="K702" s="831"/>
      <c r="L702" s="831"/>
      <c r="M702" s="963"/>
      <c r="N702" s="1380"/>
      <c r="O702" s="831"/>
      <c r="P702" s="831"/>
      <c r="Q702" s="1244"/>
      <c r="R702" s="1244"/>
      <c r="S702" s="1244"/>
      <c r="T702" s="1244"/>
      <c r="U702" s="1244"/>
      <c r="V702" s="1244"/>
      <c r="W702" s="1244"/>
      <c r="X702" s="1244"/>
      <c r="Y702" s="1244"/>
      <c r="Z702" s="1244"/>
    </row>
    <row r="703" spans="1:26" ht="18.75" hidden="1">
      <c r="A703" s="1368"/>
      <c r="B703" s="1243"/>
      <c r="C703" s="1243"/>
      <c r="D703" s="1243"/>
      <c r="E703" s="1243"/>
      <c r="F703" s="1243"/>
      <c r="G703" s="963"/>
      <c r="H703" s="730" t="s">
        <v>34</v>
      </c>
      <c r="I703" s="1379"/>
      <c r="J703" s="959">
        <v>0</v>
      </c>
      <c r="K703" s="831"/>
      <c r="L703" s="831"/>
      <c r="M703" s="963"/>
      <c r="N703" s="1380"/>
      <c r="O703" s="831"/>
      <c r="P703" s="831"/>
      <c r="Q703" s="1244"/>
      <c r="R703" s="1244"/>
      <c r="S703" s="1244"/>
      <c r="T703" s="1244"/>
      <c r="U703" s="1244"/>
      <c r="V703" s="1244"/>
      <c r="W703" s="1244"/>
      <c r="X703" s="1244"/>
      <c r="Y703" s="1244"/>
      <c r="Z703" s="1244"/>
    </row>
    <row r="704" spans="1:26" ht="18.75" hidden="1">
      <c r="A704" s="1368"/>
      <c r="B704" s="1243"/>
      <c r="C704" s="1243"/>
      <c r="D704" s="1243"/>
      <c r="E704" s="1243"/>
      <c r="F704" s="1243"/>
      <c r="G704" s="963"/>
      <c r="H704" s="730" t="s">
        <v>46</v>
      </c>
      <c r="I704" s="1379">
        <f ca="1">IFERROR(__xludf.DUMMYFUNCTION("IMPORTRANGE(""https://docs.google.com/spreadsheets/d/1QqKyyYR6Q21VydFLVH3TRQUabQu_ym0Zz7PgGX0-kHA/edit?usp=sharing"",""แผน!IF19"")"),0)</f>
        <v>0</v>
      </c>
      <c r="J704" s="959">
        <v>0</v>
      </c>
      <c r="K704" s="831"/>
      <c r="L704" s="831"/>
      <c r="M704" s="963"/>
      <c r="N704" s="1380"/>
      <c r="O704" s="831"/>
      <c r="P704" s="831"/>
      <c r="Q704" s="1244"/>
      <c r="R704" s="1244"/>
      <c r="S704" s="1244"/>
      <c r="T704" s="1244"/>
      <c r="U704" s="1244"/>
      <c r="V704" s="1244"/>
      <c r="W704" s="1244"/>
      <c r="X704" s="1244"/>
      <c r="Y704" s="1244"/>
      <c r="Z704" s="1244"/>
    </row>
    <row r="705" spans="1:26" ht="18.75" hidden="1">
      <c r="A705" s="1368"/>
      <c r="B705" s="1243"/>
      <c r="C705" s="1243"/>
      <c r="D705" s="1243"/>
      <c r="E705" s="1243" t="s">
        <v>298</v>
      </c>
      <c r="F705" s="1243"/>
      <c r="G705" s="963"/>
      <c r="H705" s="730" t="s">
        <v>35</v>
      </c>
      <c r="I705" s="1379"/>
      <c r="J705" s="959">
        <v>0</v>
      </c>
      <c r="K705" s="831"/>
      <c r="L705" s="831"/>
      <c r="M705" s="963"/>
      <c r="N705" s="1380"/>
      <c r="O705" s="831"/>
      <c r="P705" s="831"/>
      <c r="Q705" s="1244"/>
      <c r="R705" s="1244"/>
      <c r="S705" s="1244"/>
      <c r="T705" s="1244"/>
      <c r="U705" s="1244"/>
      <c r="V705" s="1244"/>
      <c r="W705" s="1244"/>
      <c r="X705" s="1244"/>
      <c r="Y705" s="1244"/>
      <c r="Z705" s="1244"/>
    </row>
    <row r="706" spans="1:26" ht="18.75" hidden="1">
      <c r="A706" s="1368"/>
      <c r="B706" s="1243"/>
      <c r="C706" s="1243"/>
      <c r="D706" s="1243"/>
      <c r="E706" s="1243"/>
      <c r="F706" s="1243"/>
      <c r="G706" s="963"/>
      <c r="H706" s="730" t="s">
        <v>34</v>
      </c>
      <c r="I706" s="1379"/>
      <c r="J706" s="959">
        <v>0</v>
      </c>
      <c r="K706" s="831"/>
      <c r="L706" s="831"/>
      <c r="M706" s="963"/>
      <c r="N706" s="1380"/>
      <c r="O706" s="831"/>
      <c r="P706" s="831"/>
      <c r="Q706" s="1244"/>
      <c r="R706" s="1244"/>
      <c r="S706" s="1244"/>
      <c r="T706" s="1244"/>
      <c r="U706" s="1244"/>
      <c r="V706" s="1244"/>
      <c r="W706" s="1244"/>
      <c r="X706" s="1244"/>
      <c r="Y706" s="1244"/>
      <c r="Z706" s="1244"/>
    </row>
    <row r="707" spans="1:26" ht="18.75" hidden="1">
      <c r="A707" s="1368"/>
      <c r="B707" s="1243"/>
      <c r="C707" s="1243"/>
      <c r="D707" s="1243"/>
      <c r="E707" s="1243"/>
      <c r="F707" s="1243"/>
      <c r="G707" s="963"/>
      <c r="H707" s="730" t="s">
        <v>46</v>
      </c>
      <c r="I707" s="1379">
        <f ca="1">IFERROR(__xludf.DUMMYFUNCTION("IMPORTRANGE(""https://docs.google.com/spreadsheets/d/1QqKyyYR6Q21VydFLVH3TRQUabQu_ym0Zz7PgGX0-kHA/edit?usp=sharing"",""แผน!IG19"")"),0)</f>
        <v>0</v>
      </c>
      <c r="J707" s="959">
        <v>0</v>
      </c>
      <c r="K707" s="831"/>
      <c r="L707" s="831"/>
      <c r="M707" s="963"/>
      <c r="N707" s="1380"/>
      <c r="O707" s="831"/>
      <c r="P707" s="831"/>
      <c r="Q707" s="1244"/>
      <c r="R707" s="1244"/>
      <c r="S707" s="1244"/>
      <c r="T707" s="1244"/>
      <c r="U707" s="1244"/>
      <c r="V707" s="1244"/>
      <c r="W707" s="1244"/>
      <c r="X707" s="1244"/>
      <c r="Y707" s="1244"/>
      <c r="Z707" s="1244"/>
    </row>
    <row r="708" spans="1:26" ht="19.5" hidden="1">
      <c r="A708" s="1368"/>
      <c r="B708" s="1243"/>
      <c r="C708" s="1243"/>
      <c r="D708" s="1322" t="s">
        <v>299</v>
      </c>
      <c r="E708" s="1243"/>
      <c r="F708" s="1243"/>
      <c r="G708" s="963"/>
      <c r="H708" s="733" t="s">
        <v>46</v>
      </c>
      <c r="I708" s="1381">
        <f ca="1">IFERROR(__xludf.DUMMYFUNCTION("IMPORTRANGE(""https://docs.google.com/spreadsheets/d/1QqKyyYR6Q21VydFLVH3TRQUabQu_ym0Zz7PgGX0-kHA/edit?usp=sharing"",""แผน!IH19"")"),0)</f>
        <v>0</v>
      </c>
      <c r="J708" s="966">
        <f>J714+J717</f>
        <v>0</v>
      </c>
      <c r="K708" s="967">
        <f ca="1">IF(I708&gt;0,J708*100/I708,0)</f>
        <v>0</v>
      </c>
      <c r="L708" s="831"/>
      <c r="M708" s="963"/>
      <c r="N708" s="1380"/>
      <c r="O708" s="831"/>
      <c r="P708" s="831"/>
      <c r="Q708" s="1244"/>
      <c r="R708" s="1244"/>
      <c r="S708" s="1244"/>
      <c r="T708" s="1244"/>
      <c r="U708" s="1244"/>
      <c r="V708" s="1244"/>
      <c r="W708" s="1244"/>
      <c r="X708" s="1244"/>
      <c r="Y708" s="1244"/>
      <c r="Z708" s="1244"/>
    </row>
    <row r="709" spans="1:26" ht="18.75" hidden="1">
      <c r="A709" s="1368"/>
      <c r="B709" s="1243"/>
      <c r="C709" s="1243"/>
      <c r="D709" s="1243"/>
      <c r="E709" s="1243" t="s">
        <v>300</v>
      </c>
      <c r="F709" s="1243"/>
      <c r="G709" s="963"/>
      <c r="H709" s="730" t="s">
        <v>34</v>
      </c>
      <c r="I709" s="1379"/>
      <c r="J709" s="959">
        <v>0</v>
      </c>
      <c r="K709" s="831"/>
      <c r="L709" s="1380"/>
      <c r="M709" s="963"/>
      <c r="N709" s="1380"/>
      <c r="O709" s="831"/>
      <c r="P709" s="831"/>
      <c r="Q709" s="1244"/>
      <c r="R709" s="1244"/>
      <c r="S709" s="1244"/>
      <c r="T709" s="1244"/>
      <c r="U709" s="1244"/>
      <c r="V709" s="1244"/>
      <c r="W709" s="1244"/>
      <c r="X709" s="1244"/>
      <c r="Y709" s="1244"/>
      <c r="Z709" s="1244"/>
    </row>
    <row r="710" spans="1:26" ht="18.75" hidden="1">
      <c r="A710" s="1368"/>
      <c r="B710" s="1243"/>
      <c r="C710" s="1243"/>
      <c r="D710" s="1243"/>
      <c r="E710" s="1243"/>
      <c r="F710" s="1243"/>
      <c r="G710" s="963"/>
      <c r="H710" s="730" t="s">
        <v>46</v>
      </c>
      <c r="I710" s="1379"/>
      <c r="J710" s="959">
        <v>0</v>
      </c>
      <c r="K710" s="831"/>
      <c r="L710" s="1380"/>
      <c r="M710" s="963"/>
      <c r="N710" s="1380"/>
      <c r="O710" s="831"/>
      <c r="P710" s="831"/>
      <c r="Q710" s="1244"/>
      <c r="R710" s="1244"/>
      <c r="S710" s="1244"/>
      <c r="T710" s="1244"/>
      <c r="U710" s="1244"/>
      <c r="V710" s="1244"/>
      <c r="W710" s="1244"/>
      <c r="X710" s="1244"/>
      <c r="Y710" s="1244"/>
      <c r="Z710" s="1244"/>
    </row>
    <row r="711" spans="1:26" ht="18.75" hidden="1">
      <c r="A711" s="1368"/>
      <c r="B711" s="1243"/>
      <c r="C711" s="1243"/>
      <c r="D711" s="1243"/>
      <c r="E711" s="1243" t="s">
        <v>301</v>
      </c>
      <c r="F711" s="1243"/>
      <c r="G711" s="963"/>
      <c r="H711" s="954"/>
      <c r="I711" s="1379"/>
      <c r="J711" s="830"/>
      <c r="K711" s="831"/>
      <c r="L711" s="1380"/>
      <c r="M711" s="963"/>
      <c r="N711" s="1380"/>
      <c r="O711" s="831"/>
      <c r="P711" s="831"/>
      <c r="Q711" s="1244"/>
      <c r="R711" s="1244"/>
      <c r="S711" s="1244"/>
      <c r="T711" s="1244"/>
      <c r="U711" s="1244"/>
      <c r="V711" s="1244"/>
      <c r="W711" s="1244"/>
      <c r="X711" s="1244"/>
      <c r="Y711" s="1244"/>
      <c r="Z711" s="1244"/>
    </row>
    <row r="712" spans="1:26" ht="18.75" hidden="1">
      <c r="A712" s="1368"/>
      <c r="B712" s="1243"/>
      <c r="C712" s="1243"/>
      <c r="D712" s="1243"/>
      <c r="E712" s="1243"/>
      <c r="F712" s="1243" t="s">
        <v>302</v>
      </c>
      <c r="G712" s="963"/>
      <c r="H712" s="730" t="s">
        <v>35</v>
      </c>
      <c r="I712" s="1379"/>
      <c r="J712" s="959">
        <v>0</v>
      </c>
      <c r="K712" s="831"/>
      <c r="L712" s="1380"/>
      <c r="M712" s="963"/>
      <c r="N712" s="1380"/>
      <c r="O712" s="831"/>
      <c r="P712" s="831"/>
      <c r="Q712" s="1244"/>
      <c r="R712" s="1244"/>
      <c r="S712" s="1244"/>
      <c r="T712" s="1244"/>
      <c r="U712" s="1244"/>
      <c r="V712" s="1244"/>
      <c r="W712" s="1244"/>
      <c r="X712" s="1244"/>
      <c r="Y712" s="1244"/>
      <c r="Z712" s="1244"/>
    </row>
    <row r="713" spans="1:26" ht="18.75" hidden="1">
      <c r="A713" s="1368"/>
      <c r="B713" s="1243"/>
      <c r="C713" s="1243"/>
      <c r="D713" s="1243"/>
      <c r="E713" s="1243"/>
      <c r="F713" s="1243"/>
      <c r="G713" s="963"/>
      <c r="H713" s="730" t="s">
        <v>34</v>
      </c>
      <c r="I713" s="1379"/>
      <c r="J713" s="959">
        <v>0</v>
      </c>
      <c r="K713" s="831"/>
      <c r="L713" s="1380"/>
      <c r="M713" s="963"/>
      <c r="N713" s="1380"/>
      <c r="O713" s="831"/>
      <c r="P713" s="831"/>
      <c r="Q713" s="1244"/>
      <c r="R713" s="1244"/>
      <c r="S713" s="1244"/>
      <c r="T713" s="1244"/>
      <c r="U713" s="1244"/>
      <c r="V713" s="1244"/>
      <c r="W713" s="1244"/>
      <c r="X713" s="1244"/>
      <c r="Y713" s="1244"/>
      <c r="Z713" s="1244"/>
    </row>
    <row r="714" spans="1:26" ht="18.75" hidden="1">
      <c r="A714" s="1368"/>
      <c r="B714" s="1243"/>
      <c r="C714" s="1243"/>
      <c r="D714" s="1243"/>
      <c r="E714" s="1243"/>
      <c r="F714" s="1243"/>
      <c r="G714" s="963"/>
      <c r="H714" s="730" t="s">
        <v>46</v>
      </c>
      <c r="I714" s="1379"/>
      <c r="J714" s="959">
        <v>0</v>
      </c>
      <c r="K714" s="831"/>
      <c r="L714" s="1380"/>
      <c r="M714" s="963"/>
      <c r="N714" s="1380"/>
      <c r="O714" s="831"/>
      <c r="P714" s="831"/>
      <c r="Q714" s="1244"/>
      <c r="R714" s="1244"/>
      <c r="S714" s="1244"/>
      <c r="T714" s="1244"/>
      <c r="U714" s="1244"/>
      <c r="V714" s="1244"/>
      <c r="W714" s="1244"/>
      <c r="X714" s="1244"/>
      <c r="Y714" s="1244"/>
      <c r="Z714" s="1244"/>
    </row>
    <row r="715" spans="1:26" ht="18.75" hidden="1">
      <c r="A715" s="1368"/>
      <c r="B715" s="1243"/>
      <c r="C715" s="1243"/>
      <c r="D715" s="1243"/>
      <c r="E715" s="1243"/>
      <c r="F715" s="1243" t="s">
        <v>303</v>
      </c>
      <c r="G715" s="963"/>
      <c r="H715" s="730" t="s">
        <v>35</v>
      </c>
      <c r="I715" s="1379"/>
      <c r="J715" s="959">
        <v>0</v>
      </c>
      <c r="K715" s="831"/>
      <c r="L715" s="1380"/>
      <c r="M715" s="963"/>
      <c r="N715" s="1380"/>
      <c r="O715" s="831"/>
      <c r="P715" s="831"/>
      <c r="Q715" s="1244"/>
      <c r="R715" s="1244"/>
      <c r="S715" s="1244"/>
      <c r="T715" s="1244"/>
      <c r="U715" s="1244"/>
      <c r="V715" s="1244"/>
      <c r="W715" s="1244"/>
      <c r="X715" s="1244"/>
      <c r="Y715" s="1244"/>
      <c r="Z715" s="1244"/>
    </row>
    <row r="716" spans="1:26" ht="18.75" hidden="1">
      <c r="A716" s="1368"/>
      <c r="B716" s="1243"/>
      <c r="C716" s="1243"/>
      <c r="D716" s="1243"/>
      <c r="E716" s="1243"/>
      <c r="F716" s="1243"/>
      <c r="G716" s="963"/>
      <c r="H716" s="730" t="s">
        <v>34</v>
      </c>
      <c r="I716" s="1379"/>
      <c r="J716" s="959">
        <v>0</v>
      </c>
      <c r="K716" s="831"/>
      <c r="L716" s="1380"/>
      <c r="M716" s="963"/>
      <c r="N716" s="1380"/>
      <c r="O716" s="831"/>
      <c r="P716" s="831"/>
      <c r="Q716" s="1244"/>
      <c r="R716" s="1244"/>
      <c r="S716" s="1244"/>
      <c r="T716" s="1244"/>
      <c r="U716" s="1244"/>
      <c r="V716" s="1244"/>
      <c r="W716" s="1244"/>
      <c r="X716" s="1244"/>
      <c r="Y716" s="1244"/>
      <c r="Z716" s="1244"/>
    </row>
    <row r="717" spans="1:26" ht="18.75" hidden="1">
      <c r="A717" s="1368"/>
      <c r="B717" s="1243"/>
      <c r="C717" s="1243"/>
      <c r="D717" s="1243"/>
      <c r="E717" s="1243"/>
      <c r="F717" s="1243"/>
      <c r="G717" s="963"/>
      <c r="H717" s="730" t="s">
        <v>46</v>
      </c>
      <c r="I717" s="1379"/>
      <c r="J717" s="959">
        <v>0</v>
      </c>
      <c r="K717" s="831"/>
      <c r="L717" s="1380"/>
      <c r="M717" s="963"/>
      <c r="N717" s="1380"/>
      <c r="O717" s="831"/>
      <c r="P717" s="831"/>
      <c r="Q717" s="1244"/>
      <c r="R717" s="1244"/>
      <c r="S717" s="1244"/>
      <c r="T717" s="1244"/>
      <c r="U717" s="1244"/>
      <c r="V717" s="1244"/>
      <c r="W717" s="1244"/>
      <c r="X717" s="1244"/>
      <c r="Y717" s="1244"/>
      <c r="Z717" s="1244"/>
    </row>
    <row r="718" spans="1:26" ht="18.75" hidden="1">
      <c r="A718" s="1368"/>
      <c r="B718" s="1243"/>
      <c r="C718" s="1243"/>
      <c r="D718" s="1243" t="s">
        <v>304</v>
      </c>
      <c r="E718" s="1243"/>
      <c r="F718" s="1243"/>
      <c r="G718" s="963"/>
      <c r="H718" s="730" t="s">
        <v>35</v>
      </c>
      <c r="I718" s="1379"/>
      <c r="J718" s="830">
        <f ca="1">IFERROR(__xludf.DUMMYFUNCTION("IMPORTRANGE(""https://docs.google.com/spreadsheets/d/1XWAQStnk-4SwqDmLtmXYiTMKHgktTP8We1SCoS47DrQ/edit?usp=sharing"",""จัดที่ดิน!BF19"")"),0)</f>
        <v>0</v>
      </c>
      <c r="K718" s="831"/>
      <c r="L718" s="831"/>
      <c r="M718" s="963"/>
      <c r="N718" s="1380"/>
      <c r="O718" s="831"/>
      <c r="P718" s="831"/>
      <c r="Q718" s="1244"/>
      <c r="R718" s="1244"/>
      <c r="S718" s="1244"/>
      <c r="T718" s="1244"/>
      <c r="U718" s="1244"/>
      <c r="V718" s="1244"/>
      <c r="W718" s="1244"/>
      <c r="X718" s="1244"/>
      <c r="Y718" s="1244"/>
      <c r="Z718" s="1244"/>
    </row>
    <row r="719" spans="1:26" ht="18.75" hidden="1">
      <c r="A719" s="1368"/>
      <c r="B719" s="1243"/>
      <c r="C719" s="1243"/>
      <c r="D719" s="1243"/>
      <c r="E719" s="1243"/>
      <c r="F719" s="1243"/>
      <c r="G719" s="963"/>
      <c r="H719" s="730" t="s">
        <v>34</v>
      </c>
      <c r="I719" s="1379"/>
      <c r="J719" s="830">
        <f ca="1">IFERROR(__xludf.DUMMYFUNCTION("IMPORTRANGE(""https://docs.google.com/spreadsheets/d/1XWAQStnk-4SwqDmLtmXYiTMKHgktTP8We1SCoS47DrQ/edit?usp=sharing"",""จัดที่ดิน!BG19"")"),0)</f>
        <v>0</v>
      </c>
      <c r="K719" s="831"/>
      <c r="L719" s="1380"/>
      <c r="M719" s="963"/>
      <c r="N719" s="1380"/>
      <c r="O719" s="831"/>
      <c r="P719" s="831"/>
      <c r="Q719" s="1244"/>
      <c r="R719" s="1244"/>
      <c r="S719" s="1244"/>
      <c r="T719" s="1244"/>
      <c r="U719" s="1244"/>
      <c r="V719" s="1244"/>
      <c r="W719" s="1244"/>
      <c r="X719" s="1244"/>
      <c r="Y719" s="1244"/>
      <c r="Z719" s="1244"/>
    </row>
    <row r="720" spans="1:26" ht="18.75" hidden="1">
      <c r="A720" s="1368"/>
      <c r="B720" s="1243"/>
      <c r="C720" s="1243"/>
      <c r="D720" s="1243"/>
      <c r="E720" s="1243"/>
      <c r="F720" s="1243"/>
      <c r="G720" s="963"/>
      <c r="H720" s="730" t="s">
        <v>46</v>
      </c>
      <c r="I720" s="1379">
        <f ca="1">IFERROR(__xludf.DUMMYFUNCTION("IMPORTRANGE(""https://docs.google.com/spreadsheets/d/1QqKyyYR6Q21VydFLVH3TRQUabQu_ym0Zz7PgGX0-kHA/edit?usp=sharing"",""แผน!II19"")"),0)</f>
        <v>0</v>
      </c>
      <c r="J720" s="830">
        <f ca="1">IFERROR(__xludf.DUMMYFUNCTION("IMPORTRANGE(""https://docs.google.com/spreadsheets/d/1XWAQStnk-4SwqDmLtmXYiTMKHgktTP8We1SCoS47DrQ/edit?usp=sharing"",""จัดที่ดิน!BH19"")"),0)</f>
        <v>0</v>
      </c>
      <c r="K720" s="831">
        <f t="shared" ref="K720:K723" ca="1" si="291">IF(I720&gt;0,J720*100/I720,0)</f>
        <v>0</v>
      </c>
      <c r="L720" s="1380"/>
      <c r="M720" s="963"/>
      <c r="N720" s="1380"/>
      <c r="O720" s="831"/>
      <c r="P720" s="831"/>
      <c r="Q720" s="1244"/>
      <c r="R720" s="1244"/>
      <c r="S720" s="1244"/>
      <c r="T720" s="1244"/>
      <c r="U720" s="1244"/>
      <c r="V720" s="1244"/>
      <c r="W720" s="1244"/>
      <c r="X720" s="1244"/>
      <c r="Y720" s="1244"/>
      <c r="Z720" s="1244"/>
    </row>
    <row r="721" spans="1:26" ht="19.5" hidden="1">
      <c r="A721" s="1368"/>
      <c r="B721" s="1243"/>
      <c r="C721" s="1243"/>
      <c r="D721" s="1243" t="s">
        <v>305</v>
      </c>
      <c r="E721" s="1243"/>
      <c r="F721" s="1243"/>
      <c r="G721" s="963"/>
      <c r="H721" s="733" t="s">
        <v>35</v>
      </c>
      <c r="I721" s="1381">
        <f ca="1">IFERROR(__xludf.DUMMYFUNCTION("IMPORTRANGE(""https://docs.google.com/spreadsheets/d/1QqKyyYR6Q21VydFLVH3TRQUabQu_ym0Zz7PgGX0-kHA/edit?usp=sharing"",""แผน!IJ19"")"),0)</f>
        <v>0</v>
      </c>
      <c r="J721" s="966">
        <f ca="1">J723+J726</f>
        <v>0</v>
      </c>
      <c r="K721" s="967">
        <f t="shared" ca="1" si="291"/>
        <v>0</v>
      </c>
      <c r="L721" s="1380"/>
      <c r="M721" s="963"/>
      <c r="N721" s="1380"/>
      <c r="O721" s="831"/>
      <c r="P721" s="831"/>
      <c r="Q721" s="1244"/>
      <c r="R721" s="1244"/>
      <c r="S721" s="1244"/>
      <c r="T721" s="1244"/>
      <c r="U721" s="1244"/>
      <c r="V721" s="1244"/>
      <c r="W721" s="1244"/>
      <c r="X721" s="1244"/>
      <c r="Y721" s="1244"/>
      <c r="Z721" s="1244"/>
    </row>
    <row r="722" spans="1:26" ht="19.5" hidden="1">
      <c r="A722" s="1368"/>
      <c r="B722" s="1243"/>
      <c r="C722" s="1243"/>
      <c r="D722" s="1243"/>
      <c r="E722" s="1243"/>
      <c r="F722" s="1243"/>
      <c r="G722" s="963"/>
      <c r="H722" s="733" t="s">
        <v>46</v>
      </c>
      <c r="I722" s="1381">
        <f ca="1">IFERROR(__xludf.DUMMYFUNCTION("IMPORTRANGE(""https://docs.google.com/spreadsheets/d/1QqKyyYR6Q21VydFLVH3TRQUabQu_ym0Zz7PgGX0-kHA/edit?usp=sharing"",""แผน!IK19"")"),0)</f>
        <v>0</v>
      </c>
      <c r="J722" s="966">
        <f ca="1">J725+J728</f>
        <v>0</v>
      </c>
      <c r="K722" s="967">
        <f t="shared" ca="1" si="291"/>
        <v>0</v>
      </c>
      <c r="L722" s="831"/>
      <c r="M722" s="963"/>
      <c r="N722" s="1380"/>
      <c r="O722" s="831"/>
      <c r="P722" s="831"/>
      <c r="Q722" s="1244"/>
      <c r="R722" s="1244"/>
      <c r="S722" s="1244"/>
      <c r="T722" s="1244"/>
      <c r="U722" s="1244"/>
      <c r="V722" s="1244"/>
      <c r="W722" s="1244"/>
      <c r="X722" s="1244"/>
      <c r="Y722" s="1244"/>
      <c r="Z722" s="1244"/>
    </row>
    <row r="723" spans="1:26" ht="18.75" hidden="1">
      <c r="A723" s="1368"/>
      <c r="B723" s="1243"/>
      <c r="C723" s="1243"/>
      <c r="D723" s="1243"/>
      <c r="E723" s="1243" t="s">
        <v>306</v>
      </c>
      <c r="F723" s="1243"/>
      <c r="G723" s="963"/>
      <c r="H723" s="730" t="s">
        <v>35</v>
      </c>
      <c r="I723" s="1379">
        <f ca="1">IFERROR(__xludf.DUMMYFUNCTION("IMPORTRANGE(""https://docs.google.com/spreadsheets/d/1QqKyyYR6Q21VydFLVH3TRQUabQu_ym0Zz7PgGX0-kHA/edit?usp=sharing"",""แผน!IL19"")"),0)</f>
        <v>0</v>
      </c>
      <c r="J723" s="830">
        <f ca="1">IFERROR(__xludf.DUMMYFUNCTION("IMPORTRANGE(""https://docs.google.com/spreadsheets/d/1XWAQStnk-4SwqDmLtmXYiTMKHgktTP8We1SCoS47DrQ/edit?usp=sharing"",""จัดที่ดิน!BM19"")"),0)</f>
        <v>0</v>
      </c>
      <c r="K723" s="831">
        <f t="shared" ca="1" si="291"/>
        <v>0</v>
      </c>
      <c r="L723" s="831"/>
      <c r="M723" s="963"/>
      <c r="N723" s="1380"/>
      <c r="O723" s="831"/>
      <c r="P723" s="831"/>
      <c r="Q723" s="1244"/>
      <c r="R723" s="1244"/>
      <c r="S723" s="1244"/>
      <c r="T723" s="1244"/>
      <c r="U723" s="1244"/>
      <c r="V723" s="1244"/>
      <c r="W723" s="1244"/>
      <c r="X723" s="1244"/>
      <c r="Y723" s="1244"/>
      <c r="Z723" s="1244"/>
    </row>
    <row r="724" spans="1:26" ht="18.75" hidden="1">
      <c r="A724" s="1368"/>
      <c r="B724" s="1243"/>
      <c r="C724" s="1243"/>
      <c r="D724" s="1243"/>
      <c r="E724" s="1243"/>
      <c r="F724" s="1243"/>
      <c r="G724" s="963"/>
      <c r="H724" s="730" t="s">
        <v>34</v>
      </c>
      <c r="I724" s="1379"/>
      <c r="J724" s="830">
        <f ca="1">IFERROR(__xludf.DUMMYFUNCTION("IMPORTRANGE(""https://docs.google.com/spreadsheets/d/1XWAQStnk-4SwqDmLtmXYiTMKHgktTP8We1SCoS47DrQ/edit?usp=sharing"",""จัดที่ดิน!BN19"")"),0)</f>
        <v>0</v>
      </c>
      <c r="K724" s="831"/>
      <c r="L724" s="1380"/>
      <c r="M724" s="963"/>
      <c r="N724" s="1380"/>
      <c r="O724" s="831"/>
      <c r="P724" s="831"/>
      <c r="Q724" s="1244"/>
      <c r="R724" s="1244"/>
      <c r="S724" s="1244"/>
      <c r="T724" s="1244"/>
      <c r="U724" s="1244"/>
      <c r="V724" s="1244"/>
      <c r="W724" s="1244"/>
      <c r="X724" s="1244"/>
      <c r="Y724" s="1244"/>
      <c r="Z724" s="1244"/>
    </row>
    <row r="725" spans="1:26" ht="18.75" hidden="1">
      <c r="A725" s="1368"/>
      <c r="B725" s="1243"/>
      <c r="C725" s="1243"/>
      <c r="D725" s="1243"/>
      <c r="E725" s="1243"/>
      <c r="F725" s="1243"/>
      <c r="G725" s="963"/>
      <c r="H725" s="730" t="s">
        <v>46</v>
      </c>
      <c r="I725" s="1379">
        <f ca="1">IFERROR(__xludf.DUMMYFUNCTION("IMPORTRANGE(""https://docs.google.com/spreadsheets/d/1QqKyyYR6Q21VydFLVH3TRQUabQu_ym0Zz7PgGX0-kHA/edit?usp=sharing"",""แผน!IM19"")"),0)</f>
        <v>0</v>
      </c>
      <c r="J725" s="830">
        <f ca="1">IFERROR(__xludf.DUMMYFUNCTION("IMPORTRANGE(""https://docs.google.com/spreadsheets/d/1XWAQStnk-4SwqDmLtmXYiTMKHgktTP8We1SCoS47DrQ/edit?usp=sharing"",""จัดที่ดิน!BO19"")"),0)</f>
        <v>0</v>
      </c>
      <c r="K725" s="831">
        <f t="shared" ref="K725:K726" ca="1" si="292">IF(I725&gt;0,J725*100/I725,0)</f>
        <v>0</v>
      </c>
      <c r="L725" s="1380"/>
      <c r="M725" s="963"/>
      <c r="N725" s="1380"/>
      <c r="O725" s="831"/>
      <c r="P725" s="831"/>
      <c r="Q725" s="1244"/>
      <c r="R725" s="1244"/>
      <c r="S725" s="1244"/>
      <c r="T725" s="1244"/>
      <c r="U725" s="1244"/>
      <c r="V725" s="1244"/>
      <c r="W725" s="1244"/>
      <c r="X725" s="1244"/>
      <c r="Y725" s="1244"/>
      <c r="Z725" s="1244"/>
    </row>
    <row r="726" spans="1:26" ht="18.75" hidden="1">
      <c r="A726" s="1368"/>
      <c r="B726" s="1243"/>
      <c r="C726" s="1243"/>
      <c r="D726" s="1243"/>
      <c r="E726" s="1243" t="s">
        <v>307</v>
      </c>
      <c r="F726" s="1243"/>
      <c r="G726" s="963"/>
      <c r="H726" s="730" t="s">
        <v>35</v>
      </c>
      <c r="I726" s="1379">
        <f ca="1">IFERROR(__xludf.DUMMYFUNCTION("IMPORTRANGE(""https://docs.google.com/spreadsheets/d/1QqKyyYR6Q21VydFLVH3TRQUabQu_ym0Zz7PgGX0-kHA/edit?usp=sharing"",""แผน!IN19"")"),0)</f>
        <v>0</v>
      </c>
      <c r="J726" s="830">
        <f ca="1">IFERROR(__xludf.DUMMYFUNCTION("IMPORTRANGE(""https://docs.google.com/spreadsheets/d/1XWAQStnk-4SwqDmLtmXYiTMKHgktTP8We1SCoS47DrQ/edit?usp=sharing"",""จัดที่ดิน!BR19"")"),0)</f>
        <v>0</v>
      </c>
      <c r="K726" s="831">
        <f t="shared" ca="1" si="292"/>
        <v>0</v>
      </c>
      <c r="L726" s="831"/>
      <c r="M726" s="963"/>
      <c r="N726" s="1380"/>
      <c r="O726" s="831"/>
      <c r="P726" s="831"/>
      <c r="Q726" s="1244"/>
      <c r="R726" s="1244"/>
      <c r="S726" s="1244"/>
      <c r="T726" s="1244"/>
      <c r="U726" s="1244"/>
      <c r="V726" s="1244"/>
      <c r="W726" s="1244"/>
      <c r="X726" s="1244"/>
      <c r="Y726" s="1244"/>
      <c r="Z726" s="1244"/>
    </row>
    <row r="727" spans="1:26" ht="18.75" hidden="1">
      <c r="A727" s="1368"/>
      <c r="B727" s="1243"/>
      <c r="C727" s="1243"/>
      <c r="D727" s="1243"/>
      <c r="E727" s="1243"/>
      <c r="F727" s="1243"/>
      <c r="G727" s="963"/>
      <c r="H727" s="730" t="s">
        <v>34</v>
      </c>
      <c r="I727" s="1379"/>
      <c r="J727" s="830">
        <f ca="1">IFERROR(__xludf.DUMMYFUNCTION("IMPORTRANGE(""https://docs.google.com/spreadsheets/d/1XWAQStnk-4SwqDmLtmXYiTMKHgktTP8We1SCoS47DrQ/edit?usp=sharing"",""จัดที่ดิน!BS19"")"),0)</f>
        <v>0</v>
      </c>
      <c r="K727" s="831"/>
      <c r="L727" s="1380"/>
      <c r="M727" s="963"/>
      <c r="N727" s="1380"/>
      <c r="O727" s="831"/>
      <c r="P727" s="831"/>
      <c r="Q727" s="1244"/>
      <c r="R727" s="1244"/>
      <c r="S727" s="1244"/>
      <c r="T727" s="1244"/>
      <c r="U727" s="1244"/>
      <c r="V727" s="1244"/>
      <c r="W727" s="1244"/>
      <c r="X727" s="1244"/>
      <c r="Y727" s="1244"/>
      <c r="Z727" s="1244"/>
    </row>
    <row r="728" spans="1:26" ht="18.75" hidden="1">
      <c r="A728" s="1368"/>
      <c r="B728" s="1243"/>
      <c r="C728" s="1243"/>
      <c r="D728" s="1243"/>
      <c r="E728" s="1243"/>
      <c r="F728" s="1243"/>
      <c r="G728" s="963"/>
      <c r="H728" s="730" t="s">
        <v>46</v>
      </c>
      <c r="I728" s="1379">
        <f ca="1">IFERROR(__xludf.DUMMYFUNCTION("IMPORTRANGE(""https://docs.google.com/spreadsheets/d/1QqKyyYR6Q21VydFLVH3TRQUabQu_ym0Zz7PgGX0-kHA/edit?usp=sharing"",""แผน!IO19"")"),0)</f>
        <v>0</v>
      </c>
      <c r="J728" s="830">
        <f ca="1">IFERROR(__xludf.DUMMYFUNCTION("IMPORTRANGE(""https://docs.google.com/spreadsheets/d/1XWAQStnk-4SwqDmLtmXYiTMKHgktTP8We1SCoS47DrQ/edit?usp=sharing"",""จัดที่ดิน!BT19"")"),0)</f>
        <v>0</v>
      </c>
      <c r="K728" s="831">
        <f t="shared" ref="K728:K729" ca="1" si="293">IF(I728&gt;0,J728*100/I728,0)</f>
        <v>0</v>
      </c>
      <c r="L728" s="1380"/>
      <c r="M728" s="963"/>
      <c r="N728" s="1380"/>
      <c r="O728" s="831"/>
      <c r="P728" s="831"/>
      <c r="Q728" s="1244"/>
      <c r="R728" s="1244"/>
      <c r="S728" s="1244"/>
      <c r="T728" s="1244"/>
      <c r="U728" s="1244"/>
      <c r="V728" s="1244"/>
      <c r="W728" s="1244"/>
      <c r="X728" s="1244"/>
      <c r="Y728" s="1244"/>
      <c r="Z728" s="1244"/>
    </row>
    <row r="729" spans="1:26" ht="19.5" hidden="1">
      <c r="A729" s="1368"/>
      <c r="B729" s="1243"/>
      <c r="C729" s="1243"/>
      <c r="D729" s="1243" t="s">
        <v>308</v>
      </c>
      <c r="E729" s="1243"/>
      <c r="F729" s="1243"/>
      <c r="G729" s="963"/>
      <c r="H729" s="733" t="s">
        <v>46</v>
      </c>
      <c r="I729" s="1381">
        <f ca="1">IFERROR(__xludf.DUMMYFUNCTION("IMPORTRANGE(""https://docs.google.com/spreadsheets/d/1QqKyyYR6Q21VydFLVH3TRQUabQu_ym0Zz7PgGX0-kHA/edit?usp=sharing"",""แผน!IP19"")"),0)</f>
        <v>0</v>
      </c>
      <c r="J729" s="966">
        <f>J732+J735</f>
        <v>0</v>
      </c>
      <c r="K729" s="967">
        <f t="shared" ca="1" si="293"/>
        <v>0</v>
      </c>
      <c r="L729" s="831"/>
      <c r="M729" s="963"/>
      <c r="N729" s="1380"/>
      <c r="O729" s="831"/>
      <c r="P729" s="831"/>
      <c r="Q729" s="1244"/>
      <c r="R729" s="1244"/>
      <c r="S729" s="1244"/>
      <c r="T729" s="1244"/>
      <c r="U729" s="1244"/>
      <c r="V729" s="1244"/>
      <c r="W729" s="1244"/>
      <c r="X729" s="1244"/>
      <c r="Y729" s="1244"/>
      <c r="Z729" s="1244"/>
    </row>
    <row r="730" spans="1:26" ht="18.75" hidden="1">
      <c r="A730" s="1368"/>
      <c r="B730" s="1243"/>
      <c r="C730" s="1243"/>
      <c r="D730" s="1243"/>
      <c r="E730" s="1243" t="s">
        <v>309</v>
      </c>
      <c r="F730" s="1243"/>
      <c r="G730" s="963"/>
      <c r="H730" s="730" t="s">
        <v>35</v>
      </c>
      <c r="I730" s="1379"/>
      <c r="J730" s="959">
        <v>0</v>
      </c>
      <c r="K730" s="831"/>
      <c r="L730" s="1380"/>
      <c r="M730" s="831"/>
      <c r="N730" s="1380"/>
      <c r="O730" s="831"/>
      <c r="P730" s="831"/>
      <c r="Q730" s="1244"/>
      <c r="R730" s="1244"/>
      <c r="S730" s="1244"/>
      <c r="T730" s="1244"/>
      <c r="U730" s="1244"/>
      <c r="V730" s="1244"/>
      <c r="W730" s="1244"/>
      <c r="X730" s="1244"/>
      <c r="Y730" s="1244"/>
      <c r="Z730" s="1244"/>
    </row>
    <row r="731" spans="1:26" ht="18.75" hidden="1">
      <c r="A731" s="1368"/>
      <c r="B731" s="1243"/>
      <c r="C731" s="1243"/>
      <c r="D731" s="1243"/>
      <c r="E731" s="1243"/>
      <c r="F731" s="1243"/>
      <c r="G731" s="963"/>
      <c r="H731" s="730" t="s">
        <v>34</v>
      </c>
      <c r="I731" s="1379"/>
      <c r="J731" s="959">
        <v>0</v>
      </c>
      <c r="K731" s="831"/>
      <c r="L731" s="1380"/>
      <c r="M731" s="831"/>
      <c r="N731" s="1380"/>
      <c r="O731" s="831"/>
      <c r="P731" s="831"/>
      <c r="Q731" s="1244"/>
      <c r="R731" s="1244"/>
      <c r="S731" s="1244"/>
      <c r="T731" s="1244"/>
      <c r="U731" s="1244"/>
      <c r="V731" s="1244"/>
      <c r="W731" s="1244"/>
      <c r="X731" s="1244"/>
      <c r="Y731" s="1244"/>
      <c r="Z731" s="1244"/>
    </row>
    <row r="732" spans="1:26" ht="18.75" hidden="1">
      <c r="A732" s="1368"/>
      <c r="B732" s="1243"/>
      <c r="C732" s="1243"/>
      <c r="D732" s="1243"/>
      <c r="E732" s="1243"/>
      <c r="F732" s="1243"/>
      <c r="G732" s="963"/>
      <c r="H732" s="730" t="s">
        <v>46</v>
      </c>
      <c r="I732" s="1379"/>
      <c r="J732" s="959">
        <v>0</v>
      </c>
      <c r="K732" s="831"/>
      <c r="L732" s="1380"/>
      <c r="M732" s="831"/>
      <c r="N732" s="1380"/>
      <c r="O732" s="831"/>
      <c r="P732" s="831"/>
      <c r="Q732" s="1244"/>
      <c r="R732" s="1244"/>
      <c r="S732" s="1244"/>
      <c r="T732" s="1244"/>
      <c r="U732" s="1244"/>
      <c r="V732" s="1244"/>
      <c r="W732" s="1244"/>
      <c r="X732" s="1244"/>
      <c r="Y732" s="1244"/>
      <c r="Z732" s="1244"/>
    </row>
    <row r="733" spans="1:26" ht="18.75" hidden="1">
      <c r="A733" s="1368"/>
      <c r="B733" s="1243"/>
      <c r="C733" s="1243"/>
      <c r="D733" s="1243"/>
      <c r="E733" s="1243" t="s">
        <v>310</v>
      </c>
      <c r="F733" s="1243"/>
      <c r="G733" s="963"/>
      <c r="H733" s="730" t="s">
        <v>35</v>
      </c>
      <c r="I733" s="1379"/>
      <c r="J733" s="959">
        <v>0</v>
      </c>
      <c r="K733" s="831"/>
      <c r="L733" s="1380"/>
      <c r="M733" s="831"/>
      <c r="N733" s="1380"/>
      <c r="O733" s="831"/>
      <c r="P733" s="831"/>
      <c r="Q733" s="1244"/>
      <c r="R733" s="1244"/>
      <c r="S733" s="1244"/>
      <c r="T733" s="1244"/>
      <c r="U733" s="1244"/>
      <c r="V733" s="1244"/>
      <c r="W733" s="1244"/>
      <c r="X733" s="1244"/>
      <c r="Y733" s="1244"/>
      <c r="Z733" s="1244"/>
    </row>
    <row r="734" spans="1:26" ht="18.75" hidden="1">
      <c r="A734" s="1368"/>
      <c r="B734" s="1243"/>
      <c r="C734" s="1243"/>
      <c r="D734" s="1243"/>
      <c r="E734" s="1243"/>
      <c r="F734" s="1243"/>
      <c r="G734" s="963"/>
      <c r="H734" s="730" t="s">
        <v>34</v>
      </c>
      <c r="I734" s="1379"/>
      <c r="J734" s="959">
        <v>0</v>
      </c>
      <c r="K734" s="831"/>
      <c r="L734" s="1380"/>
      <c r="M734" s="831"/>
      <c r="N734" s="1380"/>
      <c r="O734" s="831"/>
      <c r="P734" s="831"/>
      <c r="Q734" s="1244"/>
      <c r="R734" s="1244"/>
      <c r="S734" s="1244"/>
      <c r="T734" s="1244"/>
      <c r="U734" s="1244"/>
      <c r="V734" s="1244"/>
      <c r="W734" s="1244"/>
      <c r="X734" s="1244"/>
      <c r="Y734" s="1244"/>
      <c r="Z734" s="1244"/>
    </row>
    <row r="735" spans="1:26" ht="19.5" hidden="1">
      <c r="A735" s="1382"/>
      <c r="B735" s="1383" t="s">
        <v>311</v>
      </c>
      <c r="C735" s="1116"/>
      <c r="D735" s="1116"/>
      <c r="E735" s="1116"/>
      <c r="F735" s="1116"/>
      <c r="G735" s="1361"/>
      <c r="H735" s="391" t="s">
        <v>46</v>
      </c>
      <c r="I735" s="1384"/>
      <c r="J735" s="1118">
        <v>0</v>
      </c>
      <c r="K735" s="1182"/>
      <c r="L735" s="1385"/>
      <c r="M735" s="1182"/>
      <c r="N735" s="1385"/>
      <c r="O735" s="1182"/>
      <c r="P735" s="1182"/>
      <c r="Q735" s="1244"/>
      <c r="R735" s="1244"/>
      <c r="S735" s="1244"/>
      <c r="T735" s="1244"/>
      <c r="U735" s="1244"/>
      <c r="V735" s="1244"/>
      <c r="W735" s="1244"/>
      <c r="X735" s="1244"/>
      <c r="Y735" s="1244"/>
      <c r="Z735" s="1244"/>
    </row>
    <row r="736" spans="1:26" ht="19.5" hidden="1">
      <c r="A736" s="740">
        <v>9</v>
      </c>
      <c r="B736" s="1386" t="s">
        <v>312</v>
      </c>
      <c r="C736" s="1387"/>
      <c r="D736" s="1387"/>
      <c r="E736" s="1387"/>
      <c r="F736" s="1387"/>
      <c r="G736" s="1388"/>
      <c r="H736" s="744" t="s">
        <v>46</v>
      </c>
      <c r="I736" s="1389"/>
      <c r="J736" s="1389">
        <f>J751</f>
        <v>0</v>
      </c>
      <c r="K736" s="1390">
        <f>IF(I736&gt;0,J736*100/I736,0)</f>
        <v>0</v>
      </c>
      <c r="L736" s="1391"/>
      <c r="M736" s="1391"/>
      <c r="N736" s="1391"/>
      <c r="O736" s="1391"/>
      <c r="P736" s="1391"/>
      <c r="Q736" s="1264"/>
      <c r="R736" s="1264"/>
      <c r="S736" s="1264"/>
      <c r="T736" s="1264"/>
      <c r="U736" s="1264"/>
      <c r="V736" s="1264"/>
      <c r="W736" s="1264"/>
      <c r="X736" s="1264"/>
      <c r="Y736" s="1264"/>
      <c r="Z736" s="1264"/>
    </row>
    <row r="737" spans="1:26" ht="19.5" hidden="1">
      <c r="A737" s="1260"/>
      <c r="B737" s="1261"/>
      <c r="C737" s="1261" t="s">
        <v>16</v>
      </c>
      <c r="D737" s="1508" t="s">
        <v>17</v>
      </c>
      <c r="E737" s="1485"/>
      <c r="F737" s="1485"/>
      <c r="G737" s="1263"/>
      <c r="H737" s="612" t="s">
        <v>12</v>
      </c>
      <c r="I737" s="836"/>
      <c r="J737" s="836"/>
      <c r="K737" s="837"/>
      <c r="L737" s="1292">
        <f t="shared" ref="L737:N737" si="294">L738+L739</f>
        <v>0</v>
      </c>
      <c r="M737" s="1292">
        <f t="shared" si="294"/>
        <v>0</v>
      </c>
      <c r="N737" s="1292">
        <f t="shared" si="294"/>
        <v>0</v>
      </c>
      <c r="O737" s="1292">
        <f t="shared" ref="O737:O742" si="295">IF(L737&gt;0,N737*100/L737,0)</f>
        <v>0</v>
      </c>
      <c r="P737" s="1292">
        <f t="shared" ref="P737:P742" si="296">IF(M737&gt;0,N737*100/M737,0)</f>
        <v>0</v>
      </c>
      <c r="Q737" s="1264"/>
      <c r="R737" s="1264"/>
      <c r="S737" s="1264"/>
      <c r="T737" s="1264"/>
      <c r="U737" s="1264"/>
      <c r="V737" s="1264"/>
      <c r="W737" s="1264"/>
      <c r="X737" s="1264"/>
      <c r="Y737" s="1264"/>
      <c r="Z737" s="1264"/>
    </row>
    <row r="738" spans="1:26" ht="18.75" hidden="1">
      <c r="A738" s="1260"/>
      <c r="B738" s="1261"/>
      <c r="C738" s="1261"/>
      <c r="D738" s="1262"/>
      <c r="E738" s="1261" t="s">
        <v>184</v>
      </c>
      <c r="F738" s="1261"/>
      <c r="G738" s="1263"/>
      <c r="H738" s="165" t="s">
        <v>12</v>
      </c>
      <c r="I738" s="836"/>
      <c r="J738" s="836"/>
      <c r="K738" s="837"/>
      <c r="L738" s="837">
        <f t="shared" ref="L738:N739" si="297">L741+L748</f>
        <v>0</v>
      </c>
      <c r="M738" s="837">
        <f t="shared" si="297"/>
        <v>0</v>
      </c>
      <c r="N738" s="837">
        <f t="shared" si="297"/>
        <v>0</v>
      </c>
      <c r="O738" s="837">
        <f t="shared" si="295"/>
        <v>0</v>
      </c>
      <c r="P738" s="837">
        <f t="shared" si="296"/>
        <v>0</v>
      </c>
      <c r="Q738" s="1264"/>
      <c r="R738" s="1264"/>
      <c r="S738" s="1264"/>
      <c r="T738" s="1264"/>
      <c r="U738" s="1264"/>
      <c r="V738" s="1264"/>
      <c r="W738" s="1264"/>
      <c r="X738" s="1264"/>
      <c r="Y738" s="1264"/>
      <c r="Z738" s="1264"/>
    </row>
    <row r="739" spans="1:26" ht="18.75" hidden="1">
      <c r="A739" s="1260"/>
      <c r="B739" s="1265"/>
      <c r="C739" s="1261"/>
      <c r="D739" s="1262"/>
      <c r="E739" s="1261" t="s">
        <v>185</v>
      </c>
      <c r="F739" s="1261"/>
      <c r="G739" s="1263"/>
      <c r="H739" s="165" t="s">
        <v>12</v>
      </c>
      <c r="I739" s="836"/>
      <c r="J739" s="836"/>
      <c r="K739" s="837"/>
      <c r="L739" s="837">
        <f t="shared" si="297"/>
        <v>0</v>
      </c>
      <c r="M739" s="837">
        <f t="shared" si="297"/>
        <v>0</v>
      </c>
      <c r="N739" s="837">
        <f t="shared" si="297"/>
        <v>0</v>
      </c>
      <c r="O739" s="837">
        <f t="shared" si="295"/>
        <v>0</v>
      </c>
      <c r="P739" s="837">
        <f t="shared" si="296"/>
        <v>0</v>
      </c>
      <c r="Q739" s="1264"/>
      <c r="R739" s="1264"/>
      <c r="S739" s="1264"/>
      <c r="T739" s="1264"/>
      <c r="U739" s="1264"/>
      <c r="V739" s="1264"/>
      <c r="W739" s="1264"/>
      <c r="X739" s="1264"/>
      <c r="Y739" s="1264"/>
      <c r="Z739" s="1264"/>
    </row>
    <row r="740" spans="1:26" ht="19.5" hidden="1">
      <c r="A740" s="1260"/>
      <c r="B740" s="1265"/>
      <c r="C740" s="1261"/>
      <c r="D740" s="1392" t="s">
        <v>20</v>
      </c>
      <c r="E740" s="1261"/>
      <c r="F740" s="1261"/>
      <c r="G740" s="1263"/>
      <c r="H740" s="612" t="s">
        <v>12</v>
      </c>
      <c r="I740" s="947"/>
      <c r="J740" s="947"/>
      <c r="K740" s="948"/>
      <c r="L740" s="1292">
        <f t="shared" ref="L740:N740" si="298">L741+L742</f>
        <v>0</v>
      </c>
      <c r="M740" s="1292">
        <f t="shared" si="298"/>
        <v>0</v>
      </c>
      <c r="N740" s="1292">
        <f t="shared" si="298"/>
        <v>0</v>
      </c>
      <c r="O740" s="1292">
        <f t="shared" si="295"/>
        <v>0</v>
      </c>
      <c r="P740" s="1292">
        <f t="shared" si="296"/>
        <v>0</v>
      </c>
      <c r="Q740" s="1264"/>
      <c r="R740" s="1264"/>
      <c r="S740" s="1264"/>
      <c r="T740" s="1264"/>
      <c r="U740" s="1264"/>
      <c r="V740" s="1264"/>
      <c r="W740" s="1264"/>
      <c r="X740" s="1264"/>
      <c r="Y740" s="1264"/>
      <c r="Z740" s="1264"/>
    </row>
    <row r="741" spans="1:26" ht="18.75" hidden="1">
      <c r="A741" s="1260"/>
      <c r="B741" s="1265"/>
      <c r="C741" s="1261"/>
      <c r="D741" s="1262"/>
      <c r="E741" s="1261" t="s">
        <v>184</v>
      </c>
      <c r="F741" s="1261"/>
      <c r="G741" s="1263"/>
      <c r="H741" s="165" t="s">
        <v>12</v>
      </c>
      <c r="I741" s="836"/>
      <c r="J741" s="836"/>
      <c r="K741" s="837"/>
      <c r="L741" s="837">
        <v>0</v>
      </c>
      <c r="M741" s="837">
        <v>0</v>
      </c>
      <c r="N741" s="837">
        <v>0</v>
      </c>
      <c r="O741" s="837">
        <f t="shared" si="295"/>
        <v>0</v>
      </c>
      <c r="P741" s="837">
        <f t="shared" si="296"/>
        <v>0</v>
      </c>
      <c r="Q741" s="1264"/>
      <c r="R741" s="1264"/>
      <c r="S741" s="1264"/>
      <c r="T741" s="1264"/>
      <c r="U741" s="1264"/>
      <c r="V741" s="1264"/>
      <c r="W741" s="1264"/>
      <c r="X741" s="1264"/>
      <c r="Y741" s="1264"/>
      <c r="Z741" s="1264"/>
    </row>
    <row r="742" spans="1:26" ht="18.75" hidden="1">
      <c r="A742" s="1260"/>
      <c r="B742" s="1265"/>
      <c r="C742" s="1261"/>
      <c r="D742" s="1262"/>
      <c r="E742" s="1261" t="s">
        <v>185</v>
      </c>
      <c r="F742" s="1261"/>
      <c r="G742" s="1263"/>
      <c r="H742" s="165" t="s">
        <v>12</v>
      </c>
      <c r="I742" s="836"/>
      <c r="J742" s="836"/>
      <c r="K742" s="837"/>
      <c r="L742" s="837">
        <v>0</v>
      </c>
      <c r="M742" s="837">
        <v>0</v>
      </c>
      <c r="N742" s="837">
        <f>N743+N744+N745+N746</f>
        <v>0</v>
      </c>
      <c r="O742" s="837">
        <f t="shared" si="295"/>
        <v>0</v>
      </c>
      <c r="P742" s="837">
        <f t="shared" si="296"/>
        <v>0</v>
      </c>
      <c r="Q742" s="1264"/>
      <c r="R742" s="1264"/>
      <c r="S742" s="1264"/>
      <c r="T742" s="1264"/>
      <c r="U742" s="1264"/>
      <c r="V742" s="1264"/>
      <c r="W742" s="1264"/>
      <c r="X742" s="1264"/>
      <c r="Y742" s="1264"/>
      <c r="Z742" s="1264"/>
    </row>
    <row r="743" spans="1:26" ht="18.75" hidden="1">
      <c r="A743" s="1294"/>
      <c r="B743" s="1265"/>
      <c r="C743" s="1261"/>
      <c r="D743" s="1261"/>
      <c r="E743" s="1261"/>
      <c r="F743" s="1261" t="s">
        <v>186</v>
      </c>
      <c r="G743" s="1263"/>
      <c r="H743" s="165" t="s">
        <v>12</v>
      </c>
      <c r="I743" s="836"/>
      <c r="J743" s="836"/>
      <c r="K743" s="837"/>
      <c r="L743" s="837"/>
      <c r="M743" s="837"/>
      <c r="N743" s="837"/>
      <c r="O743" s="837"/>
      <c r="P743" s="837"/>
      <c r="Q743" s="1264"/>
      <c r="R743" s="1264"/>
      <c r="S743" s="1264"/>
      <c r="T743" s="1264"/>
      <c r="U743" s="1264"/>
      <c r="V743" s="1264"/>
      <c r="W743" s="1264"/>
      <c r="X743" s="1264"/>
      <c r="Y743" s="1264"/>
      <c r="Z743" s="1264"/>
    </row>
    <row r="744" spans="1:26" ht="18.75" hidden="1">
      <c r="A744" s="1294"/>
      <c r="B744" s="1265"/>
      <c r="C744" s="1261"/>
      <c r="D744" s="1261"/>
      <c r="E744" s="1261"/>
      <c r="F744" s="1261" t="s">
        <v>187</v>
      </c>
      <c r="G744" s="1263"/>
      <c r="H744" s="165" t="s">
        <v>12</v>
      </c>
      <c r="I744" s="836"/>
      <c r="J744" s="836"/>
      <c r="K744" s="837"/>
      <c r="L744" s="837"/>
      <c r="M744" s="837"/>
      <c r="N744" s="837"/>
      <c r="O744" s="837"/>
      <c r="P744" s="837"/>
      <c r="Q744" s="1264"/>
      <c r="R744" s="1264"/>
      <c r="S744" s="1264"/>
      <c r="T744" s="1264"/>
      <c r="U744" s="1264"/>
      <c r="V744" s="1264"/>
      <c r="W744" s="1264"/>
      <c r="X744" s="1264"/>
      <c r="Y744" s="1264"/>
      <c r="Z744" s="1264"/>
    </row>
    <row r="745" spans="1:26" ht="18.75" hidden="1">
      <c r="A745" s="1294"/>
      <c r="B745" s="1265"/>
      <c r="C745" s="1261"/>
      <c r="D745" s="1261"/>
      <c r="E745" s="1261"/>
      <c r="F745" s="1261" t="s">
        <v>188</v>
      </c>
      <c r="G745" s="1263"/>
      <c r="H745" s="165" t="s">
        <v>12</v>
      </c>
      <c r="I745" s="836"/>
      <c r="J745" s="836"/>
      <c r="K745" s="837"/>
      <c r="L745" s="837"/>
      <c r="M745" s="837"/>
      <c r="N745" s="837"/>
      <c r="O745" s="837"/>
      <c r="P745" s="837"/>
      <c r="Q745" s="1264"/>
      <c r="R745" s="1264"/>
      <c r="S745" s="1264"/>
      <c r="T745" s="1264"/>
      <c r="U745" s="1264"/>
      <c r="V745" s="1264"/>
      <c r="W745" s="1264"/>
      <c r="X745" s="1264"/>
      <c r="Y745" s="1264"/>
      <c r="Z745" s="1264"/>
    </row>
    <row r="746" spans="1:26" ht="18.75" hidden="1">
      <c r="A746" s="1294"/>
      <c r="B746" s="1265"/>
      <c r="C746" s="1261"/>
      <c r="D746" s="1261"/>
      <c r="E746" s="1261"/>
      <c r="F746" s="1261" t="s">
        <v>189</v>
      </c>
      <c r="G746" s="1263"/>
      <c r="H746" s="165" t="s">
        <v>12</v>
      </c>
      <c r="I746" s="836"/>
      <c r="J746" s="836"/>
      <c r="K746" s="837"/>
      <c r="L746" s="837"/>
      <c r="M746" s="837"/>
      <c r="N746" s="837"/>
      <c r="O746" s="837"/>
      <c r="P746" s="837"/>
      <c r="Q746" s="1264"/>
      <c r="R746" s="1264"/>
      <c r="S746" s="1264"/>
      <c r="T746" s="1264"/>
      <c r="U746" s="1264"/>
      <c r="V746" s="1264"/>
      <c r="W746" s="1264"/>
      <c r="X746" s="1264"/>
      <c r="Y746" s="1264"/>
      <c r="Z746" s="1264"/>
    </row>
    <row r="747" spans="1:26" ht="19.5" hidden="1">
      <c r="A747" s="1260"/>
      <c r="B747" s="1265"/>
      <c r="C747" s="1261"/>
      <c r="D747" s="1392" t="s">
        <v>21</v>
      </c>
      <c r="E747" s="1261"/>
      <c r="F747" s="1261"/>
      <c r="G747" s="1263"/>
      <c r="H747" s="749" t="s">
        <v>12</v>
      </c>
      <c r="I747" s="947"/>
      <c r="J747" s="947"/>
      <c r="K747" s="948"/>
      <c r="L747" s="1292">
        <f t="shared" ref="L747:N747" si="299">L748+L749</f>
        <v>0</v>
      </c>
      <c r="M747" s="1292">
        <f t="shared" si="299"/>
        <v>0</v>
      </c>
      <c r="N747" s="1292">
        <f t="shared" si="299"/>
        <v>0</v>
      </c>
      <c r="O747" s="1292">
        <f t="shared" ref="O747:O749" si="300">IF(L747&gt;0,N747*100/L747,0)</f>
        <v>0</v>
      </c>
      <c r="P747" s="1292">
        <f t="shared" ref="P747:P749" si="301">IF(M747&gt;0,N747*100/M747,0)</f>
        <v>0</v>
      </c>
      <c r="Q747" s="1264"/>
      <c r="R747" s="1264"/>
      <c r="S747" s="1264"/>
      <c r="T747" s="1264"/>
      <c r="U747" s="1264"/>
      <c r="V747" s="1264"/>
      <c r="W747" s="1264"/>
      <c r="X747" s="1264"/>
      <c r="Y747" s="1264"/>
      <c r="Z747" s="1264"/>
    </row>
    <row r="748" spans="1:26" ht="18.75" hidden="1">
      <c r="A748" s="1260"/>
      <c r="B748" s="1265"/>
      <c r="C748" s="1261"/>
      <c r="D748" s="1261"/>
      <c r="E748" s="1261" t="s">
        <v>18</v>
      </c>
      <c r="F748" s="1261"/>
      <c r="G748" s="1263"/>
      <c r="H748" s="165" t="s">
        <v>12</v>
      </c>
      <c r="I748" s="947"/>
      <c r="J748" s="947"/>
      <c r="K748" s="948"/>
      <c r="L748" s="837">
        <v>0</v>
      </c>
      <c r="M748" s="837">
        <v>0</v>
      </c>
      <c r="N748" s="837">
        <v>0</v>
      </c>
      <c r="O748" s="837">
        <f t="shared" si="300"/>
        <v>0</v>
      </c>
      <c r="P748" s="837">
        <f t="shared" si="301"/>
        <v>0</v>
      </c>
      <c r="Q748" s="1264"/>
      <c r="R748" s="1264"/>
      <c r="S748" s="1264"/>
      <c r="T748" s="1264"/>
      <c r="U748" s="1264"/>
      <c r="V748" s="1264"/>
      <c r="W748" s="1264"/>
      <c r="X748" s="1264"/>
      <c r="Y748" s="1264"/>
      <c r="Z748" s="1264"/>
    </row>
    <row r="749" spans="1:26" ht="18.75" hidden="1">
      <c r="A749" s="1260"/>
      <c r="B749" s="1265"/>
      <c r="C749" s="1261"/>
      <c r="D749" s="1261"/>
      <c r="E749" s="1261" t="s">
        <v>19</v>
      </c>
      <c r="F749" s="1261"/>
      <c r="G749" s="1263"/>
      <c r="H749" s="169" t="s">
        <v>12</v>
      </c>
      <c r="I749" s="947"/>
      <c r="J749" s="947"/>
      <c r="K749" s="948"/>
      <c r="L749" s="837">
        <v>0</v>
      </c>
      <c r="M749" s="837">
        <v>0</v>
      </c>
      <c r="N749" s="837">
        <v>0</v>
      </c>
      <c r="O749" s="837">
        <f t="shared" si="300"/>
        <v>0</v>
      </c>
      <c r="P749" s="837">
        <f t="shared" si="301"/>
        <v>0</v>
      </c>
      <c r="Q749" s="1264"/>
      <c r="R749" s="1264"/>
      <c r="S749" s="1264"/>
      <c r="T749" s="1264"/>
      <c r="U749" s="1264"/>
      <c r="V749" s="1264"/>
      <c r="W749" s="1264"/>
      <c r="X749" s="1264"/>
      <c r="Y749" s="1264"/>
      <c r="Z749" s="1264"/>
    </row>
    <row r="750" spans="1:26" ht="19.5" hidden="1">
      <c r="A750" s="1273"/>
      <c r="B750" s="1274"/>
      <c r="C750" s="1261" t="s">
        <v>16</v>
      </c>
      <c r="D750" s="1393" t="s">
        <v>38</v>
      </c>
      <c r="E750" s="1296"/>
      <c r="F750" s="1296"/>
      <c r="G750" s="1297"/>
      <c r="H750" s="1060"/>
      <c r="I750" s="947"/>
      <c r="J750" s="947"/>
      <c r="K750" s="948"/>
      <c r="L750" s="948"/>
      <c r="M750" s="948"/>
      <c r="N750" s="948"/>
      <c r="O750" s="948"/>
      <c r="P750" s="948"/>
      <c r="Q750" s="1264"/>
      <c r="R750" s="1264"/>
      <c r="S750" s="1264"/>
      <c r="T750" s="1264"/>
      <c r="U750" s="1264"/>
      <c r="V750" s="1264"/>
      <c r="W750" s="1264"/>
      <c r="X750" s="1264"/>
      <c r="Y750" s="1264"/>
      <c r="Z750" s="1264"/>
    </row>
    <row r="751" spans="1:26" ht="18.75" hidden="1">
      <c r="A751" s="1294"/>
      <c r="B751" s="1265"/>
      <c r="C751" s="1261"/>
      <c r="D751" s="1261"/>
      <c r="E751" s="1261" t="s">
        <v>313</v>
      </c>
      <c r="F751" s="1261"/>
      <c r="G751" s="1263"/>
      <c r="H751" s="165" t="s">
        <v>46</v>
      </c>
      <c r="I751" s="836"/>
      <c r="J751" s="836"/>
      <c r="K751" s="837"/>
      <c r="L751" s="837"/>
      <c r="M751" s="837"/>
      <c r="N751" s="837"/>
      <c r="O751" s="837"/>
      <c r="P751" s="837"/>
      <c r="Q751" s="1264"/>
      <c r="R751" s="1264"/>
      <c r="S751" s="1264"/>
      <c r="T751" s="1264"/>
      <c r="U751" s="1264"/>
      <c r="V751" s="1264"/>
      <c r="W751" s="1264"/>
      <c r="X751" s="1264"/>
      <c r="Y751" s="1264"/>
      <c r="Z751" s="1264"/>
    </row>
    <row r="752" spans="1:26" ht="18.75" hidden="1">
      <c r="A752" s="1294"/>
      <c r="B752" s="1265"/>
      <c r="C752" s="1261"/>
      <c r="D752" s="1261"/>
      <c r="E752" s="1261"/>
      <c r="F752" s="1261"/>
      <c r="G752" s="1263"/>
      <c r="H752" s="165" t="s">
        <v>314</v>
      </c>
      <c r="I752" s="836"/>
      <c r="J752" s="836"/>
      <c r="K752" s="837"/>
      <c r="L752" s="837"/>
      <c r="M752" s="837"/>
      <c r="N752" s="837"/>
      <c r="O752" s="837"/>
      <c r="P752" s="837"/>
      <c r="Q752" s="1264"/>
      <c r="R752" s="1264"/>
      <c r="S752" s="1264"/>
      <c r="T752" s="1264"/>
      <c r="U752" s="1264"/>
      <c r="V752" s="1264"/>
      <c r="W752" s="1264"/>
      <c r="X752" s="1264"/>
      <c r="Y752" s="1264"/>
      <c r="Z752" s="1264"/>
    </row>
    <row r="753" spans="1:26" ht="19.5" hidden="1">
      <c r="A753" s="751">
        <v>10</v>
      </c>
      <c r="B753" s="1394" t="s">
        <v>315</v>
      </c>
      <c r="C753" s="1395"/>
      <c r="D753" s="1395"/>
      <c r="E753" s="1395"/>
      <c r="F753" s="1395"/>
      <c r="G753" s="1396"/>
      <c r="H753" s="755" t="s">
        <v>46</v>
      </c>
      <c r="I753" s="1397"/>
      <c r="J753" s="1397">
        <f>J768</f>
        <v>0</v>
      </c>
      <c r="K753" s="1398">
        <f>IF(I753&gt;0,J753*100/I753,0)</f>
        <v>0</v>
      </c>
      <c r="L753" s="1399"/>
      <c r="M753" s="1399"/>
      <c r="N753" s="1399"/>
      <c r="O753" s="1399"/>
      <c r="P753" s="1399"/>
      <c r="Q753" s="1264"/>
      <c r="R753" s="1264"/>
      <c r="S753" s="1264"/>
      <c r="T753" s="1264"/>
      <c r="U753" s="1264"/>
      <c r="V753" s="1264"/>
      <c r="W753" s="1264"/>
      <c r="X753" s="1264"/>
      <c r="Y753" s="1264"/>
      <c r="Z753" s="1264"/>
    </row>
    <row r="754" spans="1:26" ht="19.5" hidden="1">
      <c r="A754" s="1260"/>
      <c r="B754" s="1261"/>
      <c r="C754" s="1261" t="s">
        <v>16</v>
      </c>
      <c r="D754" s="1508" t="s">
        <v>17</v>
      </c>
      <c r="E754" s="1485"/>
      <c r="F754" s="1485"/>
      <c r="G754" s="1263"/>
      <c r="H754" s="612" t="s">
        <v>12</v>
      </c>
      <c r="I754" s="836"/>
      <c r="J754" s="836"/>
      <c r="K754" s="837"/>
      <c r="L754" s="1292">
        <f t="shared" ref="L754:N754" si="302">L755+L756</f>
        <v>0</v>
      </c>
      <c r="M754" s="1292">
        <f t="shared" si="302"/>
        <v>0</v>
      </c>
      <c r="N754" s="1292">
        <f t="shared" si="302"/>
        <v>0</v>
      </c>
      <c r="O754" s="1292">
        <f t="shared" ref="O754:O759" si="303">IF(L754&gt;0,N754*100/L754,0)</f>
        <v>0</v>
      </c>
      <c r="P754" s="1292">
        <f t="shared" ref="P754:P759" si="304">IF(M754&gt;0,N754*100/M754,0)</f>
        <v>0</v>
      </c>
      <c r="Q754" s="1264"/>
      <c r="R754" s="1264"/>
      <c r="S754" s="1264"/>
      <c r="T754" s="1264"/>
      <c r="U754" s="1264"/>
      <c r="V754" s="1264"/>
      <c r="W754" s="1264"/>
      <c r="X754" s="1264"/>
      <c r="Y754" s="1264"/>
      <c r="Z754" s="1264"/>
    </row>
    <row r="755" spans="1:26" ht="18.75" hidden="1">
      <c r="A755" s="1260"/>
      <c r="B755" s="1261"/>
      <c r="C755" s="1261"/>
      <c r="D755" s="1262"/>
      <c r="E755" s="1261" t="s">
        <v>184</v>
      </c>
      <c r="F755" s="1261"/>
      <c r="G755" s="1263"/>
      <c r="H755" s="165" t="s">
        <v>12</v>
      </c>
      <c r="I755" s="836"/>
      <c r="J755" s="836"/>
      <c r="K755" s="837"/>
      <c r="L755" s="837">
        <f t="shared" ref="L755:N756" si="305">L758+L765</f>
        <v>0</v>
      </c>
      <c r="M755" s="837">
        <f t="shared" si="305"/>
        <v>0</v>
      </c>
      <c r="N755" s="837">
        <f t="shared" si="305"/>
        <v>0</v>
      </c>
      <c r="O755" s="837">
        <f t="shared" si="303"/>
        <v>0</v>
      </c>
      <c r="P755" s="837">
        <f t="shared" si="304"/>
        <v>0</v>
      </c>
      <c r="Q755" s="1264"/>
      <c r="R755" s="1264"/>
      <c r="S755" s="1264"/>
      <c r="T755" s="1264"/>
      <c r="U755" s="1264"/>
      <c r="V755" s="1264"/>
      <c r="W755" s="1264"/>
      <c r="X755" s="1264"/>
      <c r="Y755" s="1264"/>
      <c r="Z755" s="1264"/>
    </row>
    <row r="756" spans="1:26" ht="18.75" hidden="1">
      <c r="A756" s="1260"/>
      <c r="B756" s="1265"/>
      <c r="C756" s="1261"/>
      <c r="D756" s="1262"/>
      <c r="E756" s="1261" t="s">
        <v>185</v>
      </c>
      <c r="F756" s="1261"/>
      <c r="G756" s="1263"/>
      <c r="H756" s="165" t="s">
        <v>12</v>
      </c>
      <c r="I756" s="836"/>
      <c r="J756" s="836"/>
      <c r="K756" s="837"/>
      <c r="L756" s="837">
        <f t="shared" si="305"/>
        <v>0</v>
      </c>
      <c r="M756" s="837">
        <f t="shared" si="305"/>
        <v>0</v>
      </c>
      <c r="N756" s="837">
        <f t="shared" si="305"/>
        <v>0</v>
      </c>
      <c r="O756" s="837">
        <f t="shared" si="303"/>
        <v>0</v>
      </c>
      <c r="P756" s="837">
        <f t="shared" si="304"/>
        <v>0</v>
      </c>
      <c r="Q756" s="1264"/>
      <c r="R756" s="1264"/>
      <c r="S756" s="1264"/>
      <c r="T756" s="1264"/>
      <c r="U756" s="1264"/>
      <c r="V756" s="1264"/>
      <c r="W756" s="1264"/>
      <c r="X756" s="1264"/>
      <c r="Y756" s="1264"/>
      <c r="Z756" s="1264"/>
    </row>
    <row r="757" spans="1:26" ht="19.5" hidden="1">
      <c r="A757" s="1260"/>
      <c r="B757" s="1265"/>
      <c r="C757" s="1261"/>
      <c r="D757" s="1392" t="s">
        <v>20</v>
      </c>
      <c r="E757" s="1261"/>
      <c r="F757" s="1261"/>
      <c r="G757" s="1263"/>
      <c r="H757" s="612" t="s">
        <v>12</v>
      </c>
      <c r="I757" s="947"/>
      <c r="J757" s="947"/>
      <c r="K757" s="948"/>
      <c r="L757" s="1292">
        <f t="shared" ref="L757:N757" si="306">L758+L759</f>
        <v>0</v>
      </c>
      <c r="M757" s="1292">
        <f t="shared" si="306"/>
        <v>0</v>
      </c>
      <c r="N757" s="1292">
        <f t="shared" si="306"/>
        <v>0</v>
      </c>
      <c r="O757" s="1292">
        <f t="shared" si="303"/>
        <v>0</v>
      </c>
      <c r="P757" s="1292">
        <f t="shared" si="304"/>
        <v>0</v>
      </c>
      <c r="Q757" s="1264"/>
      <c r="R757" s="1264"/>
      <c r="S757" s="1264"/>
      <c r="T757" s="1264"/>
      <c r="U757" s="1264"/>
      <c r="V757" s="1264"/>
      <c r="W757" s="1264"/>
      <c r="X757" s="1264"/>
      <c r="Y757" s="1264"/>
      <c r="Z757" s="1264"/>
    </row>
    <row r="758" spans="1:26" ht="18.75" hidden="1">
      <c r="A758" s="1260"/>
      <c r="B758" s="1265"/>
      <c r="C758" s="1261"/>
      <c r="D758" s="1262"/>
      <c r="E758" s="1261" t="s">
        <v>184</v>
      </c>
      <c r="F758" s="1261"/>
      <c r="G758" s="1263"/>
      <c r="H758" s="165" t="s">
        <v>12</v>
      </c>
      <c r="I758" s="836"/>
      <c r="J758" s="836"/>
      <c r="K758" s="837"/>
      <c r="L758" s="837">
        <v>0</v>
      </c>
      <c r="M758" s="837">
        <v>0</v>
      </c>
      <c r="N758" s="837">
        <v>0</v>
      </c>
      <c r="O758" s="837">
        <f t="shared" si="303"/>
        <v>0</v>
      </c>
      <c r="P758" s="837">
        <f t="shared" si="304"/>
        <v>0</v>
      </c>
      <c r="Q758" s="1264"/>
      <c r="R758" s="1264"/>
      <c r="S758" s="1264"/>
      <c r="T758" s="1264"/>
      <c r="U758" s="1264"/>
      <c r="V758" s="1264"/>
      <c r="W758" s="1264"/>
      <c r="X758" s="1264"/>
      <c r="Y758" s="1264"/>
      <c r="Z758" s="1264"/>
    </row>
    <row r="759" spans="1:26" ht="18.75" hidden="1">
      <c r="A759" s="1260"/>
      <c r="B759" s="1265"/>
      <c r="C759" s="1261"/>
      <c r="D759" s="1262"/>
      <c r="E759" s="1261" t="s">
        <v>185</v>
      </c>
      <c r="F759" s="1261"/>
      <c r="G759" s="1263"/>
      <c r="H759" s="165" t="s">
        <v>12</v>
      </c>
      <c r="I759" s="836"/>
      <c r="J759" s="836"/>
      <c r="K759" s="837"/>
      <c r="L759" s="837">
        <v>0</v>
      </c>
      <c r="M759" s="837">
        <v>0</v>
      </c>
      <c r="N759" s="837">
        <f>N760+N761+N762+N763</f>
        <v>0</v>
      </c>
      <c r="O759" s="837">
        <f t="shared" si="303"/>
        <v>0</v>
      </c>
      <c r="P759" s="837">
        <f t="shared" si="304"/>
        <v>0</v>
      </c>
      <c r="Q759" s="1264"/>
      <c r="R759" s="1264"/>
      <c r="S759" s="1264"/>
      <c r="T759" s="1264"/>
      <c r="U759" s="1264"/>
      <c r="V759" s="1264"/>
      <c r="W759" s="1264"/>
      <c r="X759" s="1264"/>
      <c r="Y759" s="1264"/>
      <c r="Z759" s="1264"/>
    </row>
    <row r="760" spans="1:26" ht="18.75" hidden="1">
      <c r="A760" s="1294"/>
      <c r="B760" s="1265"/>
      <c r="C760" s="1261"/>
      <c r="D760" s="1261"/>
      <c r="E760" s="1261"/>
      <c r="F760" s="1261" t="s">
        <v>186</v>
      </c>
      <c r="G760" s="1263"/>
      <c r="H760" s="165" t="s">
        <v>12</v>
      </c>
      <c r="I760" s="836"/>
      <c r="J760" s="836"/>
      <c r="K760" s="837"/>
      <c r="L760" s="837"/>
      <c r="M760" s="837"/>
      <c r="N760" s="837"/>
      <c r="O760" s="837"/>
      <c r="P760" s="837"/>
      <c r="Q760" s="1264"/>
      <c r="R760" s="1264"/>
      <c r="S760" s="1264"/>
      <c r="T760" s="1264"/>
      <c r="U760" s="1264"/>
      <c r="V760" s="1264"/>
      <c r="W760" s="1264"/>
      <c r="X760" s="1264"/>
      <c r="Y760" s="1264"/>
      <c r="Z760" s="1264"/>
    </row>
    <row r="761" spans="1:26" ht="18.75" hidden="1">
      <c r="A761" s="1294"/>
      <c r="B761" s="1265"/>
      <c r="C761" s="1261"/>
      <c r="D761" s="1261"/>
      <c r="E761" s="1261"/>
      <c r="F761" s="1261" t="s">
        <v>187</v>
      </c>
      <c r="G761" s="1263"/>
      <c r="H761" s="165" t="s">
        <v>12</v>
      </c>
      <c r="I761" s="836"/>
      <c r="J761" s="836"/>
      <c r="K761" s="837"/>
      <c r="L761" s="837"/>
      <c r="M761" s="837"/>
      <c r="N761" s="837"/>
      <c r="O761" s="837"/>
      <c r="P761" s="837"/>
      <c r="Q761" s="1264"/>
      <c r="R761" s="1264"/>
      <c r="S761" s="1264"/>
      <c r="T761" s="1264"/>
      <c r="U761" s="1264"/>
      <c r="V761" s="1264"/>
      <c r="W761" s="1264"/>
      <c r="X761" s="1264"/>
      <c r="Y761" s="1264"/>
      <c r="Z761" s="1264"/>
    </row>
    <row r="762" spans="1:26" ht="18.75" hidden="1">
      <c r="A762" s="1294"/>
      <c r="B762" s="1265"/>
      <c r="C762" s="1261"/>
      <c r="D762" s="1261"/>
      <c r="E762" s="1261"/>
      <c r="F762" s="1261" t="s">
        <v>188</v>
      </c>
      <c r="G762" s="1263"/>
      <c r="H762" s="165" t="s">
        <v>12</v>
      </c>
      <c r="I762" s="836"/>
      <c r="J762" s="836"/>
      <c r="K762" s="837"/>
      <c r="L762" s="837"/>
      <c r="M762" s="837"/>
      <c r="N762" s="837"/>
      <c r="O762" s="837"/>
      <c r="P762" s="837"/>
      <c r="Q762" s="1264"/>
      <c r="R762" s="1264"/>
      <c r="S762" s="1264"/>
      <c r="T762" s="1264"/>
      <c r="U762" s="1264"/>
      <c r="V762" s="1264"/>
      <c r="W762" s="1264"/>
      <c r="X762" s="1264"/>
      <c r="Y762" s="1264"/>
      <c r="Z762" s="1264"/>
    </row>
    <row r="763" spans="1:26" ht="18.75" hidden="1">
      <c r="A763" s="1294"/>
      <c r="B763" s="1265"/>
      <c r="C763" s="1261"/>
      <c r="D763" s="1261"/>
      <c r="E763" s="1261"/>
      <c r="F763" s="1261" t="s">
        <v>189</v>
      </c>
      <c r="G763" s="1263"/>
      <c r="H763" s="165" t="s">
        <v>12</v>
      </c>
      <c r="I763" s="836"/>
      <c r="J763" s="836"/>
      <c r="K763" s="837"/>
      <c r="L763" s="837"/>
      <c r="M763" s="837"/>
      <c r="N763" s="837"/>
      <c r="O763" s="837"/>
      <c r="P763" s="837"/>
      <c r="Q763" s="1264"/>
      <c r="R763" s="1264"/>
      <c r="S763" s="1264"/>
      <c r="T763" s="1264"/>
      <c r="U763" s="1264"/>
      <c r="V763" s="1264"/>
      <c r="W763" s="1264"/>
      <c r="X763" s="1264"/>
      <c r="Y763" s="1264"/>
      <c r="Z763" s="1264"/>
    </row>
    <row r="764" spans="1:26" ht="19.5" hidden="1">
      <c r="A764" s="1260"/>
      <c r="B764" s="1265"/>
      <c r="C764" s="1261"/>
      <c r="D764" s="1392" t="s">
        <v>21</v>
      </c>
      <c r="E764" s="1261"/>
      <c r="F764" s="1261"/>
      <c r="G764" s="1263"/>
      <c r="H764" s="749" t="s">
        <v>12</v>
      </c>
      <c r="I764" s="947"/>
      <c r="J764" s="947"/>
      <c r="K764" s="948"/>
      <c r="L764" s="1292">
        <f t="shared" ref="L764:N764" si="307">L765+L766</f>
        <v>0</v>
      </c>
      <c r="M764" s="1292">
        <f t="shared" si="307"/>
        <v>0</v>
      </c>
      <c r="N764" s="1292">
        <f t="shared" si="307"/>
        <v>0</v>
      </c>
      <c r="O764" s="1292">
        <f t="shared" ref="O764:O766" si="308">IF(L764&gt;0,N764*100/L764,0)</f>
        <v>0</v>
      </c>
      <c r="P764" s="1292">
        <f t="shared" ref="P764:P766" si="309">IF(M764&gt;0,N764*100/M764,0)</f>
        <v>0</v>
      </c>
      <c r="Q764" s="1264"/>
      <c r="R764" s="1264"/>
      <c r="S764" s="1264"/>
      <c r="T764" s="1264"/>
      <c r="U764" s="1264"/>
      <c r="V764" s="1264"/>
      <c r="W764" s="1264"/>
      <c r="X764" s="1264"/>
      <c r="Y764" s="1264"/>
      <c r="Z764" s="1264"/>
    </row>
    <row r="765" spans="1:26" ht="18.75" hidden="1">
      <c r="A765" s="1260"/>
      <c r="B765" s="1265"/>
      <c r="C765" s="1261"/>
      <c r="D765" s="1261"/>
      <c r="E765" s="1261" t="s">
        <v>18</v>
      </c>
      <c r="F765" s="1261"/>
      <c r="G765" s="1263"/>
      <c r="H765" s="165" t="s">
        <v>12</v>
      </c>
      <c r="I765" s="947"/>
      <c r="J765" s="947"/>
      <c r="K765" s="948"/>
      <c r="L765" s="837">
        <v>0</v>
      </c>
      <c r="M765" s="837">
        <v>0</v>
      </c>
      <c r="N765" s="837">
        <v>0</v>
      </c>
      <c r="O765" s="837">
        <f t="shared" si="308"/>
        <v>0</v>
      </c>
      <c r="P765" s="837">
        <f t="shared" si="309"/>
        <v>0</v>
      </c>
      <c r="Q765" s="1264"/>
      <c r="R765" s="1264"/>
      <c r="S765" s="1264"/>
      <c r="T765" s="1264"/>
      <c r="U765" s="1264"/>
      <c r="V765" s="1264"/>
      <c r="W765" s="1264"/>
      <c r="X765" s="1264"/>
      <c r="Y765" s="1264"/>
      <c r="Z765" s="1264"/>
    </row>
    <row r="766" spans="1:26" ht="18.75" hidden="1">
      <c r="A766" s="1260"/>
      <c r="B766" s="1265"/>
      <c r="C766" s="1261"/>
      <c r="D766" s="1261"/>
      <c r="E766" s="1261" t="s">
        <v>19</v>
      </c>
      <c r="F766" s="1261"/>
      <c r="G766" s="1263"/>
      <c r="H766" s="169" t="s">
        <v>12</v>
      </c>
      <c r="I766" s="947"/>
      <c r="J766" s="947"/>
      <c r="K766" s="948"/>
      <c r="L766" s="837">
        <v>0</v>
      </c>
      <c r="M766" s="837">
        <v>0</v>
      </c>
      <c r="N766" s="837">
        <v>0</v>
      </c>
      <c r="O766" s="837">
        <f t="shared" si="308"/>
        <v>0</v>
      </c>
      <c r="P766" s="837">
        <f t="shared" si="309"/>
        <v>0</v>
      </c>
      <c r="Q766" s="1264"/>
      <c r="R766" s="1264"/>
      <c r="S766" s="1264"/>
      <c r="T766" s="1264"/>
      <c r="U766" s="1264"/>
      <c r="V766" s="1264"/>
      <c r="W766" s="1264"/>
      <c r="X766" s="1264"/>
      <c r="Y766" s="1264"/>
      <c r="Z766" s="1264"/>
    </row>
    <row r="767" spans="1:26" ht="19.5" hidden="1">
      <c r="A767" s="1273"/>
      <c r="B767" s="1274"/>
      <c r="C767" s="1261" t="s">
        <v>16</v>
      </c>
      <c r="D767" s="1393" t="s">
        <v>38</v>
      </c>
      <c r="E767" s="1296"/>
      <c r="F767" s="1296"/>
      <c r="G767" s="1297"/>
      <c r="H767" s="1060"/>
      <c r="I767" s="947"/>
      <c r="J767" s="947"/>
      <c r="K767" s="948"/>
      <c r="L767" s="948"/>
      <c r="M767" s="948"/>
      <c r="N767" s="948"/>
      <c r="O767" s="948"/>
      <c r="P767" s="948"/>
      <c r="Q767" s="1264"/>
      <c r="R767" s="1264"/>
      <c r="S767" s="1264"/>
      <c r="T767" s="1264"/>
      <c r="U767" s="1264"/>
      <c r="V767" s="1264"/>
      <c r="W767" s="1264"/>
      <c r="X767" s="1264"/>
      <c r="Y767" s="1264"/>
      <c r="Z767" s="1264"/>
    </row>
    <row r="768" spans="1:26" ht="18.75" hidden="1">
      <c r="A768" s="1294"/>
      <c r="B768" s="1265"/>
      <c r="C768" s="1261"/>
      <c r="D768" s="1261"/>
      <c r="E768" s="1261" t="s">
        <v>316</v>
      </c>
      <c r="F768" s="1261"/>
      <c r="G768" s="1263"/>
      <c r="H768" s="165" t="s">
        <v>46</v>
      </c>
      <c r="I768" s="836"/>
      <c r="J768" s="836"/>
      <c r="K768" s="837"/>
      <c r="L768" s="837"/>
      <c r="M768" s="837"/>
      <c r="N768" s="837"/>
      <c r="O768" s="837"/>
      <c r="P768" s="837"/>
      <c r="Q768" s="1264"/>
      <c r="R768" s="1264"/>
      <c r="S768" s="1264"/>
      <c r="T768" s="1264"/>
      <c r="U768" s="1264"/>
      <c r="V768" s="1264"/>
      <c r="W768" s="1264"/>
      <c r="X768" s="1264"/>
      <c r="Y768" s="1264"/>
      <c r="Z768" s="1264"/>
    </row>
    <row r="769" spans="1:26" ht="19.5" hidden="1">
      <c r="A769" s="759">
        <v>11</v>
      </c>
      <c r="B769" s="1400" t="s">
        <v>317</v>
      </c>
      <c r="C769" s="1401"/>
      <c r="D769" s="1401"/>
      <c r="E769" s="1401"/>
      <c r="F769" s="1401"/>
      <c r="G769" s="1402"/>
      <c r="H769" s="763" t="s">
        <v>46</v>
      </c>
      <c r="I769" s="1403"/>
      <c r="J769" s="1403">
        <f>J784</f>
        <v>0</v>
      </c>
      <c r="K769" s="1404">
        <f>IF(I769&gt;0,J769*100/I769,0)</f>
        <v>0</v>
      </c>
      <c r="L769" s="1405"/>
      <c r="M769" s="1405"/>
      <c r="N769" s="1405"/>
      <c r="O769" s="1405"/>
      <c r="P769" s="1405"/>
      <c r="Q769" s="1264"/>
      <c r="R769" s="1264"/>
      <c r="S769" s="1264"/>
      <c r="T769" s="1264"/>
      <c r="U769" s="1264"/>
      <c r="V769" s="1264"/>
      <c r="W769" s="1264"/>
      <c r="X769" s="1264"/>
      <c r="Y769" s="1264"/>
      <c r="Z769" s="1264"/>
    </row>
    <row r="770" spans="1:26" ht="19.5" hidden="1">
      <c r="A770" s="1260"/>
      <c r="B770" s="1261"/>
      <c r="C770" s="1261" t="s">
        <v>16</v>
      </c>
      <c r="D770" s="1508" t="s">
        <v>17</v>
      </c>
      <c r="E770" s="1485"/>
      <c r="F770" s="1485"/>
      <c r="G770" s="1263"/>
      <c r="H770" s="612" t="s">
        <v>12</v>
      </c>
      <c r="I770" s="836"/>
      <c r="J770" s="836"/>
      <c r="K770" s="837"/>
      <c r="L770" s="1292">
        <f t="shared" ref="L770:N770" si="310">L771+L772</f>
        <v>0</v>
      </c>
      <c r="M770" s="1292">
        <f t="shared" si="310"/>
        <v>0</v>
      </c>
      <c r="N770" s="1292">
        <f t="shared" si="310"/>
        <v>0</v>
      </c>
      <c r="O770" s="1292">
        <f t="shared" ref="O770:O775" si="311">IF(L770&gt;0,N770*100/L770,0)</f>
        <v>0</v>
      </c>
      <c r="P770" s="1292">
        <f t="shared" ref="P770:P775" si="312">IF(M770&gt;0,N770*100/M770,0)</f>
        <v>0</v>
      </c>
      <c r="Q770" s="1264"/>
      <c r="R770" s="1264"/>
      <c r="S770" s="1264"/>
      <c r="T770" s="1264"/>
      <c r="U770" s="1264"/>
      <c r="V770" s="1264"/>
      <c r="W770" s="1264"/>
      <c r="X770" s="1264"/>
      <c r="Y770" s="1264"/>
      <c r="Z770" s="1264"/>
    </row>
    <row r="771" spans="1:26" ht="18.75" hidden="1">
      <c r="A771" s="1260"/>
      <c r="B771" s="1261"/>
      <c r="C771" s="1261"/>
      <c r="D771" s="1262"/>
      <c r="E771" s="1261" t="s">
        <v>184</v>
      </c>
      <c r="F771" s="1261"/>
      <c r="G771" s="1263"/>
      <c r="H771" s="165" t="s">
        <v>12</v>
      </c>
      <c r="I771" s="836"/>
      <c r="J771" s="836"/>
      <c r="K771" s="837"/>
      <c r="L771" s="837">
        <f t="shared" ref="L771:N772" si="313">L774+L781</f>
        <v>0</v>
      </c>
      <c r="M771" s="837">
        <f t="shared" si="313"/>
        <v>0</v>
      </c>
      <c r="N771" s="837">
        <f t="shared" si="313"/>
        <v>0</v>
      </c>
      <c r="O771" s="837">
        <f t="shared" si="311"/>
        <v>0</v>
      </c>
      <c r="P771" s="837">
        <f t="shared" si="312"/>
        <v>0</v>
      </c>
      <c r="Q771" s="1264"/>
      <c r="R771" s="1264"/>
      <c r="S771" s="1264"/>
      <c r="T771" s="1264"/>
      <c r="U771" s="1264"/>
      <c r="V771" s="1264"/>
      <c r="W771" s="1264"/>
      <c r="X771" s="1264"/>
      <c r="Y771" s="1264"/>
      <c r="Z771" s="1264"/>
    </row>
    <row r="772" spans="1:26" ht="18.75" hidden="1">
      <c r="A772" s="1260"/>
      <c r="B772" s="1265"/>
      <c r="C772" s="1261"/>
      <c r="D772" s="1262"/>
      <c r="E772" s="1261" t="s">
        <v>185</v>
      </c>
      <c r="F772" s="1261"/>
      <c r="G772" s="1263"/>
      <c r="H772" s="165" t="s">
        <v>12</v>
      </c>
      <c r="I772" s="836"/>
      <c r="J772" s="836"/>
      <c r="K772" s="837"/>
      <c r="L772" s="837">
        <f t="shared" si="313"/>
        <v>0</v>
      </c>
      <c r="M772" s="837">
        <f t="shared" si="313"/>
        <v>0</v>
      </c>
      <c r="N772" s="837">
        <f t="shared" si="313"/>
        <v>0</v>
      </c>
      <c r="O772" s="837">
        <f t="shared" si="311"/>
        <v>0</v>
      </c>
      <c r="P772" s="837">
        <f t="shared" si="312"/>
        <v>0</v>
      </c>
      <c r="Q772" s="1264"/>
      <c r="R772" s="1264"/>
      <c r="S772" s="1264"/>
      <c r="T772" s="1264"/>
      <c r="U772" s="1264"/>
      <c r="V772" s="1264"/>
      <c r="W772" s="1264"/>
      <c r="X772" s="1264"/>
      <c r="Y772" s="1264"/>
      <c r="Z772" s="1264"/>
    </row>
    <row r="773" spans="1:26" ht="19.5" hidden="1">
      <c r="A773" s="1260"/>
      <c r="B773" s="1265"/>
      <c r="C773" s="1261"/>
      <c r="D773" s="1392" t="s">
        <v>20</v>
      </c>
      <c r="E773" s="1261"/>
      <c r="F773" s="1261"/>
      <c r="G773" s="1263"/>
      <c r="H773" s="612" t="s">
        <v>12</v>
      </c>
      <c r="I773" s="947"/>
      <c r="J773" s="947"/>
      <c r="K773" s="948"/>
      <c r="L773" s="1292">
        <f t="shared" ref="L773:N773" si="314">L774+L775</f>
        <v>0</v>
      </c>
      <c r="M773" s="1292">
        <f t="shared" si="314"/>
        <v>0</v>
      </c>
      <c r="N773" s="1292">
        <f t="shared" si="314"/>
        <v>0</v>
      </c>
      <c r="O773" s="1292">
        <f t="shared" si="311"/>
        <v>0</v>
      </c>
      <c r="P773" s="1292">
        <f t="shared" si="312"/>
        <v>0</v>
      </c>
      <c r="Q773" s="1264"/>
      <c r="R773" s="1264"/>
      <c r="S773" s="1264"/>
      <c r="T773" s="1264"/>
      <c r="U773" s="1264"/>
      <c r="V773" s="1264"/>
      <c r="W773" s="1264"/>
      <c r="X773" s="1264"/>
      <c r="Y773" s="1264"/>
      <c r="Z773" s="1264"/>
    </row>
    <row r="774" spans="1:26" ht="18.75" hidden="1">
      <c r="A774" s="1260"/>
      <c r="B774" s="1265"/>
      <c r="C774" s="1261"/>
      <c r="D774" s="1262"/>
      <c r="E774" s="1261" t="s">
        <v>184</v>
      </c>
      <c r="F774" s="1261"/>
      <c r="G774" s="1263"/>
      <c r="H774" s="165" t="s">
        <v>12</v>
      </c>
      <c r="I774" s="836"/>
      <c r="J774" s="836"/>
      <c r="K774" s="837"/>
      <c r="L774" s="837">
        <v>0</v>
      </c>
      <c r="M774" s="837">
        <v>0</v>
      </c>
      <c r="N774" s="837">
        <v>0</v>
      </c>
      <c r="O774" s="837">
        <f t="shared" si="311"/>
        <v>0</v>
      </c>
      <c r="P774" s="837">
        <f t="shared" si="312"/>
        <v>0</v>
      </c>
      <c r="Q774" s="1264"/>
      <c r="R774" s="1264"/>
      <c r="S774" s="1264"/>
      <c r="T774" s="1264"/>
      <c r="U774" s="1264"/>
      <c r="V774" s="1264"/>
      <c r="W774" s="1264"/>
      <c r="X774" s="1264"/>
      <c r="Y774" s="1264"/>
      <c r="Z774" s="1264"/>
    </row>
    <row r="775" spans="1:26" ht="18.75" hidden="1">
      <c r="A775" s="1260"/>
      <c r="B775" s="1265"/>
      <c r="C775" s="1261"/>
      <c r="D775" s="1262"/>
      <c r="E775" s="1261" t="s">
        <v>185</v>
      </c>
      <c r="F775" s="1261"/>
      <c r="G775" s="1263"/>
      <c r="H775" s="165" t="s">
        <v>12</v>
      </c>
      <c r="I775" s="836"/>
      <c r="J775" s="836"/>
      <c r="K775" s="837"/>
      <c r="L775" s="837">
        <v>0</v>
      </c>
      <c r="M775" s="837">
        <v>0</v>
      </c>
      <c r="N775" s="837">
        <f>N776+N777+N778+N779</f>
        <v>0</v>
      </c>
      <c r="O775" s="837">
        <f t="shared" si="311"/>
        <v>0</v>
      </c>
      <c r="P775" s="837">
        <f t="shared" si="312"/>
        <v>0</v>
      </c>
      <c r="Q775" s="1264"/>
      <c r="R775" s="1264"/>
      <c r="S775" s="1264"/>
      <c r="T775" s="1264"/>
      <c r="U775" s="1264"/>
      <c r="V775" s="1264"/>
      <c r="W775" s="1264"/>
      <c r="X775" s="1264"/>
      <c r="Y775" s="1264"/>
      <c r="Z775" s="1264"/>
    </row>
    <row r="776" spans="1:26" ht="18.75" hidden="1">
      <c r="A776" s="1294"/>
      <c r="B776" s="1265"/>
      <c r="C776" s="1261"/>
      <c r="D776" s="1261"/>
      <c r="E776" s="1261"/>
      <c r="F776" s="1261" t="s">
        <v>186</v>
      </c>
      <c r="G776" s="1263"/>
      <c r="H776" s="165" t="s">
        <v>12</v>
      </c>
      <c r="I776" s="836"/>
      <c r="J776" s="836"/>
      <c r="K776" s="837"/>
      <c r="L776" s="837"/>
      <c r="M776" s="837"/>
      <c r="N776" s="837"/>
      <c r="O776" s="837"/>
      <c r="P776" s="837"/>
      <c r="Q776" s="1264"/>
      <c r="R776" s="1264"/>
      <c r="S776" s="1264"/>
      <c r="T776" s="1264"/>
      <c r="U776" s="1264"/>
      <c r="V776" s="1264"/>
      <c r="W776" s="1264"/>
      <c r="X776" s="1264"/>
      <c r="Y776" s="1264"/>
      <c r="Z776" s="1264"/>
    </row>
    <row r="777" spans="1:26" ht="18.75" hidden="1">
      <c r="A777" s="1294"/>
      <c r="B777" s="1265"/>
      <c r="C777" s="1261"/>
      <c r="D777" s="1261"/>
      <c r="E777" s="1261"/>
      <c r="F777" s="1261" t="s">
        <v>187</v>
      </c>
      <c r="G777" s="1263"/>
      <c r="H777" s="165" t="s">
        <v>12</v>
      </c>
      <c r="I777" s="836"/>
      <c r="J777" s="836"/>
      <c r="K777" s="837"/>
      <c r="L777" s="837"/>
      <c r="M777" s="837"/>
      <c r="N777" s="837"/>
      <c r="O777" s="837"/>
      <c r="P777" s="837"/>
      <c r="Q777" s="1264"/>
      <c r="R777" s="1264"/>
      <c r="S777" s="1264"/>
      <c r="T777" s="1264"/>
      <c r="U777" s="1264"/>
      <c r="V777" s="1264"/>
      <c r="W777" s="1264"/>
      <c r="X777" s="1264"/>
      <c r="Y777" s="1264"/>
      <c r="Z777" s="1264"/>
    </row>
    <row r="778" spans="1:26" ht="18.75" hidden="1">
      <c r="A778" s="1294"/>
      <c r="B778" s="1265"/>
      <c r="C778" s="1261"/>
      <c r="D778" s="1261"/>
      <c r="E778" s="1261"/>
      <c r="F778" s="1261" t="s">
        <v>188</v>
      </c>
      <c r="G778" s="1263"/>
      <c r="H778" s="165" t="s">
        <v>12</v>
      </c>
      <c r="I778" s="836"/>
      <c r="J778" s="836"/>
      <c r="K778" s="837"/>
      <c r="L778" s="837"/>
      <c r="M778" s="837"/>
      <c r="N778" s="837"/>
      <c r="O778" s="837"/>
      <c r="P778" s="837"/>
      <c r="Q778" s="1264"/>
      <c r="R778" s="1264"/>
      <c r="S778" s="1264"/>
      <c r="T778" s="1264"/>
      <c r="U778" s="1264"/>
      <c r="V778" s="1264"/>
      <c r="W778" s="1264"/>
      <c r="X778" s="1264"/>
      <c r="Y778" s="1264"/>
      <c r="Z778" s="1264"/>
    </row>
    <row r="779" spans="1:26" ht="18.75" hidden="1">
      <c r="A779" s="1294"/>
      <c r="B779" s="1265"/>
      <c r="C779" s="1261"/>
      <c r="D779" s="1261"/>
      <c r="E779" s="1261"/>
      <c r="F779" s="1261" t="s">
        <v>189</v>
      </c>
      <c r="G779" s="1263"/>
      <c r="H779" s="165" t="s">
        <v>12</v>
      </c>
      <c r="I779" s="836"/>
      <c r="J779" s="836"/>
      <c r="K779" s="837"/>
      <c r="L779" s="837"/>
      <c r="M779" s="837"/>
      <c r="N779" s="837"/>
      <c r="O779" s="837"/>
      <c r="P779" s="837"/>
      <c r="Q779" s="1264"/>
      <c r="R779" s="1264"/>
      <c r="S779" s="1264"/>
      <c r="T779" s="1264"/>
      <c r="U779" s="1264"/>
      <c r="V779" s="1264"/>
      <c r="W779" s="1264"/>
      <c r="X779" s="1264"/>
      <c r="Y779" s="1264"/>
      <c r="Z779" s="1264"/>
    </row>
    <row r="780" spans="1:26" ht="19.5" hidden="1">
      <c r="A780" s="1260"/>
      <c r="B780" s="1265"/>
      <c r="C780" s="1261"/>
      <c r="D780" s="1392" t="s">
        <v>21</v>
      </c>
      <c r="E780" s="1261"/>
      <c r="F780" s="1261"/>
      <c r="G780" s="1263"/>
      <c r="H780" s="749" t="s">
        <v>12</v>
      </c>
      <c r="I780" s="947"/>
      <c r="J780" s="947"/>
      <c r="K780" s="948"/>
      <c r="L780" s="1292">
        <f t="shared" ref="L780:N780" si="315">L781+L782</f>
        <v>0</v>
      </c>
      <c r="M780" s="1292">
        <f t="shared" si="315"/>
        <v>0</v>
      </c>
      <c r="N780" s="1292">
        <f t="shared" si="315"/>
        <v>0</v>
      </c>
      <c r="O780" s="1292">
        <f t="shared" ref="O780:O782" si="316">IF(L780&gt;0,N780*100/L780,0)</f>
        <v>0</v>
      </c>
      <c r="P780" s="1292">
        <f t="shared" ref="P780:P782" si="317">IF(M780&gt;0,N780*100/M780,0)</f>
        <v>0</v>
      </c>
      <c r="Q780" s="1264"/>
      <c r="R780" s="1264"/>
      <c r="S780" s="1264"/>
      <c r="T780" s="1264"/>
      <c r="U780" s="1264"/>
      <c r="V780" s="1264"/>
      <c r="W780" s="1264"/>
      <c r="X780" s="1264"/>
      <c r="Y780" s="1264"/>
      <c r="Z780" s="1264"/>
    </row>
    <row r="781" spans="1:26" ht="18.75" hidden="1">
      <c r="A781" s="1260"/>
      <c r="B781" s="1265"/>
      <c r="C781" s="1261"/>
      <c r="D781" s="1261"/>
      <c r="E781" s="1261" t="s">
        <v>18</v>
      </c>
      <c r="F781" s="1261"/>
      <c r="G781" s="1263"/>
      <c r="H781" s="165" t="s">
        <v>12</v>
      </c>
      <c r="I781" s="947"/>
      <c r="J781" s="947"/>
      <c r="K781" s="948"/>
      <c r="L781" s="837">
        <v>0</v>
      </c>
      <c r="M781" s="837">
        <v>0</v>
      </c>
      <c r="N781" s="837">
        <v>0</v>
      </c>
      <c r="O781" s="837">
        <f t="shared" si="316"/>
        <v>0</v>
      </c>
      <c r="P781" s="837">
        <f t="shared" si="317"/>
        <v>0</v>
      </c>
      <c r="Q781" s="1264"/>
      <c r="R781" s="1264"/>
      <c r="S781" s="1264"/>
      <c r="T781" s="1264"/>
      <c r="U781" s="1264"/>
      <c r="V781" s="1264"/>
      <c r="W781" s="1264"/>
      <c r="X781" s="1264"/>
      <c r="Y781" s="1264"/>
      <c r="Z781" s="1264"/>
    </row>
    <row r="782" spans="1:26" ht="18.75" hidden="1">
      <c r="A782" s="1260"/>
      <c r="B782" s="1265"/>
      <c r="C782" s="1261"/>
      <c r="D782" s="1261"/>
      <c r="E782" s="1261" t="s">
        <v>19</v>
      </c>
      <c r="F782" s="1261"/>
      <c r="G782" s="1263"/>
      <c r="H782" s="169" t="s">
        <v>12</v>
      </c>
      <c r="I782" s="947"/>
      <c r="J782" s="947"/>
      <c r="K782" s="948"/>
      <c r="L782" s="837">
        <v>0</v>
      </c>
      <c r="M782" s="837">
        <v>0</v>
      </c>
      <c r="N782" s="837">
        <v>0</v>
      </c>
      <c r="O782" s="837">
        <f t="shared" si="316"/>
        <v>0</v>
      </c>
      <c r="P782" s="837">
        <f t="shared" si="317"/>
        <v>0</v>
      </c>
      <c r="Q782" s="1264"/>
      <c r="R782" s="1264"/>
      <c r="S782" s="1264"/>
      <c r="T782" s="1264"/>
      <c r="U782" s="1264"/>
      <c r="V782" s="1264"/>
      <c r="W782" s="1264"/>
      <c r="X782" s="1264"/>
      <c r="Y782" s="1264"/>
      <c r="Z782" s="1264"/>
    </row>
    <row r="783" spans="1:26" ht="19.5" hidden="1">
      <c r="A783" s="1273"/>
      <c r="B783" s="1274"/>
      <c r="C783" s="1261" t="s">
        <v>16</v>
      </c>
      <c r="D783" s="1393" t="s">
        <v>38</v>
      </c>
      <c r="E783" s="1296"/>
      <c r="F783" s="1296"/>
      <c r="G783" s="1297"/>
      <c r="H783" s="1406"/>
      <c r="I783" s="947"/>
      <c r="J783" s="947"/>
      <c r="K783" s="948"/>
      <c r="L783" s="948"/>
      <c r="M783" s="948"/>
      <c r="N783" s="948"/>
      <c r="O783" s="948"/>
      <c r="P783" s="948"/>
      <c r="Q783" s="1264"/>
      <c r="R783" s="1264"/>
      <c r="S783" s="1264"/>
      <c r="T783" s="1264"/>
      <c r="U783" s="1264"/>
      <c r="V783" s="1264"/>
      <c r="W783" s="1264"/>
      <c r="X783" s="1264"/>
      <c r="Y783" s="1264"/>
      <c r="Z783" s="1264"/>
    </row>
    <row r="784" spans="1:26" ht="18.75" hidden="1">
      <c r="A784" s="1294"/>
      <c r="B784" s="1265"/>
      <c r="C784" s="1261"/>
      <c r="D784" s="1261"/>
      <c r="E784" s="1261" t="s">
        <v>318</v>
      </c>
      <c r="F784" s="1261"/>
      <c r="G784" s="1263"/>
      <c r="H784" s="165" t="s">
        <v>46</v>
      </c>
      <c r="I784" s="836"/>
      <c r="J784" s="836"/>
      <c r="K784" s="837"/>
      <c r="L784" s="837"/>
      <c r="M784" s="837"/>
      <c r="N784" s="837"/>
      <c r="O784" s="837"/>
      <c r="P784" s="837"/>
      <c r="Q784" s="1264"/>
      <c r="R784" s="1264"/>
      <c r="S784" s="1264"/>
      <c r="T784" s="1264"/>
      <c r="U784" s="1264"/>
      <c r="V784" s="1264"/>
      <c r="W784" s="1264"/>
      <c r="X784" s="1264"/>
      <c r="Y784" s="1264"/>
      <c r="Z784" s="1264"/>
    </row>
    <row r="785" spans="1:26" ht="19.5" hidden="1">
      <c r="A785" s="768">
        <v>12</v>
      </c>
      <c r="B785" s="1407" t="s">
        <v>319</v>
      </c>
      <c r="C785" s="1408"/>
      <c r="D785" s="1408"/>
      <c r="E785" s="1408"/>
      <c r="F785" s="1408"/>
      <c r="G785" s="1409"/>
      <c r="H785" s="1444" t="s">
        <v>46</v>
      </c>
      <c r="I785" s="1445">
        <f t="shared" ref="I785:J785" ca="1" si="318">I801+I803</f>
        <v>0</v>
      </c>
      <c r="J785" s="1445">
        <f t="shared" ca="1" si="318"/>
        <v>0</v>
      </c>
      <c r="K785" s="1446">
        <f ca="1">IF(I785&gt;0,J785*100/I785,0)</f>
        <v>0</v>
      </c>
      <c r="L785" s="1412"/>
      <c r="M785" s="1412"/>
      <c r="N785" s="1412"/>
      <c r="O785" s="1412"/>
      <c r="P785" s="1412"/>
      <c r="Q785" s="1244"/>
      <c r="R785" s="1244"/>
      <c r="S785" s="1244"/>
      <c r="T785" s="1244"/>
      <c r="U785" s="1244"/>
      <c r="V785" s="1244"/>
      <c r="W785" s="1244"/>
      <c r="X785" s="1244"/>
      <c r="Y785" s="1244"/>
      <c r="Z785" s="1244"/>
    </row>
    <row r="786" spans="1:26" ht="19.5" hidden="1">
      <c r="A786" s="1259"/>
      <c r="B786" s="1242"/>
      <c r="C786" s="1243" t="s">
        <v>16</v>
      </c>
      <c r="D786" s="1507" t="s">
        <v>17</v>
      </c>
      <c r="E786" s="1485"/>
      <c r="F786" s="1485"/>
      <c r="G786" s="963"/>
      <c r="H786" s="1447" t="s">
        <v>12</v>
      </c>
      <c r="I786" s="1448"/>
      <c r="J786" s="1448"/>
      <c r="K786" s="1449"/>
      <c r="L786" s="967">
        <f t="shared" ref="L786:N786" ca="1" si="319">L787+L788</f>
        <v>0</v>
      </c>
      <c r="M786" s="967">
        <f t="shared" si="319"/>
        <v>0</v>
      </c>
      <c r="N786" s="967">
        <f t="shared" si="319"/>
        <v>0</v>
      </c>
      <c r="O786" s="967">
        <f t="shared" ref="O786:O791" ca="1" si="320">IF(L786&gt;0,N786*100/L786,0)</f>
        <v>0</v>
      </c>
      <c r="P786" s="967">
        <f t="shared" ref="P786:P791" si="321">IF(M786&gt;0,N786*100/M786,0)</f>
        <v>0</v>
      </c>
      <c r="Q786" s="1244"/>
      <c r="R786" s="1244"/>
      <c r="S786" s="1244"/>
      <c r="T786" s="1244"/>
      <c r="U786" s="1244"/>
      <c r="V786" s="1244"/>
      <c r="W786" s="1244"/>
      <c r="X786" s="1244"/>
      <c r="Y786" s="1244"/>
      <c r="Z786" s="1244"/>
    </row>
    <row r="787" spans="1:26" ht="18.75" hidden="1">
      <c r="A787" s="1260"/>
      <c r="B787" s="1265"/>
      <c r="C787" s="1261"/>
      <c r="D787" s="1262"/>
      <c r="E787" s="1261" t="s">
        <v>184</v>
      </c>
      <c r="F787" s="1261"/>
      <c r="G787" s="1263"/>
      <c r="H787" s="1450" t="s">
        <v>12</v>
      </c>
      <c r="I787" s="1448"/>
      <c r="J787" s="1448"/>
      <c r="K787" s="1449"/>
      <c r="L787" s="837">
        <f t="shared" ref="L787:N788" si="322">L790+L797</f>
        <v>0</v>
      </c>
      <c r="M787" s="837">
        <f t="shared" si="322"/>
        <v>0</v>
      </c>
      <c r="N787" s="837">
        <f t="shared" si="322"/>
        <v>0</v>
      </c>
      <c r="O787" s="837">
        <f t="shared" si="320"/>
        <v>0</v>
      </c>
      <c r="P787" s="837">
        <f t="shared" si="321"/>
        <v>0</v>
      </c>
      <c r="Q787" s="1264"/>
      <c r="R787" s="1264"/>
      <c r="S787" s="1264"/>
      <c r="T787" s="1264"/>
      <c r="U787" s="1264"/>
      <c r="V787" s="1264"/>
      <c r="W787" s="1264"/>
      <c r="X787" s="1264"/>
      <c r="Y787" s="1264"/>
      <c r="Z787" s="1264"/>
    </row>
    <row r="788" spans="1:26" ht="18.75" hidden="1">
      <c r="A788" s="1260"/>
      <c r="B788" s="1265"/>
      <c r="C788" s="1265"/>
      <c r="D788" s="1274"/>
      <c r="E788" s="1261" t="s">
        <v>185</v>
      </c>
      <c r="F788" s="1261"/>
      <c r="G788" s="1263"/>
      <c r="H788" s="1450" t="s">
        <v>12</v>
      </c>
      <c r="I788" s="1448"/>
      <c r="J788" s="1448"/>
      <c r="K788" s="1449"/>
      <c r="L788" s="837">
        <f t="shared" ca="1" si="322"/>
        <v>0</v>
      </c>
      <c r="M788" s="837">
        <f t="shared" si="322"/>
        <v>0</v>
      </c>
      <c r="N788" s="837">
        <f t="shared" si="322"/>
        <v>0</v>
      </c>
      <c r="O788" s="837">
        <f t="shared" ca="1" si="320"/>
        <v>0</v>
      </c>
      <c r="P788" s="837">
        <f t="shared" si="321"/>
        <v>0</v>
      </c>
      <c r="Q788" s="1264"/>
      <c r="R788" s="1264"/>
      <c r="S788" s="1264"/>
      <c r="T788" s="1264"/>
      <c r="U788" s="1264"/>
      <c r="V788" s="1264"/>
      <c r="W788" s="1264"/>
      <c r="X788" s="1264"/>
      <c r="Y788" s="1264"/>
      <c r="Z788" s="1264"/>
    </row>
    <row r="789" spans="1:26" ht="18.75" hidden="1">
      <c r="A789" s="1259"/>
      <c r="B789" s="1242"/>
      <c r="C789" s="1242"/>
      <c r="D789" s="1266" t="s">
        <v>20</v>
      </c>
      <c r="E789" s="1243"/>
      <c r="F789" s="1243"/>
      <c r="G789" s="963"/>
      <c r="H789" s="1451" t="s">
        <v>12</v>
      </c>
      <c r="I789" s="1452"/>
      <c r="J789" s="1452"/>
      <c r="K789" s="1453"/>
      <c r="L789" s="831">
        <f t="shared" ref="L789:N789" ca="1" si="323">L790+L791</f>
        <v>0</v>
      </c>
      <c r="M789" s="831">
        <f t="shared" si="323"/>
        <v>0</v>
      </c>
      <c r="N789" s="831">
        <f t="shared" si="323"/>
        <v>0</v>
      </c>
      <c r="O789" s="831">
        <f t="shared" ca="1" si="320"/>
        <v>0</v>
      </c>
      <c r="P789" s="831">
        <f t="shared" si="321"/>
        <v>0</v>
      </c>
      <c r="Q789" s="1244"/>
      <c r="R789" s="1244"/>
      <c r="S789" s="1244"/>
      <c r="T789" s="1244"/>
      <c r="U789" s="1244"/>
      <c r="V789" s="1244"/>
      <c r="W789" s="1244"/>
      <c r="X789" s="1244"/>
      <c r="Y789" s="1244"/>
      <c r="Z789" s="1244"/>
    </row>
    <row r="790" spans="1:26" ht="18.75" hidden="1">
      <c r="A790" s="1260"/>
      <c r="B790" s="1265"/>
      <c r="C790" s="1265"/>
      <c r="D790" s="1274"/>
      <c r="E790" s="1261" t="s">
        <v>184</v>
      </c>
      <c r="F790" s="1261"/>
      <c r="G790" s="1263"/>
      <c r="H790" s="1450" t="s">
        <v>12</v>
      </c>
      <c r="I790" s="1448"/>
      <c r="J790" s="1448"/>
      <c r="K790" s="1449"/>
      <c r="L790" s="837">
        <v>0</v>
      </c>
      <c r="M790" s="837">
        <v>0</v>
      </c>
      <c r="N790" s="837">
        <v>0</v>
      </c>
      <c r="O790" s="837">
        <f t="shared" si="320"/>
        <v>0</v>
      </c>
      <c r="P790" s="837">
        <f t="shared" si="321"/>
        <v>0</v>
      </c>
      <c r="Q790" s="1264"/>
      <c r="R790" s="1264"/>
      <c r="S790" s="1264"/>
      <c r="T790" s="1264"/>
      <c r="U790" s="1264"/>
      <c r="V790" s="1264"/>
      <c r="W790" s="1264"/>
      <c r="X790" s="1264"/>
      <c r="Y790" s="1264"/>
      <c r="Z790" s="1264"/>
    </row>
    <row r="791" spans="1:26" ht="18.75" hidden="1">
      <c r="A791" s="1260"/>
      <c r="B791" s="1265"/>
      <c r="C791" s="1265"/>
      <c r="D791" s="1274"/>
      <c r="E791" s="1261" t="s">
        <v>185</v>
      </c>
      <c r="F791" s="1261"/>
      <c r="G791" s="1263"/>
      <c r="H791" s="1450" t="s">
        <v>12</v>
      </c>
      <c r="I791" s="1448"/>
      <c r="J791" s="1448"/>
      <c r="K791" s="1449"/>
      <c r="L791" s="837">
        <f ca="1">IFERROR(__xludf.DUMMYFUNCTION("IMPORTRANGE(""https://docs.google.com/spreadsheets/d/1QqKyyYR6Q21VydFLVH3TRQUabQu_ym0Zz7PgGX0-kHA/edit?usp=sharing"",""แผน!JJ19"")"),0)</f>
        <v>0</v>
      </c>
      <c r="M791" s="837">
        <v>0</v>
      </c>
      <c r="N791" s="837">
        <f>N792+N793+N794+N795</f>
        <v>0</v>
      </c>
      <c r="O791" s="837">
        <f t="shared" ca="1" si="320"/>
        <v>0</v>
      </c>
      <c r="P791" s="837">
        <f t="shared" si="321"/>
        <v>0</v>
      </c>
      <c r="Q791" s="1264"/>
      <c r="R791" s="1264"/>
      <c r="S791" s="1264"/>
      <c r="T791" s="1264"/>
      <c r="U791" s="1264"/>
      <c r="V791" s="1264"/>
      <c r="W791" s="1264"/>
      <c r="X791" s="1264"/>
      <c r="Y791" s="1264"/>
      <c r="Z791" s="1264"/>
    </row>
    <row r="792" spans="1:26" ht="18.75" hidden="1">
      <c r="A792" s="1241"/>
      <c r="B792" s="1242"/>
      <c r="C792" s="1243"/>
      <c r="D792" s="1243"/>
      <c r="E792" s="1243"/>
      <c r="F792" s="1243" t="s">
        <v>186</v>
      </c>
      <c r="G792" s="963"/>
      <c r="H792" s="1451" t="s">
        <v>12</v>
      </c>
      <c r="I792" s="1448"/>
      <c r="J792" s="1448"/>
      <c r="K792" s="1449"/>
      <c r="L792" s="831"/>
      <c r="M792" s="831"/>
      <c r="N792" s="1031">
        <v>0</v>
      </c>
      <c r="O792" s="831"/>
      <c r="P792" s="831"/>
      <c r="Q792" s="1244"/>
      <c r="R792" s="1244"/>
      <c r="S792" s="1244"/>
      <c r="T792" s="1244"/>
      <c r="U792" s="1244"/>
      <c r="V792" s="1244"/>
      <c r="W792" s="1244"/>
      <c r="X792" s="1244"/>
      <c r="Y792" s="1244"/>
      <c r="Z792" s="1244"/>
    </row>
    <row r="793" spans="1:26" ht="18.75" hidden="1">
      <c r="A793" s="1241"/>
      <c r="B793" s="1242"/>
      <c r="C793" s="1243"/>
      <c r="D793" s="1243"/>
      <c r="E793" s="1243"/>
      <c r="F793" s="1243" t="s">
        <v>187</v>
      </c>
      <c r="G793" s="963"/>
      <c r="H793" s="1451" t="s">
        <v>12</v>
      </c>
      <c r="I793" s="1448"/>
      <c r="J793" s="1448"/>
      <c r="K793" s="1449"/>
      <c r="L793" s="831"/>
      <c r="M793" s="831"/>
      <c r="N793" s="1031">
        <v>0</v>
      </c>
      <c r="O793" s="831"/>
      <c r="P793" s="831"/>
      <c r="Q793" s="1244"/>
      <c r="R793" s="1244"/>
      <c r="S793" s="1244"/>
      <c r="T793" s="1244"/>
      <c r="U793" s="1244"/>
      <c r="V793" s="1244"/>
      <c r="W793" s="1244"/>
      <c r="X793" s="1244"/>
      <c r="Y793" s="1244"/>
      <c r="Z793" s="1244"/>
    </row>
    <row r="794" spans="1:26" ht="18.75" hidden="1">
      <c r="A794" s="1241"/>
      <c r="B794" s="1242"/>
      <c r="C794" s="1243"/>
      <c r="D794" s="1243"/>
      <c r="E794" s="1243"/>
      <c r="F794" s="1243" t="s">
        <v>188</v>
      </c>
      <c r="G794" s="963"/>
      <c r="H794" s="1451" t="s">
        <v>12</v>
      </c>
      <c r="I794" s="1448"/>
      <c r="J794" s="1448"/>
      <c r="K794" s="1449"/>
      <c r="L794" s="831"/>
      <c r="M794" s="831"/>
      <c r="N794" s="1031">
        <v>0</v>
      </c>
      <c r="O794" s="831"/>
      <c r="P794" s="831"/>
      <c r="Q794" s="1244"/>
      <c r="R794" s="1244"/>
      <c r="S794" s="1244"/>
      <c r="T794" s="1244"/>
      <c r="U794" s="1244"/>
      <c r="V794" s="1244"/>
      <c r="W794" s="1244"/>
      <c r="X794" s="1244"/>
      <c r="Y794" s="1244"/>
      <c r="Z794" s="1244"/>
    </row>
    <row r="795" spans="1:26" ht="18.75" hidden="1">
      <c r="A795" s="1241"/>
      <c r="B795" s="1242"/>
      <c r="C795" s="1243"/>
      <c r="D795" s="1243"/>
      <c r="E795" s="1243"/>
      <c r="F795" s="1243" t="s">
        <v>189</v>
      </c>
      <c r="G795" s="963"/>
      <c r="H795" s="1451" t="s">
        <v>12</v>
      </c>
      <c r="I795" s="1448"/>
      <c r="J795" s="1448"/>
      <c r="K795" s="1449"/>
      <c r="L795" s="831"/>
      <c r="M795" s="831"/>
      <c r="N795" s="1031">
        <v>0</v>
      </c>
      <c r="O795" s="831"/>
      <c r="P795" s="831"/>
      <c r="Q795" s="1244"/>
      <c r="R795" s="1244"/>
      <c r="S795" s="1244"/>
      <c r="T795" s="1244"/>
      <c r="U795" s="1244"/>
      <c r="V795" s="1244"/>
      <c r="W795" s="1244"/>
      <c r="X795" s="1244"/>
      <c r="Y795" s="1244"/>
      <c r="Z795" s="1244"/>
    </row>
    <row r="796" spans="1:26" ht="18.75" hidden="1">
      <c r="A796" s="1259"/>
      <c r="B796" s="1242"/>
      <c r="C796" s="1243"/>
      <c r="D796" s="1266" t="s">
        <v>21</v>
      </c>
      <c r="E796" s="1243"/>
      <c r="F796" s="1243"/>
      <c r="G796" s="963"/>
      <c r="H796" s="1454" t="s">
        <v>12</v>
      </c>
      <c r="I796" s="1452"/>
      <c r="J796" s="1452"/>
      <c r="K796" s="1453"/>
      <c r="L796" s="831">
        <f t="shared" ref="L796:N796" si="324">L797+L798</f>
        <v>0</v>
      </c>
      <c r="M796" s="831">
        <f t="shared" si="324"/>
        <v>0</v>
      </c>
      <c r="N796" s="831">
        <f t="shared" si="324"/>
        <v>0</v>
      </c>
      <c r="O796" s="831">
        <f t="shared" ref="O796:O798" si="325">IF(L796&gt;0,N796*100/L796,0)</f>
        <v>0</v>
      </c>
      <c r="P796" s="831">
        <f t="shared" ref="P796:P798" si="326">IF(M796&gt;0,N796*100/M796,0)</f>
        <v>0</v>
      </c>
      <c r="Q796" s="1244"/>
      <c r="R796" s="1244"/>
      <c r="S796" s="1244"/>
      <c r="T796" s="1244"/>
      <c r="U796" s="1244"/>
      <c r="V796" s="1244"/>
      <c r="W796" s="1244"/>
      <c r="X796" s="1244"/>
      <c r="Y796" s="1244"/>
      <c r="Z796" s="1244"/>
    </row>
    <row r="797" spans="1:26" ht="18.75" hidden="1">
      <c r="A797" s="1260"/>
      <c r="B797" s="1265"/>
      <c r="C797" s="1261"/>
      <c r="D797" s="1261"/>
      <c r="E797" s="1261" t="s">
        <v>18</v>
      </c>
      <c r="F797" s="1261"/>
      <c r="G797" s="1263"/>
      <c r="H797" s="1450" t="s">
        <v>12</v>
      </c>
      <c r="I797" s="1452"/>
      <c r="J797" s="1452"/>
      <c r="K797" s="1453"/>
      <c r="L797" s="837">
        <v>0</v>
      </c>
      <c r="M797" s="837">
        <v>0</v>
      </c>
      <c r="N797" s="837">
        <v>0</v>
      </c>
      <c r="O797" s="837">
        <f t="shared" si="325"/>
        <v>0</v>
      </c>
      <c r="P797" s="837">
        <f t="shared" si="326"/>
        <v>0</v>
      </c>
      <c r="Q797" s="1264"/>
      <c r="R797" s="1264"/>
      <c r="S797" s="1264"/>
      <c r="T797" s="1264"/>
      <c r="U797" s="1264"/>
      <c r="V797" s="1264"/>
      <c r="W797" s="1264"/>
      <c r="X797" s="1264"/>
      <c r="Y797" s="1264"/>
      <c r="Z797" s="1264"/>
    </row>
    <row r="798" spans="1:26" ht="18.75" hidden="1">
      <c r="A798" s="1260"/>
      <c r="B798" s="1265"/>
      <c r="C798" s="1261"/>
      <c r="D798" s="1261"/>
      <c r="E798" s="1261" t="s">
        <v>19</v>
      </c>
      <c r="F798" s="1261"/>
      <c r="G798" s="1263"/>
      <c r="H798" s="1455" t="s">
        <v>12</v>
      </c>
      <c r="I798" s="1452"/>
      <c r="J798" s="1452"/>
      <c r="K798" s="1453"/>
      <c r="L798" s="837">
        <v>0</v>
      </c>
      <c r="M798" s="837">
        <v>0</v>
      </c>
      <c r="N798" s="837">
        <v>0</v>
      </c>
      <c r="O798" s="837">
        <f t="shared" si="325"/>
        <v>0</v>
      </c>
      <c r="P798" s="837">
        <f t="shared" si="326"/>
        <v>0</v>
      </c>
      <c r="Q798" s="1264"/>
      <c r="R798" s="1264"/>
      <c r="S798" s="1264"/>
      <c r="T798" s="1264"/>
      <c r="U798" s="1264"/>
      <c r="V798" s="1264"/>
      <c r="W798" s="1264"/>
      <c r="X798" s="1264"/>
      <c r="Y798" s="1264"/>
      <c r="Z798" s="1264"/>
    </row>
    <row r="799" spans="1:26" ht="19.5" hidden="1">
      <c r="A799" s="1267"/>
      <c r="B799" s="1268"/>
      <c r="C799" s="1243" t="s">
        <v>16</v>
      </c>
      <c r="D799" s="1378" t="s">
        <v>38</v>
      </c>
      <c r="E799" s="1271"/>
      <c r="F799" s="1271"/>
      <c r="G799" s="1272"/>
      <c r="H799" s="1456"/>
      <c r="I799" s="1452"/>
      <c r="J799" s="1452"/>
      <c r="K799" s="1453"/>
      <c r="L799" s="945"/>
      <c r="M799" s="945"/>
      <c r="N799" s="945"/>
      <c r="O799" s="945"/>
      <c r="P799" s="945"/>
      <c r="Q799" s="1244"/>
      <c r="R799" s="1244"/>
      <c r="S799" s="1244"/>
      <c r="T799" s="1244"/>
      <c r="U799" s="1244"/>
      <c r="V799" s="1244"/>
      <c r="W799" s="1244"/>
      <c r="X799" s="1244"/>
      <c r="Y799" s="1244"/>
      <c r="Z799" s="1244"/>
    </row>
    <row r="800" spans="1:26" ht="18.75" hidden="1">
      <c r="A800" s="1267"/>
      <c r="B800" s="1268"/>
      <c r="C800" s="1268"/>
      <c r="D800" s="1268"/>
      <c r="E800" s="961"/>
      <c r="F800" s="961" t="s">
        <v>320</v>
      </c>
      <c r="G800" s="954"/>
      <c r="H800" s="1457" t="s">
        <v>34</v>
      </c>
      <c r="I800" s="1452"/>
      <c r="J800" s="1458">
        <f ca="1">IFERROR(__xludf.DUMMYFUNCTION("IMPORTRANGE(""https://docs.google.com/spreadsheets/d/1MaWodYyGHDf7siQLGxnXhG4mBNTNIuy296niS2xXulU/edit?usp=sharing"",""RTK!H19"")"),0)</f>
        <v>0</v>
      </c>
      <c r="K800" s="1449"/>
      <c r="L800" s="831"/>
      <c r="M800" s="831"/>
      <c r="N800" s="831"/>
      <c r="O800" s="945"/>
      <c r="P800" s="945"/>
      <c r="Q800" s="1244"/>
      <c r="R800" s="1244"/>
      <c r="S800" s="1244"/>
      <c r="T800" s="1244"/>
      <c r="U800" s="1244"/>
      <c r="V800" s="1244"/>
      <c r="W800" s="1244"/>
      <c r="X800" s="1244"/>
      <c r="Y800" s="1244"/>
      <c r="Z800" s="1244"/>
    </row>
    <row r="801" spans="1:26" ht="18.75" hidden="1">
      <c r="A801" s="1267"/>
      <c r="B801" s="1268"/>
      <c r="C801" s="1268"/>
      <c r="D801" s="1268"/>
      <c r="E801" s="961"/>
      <c r="F801" s="961"/>
      <c r="G801" s="954"/>
      <c r="H801" s="1451" t="s">
        <v>46</v>
      </c>
      <c r="I801" s="1458">
        <f ca="1">IFERROR(__xludf.DUMMYFUNCTION("IMPORTRANGE(""https://docs.google.com/spreadsheets/d/1MaWodYyGHDf7siQLGxnXhG4mBNTNIuy296niS2xXulU/edit?usp=sharing"",""RTK!G19"")"),0)</f>
        <v>0</v>
      </c>
      <c r="J801" s="1459">
        <f ca="1">IFERROR(__xludf.DUMMYFUNCTION("IMPORTRANGE(""https://docs.google.com/spreadsheets/d/1MaWodYyGHDf7siQLGxnXhG4mBNTNIuy296niS2xXulU/edit?usp=sharing"",""RTK!I19"")"),0)</f>
        <v>0</v>
      </c>
      <c r="K801" s="1460">
        <f ca="1">IF(I801&gt;0,J801*100/I801,0)</f>
        <v>0</v>
      </c>
      <c r="L801" s="831"/>
      <c r="M801" s="831"/>
      <c r="N801" s="831"/>
      <c r="O801" s="945"/>
      <c r="P801" s="945"/>
      <c r="Q801" s="1244"/>
      <c r="R801" s="1244"/>
      <c r="S801" s="1244"/>
      <c r="T801" s="1244"/>
      <c r="U801" s="1244"/>
      <c r="V801" s="1244"/>
      <c r="W801" s="1244"/>
      <c r="X801" s="1244"/>
      <c r="Y801" s="1244"/>
      <c r="Z801" s="1244"/>
    </row>
    <row r="802" spans="1:26" ht="18.75" hidden="1">
      <c r="A802" s="1273"/>
      <c r="B802" s="1274"/>
      <c r="C802" s="1274"/>
      <c r="D802" s="1274"/>
      <c r="E802" s="1262"/>
      <c r="F802" s="1262" t="s">
        <v>321</v>
      </c>
      <c r="G802" s="1060"/>
      <c r="H802" s="1457" t="s">
        <v>34</v>
      </c>
      <c r="I802" s="1452"/>
      <c r="J802" s="1458">
        <f ca="1">IFERROR(__xludf.DUMMYFUNCTION("IMPORTRANGE(""https://docs.google.com/spreadsheets/d/1MaWodYyGHDf7siQLGxnXhG4mBNTNIuy296niS2xXulU/edit?usp=sharing"",""RTK!L19"")"),0)</f>
        <v>0</v>
      </c>
      <c r="K802" s="1449"/>
      <c r="L802" s="948"/>
      <c r="M802" s="948"/>
      <c r="N802" s="948"/>
      <c r="O802" s="948"/>
      <c r="P802" s="948"/>
      <c r="Q802" s="1264"/>
      <c r="R802" s="1264"/>
      <c r="S802" s="1264"/>
      <c r="T802" s="1264"/>
      <c r="U802" s="1264"/>
      <c r="V802" s="1264"/>
      <c r="W802" s="1264"/>
      <c r="X802" s="1264"/>
      <c r="Y802" s="1264"/>
      <c r="Z802" s="1264"/>
    </row>
    <row r="803" spans="1:26" ht="18.75" hidden="1">
      <c r="A803" s="1273"/>
      <c r="B803" s="1274"/>
      <c r="C803" s="1274"/>
      <c r="D803" s="1274"/>
      <c r="E803" s="1262"/>
      <c r="F803" s="1262"/>
      <c r="G803" s="1060"/>
      <c r="H803" s="1457" t="s">
        <v>46</v>
      </c>
      <c r="I803" s="1458">
        <f ca="1">IFERROR(__xludf.DUMMYFUNCTION("IMPORTRANGE(""https://docs.google.com/spreadsheets/d/1MaWodYyGHDf7siQLGxnXhG4mBNTNIuy296niS2xXulU/edit?usp=sharing"",""RTK!K19"")"),0)</f>
        <v>0</v>
      </c>
      <c r="J803" s="1459">
        <f ca="1">IFERROR(__xludf.DUMMYFUNCTION("IMPORTRANGE(""https://docs.google.com/spreadsheets/d/1MaWodYyGHDf7siQLGxnXhG4mBNTNIuy296niS2xXulU/edit?usp=sharing"",""RTK!M19"")"),0)</f>
        <v>0</v>
      </c>
      <c r="K803" s="1460">
        <f t="shared" ref="K803:K804" ca="1" si="327">IF(I803&gt;0,J803*100/I803,0)</f>
        <v>0</v>
      </c>
      <c r="L803" s="948"/>
      <c r="M803" s="948"/>
      <c r="N803" s="948"/>
      <c r="O803" s="948"/>
      <c r="P803" s="948"/>
      <c r="Q803" s="1264"/>
      <c r="R803" s="1264"/>
      <c r="S803" s="1264"/>
      <c r="T803" s="1264"/>
      <c r="U803" s="1264"/>
      <c r="V803" s="1264"/>
      <c r="W803" s="1264"/>
      <c r="X803" s="1264"/>
      <c r="Y803" s="1264"/>
      <c r="Z803" s="1264"/>
    </row>
    <row r="804" spans="1:26" ht="19.5" hidden="1">
      <c r="A804" s="759">
        <v>13</v>
      </c>
      <c r="B804" s="1400" t="s">
        <v>322</v>
      </c>
      <c r="C804" s="1401"/>
      <c r="D804" s="1419"/>
      <c r="E804" s="1401"/>
      <c r="F804" s="1401"/>
      <c r="G804" s="1402"/>
      <c r="H804" s="763" t="s">
        <v>46</v>
      </c>
      <c r="I804" s="1403"/>
      <c r="J804" s="1403">
        <f>J819</f>
        <v>0</v>
      </c>
      <c r="K804" s="1404">
        <f t="shared" si="327"/>
        <v>0</v>
      </c>
      <c r="L804" s="1405"/>
      <c r="M804" s="1405"/>
      <c r="N804" s="1405"/>
      <c r="O804" s="1405"/>
      <c r="P804" s="1405"/>
      <c r="Q804" s="1264"/>
      <c r="R804" s="1264"/>
      <c r="S804" s="1264"/>
      <c r="T804" s="1264"/>
      <c r="U804" s="1264"/>
      <c r="V804" s="1264"/>
      <c r="W804" s="1264"/>
      <c r="X804" s="1264"/>
      <c r="Y804" s="1264"/>
      <c r="Z804" s="1264"/>
    </row>
    <row r="805" spans="1:26" ht="19.5" hidden="1">
      <c r="A805" s="1260"/>
      <c r="B805" s="1261"/>
      <c r="C805" s="1261" t="s">
        <v>16</v>
      </c>
      <c r="D805" s="1508" t="s">
        <v>17</v>
      </c>
      <c r="E805" s="1485"/>
      <c r="F805" s="1485"/>
      <c r="G805" s="1263"/>
      <c r="H805" s="612" t="s">
        <v>12</v>
      </c>
      <c r="I805" s="836"/>
      <c r="J805" s="836"/>
      <c r="K805" s="837"/>
      <c r="L805" s="1292">
        <f t="shared" ref="L805:N805" si="328">L806+L807</f>
        <v>0</v>
      </c>
      <c r="M805" s="1292">
        <f t="shared" si="328"/>
        <v>0</v>
      </c>
      <c r="N805" s="1292">
        <f t="shared" si="328"/>
        <v>0</v>
      </c>
      <c r="O805" s="1292">
        <f t="shared" ref="O805:O810" si="329">IF(L805&gt;0,N805*100/L805,0)</f>
        <v>0</v>
      </c>
      <c r="P805" s="1292">
        <f t="shared" ref="P805:P810" si="330">IF(M805&gt;0,N805*100/M805,0)</f>
        <v>0</v>
      </c>
      <c r="Q805" s="1264"/>
      <c r="R805" s="1264"/>
      <c r="S805" s="1264"/>
      <c r="T805" s="1264"/>
      <c r="U805" s="1264"/>
      <c r="V805" s="1264"/>
      <c r="W805" s="1264"/>
      <c r="X805" s="1264"/>
      <c r="Y805" s="1264"/>
      <c r="Z805" s="1264"/>
    </row>
    <row r="806" spans="1:26" ht="18.75" hidden="1">
      <c r="A806" s="1260"/>
      <c r="B806" s="1261"/>
      <c r="C806" s="1261"/>
      <c r="D806" s="1274"/>
      <c r="E806" s="1261" t="s">
        <v>184</v>
      </c>
      <c r="F806" s="1261"/>
      <c r="G806" s="1263"/>
      <c r="H806" s="165" t="s">
        <v>12</v>
      </c>
      <c r="I806" s="836"/>
      <c r="J806" s="836"/>
      <c r="K806" s="837"/>
      <c r="L806" s="837">
        <f t="shared" ref="L806:N807" si="331">L809+L816</f>
        <v>0</v>
      </c>
      <c r="M806" s="837">
        <f t="shared" si="331"/>
        <v>0</v>
      </c>
      <c r="N806" s="837">
        <f t="shared" si="331"/>
        <v>0</v>
      </c>
      <c r="O806" s="837">
        <f t="shared" si="329"/>
        <v>0</v>
      </c>
      <c r="P806" s="837">
        <f t="shared" si="330"/>
        <v>0</v>
      </c>
      <c r="Q806" s="1264"/>
      <c r="R806" s="1264"/>
      <c r="S806" s="1264"/>
      <c r="T806" s="1264"/>
      <c r="U806" s="1264"/>
      <c r="V806" s="1264"/>
      <c r="W806" s="1264"/>
      <c r="X806" s="1264"/>
      <c r="Y806" s="1264"/>
      <c r="Z806" s="1264"/>
    </row>
    <row r="807" spans="1:26" ht="18.75" hidden="1">
      <c r="A807" s="1260"/>
      <c r="B807" s="1261"/>
      <c r="C807" s="1261"/>
      <c r="D807" s="1274"/>
      <c r="E807" s="1261" t="s">
        <v>185</v>
      </c>
      <c r="F807" s="1261"/>
      <c r="G807" s="1263"/>
      <c r="H807" s="165" t="s">
        <v>12</v>
      </c>
      <c r="I807" s="836"/>
      <c r="J807" s="836"/>
      <c r="K807" s="837"/>
      <c r="L807" s="837">
        <f t="shared" si="331"/>
        <v>0</v>
      </c>
      <c r="M807" s="837">
        <f t="shared" si="331"/>
        <v>0</v>
      </c>
      <c r="N807" s="837">
        <f t="shared" si="331"/>
        <v>0</v>
      </c>
      <c r="O807" s="837">
        <f t="shared" si="329"/>
        <v>0</v>
      </c>
      <c r="P807" s="837">
        <f t="shared" si="330"/>
        <v>0</v>
      </c>
      <c r="Q807" s="1264"/>
      <c r="R807" s="1264"/>
      <c r="S807" s="1264"/>
      <c r="T807" s="1264"/>
      <c r="U807" s="1264"/>
      <c r="V807" s="1264"/>
      <c r="W807" s="1264"/>
      <c r="X807" s="1264"/>
      <c r="Y807" s="1264"/>
      <c r="Z807" s="1264"/>
    </row>
    <row r="808" spans="1:26" ht="19.5" hidden="1">
      <c r="A808" s="1260"/>
      <c r="B808" s="1265"/>
      <c r="C808" s="1261"/>
      <c r="D808" s="1509" t="s">
        <v>20</v>
      </c>
      <c r="E808" s="1485"/>
      <c r="F808" s="1485"/>
      <c r="G808" s="1263"/>
      <c r="H808" s="612" t="s">
        <v>12</v>
      </c>
      <c r="I808" s="947"/>
      <c r="J808" s="947"/>
      <c r="K808" s="948"/>
      <c r="L808" s="1292">
        <f t="shared" ref="L808:N808" si="332">L809+L810</f>
        <v>0</v>
      </c>
      <c r="M808" s="1292">
        <f t="shared" si="332"/>
        <v>0</v>
      </c>
      <c r="N808" s="1292">
        <f t="shared" si="332"/>
        <v>0</v>
      </c>
      <c r="O808" s="1292">
        <f t="shared" si="329"/>
        <v>0</v>
      </c>
      <c r="P808" s="1292">
        <f t="shared" si="330"/>
        <v>0</v>
      </c>
      <c r="Q808" s="1264"/>
      <c r="R808" s="1264"/>
      <c r="S808" s="1264"/>
      <c r="T808" s="1264"/>
      <c r="U808" s="1264"/>
      <c r="V808" s="1264"/>
      <c r="W808" s="1264"/>
      <c r="X808" s="1264"/>
      <c r="Y808" s="1264"/>
      <c r="Z808" s="1264"/>
    </row>
    <row r="809" spans="1:26" ht="18.75" hidden="1">
      <c r="A809" s="1260"/>
      <c r="B809" s="1261"/>
      <c r="C809" s="1261"/>
      <c r="D809" s="1274"/>
      <c r="E809" s="1261" t="s">
        <v>184</v>
      </c>
      <c r="F809" s="1261"/>
      <c r="G809" s="1263"/>
      <c r="H809" s="165" t="s">
        <v>12</v>
      </c>
      <c r="I809" s="836"/>
      <c r="J809" s="836"/>
      <c r="K809" s="837"/>
      <c r="L809" s="837">
        <v>0</v>
      </c>
      <c r="M809" s="837">
        <v>0</v>
      </c>
      <c r="N809" s="837">
        <v>0</v>
      </c>
      <c r="O809" s="837">
        <f t="shared" si="329"/>
        <v>0</v>
      </c>
      <c r="P809" s="837">
        <f t="shared" si="330"/>
        <v>0</v>
      </c>
      <c r="Q809" s="1264"/>
      <c r="R809" s="1264"/>
      <c r="S809" s="1264"/>
      <c r="T809" s="1264"/>
      <c r="U809" s="1264"/>
      <c r="V809" s="1264"/>
      <c r="W809" s="1264"/>
      <c r="X809" s="1264"/>
      <c r="Y809" s="1264"/>
      <c r="Z809" s="1264"/>
    </row>
    <row r="810" spans="1:26" ht="18.75" hidden="1">
      <c r="A810" s="1260"/>
      <c r="B810" s="1261"/>
      <c r="C810" s="1261"/>
      <c r="D810" s="1274"/>
      <c r="E810" s="1261" t="s">
        <v>185</v>
      </c>
      <c r="F810" s="1261"/>
      <c r="G810" s="1263"/>
      <c r="H810" s="165" t="s">
        <v>12</v>
      </c>
      <c r="I810" s="836"/>
      <c r="J810" s="836"/>
      <c r="K810" s="837"/>
      <c r="L810" s="837">
        <v>0</v>
      </c>
      <c r="M810" s="837">
        <v>0</v>
      </c>
      <c r="N810" s="837">
        <f>N811+N812+N813+N814</f>
        <v>0</v>
      </c>
      <c r="O810" s="837">
        <f t="shared" si="329"/>
        <v>0</v>
      </c>
      <c r="P810" s="837">
        <f t="shared" si="330"/>
        <v>0</v>
      </c>
      <c r="Q810" s="1264"/>
      <c r="R810" s="1264"/>
      <c r="S810" s="1264"/>
      <c r="T810" s="1264"/>
      <c r="U810" s="1264"/>
      <c r="V810" s="1264"/>
      <c r="W810" s="1264"/>
      <c r="X810" s="1264"/>
      <c r="Y810" s="1264"/>
      <c r="Z810" s="1264"/>
    </row>
    <row r="811" spans="1:26" ht="18.75" hidden="1">
      <c r="A811" s="1294"/>
      <c r="B811" s="1265"/>
      <c r="C811" s="1261"/>
      <c r="D811" s="1265"/>
      <c r="E811" s="1261"/>
      <c r="F811" s="1261" t="s">
        <v>186</v>
      </c>
      <c r="G811" s="1263"/>
      <c r="H811" s="165" t="s">
        <v>12</v>
      </c>
      <c r="I811" s="836"/>
      <c r="J811" s="836"/>
      <c r="K811" s="837"/>
      <c r="L811" s="837"/>
      <c r="M811" s="837"/>
      <c r="N811" s="837"/>
      <c r="O811" s="837"/>
      <c r="P811" s="837"/>
      <c r="Q811" s="1264"/>
      <c r="R811" s="1264"/>
      <c r="S811" s="1264"/>
      <c r="T811" s="1264"/>
      <c r="U811" s="1264"/>
      <c r="V811" s="1264"/>
      <c r="W811" s="1264"/>
      <c r="X811" s="1264"/>
      <c r="Y811" s="1264"/>
      <c r="Z811" s="1264"/>
    </row>
    <row r="812" spans="1:26" ht="18.75" hidden="1">
      <c r="A812" s="1294"/>
      <c r="B812" s="1265"/>
      <c r="C812" s="1261"/>
      <c r="D812" s="1265"/>
      <c r="E812" s="1261"/>
      <c r="F812" s="1261" t="s">
        <v>187</v>
      </c>
      <c r="G812" s="1263"/>
      <c r="H812" s="165" t="s">
        <v>12</v>
      </c>
      <c r="I812" s="836"/>
      <c r="J812" s="836"/>
      <c r="K812" s="837"/>
      <c r="L812" s="837"/>
      <c r="M812" s="837"/>
      <c r="N812" s="837"/>
      <c r="O812" s="837"/>
      <c r="P812" s="837"/>
      <c r="Q812" s="1264"/>
      <c r="R812" s="1264"/>
      <c r="S812" s="1264"/>
      <c r="T812" s="1264"/>
      <c r="U812" s="1264"/>
      <c r="V812" s="1264"/>
      <c r="W812" s="1264"/>
      <c r="X812" s="1264"/>
      <c r="Y812" s="1264"/>
      <c r="Z812" s="1264"/>
    </row>
    <row r="813" spans="1:26" ht="18.75" hidden="1">
      <c r="A813" s="1294"/>
      <c r="B813" s="1265"/>
      <c r="C813" s="1261"/>
      <c r="D813" s="1265"/>
      <c r="E813" s="1261"/>
      <c r="F813" s="1261" t="s">
        <v>188</v>
      </c>
      <c r="G813" s="1263"/>
      <c r="H813" s="165" t="s">
        <v>12</v>
      </c>
      <c r="I813" s="836"/>
      <c r="J813" s="836"/>
      <c r="K813" s="837"/>
      <c r="L813" s="837"/>
      <c r="M813" s="837"/>
      <c r="N813" s="837"/>
      <c r="O813" s="837"/>
      <c r="P813" s="837"/>
      <c r="Q813" s="1264"/>
      <c r="R813" s="1264"/>
      <c r="S813" s="1264"/>
      <c r="T813" s="1264"/>
      <c r="U813" s="1264"/>
      <c r="V813" s="1264"/>
      <c r="W813" s="1264"/>
      <c r="X813" s="1264"/>
      <c r="Y813" s="1264"/>
      <c r="Z813" s="1264"/>
    </row>
    <row r="814" spans="1:26" ht="18.75" hidden="1">
      <c r="A814" s="1294"/>
      <c r="B814" s="1265"/>
      <c r="C814" s="1261"/>
      <c r="D814" s="1265"/>
      <c r="E814" s="1261"/>
      <c r="F814" s="1261" t="s">
        <v>189</v>
      </c>
      <c r="G814" s="1263"/>
      <c r="H814" s="165" t="s">
        <v>12</v>
      </c>
      <c r="I814" s="836"/>
      <c r="J814" s="836"/>
      <c r="K814" s="837"/>
      <c r="L814" s="837"/>
      <c r="M814" s="837"/>
      <c r="N814" s="837"/>
      <c r="O814" s="837"/>
      <c r="P814" s="837"/>
      <c r="Q814" s="1264"/>
      <c r="R814" s="1264"/>
      <c r="S814" s="1264"/>
      <c r="T814" s="1264"/>
      <c r="U814" s="1264"/>
      <c r="V814" s="1264"/>
      <c r="W814" s="1264"/>
      <c r="X814" s="1264"/>
      <c r="Y814" s="1264"/>
      <c r="Z814" s="1264"/>
    </row>
    <row r="815" spans="1:26" ht="19.5" hidden="1">
      <c r="A815" s="1260"/>
      <c r="B815" s="1265"/>
      <c r="C815" s="1261"/>
      <c r="D815" s="1509" t="s">
        <v>21</v>
      </c>
      <c r="E815" s="1485"/>
      <c r="F815" s="1485"/>
      <c r="G815" s="1263"/>
      <c r="H815" s="749" t="s">
        <v>12</v>
      </c>
      <c r="I815" s="947"/>
      <c r="J815" s="947"/>
      <c r="K815" s="948"/>
      <c r="L815" s="1292">
        <f t="shared" ref="L815:N815" si="333">L816+L817</f>
        <v>0</v>
      </c>
      <c r="M815" s="1292">
        <f t="shared" si="333"/>
        <v>0</v>
      </c>
      <c r="N815" s="1292">
        <f t="shared" si="333"/>
        <v>0</v>
      </c>
      <c r="O815" s="1292">
        <f t="shared" ref="O815:O817" si="334">IF(L815&gt;0,N815*100/L815,0)</f>
        <v>0</v>
      </c>
      <c r="P815" s="1292">
        <f t="shared" ref="P815:P817" si="335">IF(M815&gt;0,N815*100/M815,0)</f>
        <v>0</v>
      </c>
      <c r="Q815" s="1264"/>
      <c r="R815" s="1264"/>
      <c r="S815" s="1264"/>
      <c r="T815" s="1264"/>
      <c r="U815" s="1264"/>
      <c r="V815" s="1264"/>
      <c r="W815" s="1264"/>
      <c r="X815" s="1264"/>
      <c r="Y815" s="1264"/>
      <c r="Z815" s="1264"/>
    </row>
    <row r="816" spans="1:26" ht="18.75" hidden="1">
      <c r="A816" s="1260"/>
      <c r="B816" s="1265"/>
      <c r="C816" s="1261"/>
      <c r="D816" s="1265"/>
      <c r="E816" s="1261" t="s">
        <v>18</v>
      </c>
      <c r="F816" s="1261"/>
      <c r="G816" s="1263"/>
      <c r="H816" s="165" t="s">
        <v>12</v>
      </c>
      <c r="I816" s="947"/>
      <c r="J816" s="947"/>
      <c r="K816" s="948"/>
      <c r="L816" s="837">
        <v>0</v>
      </c>
      <c r="M816" s="837">
        <v>0</v>
      </c>
      <c r="N816" s="837">
        <v>0</v>
      </c>
      <c r="O816" s="837">
        <f t="shared" si="334"/>
        <v>0</v>
      </c>
      <c r="P816" s="837">
        <f t="shared" si="335"/>
        <v>0</v>
      </c>
      <c r="Q816" s="1264"/>
      <c r="R816" s="1264"/>
      <c r="S816" s="1264"/>
      <c r="T816" s="1264"/>
      <c r="U816" s="1264"/>
      <c r="V816" s="1264"/>
      <c r="W816" s="1264"/>
      <c r="X816" s="1264"/>
      <c r="Y816" s="1264"/>
      <c r="Z816" s="1264"/>
    </row>
    <row r="817" spans="1:26" ht="18.75" hidden="1">
      <c r="A817" s="1260"/>
      <c r="B817" s="1265"/>
      <c r="C817" s="1261"/>
      <c r="D817" s="1265"/>
      <c r="E817" s="1261" t="s">
        <v>19</v>
      </c>
      <c r="F817" s="1261"/>
      <c r="G817" s="1263"/>
      <c r="H817" s="169" t="s">
        <v>12</v>
      </c>
      <c r="I817" s="947"/>
      <c r="J817" s="947"/>
      <c r="K817" s="948"/>
      <c r="L817" s="837">
        <v>0</v>
      </c>
      <c r="M817" s="837">
        <v>0</v>
      </c>
      <c r="N817" s="837">
        <v>0</v>
      </c>
      <c r="O817" s="837">
        <f t="shared" si="334"/>
        <v>0</v>
      </c>
      <c r="P817" s="837">
        <f t="shared" si="335"/>
        <v>0</v>
      </c>
      <c r="Q817" s="1264"/>
      <c r="R817" s="1264"/>
      <c r="S817" s="1264"/>
      <c r="T817" s="1264"/>
      <c r="U817" s="1264"/>
      <c r="V817" s="1264"/>
      <c r="W817" s="1264"/>
      <c r="X817" s="1264"/>
      <c r="Y817" s="1264"/>
      <c r="Z817" s="1264"/>
    </row>
    <row r="818" spans="1:26" ht="19.5" hidden="1">
      <c r="A818" s="1273"/>
      <c r="B818" s="1274"/>
      <c r="C818" s="1261" t="s">
        <v>16</v>
      </c>
      <c r="D818" s="1420" t="s">
        <v>38</v>
      </c>
      <c r="E818" s="1296"/>
      <c r="F818" s="1296"/>
      <c r="G818" s="1297"/>
      <c r="H818" s="1060"/>
      <c r="I818" s="947"/>
      <c r="J818" s="947"/>
      <c r="K818" s="948"/>
      <c r="L818" s="948"/>
      <c r="M818" s="948"/>
      <c r="N818" s="948"/>
      <c r="O818" s="948"/>
      <c r="P818" s="948"/>
      <c r="Q818" s="1264"/>
      <c r="R818" s="1264"/>
      <c r="S818" s="1264"/>
      <c r="T818" s="1264"/>
      <c r="U818" s="1264"/>
      <c r="V818" s="1264"/>
      <c r="W818" s="1264"/>
      <c r="X818" s="1264"/>
      <c r="Y818" s="1264"/>
      <c r="Z818" s="1264"/>
    </row>
    <row r="819" spans="1:26" ht="19.5" hidden="1" thickBot="1">
      <c r="A819" s="1421"/>
      <c r="B819" s="1422"/>
      <c r="C819" s="1423"/>
      <c r="D819" s="1422"/>
      <c r="E819" s="1423" t="s">
        <v>323</v>
      </c>
      <c r="F819" s="1423"/>
      <c r="G819" s="1424"/>
      <c r="H819" s="792" t="s">
        <v>46</v>
      </c>
      <c r="I819" s="1425"/>
      <c r="J819" s="1425"/>
      <c r="K819" s="1426"/>
      <c r="L819" s="1426"/>
      <c r="M819" s="1426"/>
      <c r="N819" s="1426"/>
      <c r="O819" s="1426"/>
      <c r="P819" s="1426"/>
      <c r="Q819" s="1264"/>
      <c r="R819" s="1264"/>
      <c r="S819" s="1264"/>
      <c r="T819" s="1264"/>
      <c r="U819" s="1264"/>
      <c r="V819" s="1264"/>
      <c r="W819" s="1264"/>
      <c r="X819" s="1264"/>
      <c r="Y819" s="1264"/>
      <c r="Z819" s="1264"/>
    </row>
    <row r="820" spans="1:26" ht="19.5">
      <c r="A820" s="1427" t="s">
        <v>333</v>
      </c>
      <c r="B820" s="1428"/>
      <c r="C820" s="1428"/>
      <c r="D820" s="1429"/>
      <c r="E820" s="1428"/>
      <c r="F820" s="1428"/>
      <c r="G820" s="1430"/>
      <c r="H820" s="143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32"/>
      <c r="J820" s="1432"/>
      <c r="K820" s="1433"/>
      <c r="L820" s="1433"/>
      <c r="M820" s="1433"/>
      <c r="N820" s="1433"/>
      <c r="O820" s="1433"/>
      <c r="P820" s="1433"/>
      <c r="Q820" s="1244"/>
      <c r="R820" s="1244"/>
      <c r="S820" s="1244"/>
      <c r="T820" s="1244"/>
      <c r="U820" s="1244"/>
      <c r="V820" s="1244"/>
      <c r="W820" s="1244"/>
      <c r="X820" s="1244"/>
      <c r="Y820" s="1244"/>
      <c r="Z820" s="1244"/>
    </row>
    <row r="821" spans="1:26" ht="18.75">
      <c r="A821" s="1368"/>
      <c r="B821" s="1243" t="s">
        <v>325</v>
      </c>
      <c r="C821" s="1243"/>
      <c r="D821" s="1242"/>
      <c r="E821" s="1243"/>
      <c r="F821" s="1243"/>
      <c r="G821" s="963"/>
      <c r="H821" s="590" t="s">
        <v>12</v>
      </c>
      <c r="I821" s="830">
        <f ca="1">IFERROR(__xludf.DUMMYFUNCTION("IMPORTRANGE(""https://docs.google.com/spreadsheets/d/19vJNZY_5yjcGF2XGBMNZRCAIB0Kwfpjp8YEOfu-bneM/edit?usp=sharing"",""งานกองทุน!D19"")"),4517957.46)</f>
        <v>4517957.46</v>
      </c>
      <c r="J821" s="830">
        <f ca="1">IFERROR(__xludf.DUMMYFUNCTION("IMPORTRANGE(""https://docs.google.com/spreadsheets/d/19vJNZY_5yjcGF2XGBMNZRCAIB0Kwfpjp8YEOfu-bneM/edit?usp=sharing"",""งานกองทุน!F19"")"),1359688.39)</f>
        <v>1359688.39</v>
      </c>
      <c r="K821" s="831">
        <f t="shared" ref="K821:K828" ca="1" si="336">IF(I821&gt;0,J821*100/I821,0)</f>
        <v>30.095201250522621</v>
      </c>
      <c r="L821" s="831"/>
      <c r="M821" s="831"/>
      <c r="N821" s="831"/>
      <c r="O821" s="831"/>
      <c r="P821" s="831"/>
      <c r="Q821" s="1244"/>
      <c r="R821" s="1244"/>
      <c r="S821" s="1244"/>
      <c r="T821" s="1244"/>
      <c r="U821" s="1244"/>
      <c r="V821" s="1244"/>
      <c r="W821" s="1244"/>
      <c r="X821" s="1244"/>
      <c r="Y821" s="1244"/>
      <c r="Z821" s="1244"/>
    </row>
    <row r="822" spans="1:26" ht="18.75">
      <c r="A822" s="1368"/>
      <c r="B822" s="1243"/>
      <c r="C822" s="1243"/>
      <c r="D822" s="1242"/>
      <c r="E822" s="1243"/>
      <c r="F822" s="1243"/>
      <c r="G822" s="963"/>
      <c r="H822" s="590" t="s">
        <v>35</v>
      </c>
      <c r="I822" s="830">
        <f ca="1">IFERROR(__xludf.DUMMYFUNCTION("IMPORTRANGE(""https://docs.google.com/spreadsheets/d/19vJNZY_5yjcGF2XGBMNZRCAIB0Kwfpjp8YEOfu-bneM/edit?usp=sharing"",""งานกองทุน!C19"")"),299)</f>
        <v>299</v>
      </c>
      <c r="J822" s="830">
        <f ca="1">IFERROR(__xludf.DUMMYFUNCTION("IMPORTRANGE(""https://docs.google.com/spreadsheets/d/19vJNZY_5yjcGF2XGBMNZRCAIB0Kwfpjp8YEOfu-bneM/edit?usp=sharing"",""งานกองทุน!E19"")"),92)</f>
        <v>92</v>
      </c>
      <c r="K822" s="831">
        <f t="shared" ca="1" si="336"/>
        <v>30.76923076923077</v>
      </c>
      <c r="L822" s="831"/>
      <c r="M822" s="831"/>
      <c r="N822" s="831"/>
      <c r="O822" s="831"/>
      <c r="P822" s="831"/>
      <c r="Q822" s="1244"/>
      <c r="R822" s="1244"/>
      <c r="S822" s="1244"/>
      <c r="T822" s="1244"/>
      <c r="U822" s="1244"/>
      <c r="V822" s="1244"/>
      <c r="W822" s="1244"/>
      <c r="X822" s="1244"/>
      <c r="Y822" s="1244"/>
      <c r="Z822" s="1244"/>
    </row>
    <row r="823" spans="1:26" ht="18.75">
      <c r="A823" s="1368"/>
      <c r="B823" s="1243" t="s">
        <v>326</v>
      </c>
      <c r="C823" s="1243"/>
      <c r="D823" s="1242"/>
      <c r="E823" s="1243"/>
      <c r="F823" s="1243"/>
      <c r="G823" s="963"/>
      <c r="H823" s="590" t="s">
        <v>12</v>
      </c>
      <c r="I823" s="830">
        <f ca="1">IFERROR(__xludf.DUMMYFUNCTION("IMPORTRANGE(""https://docs.google.com/spreadsheets/d/19vJNZY_5yjcGF2XGBMNZRCAIB0Kwfpjp8YEOfu-bneM/edit?usp=sharing"",""งานกองทุน!I19"")"),1300339.04)</f>
        <v>1300339.04</v>
      </c>
      <c r="J823" s="830">
        <f ca="1">IFERROR(__xludf.DUMMYFUNCTION("IMPORTRANGE(""https://docs.google.com/spreadsheets/d/19vJNZY_5yjcGF2XGBMNZRCAIB0Kwfpjp8YEOfu-bneM/edit?usp=sharing"",""งานกองทุน!K19"")"),378961.89)</f>
        <v>378961.89</v>
      </c>
      <c r="K823" s="831">
        <f t="shared" ca="1" si="336"/>
        <v>29.143314039083222</v>
      </c>
      <c r="L823" s="831"/>
      <c r="M823" s="831"/>
      <c r="N823" s="831"/>
      <c r="O823" s="831"/>
      <c r="P823" s="831"/>
      <c r="Q823" s="1244"/>
      <c r="R823" s="1244"/>
      <c r="S823" s="1244"/>
      <c r="T823" s="1244"/>
      <c r="U823" s="1244"/>
      <c r="V823" s="1244"/>
      <c r="W823" s="1244"/>
      <c r="X823" s="1244"/>
      <c r="Y823" s="1244"/>
      <c r="Z823" s="1244"/>
    </row>
    <row r="824" spans="1:26" ht="18.75">
      <c r="A824" s="1368"/>
      <c r="B824" s="1243"/>
      <c r="C824" s="1243"/>
      <c r="D824" s="1242"/>
      <c r="E824" s="1243"/>
      <c r="F824" s="1243"/>
      <c r="G824" s="963"/>
      <c r="H824" s="590" t="s">
        <v>35</v>
      </c>
      <c r="I824" s="830">
        <f ca="1">IFERROR(__xludf.DUMMYFUNCTION("IMPORTRANGE(""https://docs.google.com/spreadsheets/d/19vJNZY_5yjcGF2XGBMNZRCAIB0Kwfpjp8YEOfu-bneM/edit?usp=sharing"",""งานกองทุน!H19"")"),75)</f>
        <v>75</v>
      </c>
      <c r="J824" s="830">
        <f ca="1">IFERROR(__xludf.DUMMYFUNCTION("IMPORTRANGE(""https://docs.google.com/spreadsheets/d/19vJNZY_5yjcGF2XGBMNZRCAIB0Kwfpjp8YEOfu-bneM/edit?usp=sharing"",""งานกองทุน!J19"")"),58)</f>
        <v>58</v>
      </c>
      <c r="K824" s="831">
        <f t="shared" ca="1" si="336"/>
        <v>77.333333333333329</v>
      </c>
      <c r="L824" s="831"/>
      <c r="M824" s="831"/>
      <c r="N824" s="831"/>
      <c r="O824" s="831"/>
      <c r="P824" s="831"/>
      <c r="Q824" s="1244"/>
      <c r="R824" s="1244"/>
      <c r="S824" s="1244"/>
      <c r="T824" s="1244"/>
      <c r="U824" s="1244"/>
      <c r="V824" s="1244"/>
      <c r="W824" s="1244"/>
      <c r="X824" s="1244"/>
      <c r="Y824" s="1244"/>
      <c r="Z824" s="1244"/>
    </row>
    <row r="825" spans="1:26" ht="18.75">
      <c r="A825" s="1368"/>
      <c r="B825" s="1243" t="s">
        <v>327</v>
      </c>
      <c r="C825" s="1243"/>
      <c r="D825" s="1242"/>
      <c r="E825" s="1243"/>
      <c r="F825" s="1243"/>
      <c r="G825" s="963"/>
      <c r="H825" s="590" t="s">
        <v>12</v>
      </c>
      <c r="I825" s="830">
        <f ca="1">IFERROR(__xludf.DUMMYFUNCTION("IMPORTRANGE(""https://docs.google.com/spreadsheets/d/19vJNZY_5yjcGF2XGBMNZRCAIB0Kwfpjp8YEOfu-bneM/edit?usp=sharing"",""งานกองทุน!N19"")"),0)</f>
        <v>0</v>
      </c>
      <c r="J825" s="830">
        <f ca="1">IFERROR(__xludf.DUMMYFUNCTION("IMPORTRANGE(""https://docs.google.com/spreadsheets/d/19vJNZY_5yjcGF2XGBMNZRCAIB0Kwfpjp8YEOfu-bneM/edit?usp=sharing"",""งานกองทุน!P19"")"),0)</f>
        <v>0</v>
      </c>
      <c r="K825" s="831">
        <f t="shared" ca="1" si="336"/>
        <v>0</v>
      </c>
      <c r="L825" s="831"/>
      <c r="M825" s="831"/>
      <c r="N825" s="831"/>
      <c r="O825" s="831"/>
      <c r="P825" s="831"/>
      <c r="Q825" s="1244"/>
      <c r="R825" s="1244"/>
      <c r="S825" s="1244"/>
      <c r="T825" s="1244"/>
      <c r="U825" s="1244"/>
      <c r="V825" s="1244"/>
      <c r="W825" s="1244"/>
      <c r="X825" s="1244"/>
      <c r="Y825" s="1244"/>
      <c r="Z825" s="1244"/>
    </row>
    <row r="826" spans="1:26" ht="18.75">
      <c r="A826" s="1368"/>
      <c r="B826" s="1243"/>
      <c r="C826" s="1243"/>
      <c r="D826" s="1242"/>
      <c r="E826" s="1243"/>
      <c r="F826" s="1243"/>
      <c r="G826" s="963"/>
      <c r="H826" s="590" t="s">
        <v>35</v>
      </c>
      <c r="I826" s="830">
        <f ca="1">IFERROR(__xludf.DUMMYFUNCTION("IMPORTRANGE(""https://docs.google.com/spreadsheets/d/19vJNZY_5yjcGF2XGBMNZRCAIB0Kwfpjp8YEOfu-bneM/edit?usp=sharing"",""งานกองทุน!M19"")"),0)</f>
        <v>0</v>
      </c>
      <c r="J826" s="830">
        <f ca="1">IFERROR(__xludf.DUMMYFUNCTION("IMPORTRANGE(""https://docs.google.com/spreadsheets/d/19vJNZY_5yjcGF2XGBMNZRCAIB0Kwfpjp8YEOfu-bneM/edit?usp=sharing"",""งานกองทุน!O19"")"),0)</f>
        <v>0</v>
      </c>
      <c r="K826" s="831">
        <f t="shared" ca="1" si="336"/>
        <v>0</v>
      </c>
      <c r="L826" s="831"/>
      <c r="M826" s="831"/>
      <c r="N826" s="831"/>
      <c r="O826" s="831"/>
      <c r="P826" s="831"/>
      <c r="Q826" s="1244"/>
      <c r="R826" s="1244"/>
      <c r="S826" s="1244"/>
      <c r="T826" s="1244"/>
      <c r="U826" s="1244"/>
      <c r="V826" s="1244"/>
      <c r="W826" s="1244"/>
      <c r="X826" s="1244"/>
      <c r="Y826" s="1244"/>
      <c r="Z826" s="1244"/>
    </row>
    <row r="827" spans="1:26" ht="18.75">
      <c r="A827" s="1368"/>
      <c r="B827" s="1243" t="s">
        <v>328</v>
      </c>
      <c r="C827" s="1243"/>
      <c r="D827" s="1242"/>
      <c r="E827" s="1243"/>
      <c r="F827" s="1243"/>
      <c r="G827" s="963"/>
      <c r="H827" s="590" t="s">
        <v>12</v>
      </c>
      <c r="I827" s="830">
        <f ca="1">IFERROR(__xludf.DUMMYFUNCTION("IMPORTRANGE(""https://docs.google.com/spreadsheets/d/19vJNZY_5yjcGF2XGBMNZRCAIB0Kwfpjp8YEOfu-bneM/edit?usp=sharing"",""งานกองทุน!S19"")"),6100000)</f>
        <v>6100000</v>
      </c>
      <c r="J827" s="830">
        <f ca="1">IFERROR(__xludf.DUMMYFUNCTION("IMPORTRANGE(""https://docs.google.com/spreadsheets/d/19vJNZY_5yjcGF2XGBMNZRCAIB0Kwfpjp8YEOfu-bneM/edit?usp=sharing"",""งานกองทุน!U19"")"),1990000)</f>
        <v>1990000</v>
      </c>
      <c r="K827" s="831">
        <f t="shared" ca="1" si="336"/>
        <v>32.622950819672134</v>
      </c>
      <c r="L827" s="831"/>
      <c r="M827" s="831"/>
      <c r="N827" s="831"/>
      <c r="O827" s="831"/>
      <c r="P827" s="831"/>
      <c r="Q827" s="1244"/>
      <c r="R827" s="1244"/>
      <c r="S827" s="1244"/>
      <c r="T827" s="1244"/>
      <c r="U827" s="1244"/>
      <c r="V827" s="1244"/>
      <c r="W827" s="1244"/>
      <c r="X827" s="1244"/>
      <c r="Y827" s="1244"/>
      <c r="Z827" s="1244"/>
    </row>
    <row r="828" spans="1:26" ht="18.75">
      <c r="A828" s="1369"/>
      <c r="B828" s="1371"/>
      <c r="C828" s="1371"/>
      <c r="D828" s="1370"/>
      <c r="E828" s="1371"/>
      <c r="F828" s="1371"/>
      <c r="G828" s="1434"/>
      <c r="H828" s="802" t="s">
        <v>35</v>
      </c>
      <c r="I828" s="1085">
        <f ca="1">IFERROR(__xludf.DUMMYFUNCTION("IMPORTRANGE(""https://docs.google.com/spreadsheets/d/19vJNZY_5yjcGF2XGBMNZRCAIB0Kwfpjp8YEOfu-bneM/edit?usp=sharing"",""งานกองทุน!R19"")"),244)</f>
        <v>244</v>
      </c>
      <c r="J828" s="1085">
        <f ca="1">IFERROR(__xludf.DUMMYFUNCTION("IMPORTRANGE(""https://docs.google.com/spreadsheets/d/19vJNZY_5yjcGF2XGBMNZRCAIB0Kwfpjp8YEOfu-bneM/edit?usp=sharing"",""งานกองทุน!T19"")"),49)</f>
        <v>49</v>
      </c>
      <c r="K828" s="1182">
        <f t="shared" ca="1" si="336"/>
        <v>20.081967213114755</v>
      </c>
      <c r="L828" s="1182"/>
      <c r="M828" s="1182"/>
      <c r="N828" s="1182"/>
      <c r="O828" s="1182"/>
      <c r="P828" s="1182"/>
      <c r="Q828" s="1244"/>
      <c r="R828" s="1244"/>
      <c r="S828" s="1244"/>
      <c r="T828" s="1244"/>
      <c r="U828" s="1244"/>
      <c r="V828" s="1244"/>
      <c r="W828" s="1244"/>
      <c r="X828" s="1244"/>
      <c r="Y828" s="1244"/>
      <c r="Z828" s="124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98E21-C727-47F1-8038-2C9B9EA0CE4B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Q24" sqref="Q24"/>
      <selection pane="bottomLeft" sqref="A1:P1"/>
    </sheetView>
  </sheetViews>
  <sheetFormatPr defaultColWidth="12.5703125" defaultRowHeight="15.75" customHeight="1"/>
  <cols>
    <col min="1" max="3" width="3.28515625" style="803" customWidth="1"/>
    <col min="4" max="6" width="5.85546875" style="803" customWidth="1"/>
    <col min="7" max="7" width="56.42578125" style="803" customWidth="1"/>
    <col min="8" max="8" width="9.42578125" style="803" customWidth="1"/>
    <col min="9" max="9" width="18.7109375" style="803" bestFit="1" customWidth="1"/>
    <col min="10" max="10" width="16.85546875" style="803" bestFit="1" customWidth="1"/>
    <col min="11" max="11" width="12.5703125" style="803" bestFit="1" customWidth="1"/>
    <col min="12" max="14" width="21.28515625" style="803" bestFit="1" customWidth="1"/>
    <col min="15" max="15" width="20.140625" style="803" bestFit="1" customWidth="1"/>
    <col min="16" max="16" width="22" style="803" bestFit="1" customWidth="1"/>
    <col min="17" max="16384" width="12.5703125" style="803"/>
  </cols>
  <sheetData>
    <row r="1" spans="1:26" ht="19.5">
      <c r="A1" s="1498" t="s">
        <v>0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</row>
    <row r="2" spans="1:26" ht="19.5">
      <c r="A2" s="1498" t="s">
        <v>342</v>
      </c>
      <c r="B2" s="1516"/>
      <c r="C2" s="1516"/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  <c r="O2" s="1516"/>
      <c r="P2" s="1516"/>
    </row>
    <row r="3" spans="1:26" ht="19.5">
      <c r="A3" s="1498" t="s">
        <v>329</v>
      </c>
      <c r="B3" s="1516"/>
      <c r="C3" s="1516"/>
      <c r="D3" s="1516"/>
      <c r="E3" s="1516"/>
      <c r="F3" s="1516"/>
      <c r="G3" s="1516"/>
      <c r="H3" s="1516"/>
      <c r="I3" s="1516"/>
      <c r="J3" s="1516"/>
      <c r="K3" s="1516"/>
      <c r="L3" s="1516"/>
      <c r="M3" s="1516"/>
      <c r="N3" s="1516"/>
      <c r="O3" s="1516"/>
      <c r="P3" s="1516"/>
    </row>
    <row r="4" spans="1:26" ht="12.75">
      <c r="A4" s="804"/>
      <c r="B4" s="804"/>
      <c r="C4" s="804"/>
      <c r="D4" s="804"/>
      <c r="E4" s="804"/>
      <c r="F4" s="804"/>
      <c r="G4" s="804"/>
      <c r="H4" s="804"/>
      <c r="I4" s="804"/>
      <c r="J4" s="805"/>
      <c r="K4" s="806"/>
      <c r="L4" s="805"/>
      <c r="M4" s="805"/>
      <c r="N4" s="805"/>
      <c r="O4" s="804"/>
      <c r="P4" s="804"/>
    </row>
    <row r="5" spans="1:26" ht="19.5">
      <c r="A5" s="1504" t="s">
        <v>2</v>
      </c>
      <c r="B5" s="1516"/>
      <c r="C5" s="1516"/>
      <c r="D5" s="1516"/>
      <c r="E5" s="1516"/>
      <c r="F5" s="1516"/>
      <c r="G5" s="1505"/>
      <c r="H5" s="1500" t="s">
        <v>3</v>
      </c>
      <c r="I5" s="1501" t="s">
        <v>4</v>
      </c>
      <c r="J5" s="1494"/>
      <c r="K5" s="1495"/>
      <c r="L5" s="1502" t="s">
        <v>5</v>
      </c>
      <c r="M5" s="1495"/>
      <c r="N5" s="1503" t="s">
        <v>6</v>
      </c>
      <c r="O5" s="1494"/>
      <c r="P5" s="1495"/>
    </row>
    <row r="6" spans="1:26" ht="19.5">
      <c r="A6" s="1506"/>
      <c r="B6" s="1494"/>
      <c r="C6" s="1494"/>
      <c r="D6" s="1494"/>
      <c r="E6" s="1494"/>
      <c r="F6" s="1494"/>
      <c r="G6" s="1495"/>
      <c r="H6" s="14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12" t="s">
        <v>15</v>
      </c>
      <c r="B7" s="1494"/>
      <c r="C7" s="1494"/>
      <c r="D7" s="1494"/>
      <c r="E7" s="1494"/>
      <c r="F7" s="1494"/>
      <c r="G7" s="1495"/>
      <c r="H7" s="807"/>
      <c r="I7" s="808"/>
      <c r="J7" s="808"/>
      <c r="K7" s="809"/>
      <c r="L7" s="809"/>
      <c r="M7" s="809"/>
      <c r="N7" s="809"/>
      <c r="O7" s="809"/>
      <c r="P7" s="809"/>
    </row>
    <row r="8" spans="1:26" ht="19.5">
      <c r="A8" s="810"/>
      <c r="B8" s="811"/>
      <c r="C8" s="812" t="s">
        <v>16</v>
      </c>
      <c r="D8" s="813" t="s">
        <v>17</v>
      </c>
      <c r="E8" s="811"/>
      <c r="F8" s="811"/>
      <c r="G8" s="814"/>
      <c r="H8" s="19" t="s">
        <v>12</v>
      </c>
      <c r="I8" s="815"/>
      <c r="J8" s="815"/>
      <c r="K8" s="816"/>
      <c r="L8" s="817">
        <f t="shared" ref="L8:N8" ca="1" si="0">L9+L10</f>
        <v>5751529</v>
      </c>
      <c r="M8" s="817">
        <f t="shared" ca="1" si="0"/>
        <v>3564930.14</v>
      </c>
      <c r="N8" s="817">
        <f t="shared" ca="1" si="0"/>
        <v>2929213.4800000004</v>
      </c>
      <c r="O8" s="817">
        <f t="shared" ref="O8:O16" ca="1" si="1">IF(L8&gt;0,N8*100/L8,0)</f>
        <v>50.929300365172473</v>
      </c>
      <c r="P8" s="817">
        <f t="shared" ref="P8:P16" ca="1" si="2">IF(M8&gt;0,N8*100/M8,0)</f>
        <v>82.167486176882008</v>
      </c>
      <c r="Q8" s="818"/>
      <c r="R8" s="818"/>
      <c r="S8" s="818"/>
      <c r="T8" s="818"/>
      <c r="U8" s="818"/>
      <c r="V8" s="818"/>
      <c r="W8" s="818"/>
      <c r="X8" s="818"/>
      <c r="Y8" s="818"/>
      <c r="Z8" s="818"/>
    </row>
    <row r="9" spans="1:26" ht="18.75" hidden="1">
      <c r="A9" s="819"/>
      <c r="B9" s="820"/>
      <c r="C9" s="820"/>
      <c r="D9" s="820"/>
      <c r="E9" s="821" t="s">
        <v>18</v>
      </c>
      <c r="F9" s="820"/>
      <c r="G9" s="822"/>
      <c r="H9" s="28" t="s">
        <v>12</v>
      </c>
      <c r="I9" s="823"/>
      <c r="J9" s="823"/>
      <c r="K9" s="824"/>
      <c r="L9" s="824">
        <f t="shared" ref="L9:N10" si="3">L12+L15</f>
        <v>0</v>
      </c>
      <c r="M9" s="824">
        <f t="shared" si="3"/>
        <v>0</v>
      </c>
      <c r="N9" s="824">
        <f t="shared" si="3"/>
        <v>0</v>
      </c>
      <c r="O9" s="824">
        <f t="shared" si="1"/>
        <v>0</v>
      </c>
      <c r="P9" s="824">
        <f t="shared" si="2"/>
        <v>0</v>
      </c>
      <c r="Q9" s="825"/>
      <c r="R9" s="825"/>
      <c r="S9" s="825"/>
      <c r="T9" s="825"/>
      <c r="U9" s="825"/>
      <c r="V9" s="825"/>
      <c r="W9" s="825"/>
      <c r="X9" s="825"/>
      <c r="Y9" s="825"/>
      <c r="Z9" s="825"/>
    </row>
    <row r="10" spans="1:26" ht="18.75" hidden="1">
      <c r="A10" s="819"/>
      <c r="B10" s="820"/>
      <c r="C10" s="820"/>
      <c r="D10" s="820"/>
      <c r="E10" s="821" t="s">
        <v>19</v>
      </c>
      <c r="F10" s="820"/>
      <c r="G10" s="822"/>
      <c r="H10" s="28" t="s">
        <v>12</v>
      </c>
      <c r="I10" s="823"/>
      <c r="J10" s="823"/>
      <c r="K10" s="824"/>
      <c r="L10" s="824">
        <f t="shared" ca="1" si="3"/>
        <v>5751529</v>
      </c>
      <c r="M10" s="824">
        <f t="shared" ca="1" si="3"/>
        <v>3564930.14</v>
      </c>
      <c r="N10" s="824">
        <f t="shared" ca="1" si="3"/>
        <v>2929213.4800000004</v>
      </c>
      <c r="O10" s="824">
        <f t="shared" ca="1" si="1"/>
        <v>50.929300365172473</v>
      </c>
      <c r="P10" s="824">
        <f t="shared" ca="1" si="2"/>
        <v>82.167486176882008</v>
      </c>
      <c r="Q10" s="825"/>
      <c r="R10" s="825"/>
      <c r="S10" s="825"/>
      <c r="T10" s="825"/>
      <c r="U10" s="825"/>
      <c r="V10" s="825"/>
      <c r="W10" s="825"/>
      <c r="X10" s="825"/>
      <c r="Y10" s="825"/>
      <c r="Z10" s="825"/>
    </row>
    <row r="11" spans="1:26" ht="18.75">
      <c r="A11" s="826"/>
      <c r="B11" s="827"/>
      <c r="C11" s="827"/>
      <c r="D11" s="828" t="s">
        <v>20</v>
      </c>
      <c r="E11" s="827"/>
      <c r="F11" s="827"/>
      <c r="G11" s="829"/>
      <c r="H11" s="590" t="s">
        <v>12</v>
      </c>
      <c r="I11" s="830"/>
      <c r="J11" s="830"/>
      <c r="K11" s="831"/>
      <c r="L11" s="831">
        <f t="shared" ref="L11:N11" ca="1" si="4">L12+L13</f>
        <v>4901729</v>
      </c>
      <c r="M11" s="831">
        <f t="shared" ca="1" si="4"/>
        <v>2718330.14</v>
      </c>
      <c r="N11" s="831">
        <f t="shared" ca="1" si="4"/>
        <v>2088613.4800000002</v>
      </c>
      <c r="O11" s="831">
        <f t="shared" ca="1" si="1"/>
        <v>42.609729750461526</v>
      </c>
      <c r="P11" s="831">
        <f t="shared" ca="1" si="2"/>
        <v>76.834430419845916</v>
      </c>
      <c r="Q11" s="818"/>
      <c r="R11" s="818"/>
      <c r="S11" s="818"/>
      <c r="T11" s="818"/>
      <c r="U11" s="818"/>
      <c r="V11" s="818"/>
      <c r="W11" s="818"/>
      <c r="X11" s="818"/>
      <c r="Y11" s="818"/>
      <c r="Z11" s="818"/>
    </row>
    <row r="12" spans="1:26" ht="18.75" hidden="1">
      <c r="A12" s="832"/>
      <c r="B12" s="833"/>
      <c r="C12" s="833"/>
      <c r="D12" s="833"/>
      <c r="E12" s="834" t="s">
        <v>18</v>
      </c>
      <c r="F12" s="833"/>
      <c r="G12" s="835"/>
      <c r="H12" s="43" t="s">
        <v>12</v>
      </c>
      <c r="I12" s="836"/>
      <c r="J12" s="836"/>
      <c r="K12" s="837"/>
      <c r="L12" s="837">
        <f t="shared" ref="L12:N13" si="5">L22+L32</f>
        <v>0</v>
      </c>
      <c r="M12" s="837">
        <f t="shared" si="5"/>
        <v>0</v>
      </c>
      <c r="N12" s="837">
        <f t="shared" si="5"/>
        <v>0</v>
      </c>
      <c r="O12" s="837">
        <f t="shared" si="1"/>
        <v>0</v>
      </c>
      <c r="P12" s="837">
        <f t="shared" si="2"/>
        <v>0</v>
      </c>
      <c r="Q12" s="825"/>
      <c r="R12" s="825"/>
      <c r="S12" s="825"/>
      <c r="T12" s="825"/>
      <c r="U12" s="825"/>
      <c r="V12" s="825"/>
      <c r="W12" s="825"/>
      <c r="X12" s="825"/>
      <c r="Y12" s="825"/>
      <c r="Z12" s="825"/>
    </row>
    <row r="13" spans="1:26" ht="18.75" hidden="1">
      <c r="A13" s="832"/>
      <c r="B13" s="833"/>
      <c r="C13" s="833"/>
      <c r="D13" s="833"/>
      <c r="E13" s="834" t="s">
        <v>19</v>
      </c>
      <c r="F13" s="833"/>
      <c r="G13" s="835"/>
      <c r="H13" s="43" t="s">
        <v>12</v>
      </c>
      <c r="I13" s="836"/>
      <c r="J13" s="836"/>
      <c r="K13" s="837"/>
      <c r="L13" s="837">
        <f t="shared" ca="1" si="5"/>
        <v>4901729</v>
      </c>
      <c r="M13" s="837">
        <f t="shared" ca="1" si="5"/>
        <v>2718330.14</v>
      </c>
      <c r="N13" s="837">
        <f t="shared" ca="1" si="5"/>
        <v>2088613.4800000002</v>
      </c>
      <c r="O13" s="837">
        <f t="shared" ca="1" si="1"/>
        <v>42.609729750461526</v>
      </c>
      <c r="P13" s="837">
        <f t="shared" ca="1" si="2"/>
        <v>76.834430419845916</v>
      </c>
      <c r="Q13" s="825"/>
      <c r="R13" s="825"/>
      <c r="S13" s="825"/>
      <c r="T13" s="825"/>
      <c r="U13" s="825"/>
      <c r="V13" s="825"/>
      <c r="W13" s="825"/>
      <c r="X13" s="825"/>
      <c r="Y13" s="825"/>
      <c r="Z13" s="825"/>
    </row>
    <row r="14" spans="1:26" ht="18.75">
      <c r="A14" s="826"/>
      <c r="B14" s="827"/>
      <c r="C14" s="827"/>
      <c r="D14" s="828" t="s">
        <v>21</v>
      </c>
      <c r="E14" s="827"/>
      <c r="F14" s="827"/>
      <c r="G14" s="829"/>
      <c r="H14" s="590" t="s">
        <v>12</v>
      </c>
      <c r="I14" s="830"/>
      <c r="J14" s="830"/>
      <c r="K14" s="831"/>
      <c r="L14" s="831">
        <f t="shared" ref="L14:N14" ca="1" si="6">L15+L16</f>
        <v>849800</v>
      </c>
      <c r="M14" s="831">
        <f t="shared" ca="1" si="6"/>
        <v>846600</v>
      </c>
      <c r="N14" s="831">
        <f t="shared" ca="1" si="6"/>
        <v>840600</v>
      </c>
      <c r="O14" s="831">
        <f t="shared" ca="1" si="1"/>
        <v>98.917392327606493</v>
      </c>
      <c r="P14" s="831">
        <f t="shared" ca="1" si="2"/>
        <v>99.291282778171507</v>
      </c>
      <c r="Q14" s="818"/>
      <c r="R14" s="818"/>
      <c r="S14" s="818"/>
      <c r="T14" s="818"/>
      <c r="U14" s="818"/>
      <c r="V14" s="818"/>
      <c r="W14" s="818"/>
      <c r="X14" s="818"/>
      <c r="Y14" s="818"/>
      <c r="Z14" s="818"/>
    </row>
    <row r="15" spans="1:26" ht="18.75" hidden="1">
      <c r="A15" s="832"/>
      <c r="B15" s="833"/>
      <c r="C15" s="833"/>
      <c r="D15" s="833"/>
      <c r="E15" s="834" t="s">
        <v>18</v>
      </c>
      <c r="F15" s="833"/>
      <c r="G15" s="835"/>
      <c r="H15" s="43" t="s">
        <v>12</v>
      </c>
      <c r="I15" s="836"/>
      <c r="J15" s="836"/>
      <c r="K15" s="837"/>
      <c r="L15" s="837">
        <f t="shared" ref="L15:N16" si="7">L25+L35</f>
        <v>0</v>
      </c>
      <c r="M15" s="837">
        <f t="shared" si="7"/>
        <v>0</v>
      </c>
      <c r="N15" s="837">
        <f t="shared" si="7"/>
        <v>0</v>
      </c>
      <c r="O15" s="837">
        <f t="shared" si="1"/>
        <v>0</v>
      </c>
      <c r="P15" s="837">
        <f t="shared" si="2"/>
        <v>0</v>
      </c>
      <c r="Q15" s="825"/>
      <c r="R15" s="825"/>
      <c r="S15" s="825"/>
      <c r="T15" s="825"/>
      <c r="U15" s="825"/>
      <c r="V15" s="825"/>
      <c r="W15" s="825"/>
      <c r="X15" s="825"/>
      <c r="Y15" s="825"/>
      <c r="Z15" s="825"/>
    </row>
    <row r="16" spans="1:26" ht="18.75" hidden="1">
      <c r="A16" s="838"/>
      <c r="B16" s="839"/>
      <c r="C16" s="839"/>
      <c r="D16" s="839"/>
      <c r="E16" s="840" t="s">
        <v>19</v>
      </c>
      <c r="F16" s="839"/>
      <c r="G16" s="841"/>
      <c r="H16" s="50" t="s">
        <v>12</v>
      </c>
      <c r="I16" s="842"/>
      <c r="J16" s="842"/>
      <c r="K16" s="843"/>
      <c r="L16" s="843">
        <f t="shared" ca="1" si="7"/>
        <v>849800</v>
      </c>
      <c r="M16" s="843">
        <f t="shared" ca="1" si="7"/>
        <v>846600</v>
      </c>
      <c r="N16" s="843">
        <f t="shared" ca="1" si="7"/>
        <v>840600</v>
      </c>
      <c r="O16" s="843">
        <f t="shared" ca="1" si="1"/>
        <v>98.917392327606493</v>
      </c>
      <c r="P16" s="843">
        <f t="shared" ca="1" si="2"/>
        <v>99.291282778171507</v>
      </c>
      <c r="Q16" s="825"/>
      <c r="R16" s="825"/>
      <c r="S16" s="825"/>
      <c r="T16" s="825"/>
      <c r="U16" s="825"/>
      <c r="V16" s="825"/>
      <c r="W16" s="825"/>
      <c r="X16" s="825"/>
      <c r="Y16" s="825"/>
      <c r="Z16" s="825"/>
    </row>
    <row r="17" spans="1:26" ht="19.5">
      <c r="A17" s="1512" t="s">
        <v>22</v>
      </c>
      <c r="B17" s="1494"/>
      <c r="C17" s="1494"/>
      <c r="D17" s="1494"/>
      <c r="E17" s="1494"/>
      <c r="F17" s="1494"/>
      <c r="G17" s="1495"/>
      <c r="H17" s="807"/>
      <c r="I17" s="808"/>
      <c r="J17" s="808"/>
      <c r="K17" s="809"/>
      <c r="L17" s="809"/>
      <c r="M17" s="809"/>
      <c r="N17" s="809"/>
      <c r="O17" s="809"/>
      <c r="P17" s="809"/>
    </row>
    <row r="18" spans="1:26" ht="19.5">
      <c r="A18" s="810"/>
      <c r="B18" s="811"/>
      <c r="C18" s="812" t="s">
        <v>16</v>
      </c>
      <c r="D18" s="813" t="s">
        <v>17</v>
      </c>
      <c r="E18" s="811"/>
      <c r="F18" s="811"/>
      <c r="G18" s="814"/>
      <c r="H18" s="19" t="s">
        <v>12</v>
      </c>
      <c r="I18" s="815"/>
      <c r="J18" s="815"/>
      <c r="K18" s="816"/>
      <c r="L18" s="817">
        <f t="shared" ref="L18:N18" ca="1" si="8">L19+L20</f>
        <v>4206580</v>
      </c>
      <c r="M18" s="817">
        <f t="shared" ca="1" si="8"/>
        <v>3564930.14</v>
      </c>
      <c r="N18" s="817">
        <f t="shared" ca="1" si="8"/>
        <v>2502578.4800000004</v>
      </c>
      <c r="O18" s="817">
        <f t="shared" ref="O18:O26" ca="1" si="9">IF(L18&gt;0,N18*100/L18,0)</f>
        <v>59.491997774914552</v>
      </c>
      <c r="P18" s="817">
        <f t="shared" ref="P18:P26" ca="1" si="10">IF(M18&gt;0,N18*100/M18,0)</f>
        <v>70.199930481667181</v>
      </c>
      <c r="Q18" s="818"/>
      <c r="R18" s="818"/>
      <c r="S18" s="818"/>
      <c r="T18" s="818"/>
      <c r="U18" s="818"/>
      <c r="V18" s="818"/>
      <c r="W18" s="818"/>
      <c r="X18" s="818"/>
      <c r="Y18" s="818"/>
      <c r="Z18" s="818"/>
    </row>
    <row r="19" spans="1:26" ht="18.75" hidden="1">
      <c r="A19" s="819"/>
      <c r="B19" s="820"/>
      <c r="C19" s="820"/>
      <c r="D19" s="820"/>
      <c r="E19" s="821" t="s">
        <v>18</v>
      </c>
      <c r="F19" s="820"/>
      <c r="G19" s="822"/>
      <c r="H19" s="28" t="s">
        <v>12</v>
      </c>
      <c r="I19" s="823"/>
      <c r="J19" s="823"/>
      <c r="K19" s="824"/>
      <c r="L19" s="824">
        <f t="shared" ref="L19:N20" si="11">L22+L25</f>
        <v>0</v>
      </c>
      <c r="M19" s="824">
        <f t="shared" si="11"/>
        <v>0</v>
      </c>
      <c r="N19" s="824">
        <f t="shared" si="11"/>
        <v>0</v>
      </c>
      <c r="O19" s="824">
        <f t="shared" si="9"/>
        <v>0</v>
      </c>
      <c r="P19" s="824">
        <f t="shared" si="10"/>
        <v>0</v>
      </c>
      <c r="Q19" s="825"/>
      <c r="R19" s="825"/>
      <c r="S19" s="825"/>
      <c r="T19" s="825"/>
      <c r="U19" s="825"/>
      <c r="V19" s="825"/>
      <c r="W19" s="825"/>
      <c r="X19" s="825"/>
      <c r="Y19" s="825"/>
      <c r="Z19" s="825"/>
    </row>
    <row r="20" spans="1:26" ht="18.75" hidden="1">
      <c r="A20" s="819"/>
      <c r="B20" s="820"/>
      <c r="C20" s="820"/>
      <c r="D20" s="820"/>
      <c r="E20" s="821" t="s">
        <v>19</v>
      </c>
      <c r="F20" s="820"/>
      <c r="G20" s="822"/>
      <c r="H20" s="28" t="s">
        <v>12</v>
      </c>
      <c r="I20" s="823"/>
      <c r="J20" s="823"/>
      <c r="K20" s="824"/>
      <c r="L20" s="824">
        <f t="shared" ca="1" si="11"/>
        <v>4206580</v>
      </c>
      <c r="M20" s="824">
        <f t="shared" ca="1" si="11"/>
        <v>3564930.14</v>
      </c>
      <c r="N20" s="824">
        <f t="shared" ca="1" si="11"/>
        <v>2502578.4800000004</v>
      </c>
      <c r="O20" s="824">
        <f t="shared" ca="1" si="9"/>
        <v>59.491997774914552</v>
      </c>
      <c r="P20" s="824">
        <f t="shared" ca="1" si="10"/>
        <v>70.199930481667181</v>
      </c>
      <c r="Q20" s="825"/>
      <c r="R20" s="825"/>
      <c r="S20" s="825"/>
      <c r="T20" s="825"/>
      <c r="U20" s="825"/>
      <c r="V20" s="825"/>
      <c r="W20" s="825"/>
      <c r="X20" s="825"/>
      <c r="Y20" s="825"/>
      <c r="Z20" s="825"/>
    </row>
    <row r="21" spans="1:26" ht="18.75">
      <c r="A21" s="826"/>
      <c r="B21" s="827"/>
      <c r="C21" s="827"/>
      <c r="D21" s="828" t="s">
        <v>20</v>
      </c>
      <c r="E21" s="827"/>
      <c r="F21" s="827"/>
      <c r="G21" s="829"/>
      <c r="H21" s="590" t="s">
        <v>12</v>
      </c>
      <c r="I21" s="830"/>
      <c r="J21" s="830"/>
      <c r="K21" s="831"/>
      <c r="L21" s="831">
        <f t="shared" ref="L21:N21" ca="1" si="12">L22+L23</f>
        <v>3356780</v>
      </c>
      <c r="M21" s="831">
        <f t="shared" ca="1" si="12"/>
        <v>2718330.14</v>
      </c>
      <c r="N21" s="831">
        <f t="shared" ca="1" si="12"/>
        <v>1661978.4800000002</v>
      </c>
      <c r="O21" s="831">
        <f t="shared" ca="1" si="9"/>
        <v>49.511093369240768</v>
      </c>
      <c r="P21" s="831">
        <f t="shared" ca="1" si="10"/>
        <v>61.139684821358756</v>
      </c>
      <c r="Q21" s="818"/>
      <c r="R21" s="818"/>
      <c r="S21" s="818"/>
      <c r="T21" s="818"/>
      <c r="U21" s="818"/>
      <c r="V21" s="818"/>
      <c r="W21" s="818"/>
      <c r="X21" s="818"/>
      <c r="Y21" s="818"/>
      <c r="Z21" s="818"/>
    </row>
    <row r="22" spans="1:26" ht="18.75" hidden="1">
      <c r="A22" s="832"/>
      <c r="B22" s="833"/>
      <c r="C22" s="833"/>
      <c r="D22" s="833"/>
      <c r="E22" s="834" t="s">
        <v>18</v>
      </c>
      <c r="F22" s="833"/>
      <c r="G22" s="835"/>
      <c r="H22" s="43" t="s">
        <v>12</v>
      </c>
      <c r="I22" s="836"/>
      <c r="J22" s="836"/>
      <c r="K22" s="837"/>
      <c r="L22" s="837">
        <f t="shared" ref="L22:N23" si="13">L45+L57+L70+L92+L123+L136+L153+L185+L169+L265+L281+L302+L319+L332+L349+L393+L406</f>
        <v>0</v>
      </c>
      <c r="M22" s="837">
        <f t="shared" si="13"/>
        <v>0</v>
      </c>
      <c r="N22" s="837">
        <f t="shared" si="13"/>
        <v>0</v>
      </c>
      <c r="O22" s="837">
        <f t="shared" si="9"/>
        <v>0</v>
      </c>
      <c r="P22" s="837">
        <f t="shared" si="10"/>
        <v>0</v>
      </c>
      <c r="Q22" s="825"/>
      <c r="R22" s="825"/>
      <c r="S22" s="825"/>
      <c r="T22" s="825"/>
      <c r="U22" s="825"/>
      <c r="V22" s="825"/>
      <c r="W22" s="825"/>
      <c r="X22" s="825"/>
      <c r="Y22" s="825"/>
      <c r="Z22" s="825"/>
    </row>
    <row r="23" spans="1:26" ht="18.75" hidden="1">
      <c r="A23" s="832"/>
      <c r="B23" s="833"/>
      <c r="C23" s="833"/>
      <c r="D23" s="833"/>
      <c r="E23" s="834" t="s">
        <v>19</v>
      </c>
      <c r="F23" s="833"/>
      <c r="G23" s="835"/>
      <c r="H23" s="43" t="s">
        <v>12</v>
      </c>
      <c r="I23" s="836"/>
      <c r="J23" s="836"/>
      <c r="K23" s="837"/>
      <c r="L23" s="837">
        <f t="shared" ca="1" si="13"/>
        <v>3356780</v>
      </c>
      <c r="M23" s="837">
        <f t="shared" ca="1" si="13"/>
        <v>2718330.14</v>
      </c>
      <c r="N23" s="837">
        <f t="shared" ca="1" si="13"/>
        <v>1661978.4800000002</v>
      </c>
      <c r="O23" s="837">
        <f t="shared" ca="1" si="9"/>
        <v>49.511093369240768</v>
      </c>
      <c r="P23" s="837">
        <f t="shared" ca="1" si="10"/>
        <v>61.139684821358756</v>
      </c>
      <c r="Q23" s="825"/>
      <c r="R23" s="825"/>
      <c r="S23" s="825"/>
      <c r="T23" s="825"/>
      <c r="U23" s="825"/>
      <c r="V23" s="825"/>
      <c r="W23" s="825"/>
      <c r="X23" s="825"/>
      <c r="Y23" s="825"/>
      <c r="Z23" s="825"/>
    </row>
    <row r="24" spans="1:26" ht="18.75">
      <c r="A24" s="826"/>
      <c r="B24" s="827"/>
      <c r="C24" s="827"/>
      <c r="D24" s="828" t="s">
        <v>21</v>
      </c>
      <c r="E24" s="827"/>
      <c r="F24" s="827"/>
      <c r="G24" s="829"/>
      <c r="H24" s="590" t="s">
        <v>12</v>
      </c>
      <c r="I24" s="830"/>
      <c r="J24" s="830"/>
      <c r="K24" s="831"/>
      <c r="L24" s="831">
        <f t="shared" ref="L24:N24" ca="1" si="14">L25+L26</f>
        <v>849800</v>
      </c>
      <c r="M24" s="831">
        <f t="shared" ca="1" si="14"/>
        <v>846600</v>
      </c>
      <c r="N24" s="831">
        <f t="shared" ca="1" si="14"/>
        <v>840600</v>
      </c>
      <c r="O24" s="831">
        <f t="shared" ca="1" si="9"/>
        <v>98.917392327606493</v>
      </c>
      <c r="P24" s="831">
        <f t="shared" ca="1" si="10"/>
        <v>99.291282778171507</v>
      </c>
      <c r="Q24" s="818"/>
      <c r="R24" s="818"/>
      <c r="S24" s="818"/>
      <c r="T24" s="818"/>
      <c r="U24" s="818"/>
      <c r="V24" s="818"/>
      <c r="W24" s="818"/>
      <c r="X24" s="818"/>
      <c r="Y24" s="818"/>
      <c r="Z24" s="818"/>
    </row>
    <row r="25" spans="1:26" ht="18.75" hidden="1">
      <c r="A25" s="832"/>
      <c r="B25" s="833"/>
      <c r="C25" s="833"/>
      <c r="D25" s="833"/>
      <c r="E25" s="834" t="s">
        <v>18</v>
      </c>
      <c r="F25" s="833"/>
      <c r="G25" s="835"/>
      <c r="H25" s="43" t="s">
        <v>12</v>
      </c>
      <c r="I25" s="836"/>
      <c r="J25" s="836"/>
      <c r="K25" s="837"/>
      <c r="L25" s="837">
        <f t="shared" ref="L25:N26" si="15">L48+L60+L73+L95+L126+L139+L156+L188+L172+L268+L284+L305+L322+L335+L352+L396+L409</f>
        <v>0</v>
      </c>
      <c r="M25" s="837">
        <f t="shared" si="15"/>
        <v>0</v>
      </c>
      <c r="N25" s="837">
        <f t="shared" si="15"/>
        <v>0</v>
      </c>
      <c r="O25" s="837">
        <f t="shared" si="9"/>
        <v>0</v>
      </c>
      <c r="P25" s="837">
        <f t="shared" si="10"/>
        <v>0</v>
      </c>
      <c r="Q25" s="825"/>
      <c r="R25" s="825"/>
      <c r="S25" s="825"/>
      <c r="T25" s="825"/>
      <c r="U25" s="825"/>
      <c r="V25" s="825"/>
      <c r="W25" s="825"/>
      <c r="X25" s="825"/>
      <c r="Y25" s="825"/>
      <c r="Z25" s="825"/>
    </row>
    <row r="26" spans="1:26" ht="18.75" hidden="1">
      <c r="A26" s="838"/>
      <c r="B26" s="839"/>
      <c r="C26" s="839"/>
      <c r="D26" s="839"/>
      <c r="E26" s="840" t="s">
        <v>19</v>
      </c>
      <c r="F26" s="839"/>
      <c r="G26" s="841"/>
      <c r="H26" s="50" t="s">
        <v>12</v>
      </c>
      <c r="I26" s="842"/>
      <c r="J26" s="842"/>
      <c r="K26" s="843"/>
      <c r="L26" s="843">
        <f t="shared" ca="1" si="15"/>
        <v>849800</v>
      </c>
      <c r="M26" s="843">
        <f t="shared" ca="1" si="15"/>
        <v>846600</v>
      </c>
      <c r="N26" s="843">
        <f t="shared" ca="1" si="15"/>
        <v>840600</v>
      </c>
      <c r="O26" s="843">
        <f t="shared" ca="1" si="9"/>
        <v>98.917392327606493</v>
      </c>
      <c r="P26" s="843">
        <f t="shared" ca="1" si="10"/>
        <v>99.291282778171507</v>
      </c>
      <c r="Q26" s="825"/>
      <c r="R26" s="825"/>
      <c r="S26" s="825"/>
      <c r="T26" s="825"/>
      <c r="U26" s="825"/>
      <c r="V26" s="825"/>
      <c r="W26" s="825"/>
      <c r="X26" s="825"/>
      <c r="Y26" s="825"/>
      <c r="Z26" s="825"/>
    </row>
    <row r="27" spans="1:26" ht="19.5">
      <c r="A27" s="1512" t="s">
        <v>23</v>
      </c>
      <c r="B27" s="1494"/>
      <c r="C27" s="1494"/>
      <c r="D27" s="1494"/>
      <c r="E27" s="1494"/>
      <c r="F27" s="1494"/>
      <c r="G27" s="1495"/>
      <c r="H27" s="807"/>
      <c r="I27" s="808"/>
      <c r="J27" s="808"/>
      <c r="K27" s="809"/>
      <c r="L27" s="809"/>
      <c r="M27" s="809"/>
      <c r="N27" s="809"/>
      <c r="O27" s="809"/>
      <c r="P27" s="809"/>
    </row>
    <row r="28" spans="1:26" ht="19.5">
      <c r="A28" s="810"/>
      <c r="B28" s="811"/>
      <c r="C28" s="812" t="s">
        <v>16</v>
      </c>
      <c r="D28" s="813" t="s">
        <v>17</v>
      </c>
      <c r="E28" s="811"/>
      <c r="F28" s="811"/>
      <c r="G28" s="814"/>
      <c r="H28" s="19" t="s">
        <v>12</v>
      </c>
      <c r="I28" s="815"/>
      <c r="J28" s="815"/>
      <c r="K28" s="816"/>
      <c r="L28" s="817">
        <f t="shared" ref="L28:N28" ca="1" si="16">L29+L30</f>
        <v>1544949</v>
      </c>
      <c r="M28" s="817">
        <f t="shared" si="16"/>
        <v>0</v>
      </c>
      <c r="N28" s="817">
        <f t="shared" si="16"/>
        <v>426635</v>
      </c>
      <c r="O28" s="817">
        <f t="shared" ref="O28:O37" ca="1" si="17">IF(L28&gt;0,N28*100/L28,0)</f>
        <v>27.614827415014993</v>
      </c>
      <c r="P28" s="817">
        <f t="shared" ref="P28:P37" si="18">IF(M28&gt;0,N28*100/M28,0)</f>
        <v>0</v>
      </c>
      <c r="Q28" s="818"/>
      <c r="R28" s="818"/>
      <c r="S28" s="818"/>
      <c r="T28" s="818"/>
      <c r="U28" s="818"/>
      <c r="V28" s="818"/>
      <c r="W28" s="818"/>
      <c r="X28" s="818"/>
      <c r="Y28" s="818"/>
      <c r="Z28" s="818"/>
    </row>
    <row r="29" spans="1:26" ht="18.75" hidden="1">
      <c r="A29" s="819"/>
      <c r="B29" s="820"/>
      <c r="C29" s="820"/>
      <c r="D29" s="820"/>
      <c r="E29" s="821" t="s">
        <v>18</v>
      </c>
      <c r="F29" s="820"/>
      <c r="G29" s="822"/>
      <c r="H29" s="28" t="s">
        <v>12</v>
      </c>
      <c r="I29" s="823"/>
      <c r="J29" s="823"/>
      <c r="K29" s="824"/>
      <c r="L29" s="824">
        <f t="shared" ref="L29:N30" si="19">L32+L35</f>
        <v>0</v>
      </c>
      <c r="M29" s="824">
        <f t="shared" si="19"/>
        <v>0</v>
      </c>
      <c r="N29" s="824">
        <f t="shared" si="19"/>
        <v>0</v>
      </c>
      <c r="O29" s="824">
        <f t="shared" si="17"/>
        <v>0</v>
      </c>
      <c r="P29" s="824">
        <f t="shared" si="18"/>
        <v>0</v>
      </c>
      <c r="Q29" s="825"/>
      <c r="R29" s="825"/>
      <c r="S29" s="825"/>
      <c r="T29" s="825"/>
      <c r="U29" s="825"/>
      <c r="V29" s="825"/>
      <c r="W29" s="825"/>
      <c r="X29" s="825"/>
      <c r="Y29" s="825"/>
      <c r="Z29" s="825"/>
    </row>
    <row r="30" spans="1:26" ht="18.75" hidden="1">
      <c r="A30" s="819"/>
      <c r="B30" s="820"/>
      <c r="C30" s="820"/>
      <c r="D30" s="820"/>
      <c r="E30" s="821" t="s">
        <v>19</v>
      </c>
      <c r="F30" s="820"/>
      <c r="G30" s="822"/>
      <c r="H30" s="28" t="s">
        <v>12</v>
      </c>
      <c r="I30" s="823"/>
      <c r="J30" s="823"/>
      <c r="K30" s="824"/>
      <c r="L30" s="824">
        <f t="shared" ca="1" si="19"/>
        <v>1544949</v>
      </c>
      <c r="M30" s="824">
        <f t="shared" si="19"/>
        <v>0</v>
      </c>
      <c r="N30" s="824">
        <f t="shared" si="19"/>
        <v>426635</v>
      </c>
      <c r="O30" s="824">
        <f t="shared" ca="1" si="17"/>
        <v>27.614827415014993</v>
      </c>
      <c r="P30" s="824">
        <f t="shared" si="18"/>
        <v>0</v>
      </c>
      <c r="Q30" s="825"/>
      <c r="R30" s="825"/>
      <c r="S30" s="825"/>
      <c r="T30" s="825"/>
      <c r="U30" s="825"/>
      <c r="V30" s="825"/>
      <c r="W30" s="825"/>
      <c r="X30" s="825"/>
      <c r="Y30" s="825"/>
      <c r="Z30" s="825"/>
    </row>
    <row r="31" spans="1:26" ht="18.75">
      <c r="A31" s="826"/>
      <c r="B31" s="827"/>
      <c r="C31" s="827"/>
      <c r="D31" s="828" t="s">
        <v>20</v>
      </c>
      <c r="E31" s="827"/>
      <c r="F31" s="827"/>
      <c r="G31" s="829"/>
      <c r="H31" s="590" t="s">
        <v>12</v>
      </c>
      <c r="I31" s="830"/>
      <c r="J31" s="830"/>
      <c r="K31" s="831"/>
      <c r="L31" s="831">
        <f t="shared" ref="L31:N31" ca="1" si="20">L32+L33</f>
        <v>1544949</v>
      </c>
      <c r="M31" s="831">
        <f t="shared" si="20"/>
        <v>0</v>
      </c>
      <c r="N31" s="831">
        <f t="shared" si="20"/>
        <v>426635</v>
      </c>
      <c r="O31" s="831">
        <f t="shared" ca="1" si="17"/>
        <v>27.614827415014993</v>
      </c>
      <c r="P31" s="831">
        <f t="shared" si="18"/>
        <v>0</v>
      </c>
      <c r="Q31" s="818"/>
      <c r="R31" s="818"/>
      <c r="S31" s="818"/>
      <c r="T31" s="818"/>
      <c r="U31" s="818"/>
      <c r="V31" s="818"/>
      <c r="W31" s="818"/>
      <c r="X31" s="818"/>
      <c r="Y31" s="818"/>
      <c r="Z31" s="818"/>
    </row>
    <row r="32" spans="1:26" ht="18.75" hidden="1">
      <c r="A32" s="832"/>
      <c r="B32" s="833"/>
      <c r="C32" s="833"/>
      <c r="D32" s="833"/>
      <c r="E32" s="834" t="s">
        <v>18</v>
      </c>
      <c r="F32" s="833"/>
      <c r="G32" s="835"/>
      <c r="H32" s="43" t="s">
        <v>12</v>
      </c>
      <c r="I32" s="836"/>
      <c r="J32" s="836"/>
      <c r="K32" s="837"/>
      <c r="L32" s="837">
        <f t="shared" ref="L32:N33" si="21">L423+L448+L471+L506+L527+L548+L633+L659+L689+L741+L758+L774+L790+L809</f>
        <v>0</v>
      </c>
      <c r="M32" s="837">
        <f t="shared" si="21"/>
        <v>0</v>
      </c>
      <c r="N32" s="837">
        <f t="shared" si="21"/>
        <v>0</v>
      </c>
      <c r="O32" s="837">
        <f t="shared" si="17"/>
        <v>0</v>
      </c>
      <c r="P32" s="837">
        <f t="shared" si="18"/>
        <v>0</v>
      </c>
      <c r="Q32" s="825"/>
      <c r="R32" s="825"/>
      <c r="S32" s="825"/>
      <c r="T32" s="825"/>
      <c r="U32" s="825"/>
      <c r="V32" s="825"/>
      <c r="W32" s="825"/>
      <c r="X32" s="825"/>
      <c r="Y32" s="825"/>
      <c r="Z32" s="825"/>
    </row>
    <row r="33" spans="1:26" ht="18.75" hidden="1">
      <c r="A33" s="832"/>
      <c r="B33" s="833"/>
      <c r="C33" s="833"/>
      <c r="D33" s="833"/>
      <c r="E33" s="834" t="s">
        <v>19</v>
      </c>
      <c r="F33" s="833"/>
      <c r="G33" s="835"/>
      <c r="H33" s="43" t="s">
        <v>12</v>
      </c>
      <c r="I33" s="836"/>
      <c r="J33" s="836"/>
      <c r="K33" s="837"/>
      <c r="L33" s="837">
        <f t="shared" ca="1" si="21"/>
        <v>1544949</v>
      </c>
      <c r="M33" s="837">
        <f t="shared" si="21"/>
        <v>0</v>
      </c>
      <c r="N33" s="837">
        <f t="shared" si="21"/>
        <v>426635</v>
      </c>
      <c r="O33" s="837">
        <f t="shared" ca="1" si="17"/>
        <v>27.614827415014993</v>
      </c>
      <c r="P33" s="837">
        <f t="shared" si="18"/>
        <v>0</v>
      </c>
      <c r="Q33" s="825"/>
      <c r="R33" s="825"/>
      <c r="S33" s="825"/>
      <c r="T33" s="825"/>
      <c r="U33" s="825"/>
      <c r="V33" s="825"/>
      <c r="W33" s="825"/>
      <c r="X33" s="825"/>
      <c r="Y33" s="825"/>
      <c r="Z33" s="825"/>
    </row>
    <row r="34" spans="1:26" ht="18.75">
      <c r="A34" s="826"/>
      <c r="B34" s="827"/>
      <c r="C34" s="827"/>
      <c r="D34" s="828" t="s">
        <v>21</v>
      </c>
      <c r="E34" s="827"/>
      <c r="F34" s="827"/>
      <c r="G34" s="829"/>
      <c r="H34" s="590" t="s">
        <v>12</v>
      </c>
      <c r="I34" s="830"/>
      <c r="J34" s="830"/>
      <c r="K34" s="831"/>
      <c r="L34" s="831">
        <f t="shared" ref="L34:N34" ca="1" si="22">L35+L36</f>
        <v>0</v>
      </c>
      <c r="M34" s="831">
        <f t="shared" si="22"/>
        <v>0</v>
      </c>
      <c r="N34" s="831">
        <f t="shared" si="22"/>
        <v>0</v>
      </c>
      <c r="O34" s="831">
        <f t="shared" ca="1" si="17"/>
        <v>0</v>
      </c>
      <c r="P34" s="831">
        <f t="shared" si="18"/>
        <v>0</v>
      </c>
      <c r="Q34" s="818"/>
      <c r="R34" s="818"/>
      <c r="S34" s="818"/>
      <c r="T34" s="818"/>
      <c r="U34" s="818"/>
      <c r="V34" s="818"/>
      <c r="W34" s="818"/>
      <c r="X34" s="818"/>
      <c r="Y34" s="818"/>
      <c r="Z34" s="818"/>
    </row>
    <row r="35" spans="1:26" ht="18.75" hidden="1">
      <c r="A35" s="832"/>
      <c r="B35" s="833"/>
      <c r="C35" s="833"/>
      <c r="D35" s="833"/>
      <c r="E35" s="834" t="s">
        <v>18</v>
      </c>
      <c r="F35" s="833"/>
      <c r="G35" s="835"/>
      <c r="H35" s="43" t="s">
        <v>12</v>
      </c>
      <c r="I35" s="836"/>
      <c r="J35" s="836"/>
      <c r="K35" s="837"/>
      <c r="L35" s="837">
        <f t="shared" ref="L35:N36" si="23">L430+L455+L478+L513+L534+L556+L640+L666+L696+L748+L765+L781+L797+L816</f>
        <v>0</v>
      </c>
      <c r="M35" s="837">
        <f t="shared" si="23"/>
        <v>0</v>
      </c>
      <c r="N35" s="837">
        <f t="shared" si="23"/>
        <v>0</v>
      </c>
      <c r="O35" s="837">
        <f t="shared" si="17"/>
        <v>0</v>
      </c>
      <c r="P35" s="837">
        <f t="shared" si="18"/>
        <v>0</v>
      </c>
      <c r="Q35" s="825"/>
      <c r="R35" s="825"/>
      <c r="S35" s="825"/>
      <c r="T35" s="825"/>
      <c r="U35" s="825"/>
      <c r="V35" s="825"/>
      <c r="W35" s="825"/>
      <c r="X35" s="825"/>
      <c r="Y35" s="825"/>
      <c r="Z35" s="825"/>
    </row>
    <row r="36" spans="1:26" ht="18.75" hidden="1">
      <c r="A36" s="838"/>
      <c r="B36" s="839"/>
      <c r="C36" s="839"/>
      <c r="D36" s="839"/>
      <c r="E36" s="840" t="s">
        <v>19</v>
      </c>
      <c r="F36" s="839"/>
      <c r="G36" s="841"/>
      <c r="H36" s="50" t="s">
        <v>12</v>
      </c>
      <c r="I36" s="842"/>
      <c r="J36" s="842"/>
      <c r="K36" s="843"/>
      <c r="L36" s="843">
        <f t="shared" ca="1" si="23"/>
        <v>0</v>
      </c>
      <c r="M36" s="843">
        <f t="shared" si="23"/>
        <v>0</v>
      </c>
      <c r="N36" s="843">
        <f t="shared" si="23"/>
        <v>0</v>
      </c>
      <c r="O36" s="843">
        <f t="shared" ca="1" si="17"/>
        <v>0</v>
      </c>
      <c r="P36" s="843">
        <f t="shared" si="18"/>
        <v>0</v>
      </c>
      <c r="Q36" s="825"/>
      <c r="R36" s="825"/>
      <c r="S36" s="825"/>
      <c r="T36" s="825"/>
      <c r="U36" s="825"/>
      <c r="V36" s="825"/>
      <c r="W36" s="825"/>
      <c r="X36" s="825"/>
      <c r="Y36" s="825"/>
      <c r="Z36" s="825"/>
    </row>
    <row r="37" spans="1:26" ht="19.5">
      <c r="A37" s="844" t="s">
        <v>24</v>
      </c>
      <c r="B37" s="845"/>
      <c r="C37" s="845"/>
      <c r="D37" s="845"/>
      <c r="E37" s="845"/>
      <c r="F37" s="845"/>
      <c r="G37" s="846"/>
      <c r="H37" s="847"/>
      <c r="I37" s="848"/>
      <c r="J37" s="848"/>
      <c r="K37" s="849"/>
      <c r="L37" s="850">
        <f t="shared" ref="L37:N37" ca="1" si="24">L41+L53+L66+L88+L119+L132+L149+L165+L181+L261+L277+L298+L315+L328+L345+L389+L402</f>
        <v>4206580</v>
      </c>
      <c r="M37" s="850">
        <f t="shared" ca="1" si="24"/>
        <v>3564930.14</v>
      </c>
      <c r="N37" s="850">
        <f t="shared" ca="1" si="24"/>
        <v>2502578.48</v>
      </c>
      <c r="O37" s="850">
        <f t="shared" ca="1" si="17"/>
        <v>59.491997774914537</v>
      </c>
      <c r="P37" s="850">
        <f t="shared" ca="1" si="18"/>
        <v>70.199930481667167</v>
      </c>
    </row>
    <row r="38" spans="1:26" ht="19.5">
      <c r="A38" s="851" t="s">
        <v>25</v>
      </c>
      <c r="B38" s="852"/>
      <c r="C38" s="852"/>
      <c r="D38" s="852"/>
      <c r="E38" s="852"/>
      <c r="F38" s="852"/>
      <c r="G38" s="853"/>
      <c r="H38" s="854"/>
      <c r="I38" s="855"/>
      <c r="J38" s="855"/>
      <c r="K38" s="856"/>
      <c r="L38" s="856"/>
      <c r="M38" s="856"/>
      <c r="N38" s="856"/>
      <c r="O38" s="856"/>
      <c r="P38" s="856"/>
    </row>
    <row r="39" spans="1:26" ht="19.5">
      <c r="A39" s="857"/>
      <c r="B39" s="858" t="s">
        <v>26</v>
      </c>
      <c r="C39" s="859"/>
      <c r="D39" s="859"/>
      <c r="E39" s="859"/>
      <c r="F39" s="859"/>
      <c r="G39" s="860"/>
      <c r="H39" s="861"/>
      <c r="I39" s="862"/>
      <c r="J39" s="862"/>
      <c r="K39" s="863"/>
      <c r="L39" s="863"/>
      <c r="M39" s="863"/>
      <c r="N39" s="863"/>
      <c r="O39" s="863"/>
      <c r="P39" s="863"/>
    </row>
    <row r="40" spans="1:26" ht="19.5">
      <c r="A40" s="864"/>
      <c r="B40" s="1513" t="s">
        <v>27</v>
      </c>
      <c r="C40" s="1485"/>
      <c r="D40" s="1485"/>
      <c r="E40" s="1485"/>
      <c r="F40" s="1485"/>
      <c r="G40" s="1491"/>
      <c r="H40" s="865"/>
      <c r="I40" s="866"/>
      <c r="J40" s="866"/>
      <c r="K40" s="867"/>
      <c r="L40" s="867"/>
      <c r="M40" s="867"/>
      <c r="N40" s="867"/>
      <c r="O40" s="867"/>
      <c r="P40" s="867"/>
    </row>
    <row r="41" spans="1:26" ht="19.5">
      <c r="A41" s="868"/>
      <c r="B41" s="869"/>
      <c r="C41" s="870" t="s">
        <v>16</v>
      </c>
      <c r="D41" s="871" t="s">
        <v>17</v>
      </c>
      <c r="E41" s="869"/>
      <c r="F41" s="869"/>
      <c r="G41" s="872"/>
      <c r="H41" s="82" t="s">
        <v>12</v>
      </c>
      <c r="I41" s="873"/>
      <c r="J41" s="873"/>
      <c r="K41" s="874"/>
      <c r="L41" s="875">
        <f t="shared" ref="L41:N41" ca="1" si="25">L42+L43</f>
        <v>386350</v>
      </c>
      <c r="M41" s="875">
        <f t="shared" ca="1" si="25"/>
        <v>394520.14</v>
      </c>
      <c r="N41" s="875">
        <f t="shared" ca="1" si="25"/>
        <v>234021</v>
      </c>
      <c r="O41" s="875">
        <f t="shared" ref="O41:O49" ca="1" si="26">IF(L41&gt;0,N41*100/L41,0)</f>
        <v>60.57227902161253</v>
      </c>
      <c r="P41" s="875">
        <f t="shared" ref="P41:P49" ca="1" si="27">IF(M41&gt;0,N41*100/M41,0)</f>
        <v>59.317884253006703</v>
      </c>
      <c r="Q41" s="818"/>
      <c r="R41" s="818"/>
      <c r="S41" s="818"/>
      <c r="T41" s="818"/>
      <c r="U41" s="818"/>
      <c r="V41" s="818"/>
      <c r="W41" s="818"/>
      <c r="X41" s="818"/>
      <c r="Y41" s="818"/>
      <c r="Z41" s="818"/>
    </row>
    <row r="42" spans="1:26" ht="18.75" hidden="1">
      <c r="A42" s="876"/>
      <c r="B42" s="877"/>
      <c r="C42" s="877"/>
      <c r="D42" s="877"/>
      <c r="E42" s="878" t="s">
        <v>18</v>
      </c>
      <c r="F42" s="877"/>
      <c r="G42" s="879"/>
      <c r="H42" s="90" t="s">
        <v>12</v>
      </c>
      <c r="I42" s="880"/>
      <c r="J42" s="880"/>
      <c r="K42" s="881"/>
      <c r="L42" s="881">
        <f t="shared" ref="L42:N43" si="28">L45+L48</f>
        <v>0</v>
      </c>
      <c r="M42" s="881">
        <f t="shared" si="28"/>
        <v>0</v>
      </c>
      <c r="N42" s="881">
        <f t="shared" si="28"/>
        <v>0</v>
      </c>
      <c r="O42" s="881">
        <f t="shared" si="26"/>
        <v>0</v>
      </c>
      <c r="P42" s="881">
        <f t="shared" si="27"/>
        <v>0</v>
      </c>
      <c r="Q42" s="825"/>
      <c r="R42" s="825"/>
      <c r="S42" s="825"/>
      <c r="T42" s="825"/>
      <c r="U42" s="825"/>
      <c r="V42" s="825"/>
      <c r="W42" s="825"/>
      <c r="X42" s="825"/>
      <c r="Y42" s="825"/>
      <c r="Z42" s="825"/>
    </row>
    <row r="43" spans="1:26" ht="18.75" hidden="1">
      <c r="A43" s="876"/>
      <c r="B43" s="877"/>
      <c r="C43" s="877"/>
      <c r="D43" s="877"/>
      <c r="E43" s="878" t="s">
        <v>19</v>
      </c>
      <c r="F43" s="877"/>
      <c r="G43" s="879"/>
      <c r="H43" s="90" t="s">
        <v>12</v>
      </c>
      <c r="I43" s="880"/>
      <c r="J43" s="880"/>
      <c r="K43" s="881"/>
      <c r="L43" s="881">
        <f t="shared" ca="1" si="28"/>
        <v>386350</v>
      </c>
      <c r="M43" s="881">
        <f t="shared" ca="1" si="28"/>
        <v>394520.14</v>
      </c>
      <c r="N43" s="881">
        <f t="shared" ca="1" si="28"/>
        <v>234021</v>
      </c>
      <c r="O43" s="881">
        <f t="shared" ca="1" si="26"/>
        <v>60.57227902161253</v>
      </c>
      <c r="P43" s="881">
        <f t="shared" ca="1" si="27"/>
        <v>59.317884253006703</v>
      </c>
      <c r="Q43" s="825"/>
      <c r="R43" s="825"/>
      <c r="S43" s="825"/>
      <c r="T43" s="825"/>
      <c r="U43" s="825"/>
      <c r="V43" s="825"/>
      <c r="W43" s="825"/>
      <c r="X43" s="825"/>
      <c r="Y43" s="825"/>
      <c r="Z43" s="825"/>
    </row>
    <row r="44" spans="1:26" ht="18.75">
      <c r="A44" s="826"/>
      <c r="B44" s="827"/>
      <c r="C44" s="827"/>
      <c r="D44" s="828" t="s">
        <v>20</v>
      </c>
      <c r="E44" s="827"/>
      <c r="F44" s="827"/>
      <c r="G44" s="829"/>
      <c r="H44" s="590" t="s">
        <v>12</v>
      </c>
      <c r="I44" s="830"/>
      <c r="J44" s="830"/>
      <c r="K44" s="831"/>
      <c r="L44" s="831">
        <f t="shared" ref="L44:N44" ca="1" si="29">L45+L46</f>
        <v>386350</v>
      </c>
      <c r="M44" s="831">
        <f t="shared" ca="1" si="29"/>
        <v>394520.14</v>
      </c>
      <c r="N44" s="831">
        <f t="shared" ca="1" si="29"/>
        <v>234021</v>
      </c>
      <c r="O44" s="831">
        <f t="shared" ca="1" si="26"/>
        <v>60.57227902161253</v>
      </c>
      <c r="P44" s="831">
        <f t="shared" ca="1" si="27"/>
        <v>59.317884253006703</v>
      </c>
      <c r="Q44" s="818"/>
      <c r="R44" s="818"/>
      <c r="S44" s="818"/>
      <c r="T44" s="818"/>
      <c r="U44" s="818"/>
      <c r="V44" s="818"/>
      <c r="W44" s="818"/>
      <c r="X44" s="818"/>
      <c r="Y44" s="818"/>
      <c r="Z44" s="818"/>
    </row>
    <row r="45" spans="1:26" ht="18.75" hidden="1">
      <c r="A45" s="832"/>
      <c r="B45" s="833"/>
      <c r="C45" s="833"/>
      <c r="D45" s="833"/>
      <c r="E45" s="834" t="s">
        <v>18</v>
      </c>
      <c r="F45" s="833"/>
      <c r="G45" s="835"/>
      <c r="H45" s="43" t="s">
        <v>12</v>
      </c>
      <c r="I45" s="836"/>
      <c r="J45" s="836"/>
      <c r="K45" s="837"/>
      <c r="L45" s="837">
        <v>0</v>
      </c>
      <c r="M45" s="837">
        <v>0</v>
      </c>
      <c r="N45" s="837">
        <v>0</v>
      </c>
      <c r="O45" s="837">
        <f t="shared" si="26"/>
        <v>0</v>
      </c>
      <c r="P45" s="837">
        <f t="shared" si="27"/>
        <v>0</v>
      </c>
      <c r="Q45" s="825"/>
      <c r="R45" s="825"/>
      <c r="S45" s="825"/>
      <c r="T45" s="825"/>
      <c r="U45" s="825"/>
      <c r="V45" s="825"/>
      <c r="W45" s="825"/>
      <c r="X45" s="825"/>
      <c r="Y45" s="825"/>
      <c r="Z45" s="825"/>
    </row>
    <row r="46" spans="1:26" ht="18.75" hidden="1">
      <c r="A46" s="832"/>
      <c r="B46" s="833"/>
      <c r="C46" s="833"/>
      <c r="D46" s="833"/>
      <c r="E46" s="834" t="s">
        <v>19</v>
      </c>
      <c r="F46" s="833"/>
      <c r="G46" s="835"/>
      <c r="H46" s="43" t="s">
        <v>12</v>
      </c>
      <c r="I46" s="836"/>
      <c r="J46" s="836"/>
      <c r="K46" s="837"/>
      <c r="L46" s="837">
        <f ca="1">IFERROR(__xludf.DUMMYFUNCTION("IMPORTRANGE(""https://docs.google.com/spreadsheets/d/1MeEWN-I1oV_STSDYn1IFDPWt_1FKiwhDph83XaGc0o0/edit?usp=sharing"",""งบพรบ!M20"")"),386350)</f>
        <v>386350</v>
      </c>
      <c r="M46" s="837">
        <f ca="1">IFERROR(__xludf.DUMMYFUNCTION("IMPORTRANGE(""https://docs.google.com/spreadsheets/d/1MeEWN-I1oV_STSDYn1IFDPWt_1FKiwhDph83XaGc0o0/edit?usp=sharing"",""งบพรบ!R20"")"),394520.14)</f>
        <v>394520.14</v>
      </c>
      <c r="N46" s="837">
        <f ca="1">IFERROR(__xludf.DUMMYFUNCTION("IMPORTRANGE(""https://docs.google.com/spreadsheets/d/1MeEWN-I1oV_STSDYn1IFDPWt_1FKiwhDph83XaGc0o0/edit?usp=sharing"",""งบพรบ!T20"")"),234021)</f>
        <v>234021</v>
      </c>
      <c r="O46" s="837">
        <f t="shared" ca="1" si="26"/>
        <v>60.57227902161253</v>
      </c>
      <c r="P46" s="837">
        <f t="shared" ca="1" si="27"/>
        <v>59.317884253006703</v>
      </c>
      <c r="Q46" s="825"/>
      <c r="R46" s="825"/>
      <c r="S46" s="825"/>
      <c r="T46" s="825"/>
      <c r="U46" s="825"/>
      <c r="V46" s="825"/>
      <c r="W46" s="825"/>
      <c r="X46" s="825"/>
      <c r="Y46" s="825"/>
      <c r="Z46" s="825"/>
    </row>
    <row r="47" spans="1:26" ht="18.75">
      <c r="A47" s="826"/>
      <c r="B47" s="827"/>
      <c r="C47" s="827"/>
      <c r="D47" s="828" t="s">
        <v>21</v>
      </c>
      <c r="E47" s="827"/>
      <c r="F47" s="827"/>
      <c r="G47" s="829"/>
      <c r="H47" s="590" t="s">
        <v>12</v>
      </c>
      <c r="I47" s="830"/>
      <c r="J47" s="830"/>
      <c r="K47" s="831"/>
      <c r="L47" s="831">
        <f t="shared" ref="L47:N47" ca="1" si="30">L48+L49</f>
        <v>0</v>
      </c>
      <c r="M47" s="831">
        <f t="shared" ca="1" si="30"/>
        <v>0</v>
      </c>
      <c r="N47" s="831">
        <f t="shared" ca="1" si="30"/>
        <v>0</v>
      </c>
      <c r="O47" s="831">
        <f t="shared" ca="1" si="26"/>
        <v>0</v>
      </c>
      <c r="P47" s="831">
        <f t="shared" ca="1" si="27"/>
        <v>0</v>
      </c>
      <c r="Q47" s="818"/>
      <c r="R47" s="818"/>
      <c r="S47" s="818"/>
      <c r="T47" s="818"/>
      <c r="U47" s="818"/>
      <c r="V47" s="818"/>
      <c r="W47" s="818"/>
      <c r="X47" s="818"/>
      <c r="Y47" s="818"/>
      <c r="Z47" s="818"/>
    </row>
    <row r="48" spans="1:26" ht="18.75" hidden="1">
      <c r="A48" s="832"/>
      <c r="B48" s="833"/>
      <c r="C48" s="833"/>
      <c r="D48" s="833"/>
      <c r="E48" s="834" t="s">
        <v>18</v>
      </c>
      <c r="F48" s="833"/>
      <c r="G48" s="835"/>
      <c r="H48" s="43" t="s">
        <v>12</v>
      </c>
      <c r="I48" s="836"/>
      <c r="J48" s="836"/>
      <c r="K48" s="837"/>
      <c r="L48" s="837">
        <v>0</v>
      </c>
      <c r="M48" s="837">
        <v>0</v>
      </c>
      <c r="N48" s="837">
        <v>0</v>
      </c>
      <c r="O48" s="837">
        <f t="shared" si="26"/>
        <v>0</v>
      </c>
      <c r="P48" s="837">
        <f t="shared" si="27"/>
        <v>0</v>
      </c>
      <c r="Q48" s="825"/>
      <c r="R48" s="825"/>
      <c r="S48" s="825"/>
      <c r="T48" s="825"/>
      <c r="U48" s="825"/>
      <c r="V48" s="825"/>
      <c r="W48" s="825"/>
      <c r="X48" s="825"/>
      <c r="Y48" s="825"/>
      <c r="Z48" s="825"/>
    </row>
    <row r="49" spans="1:26" ht="18.75" hidden="1">
      <c r="A49" s="838"/>
      <c r="B49" s="839"/>
      <c r="C49" s="839"/>
      <c r="D49" s="839"/>
      <c r="E49" s="840" t="s">
        <v>19</v>
      </c>
      <c r="F49" s="839"/>
      <c r="G49" s="841"/>
      <c r="H49" s="50" t="s">
        <v>12</v>
      </c>
      <c r="I49" s="842"/>
      <c r="J49" s="842"/>
      <c r="K49" s="843"/>
      <c r="L49" s="843">
        <f ca="1">IFERROR(__xludf.DUMMYFUNCTION("IMPORTRANGE(""https://docs.google.com/spreadsheets/d/1MeEWN-I1oV_STSDYn1IFDPWt_1FKiwhDph83XaGc0o0/edit?usp=sharing"",""งบพรบ!P20"")"),0)</f>
        <v>0</v>
      </c>
      <c r="M49" s="843">
        <f ca="1">IFERROR(__xludf.DUMMYFUNCTION("IMPORTRANGE(""https://docs.google.com/spreadsheets/d/1MeEWN-I1oV_STSDYn1IFDPWt_1FKiwhDph83XaGc0o0/edit?usp=sharing"",""งบพรบ!S20"")"),0)</f>
        <v>0</v>
      </c>
      <c r="N49" s="843">
        <f ca="1">IFERROR(__xludf.DUMMYFUNCTION("IMPORTRANGE(""https://docs.google.com/spreadsheets/d/1MeEWN-I1oV_STSDYn1IFDPWt_1FKiwhDph83XaGc0o0/edit?usp=sharing"",""งบพรบ!U20"")"),0)</f>
        <v>0</v>
      </c>
      <c r="O49" s="843">
        <f t="shared" ca="1" si="26"/>
        <v>0</v>
      </c>
      <c r="P49" s="843">
        <f t="shared" ca="1" si="27"/>
        <v>0</v>
      </c>
      <c r="Q49" s="825"/>
      <c r="R49" s="825"/>
      <c r="S49" s="825"/>
      <c r="T49" s="825"/>
      <c r="U49" s="825"/>
      <c r="V49" s="825"/>
      <c r="W49" s="825"/>
      <c r="X49" s="825"/>
      <c r="Y49" s="825"/>
      <c r="Z49" s="825"/>
    </row>
    <row r="50" spans="1:26" ht="19.5">
      <c r="A50" s="1514" t="s">
        <v>28</v>
      </c>
      <c r="B50" s="1494"/>
      <c r="C50" s="1494"/>
      <c r="D50" s="1494"/>
      <c r="E50" s="1494"/>
      <c r="F50" s="1494"/>
      <c r="G50" s="1495"/>
      <c r="H50" s="882"/>
      <c r="I50" s="883"/>
      <c r="J50" s="883"/>
      <c r="K50" s="884"/>
      <c r="L50" s="884"/>
      <c r="M50" s="884"/>
      <c r="N50" s="884"/>
      <c r="O50" s="884"/>
      <c r="P50" s="884"/>
    </row>
    <row r="51" spans="1:26" ht="19.5">
      <c r="A51" s="885"/>
      <c r="B51" s="1515" t="s">
        <v>29</v>
      </c>
      <c r="C51" s="1485"/>
      <c r="D51" s="1485"/>
      <c r="E51" s="1485"/>
      <c r="F51" s="1485"/>
      <c r="G51" s="1491"/>
      <c r="H51" s="886"/>
      <c r="I51" s="887"/>
      <c r="J51" s="887"/>
      <c r="K51" s="888"/>
      <c r="L51" s="888"/>
      <c r="M51" s="888"/>
      <c r="N51" s="888"/>
      <c r="O51" s="888"/>
      <c r="P51" s="888"/>
    </row>
    <row r="52" spans="1:26" ht="19.5">
      <c r="A52" s="889"/>
      <c r="B52" s="890" t="s">
        <v>30</v>
      </c>
      <c r="C52" s="891"/>
      <c r="D52" s="891"/>
      <c r="E52" s="891"/>
      <c r="F52" s="891"/>
      <c r="G52" s="892"/>
      <c r="H52" s="893"/>
      <c r="I52" s="894"/>
      <c r="J52" s="894"/>
      <c r="K52" s="895"/>
      <c r="L52" s="895"/>
      <c r="M52" s="895"/>
      <c r="N52" s="895"/>
      <c r="O52" s="895"/>
      <c r="P52" s="895"/>
    </row>
    <row r="53" spans="1:26" ht="19.5">
      <c r="A53" s="896"/>
      <c r="B53" s="897"/>
      <c r="C53" s="898" t="s">
        <v>16</v>
      </c>
      <c r="D53" s="899" t="s">
        <v>17</v>
      </c>
      <c r="E53" s="897"/>
      <c r="F53" s="897"/>
      <c r="G53" s="900"/>
      <c r="H53" s="113" t="s">
        <v>12</v>
      </c>
      <c r="I53" s="901"/>
      <c r="J53" s="901"/>
      <c r="K53" s="902"/>
      <c r="L53" s="903">
        <f t="shared" ref="L53:N53" ca="1" si="31">L54+L55</f>
        <v>1374800</v>
      </c>
      <c r="M53" s="903">
        <f t="shared" ca="1" si="31"/>
        <v>1216800</v>
      </c>
      <c r="N53" s="903">
        <f t="shared" ca="1" si="31"/>
        <v>1024510.3200000001</v>
      </c>
      <c r="O53" s="903">
        <f t="shared" ref="O53:O61" ca="1" si="32">IF(L53&gt;0,N53*100/L53,0)</f>
        <v>74.520680826302012</v>
      </c>
      <c r="P53" s="903">
        <f t="shared" ref="P53:P61" ca="1" si="33">IF(M53&gt;0,N53*100/M53,0)</f>
        <v>84.19710059171598</v>
      </c>
      <c r="Q53" s="818"/>
      <c r="R53" s="818"/>
      <c r="S53" s="818"/>
      <c r="T53" s="818"/>
      <c r="U53" s="818"/>
      <c r="V53" s="818"/>
      <c r="W53" s="818"/>
      <c r="X53" s="818"/>
      <c r="Y53" s="818"/>
      <c r="Z53" s="818"/>
    </row>
    <row r="54" spans="1:26" ht="18.75" hidden="1">
      <c r="A54" s="904"/>
      <c r="B54" s="905"/>
      <c r="C54" s="905"/>
      <c r="D54" s="905"/>
      <c r="E54" s="906" t="s">
        <v>18</v>
      </c>
      <c r="F54" s="905"/>
      <c r="G54" s="907"/>
      <c r="H54" s="121" t="s">
        <v>12</v>
      </c>
      <c r="I54" s="908"/>
      <c r="J54" s="908"/>
      <c r="K54" s="909"/>
      <c r="L54" s="909">
        <f t="shared" ref="L54:N55" si="34">L57+L60</f>
        <v>0</v>
      </c>
      <c r="M54" s="909">
        <f t="shared" si="34"/>
        <v>0</v>
      </c>
      <c r="N54" s="909">
        <f t="shared" si="34"/>
        <v>0</v>
      </c>
      <c r="O54" s="909">
        <f t="shared" si="32"/>
        <v>0</v>
      </c>
      <c r="P54" s="909">
        <f t="shared" si="33"/>
        <v>0</v>
      </c>
      <c r="Q54" s="825"/>
      <c r="R54" s="825"/>
      <c r="S54" s="825"/>
      <c r="T54" s="825"/>
      <c r="U54" s="825"/>
      <c r="V54" s="825"/>
      <c r="W54" s="825"/>
      <c r="X54" s="825"/>
      <c r="Y54" s="825"/>
      <c r="Z54" s="825"/>
    </row>
    <row r="55" spans="1:26" ht="18.75" hidden="1">
      <c r="A55" s="904"/>
      <c r="B55" s="905"/>
      <c r="C55" s="905"/>
      <c r="D55" s="905"/>
      <c r="E55" s="906" t="s">
        <v>19</v>
      </c>
      <c r="F55" s="905"/>
      <c r="G55" s="907"/>
      <c r="H55" s="121" t="s">
        <v>12</v>
      </c>
      <c r="I55" s="908"/>
      <c r="J55" s="908"/>
      <c r="K55" s="909"/>
      <c r="L55" s="909">
        <f t="shared" ca="1" si="34"/>
        <v>1374800</v>
      </c>
      <c r="M55" s="909">
        <f t="shared" ca="1" si="34"/>
        <v>1216800</v>
      </c>
      <c r="N55" s="909">
        <f t="shared" ca="1" si="34"/>
        <v>1024510.3200000001</v>
      </c>
      <c r="O55" s="909">
        <f t="shared" ca="1" si="32"/>
        <v>74.520680826302012</v>
      </c>
      <c r="P55" s="909">
        <f t="shared" ca="1" si="33"/>
        <v>84.19710059171598</v>
      </c>
      <c r="Q55" s="825"/>
      <c r="R55" s="825"/>
      <c r="S55" s="825"/>
      <c r="T55" s="825"/>
      <c r="U55" s="825"/>
      <c r="V55" s="825"/>
      <c r="W55" s="825"/>
      <c r="X55" s="825"/>
      <c r="Y55" s="825"/>
      <c r="Z55" s="825"/>
    </row>
    <row r="56" spans="1:26" ht="18.75">
      <c r="A56" s="826"/>
      <c r="B56" s="827"/>
      <c r="C56" s="827"/>
      <c r="D56" s="828" t="s">
        <v>20</v>
      </c>
      <c r="E56" s="827"/>
      <c r="F56" s="827"/>
      <c r="G56" s="829"/>
      <c r="H56" s="590" t="s">
        <v>12</v>
      </c>
      <c r="I56" s="830"/>
      <c r="J56" s="830"/>
      <c r="K56" s="831"/>
      <c r="L56" s="831">
        <f t="shared" ref="L56:N56" ca="1" si="35">L57+L58</f>
        <v>622800</v>
      </c>
      <c r="M56" s="831">
        <f t="shared" ca="1" si="35"/>
        <v>468000</v>
      </c>
      <c r="N56" s="831">
        <f t="shared" ca="1" si="35"/>
        <v>281710.32</v>
      </c>
      <c r="O56" s="831">
        <f t="shared" ca="1" si="32"/>
        <v>45.232870905587667</v>
      </c>
      <c r="P56" s="831">
        <f t="shared" ca="1" si="33"/>
        <v>60.19451282051282</v>
      </c>
      <c r="Q56" s="818"/>
      <c r="R56" s="818"/>
      <c r="S56" s="818"/>
      <c r="T56" s="818"/>
      <c r="U56" s="818"/>
      <c r="V56" s="818"/>
      <c r="W56" s="818"/>
      <c r="X56" s="818"/>
      <c r="Y56" s="818"/>
      <c r="Z56" s="818"/>
    </row>
    <row r="57" spans="1:26" ht="18.75" hidden="1">
      <c r="A57" s="832"/>
      <c r="B57" s="833"/>
      <c r="C57" s="833"/>
      <c r="D57" s="833"/>
      <c r="E57" s="834" t="s">
        <v>18</v>
      </c>
      <c r="F57" s="833"/>
      <c r="G57" s="835"/>
      <c r="H57" s="43" t="s">
        <v>12</v>
      </c>
      <c r="I57" s="836"/>
      <c r="J57" s="836"/>
      <c r="K57" s="837"/>
      <c r="L57" s="837">
        <v>0</v>
      </c>
      <c r="M57" s="837">
        <v>0</v>
      </c>
      <c r="N57" s="837">
        <v>0</v>
      </c>
      <c r="O57" s="837">
        <f t="shared" si="32"/>
        <v>0</v>
      </c>
      <c r="P57" s="837">
        <f t="shared" si="33"/>
        <v>0</v>
      </c>
      <c r="Q57" s="825"/>
      <c r="R57" s="825"/>
      <c r="S57" s="825"/>
      <c r="T57" s="825"/>
      <c r="U57" s="825"/>
      <c r="V57" s="825"/>
      <c r="W57" s="825"/>
      <c r="X57" s="825"/>
      <c r="Y57" s="825"/>
      <c r="Z57" s="825"/>
    </row>
    <row r="58" spans="1:26" ht="18.75" hidden="1">
      <c r="A58" s="832"/>
      <c r="B58" s="833"/>
      <c r="C58" s="833"/>
      <c r="D58" s="833"/>
      <c r="E58" s="834" t="s">
        <v>19</v>
      </c>
      <c r="F58" s="833"/>
      <c r="G58" s="835"/>
      <c r="H58" s="43" t="s">
        <v>12</v>
      </c>
      <c r="I58" s="836"/>
      <c r="J58" s="836"/>
      <c r="K58" s="837"/>
      <c r="L58" s="837">
        <f ca="1">IFERROR(__xludf.DUMMYFUNCTION("IMPORTRANGE(""https://docs.google.com/spreadsheets/d/1MeEWN-I1oV_STSDYn1IFDPWt_1FKiwhDph83XaGc0o0/edit?usp=sharing"",""งบพรบ!W20"")"),622800)</f>
        <v>622800</v>
      </c>
      <c r="M58" s="837">
        <f ca="1">IFERROR(__xludf.DUMMYFUNCTION("IMPORTRANGE(""https://docs.google.com/spreadsheets/d/1MeEWN-I1oV_STSDYn1IFDPWt_1FKiwhDph83XaGc0o0/edit?usp=sharing"",""งบพรบ!AB20"")"),468000)</f>
        <v>468000</v>
      </c>
      <c r="N58" s="837">
        <f ca="1">IFERROR(__xludf.DUMMYFUNCTION("IMPORTRANGE(""https://docs.google.com/spreadsheets/d/1MeEWN-I1oV_STSDYn1IFDPWt_1FKiwhDph83XaGc0o0/edit?usp=sharing"",""งบพรบ!AD20"")"),281710.32)</f>
        <v>281710.32</v>
      </c>
      <c r="O58" s="837">
        <f t="shared" ca="1" si="32"/>
        <v>45.232870905587667</v>
      </c>
      <c r="P58" s="837">
        <f t="shared" ca="1" si="33"/>
        <v>60.19451282051282</v>
      </c>
      <c r="Q58" s="825"/>
      <c r="R58" s="825"/>
      <c r="S58" s="825"/>
      <c r="T58" s="825"/>
      <c r="U58" s="825"/>
      <c r="V58" s="825"/>
      <c r="W58" s="825"/>
      <c r="X58" s="825"/>
      <c r="Y58" s="825"/>
      <c r="Z58" s="825"/>
    </row>
    <row r="59" spans="1:26" ht="18.75">
      <c r="A59" s="826"/>
      <c r="B59" s="827"/>
      <c r="C59" s="827"/>
      <c r="D59" s="828" t="s">
        <v>21</v>
      </c>
      <c r="E59" s="827"/>
      <c r="F59" s="827"/>
      <c r="G59" s="829"/>
      <c r="H59" s="590" t="s">
        <v>12</v>
      </c>
      <c r="I59" s="830"/>
      <c r="J59" s="830"/>
      <c r="K59" s="831"/>
      <c r="L59" s="831">
        <f t="shared" ref="L59:N59" ca="1" si="36">L60+L61</f>
        <v>752000</v>
      </c>
      <c r="M59" s="831">
        <f t="shared" ca="1" si="36"/>
        <v>748800</v>
      </c>
      <c r="N59" s="831">
        <f t="shared" ca="1" si="36"/>
        <v>742800</v>
      </c>
      <c r="O59" s="831">
        <f t="shared" ca="1" si="32"/>
        <v>98.776595744680847</v>
      </c>
      <c r="P59" s="831">
        <f t="shared" ca="1" si="33"/>
        <v>99.198717948717942</v>
      </c>
      <c r="Q59" s="818"/>
      <c r="R59" s="818"/>
      <c r="S59" s="818"/>
      <c r="T59" s="818"/>
      <c r="U59" s="818"/>
      <c r="V59" s="818"/>
      <c r="W59" s="818"/>
      <c r="X59" s="818"/>
      <c r="Y59" s="818"/>
      <c r="Z59" s="818"/>
    </row>
    <row r="60" spans="1:26" ht="18.75" hidden="1">
      <c r="A60" s="832"/>
      <c r="B60" s="833"/>
      <c r="C60" s="833"/>
      <c r="D60" s="833"/>
      <c r="E60" s="834" t="s">
        <v>18</v>
      </c>
      <c r="F60" s="833"/>
      <c r="G60" s="835"/>
      <c r="H60" s="43" t="s">
        <v>12</v>
      </c>
      <c r="I60" s="836"/>
      <c r="J60" s="836"/>
      <c r="K60" s="837"/>
      <c r="L60" s="837">
        <v>0</v>
      </c>
      <c r="M60" s="837">
        <v>0</v>
      </c>
      <c r="N60" s="837">
        <v>0</v>
      </c>
      <c r="O60" s="837">
        <f t="shared" si="32"/>
        <v>0</v>
      </c>
      <c r="P60" s="837">
        <f t="shared" si="33"/>
        <v>0</v>
      </c>
      <c r="Q60" s="825"/>
      <c r="R60" s="825"/>
      <c r="S60" s="825"/>
      <c r="T60" s="825"/>
      <c r="U60" s="825"/>
      <c r="V60" s="825"/>
      <c r="W60" s="825"/>
      <c r="X60" s="825"/>
      <c r="Y60" s="825"/>
      <c r="Z60" s="825"/>
    </row>
    <row r="61" spans="1:26" ht="18.75" hidden="1">
      <c r="A61" s="838"/>
      <c r="B61" s="839"/>
      <c r="C61" s="839"/>
      <c r="D61" s="839"/>
      <c r="E61" s="840" t="s">
        <v>19</v>
      </c>
      <c r="F61" s="839"/>
      <c r="G61" s="841"/>
      <c r="H61" s="50" t="s">
        <v>12</v>
      </c>
      <c r="I61" s="842"/>
      <c r="J61" s="842"/>
      <c r="K61" s="843"/>
      <c r="L61" s="843">
        <f ca="1">IFERROR(__xludf.DUMMYFUNCTION("IMPORTRANGE(""https://docs.google.com/spreadsheets/d/1MeEWN-I1oV_STSDYn1IFDPWt_1FKiwhDph83XaGc0o0/edit?usp=sharing"",""งบพรบ!Z20"")"),752000)</f>
        <v>752000</v>
      </c>
      <c r="M61" s="843">
        <f ca="1">IFERROR(__xludf.DUMMYFUNCTION("IMPORTRANGE(""https://docs.google.com/spreadsheets/d/1MeEWN-I1oV_STSDYn1IFDPWt_1FKiwhDph83XaGc0o0/edit?usp=sharing"",""งบพรบ!AC20"")"),748800)</f>
        <v>748800</v>
      </c>
      <c r="N61" s="843">
        <f ca="1">IFERROR(__xludf.DUMMYFUNCTION("IMPORTRANGE(""https://docs.google.com/spreadsheets/d/1MeEWN-I1oV_STSDYn1IFDPWt_1FKiwhDph83XaGc0o0/edit?usp=sharing"",""งบพรบ!AE20"")"),742800)</f>
        <v>742800</v>
      </c>
      <c r="O61" s="843">
        <f t="shared" ca="1" si="32"/>
        <v>98.776595744680847</v>
      </c>
      <c r="P61" s="843">
        <f t="shared" ca="1" si="33"/>
        <v>99.198717948717942</v>
      </c>
      <c r="Q61" s="825"/>
      <c r="R61" s="825"/>
      <c r="S61" s="825"/>
      <c r="T61" s="825"/>
      <c r="U61" s="825"/>
      <c r="V61" s="825"/>
      <c r="W61" s="825"/>
      <c r="X61" s="825"/>
      <c r="Y61" s="825"/>
      <c r="Z61" s="825"/>
    </row>
    <row r="62" spans="1:26" ht="19.5">
      <c r="A62" s="910" t="s">
        <v>31</v>
      </c>
      <c r="B62" s="911"/>
      <c r="C62" s="911"/>
      <c r="D62" s="911"/>
      <c r="E62" s="912"/>
      <c r="F62" s="912"/>
      <c r="G62" s="913"/>
      <c r="H62" s="914"/>
      <c r="I62" s="915"/>
      <c r="J62" s="915"/>
      <c r="K62" s="916"/>
      <c r="L62" s="916"/>
      <c r="M62" s="916"/>
      <c r="N62" s="916"/>
      <c r="O62" s="916"/>
      <c r="P62" s="916"/>
    </row>
    <row r="63" spans="1:26" ht="19.5">
      <c r="A63" s="917" t="s">
        <v>32</v>
      </c>
      <c r="B63" s="918"/>
      <c r="C63" s="919"/>
      <c r="D63" s="918"/>
      <c r="E63" s="918"/>
      <c r="F63" s="918"/>
      <c r="G63" s="920"/>
      <c r="H63" s="921"/>
      <c r="I63" s="922"/>
      <c r="J63" s="922"/>
      <c r="K63" s="923"/>
      <c r="L63" s="923"/>
      <c r="M63" s="923"/>
      <c r="N63" s="923"/>
      <c r="O63" s="923"/>
      <c r="P63" s="923"/>
    </row>
    <row r="64" spans="1:26" ht="19.5">
      <c r="A64" s="924"/>
      <c r="B64" s="925" t="s">
        <v>33</v>
      </c>
      <c r="C64" s="926"/>
      <c r="D64" s="927"/>
      <c r="E64" s="926"/>
      <c r="F64" s="926"/>
      <c r="G64" s="928"/>
      <c r="H64" s="205" t="s">
        <v>34</v>
      </c>
      <c r="I64" s="929">
        <f t="shared" ref="I64:J65" ca="1" si="37">I76</f>
        <v>1</v>
      </c>
      <c r="J64" s="929">
        <f t="shared" si="37"/>
        <v>1</v>
      </c>
      <c r="K64" s="930">
        <f t="shared" ref="K64:K65" ca="1" si="38">IF(I64&gt;0,J64*100/I64,0)</f>
        <v>100</v>
      </c>
      <c r="L64" s="931"/>
      <c r="M64" s="931"/>
      <c r="N64" s="931"/>
      <c r="O64" s="931"/>
      <c r="P64" s="931"/>
    </row>
    <row r="65" spans="1:26" ht="19.5">
      <c r="A65" s="924"/>
      <c r="B65" s="926"/>
      <c r="C65" s="926"/>
      <c r="D65" s="927"/>
      <c r="E65" s="926"/>
      <c r="F65" s="926"/>
      <c r="G65" s="928"/>
      <c r="H65" s="205" t="s">
        <v>35</v>
      </c>
      <c r="I65" s="929">
        <f t="shared" ca="1" si="37"/>
        <v>30</v>
      </c>
      <c r="J65" s="929">
        <f t="shared" si="37"/>
        <v>30</v>
      </c>
      <c r="K65" s="930">
        <f t="shared" ca="1" si="38"/>
        <v>100</v>
      </c>
      <c r="L65" s="931"/>
      <c r="M65" s="931"/>
      <c r="N65" s="931"/>
      <c r="O65" s="931"/>
      <c r="P65" s="931"/>
    </row>
    <row r="66" spans="1:26" ht="19.5">
      <c r="A66" s="932"/>
      <c r="B66" s="933"/>
      <c r="C66" s="934" t="s">
        <v>16</v>
      </c>
      <c r="D66" s="935" t="s">
        <v>17</v>
      </c>
      <c r="E66" s="933"/>
      <c r="F66" s="933"/>
      <c r="G66" s="936"/>
      <c r="H66" s="152" t="s">
        <v>12</v>
      </c>
      <c r="I66" s="937"/>
      <c r="J66" s="937"/>
      <c r="K66" s="938"/>
      <c r="L66" s="939">
        <f t="shared" ref="L66:N66" ca="1" si="39">L67+L68</f>
        <v>384000</v>
      </c>
      <c r="M66" s="939">
        <f t="shared" ca="1" si="39"/>
        <v>285000</v>
      </c>
      <c r="N66" s="939">
        <f t="shared" ca="1" si="39"/>
        <v>142735</v>
      </c>
      <c r="O66" s="939">
        <f t="shared" ref="O66:O74" ca="1" si="40">IF(L66&gt;0,N66*100/L66,0)</f>
        <v>37.170572916666664</v>
      </c>
      <c r="P66" s="939">
        <f t="shared" ref="P66:P74" ca="1" si="41">IF(M66&gt;0,N66*100/M66,0)</f>
        <v>50.082456140350878</v>
      </c>
      <c r="Q66" s="818"/>
      <c r="R66" s="818"/>
      <c r="S66" s="818"/>
      <c r="T66" s="818"/>
      <c r="U66" s="818"/>
      <c r="V66" s="818"/>
      <c r="W66" s="818"/>
      <c r="X66" s="818"/>
      <c r="Y66" s="818"/>
      <c r="Z66" s="818"/>
    </row>
    <row r="67" spans="1:26" ht="18.75" hidden="1">
      <c r="A67" s="940"/>
      <c r="B67" s="833"/>
      <c r="C67" s="833"/>
      <c r="D67" s="833"/>
      <c r="E67" s="834" t="s">
        <v>18</v>
      </c>
      <c r="F67" s="833"/>
      <c r="G67" s="941"/>
      <c r="H67" s="158" t="s">
        <v>12</v>
      </c>
      <c r="I67" s="836"/>
      <c r="J67" s="836"/>
      <c r="K67" s="837"/>
      <c r="L67" s="837">
        <f t="shared" ref="L67:N68" si="42">L70+L73</f>
        <v>0</v>
      </c>
      <c r="M67" s="837">
        <f t="shared" si="42"/>
        <v>0</v>
      </c>
      <c r="N67" s="837">
        <f t="shared" si="42"/>
        <v>0</v>
      </c>
      <c r="O67" s="837">
        <f t="shared" si="40"/>
        <v>0</v>
      </c>
      <c r="P67" s="837">
        <f t="shared" si="41"/>
        <v>0</v>
      </c>
      <c r="Q67" s="825"/>
      <c r="R67" s="825"/>
      <c r="S67" s="825"/>
      <c r="T67" s="825"/>
      <c r="U67" s="825"/>
      <c r="V67" s="825"/>
      <c r="W67" s="825"/>
      <c r="X67" s="825"/>
      <c r="Y67" s="825"/>
      <c r="Z67" s="825"/>
    </row>
    <row r="68" spans="1:26" ht="18.75" hidden="1">
      <c r="A68" s="940"/>
      <c r="B68" s="833"/>
      <c r="C68" s="833"/>
      <c r="D68" s="833"/>
      <c r="E68" s="834" t="s">
        <v>19</v>
      </c>
      <c r="F68" s="833"/>
      <c r="G68" s="941"/>
      <c r="H68" s="158" t="s">
        <v>12</v>
      </c>
      <c r="I68" s="836"/>
      <c r="J68" s="836"/>
      <c r="K68" s="837"/>
      <c r="L68" s="837">
        <f t="shared" ca="1" si="42"/>
        <v>384000</v>
      </c>
      <c r="M68" s="837">
        <f t="shared" ca="1" si="42"/>
        <v>285000</v>
      </c>
      <c r="N68" s="837">
        <f t="shared" ca="1" si="42"/>
        <v>142735</v>
      </c>
      <c r="O68" s="837">
        <f t="shared" ca="1" si="40"/>
        <v>37.170572916666664</v>
      </c>
      <c r="P68" s="837">
        <f t="shared" ca="1" si="41"/>
        <v>50.082456140350878</v>
      </c>
      <c r="Q68" s="825"/>
      <c r="R68" s="825"/>
      <c r="S68" s="825"/>
      <c r="T68" s="825"/>
      <c r="U68" s="825"/>
      <c r="V68" s="825"/>
      <c r="W68" s="825"/>
      <c r="X68" s="825"/>
      <c r="Y68" s="825"/>
      <c r="Z68" s="825"/>
    </row>
    <row r="69" spans="1:26" ht="18.75">
      <c r="A69" s="942"/>
      <c r="B69" s="827"/>
      <c r="C69" s="943"/>
      <c r="D69" s="828" t="s">
        <v>20</v>
      </c>
      <c r="E69" s="827"/>
      <c r="F69" s="827"/>
      <c r="G69" s="829"/>
      <c r="H69" s="778" t="s">
        <v>12</v>
      </c>
      <c r="I69" s="944"/>
      <c r="J69" s="944"/>
      <c r="K69" s="945"/>
      <c r="L69" s="831">
        <f t="shared" ref="L69:N69" ca="1" si="43">L70+L71</f>
        <v>384000</v>
      </c>
      <c r="M69" s="831">
        <f t="shared" ca="1" si="43"/>
        <v>285000</v>
      </c>
      <c r="N69" s="831">
        <f t="shared" ca="1" si="43"/>
        <v>142735</v>
      </c>
      <c r="O69" s="831">
        <f t="shared" ca="1" si="40"/>
        <v>37.170572916666664</v>
      </c>
      <c r="P69" s="831">
        <f t="shared" ca="1" si="41"/>
        <v>50.082456140350878</v>
      </c>
      <c r="Q69" s="818"/>
      <c r="R69" s="818"/>
      <c r="S69" s="818"/>
      <c r="T69" s="818"/>
      <c r="U69" s="818"/>
      <c r="V69" s="818"/>
      <c r="W69" s="818"/>
      <c r="X69" s="818"/>
      <c r="Y69" s="818"/>
      <c r="Z69" s="818"/>
    </row>
    <row r="70" spans="1:26" ht="19.5" hidden="1">
      <c r="A70" s="940"/>
      <c r="B70" s="833"/>
      <c r="C70" s="946"/>
      <c r="D70" s="833"/>
      <c r="E70" s="834" t="s">
        <v>36</v>
      </c>
      <c r="F70" s="833"/>
      <c r="G70" s="941"/>
      <c r="H70" s="165" t="s">
        <v>12</v>
      </c>
      <c r="I70" s="947"/>
      <c r="J70" s="947"/>
      <c r="K70" s="948"/>
      <c r="L70" s="837">
        <v>0</v>
      </c>
      <c r="M70" s="837">
        <v>0</v>
      </c>
      <c r="N70" s="837">
        <v>0</v>
      </c>
      <c r="O70" s="837">
        <f t="shared" si="40"/>
        <v>0</v>
      </c>
      <c r="P70" s="837">
        <f t="shared" si="41"/>
        <v>0</v>
      </c>
      <c r="Q70" s="825"/>
      <c r="R70" s="825"/>
      <c r="S70" s="825"/>
      <c r="T70" s="825"/>
      <c r="U70" s="825"/>
      <c r="V70" s="825"/>
      <c r="W70" s="825"/>
      <c r="X70" s="825"/>
      <c r="Y70" s="825"/>
      <c r="Z70" s="825"/>
    </row>
    <row r="71" spans="1:26" ht="19.5" hidden="1">
      <c r="A71" s="940"/>
      <c r="B71" s="833"/>
      <c r="C71" s="946"/>
      <c r="D71" s="833"/>
      <c r="E71" s="834" t="s">
        <v>37</v>
      </c>
      <c r="F71" s="833"/>
      <c r="G71" s="941"/>
      <c r="H71" s="165" t="s">
        <v>12</v>
      </c>
      <c r="I71" s="947"/>
      <c r="J71" s="947"/>
      <c r="K71" s="948"/>
      <c r="L71" s="837">
        <f ca="1">IFERROR(__xludf.DUMMYFUNCTION("IMPORTRANGE(""https://docs.google.com/spreadsheets/d/1MeEWN-I1oV_STSDYn1IFDPWt_1FKiwhDph83XaGc0o0/edit?usp=sharing"",""งบพรบ!AG20"")"),384000)</f>
        <v>384000</v>
      </c>
      <c r="M71" s="837">
        <f ca="1">IFERROR(__xludf.DUMMYFUNCTION("IMPORTRANGE(""https://docs.google.com/spreadsheets/d/1MeEWN-I1oV_STSDYn1IFDPWt_1FKiwhDph83XaGc0o0/edit?usp=sharing"",""งบพรบ!AL20"")"),285000)</f>
        <v>285000</v>
      </c>
      <c r="N71" s="837">
        <f ca="1">IFERROR(__xludf.DUMMYFUNCTION("IMPORTRANGE(""https://docs.google.com/spreadsheets/d/1MeEWN-I1oV_STSDYn1IFDPWt_1FKiwhDph83XaGc0o0/edit?usp=sharing"",""งบพรบ!AN20"")"),142735)</f>
        <v>142735</v>
      </c>
      <c r="O71" s="837">
        <f t="shared" ca="1" si="40"/>
        <v>37.170572916666664</v>
      </c>
      <c r="P71" s="837">
        <f t="shared" ca="1" si="41"/>
        <v>50.082456140350878</v>
      </c>
      <c r="Q71" s="825"/>
      <c r="R71" s="825"/>
      <c r="S71" s="825"/>
      <c r="T71" s="825"/>
      <c r="U71" s="825"/>
      <c r="V71" s="825"/>
      <c r="W71" s="825"/>
      <c r="X71" s="825"/>
      <c r="Y71" s="825"/>
      <c r="Z71" s="825"/>
    </row>
    <row r="72" spans="1:26" ht="18.75">
      <c r="A72" s="942"/>
      <c r="B72" s="827"/>
      <c r="C72" s="943"/>
      <c r="D72" s="828" t="s">
        <v>21</v>
      </c>
      <c r="E72" s="827"/>
      <c r="F72" s="827"/>
      <c r="G72" s="829"/>
      <c r="H72" s="168" t="s">
        <v>12</v>
      </c>
      <c r="I72" s="944"/>
      <c r="J72" s="944"/>
      <c r="K72" s="945"/>
      <c r="L72" s="831">
        <f t="shared" ref="L72:N72" ca="1" si="44">L73+L74</f>
        <v>0</v>
      </c>
      <c r="M72" s="831">
        <f t="shared" ca="1" si="44"/>
        <v>0</v>
      </c>
      <c r="N72" s="831">
        <f t="shared" ca="1" si="44"/>
        <v>0</v>
      </c>
      <c r="O72" s="831">
        <f t="shared" ca="1" si="40"/>
        <v>0</v>
      </c>
      <c r="P72" s="831">
        <f t="shared" ca="1" si="41"/>
        <v>0</v>
      </c>
      <c r="Q72" s="818"/>
      <c r="R72" s="818"/>
      <c r="S72" s="818"/>
      <c r="T72" s="818"/>
      <c r="U72" s="818"/>
      <c r="V72" s="818"/>
      <c r="W72" s="818"/>
      <c r="X72" s="818"/>
      <c r="Y72" s="818"/>
      <c r="Z72" s="818"/>
    </row>
    <row r="73" spans="1:26" ht="19.5" hidden="1">
      <c r="A73" s="940"/>
      <c r="B73" s="833"/>
      <c r="C73" s="946"/>
      <c r="D73" s="833"/>
      <c r="E73" s="834" t="s">
        <v>18</v>
      </c>
      <c r="F73" s="833"/>
      <c r="G73" s="941"/>
      <c r="H73" s="165" t="s">
        <v>12</v>
      </c>
      <c r="I73" s="947"/>
      <c r="J73" s="947"/>
      <c r="K73" s="948"/>
      <c r="L73" s="837">
        <v>0</v>
      </c>
      <c r="M73" s="837"/>
      <c r="N73" s="837"/>
      <c r="O73" s="837">
        <f t="shared" si="40"/>
        <v>0</v>
      </c>
      <c r="P73" s="837">
        <f t="shared" si="41"/>
        <v>0</v>
      </c>
      <c r="Q73" s="825"/>
      <c r="R73" s="825"/>
      <c r="S73" s="825"/>
      <c r="T73" s="825"/>
      <c r="U73" s="825"/>
      <c r="V73" s="825"/>
      <c r="W73" s="825"/>
      <c r="X73" s="825"/>
      <c r="Y73" s="825"/>
      <c r="Z73" s="825"/>
    </row>
    <row r="74" spans="1:26" ht="19.5" hidden="1">
      <c r="A74" s="940"/>
      <c r="B74" s="833"/>
      <c r="C74" s="946"/>
      <c r="D74" s="833"/>
      <c r="E74" s="834" t="s">
        <v>19</v>
      </c>
      <c r="F74" s="833"/>
      <c r="G74" s="941"/>
      <c r="H74" s="169" t="s">
        <v>12</v>
      </c>
      <c r="I74" s="947"/>
      <c r="J74" s="947"/>
      <c r="K74" s="948"/>
      <c r="L74" s="837">
        <f ca="1">IFERROR(__xludf.DUMMYFUNCTION("IMPORTRANGE(""https://docs.google.com/spreadsheets/d/1MeEWN-I1oV_STSDYn1IFDPWt_1FKiwhDph83XaGc0o0/edit?usp=sharing"",""งบพรบ!AJ20"")"),0)</f>
        <v>0</v>
      </c>
      <c r="M74" s="837">
        <f ca="1">IFERROR(__xludf.DUMMYFUNCTION("IMPORTRANGE(""https://docs.google.com/spreadsheets/d/1MeEWN-I1oV_STSDYn1IFDPWt_1FKiwhDph83XaGc0o0/edit?usp=sharing"",""งบพรบ!AM20"")"),0)</f>
        <v>0</v>
      </c>
      <c r="N74" s="837">
        <f ca="1">IFERROR(__xludf.DUMMYFUNCTION("IMPORTRANGE(""https://docs.google.com/spreadsheets/d/1MeEWN-I1oV_STSDYn1IFDPWt_1FKiwhDph83XaGc0o0/edit?usp=sharing"",""งบพรบ!AO20"")"),0)</f>
        <v>0</v>
      </c>
      <c r="O74" s="837">
        <f t="shared" ca="1" si="40"/>
        <v>0</v>
      </c>
      <c r="P74" s="837">
        <f t="shared" ca="1" si="41"/>
        <v>0</v>
      </c>
      <c r="Q74" s="825"/>
      <c r="R74" s="825"/>
      <c r="S74" s="825"/>
      <c r="T74" s="825"/>
      <c r="U74" s="825"/>
      <c r="V74" s="825"/>
      <c r="W74" s="825"/>
      <c r="X74" s="825"/>
      <c r="Y74" s="825"/>
      <c r="Z74" s="825"/>
    </row>
    <row r="75" spans="1:26" ht="19.5">
      <c r="A75" s="949"/>
      <c r="B75" s="950"/>
      <c r="C75" s="946" t="s">
        <v>16</v>
      </c>
      <c r="D75" s="951" t="s">
        <v>38</v>
      </c>
      <c r="E75" s="952"/>
      <c r="F75" s="952"/>
      <c r="G75" s="953"/>
      <c r="H75" s="954"/>
      <c r="I75" s="944"/>
      <c r="J75" s="944"/>
      <c r="K75" s="945"/>
      <c r="L75" s="945"/>
      <c r="M75" s="945"/>
      <c r="N75" s="945"/>
      <c r="O75" s="945"/>
      <c r="P75" s="945"/>
    </row>
    <row r="76" spans="1:26" ht="19.5">
      <c r="A76" s="949"/>
      <c r="B76" s="950"/>
      <c r="C76" s="950"/>
      <c r="D76" s="955" t="s">
        <v>39</v>
      </c>
      <c r="E76" s="956"/>
      <c r="F76" s="957"/>
      <c r="G76" s="958"/>
      <c r="H76" s="180" t="s">
        <v>34</v>
      </c>
      <c r="I76" s="830">
        <f t="shared" ref="I76:J77" ca="1" si="45">I78+I80+I82</f>
        <v>1</v>
      </c>
      <c r="J76" s="830">
        <f t="shared" si="45"/>
        <v>1</v>
      </c>
      <c r="K76" s="945">
        <f t="shared" ref="K76:K84" ca="1" si="46">IF(I76&gt;0,J76*100/I76,0)</f>
        <v>100</v>
      </c>
      <c r="L76" s="945"/>
      <c r="M76" s="945"/>
      <c r="N76" s="945"/>
      <c r="O76" s="945"/>
      <c r="P76" s="945"/>
    </row>
    <row r="77" spans="1:26" ht="19.5">
      <c r="A77" s="949"/>
      <c r="B77" s="950"/>
      <c r="C77" s="950"/>
      <c r="D77" s="950"/>
      <c r="E77" s="957"/>
      <c r="F77" s="957"/>
      <c r="G77" s="958"/>
      <c r="H77" s="180" t="s">
        <v>35</v>
      </c>
      <c r="I77" s="830">
        <f t="shared" ca="1" si="45"/>
        <v>30</v>
      </c>
      <c r="J77" s="830">
        <f t="shared" si="45"/>
        <v>30</v>
      </c>
      <c r="K77" s="945">
        <f t="shared" ca="1" si="46"/>
        <v>100</v>
      </c>
      <c r="L77" s="945"/>
      <c r="M77" s="945"/>
      <c r="N77" s="945"/>
      <c r="O77" s="945"/>
      <c r="P77" s="945"/>
    </row>
    <row r="78" spans="1:26" ht="18.75">
      <c r="A78" s="949"/>
      <c r="B78" s="950"/>
      <c r="C78" s="950"/>
      <c r="D78" s="950"/>
      <c r="E78" s="956" t="s">
        <v>40</v>
      </c>
      <c r="F78" s="956"/>
      <c r="G78" s="958"/>
      <c r="H78" s="730" t="s">
        <v>34</v>
      </c>
      <c r="I78" s="944">
        <f ca="1">IFERROR(__xludf.DUMMYFUNCTION("IMPORTRANGE(""https://docs.google.com/spreadsheets/d/1QqKyyYR6Q21VydFLVH3TRQUabQu_ym0Zz7PgGX0-kHA/edit?usp=sharing"",""แผน!H20"")"),0)</f>
        <v>0</v>
      </c>
      <c r="J78" s="959">
        <v>0</v>
      </c>
      <c r="K78" s="945">
        <f t="shared" ca="1" si="46"/>
        <v>0</v>
      </c>
      <c r="L78" s="945"/>
      <c r="M78" s="945"/>
      <c r="N78" s="945"/>
      <c r="O78" s="945"/>
      <c r="P78" s="945"/>
    </row>
    <row r="79" spans="1:26" ht="18.75">
      <c r="A79" s="949"/>
      <c r="B79" s="950"/>
      <c r="C79" s="950"/>
      <c r="D79" s="950"/>
      <c r="E79" s="957"/>
      <c r="F79" s="957"/>
      <c r="G79" s="958"/>
      <c r="H79" s="730" t="s">
        <v>35</v>
      </c>
      <c r="I79" s="944">
        <f ca="1">IFERROR(__xludf.DUMMYFUNCTION("IMPORTRANGE(""https://docs.google.com/spreadsheets/d/1QqKyyYR6Q21VydFLVH3TRQUabQu_ym0Zz7PgGX0-kHA/edit?usp=sharing"",""แผน!I20"")"),0)</f>
        <v>0</v>
      </c>
      <c r="J79" s="959">
        <v>0</v>
      </c>
      <c r="K79" s="945">
        <f t="shared" ca="1" si="46"/>
        <v>0</v>
      </c>
      <c r="L79" s="945"/>
      <c r="M79" s="945"/>
      <c r="N79" s="945"/>
      <c r="O79" s="945"/>
      <c r="P79" s="945"/>
    </row>
    <row r="80" spans="1:26" ht="18.75">
      <c r="A80" s="949"/>
      <c r="B80" s="950"/>
      <c r="C80" s="950"/>
      <c r="D80" s="950"/>
      <c r="E80" s="956" t="s">
        <v>41</v>
      </c>
      <c r="F80" s="956"/>
      <c r="G80" s="958"/>
      <c r="H80" s="730" t="s">
        <v>34</v>
      </c>
      <c r="I80" s="944">
        <f ca="1">IFERROR(__xludf.DUMMYFUNCTION("IMPORTRANGE(""https://docs.google.com/spreadsheets/d/1QqKyyYR6Q21VydFLVH3TRQUabQu_ym0Zz7PgGX0-kHA/edit?usp=sharing"",""แผน!F20"")"),1)</f>
        <v>1</v>
      </c>
      <c r="J80" s="959">
        <v>1</v>
      </c>
      <c r="K80" s="945">
        <f t="shared" ca="1" si="46"/>
        <v>100</v>
      </c>
      <c r="L80" s="945"/>
      <c r="M80" s="945"/>
      <c r="N80" s="945"/>
      <c r="O80" s="945"/>
      <c r="P80" s="945"/>
    </row>
    <row r="81" spans="1:26" ht="18.75">
      <c r="A81" s="949"/>
      <c r="B81" s="950"/>
      <c r="C81" s="950"/>
      <c r="D81" s="950"/>
      <c r="E81" s="957"/>
      <c r="F81" s="957"/>
      <c r="G81" s="958"/>
      <c r="H81" s="730" t="s">
        <v>35</v>
      </c>
      <c r="I81" s="944">
        <f ca="1">IFERROR(__xludf.DUMMYFUNCTION("IMPORTRANGE(""https://docs.google.com/spreadsheets/d/1QqKyyYR6Q21VydFLVH3TRQUabQu_ym0Zz7PgGX0-kHA/edit?usp=sharing"",""แผน!G20"")"),30)</f>
        <v>30</v>
      </c>
      <c r="J81" s="959">
        <v>30</v>
      </c>
      <c r="K81" s="945">
        <f t="shared" ca="1" si="46"/>
        <v>100</v>
      </c>
      <c r="L81" s="945"/>
      <c r="M81" s="945"/>
      <c r="N81" s="945"/>
      <c r="O81" s="945"/>
      <c r="P81" s="945"/>
    </row>
    <row r="82" spans="1:26" ht="18.75">
      <c r="A82" s="949"/>
      <c r="B82" s="950"/>
      <c r="C82" s="950"/>
      <c r="D82" s="950"/>
      <c r="E82" s="956" t="s">
        <v>42</v>
      </c>
      <c r="F82" s="956"/>
      <c r="G82" s="958"/>
      <c r="H82" s="730" t="s">
        <v>34</v>
      </c>
      <c r="I82" s="944">
        <f ca="1">IFERROR(__xludf.DUMMYFUNCTION("IMPORTRANGE(""https://docs.google.com/spreadsheets/d/1QqKyyYR6Q21VydFLVH3TRQUabQu_ym0Zz7PgGX0-kHA/edit?usp=sharing"",""แผน!D20"")"),0)</f>
        <v>0</v>
      </c>
      <c r="J82" s="959">
        <v>0</v>
      </c>
      <c r="K82" s="945">
        <f t="shared" ca="1" si="46"/>
        <v>0</v>
      </c>
      <c r="L82" s="945"/>
      <c r="M82" s="945"/>
      <c r="N82" s="945"/>
      <c r="O82" s="945"/>
      <c r="P82" s="945"/>
    </row>
    <row r="83" spans="1:26" ht="18.75">
      <c r="A83" s="949"/>
      <c r="B83" s="950"/>
      <c r="C83" s="950"/>
      <c r="D83" s="950"/>
      <c r="E83" s="957"/>
      <c r="F83" s="957"/>
      <c r="G83" s="958"/>
      <c r="H83" s="730" t="s">
        <v>35</v>
      </c>
      <c r="I83" s="944">
        <f ca="1">IFERROR(__xludf.DUMMYFUNCTION("IMPORTRANGE(""https://docs.google.com/spreadsheets/d/1QqKyyYR6Q21VydFLVH3TRQUabQu_ym0Zz7PgGX0-kHA/edit?usp=sharing"",""แผน!E20"")"),0)</f>
        <v>0</v>
      </c>
      <c r="J83" s="959">
        <v>0</v>
      </c>
      <c r="K83" s="945">
        <f t="shared" ca="1" si="46"/>
        <v>0</v>
      </c>
      <c r="L83" s="945"/>
      <c r="M83" s="945"/>
      <c r="N83" s="945"/>
      <c r="O83" s="945"/>
      <c r="P83" s="945"/>
    </row>
    <row r="84" spans="1:26" ht="18.75">
      <c r="A84" s="949"/>
      <c r="B84" s="950"/>
      <c r="C84" s="950"/>
      <c r="D84" s="955" t="s">
        <v>43</v>
      </c>
      <c r="E84" s="956"/>
      <c r="F84" s="957"/>
      <c r="G84" s="958"/>
      <c r="H84" s="777" t="s">
        <v>34</v>
      </c>
      <c r="I84" s="944">
        <f ca="1">IFERROR(__xludf.DUMMYFUNCTION("IMPORTRANGE(""https://docs.google.com/spreadsheets/d/1QqKyyYR6Q21VydFLVH3TRQUabQu_ym0Zz7PgGX0-kHA/edit?usp=sharing"",""แผน!J20"")"),1)</f>
        <v>1</v>
      </c>
      <c r="J84" s="959">
        <v>0</v>
      </c>
      <c r="K84" s="945">
        <f t="shared" ca="1" si="46"/>
        <v>0</v>
      </c>
      <c r="L84" s="945"/>
      <c r="M84" s="945"/>
      <c r="N84" s="945"/>
      <c r="O84" s="945"/>
      <c r="P84" s="945"/>
    </row>
    <row r="85" spans="1:26" ht="19.5">
      <c r="A85" s="917" t="s">
        <v>44</v>
      </c>
      <c r="B85" s="918"/>
      <c r="C85" s="919"/>
      <c r="D85" s="918"/>
      <c r="E85" s="918"/>
      <c r="F85" s="918"/>
      <c r="G85" s="920"/>
      <c r="H85" s="921"/>
      <c r="I85" s="922"/>
      <c r="J85" s="922"/>
      <c r="K85" s="923"/>
      <c r="L85" s="923"/>
      <c r="M85" s="923"/>
      <c r="N85" s="923"/>
      <c r="O85" s="923"/>
      <c r="P85" s="923"/>
    </row>
    <row r="86" spans="1:26" ht="19.5">
      <c r="A86" s="924"/>
      <c r="B86" s="925" t="s">
        <v>45</v>
      </c>
      <c r="C86" s="926"/>
      <c r="D86" s="927"/>
      <c r="E86" s="926"/>
      <c r="F86" s="926"/>
      <c r="G86" s="928"/>
      <c r="H86" s="205" t="s">
        <v>46</v>
      </c>
      <c r="I86" s="929">
        <f t="shared" ref="I86:J87" ca="1" si="47">I98</f>
        <v>60</v>
      </c>
      <c r="J86" s="929">
        <f t="shared" si="47"/>
        <v>60</v>
      </c>
      <c r="K86" s="930">
        <f t="shared" ref="K86:K87" ca="1" si="48">IF(I86&gt;0,J86*100/I86,0)</f>
        <v>100</v>
      </c>
      <c r="L86" s="931"/>
      <c r="M86" s="931"/>
      <c r="N86" s="931"/>
      <c r="O86" s="931"/>
      <c r="P86" s="931"/>
    </row>
    <row r="87" spans="1:26" ht="19.5">
      <c r="A87" s="924"/>
      <c r="B87" s="926"/>
      <c r="C87" s="926"/>
      <c r="D87" s="927"/>
      <c r="E87" s="926"/>
      <c r="F87" s="926"/>
      <c r="G87" s="928"/>
      <c r="H87" s="205" t="s">
        <v>35</v>
      </c>
      <c r="I87" s="929">
        <f t="shared" ca="1" si="47"/>
        <v>20</v>
      </c>
      <c r="J87" s="929">
        <f t="shared" si="47"/>
        <v>20</v>
      </c>
      <c r="K87" s="930">
        <f t="shared" ca="1" si="48"/>
        <v>100</v>
      </c>
      <c r="L87" s="931"/>
      <c r="M87" s="931"/>
      <c r="N87" s="931"/>
      <c r="O87" s="931"/>
      <c r="P87" s="931"/>
    </row>
    <row r="88" spans="1:26" ht="19.5">
      <c r="A88" s="932"/>
      <c r="B88" s="933"/>
      <c r="C88" s="934" t="s">
        <v>16</v>
      </c>
      <c r="D88" s="935" t="s">
        <v>17</v>
      </c>
      <c r="E88" s="933"/>
      <c r="F88" s="933"/>
      <c r="G88" s="936"/>
      <c r="H88" s="152" t="s">
        <v>12</v>
      </c>
      <c r="I88" s="937"/>
      <c r="J88" s="937"/>
      <c r="K88" s="938"/>
      <c r="L88" s="939">
        <f t="shared" ref="L88:N88" ca="1" si="49">L89+L90</f>
        <v>110880</v>
      </c>
      <c r="M88" s="939">
        <f t="shared" ca="1" si="49"/>
        <v>101180</v>
      </c>
      <c r="N88" s="939">
        <f t="shared" ca="1" si="49"/>
        <v>62864</v>
      </c>
      <c r="O88" s="939">
        <f t="shared" ref="O88:O96" ca="1" si="50">IF(L88&gt;0,N88*100/L88,0)</f>
        <v>56.695526695526695</v>
      </c>
      <c r="P88" s="939">
        <f t="shared" ref="P88:P96" ca="1" si="51">IF(M88&gt;0,N88*100/M88,0)</f>
        <v>62.130855900375572</v>
      </c>
      <c r="Q88" s="818"/>
      <c r="R88" s="818"/>
      <c r="S88" s="818"/>
      <c r="T88" s="818"/>
      <c r="U88" s="818"/>
      <c r="V88" s="818"/>
      <c r="W88" s="818"/>
      <c r="X88" s="818"/>
      <c r="Y88" s="818"/>
      <c r="Z88" s="818"/>
    </row>
    <row r="89" spans="1:26" ht="18.75" hidden="1">
      <c r="A89" s="940"/>
      <c r="B89" s="833"/>
      <c r="C89" s="833"/>
      <c r="D89" s="833"/>
      <c r="E89" s="834" t="s">
        <v>18</v>
      </c>
      <c r="F89" s="833"/>
      <c r="G89" s="941"/>
      <c r="H89" s="158" t="s">
        <v>12</v>
      </c>
      <c r="I89" s="836"/>
      <c r="J89" s="836"/>
      <c r="K89" s="837"/>
      <c r="L89" s="837">
        <f t="shared" ref="L89:N90" si="52">L92+L95</f>
        <v>0</v>
      </c>
      <c r="M89" s="837">
        <f t="shared" si="52"/>
        <v>0</v>
      </c>
      <c r="N89" s="837">
        <f t="shared" si="52"/>
        <v>0</v>
      </c>
      <c r="O89" s="837">
        <f t="shared" si="50"/>
        <v>0</v>
      </c>
      <c r="P89" s="837">
        <f t="shared" si="51"/>
        <v>0</v>
      </c>
      <c r="Q89" s="825"/>
      <c r="R89" s="825"/>
      <c r="S89" s="825"/>
      <c r="T89" s="825"/>
      <c r="U89" s="825"/>
      <c r="V89" s="825"/>
      <c r="W89" s="825"/>
      <c r="X89" s="825"/>
      <c r="Y89" s="825"/>
      <c r="Z89" s="825"/>
    </row>
    <row r="90" spans="1:26" ht="18.75" hidden="1">
      <c r="A90" s="940"/>
      <c r="B90" s="833"/>
      <c r="C90" s="833"/>
      <c r="D90" s="833"/>
      <c r="E90" s="834" t="s">
        <v>19</v>
      </c>
      <c r="F90" s="833"/>
      <c r="G90" s="941"/>
      <c r="H90" s="158" t="s">
        <v>12</v>
      </c>
      <c r="I90" s="836"/>
      <c r="J90" s="836"/>
      <c r="K90" s="837"/>
      <c r="L90" s="837">
        <f t="shared" ca="1" si="52"/>
        <v>110880</v>
      </c>
      <c r="M90" s="837">
        <f t="shared" ca="1" si="52"/>
        <v>101180</v>
      </c>
      <c r="N90" s="837">
        <f t="shared" ca="1" si="52"/>
        <v>62864</v>
      </c>
      <c r="O90" s="837">
        <f t="shared" ca="1" si="50"/>
        <v>56.695526695526695</v>
      </c>
      <c r="P90" s="837">
        <f t="shared" ca="1" si="51"/>
        <v>62.130855900375572</v>
      </c>
      <c r="Q90" s="825"/>
      <c r="R90" s="825"/>
      <c r="S90" s="825"/>
      <c r="T90" s="825"/>
      <c r="U90" s="825"/>
      <c r="V90" s="825"/>
      <c r="W90" s="825"/>
      <c r="X90" s="825"/>
      <c r="Y90" s="825"/>
      <c r="Z90" s="825"/>
    </row>
    <row r="91" spans="1:26" ht="18.75">
      <c r="A91" s="942"/>
      <c r="B91" s="827"/>
      <c r="C91" s="943"/>
      <c r="D91" s="828" t="s">
        <v>20</v>
      </c>
      <c r="E91" s="827"/>
      <c r="F91" s="827"/>
      <c r="G91" s="829"/>
      <c r="H91" s="778" t="s">
        <v>12</v>
      </c>
      <c r="I91" s="944"/>
      <c r="J91" s="944"/>
      <c r="K91" s="945"/>
      <c r="L91" s="831">
        <f t="shared" ref="L91:N91" ca="1" si="53">L92+L93</f>
        <v>110880</v>
      </c>
      <c r="M91" s="831">
        <f t="shared" ca="1" si="53"/>
        <v>101180</v>
      </c>
      <c r="N91" s="831">
        <f t="shared" ca="1" si="53"/>
        <v>62864</v>
      </c>
      <c r="O91" s="831">
        <f t="shared" ca="1" si="50"/>
        <v>56.695526695526695</v>
      </c>
      <c r="P91" s="831">
        <f t="shared" ca="1" si="51"/>
        <v>62.130855900375572</v>
      </c>
      <c r="Q91" s="818"/>
      <c r="R91" s="818"/>
      <c r="S91" s="818"/>
      <c r="T91" s="818"/>
      <c r="U91" s="818"/>
      <c r="V91" s="818"/>
      <c r="W91" s="818"/>
      <c r="X91" s="818"/>
      <c r="Y91" s="818"/>
      <c r="Z91" s="818"/>
    </row>
    <row r="92" spans="1:26" ht="19.5" hidden="1">
      <c r="A92" s="940"/>
      <c r="B92" s="833"/>
      <c r="C92" s="946"/>
      <c r="D92" s="833"/>
      <c r="E92" s="834" t="s">
        <v>36</v>
      </c>
      <c r="F92" s="833"/>
      <c r="G92" s="941"/>
      <c r="H92" s="165" t="s">
        <v>12</v>
      </c>
      <c r="I92" s="947"/>
      <c r="J92" s="947"/>
      <c r="K92" s="948"/>
      <c r="L92" s="837">
        <v>0</v>
      </c>
      <c r="M92" s="837">
        <v>0</v>
      </c>
      <c r="N92" s="837">
        <v>0</v>
      </c>
      <c r="O92" s="837">
        <f t="shared" si="50"/>
        <v>0</v>
      </c>
      <c r="P92" s="837">
        <f t="shared" si="51"/>
        <v>0</v>
      </c>
      <c r="Q92" s="825"/>
      <c r="R92" s="825"/>
      <c r="S92" s="825"/>
      <c r="T92" s="825"/>
      <c r="U92" s="825"/>
      <c r="V92" s="825"/>
      <c r="W92" s="825"/>
      <c r="X92" s="825"/>
      <c r="Y92" s="825"/>
      <c r="Z92" s="825"/>
    </row>
    <row r="93" spans="1:26" ht="19.5" hidden="1">
      <c r="A93" s="940"/>
      <c r="B93" s="833"/>
      <c r="C93" s="946"/>
      <c r="D93" s="833"/>
      <c r="E93" s="834" t="s">
        <v>37</v>
      </c>
      <c r="F93" s="833"/>
      <c r="G93" s="941"/>
      <c r="H93" s="165" t="s">
        <v>12</v>
      </c>
      <c r="I93" s="947"/>
      <c r="J93" s="947"/>
      <c r="K93" s="948"/>
      <c r="L93" s="837">
        <f ca="1">IFERROR(__xludf.DUMMYFUNCTION("IMPORTRANGE(""https://docs.google.com/spreadsheets/d/1MeEWN-I1oV_STSDYn1IFDPWt_1FKiwhDph83XaGc0o0/edit?usp=sharing"",""งบพรบ!AQ20"")"),110880)</f>
        <v>110880</v>
      </c>
      <c r="M93" s="837">
        <f ca="1">IFERROR(__xludf.DUMMYFUNCTION("IMPORTRANGE(""https://docs.google.com/spreadsheets/d/1MeEWN-I1oV_STSDYn1IFDPWt_1FKiwhDph83XaGc0o0/edit?usp=sharing"",""งบพรบ!AV20"")"),101180)</f>
        <v>101180</v>
      </c>
      <c r="N93" s="837">
        <f ca="1">IFERROR(__xludf.DUMMYFUNCTION("IMPORTRANGE(""https://docs.google.com/spreadsheets/d/1MeEWN-I1oV_STSDYn1IFDPWt_1FKiwhDph83XaGc0o0/edit?usp=sharing"",""งบพรบ!AX20"")"),62864)</f>
        <v>62864</v>
      </c>
      <c r="O93" s="837">
        <f t="shared" ca="1" si="50"/>
        <v>56.695526695526695</v>
      </c>
      <c r="P93" s="837">
        <f t="shared" ca="1" si="51"/>
        <v>62.130855900375572</v>
      </c>
      <c r="Q93" s="825"/>
      <c r="R93" s="825"/>
      <c r="S93" s="825"/>
      <c r="T93" s="825"/>
      <c r="U93" s="825"/>
      <c r="V93" s="825"/>
      <c r="W93" s="825"/>
      <c r="X93" s="825"/>
      <c r="Y93" s="825"/>
      <c r="Z93" s="825"/>
    </row>
    <row r="94" spans="1:26" ht="18.75">
      <c r="A94" s="942"/>
      <c r="B94" s="827"/>
      <c r="C94" s="943"/>
      <c r="D94" s="828" t="s">
        <v>21</v>
      </c>
      <c r="E94" s="827"/>
      <c r="F94" s="827"/>
      <c r="G94" s="829"/>
      <c r="H94" s="168" t="s">
        <v>12</v>
      </c>
      <c r="I94" s="944"/>
      <c r="J94" s="944"/>
      <c r="K94" s="945"/>
      <c r="L94" s="831">
        <f t="shared" ref="L94:N94" ca="1" si="54">L95+L96</f>
        <v>0</v>
      </c>
      <c r="M94" s="831">
        <f t="shared" ca="1" si="54"/>
        <v>0</v>
      </c>
      <c r="N94" s="831">
        <f t="shared" ca="1" si="54"/>
        <v>0</v>
      </c>
      <c r="O94" s="831">
        <f t="shared" ca="1" si="50"/>
        <v>0</v>
      </c>
      <c r="P94" s="831">
        <f t="shared" ca="1" si="51"/>
        <v>0</v>
      </c>
      <c r="Q94" s="818"/>
      <c r="R94" s="818"/>
      <c r="S94" s="818"/>
      <c r="T94" s="818"/>
      <c r="U94" s="818"/>
      <c r="V94" s="818"/>
      <c r="W94" s="818"/>
      <c r="X94" s="818"/>
      <c r="Y94" s="818"/>
      <c r="Z94" s="818"/>
    </row>
    <row r="95" spans="1:26" ht="19.5" hidden="1">
      <c r="A95" s="940"/>
      <c r="B95" s="833"/>
      <c r="C95" s="946"/>
      <c r="D95" s="833"/>
      <c r="E95" s="834" t="s">
        <v>18</v>
      </c>
      <c r="F95" s="833"/>
      <c r="G95" s="941"/>
      <c r="H95" s="165" t="s">
        <v>12</v>
      </c>
      <c r="I95" s="947"/>
      <c r="J95" s="947"/>
      <c r="K95" s="948"/>
      <c r="L95" s="837">
        <v>0</v>
      </c>
      <c r="M95" s="837">
        <v>0</v>
      </c>
      <c r="N95" s="837">
        <v>0</v>
      </c>
      <c r="O95" s="837">
        <f t="shared" si="50"/>
        <v>0</v>
      </c>
      <c r="P95" s="837">
        <f t="shared" si="51"/>
        <v>0</v>
      </c>
      <c r="Q95" s="825"/>
      <c r="R95" s="825"/>
      <c r="S95" s="825"/>
      <c r="T95" s="825"/>
      <c r="U95" s="825"/>
      <c r="V95" s="825"/>
      <c r="W95" s="825"/>
      <c r="X95" s="825"/>
      <c r="Y95" s="825"/>
      <c r="Z95" s="825"/>
    </row>
    <row r="96" spans="1:26" ht="19.5" hidden="1">
      <c r="A96" s="940"/>
      <c r="B96" s="833"/>
      <c r="C96" s="946"/>
      <c r="D96" s="833"/>
      <c r="E96" s="834" t="s">
        <v>19</v>
      </c>
      <c r="F96" s="833"/>
      <c r="G96" s="941"/>
      <c r="H96" s="169" t="s">
        <v>12</v>
      </c>
      <c r="I96" s="947"/>
      <c r="J96" s="947"/>
      <c r="K96" s="948"/>
      <c r="L96" s="837">
        <f ca="1">IFERROR(__xludf.DUMMYFUNCTION("IMPORTRANGE(""https://docs.google.com/spreadsheets/d/1MeEWN-I1oV_STSDYn1IFDPWt_1FKiwhDph83XaGc0o0/edit?usp=sharing"",""งบพรบ!AT20"")"),0)</f>
        <v>0</v>
      </c>
      <c r="M96" s="837">
        <f ca="1">IFERROR(__xludf.DUMMYFUNCTION("IMPORTRANGE(""https://docs.google.com/spreadsheets/d/1MeEWN-I1oV_STSDYn1IFDPWt_1FKiwhDph83XaGc0o0/edit?usp=sharing"",""งบพรบ!AW20"")"),0)</f>
        <v>0</v>
      </c>
      <c r="N96" s="837">
        <f ca="1">IFERROR(__xludf.DUMMYFUNCTION("IMPORTRANGE(""https://docs.google.com/spreadsheets/d/1MeEWN-I1oV_STSDYn1IFDPWt_1FKiwhDph83XaGc0o0/edit?usp=sharing"",""งบพรบ!AY20"")"),0)</f>
        <v>0</v>
      </c>
      <c r="O96" s="837">
        <f t="shared" ca="1" si="50"/>
        <v>0</v>
      </c>
      <c r="P96" s="837">
        <f t="shared" ca="1" si="51"/>
        <v>0</v>
      </c>
      <c r="Q96" s="825"/>
      <c r="R96" s="825"/>
      <c r="S96" s="825"/>
      <c r="T96" s="825"/>
      <c r="U96" s="825"/>
      <c r="V96" s="825"/>
      <c r="W96" s="825"/>
      <c r="X96" s="825"/>
      <c r="Y96" s="825"/>
      <c r="Z96" s="825"/>
    </row>
    <row r="97" spans="1:16" ht="19.5">
      <c r="A97" s="949"/>
      <c r="B97" s="950"/>
      <c r="C97" s="946" t="s">
        <v>16</v>
      </c>
      <c r="D97" s="951" t="s">
        <v>38</v>
      </c>
      <c r="E97" s="952"/>
      <c r="F97" s="952"/>
      <c r="G97" s="953"/>
      <c r="H97" s="954"/>
      <c r="I97" s="944"/>
      <c r="J97" s="830"/>
      <c r="K97" s="831"/>
      <c r="L97" s="831"/>
      <c r="M97" s="831"/>
      <c r="N97" s="831"/>
      <c r="O97" s="945"/>
      <c r="P97" s="945"/>
    </row>
    <row r="98" spans="1:16" ht="18.75">
      <c r="A98" s="949"/>
      <c r="B98" s="950"/>
      <c r="C98" s="950"/>
      <c r="D98" s="956" t="s">
        <v>47</v>
      </c>
      <c r="E98" s="956"/>
      <c r="F98" s="957"/>
      <c r="G98" s="958"/>
      <c r="H98" s="590" t="s">
        <v>46</v>
      </c>
      <c r="I98" s="830">
        <f ca="1">IFERROR(__xludf.DUMMYFUNCTION("IMPORTRANGE(""https://docs.google.com/spreadsheets/d/1QqKyyYR6Q21VydFLVH3TRQUabQu_ym0Zz7PgGX0-kHA/edit?usp=sharing"",""แผน!K20"")"),60)</f>
        <v>60</v>
      </c>
      <c r="J98" s="830">
        <f>J102</f>
        <v>60</v>
      </c>
      <c r="K98" s="831">
        <f t="shared" ref="K98:K100" ca="1" si="55">IF(I98&gt;0,J98*100/I98,0)</f>
        <v>100</v>
      </c>
      <c r="L98" s="831"/>
      <c r="M98" s="831"/>
      <c r="N98" s="831"/>
      <c r="O98" s="945"/>
      <c r="P98" s="945"/>
    </row>
    <row r="99" spans="1:16" ht="18.75">
      <c r="A99" s="949"/>
      <c r="B99" s="950"/>
      <c r="C99" s="950"/>
      <c r="D99" s="956" t="s">
        <v>48</v>
      </c>
      <c r="E99" s="956"/>
      <c r="F99" s="957"/>
      <c r="G99" s="958"/>
      <c r="H99" s="590" t="s">
        <v>35</v>
      </c>
      <c r="I99" s="830">
        <f ca="1">IFERROR(__xludf.DUMMYFUNCTION("IMPORTRANGE(""https://docs.google.com/spreadsheets/d/1QqKyyYR6Q21VydFLVH3TRQUabQu_ym0Zz7PgGX0-kHA/edit?usp=sharing"",""แผน!L20"")"),20)</f>
        <v>20</v>
      </c>
      <c r="J99" s="830">
        <f>J104</f>
        <v>20</v>
      </c>
      <c r="K99" s="831">
        <f t="shared" ca="1" si="55"/>
        <v>100</v>
      </c>
      <c r="L99" s="831"/>
      <c r="M99" s="831"/>
      <c r="N99" s="831"/>
      <c r="O99" s="945"/>
      <c r="P99" s="945"/>
    </row>
    <row r="100" spans="1:16" ht="18.75">
      <c r="A100" s="949"/>
      <c r="B100" s="950"/>
      <c r="C100" s="950"/>
      <c r="D100" s="950"/>
      <c r="E100" s="957"/>
      <c r="F100" s="957"/>
      <c r="G100" s="958"/>
      <c r="H100" s="590" t="s">
        <v>49</v>
      </c>
      <c r="I100" s="830">
        <f ca="1">IFERROR(__xludf.DUMMYFUNCTION("IMPORTRANGE(""https://docs.google.com/spreadsheets/d/1QqKyyYR6Q21VydFLVH3TRQUabQu_ym0Zz7PgGX0-kHA/edit?usp=sharing"",""แผน!M20"")"),2)</f>
        <v>2</v>
      </c>
      <c r="J100" s="830">
        <f>J107+J110</f>
        <v>0</v>
      </c>
      <c r="K100" s="831">
        <f t="shared" ca="1" si="55"/>
        <v>0</v>
      </c>
      <c r="L100" s="831"/>
      <c r="M100" s="831"/>
      <c r="N100" s="831"/>
      <c r="O100" s="945"/>
      <c r="P100" s="945"/>
    </row>
    <row r="101" spans="1:16" ht="19.5">
      <c r="A101" s="949"/>
      <c r="B101" s="950"/>
      <c r="C101" s="950"/>
      <c r="D101" s="957"/>
      <c r="E101" s="960" t="s">
        <v>50</v>
      </c>
      <c r="F101" s="957"/>
      <c r="G101" s="958"/>
      <c r="H101" s="590"/>
      <c r="I101" s="830"/>
      <c r="J101" s="830"/>
      <c r="K101" s="831"/>
      <c r="L101" s="831"/>
      <c r="M101" s="831"/>
      <c r="N101" s="831"/>
      <c r="O101" s="945"/>
      <c r="P101" s="945"/>
    </row>
    <row r="102" spans="1:16" ht="18.75">
      <c r="A102" s="949"/>
      <c r="B102" s="950"/>
      <c r="C102" s="950"/>
      <c r="D102" s="957"/>
      <c r="E102" s="961" t="s">
        <v>47</v>
      </c>
      <c r="F102" s="957"/>
      <c r="G102" s="958"/>
      <c r="H102" s="590" t="s">
        <v>46</v>
      </c>
      <c r="I102" s="830">
        <f ca="1">IFERROR(__xludf.DUMMYFUNCTION("IMPORTRANGE(""https://docs.google.com/spreadsheets/d/1QqKyyYR6Q21VydFLVH3TRQUabQu_ym0Zz7PgGX0-kHA/edit?usp=sharing"",""แผน!N20"")"),60)</f>
        <v>60</v>
      </c>
      <c r="J102" s="959">
        <v>60</v>
      </c>
      <c r="K102" s="831">
        <f t="shared" ref="K102:K104" ca="1" si="56">IF(I102&gt;0,J102*100/I102,0)</f>
        <v>100</v>
      </c>
      <c r="L102" s="831"/>
      <c r="M102" s="831"/>
      <c r="N102" s="831"/>
      <c r="O102" s="945"/>
      <c r="P102" s="945"/>
    </row>
    <row r="103" spans="1:16" ht="19.5">
      <c r="A103" s="949"/>
      <c r="B103" s="950"/>
      <c r="C103" s="950"/>
      <c r="D103" s="957"/>
      <c r="E103" s="956" t="s">
        <v>51</v>
      </c>
      <c r="F103" s="957"/>
      <c r="G103" s="958"/>
      <c r="H103" s="590" t="s">
        <v>35</v>
      </c>
      <c r="I103" s="830">
        <f ca="1">IFERROR(__xludf.DUMMYFUNCTION("IMPORTRANGE(""https://docs.google.com/spreadsheets/d/1QqKyyYR6Q21VydFLVH3TRQUabQu_ym0Zz7PgGX0-kHA/edit?usp=sharing"",""แผน!O20"")"),20)</f>
        <v>20</v>
      </c>
      <c r="J103" s="959">
        <v>20</v>
      </c>
      <c r="K103" s="831">
        <f t="shared" ca="1" si="56"/>
        <v>100</v>
      </c>
      <c r="L103" s="831"/>
      <c r="M103" s="831"/>
      <c r="N103" s="831"/>
      <c r="O103" s="945"/>
      <c r="P103" s="945"/>
    </row>
    <row r="104" spans="1:16" ht="18.75">
      <c r="A104" s="949"/>
      <c r="B104" s="950"/>
      <c r="C104" s="950"/>
      <c r="D104" s="957"/>
      <c r="E104" s="962" t="s">
        <v>52</v>
      </c>
      <c r="F104" s="957"/>
      <c r="G104" s="958"/>
      <c r="H104" s="590" t="s">
        <v>35</v>
      </c>
      <c r="I104" s="830">
        <f ca="1">IFERROR(__xludf.DUMMYFUNCTION("IMPORTRANGE(""https://docs.google.com/spreadsheets/d/1QqKyyYR6Q21VydFLVH3TRQUabQu_ym0Zz7PgGX0-kHA/edit?usp=sharing"",""แผน!O20"")"),20)</f>
        <v>20</v>
      </c>
      <c r="J104" s="959">
        <v>20</v>
      </c>
      <c r="K104" s="831">
        <f t="shared" ca="1" si="56"/>
        <v>100</v>
      </c>
      <c r="L104" s="831"/>
      <c r="M104" s="831"/>
      <c r="N104" s="831"/>
      <c r="O104" s="945"/>
      <c r="P104" s="945"/>
    </row>
    <row r="105" spans="1:16" ht="19.5">
      <c r="A105" s="949"/>
      <c r="B105" s="950"/>
      <c r="C105" s="950"/>
      <c r="D105" s="957"/>
      <c r="E105" s="960" t="s">
        <v>53</v>
      </c>
      <c r="F105" s="957"/>
      <c r="G105" s="958"/>
      <c r="H105" s="963"/>
      <c r="I105" s="830"/>
      <c r="J105" s="830"/>
      <c r="K105" s="831"/>
      <c r="L105" s="831"/>
      <c r="M105" s="831"/>
      <c r="N105" s="831"/>
      <c r="O105" s="945"/>
      <c r="P105" s="945"/>
    </row>
    <row r="106" spans="1:16" ht="19.5">
      <c r="A106" s="949"/>
      <c r="B106" s="950"/>
      <c r="C106" s="950"/>
      <c r="D106" s="957"/>
      <c r="E106" s="956" t="s">
        <v>54</v>
      </c>
      <c r="F106" s="957"/>
      <c r="G106" s="958"/>
      <c r="H106" s="590" t="s">
        <v>49</v>
      </c>
      <c r="I106" s="830">
        <f ca="1">IFERROR(__xludf.DUMMYFUNCTION("IMPORTRANGE(""https://docs.google.com/spreadsheets/d/1QqKyyYR6Q21VydFLVH3TRQUabQu_ym0Zz7PgGX0-kHA/edit?usp=sharing"",""แผน!P20"")"),1)</f>
        <v>1</v>
      </c>
      <c r="J106" s="959">
        <v>0</v>
      </c>
      <c r="K106" s="831">
        <f t="shared" ref="K106:K107" ca="1" si="57">IF(I106&gt;0,J106*100/I106,0)</f>
        <v>0</v>
      </c>
      <c r="L106" s="831"/>
      <c r="M106" s="831"/>
      <c r="N106" s="831"/>
      <c r="O106" s="945"/>
      <c r="P106" s="945"/>
    </row>
    <row r="107" spans="1:16" ht="18.75">
      <c r="A107" s="949"/>
      <c r="B107" s="950"/>
      <c r="C107" s="950"/>
      <c r="D107" s="957"/>
      <c r="E107" s="962" t="s">
        <v>55</v>
      </c>
      <c r="F107" s="957"/>
      <c r="G107" s="958"/>
      <c r="H107" s="590" t="s">
        <v>49</v>
      </c>
      <c r="I107" s="830">
        <f ca="1">IFERROR(__xludf.DUMMYFUNCTION("IMPORTRANGE(""https://docs.google.com/spreadsheets/d/1QqKyyYR6Q21VydFLVH3TRQUabQu_ym0Zz7PgGX0-kHA/edit?usp=sharing"",""แผน!P20"")"),1)</f>
        <v>1</v>
      </c>
      <c r="J107" s="959">
        <v>0</v>
      </c>
      <c r="K107" s="831">
        <f t="shared" ca="1" si="57"/>
        <v>0</v>
      </c>
      <c r="L107" s="831"/>
      <c r="M107" s="831"/>
      <c r="N107" s="831"/>
      <c r="O107" s="945"/>
      <c r="P107" s="945"/>
    </row>
    <row r="108" spans="1:16" ht="19.5">
      <c r="A108" s="949"/>
      <c r="B108" s="950"/>
      <c r="C108" s="950"/>
      <c r="D108" s="957"/>
      <c r="E108" s="960" t="s">
        <v>56</v>
      </c>
      <c r="F108" s="957"/>
      <c r="G108" s="958"/>
      <c r="H108" s="963"/>
      <c r="I108" s="830"/>
      <c r="J108" s="830"/>
      <c r="K108" s="831"/>
      <c r="L108" s="831"/>
      <c r="M108" s="831"/>
      <c r="N108" s="831"/>
      <c r="O108" s="945"/>
      <c r="P108" s="945"/>
    </row>
    <row r="109" spans="1:16" ht="19.5">
      <c r="A109" s="949"/>
      <c r="B109" s="950"/>
      <c r="C109" s="950"/>
      <c r="D109" s="957"/>
      <c r="E109" s="956" t="s">
        <v>57</v>
      </c>
      <c r="F109" s="957"/>
      <c r="G109" s="958"/>
      <c r="H109" s="590" t="s">
        <v>49</v>
      </c>
      <c r="I109" s="830">
        <f ca="1">IFERROR(__xludf.DUMMYFUNCTION("IMPORTRANGE(""https://docs.google.com/spreadsheets/d/1QqKyyYR6Q21VydFLVH3TRQUabQu_ym0Zz7PgGX0-kHA/edit?usp=sharing"",""แผน!Q20"")"),1)</f>
        <v>1</v>
      </c>
      <c r="J109" s="959">
        <v>0</v>
      </c>
      <c r="K109" s="831">
        <f t="shared" ref="K109:K116" ca="1" si="58">IF(I109&gt;0,J109*100/I109,0)</f>
        <v>0</v>
      </c>
      <c r="L109" s="831"/>
      <c r="M109" s="831"/>
      <c r="N109" s="831"/>
      <c r="O109" s="945"/>
      <c r="P109" s="945"/>
    </row>
    <row r="110" spans="1:16" ht="18.75">
      <c r="A110" s="949"/>
      <c r="B110" s="950"/>
      <c r="C110" s="950"/>
      <c r="D110" s="957"/>
      <c r="E110" s="964" t="s">
        <v>58</v>
      </c>
      <c r="F110" s="957"/>
      <c r="G110" s="958"/>
      <c r="H110" s="590" t="s">
        <v>49</v>
      </c>
      <c r="I110" s="830">
        <f ca="1">IFERROR(__xludf.DUMMYFUNCTION("IMPORTRANGE(""https://docs.google.com/spreadsheets/d/1QqKyyYR6Q21VydFLVH3TRQUabQu_ym0Zz7PgGX0-kHA/edit?usp=sharing"",""แผน!Q20"")"),1)</f>
        <v>1</v>
      </c>
      <c r="J110" s="959">
        <v>0</v>
      </c>
      <c r="K110" s="831">
        <f t="shared" ca="1" si="58"/>
        <v>0</v>
      </c>
      <c r="L110" s="831"/>
      <c r="M110" s="831"/>
      <c r="N110" s="831"/>
      <c r="O110" s="945"/>
      <c r="P110" s="945"/>
    </row>
    <row r="111" spans="1:16" ht="19.5">
      <c r="A111" s="949"/>
      <c r="B111" s="950"/>
      <c r="C111" s="950"/>
      <c r="D111" s="960" t="s">
        <v>59</v>
      </c>
      <c r="E111" s="960"/>
      <c r="F111" s="957"/>
      <c r="G111" s="958"/>
      <c r="H111" s="733" t="s">
        <v>35</v>
      </c>
      <c r="I111" s="965">
        <f ca="1">IFERROR(__xludf.DUMMYFUNCTION("IMPORTRANGE(""https://docs.google.com/spreadsheets/d/1QqKyyYR6Q21VydFLVH3TRQUabQu_ym0Zz7PgGX0-kHA/edit?usp=sharing"",""แผน!R20"")"),20)</f>
        <v>20</v>
      </c>
      <c r="J111" s="966">
        <f>J114</f>
        <v>0</v>
      </c>
      <c r="K111" s="967">
        <f t="shared" ca="1" si="58"/>
        <v>0</v>
      </c>
      <c r="L111" s="831"/>
      <c r="M111" s="831"/>
      <c r="N111" s="831"/>
      <c r="O111" s="945"/>
      <c r="P111" s="945"/>
    </row>
    <row r="112" spans="1:16" ht="19.5">
      <c r="A112" s="949"/>
      <c r="B112" s="950"/>
      <c r="C112" s="950"/>
      <c r="D112" s="950"/>
      <c r="E112" s="957"/>
      <c r="F112" s="957"/>
      <c r="G112" s="958"/>
      <c r="H112" s="196" t="s">
        <v>49</v>
      </c>
      <c r="I112" s="965">
        <f t="shared" ref="I112:J112" ca="1" si="59">I115+I116</f>
        <v>2</v>
      </c>
      <c r="J112" s="966">
        <f t="shared" si="59"/>
        <v>0</v>
      </c>
      <c r="K112" s="967">
        <f t="shared" ca="1" si="58"/>
        <v>0</v>
      </c>
      <c r="L112" s="831"/>
      <c r="M112" s="831"/>
      <c r="N112" s="831"/>
      <c r="O112" s="945"/>
      <c r="P112" s="945"/>
    </row>
    <row r="113" spans="1:26" ht="19.5">
      <c r="A113" s="949"/>
      <c r="B113" s="950"/>
      <c r="C113" s="950"/>
      <c r="D113" s="950"/>
      <c r="E113" s="968" t="s">
        <v>60</v>
      </c>
      <c r="F113" s="957"/>
      <c r="G113" s="958"/>
      <c r="H113" s="198" t="s">
        <v>35</v>
      </c>
      <c r="I113" s="944">
        <f ca="1">IFERROR(__xludf.DUMMYFUNCTION("IMPORTRANGE(""https://docs.google.com/spreadsheets/d/1QqKyyYR6Q21VydFLVH3TRQUabQu_ym0Zz7PgGX0-kHA/edit?usp=sharing"",""แผน!R20"")"),20)</f>
        <v>20</v>
      </c>
      <c r="J113" s="959">
        <v>0</v>
      </c>
      <c r="K113" s="831">
        <f t="shared" ca="1" si="58"/>
        <v>0</v>
      </c>
      <c r="L113" s="831"/>
      <c r="M113" s="831"/>
      <c r="N113" s="831"/>
      <c r="O113" s="945"/>
      <c r="P113" s="945"/>
    </row>
    <row r="114" spans="1:26" ht="19.5">
      <c r="A114" s="949"/>
      <c r="B114" s="950"/>
      <c r="C114" s="950"/>
      <c r="D114" s="950"/>
      <c r="E114" s="956" t="s">
        <v>61</v>
      </c>
      <c r="F114" s="957"/>
      <c r="G114" s="958"/>
      <c r="H114" s="199" t="s">
        <v>35</v>
      </c>
      <c r="I114" s="944">
        <f ca="1">IFERROR(__xludf.DUMMYFUNCTION("IMPORTRANGE(""https://docs.google.com/spreadsheets/d/1QqKyyYR6Q21VydFLVH3TRQUabQu_ym0Zz7PgGX0-kHA/edit?usp=sharing"",""แผน!R20"")"),20)</f>
        <v>20</v>
      </c>
      <c r="J114" s="959">
        <v>0</v>
      </c>
      <c r="K114" s="831">
        <f t="shared" ca="1" si="58"/>
        <v>0</v>
      </c>
      <c r="L114" s="831"/>
      <c r="M114" s="831"/>
      <c r="N114" s="831"/>
      <c r="O114" s="945"/>
      <c r="P114" s="945"/>
    </row>
    <row r="115" spans="1:26" ht="18.75">
      <c r="A115" s="949"/>
      <c r="B115" s="950"/>
      <c r="C115" s="950"/>
      <c r="D115" s="950"/>
      <c r="E115" s="956" t="s">
        <v>62</v>
      </c>
      <c r="F115" s="957"/>
      <c r="G115" s="958"/>
      <c r="H115" s="199" t="s">
        <v>49</v>
      </c>
      <c r="I115" s="944">
        <f ca="1">IFERROR(__xludf.DUMMYFUNCTION("IMPORTRANGE(""https://docs.google.com/spreadsheets/d/1QqKyyYR6Q21VydFLVH3TRQUabQu_ym0Zz7PgGX0-kHA/edit?usp=sharing"",""แผน!S20"")"),1)</f>
        <v>1</v>
      </c>
      <c r="J115" s="959">
        <v>0</v>
      </c>
      <c r="K115" s="831">
        <f t="shared" ca="1" si="58"/>
        <v>0</v>
      </c>
      <c r="L115" s="831"/>
      <c r="M115" s="831"/>
      <c r="N115" s="831"/>
      <c r="O115" s="945"/>
      <c r="P115" s="945"/>
    </row>
    <row r="116" spans="1:26" ht="18.75">
      <c r="A116" s="949"/>
      <c r="B116" s="950"/>
      <c r="C116" s="950"/>
      <c r="D116" s="950"/>
      <c r="E116" s="956" t="s">
        <v>63</v>
      </c>
      <c r="F116" s="957"/>
      <c r="G116" s="958"/>
      <c r="H116" s="199" t="s">
        <v>49</v>
      </c>
      <c r="I116" s="944">
        <f ca="1">IFERROR(__xludf.DUMMYFUNCTION("IMPORTRANGE(""https://docs.google.com/spreadsheets/d/1QqKyyYR6Q21VydFLVH3TRQUabQu_ym0Zz7PgGX0-kHA/edit?usp=sharing"",""แผน!T20"")"),1)</f>
        <v>1</v>
      </c>
      <c r="J116" s="959">
        <v>0</v>
      </c>
      <c r="K116" s="831">
        <f t="shared" ca="1" si="58"/>
        <v>0</v>
      </c>
      <c r="L116" s="831"/>
      <c r="M116" s="831"/>
      <c r="N116" s="831"/>
      <c r="O116" s="945"/>
      <c r="P116" s="945"/>
    </row>
    <row r="117" spans="1:26" ht="19.5">
      <c r="A117" s="917" t="s">
        <v>64</v>
      </c>
      <c r="B117" s="918"/>
      <c r="C117" s="969"/>
      <c r="D117" s="918"/>
      <c r="E117" s="918"/>
      <c r="F117" s="918"/>
      <c r="G117" s="918"/>
      <c r="H117" s="970"/>
      <c r="I117" s="971"/>
      <c r="J117" s="971"/>
      <c r="K117" s="972"/>
      <c r="L117" s="923"/>
      <c r="M117" s="923"/>
      <c r="N117" s="923"/>
      <c r="O117" s="923"/>
      <c r="P117" s="923"/>
    </row>
    <row r="118" spans="1:26" ht="19.5">
      <c r="A118" s="924"/>
      <c r="B118" s="925" t="s">
        <v>65</v>
      </c>
      <c r="C118" s="973"/>
      <c r="D118" s="927"/>
      <c r="E118" s="926"/>
      <c r="F118" s="926"/>
      <c r="G118" s="928"/>
      <c r="H118" s="205" t="s">
        <v>66</v>
      </c>
      <c r="I118" s="974">
        <v>1</v>
      </c>
      <c r="J118" s="974">
        <f>J438</f>
        <v>0</v>
      </c>
      <c r="K118" s="931">
        <f>IF(I118&gt;0,J118*100/I118,0)</f>
        <v>0</v>
      </c>
      <c r="L118" s="931"/>
      <c r="M118" s="931"/>
      <c r="N118" s="931"/>
      <c r="O118" s="931"/>
      <c r="P118" s="931"/>
    </row>
    <row r="119" spans="1:26" ht="19.5">
      <c r="A119" s="932"/>
      <c r="B119" s="933"/>
      <c r="C119" s="934" t="s">
        <v>16</v>
      </c>
      <c r="D119" s="935" t="s">
        <v>17</v>
      </c>
      <c r="E119" s="933"/>
      <c r="F119" s="933"/>
      <c r="G119" s="936"/>
      <c r="H119" s="152" t="s">
        <v>12</v>
      </c>
      <c r="I119" s="937"/>
      <c r="J119" s="937"/>
      <c r="K119" s="938"/>
      <c r="L119" s="939">
        <f t="shared" ref="L119:N119" ca="1" si="60">L120+L121</f>
        <v>0</v>
      </c>
      <c r="M119" s="939">
        <f t="shared" ca="1" si="60"/>
        <v>0</v>
      </c>
      <c r="N119" s="939">
        <f t="shared" ca="1" si="60"/>
        <v>0</v>
      </c>
      <c r="O119" s="939">
        <f t="shared" ref="O119:O127" ca="1" si="61">IF(L119&gt;0,N119*100/L119,0)</f>
        <v>0</v>
      </c>
      <c r="P119" s="939">
        <f t="shared" ref="P119:P127" ca="1" si="62">IF(M119&gt;0,N119*100/M119,0)</f>
        <v>0</v>
      </c>
      <c r="Q119" s="818"/>
      <c r="R119" s="818"/>
      <c r="S119" s="818"/>
      <c r="T119" s="818"/>
      <c r="U119" s="818"/>
      <c r="V119" s="818"/>
      <c r="W119" s="818"/>
      <c r="X119" s="818"/>
      <c r="Y119" s="818"/>
      <c r="Z119" s="818"/>
    </row>
    <row r="120" spans="1:26" ht="18.75" hidden="1">
      <c r="A120" s="940"/>
      <c r="B120" s="833"/>
      <c r="C120" s="833"/>
      <c r="D120" s="833"/>
      <c r="E120" s="834" t="s">
        <v>18</v>
      </c>
      <c r="F120" s="833"/>
      <c r="G120" s="941"/>
      <c r="H120" s="158" t="s">
        <v>12</v>
      </c>
      <c r="I120" s="836"/>
      <c r="J120" s="836"/>
      <c r="K120" s="837"/>
      <c r="L120" s="837">
        <f t="shared" ref="L120:N121" si="63">L123+L126</f>
        <v>0</v>
      </c>
      <c r="M120" s="837">
        <f t="shared" si="63"/>
        <v>0</v>
      </c>
      <c r="N120" s="837">
        <f t="shared" si="63"/>
        <v>0</v>
      </c>
      <c r="O120" s="837">
        <f t="shared" si="61"/>
        <v>0</v>
      </c>
      <c r="P120" s="837">
        <f t="shared" si="62"/>
        <v>0</v>
      </c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</row>
    <row r="121" spans="1:26" ht="18.75" hidden="1">
      <c r="A121" s="940"/>
      <c r="B121" s="833"/>
      <c r="C121" s="833"/>
      <c r="D121" s="833"/>
      <c r="E121" s="834" t="s">
        <v>19</v>
      </c>
      <c r="F121" s="833"/>
      <c r="G121" s="941"/>
      <c r="H121" s="158" t="s">
        <v>12</v>
      </c>
      <c r="I121" s="836"/>
      <c r="J121" s="836"/>
      <c r="K121" s="837"/>
      <c r="L121" s="837">
        <f t="shared" ca="1" si="63"/>
        <v>0</v>
      </c>
      <c r="M121" s="837">
        <f t="shared" ca="1" si="63"/>
        <v>0</v>
      </c>
      <c r="N121" s="837">
        <f t="shared" ca="1" si="63"/>
        <v>0</v>
      </c>
      <c r="O121" s="837">
        <f t="shared" ca="1" si="61"/>
        <v>0</v>
      </c>
      <c r="P121" s="837">
        <f t="shared" ca="1" si="62"/>
        <v>0</v>
      </c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</row>
    <row r="122" spans="1:26" ht="18.75" hidden="1">
      <c r="A122" s="942"/>
      <c r="B122" s="827"/>
      <c r="C122" s="943"/>
      <c r="D122" s="828" t="s">
        <v>20</v>
      </c>
      <c r="E122" s="827"/>
      <c r="F122" s="827"/>
      <c r="G122" s="829"/>
      <c r="H122" s="778" t="s">
        <v>12</v>
      </c>
      <c r="I122" s="944"/>
      <c r="J122" s="944"/>
      <c r="K122" s="945"/>
      <c r="L122" s="831">
        <f t="shared" ref="L122:N122" ca="1" si="64">L123+L124</f>
        <v>0</v>
      </c>
      <c r="M122" s="831">
        <f t="shared" ca="1" si="64"/>
        <v>0</v>
      </c>
      <c r="N122" s="831">
        <f t="shared" ca="1" si="64"/>
        <v>0</v>
      </c>
      <c r="O122" s="831">
        <f t="shared" ca="1" si="61"/>
        <v>0</v>
      </c>
      <c r="P122" s="831">
        <f t="shared" ca="1" si="62"/>
        <v>0</v>
      </c>
      <c r="Q122" s="818"/>
      <c r="R122" s="818"/>
      <c r="S122" s="818"/>
      <c r="T122" s="818"/>
      <c r="U122" s="818"/>
      <c r="V122" s="818"/>
      <c r="W122" s="818"/>
      <c r="X122" s="818"/>
      <c r="Y122" s="818"/>
      <c r="Z122" s="818"/>
    </row>
    <row r="123" spans="1:26" ht="18.75" hidden="1">
      <c r="A123" s="940"/>
      <c r="B123" s="833"/>
      <c r="C123" s="834"/>
      <c r="D123" s="833"/>
      <c r="E123" s="834" t="s">
        <v>36</v>
      </c>
      <c r="F123" s="833"/>
      <c r="G123" s="941"/>
      <c r="H123" s="165" t="s">
        <v>12</v>
      </c>
      <c r="I123" s="947"/>
      <c r="J123" s="947"/>
      <c r="K123" s="948"/>
      <c r="L123" s="837">
        <v>0</v>
      </c>
      <c r="M123" s="837">
        <v>0</v>
      </c>
      <c r="N123" s="837">
        <v>0</v>
      </c>
      <c r="O123" s="837">
        <f t="shared" si="61"/>
        <v>0</v>
      </c>
      <c r="P123" s="837">
        <f t="shared" si="62"/>
        <v>0</v>
      </c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</row>
    <row r="124" spans="1:26" ht="18.75" hidden="1">
      <c r="A124" s="940"/>
      <c r="B124" s="833"/>
      <c r="C124" s="834"/>
      <c r="D124" s="833"/>
      <c r="E124" s="834" t="s">
        <v>37</v>
      </c>
      <c r="F124" s="833"/>
      <c r="G124" s="941"/>
      <c r="H124" s="165" t="s">
        <v>12</v>
      </c>
      <c r="I124" s="947"/>
      <c r="J124" s="947"/>
      <c r="K124" s="948"/>
      <c r="L124" s="837">
        <f ca="1">IFERROR(__xludf.DUMMYFUNCTION("IMPORTRANGE(""https://docs.google.com/spreadsheets/d/1MeEWN-I1oV_STSDYn1IFDPWt_1FKiwhDph83XaGc0o0/edit?usp=sharing"",""งบพรบ!BA20"")"),0)</f>
        <v>0</v>
      </c>
      <c r="M124" s="837">
        <f ca="1">IFERROR(__xludf.DUMMYFUNCTION("IMPORTRANGE(""https://docs.google.com/spreadsheets/d/1MeEWN-I1oV_STSDYn1IFDPWt_1FKiwhDph83XaGc0o0/edit?usp=sharing"",""งบพรบ!BF20"")"),0)</f>
        <v>0</v>
      </c>
      <c r="N124" s="837">
        <f ca="1">IFERROR(__xludf.DUMMYFUNCTION("IMPORTRANGE(""https://docs.google.com/spreadsheets/d/1MeEWN-I1oV_STSDYn1IFDPWt_1FKiwhDph83XaGc0o0/edit?usp=sharing"",""งบพรบ!BH20"")"),0)</f>
        <v>0</v>
      </c>
      <c r="O124" s="837">
        <f t="shared" ca="1" si="61"/>
        <v>0</v>
      </c>
      <c r="P124" s="837">
        <f t="shared" ca="1" si="62"/>
        <v>0</v>
      </c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</row>
    <row r="125" spans="1:26" ht="18.75" hidden="1">
      <c r="A125" s="942"/>
      <c r="B125" s="827"/>
      <c r="C125" s="943"/>
      <c r="D125" s="828" t="s">
        <v>21</v>
      </c>
      <c r="E125" s="827"/>
      <c r="F125" s="827"/>
      <c r="G125" s="829"/>
      <c r="H125" s="168" t="s">
        <v>12</v>
      </c>
      <c r="I125" s="944"/>
      <c r="J125" s="944"/>
      <c r="K125" s="945"/>
      <c r="L125" s="831">
        <f t="shared" ref="L125:N125" ca="1" si="65">L126+L127</f>
        <v>0</v>
      </c>
      <c r="M125" s="831">
        <f t="shared" ca="1" si="65"/>
        <v>0</v>
      </c>
      <c r="N125" s="831">
        <f t="shared" ca="1" si="65"/>
        <v>0</v>
      </c>
      <c r="O125" s="831">
        <f t="shared" ca="1" si="61"/>
        <v>0</v>
      </c>
      <c r="P125" s="831">
        <f t="shared" ca="1" si="62"/>
        <v>0</v>
      </c>
      <c r="Q125" s="818"/>
      <c r="R125" s="818"/>
      <c r="S125" s="818"/>
      <c r="T125" s="818"/>
      <c r="U125" s="818"/>
      <c r="V125" s="818"/>
      <c r="W125" s="818"/>
      <c r="X125" s="818"/>
      <c r="Y125" s="818"/>
      <c r="Z125" s="818"/>
    </row>
    <row r="126" spans="1:26" ht="19.5" hidden="1">
      <c r="A126" s="940"/>
      <c r="B126" s="833"/>
      <c r="C126" s="946"/>
      <c r="D126" s="833"/>
      <c r="E126" s="834" t="s">
        <v>18</v>
      </c>
      <c r="F126" s="833"/>
      <c r="G126" s="941"/>
      <c r="H126" s="165" t="s">
        <v>12</v>
      </c>
      <c r="I126" s="947"/>
      <c r="J126" s="947"/>
      <c r="K126" s="948"/>
      <c r="L126" s="837">
        <v>0</v>
      </c>
      <c r="M126" s="837">
        <v>0</v>
      </c>
      <c r="N126" s="837">
        <v>0</v>
      </c>
      <c r="O126" s="837">
        <f t="shared" si="61"/>
        <v>0</v>
      </c>
      <c r="P126" s="837">
        <f t="shared" si="62"/>
        <v>0</v>
      </c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</row>
    <row r="127" spans="1:26" ht="19.5" hidden="1">
      <c r="A127" s="940"/>
      <c r="B127" s="833"/>
      <c r="C127" s="946"/>
      <c r="D127" s="833"/>
      <c r="E127" s="834" t="s">
        <v>19</v>
      </c>
      <c r="F127" s="833"/>
      <c r="G127" s="941"/>
      <c r="H127" s="169" t="s">
        <v>12</v>
      </c>
      <c r="I127" s="947"/>
      <c r="J127" s="947"/>
      <c r="K127" s="948"/>
      <c r="L127" s="837">
        <f ca="1">IFERROR(__xludf.DUMMYFUNCTION("IMPORTRANGE(""https://docs.google.com/spreadsheets/d/1MeEWN-I1oV_STSDYn1IFDPWt_1FKiwhDph83XaGc0o0/edit?usp=sharing"",""งบพรบ!BD20"")"),0)</f>
        <v>0</v>
      </c>
      <c r="M127" s="837">
        <f ca="1">IFERROR(__xludf.DUMMYFUNCTION("IMPORTRANGE(""https://docs.google.com/spreadsheets/d/1MeEWN-I1oV_STSDYn1IFDPWt_1FKiwhDph83XaGc0o0/edit?usp=sharing"",""งบพรบ!BG20"")"),0)</f>
        <v>0</v>
      </c>
      <c r="N127" s="837">
        <f ca="1">IFERROR(__xludf.DUMMYFUNCTION("IMPORTRANGE(""https://docs.google.com/spreadsheets/d/1MeEWN-I1oV_STSDYn1IFDPWt_1FKiwhDph83XaGc0o0/edit?usp=sharing"",""งบพรบ!BI20"")"),0)</f>
        <v>0</v>
      </c>
      <c r="O127" s="837">
        <f t="shared" ca="1" si="61"/>
        <v>0</v>
      </c>
      <c r="P127" s="837">
        <f t="shared" ca="1" si="62"/>
        <v>0</v>
      </c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</row>
    <row r="128" spans="1:26" ht="19.5" hidden="1">
      <c r="A128" s="917" t="s">
        <v>67</v>
      </c>
      <c r="B128" s="918"/>
      <c r="C128" s="969"/>
      <c r="D128" s="918"/>
      <c r="E128" s="918"/>
      <c r="F128" s="918"/>
      <c r="G128" s="918"/>
      <c r="H128" s="970"/>
      <c r="I128" s="971"/>
      <c r="J128" s="971"/>
      <c r="K128" s="972"/>
      <c r="L128" s="923"/>
      <c r="M128" s="923"/>
      <c r="N128" s="923"/>
      <c r="O128" s="923"/>
      <c r="P128" s="923"/>
    </row>
    <row r="129" spans="1:26" ht="19.5" hidden="1">
      <c r="A129" s="924"/>
      <c r="B129" s="925" t="s">
        <v>68</v>
      </c>
      <c r="C129" s="973"/>
      <c r="D129" s="927"/>
      <c r="E129" s="926"/>
      <c r="F129" s="926"/>
      <c r="G129" s="926"/>
      <c r="H129" s="207"/>
      <c r="I129" s="974"/>
      <c r="J129" s="974"/>
      <c r="K129" s="931"/>
      <c r="L129" s="931"/>
      <c r="M129" s="931"/>
      <c r="N129" s="931"/>
      <c r="O129" s="931"/>
      <c r="P129" s="931"/>
    </row>
    <row r="130" spans="1:26" ht="19.5" hidden="1">
      <c r="A130" s="924"/>
      <c r="B130" s="925"/>
      <c r="C130" s="975" t="s">
        <v>69</v>
      </c>
      <c r="D130" s="927"/>
      <c r="E130" s="926"/>
      <c r="F130" s="926"/>
      <c r="G130" s="928"/>
      <c r="H130" s="205" t="s">
        <v>66</v>
      </c>
      <c r="I130" s="929">
        <f t="shared" ref="I130:J130" ca="1" si="66">I146</f>
        <v>0</v>
      </c>
      <c r="J130" s="929">
        <f t="shared" si="66"/>
        <v>0</v>
      </c>
      <c r="K130" s="930">
        <f t="shared" ref="K130:K131" ca="1" si="67">IF(I130&gt;0,J130*100/I130,0)</f>
        <v>0</v>
      </c>
      <c r="L130" s="931"/>
      <c r="M130" s="931"/>
      <c r="N130" s="931"/>
      <c r="O130" s="931"/>
      <c r="P130" s="931"/>
    </row>
    <row r="131" spans="1:26" ht="19.5" hidden="1">
      <c r="A131" s="924"/>
      <c r="B131" s="925"/>
      <c r="C131" s="975" t="s">
        <v>70</v>
      </c>
      <c r="D131" s="927"/>
      <c r="E131" s="926"/>
      <c r="F131" s="926"/>
      <c r="G131" s="928"/>
      <c r="H131" s="205" t="s">
        <v>35</v>
      </c>
      <c r="I131" s="929">
        <f t="shared" ref="I131:J131" ca="1" si="68">I143</f>
        <v>0</v>
      </c>
      <c r="J131" s="929">
        <f t="shared" ca="1" si="68"/>
        <v>0</v>
      </c>
      <c r="K131" s="930">
        <f t="shared" ca="1" si="67"/>
        <v>0</v>
      </c>
      <c r="L131" s="931"/>
      <c r="M131" s="931"/>
      <c r="N131" s="931"/>
      <c r="O131" s="931"/>
      <c r="P131" s="931"/>
    </row>
    <row r="132" spans="1:26" ht="19.5" hidden="1">
      <c r="A132" s="932"/>
      <c r="B132" s="933"/>
      <c r="C132" s="934" t="s">
        <v>16</v>
      </c>
      <c r="D132" s="935" t="s">
        <v>17</v>
      </c>
      <c r="E132" s="933"/>
      <c r="F132" s="933"/>
      <c r="G132" s="936"/>
      <c r="H132" s="152" t="s">
        <v>12</v>
      </c>
      <c r="I132" s="937"/>
      <c r="J132" s="937"/>
      <c r="K132" s="938"/>
      <c r="L132" s="939">
        <f t="shared" ref="L132:N132" ca="1" si="69">L133+L134</f>
        <v>0</v>
      </c>
      <c r="M132" s="939">
        <f t="shared" ca="1" si="69"/>
        <v>0</v>
      </c>
      <c r="N132" s="939">
        <f t="shared" ca="1" si="69"/>
        <v>0</v>
      </c>
      <c r="O132" s="939">
        <f t="shared" ref="O132:O140" ca="1" si="70">IF(L132&gt;0,N132*100/L132,0)</f>
        <v>0</v>
      </c>
      <c r="P132" s="939">
        <f t="shared" ref="P132:P140" ca="1" si="71">IF(M132&gt;0,N132*100/M132,0)</f>
        <v>0</v>
      </c>
      <c r="Q132" s="818"/>
      <c r="R132" s="818"/>
      <c r="S132" s="818"/>
      <c r="T132" s="818"/>
      <c r="U132" s="818"/>
      <c r="V132" s="818"/>
      <c r="W132" s="818"/>
      <c r="X132" s="818"/>
      <c r="Y132" s="818"/>
      <c r="Z132" s="818"/>
    </row>
    <row r="133" spans="1:26" ht="18.75" hidden="1">
      <c r="A133" s="940"/>
      <c r="B133" s="833"/>
      <c r="C133" s="833"/>
      <c r="D133" s="833"/>
      <c r="E133" s="834" t="s">
        <v>18</v>
      </c>
      <c r="F133" s="833"/>
      <c r="G133" s="941"/>
      <c r="H133" s="158" t="s">
        <v>12</v>
      </c>
      <c r="I133" s="836"/>
      <c r="J133" s="836"/>
      <c r="K133" s="837"/>
      <c r="L133" s="837">
        <f t="shared" ref="L133:N134" si="72">L136+L139</f>
        <v>0</v>
      </c>
      <c r="M133" s="837">
        <f t="shared" si="72"/>
        <v>0</v>
      </c>
      <c r="N133" s="837">
        <f t="shared" si="72"/>
        <v>0</v>
      </c>
      <c r="O133" s="837">
        <f t="shared" si="70"/>
        <v>0</v>
      </c>
      <c r="P133" s="837">
        <f t="shared" si="71"/>
        <v>0</v>
      </c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</row>
    <row r="134" spans="1:26" ht="18.75" hidden="1">
      <c r="A134" s="940"/>
      <c r="B134" s="833"/>
      <c r="C134" s="833"/>
      <c r="D134" s="833"/>
      <c r="E134" s="834" t="s">
        <v>19</v>
      </c>
      <c r="F134" s="833"/>
      <c r="G134" s="941"/>
      <c r="H134" s="158" t="s">
        <v>12</v>
      </c>
      <c r="I134" s="836"/>
      <c r="J134" s="836"/>
      <c r="K134" s="837"/>
      <c r="L134" s="837">
        <f t="shared" ca="1" si="72"/>
        <v>0</v>
      </c>
      <c r="M134" s="837">
        <f t="shared" ca="1" si="72"/>
        <v>0</v>
      </c>
      <c r="N134" s="837">
        <f t="shared" ca="1" si="72"/>
        <v>0</v>
      </c>
      <c r="O134" s="837">
        <f t="shared" ca="1" si="70"/>
        <v>0</v>
      </c>
      <c r="P134" s="837">
        <f t="shared" ca="1" si="71"/>
        <v>0</v>
      </c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</row>
    <row r="135" spans="1:26" ht="18.75" hidden="1">
      <c r="A135" s="942"/>
      <c r="B135" s="827"/>
      <c r="C135" s="943"/>
      <c r="D135" s="828" t="s">
        <v>20</v>
      </c>
      <c r="E135" s="827"/>
      <c r="F135" s="827"/>
      <c r="G135" s="829"/>
      <c r="H135" s="778" t="s">
        <v>12</v>
      </c>
      <c r="I135" s="944"/>
      <c r="J135" s="944"/>
      <c r="K135" s="945"/>
      <c r="L135" s="831">
        <f t="shared" ref="L135:N135" ca="1" si="73">L136+L137</f>
        <v>0</v>
      </c>
      <c r="M135" s="831">
        <f t="shared" ca="1" si="73"/>
        <v>0</v>
      </c>
      <c r="N135" s="831">
        <f t="shared" ca="1" si="73"/>
        <v>0</v>
      </c>
      <c r="O135" s="831">
        <f t="shared" ca="1" si="70"/>
        <v>0</v>
      </c>
      <c r="P135" s="831">
        <f t="shared" ca="1" si="71"/>
        <v>0</v>
      </c>
      <c r="Q135" s="818"/>
      <c r="R135" s="818"/>
      <c r="S135" s="818"/>
      <c r="T135" s="818"/>
      <c r="U135" s="818"/>
      <c r="V135" s="818"/>
      <c r="W135" s="818"/>
      <c r="X135" s="818"/>
      <c r="Y135" s="818"/>
      <c r="Z135" s="818"/>
    </row>
    <row r="136" spans="1:26" ht="19.5" hidden="1">
      <c r="A136" s="940"/>
      <c r="B136" s="833"/>
      <c r="C136" s="946"/>
      <c r="D136" s="833"/>
      <c r="E136" s="834" t="s">
        <v>36</v>
      </c>
      <c r="F136" s="833"/>
      <c r="G136" s="941"/>
      <c r="H136" s="165" t="s">
        <v>12</v>
      </c>
      <c r="I136" s="947"/>
      <c r="J136" s="947"/>
      <c r="K136" s="948"/>
      <c r="L136" s="837">
        <v>0</v>
      </c>
      <c r="M136" s="837">
        <v>0</v>
      </c>
      <c r="N136" s="837">
        <v>0</v>
      </c>
      <c r="O136" s="837">
        <f t="shared" si="70"/>
        <v>0</v>
      </c>
      <c r="P136" s="837">
        <f t="shared" si="71"/>
        <v>0</v>
      </c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</row>
    <row r="137" spans="1:26" ht="19.5" hidden="1">
      <c r="A137" s="940"/>
      <c r="B137" s="833"/>
      <c r="C137" s="946"/>
      <c r="D137" s="833"/>
      <c r="E137" s="834" t="s">
        <v>37</v>
      </c>
      <c r="F137" s="833"/>
      <c r="G137" s="941"/>
      <c r="H137" s="165" t="s">
        <v>12</v>
      </c>
      <c r="I137" s="947"/>
      <c r="J137" s="947"/>
      <c r="K137" s="948"/>
      <c r="L137" s="837">
        <f ca="1">IFERROR(__xludf.DUMMYFUNCTION("IMPORTRANGE(""https://docs.google.com/spreadsheets/d/1MeEWN-I1oV_STSDYn1IFDPWt_1FKiwhDph83XaGc0o0/edit?usp=sharing"",""งบพรบ!BK20"")"),0)</f>
        <v>0</v>
      </c>
      <c r="M137" s="837">
        <f ca="1">IFERROR(__xludf.DUMMYFUNCTION("IMPORTRANGE(""https://docs.google.com/spreadsheets/d/1MeEWN-I1oV_STSDYn1IFDPWt_1FKiwhDph83XaGc0o0/edit?usp=sharing"",""งบพรบ!BP20"")"),0)</f>
        <v>0</v>
      </c>
      <c r="N137" s="837">
        <f ca="1">IFERROR(__xludf.DUMMYFUNCTION("IMPORTRANGE(""https://docs.google.com/spreadsheets/d/1MeEWN-I1oV_STSDYn1IFDPWt_1FKiwhDph83XaGc0o0/edit?usp=sharing"",""งบพรบ!BR20"")"),0)</f>
        <v>0</v>
      </c>
      <c r="O137" s="837">
        <f t="shared" ca="1" si="70"/>
        <v>0</v>
      </c>
      <c r="P137" s="837">
        <f t="shared" ca="1" si="71"/>
        <v>0</v>
      </c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</row>
    <row r="138" spans="1:26" ht="18.75" hidden="1">
      <c r="A138" s="942"/>
      <c r="B138" s="827"/>
      <c r="C138" s="943"/>
      <c r="D138" s="828" t="s">
        <v>21</v>
      </c>
      <c r="E138" s="827"/>
      <c r="F138" s="827"/>
      <c r="G138" s="829"/>
      <c r="H138" s="168" t="s">
        <v>12</v>
      </c>
      <c r="I138" s="944"/>
      <c r="J138" s="944"/>
      <c r="K138" s="945"/>
      <c r="L138" s="831">
        <f t="shared" ref="L138:N138" ca="1" si="74">L139+L140</f>
        <v>0</v>
      </c>
      <c r="M138" s="831">
        <f t="shared" ca="1" si="74"/>
        <v>0</v>
      </c>
      <c r="N138" s="831">
        <f t="shared" ca="1" si="74"/>
        <v>0</v>
      </c>
      <c r="O138" s="831">
        <f t="shared" ca="1" si="70"/>
        <v>0</v>
      </c>
      <c r="P138" s="831">
        <f t="shared" ca="1" si="71"/>
        <v>0</v>
      </c>
      <c r="Q138" s="818"/>
      <c r="R138" s="818"/>
      <c r="S138" s="818"/>
      <c r="T138" s="818"/>
      <c r="U138" s="818"/>
      <c r="V138" s="818"/>
      <c r="W138" s="818"/>
      <c r="X138" s="818"/>
      <c r="Y138" s="818"/>
      <c r="Z138" s="818"/>
    </row>
    <row r="139" spans="1:26" ht="19.5" hidden="1">
      <c r="A139" s="940"/>
      <c r="B139" s="833"/>
      <c r="C139" s="946"/>
      <c r="D139" s="833"/>
      <c r="E139" s="834" t="s">
        <v>18</v>
      </c>
      <c r="F139" s="833"/>
      <c r="G139" s="941"/>
      <c r="H139" s="165" t="s">
        <v>12</v>
      </c>
      <c r="I139" s="947"/>
      <c r="J139" s="947"/>
      <c r="K139" s="948"/>
      <c r="L139" s="837">
        <v>0</v>
      </c>
      <c r="M139" s="837">
        <v>0</v>
      </c>
      <c r="N139" s="837">
        <v>0</v>
      </c>
      <c r="O139" s="837">
        <f t="shared" si="70"/>
        <v>0</v>
      </c>
      <c r="P139" s="837">
        <f t="shared" si="71"/>
        <v>0</v>
      </c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</row>
    <row r="140" spans="1:26" ht="19.5" hidden="1">
      <c r="A140" s="940"/>
      <c r="B140" s="833"/>
      <c r="C140" s="946"/>
      <c r="D140" s="833"/>
      <c r="E140" s="834" t="s">
        <v>19</v>
      </c>
      <c r="F140" s="833"/>
      <c r="G140" s="941"/>
      <c r="H140" s="169" t="s">
        <v>12</v>
      </c>
      <c r="I140" s="947"/>
      <c r="J140" s="947"/>
      <c r="K140" s="948"/>
      <c r="L140" s="837">
        <f ca="1">IFERROR(__xludf.DUMMYFUNCTION("IMPORTRANGE(""https://docs.google.com/spreadsheets/d/1MeEWN-I1oV_STSDYn1IFDPWt_1FKiwhDph83XaGc0o0/edit?usp=sharing"",""งบพรบ!BN20"")"),0)</f>
        <v>0</v>
      </c>
      <c r="M140" s="837">
        <f ca="1">IFERROR(__xludf.DUMMYFUNCTION("IMPORTRANGE(""https://docs.google.com/spreadsheets/d/1MeEWN-I1oV_STSDYn1IFDPWt_1FKiwhDph83XaGc0o0/edit?usp=sharing"",""งบพรบ!BQ20"")"),0)</f>
        <v>0</v>
      </c>
      <c r="N140" s="837">
        <f ca="1">IFERROR(__xludf.DUMMYFUNCTION("IMPORTRANGE(""https://docs.google.com/spreadsheets/d/1MeEWN-I1oV_STSDYn1IFDPWt_1FKiwhDph83XaGc0o0/edit?usp=sharing"",""งบพรบ!BS20"")"),0)</f>
        <v>0</v>
      </c>
      <c r="O140" s="837">
        <f t="shared" ca="1" si="70"/>
        <v>0</v>
      </c>
      <c r="P140" s="837">
        <f t="shared" ca="1" si="71"/>
        <v>0</v>
      </c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</row>
    <row r="141" spans="1:26" ht="19.5" hidden="1">
      <c r="A141" s="949"/>
      <c r="B141" s="950"/>
      <c r="C141" s="934" t="s">
        <v>16</v>
      </c>
      <c r="D141" s="951" t="s">
        <v>38</v>
      </c>
      <c r="E141" s="952"/>
      <c r="F141" s="952"/>
      <c r="G141" s="953"/>
      <c r="H141" s="168"/>
      <c r="I141" s="830"/>
      <c r="J141" s="830"/>
      <c r="K141" s="831"/>
      <c r="L141" s="831"/>
      <c r="M141" s="831"/>
      <c r="N141" s="831"/>
      <c r="O141" s="831"/>
      <c r="P141" s="831"/>
    </row>
    <row r="142" spans="1:26" ht="19.5" hidden="1">
      <c r="A142" s="942"/>
      <c r="B142" s="827"/>
      <c r="C142" s="976"/>
      <c r="D142" s="943" t="s">
        <v>71</v>
      </c>
      <c r="E142" s="828"/>
      <c r="F142" s="827"/>
      <c r="G142" s="977"/>
      <c r="H142" s="168"/>
      <c r="I142" s="830"/>
      <c r="J142" s="959">
        <v>0</v>
      </c>
      <c r="K142" s="831"/>
      <c r="L142" s="831"/>
      <c r="M142" s="831"/>
      <c r="N142" s="831"/>
      <c r="O142" s="831"/>
      <c r="P142" s="831"/>
    </row>
    <row r="143" spans="1:26" ht="19.5" hidden="1">
      <c r="A143" s="942"/>
      <c r="B143" s="827"/>
      <c r="C143" s="976"/>
      <c r="D143" s="943" t="s">
        <v>72</v>
      </c>
      <c r="E143" s="828"/>
      <c r="F143" s="827"/>
      <c r="G143" s="977"/>
      <c r="H143" s="168" t="s">
        <v>35</v>
      </c>
      <c r="I143" s="830">
        <f ca="1">I145</f>
        <v>0</v>
      </c>
      <c r="J143" s="830">
        <f ca="1">IF(AND(J144&gt;=I144,J145&gt;=I145),J145,0)</f>
        <v>0</v>
      </c>
      <c r="K143" s="831">
        <f t="shared" ref="K143:K146" ca="1" si="75">IF(I143&gt;0,J143*100/I143,0)</f>
        <v>0</v>
      </c>
      <c r="L143" s="831"/>
      <c r="M143" s="831"/>
      <c r="N143" s="831"/>
      <c r="O143" s="831"/>
      <c r="P143" s="831"/>
    </row>
    <row r="144" spans="1:26" ht="19.5" hidden="1">
      <c r="A144" s="942"/>
      <c r="B144" s="827"/>
      <c r="C144" s="976"/>
      <c r="D144" s="957"/>
      <c r="E144" s="943" t="s">
        <v>73</v>
      </c>
      <c r="F144" s="827"/>
      <c r="G144" s="977"/>
      <c r="H144" s="168" t="s">
        <v>35</v>
      </c>
      <c r="I144" s="830">
        <f ca="1">IFERROR(__xludf.DUMMYFUNCTION("IMPORTRANGE(""https://docs.google.com/spreadsheets/d/1QqKyyYR6Q21VydFLVH3TRQUabQu_ym0Zz7PgGX0-kHA/edit?usp=sharing"",""แผน!U20"")"),0)</f>
        <v>0</v>
      </c>
      <c r="J144" s="959">
        <v>0</v>
      </c>
      <c r="K144" s="831">
        <f t="shared" ca="1" si="75"/>
        <v>0</v>
      </c>
      <c r="L144" s="831"/>
      <c r="M144" s="831"/>
      <c r="N144" s="831"/>
      <c r="O144" s="831"/>
      <c r="P144" s="831"/>
    </row>
    <row r="145" spans="1:26" ht="19.5" hidden="1">
      <c r="A145" s="942"/>
      <c r="B145" s="827"/>
      <c r="C145" s="976"/>
      <c r="D145" s="957"/>
      <c r="E145" s="943" t="s">
        <v>74</v>
      </c>
      <c r="F145" s="827"/>
      <c r="G145" s="977"/>
      <c r="H145" s="168" t="s">
        <v>35</v>
      </c>
      <c r="I145" s="830">
        <f ca="1">IFERROR(__xludf.DUMMYFUNCTION("IMPORTRANGE(""https://docs.google.com/spreadsheets/d/1QqKyyYR6Q21VydFLVH3TRQUabQu_ym0Zz7PgGX0-kHA/edit?usp=sharing"",""แผน!V20"")"),0)</f>
        <v>0</v>
      </c>
      <c r="J145" s="959">
        <v>0</v>
      </c>
      <c r="K145" s="831">
        <f t="shared" ca="1" si="75"/>
        <v>0</v>
      </c>
      <c r="L145" s="831"/>
      <c r="M145" s="831"/>
      <c r="N145" s="831"/>
      <c r="O145" s="831"/>
      <c r="P145" s="831"/>
    </row>
    <row r="146" spans="1:26" ht="19.5" hidden="1">
      <c r="A146" s="942"/>
      <c r="B146" s="827"/>
      <c r="C146" s="976"/>
      <c r="D146" s="943" t="s">
        <v>75</v>
      </c>
      <c r="E146" s="828"/>
      <c r="F146" s="827"/>
      <c r="G146" s="977"/>
      <c r="H146" s="168" t="s">
        <v>66</v>
      </c>
      <c r="I146" s="830">
        <f ca="1">IFERROR(__xludf.DUMMYFUNCTION("IMPORTRANGE(""https://docs.google.com/spreadsheets/d/1QqKyyYR6Q21VydFLVH3TRQUabQu_ym0Zz7PgGX0-kHA/edit?usp=sharing"",""แผน!W20"")"),0)</f>
        <v>0</v>
      </c>
      <c r="J146" s="959">
        <v>0</v>
      </c>
      <c r="K146" s="831">
        <f t="shared" ca="1" si="75"/>
        <v>0</v>
      </c>
      <c r="L146" s="831"/>
      <c r="M146" s="831"/>
      <c r="N146" s="831"/>
      <c r="O146" s="831"/>
      <c r="P146" s="831"/>
    </row>
    <row r="147" spans="1:26" ht="19.5">
      <c r="A147" s="917" t="s">
        <v>76</v>
      </c>
      <c r="B147" s="918"/>
      <c r="C147" s="969"/>
      <c r="D147" s="918"/>
      <c r="E147" s="918"/>
      <c r="F147" s="918"/>
      <c r="G147" s="918"/>
      <c r="H147" s="970"/>
      <c r="I147" s="971"/>
      <c r="J147" s="971"/>
      <c r="K147" s="972"/>
      <c r="L147" s="923"/>
      <c r="M147" s="923"/>
      <c r="N147" s="923"/>
      <c r="O147" s="923"/>
      <c r="P147" s="923"/>
    </row>
    <row r="148" spans="1:26" ht="19.5">
      <c r="A148" s="978"/>
      <c r="B148" s="925" t="s">
        <v>77</v>
      </c>
      <c r="C148" s="925"/>
      <c r="D148" s="925"/>
      <c r="E148" s="979"/>
      <c r="F148" s="980"/>
      <c r="G148" s="981"/>
      <c r="H148" s="221" t="s">
        <v>35</v>
      </c>
      <c r="I148" s="929">
        <f t="shared" ref="I148:J148" ca="1" si="76">I159</f>
        <v>20</v>
      </c>
      <c r="J148" s="929">
        <f t="shared" si="76"/>
        <v>0</v>
      </c>
      <c r="K148" s="930">
        <f ca="1">IF(I148&gt;0,J148*100/I148,0)</f>
        <v>0</v>
      </c>
      <c r="L148" s="930"/>
      <c r="M148" s="930"/>
      <c r="N148" s="930"/>
      <c r="O148" s="930"/>
      <c r="P148" s="930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32"/>
      <c r="B149" s="933"/>
      <c r="C149" s="934" t="s">
        <v>16</v>
      </c>
      <c r="D149" s="935" t="s">
        <v>17</v>
      </c>
      <c r="E149" s="933"/>
      <c r="F149" s="933"/>
      <c r="G149" s="936"/>
      <c r="H149" s="152" t="s">
        <v>12</v>
      </c>
      <c r="I149" s="937"/>
      <c r="J149" s="937"/>
      <c r="K149" s="938"/>
      <c r="L149" s="939">
        <f t="shared" ref="L149:N149" ca="1" si="77">L150+L151</f>
        <v>10000</v>
      </c>
      <c r="M149" s="939">
        <f t="shared" ca="1" si="77"/>
        <v>12080</v>
      </c>
      <c r="N149" s="939">
        <f t="shared" ca="1" si="77"/>
        <v>2440</v>
      </c>
      <c r="O149" s="939">
        <f t="shared" ref="O149:O157" ca="1" si="78">IF(L149&gt;0,N149*100/L149,0)</f>
        <v>24.4</v>
      </c>
      <c r="P149" s="939">
        <f t="shared" ref="P149:P157" ca="1" si="79">IF(M149&gt;0,N149*100/M149,0)</f>
        <v>20.198675496688743</v>
      </c>
      <c r="Q149" s="818"/>
      <c r="R149" s="818"/>
      <c r="S149" s="818"/>
      <c r="T149" s="818"/>
      <c r="U149" s="818"/>
      <c r="V149" s="818"/>
      <c r="W149" s="818"/>
      <c r="X149" s="818"/>
      <c r="Y149" s="818"/>
      <c r="Z149" s="818"/>
    </row>
    <row r="150" spans="1:26" ht="18.75" hidden="1">
      <c r="A150" s="940"/>
      <c r="B150" s="833"/>
      <c r="C150" s="833"/>
      <c r="D150" s="833"/>
      <c r="E150" s="834" t="s">
        <v>18</v>
      </c>
      <c r="F150" s="833"/>
      <c r="G150" s="941"/>
      <c r="H150" s="158" t="s">
        <v>12</v>
      </c>
      <c r="I150" s="836"/>
      <c r="J150" s="836"/>
      <c r="K150" s="837"/>
      <c r="L150" s="837">
        <f t="shared" ref="L150:N151" si="80">L153+L156</f>
        <v>0</v>
      </c>
      <c r="M150" s="837">
        <f t="shared" si="80"/>
        <v>0</v>
      </c>
      <c r="N150" s="837">
        <f t="shared" si="80"/>
        <v>0</v>
      </c>
      <c r="O150" s="837">
        <f t="shared" si="78"/>
        <v>0</v>
      </c>
      <c r="P150" s="837">
        <f t="shared" si="79"/>
        <v>0</v>
      </c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</row>
    <row r="151" spans="1:26" ht="18.75" hidden="1">
      <c r="A151" s="940"/>
      <c r="B151" s="833"/>
      <c r="C151" s="833"/>
      <c r="D151" s="833"/>
      <c r="E151" s="834" t="s">
        <v>19</v>
      </c>
      <c r="F151" s="833"/>
      <c r="G151" s="941"/>
      <c r="H151" s="158" t="s">
        <v>12</v>
      </c>
      <c r="I151" s="836"/>
      <c r="J151" s="836"/>
      <c r="K151" s="837"/>
      <c r="L151" s="837">
        <f t="shared" ca="1" si="80"/>
        <v>10000</v>
      </c>
      <c r="M151" s="837">
        <f t="shared" ca="1" si="80"/>
        <v>12080</v>
      </c>
      <c r="N151" s="837">
        <f t="shared" ca="1" si="80"/>
        <v>2440</v>
      </c>
      <c r="O151" s="837">
        <f t="shared" ca="1" si="78"/>
        <v>24.4</v>
      </c>
      <c r="P151" s="837">
        <f t="shared" ca="1" si="79"/>
        <v>20.198675496688743</v>
      </c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</row>
    <row r="152" spans="1:26" ht="18.75">
      <c r="A152" s="942"/>
      <c r="B152" s="827"/>
      <c r="C152" s="943"/>
      <c r="D152" s="828" t="s">
        <v>20</v>
      </c>
      <c r="E152" s="827"/>
      <c r="F152" s="827"/>
      <c r="G152" s="829"/>
      <c r="H152" s="778" t="s">
        <v>12</v>
      </c>
      <c r="I152" s="944"/>
      <c r="J152" s="944"/>
      <c r="K152" s="945"/>
      <c r="L152" s="831">
        <f t="shared" ref="L152:N152" ca="1" si="81">L153+L154</f>
        <v>10000</v>
      </c>
      <c r="M152" s="831">
        <f t="shared" ca="1" si="81"/>
        <v>12080</v>
      </c>
      <c r="N152" s="831">
        <f t="shared" ca="1" si="81"/>
        <v>2440</v>
      </c>
      <c r="O152" s="831">
        <f t="shared" ca="1" si="78"/>
        <v>24.4</v>
      </c>
      <c r="P152" s="831">
        <f t="shared" ca="1" si="79"/>
        <v>20.198675496688743</v>
      </c>
      <c r="Q152" s="818"/>
      <c r="R152" s="818"/>
      <c r="S152" s="818"/>
      <c r="T152" s="818"/>
      <c r="U152" s="818"/>
      <c r="V152" s="818"/>
      <c r="W152" s="818"/>
      <c r="X152" s="818"/>
      <c r="Y152" s="818"/>
      <c r="Z152" s="818"/>
    </row>
    <row r="153" spans="1:26" ht="19.5" hidden="1">
      <c r="A153" s="940"/>
      <c r="B153" s="833"/>
      <c r="C153" s="946"/>
      <c r="D153" s="833"/>
      <c r="E153" s="834" t="s">
        <v>36</v>
      </c>
      <c r="F153" s="833"/>
      <c r="G153" s="941"/>
      <c r="H153" s="165" t="s">
        <v>12</v>
      </c>
      <c r="I153" s="947"/>
      <c r="J153" s="947"/>
      <c r="K153" s="948"/>
      <c r="L153" s="837">
        <v>0</v>
      </c>
      <c r="M153" s="837">
        <v>0</v>
      </c>
      <c r="N153" s="837">
        <v>0</v>
      </c>
      <c r="O153" s="837">
        <f t="shared" si="78"/>
        <v>0</v>
      </c>
      <c r="P153" s="837">
        <f t="shared" si="79"/>
        <v>0</v>
      </c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</row>
    <row r="154" spans="1:26" ht="19.5" hidden="1">
      <c r="A154" s="940"/>
      <c r="B154" s="833"/>
      <c r="C154" s="946"/>
      <c r="D154" s="833"/>
      <c r="E154" s="834" t="s">
        <v>37</v>
      </c>
      <c r="F154" s="833"/>
      <c r="G154" s="941"/>
      <c r="H154" s="165" t="s">
        <v>12</v>
      </c>
      <c r="I154" s="947"/>
      <c r="J154" s="947"/>
      <c r="K154" s="948"/>
      <c r="L154" s="837">
        <f ca="1">IFERROR(__xludf.DUMMYFUNCTION("IMPORTRANGE(""https://docs.google.com/spreadsheets/d/1MeEWN-I1oV_STSDYn1IFDPWt_1FKiwhDph83XaGc0o0/edit?usp=sharing"",""งบพรบ!BU20"")"),10000)</f>
        <v>10000</v>
      </c>
      <c r="M154" s="837">
        <f ca="1">IFERROR(__xludf.DUMMYFUNCTION("IMPORTRANGE(""https://docs.google.com/spreadsheets/d/1MeEWN-I1oV_STSDYn1IFDPWt_1FKiwhDph83XaGc0o0/edit?usp=sharing"",""งบพรบ!BZ20"")"),12080)</f>
        <v>12080</v>
      </c>
      <c r="N154" s="837">
        <f ca="1">IFERROR(__xludf.DUMMYFUNCTION("IMPORTRANGE(""https://docs.google.com/spreadsheets/d/1MeEWN-I1oV_STSDYn1IFDPWt_1FKiwhDph83XaGc0o0/edit?usp=sharing"",""งบพรบ!CB20"")"),2440)</f>
        <v>2440</v>
      </c>
      <c r="O154" s="837">
        <f t="shared" ca="1" si="78"/>
        <v>24.4</v>
      </c>
      <c r="P154" s="837">
        <f t="shared" ca="1" si="79"/>
        <v>20.198675496688743</v>
      </c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</row>
    <row r="155" spans="1:26" ht="18.75">
      <c r="A155" s="942"/>
      <c r="B155" s="827"/>
      <c r="C155" s="943"/>
      <c r="D155" s="828" t="s">
        <v>21</v>
      </c>
      <c r="E155" s="827"/>
      <c r="F155" s="827"/>
      <c r="G155" s="829"/>
      <c r="H155" s="168" t="s">
        <v>12</v>
      </c>
      <c r="I155" s="944"/>
      <c r="J155" s="944"/>
      <c r="K155" s="945"/>
      <c r="L155" s="831">
        <f t="shared" ref="L155:N155" ca="1" si="82">L156+L157</f>
        <v>0</v>
      </c>
      <c r="M155" s="831">
        <f t="shared" ca="1" si="82"/>
        <v>0</v>
      </c>
      <c r="N155" s="831">
        <f t="shared" ca="1" si="82"/>
        <v>0</v>
      </c>
      <c r="O155" s="831">
        <f t="shared" ca="1" si="78"/>
        <v>0</v>
      </c>
      <c r="P155" s="831">
        <f t="shared" ca="1" si="79"/>
        <v>0</v>
      </c>
      <c r="Q155" s="818"/>
      <c r="R155" s="818"/>
      <c r="S155" s="818"/>
      <c r="T155" s="818"/>
      <c r="U155" s="818"/>
      <c r="V155" s="818"/>
      <c r="W155" s="818"/>
      <c r="X155" s="818"/>
      <c r="Y155" s="818"/>
      <c r="Z155" s="818"/>
    </row>
    <row r="156" spans="1:26" ht="19.5" hidden="1">
      <c r="A156" s="940"/>
      <c r="B156" s="833"/>
      <c r="C156" s="946"/>
      <c r="D156" s="833"/>
      <c r="E156" s="834" t="s">
        <v>18</v>
      </c>
      <c r="F156" s="833"/>
      <c r="G156" s="941"/>
      <c r="H156" s="165" t="s">
        <v>12</v>
      </c>
      <c r="I156" s="947"/>
      <c r="J156" s="947"/>
      <c r="K156" s="948"/>
      <c r="L156" s="837">
        <v>0</v>
      </c>
      <c r="M156" s="837">
        <v>0</v>
      </c>
      <c r="N156" s="837">
        <v>0</v>
      </c>
      <c r="O156" s="837">
        <f t="shared" si="78"/>
        <v>0</v>
      </c>
      <c r="P156" s="837">
        <f t="shared" si="79"/>
        <v>0</v>
      </c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</row>
    <row r="157" spans="1:26" ht="19.5" hidden="1">
      <c r="A157" s="940"/>
      <c r="B157" s="833"/>
      <c r="C157" s="946"/>
      <c r="D157" s="833"/>
      <c r="E157" s="834" t="s">
        <v>19</v>
      </c>
      <c r="F157" s="833"/>
      <c r="G157" s="941"/>
      <c r="H157" s="169" t="s">
        <v>12</v>
      </c>
      <c r="I157" s="947"/>
      <c r="J157" s="947"/>
      <c r="K157" s="948"/>
      <c r="L157" s="837">
        <f ca="1">IFERROR(__xludf.DUMMYFUNCTION("IMPORTRANGE(""https://docs.google.com/spreadsheets/d/1MeEWN-I1oV_STSDYn1IFDPWt_1FKiwhDph83XaGc0o0/edit?usp=sharing"",""งบพรบ!BX20"")"),0)</f>
        <v>0</v>
      </c>
      <c r="M157" s="837">
        <f ca="1">IFERROR(__xludf.DUMMYFUNCTION("IMPORTRANGE(""https://docs.google.com/spreadsheets/d/1MeEWN-I1oV_STSDYn1IFDPWt_1FKiwhDph83XaGc0o0/edit?usp=sharing"",""งบพรบ!CA20"")"),0)</f>
        <v>0</v>
      </c>
      <c r="N157" s="837">
        <f ca="1">IFERROR(__xludf.DUMMYFUNCTION("IMPORTRANGE(""https://docs.google.com/spreadsheets/d/1MeEWN-I1oV_STSDYn1IFDPWt_1FKiwhDph83XaGc0o0/edit?usp=sharing"",""งบพรบ!CC20"")"),0)</f>
        <v>0</v>
      </c>
      <c r="O157" s="837">
        <f t="shared" ca="1" si="78"/>
        <v>0</v>
      </c>
      <c r="P157" s="837">
        <f t="shared" ca="1" si="79"/>
        <v>0</v>
      </c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</row>
    <row r="158" spans="1:26" ht="19.5">
      <c r="A158" s="949"/>
      <c r="B158" s="950"/>
      <c r="C158" s="946" t="s">
        <v>16</v>
      </c>
      <c r="D158" s="951" t="s">
        <v>38</v>
      </c>
      <c r="E158" s="952"/>
      <c r="F158" s="952"/>
      <c r="G158" s="953"/>
      <c r="H158" s="168"/>
      <c r="I158" s="830"/>
      <c r="J158" s="830"/>
      <c r="K158" s="831"/>
      <c r="L158" s="831"/>
      <c r="M158" s="831"/>
      <c r="N158" s="831"/>
      <c r="O158" s="831"/>
      <c r="P158" s="831"/>
    </row>
    <row r="159" spans="1:26" ht="19.5">
      <c r="A159" s="942"/>
      <c r="B159" s="827"/>
      <c r="C159" s="976"/>
      <c r="D159" s="943" t="s">
        <v>78</v>
      </c>
      <c r="E159" s="828"/>
      <c r="F159" s="827"/>
      <c r="G159" s="977"/>
      <c r="H159" s="168" t="s">
        <v>35</v>
      </c>
      <c r="I159" s="830">
        <f ca="1">IFERROR(__xludf.DUMMYFUNCTION("IMPORTRANGE(""https://docs.google.com/spreadsheets/d/1QqKyyYR6Q21VydFLVH3TRQUabQu_ym0Zz7PgGX0-kHA/edit?usp=sharing"",""แผน!X20"")"),20)</f>
        <v>20</v>
      </c>
      <c r="J159" s="959">
        <v>0</v>
      </c>
      <c r="K159" s="831">
        <f ca="1">IF(I159&gt;0,J159*100/I159,0)</f>
        <v>0</v>
      </c>
      <c r="L159" s="831"/>
      <c r="M159" s="831"/>
      <c r="N159" s="831"/>
      <c r="O159" s="831"/>
      <c r="P159" s="831"/>
    </row>
    <row r="160" spans="1:26" ht="19.5" hidden="1">
      <c r="A160" s="940"/>
      <c r="B160" s="833"/>
      <c r="C160" s="946"/>
      <c r="D160" s="834" t="s">
        <v>79</v>
      </c>
      <c r="E160" s="982"/>
      <c r="F160" s="833"/>
      <c r="G160" s="941"/>
      <c r="H160" s="169" t="s">
        <v>35</v>
      </c>
      <c r="I160" s="836"/>
      <c r="J160" s="836"/>
      <c r="K160" s="837"/>
      <c r="L160" s="837"/>
      <c r="M160" s="837"/>
      <c r="N160" s="837"/>
      <c r="O160" s="837"/>
      <c r="P160" s="83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983"/>
      <c r="B161" s="984"/>
      <c r="C161" s="985"/>
      <c r="D161" s="986" t="s">
        <v>80</v>
      </c>
      <c r="E161" s="987"/>
      <c r="F161" s="984"/>
      <c r="G161" s="988"/>
      <c r="H161" s="232" t="s">
        <v>35</v>
      </c>
      <c r="I161" s="989"/>
      <c r="J161" s="989"/>
      <c r="K161" s="990"/>
      <c r="L161" s="990"/>
      <c r="M161" s="990"/>
      <c r="N161" s="990"/>
      <c r="O161" s="990"/>
      <c r="P161" s="990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991" t="s">
        <v>81</v>
      </c>
      <c r="B162" s="992"/>
      <c r="C162" s="992"/>
      <c r="D162" s="992"/>
      <c r="E162" s="993"/>
      <c r="F162" s="993"/>
      <c r="G162" s="994"/>
      <c r="H162" s="995"/>
      <c r="I162" s="996"/>
      <c r="J162" s="996"/>
      <c r="K162" s="997"/>
      <c r="L162" s="997"/>
      <c r="M162" s="997"/>
      <c r="N162" s="997"/>
      <c r="O162" s="997"/>
      <c r="P162" s="997"/>
    </row>
    <row r="163" spans="1:26" ht="19.5">
      <c r="A163" s="998" t="s">
        <v>82</v>
      </c>
      <c r="B163" s="999"/>
      <c r="C163" s="999"/>
      <c r="D163" s="1000"/>
      <c r="E163" s="1000"/>
      <c r="F163" s="1000"/>
      <c r="G163" s="1001"/>
      <c r="H163" s="1002"/>
      <c r="I163" s="1003"/>
      <c r="J163" s="1003"/>
      <c r="K163" s="1004"/>
      <c r="L163" s="1004"/>
      <c r="M163" s="1004"/>
      <c r="N163" s="1004"/>
      <c r="O163" s="1004"/>
      <c r="P163" s="1004"/>
    </row>
    <row r="164" spans="1:26" ht="19.5">
      <c r="A164" s="1005"/>
      <c r="B164" s="1006" t="s">
        <v>83</v>
      </c>
      <c r="C164" s="1007"/>
      <c r="D164" s="952"/>
      <c r="E164" s="952"/>
      <c r="F164" s="952"/>
      <c r="G164" s="953"/>
      <c r="H164" s="252" t="s">
        <v>35</v>
      </c>
      <c r="I164" s="1008">
        <f t="shared" ref="I164:J164" ca="1" si="83">I174+I177</f>
        <v>12</v>
      </c>
      <c r="J164" s="1008">
        <f t="shared" si="83"/>
        <v>12</v>
      </c>
      <c r="K164" s="1009">
        <f ca="1">IF(I164&gt;0,J164*100/I164,0)</f>
        <v>100</v>
      </c>
      <c r="L164" s="1010"/>
      <c r="M164" s="1010"/>
      <c r="N164" s="1010"/>
      <c r="O164" s="1010"/>
      <c r="P164" s="1010"/>
    </row>
    <row r="165" spans="1:26" ht="19.5">
      <c r="A165" s="932"/>
      <c r="B165" s="933"/>
      <c r="C165" s="934" t="s">
        <v>16</v>
      </c>
      <c r="D165" s="935" t="s">
        <v>17</v>
      </c>
      <c r="E165" s="933"/>
      <c r="F165" s="933"/>
      <c r="G165" s="936"/>
      <c r="H165" s="152" t="s">
        <v>12</v>
      </c>
      <c r="I165" s="937"/>
      <c r="J165" s="937"/>
      <c r="K165" s="938"/>
      <c r="L165" s="939">
        <f t="shared" ref="L165:N165" ca="1" si="84">L166+L167</f>
        <v>23060</v>
      </c>
      <c r="M165" s="939">
        <f t="shared" ca="1" si="84"/>
        <v>43620</v>
      </c>
      <c r="N165" s="939">
        <f t="shared" ca="1" si="84"/>
        <v>43620</v>
      </c>
      <c r="O165" s="939">
        <f t="shared" ref="O165:O173" ca="1" si="85">IF(L165&gt;0,N165*100/L165,0)</f>
        <v>189.15871639202081</v>
      </c>
      <c r="P165" s="939">
        <f t="shared" ref="P165:P173" ca="1" si="86">IF(M165&gt;0,N165*100/M165,0)</f>
        <v>100</v>
      </c>
      <c r="Q165" s="818"/>
      <c r="R165" s="818"/>
      <c r="S165" s="818"/>
      <c r="T165" s="818"/>
      <c r="U165" s="818"/>
      <c r="V165" s="818"/>
      <c r="W165" s="818"/>
      <c r="X165" s="818"/>
      <c r="Y165" s="818"/>
      <c r="Z165" s="818"/>
    </row>
    <row r="166" spans="1:26" ht="18.75" hidden="1">
      <c r="A166" s="940"/>
      <c r="B166" s="833"/>
      <c r="C166" s="833"/>
      <c r="D166" s="833"/>
      <c r="E166" s="834" t="s">
        <v>18</v>
      </c>
      <c r="F166" s="833"/>
      <c r="G166" s="941"/>
      <c r="H166" s="158" t="s">
        <v>12</v>
      </c>
      <c r="I166" s="836"/>
      <c r="J166" s="836"/>
      <c r="K166" s="837"/>
      <c r="L166" s="837">
        <f t="shared" ref="L166:N167" si="87">L169+L172</f>
        <v>0</v>
      </c>
      <c r="M166" s="837">
        <f t="shared" si="87"/>
        <v>0</v>
      </c>
      <c r="N166" s="837">
        <f t="shared" si="87"/>
        <v>0</v>
      </c>
      <c r="O166" s="837">
        <f t="shared" si="85"/>
        <v>0</v>
      </c>
      <c r="P166" s="837">
        <f t="shared" si="86"/>
        <v>0</v>
      </c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</row>
    <row r="167" spans="1:26" ht="18.75" hidden="1">
      <c r="A167" s="940"/>
      <c r="B167" s="833"/>
      <c r="C167" s="833"/>
      <c r="D167" s="833"/>
      <c r="E167" s="834" t="s">
        <v>19</v>
      </c>
      <c r="F167" s="833"/>
      <c r="G167" s="941"/>
      <c r="H167" s="158" t="s">
        <v>12</v>
      </c>
      <c r="I167" s="836"/>
      <c r="J167" s="836"/>
      <c r="K167" s="837"/>
      <c r="L167" s="837">
        <f t="shared" ca="1" si="87"/>
        <v>23060</v>
      </c>
      <c r="M167" s="837">
        <f t="shared" ca="1" si="87"/>
        <v>43620</v>
      </c>
      <c r="N167" s="837">
        <f t="shared" ca="1" si="87"/>
        <v>43620</v>
      </c>
      <c r="O167" s="837">
        <f t="shared" ca="1" si="85"/>
        <v>189.15871639202081</v>
      </c>
      <c r="P167" s="837">
        <f t="shared" ca="1" si="86"/>
        <v>100</v>
      </c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</row>
    <row r="168" spans="1:26" ht="18.75">
      <c r="A168" s="942"/>
      <c r="B168" s="827"/>
      <c r="C168" s="943"/>
      <c r="D168" s="828" t="s">
        <v>20</v>
      </c>
      <c r="E168" s="827"/>
      <c r="F168" s="827"/>
      <c r="G168" s="829"/>
      <c r="H168" s="778" t="s">
        <v>12</v>
      </c>
      <c r="I168" s="944"/>
      <c r="J168" s="944"/>
      <c r="K168" s="945"/>
      <c r="L168" s="831">
        <f t="shared" ref="L168:N168" ca="1" si="88">L169+L170</f>
        <v>23060</v>
      </c>
      <c r="M168" s="831">
        <f t="shared" ca="1" si="88"/>
        <v>43620</v>
      </c>
      <c r="N168" s="831">
        <f t="shared" ca="1" si="88"/>
        <v>43620</v>
      </c>
      <c r="O168" s="831">
        <f t="shared" ca="1" si="85"/>
        <v>189.15871639202081</v>
      </c>
      <c r="P168" s="831">
        <f t="shared" ca="1" si="86"/>
        <v>100</v>
      </c>
      <c r="Q168" s="818"/>
      <c r="R168" s="818"/>
      <c r="S168" s="818"/>
      <c r="T168" s="818"/>
      <c r="U168" s="818"/>
      <c r="V168" s="818"/>
      <c r="W168" s="818"/>
      <c r="X168" s="818"/>
      <c r="Y168" s="818"/>
      <c r="Z168" s="818"/>
    </row>
    <row r="169" spans="1:26" ht="19.5" hidden="1">
      <c r="A169" s="940"/>
      <c r="B169" s="833"/>
      <c r="C169" s="946"/>
      <c r="D169" s="833"/>
      <c r="E169" s="834" t="s">
        <v>36</v>
      </c>
      <c r="F169" s="833"/>
      <c r="G169" s="941"/>
      <c r="H169" s="165" t="s">
        <v>12</v>
      </c>
      <c r="I169" s="947"/>
      <c r="J169" s="947"/>
      <c r="K169" s="948"/>
      <c r="L169" s="837">
        <v>0</v>
      </c>
      <c r="M169" s="837">
        <v>0</v>
      </c>
      <c r="N169" s="837">
        <v>0</v>
      </c>
      <c r="O169" s="837">
        <f t="shared" si="85"/>
        <v>0</v>
      </c>
      <c r="P169" s="837">
        <f t="shared" si="86"/>
        <v>0</v>
      </c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</row>
    <row r="170" spans="1:26" ht="19.5" hidden="1">
      <c r="A170" s="940"/>
      <c r="B170" s="833"/>
      <c r="C170" s="946"/>
      <c r="D170" s="833"/>
      <c r="E170" s="834" t="s">
        <v>37</v>
      </c>
      <c r="F170" s="833"/>
      <c r="G170" s="941"/>
      <c r="H170" s="165" t="s">
        <v>12</v>
      </c>
      <c r="I170" s="947"/>
      <c r="J170" s="947"/>
      <c r="K170" s="948"/>
      <c r="L170" s="837">
        <f ca="1">IFERROR(__xludf.DUMMYFUNCTION("IMPORTRANGE(""https://docs.google.com/spreadsheets/d/1MeEWN-I1oV_STSDYn1IFDPWt_1FKiwhDph83XaGc0o0/edit?usp=sharing"",""งบพรบ!CE20"")"),23060)</f>
        <v>23060</v>
      </c>
      <c r="M170" s="837">
        <f ca="1">IFERROR(__xludf.DUMMYFUNCTION("IMPORTRANGE(""https://docs.google.com/spreadsheets/d/1MeEWN-I1oV_STSDYn1IFDPWt_1FKiwhDph83XaGc0o0/edit?usp=sharing"",""งบพรบ!CJ20"")"),43620)</f>
        <v>43620</v>
      </c>
      <c r="N170" s="837">
        <f ca="1">IFERROR(__xludf.DUMMYFUNCTION("IMPORTRANGE(""https://docs.google.com/spreadsheets/d/1MeEWN-I1oV_STSDYn1IFDPWt_1FKiwhDph83XaGc0o0/edit?usp=sharing"",""งบพรบ!CL20"")"),43620)</f>
        <v>43620</v>
      </c>
      <c r="O170" s="837">
        <f t="shared" ca="1" si="85"/>
        <v>189.15871639202081</v>
      </c>
      <c r="P170" s="837">
        <f t="shared" ca="1" si="86"/>
        <v>100</v>
      </c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</row>
    <row r="171" spans="1:26" ht="18.75">
      <c r="A171" s="942"/>
      <c r="B171" s="827"/>
      <c r="C171" s="943"/>
      <c r="D171" s="828" t="s">
        <v>21</v>
      </c>
      <c r="E171" s="827"/>
      <c r="F171" s="827"/>
      <c r="G171" s="829"/>
      <c r="H171" s="168" t="s">
        <v>12</v>
      </c>
      <c r="I171" s="944"/>
      <c r="J171" s="944"/>
      <c r="K171" s="945"/>
      <c r="L171" s="831">
        <f t="shared" ref="L171:N171" ca="1" si="89">L172+L173</f>
        <v>0</v>
      </c>
      <c r="M171" s="831">
        <f t="shared" ca="1" si="89"/>
        <v>0</v>
      </c>
      <c r="N171" s="831">
        <f t="shared" ca="1" si="89"/>
        <v>0</v>
      </c>
      <c r="O171" s="831">
        <f t="shared" ca="1" si="85"/>
        <v>0</v>
      </c>
      <c r="P171" s="831">
        <f t="shared" ca="1" si="86"/>
        <v>0</v>
      </c>
      <c r="Q171" s="818"/>
      <c r="R171" s="818"/>
      <c r="S171" s="818"/>
      <c r="T171" s="818"/>
      <c r="U171" s="818"/>
      <c r="V171" s="818"/>
      <c r="W171" s="818"/>
      <c r="X171" s="818"/>
      <c r="Y171" s="818"/>
      <c r="Z171" s="818"/>
    </row>
    <row r="172" spans="1:26" ht="19.5" hidden="1">
      <c r="A172" s="940"/>
      <c r="B172" s="833"/>
      <c r="C172" s="946"/>
      <c r="D172" s="833"/>
      <c r="E172" s="834" t="s">
        <v>18</v>
      </c>
      <c r="F172" s="833"/>
      <c r="G172" s="941"/>
      <c r="H172" s="165" t="s">
        <v>12</v>
      </c>
      <c r="I172" s="947"/>
      <c r="J172" s="947"/>
      <c r="K172" s="948"/>
      <c r="L172" s="837">
        <v>0</v>
      </c>
      <c r="M172" s="837">
        <v>0</v>
      </c>
      <c r="N172" s="837">
        <v>0</v>
      </c>
      <c r="O172" s="837">
        <f t="shared" si="85"/>
        <v>0</v>
      </c>
      <c r="P172" s="837">
        <f t="shared" si="86"/>
        <v>0</v>
      </c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</row>
    <row r="173" spans="1:26" ht="19.5" hidden="1">
      <c r="A173" s="940"/>
      <c r="B173" s="833"/>
      <c r="C173" s="946"/>
      <c r="D173" s="833"/>
      <c r="E173" s="834" t="s">
        <v>19</v>
      </c>
      <c r="F173" s="833"/>
      <c r="G173" s="941"/>
      <c r="H173" s="169" t="s">
        <v>12</v>
      </c>
      <c r="I173" s="947"/>
      <c r="J173" s="947"/>
      <c r="K173" s="948"/>
      <c r="L173" s="837">
        <f ca="1">IFERROR(__xludf.DUMMYFUNCTION("IMPORTRANGE(""https://docs.google.com/spreadsheets/d/1MeEWN-I1oV_STSDYn1IFDPWt_1FKiwhDph83XaGc0o0/edit?usp=sharing"",""งบพรบ!CH20"")"),0)</f>
        <v>0</v>
      </c>
      <c r="M173" s="837">
        <f ca="1">IFERROR(__xludf.DUMMYFUNCTION("IMPORTRANGE(""https://docs.google.com/spreadsheets/d/1MeEWN-I1oV_STSDYn1IFDPWt_1FKiwhDph83XaGc0o0/edit?usp=sharing"",""งบพรบ!CK20"")"),0)</f>
        <v>0</v>
      </c>
      <c r="N173" s="837">
        <f ca="1">IFERROR(__xludf.DUMMYFUNCTION("IMPORTRANGE(""https://docs.google.com/spreadsheets/d/1MeEWN-I1oV_STSDYn1IFDPWt_1FKiwhDph83XaGc0o0/edit?usp=sharing"",""งบพรบ!CM20"")"),0)</f>
        <v>0</v>
      </c>
      <c r="O173" s="837">
        <f t="shared" ca="1" si="85"/>
        <v>0</v>
      </c>
      <c r="P173" s="837">
        <f t="shared" ca="1" si="86"/>
        <v>0</v>
      </c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</row>
    <row r="174" spans="1:26" ht="19.5">
      <c r="A174" s="1011"/>
      <c r="B174" s="1012"/>
      <c r="C174" s="1013" t="s">
        <v>84</v>
      </c>
      <c r="D174" s="1012"/>
      <c r="E174" s="1012"/>
      <c r="F174" s="1012"/>
      <c r="G174" s="1014"/>
      <c r="H174" s="260" t="s">
        <v>35</v>
      </c>
      <c r="I174" s="1015">
        <f t="shared" ref="I174:J174" ca="1" si="90">I176</f>
        <v>12</v>
      </c>
      <c r="J174" s="1015">
        <f t="shared" si="90"/>
        <v>12</v>
      </c>
      <c r="K174" s="1016">
        <f ca="1">IF(I174&gt;0,J174*100/I174,0)</f>
        <v>100</v>
      </c>
      <c r="L174" s="1016"/>
      <c r="M174" s="1016"/>
      <c r="N174" s="1016"/>
      <c r="O174" s="1016"/>
      <c r="P174" s="1016"/>
    </row>
    <row r="175" spans="1:26" ht="19.5">
      <c r="A175" s="949"/>
      <c r="B175" s="950"/>
      <c r="C175" s="946" t="s">
        <v>16</v>
      </c>
      <c r="D175" s="951" t="s">
        <v>38</v>
      </c>
      <c r="E175" s="952"/>
      <c r="F175" s="952"/>
      <c r="G175" s="953"/>
      <c r="H175" s="954"/>
      <c r="I175" s="944"/>
      <c r="J175" s="944"/>
      <c r="K175" s="945"/>
      <c r="L175" s="945"/>
      <c r="M175" s="945"/>
      <c r="N175" s="945"/>
      <c r="O175" s="945"/>
      <c r="P175" s="945"/>
    </row>
    <row r="176" spans="1:26" ht="18.75">
      <c r="A176" s="949"/>
      <c r="B176" s="950"/>
      <c r="C176" s="950"/>
      <c r="D176" s="1017" t="s">
        <v>85</v>
      </c>
      <c r="E176" s="957"/>
      <c r="F176" s="957"/>
      <c r="G176" s="958"/>
      <c r="H176" s="590" t="s">
        <v>35</v>
      </c>
      <c r="I176" s="830">
        <f ca="1">IFERROR(__xludf.DUMMYFUNCTION("IMPORTRANGE(""https://docs.google.com/spreadsheets/d/1QqKyyYR6Q21VydFLVH3TRQUabQu_ym0Zz7PgGX0-kHA/edit?usp=sharing"",""แผน!Y20"")"),12)</f>
        <v>12</v>
      </c>
      <c r="J176" s="959">
        <v>12</v>
      </c>
      <c r="K176" s="945">
        <f ca="1">IF(I176&gt;0,J176*100/I176,0)</f>
        <v>100</v>
      </c>
      <c r="L176" s="945"/>
      <c r="M176" s="945"/>
      <c r="N176" s="945"/>
      <c r="O176" s="945"/>
      <c r="P176" s="945"/>
    </row>
    <row r="177" spans="1:26" ht="19.5" hidden="1">
      <c r="A177" s="1011"/>
      <c r="B177" s="1018"/>
      <c r="C177" s="1019" t="s">
        <v>86</v>
      </c>
      <c r="D177" s="1018"/>
      <c r="E177" s="1012"/>
      <c r="F177" s="1012"/>
      <c r="G177" s="1014"/>
      <c r="H177" s="266" t="s">
        <v>35</v>
      </c>
      <c r="I177" s="1015"/>
      <c r="J177" s="1015">
        <f>J179</f>
        <v>0</v>
      </c>
      <c r="K177" s="1016"/>
      <c r="L177" s="1016"/>
      <c r="M177" s="1016"/>
      <c r="N177" s="1016"/>
      <c r="O177" s="1016"/>
      <c r="P177" s="1016"/>
    </row>
    <row r="178" spans="1:26" ht="19.5" hidden="1">
      <c r="A178" s="949"/>
      <c r="B178" s="950"/>
      <c r="C178" s="946" t="s">
        <v>16</v>
      </c>
      <c r="D178" s="1020" t="s">
        <v>38</v>
      </c>
      <c r="E178" s="952"/>
      <c r="F178" s="952"/>
      <c r="G178" s="953"/>
      <c r="H178" s="954"/>
      <c r="I178" s="944"/>
      <c r="J178" s="944"/>
      <c r="K178" s="945"/>
      <c r="L178" s="945"/>
      <c r="M178" s="945"/>
      <c r="N178" s="945"/>
      <c r="O178" s="945"/>
      <c r="P178" s="945"/>
    </row>
    <row r="179" spans="1:26" ht="18.75" hidden="1">
      <c r="A179" s="949"/>
      <c r="B179" s="950"/>
      <c r="C179" s="950"/>
      <c r="D179" s="1021" t="s">
        <v>87</v>
      </c>
      <c r="E179" s="957"/>
      <c r="F179" s="1022"/>
      <c r="G179" s="958"/>
      <c r="H179" s="43" t="s">
        <v>35</v>
      </c>
      <c r="I179" s="830"/>
      <c r="J179" s="830"/>
      <c r="K179" s="945"/>
      <c r="L179" s="945"/>
      <c r="M179" s="945"/>
      <c r="N179" s="945"/>
      <c r="O179" s="945"/>
      <c r="P179" s="945"/>
    </row>
    <row r="180" spans="1:26" ht="19.5">
      <c r="A180" s="1005"/>
      <c r="B180" s="1006" t="s">
        <v>88</v>
      </c>
      <c r="C180" s="1007"/>
      <c r="D180" s="952"/>
      <c r="E180" s="952"/>
      <c r="F180" s="952"/>
      <c r="G180" s="953"/>
      <c r="H180" s="252" t="s">
        <v>35</v>
      </c>
      <c r="I180" s="1008">
        <f t="shared" ref="I180:J180" ca="1" si="91">I225+I226</f>
        <v>50</v>
      </c>
      <c r="J180" s="1008">
        <f t="shared" si="91"/>
        <v>50</v>
      </c>
      <c r="K180" s="1009">
        <f ca="1">IF(I180&gt;0,J180*100/I180,0)</f>
        <v>100</v>
      </c>
      <c r="L180" s="1010"/>
      <c r="M180" s="1010"/>
      <c r="N180" s="1010"/>
      <c r="O180" s="1010"/>
      <c r="P180" s="1010"/>
    </row>
    <row r="181" spans="1:26" ht="19.5">
      <c r="A181" s="932"/>
      <c r="B181" s="933"/>
      <c r="C181" s="934" t="s">
        <v>16</v>
      </c>
      <c r="D181" s="935" t="s">
        <v>17</v>
      </c>
      <c r="E181" s="933"/>
      <c r="F181" s="933"/>
      <c r="G181" s="936"/>
      <c r="H181" s="152" t="s">
        <v>12</v>
      </c>
      <c r="I181" s="937"/>
      <c r="J181" s="937"/>
      <c r="K181" s="938"/>
      <c r="L181" s="939">
        <f t="shared" ref="L181:N181" ca="1" si="92">L182+L183</f>
        <v>723180</v>
      </c>
      <c r="M181" s="939">
        <f t="shared" ca="1" si="92"/>
        <v>593780</v>
      </c>
      <c r="N181" s="939">
        <f t="shared" ca="1" si="92"/>
        <v>407922.09</v>
      </c>
      <c r="O181" s="939">
        <f t="shared" ref="O181:O189" ca="1" si="93">IF(L181&gt;0,N181*100/L181,0)</f>
        <v>56.406716170248067</v>
      </c>
      <c r="P181" s="939">
        <f t="shared" ref="P181:P189" ca="1" si="94">IF(M181&gt;0,N181*100/M181,0)</f>
        <v>68.699196672168142</v>
      </c>
      <c r="Q181" s="818"/>
      <c r="R181" s="818"/>
      <c r="S181" s="818"/>
      <c r="T181" s="818"/>
      <c r="U181" s="818"/>
      <c r="V181" s="818"/>
      <c r="W181" s="818"/>
      <c r="X181" s="818"/>
      <c r="Y181" s="818"/>
      <c r="Z181" s="818"/>
    </row>
    <row r="182" spans="1:26" ht="18.75" hidden="1">
      <c r="A182" s="940"/>
      <c r="B182" s="833"/>
      <c r="C182" s="833"/>
      <c r="D182" s="833"/>
      <c r="E182" s="834" t="s">
        <v>18</v>
      </c>
      <c r="F182" s="833"/>
      <c r="G182" s="941"/>
      <c r="H182" s="158" t="s">
        <v>12</v>
      </c>
      <c r="I182" s="836"/>
      <c r="J182" s="836"/>
      <c r="K182" s="837"/>
      <c r="L182" s="837">
        <f t="shared" ref="L182:N183" si="95">L185+L188</f>
        <v>0</v>
      </c>
      <c r="M182" s="837">
        <f t="shared" si="95"/>
        <v>0</v>
      </c>
      <c r="N182" s="837">
        <f t="shared" si="95"/>
        <v>0</v>
      </c>
      <c r="O182" s="837">
        <f t="shared" si="93"/>
        <v>0</v>
      </c>
      <c r="P182" s="837">
        <f t="shared" si="94"/>
        <v>0</v>
      </c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</row>
    <row r="183" spans="1:26" ht="18.75" hidden="1">
      <c r="A183" s="940"/>
      <c r="B183" s="833"/>
      <c r="C183" s="833"/>
      <c r="D183" s="833"/>
      <c r="E183" s="834" t="s">
        <v>19</v>
      </c>
      <c r="F183" s="833"/>
      <c r="G183" s="941"/>
      <c r="H183" s="158" t="s">
        <v>12</v>
      </c>
      <c r="I183" s="836"/>
      <c r="J183" s="836"/>
      <c r="K183" s="837"/>
      <c r="L183" s="837">
        <f t="shared" ca="1" si="95"/>
        <v>723180</v>
      </c>
      <c r="M183" s="837">
        <f t="shared" ca="1" si="95"/>
        <v>593780</v>
      </c>
      <c r="N183" s="837">
        <f t="shared" ca="1" si="95"/>
        <v>407922.09</v>
      </c>
      <c r="O183" s="837">
        <f t="shared" ca="1" si="93"/>
        <v>56.406716170248067</v>
      </c>
      <c r="P183" s="837">
        <f t="shared" ca="1" si="94"/>
        <v>68.699196672168142</v>
      </c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</row>
    <row r="184" spans="1:26" ht="18.75">
      <c r="A184" s="942"/>
      <c r="B184" s="827"/>
      <c r="C184" s="943"/>
      <c r="D184" s="828" t="s">
        <v>20</v>
      </c>
      <c r="E184" s="827"/>
      <c r="F184" s="827"/>
      <c r="G184" s="829"/>
      <c r="H184" s="778" t="s">
        <v>12</v>
      </c>
      <c r="I184" s="944"/>
      <c r="J184" s="944"/>
      <c r="K184" s="945"/>
      <c r="L184" s="831">
        <f t="shared" ref="L184:N184" ca="1" si="96">L185+L186</f>
        <v>723180</v>
      </c>
      <c r="M184" s="831">
        <f t="shared" ca="1" si="96"/>
        <v>593780</v>
      </c>
      <c r="N184" s="831">
        <f t="shared" ca="1" si="96"/>
        <v>407922.09</v>
      </c>
      <c r="O184" s="831">
        <f t="shared" ca="1" si="93"/>
        <v>56.406716170248067</v>
      </c>
      <c r="P184" s="831">
        <f t="shared" ca="1" si="94"/>
        <v>68.699196672168142</v>
      </c>
      <c r="Q184" s="818"/>
      <c r="R184" s="818"/>
      <c r="S184" s="818"/>
      <c r="T184" s="818"/>
      <c r="U184" s="818"/>
      <c r="V184" s="818"/>
      <c r="W184" s="818"/>
      <c r="X184" s="818"/>
      <c r="Y184" s="818"/>
      <c r="Z184" s="818"/>
    </row>
    <row r="185" spans="1:26" ht="19.5" hidden="1">
      <c r="A185" s="940"/>
      <c r="B185" s="833"/>
      <c r="C185" s="946"/>
      <c r="D185" s="833"/>
      <c r="E185" s="834" t="s">
        <v>36</v>
      </c>
      <c r="F185" s="833"/>
      <c r="G185" s="941"/>
      <c r="H185" s="165" t="s">
        <v>12</v>
      </c>
      <c r="I185" s="947"/>
      <c r="J185" s="947"/>
      <c r="K185" s="948"/>
      <c r="L185" s="837">
        <v>0</v>
      </c>
      <c r="M185" s="837">
        <v>0</v>
      </c>
      <c r="N185" s="837">
        <v>0</v>
      </c>
      <c r="O185" s="837">
        <f t="shared" si="93"/>
        <v>0</v>
      </c>
      <c r="P185" s="837">
        <f t="shared" si="94"/>
        <v>0</v>
      </c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</row>
    <row r="186" spans="1:26" ht="19.5" hidden="1">
      <c r="A186" s="940"/>
      <c r="B186" s="833"/>
      <c r="C186" s="946"/>
      <c r="D186" s="833"/>
      <c r="E186" s="834" t="s">
        <v>37</v>
      </c>
      <c r="F186" s="833"/>
      <c r="G186" s="941"/>
      <c r="H186" s="165" t="s">
        <v>12</v>
      </c>
      <c r="I186" s="947"/>
      <c r="J186" s="947"/>
      <c r="K186" s="948"/>
      <c r="L186" s="837">
        <f ca="1">IFERROR(__xludf.DUMMYFUNCTION("IMPORTRANGE(""https://docs.google.com/spreadsheets/d/1MeEWN-I1oV_STSDYn1IFDPWt_1FKiwhDph83XaGc0o0/edit?usp=sharing"",""งบพรบ!CO20"")"),723180)</f>
        <v>723180</v>
      </c>
      <c r="M186" s="837">
        <f ca="1">IFERROR(__xludf.DUMMYFUNCTION("IMPORTRANGE(""https://docs.google.com/spreadsheets/d/1MeEWN-I1oV_STSDYn1IFDPWt_1FKiwhDph83XaGc0o0/edit?usp=sharing"",""งบพรบ!CT20"")"),593780)</f>
        <v>593780</v>
      </c>
      <c r="N186" s="837">
        <f ca="1">IFERROR(__xludf.DUMMYFUNCTION("IMPORTRANGE(""https://docs.google.com/spreadsheets/d/1MeEWN-I1oV_STSDYn1IFDPWt_1FKiwhDph83XaGc0o0/edit?usp=sharing"",""งบพรบ!CV20"")"),407922.09)</f>
        <v>407922.09</v>
      </c>
      <c r="O186" s="837">
        <f t="shared" ca="1" si="93"/>
        <v>56.406716170248067</v>
      </c>
      <c r="P186" s="837">
        <f t="shared" ca="1" si="94"/>
        <v>68.699196672168142</v>
      </c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</row>
    <row r="187" spans="1:26" ht="18.75">
      <c r="A187" s="942"/>
      <c r="B187" s="827"/>
      <c r="C187" s="943"/>
      <c r="D187" s="828" t="s">
        <v>21</v>
      </c>
      <c r="E187" s="827"/>
      <c r="F187" s="827"/>
      <c r="G187" s="829"/>
      <c r="H187" s="168" t="s">
        <v>12</v>
      </c>
      <c r="I187" s="944"/>
      <c r="J187" s="944"/>
      <c r="K187" s="945"/>
      <c r="L187" s="831">
        <f t="shared" ref="L187:N187" ca="1" si="97">L188+L189</f>
        <v>0</v>
      </c>
      <c r="M187" s="831">
        <f t="shared" ca="1" si="97"/>
        <v>0</v>
      </c>
      <c r="N187" s="831">
        <f t="shared" ca="1" si="97"/>
        <v>0</v>
      </c>
      <c r="O187" s="831">
        <f t="shared" ca="1" si="93"/>
        <v>0</v>
      </c>
      <c r="P187" s="831">
        <f t="shared" ca="1" si="94"/>
        <v>0</v>
      </c>
      <c r="Q187" s="818"/>
      <c r="R187" s="818"/>
      <c r="S187" s="818"/>
      <c r="T187" s="818"/>
      <c r="U187" s="818"/>
      <c r="V187" s="818"/>
      <c r="W187" s="818"/>
      <c r="X187" s="818"/>
      <c r="Y187" s="818"/>
      <c r="Z187" s="818"/>
    </row>
    <row r="188" spans="1:26" ht="19.5" hidden="1">
      <c r="A188" s="940"/>
      <c r="B188" s="833"/>
      <c r="C188" s="946"/>
      <c r="D188" s="833"/>
      <c r="E188" s="834" t="s">
        <v>18</v>
      </c>
      <c r="F188" s="833"/>
      <c r="G188" s="941"/>
      <c r="H188" s="165" t="s">
        <v>12</v>
      </c>
      <c r="I188" s="947"/>
      <c r="J188" s="947"/>
      <c r="K188" s="948"/>
      <c r="L188" s="837">
        <v>0</v>
      </c>
      <c r="M188" s="837">
        <v>0</v>
      </c>
      <c r="N188" s="837">
        <v>0</v>
      </c>
      <c r="O188" s="837">
        <f t="shared" si="93"/>
        <v>0</v>
      </c>
      <c r="P188" s="837">
        <f t="shared" si="94"/>
        <v>0</v>
      </c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</row>
    <row r="189" spans="1:26" ht="19.5" hidden="1">
      <c r="A189" s="940"/>
      <c r="B189" s="833"/>
      <c r="C189" s="946"/>
      <c r="D189" s="833"/>
      <c r="E189" s="834" t="s">
        <v>19</v>
      </c>
      <c r="F189" s="833"/>
      <c r="G189" s="941"/>
      <c r="H189" s="169" t="s">
        <v>12</v>
      </c>
      <c r="I189" s="947"/>
      <c r="J189" s="947"/>
      <c r="K189" s="948"/>
      <c r="L189" s="837">
        <f ca="1">IFERROR(__xludf.DUMMYFUNCTION("IMPORTRANGE(""https://docs.google.com/spreadsheets/d/1MeEWN-I1oV_STSDYn1IFDPWt_1FKiwhDph83XaGc0o0/edit?usp=sharing"",""งบพรบ!CR20"")"),0)</f>
        <v>0</v>
      </c>
      <c r="M189" s="837">
        <f ca="1">IFERROR(__xludf.DUMMYFUNCTION("IMPORTRANGE(""https://docs.google.com/spreadsheets/d/1MeEWN-I1oV_STSDYn1IFDPWt_1FKiwhDph83XaGc0o0/edit?usp=sharing"",""งบพรบ!CU20"")"),0)</f>
        <v>0</v>
      </c>
      <c r="N189" s="837">
        <f ca="1">IFERROR(__xludf.DUMMYFUNCTION("IMPORTRANGE(""https://docs.google.com/spreadsheets/d/1MeEWN-I1oV_STSDYn1IFDPWt_1FKiwhDph83XaGc0o0/edit?usp=sharing"",""งบพรบ!CW20"")"),0)</f>
        <v>0</v>
      </c>
      <c r="O189" s="837">
        <f t="shared" ca="1" si="93"/>
        <v>0</v>
      </c>
      <c r="P189" s="837">
        <f t="shared" ca="1" si="94"/>
        <v>0</v>
      </c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</row>
    <row r="190" spans="1:26" ht="19.5">
      <c r="A190" s="1011"/>
      <c r="B190" s="1018"/>
      <c r="C190" s="1023" t="s">
        <v>89</v>
      </c>
      <c r="D190" s="1012"/>
      <c r="E190" s="1012"/>
      <c r="F190" s="1012"/>
      <c r="G190" s="1014"/>
      <c r="H190" s="260" t="s">
        <v>90</v>
      </c>
      <c r="I190" s="1024">
        <f t="shared" ref="I190:J190" ca="1" si="98">I193</f>
        <v>4</v>
      </c>
      <c r="J190" s="1024">
        <f t="shared" si="98"/>
        <v>2</v>
      </c>
      <c r="K190" s="1025">
        <f ca="1">IF(I190&gt;0,J190*100/I190,0)</f>
        <v>50</v>
      </c>
      <c r="L190" s="1016"/>
      <c r="M190" s="1016"/>
      <c r="N190" s="1016"/>
      <c r="O190" s="1016"/>
      <c r="P190" s="1016"/>
    </row>
    <row r="191" spans="1:26" ht="19.5">
      <c r="A191" s="932"/>
      <c r="B191" s="933"/>
      <c r="C191" s="934" t="s">
        <v>16</v>
      </c>
      <c r="D191" s="1026" t="s">
        <v>17</v>
      </c>
      <c r="E191" s="933"/>
      <c r="F191" s="933"/>
      <c r="G191" s="936"/>
      <c r="H191" s="275" t="s">
        <v>12</v>
      </c>
      <c r="I191" s="937"/>
      <c r="J191" s="937"/>
      <c r="K191" s="938"/>
      <c r="L191" s="939">
        <f ca="1">IFERROR(__xludf.DUMMYFUNCTION("IMPORTRANGE(""https://docs.google.com/spreadsheets/d/1QqKyyYR6Q21VydFLVH3TRQUabQu_ym0Zz7PgGX0-kHA/edit?usp=sharing"",""แผน!Z20"")"),6000)</f>
        <v>6000</v>
      </c>
      <c r="M191" s="939"/>
      <c r="N191" s="1027">
        <v>2420</v>
      </c>
      <c r="O191" s="939">
        <f ca="1">IF(L191&gt;0,N191*100/L191,0)</f>
        <v>40.333333333333336</v>
      </c>
      <c r="P191" s="939">
        <f>IF(M191&gt;0,N191*100/M191,0)</f>
        <v>0</v>
      </c>
      <c r="Q191" s="818"/>
      <c r="R191" s="818"/>
      <c r="S191" s="818"/>
      <c r="T191" s="818"/>
      <c r="U191" s="818"/>
      <c r="V191" s="818"/>
      <c r="W191" s="818"/>
      <c r="X191" s="818"/>
      <c r="Y191" s="818"/>
      <c r="Z191" s="818"/>
    </row>
    <row r="192" spans="1:26" ht="19.5">
      <c r="A192" s="949"/>
      <c r="B192" s="950"/>
      <c r="C192" s="976" t="s">
        <v>16</v>
      </c>
      <c r="D192" s="951" t="s">
        <v>38</v>
      </c>
      <c r="E192" s="952"/>
      <c r="F192" s="952"/>
      <c r="G192" s="953"/>
      <c r="H192" s="954"/>
      <c r="I192" s="830"/>
      <c r="J192" s="830"/>
      <c r="K192" s="831"/>
      <c r="L192" s="831"/>
      <c r="M192" s="831"/>
      <c r="N192" s="831"/>
      <c r="O192" s="831"/>
      <c r="P192" s="831"/>
      <c r="Q192" s="818"/>
      <c r="R192" s="818"/>
      <c r="S192" s="818"/>
      <c r="T192" s="818"/>
      <c r="U192" s="818"/>
      <c r="V192" s="818"/>
      <c r="W192" s="818"/>
      <c r="X192" s="818"/>
      <c r="Y192" s="818"/>
      <c r="Z192" s="818"/>
    </row>
    <row r="193" spans="1:26" ht="18.75">
      <c r="A193" s="949"/>
      <c r="B193" s="950"/>
      <c r="C193" s="950"/>
      <c r="D193" s="956" t="s">
        <v>91</v>
      </c>
      <c r="E193" s="957"/>
      <c r="F193" s="957"/>
      <c r="G193" s="958"/>
      <c r="H193" s="730" t="s">
        <v>90</v>
      </c>
      <c r="I193" s="830">
        <f ca="1">IFERROR(__xludf.DUMMYFUNCTION("IMPORTRANGE(""https://docs.google.com/spreadsheets/d/1QqKyyYR6Q21VydFLVH3TRQUabQu_ym0Zz7PgGX0-kHA/edit?usp=sharing"",""แผน!AC20"")"),4)</f>
        <v>4</v>
      </c>
      <c r="J193" s="959">
        <v>2</v>
      </c>
      <c r="K193" s="831">
        <f ca="1">IF(I193&gt;0,J193*100/I193,0)</f>
        <v>50</v>
      </c>
      <c r="L193" s="831"/>
      <c r="M193" s="831"/>
      <c r="N193" s="831"/>
      <c r="O193" s="831"/>
      <c r="P193" s="831"/>
      <c r="Q193" s="818"/>
      <c r="R193" s="818"/>
      <c r="S193" s="818"/>
      <c r="T193" s="818"/>
      <c r="U193" s="818"/>
      <c r="V193" s="818"/>
      <c r="W193" s="818"/>
      <c r="X193" s="818"/>
      <c r="Y193" s="818"/>
      <c r="Z193" s="818"/>
    </row>
    <row r="194" spans="1:26" ht="18.75">
      <c r="A194" s="949"/>
      <c r="B194" s="950"/>
      <c r="C194" s="950"/>
      <c r="D194" s="956" t="s">
        <v>92</v>
      </c>
      <c r="E194" s="957"/>
      <c r="F194" s="957"/>
      <c r="G194" s="958"/>
      <c r="H194" s="277" t="s">
        <v>35</v>
      </c>
      <c r="I194" s="830"/>
      <c r="J194" s="830">
        <f>J195+J196</f>
        <v>0</v>
      </c>
      <c r="K194" s="831"/>
      <c r="L194" s="831"/>
      <c r="M194" s="831"/>
      <c r="N194" s="831"/>
      <c r="O194" s="831"/>
      <c r="P194" s="831"/>
      <c r="Q194" s="818"/>
      <c r="R194" s="818"/>
      <c r="S194" s="818"/>
      <c r="T194" s="818"/>
      <c r="U194" s="818"/>
      <c r="V194" s="818"/>
      <c r="W194" s="818"/>
      <c r="X194" s="818"/>
      <c r="Y194" s="818"/>
      <c r="Z194" s="818"/>
    </row>
    <row r="195" spans="1:26" ht="18.75">
      <c r="A195" s="949"/>
      <c r="B195" s="950"/>
      <c r="C195" s="950"/>
      <c r="D195" s="950"/>
      <c r="E195" s="956" t="s">
        <v>93</v>
      </c>
      <c r="F195" s="957"/>
      <c r="G195" s="958"/>
      <c r="H195" s="277" t="s">
        <v>35</v>
      </c>
      <c r="I195" s="830"/>
      <c r="J195" s="959">
        <v>0</v>
      </c>
      <c r="K195" s="831"/>
      <c r="L195" s="831"/>
      <c r="M195" s="831"/>
      <c r="N195" s="831"/>
      <c r="O195" s="831"/>
      <c r="P195" s="831"/>
      <c r="Q195" s="818"/>
      <c r="R195" s="818"/>
      <c r="S195" s="818"/>
      <c r="T195" s="818"/>
      <c r="U195" s="818"/>
      <c r="V195" s="818"/>
      <c r="W195" s="818"/>
      <c r="X195" s="818"/>
      <c r="Y195" s="818"/>
      <c r="Z195" s="818"/>
    </row>
    <row r="196" spans="1:26" ht="18.75">
      <c r="A196" s="949"/>
      <c r="B196" s="950"/>
      <c r="C196" s="950"/>
      <c r="D196" s="950"/>
      <c r="E196" s="956" t="s">
        <v>94</v>
      </c>
      <c r="F196" s="957"/>
      <c r="G196" s="958"/>
      <c r="H196" s="277" t="s">
        <v>35</v>
      </c>
      <c r="I196" s="830"/>
      <c r="J196" s="959">
        <v>0</v>
      </c>
      <c r="K196" s="831"/>
      <c r="L196" s="831"/>
      <c r="M196" s="831"/>
      <c r="N196" s="831"/>
      <c r="O196" s="831"/>
      <c r="P196" s="831"/>
      <c r="Q196" s="818"/>
      <c r="R196" s="818"/>
      <c r="S196" s="818"/>
      <c r="T196" s="818"/>
      <c r="U196" s="818"/>
      <c r="V196" s="818"/>
      <c r="W196" s="818"/>
      <c r="X196" s="818"/>
      <c r="Y196" s="818"/>
      <c r="Z196" s="818"/>
    </row>
    <row r="197" spans="1:26" ht="19.5">
      <c r="A197" s="1011"/>
      <c r="B197" s="1018"/>
      <c r="C197" s="1023" t="s">
        <v>95</v>
      </c>
      <c r="D197" s="1012"/>
      <c r="E197" s="1012"/>
      <c r="F197" s="1012"/>
      <c r="G197" s="1014"/>
      <c r="H197" s="278" t="s">
        <v>96</v>
      </c>
      <c r="I197" s="1024">
        <f t="shared" ref="I197:J197" ca="1" si="99">I204</f>
        <v>2</v>
      </c>
      <c r="J197" s="1024">
        <f t="shared" si="99"/>
        <v>2</v>
      </c>
      <c r="K197" s="1025">
        <f ca="1">IF(I197&gt;0,J197*100/I197,0)</f>
        <v>100</v>
      </c>
      <c r="L197" s="1016"/>
      <c r="M197" s="1016"/>
      <c r="N197" s="1016"/>
      <c r="O197" s="1016"/>
      <c r="P197" s="1016"/>
    </row>
    <row r="198" spans="1:26" ht="19.5">
      <c r="A198" s="932"/>
      <c r="B198" s="933"/>
      <c r="C198" s="934" t="s">
        <v>16</v>
      </c>
      <c r="D198" s="1026" t="s">
        <v>17</v>
      </c>
      <c r="E198" s="933"/>
      <c r="F198" s="933"/>
      <c r="G198" s="936"/>
      <c r="H198" s="275" t="s">
        <v>12</v>
      </c>
      <c r="I198" s="1028"/>
      <c r="J198" s="1028"/>
      <c r="K198" s="1029"/>
      <c r="L198" s="939">
        <f ca="1">L199+L200+L201+L202</f>
        <v>26000</v>
      </c>
      <c r="M198" s="939"/>
      <c r="N198" s="939">
        <f>N199+N200+N201+N202</f>
        <v>25880</v>
      </c>
      <c r="O198" s="939">
        <f ca="1">IF(L198&gt;0,N198*100/L198,0)</f>
        <v>99.538461538461533</v>
      </c>
      <c r="P198" s="939">
        <f>IF(M198&gt;0,N198*100/M198,0)</f>
        <v>0</v>
      </c>
      <c r="Q198" s="818"/>
      <c r="R198" s="818"/>
      <c r="S198" s="818"/>
      <c r="T198" s="818"/>
      <c r="U198" s="818"/>
      <c r="V198" s="818"/>
      <c r="W198" s="818"/>
      <c r="X198" s="818"/>
      <c r="Y198" s="818"/>
      <c r="Z198" s="818"/>
    </row>
    <row r="199" spans="1:26" ht="18.75">
      <c r="A199" s="942"/>
      <c r="B199" s="1030"/>
      <c r="C199" s="827"/>
      <c r="D199" s="943" t="s">
        <v>97</v>
      </c>
      <c r="E199" s="827"/>
      <c r="F199" s="827"/>
      <c r="G199" s="829"/>
      <c r="H199" s="778" t="s">
        <v>12</v>
      </c>
      <c r="I199" s="944"/>
      <c r="J199" s="944"/>
      <c r="K199" s="945"/>
      <c r="L199" s="831">
        <f ca="1">IFERROR(__xludf.DUMMYFUNCTION("IMPORTRANGE(""https://docs.google.com/spreadsheets/d/1QqKyyYR6Q21VydFLVH3TRQUabQu_ym0Zz7PgGX0-kHA/edit?usp=sharing"",""แผน!AE20"")"),2000)</f>
        <v>2000</v>
      </c>
      <c r="M199" s="831"/>
      <c r="N199" s="1031">
        <v>1880</v>
      </c>
      <c r="O199" s="831"/>
      <c r="P199" s="831"/>
      <c r="Q199" s="818"/>
      <c r="R199" s="818"/>
      <c r="S199" s="818"/>
      <c r="T199" s="818"/>
      <c r="U199" s="818"/>
      <c r="V199" s="818"/>
      <c r="W199" s="818"/>
      <c r="X199" s="818"/>
      <c r="Y199" s="818"/>
      <c r="Z199" s="818"/>
    </row>
    <row r="200" spans="1:26" ht="19.5">
      <c r="A200" s="1032"/>
      <c r="B200" s="1030"/>
      <c r="C200" s="976"/>
      <c r="D200" s="943" t="s">
        <v>98</v>
      </c>
      <c r="E200" s="827"/>
      <c r="F200" s="827"/>
      <c r="G200" s="829"/>
      <c r="H200" s="590" t="s">
        <v>12</v>
      </c>
      <c r="I200" s="830"/>
      <c r="J200" s="830"/>
      <c r="K200" s="831"/>
      <c r="L200" s="831">
        <f ca="1">IFERROR(__xludf.DUMMYFUNCTION("IMPORTRANGE(""https://docs.google.com/spreadsheets/d/1QqKyyYR6Q21VydFLVH3TRQUabQu_ym0Zz7PgGX0-kHA/edit?usp=sharing"",""แผน!AF20"")"),16000)</f>
        <v>16000</v>
      </c>
      <c r="M200" s="831"/>
      <c r="N200" s="1031">
        <v>16000</v>
      </c>
      <c r="O200" s="831"/>
      <c r="P200" s="831"/>
      <c r="Q200" s="1033"/>
      <c r="R200" s="1033"/>
      <c r="S200" s="1033"/>
      <c r="T200" s="1033"/>
      <c r="U200" s="1033"/>
      <c r="V200" s="1033"/>
      <c r="W200" s="1033"/>
      <c r="X200" s="1033"/>
      <c r="Y200" s="1033"/>
      <c r="Z200" s="1033"/>
    </row>
    <row r="201" spans="1:26" ht="19.5">
      <c r="A201" s="1032"/>
      <c r="B201" s="1030"/>
      <c r="C201" s="976"/>
      <c r="D201" s="943" t="s">
        <v>99</v>
      </c>
      <c r="E201" s="827"/>
      <c r="F201" s="827"/>
      <c r="G201" s="829"/>
      <c r="H201" s="590" t="s">
        <v>12</v>
      </c>
      <c r="I201" s="830"/>
      <c r="J201" s="830"/>
      <c r="K201" s="831"/>
      <c r="L201" s="831">
        <f ca="1">IFERROR(__xludf.DUMMYFUNCTION("IMPORTRANGE(""https://docs.google.com/spreadsheets/d/1QqKyyYR6Q21VydFLVH3TRQUabQu_ym0Zz7PgGX0-kHA/edit?usp=sharing"",""แผน!AG20"")"),8000)</f>
        <v>8000</v>
      </c>
      <c r="M201" s="831"/>
      <c r="N201" s="1031">
        <v>8000</v>
      </c>
      <c r="O201" s="831"/>
      <c r="P201" s="831"/>
      <c r="Q201" s="1033"/>
      <c r="R201" s="1033"/>
      <c r="S201" s="1033"/>
      <c r="T201" s="1033"/>
      <c r="U201" s="1033"/>
      <c r="V201" s="1033"/>
      <c r="W201" s="1033"/>
      <c r="X201" s="1033"/>
      <c r="Y201" s="1033"/>
      <c r="Z201" s="1033"/>
    </row>
    <row r="202" spans="1:26" ht="19.5">
      <c r="A202" s="1032"/>
      <c r="B202" s="1030"/>
      <c r="C202" s="976"/>
      <c r="D202" s="943" t="s">
        <v>100</v>
      </c>
      <c r="E202" s="827"/>
      <c r="F202" s="827"/>
      <c r="G202" s="829"/>
      <c r="H202" s="590" t="s">
        <v>12</v>
      </c>
      <c r="I202" s="830"/>
      <c r="J202" s="830"/>
      <c r="K202" s="831"/>
      <c r="L202" s="831">
        <f ca="1">IFERROR(__xludf.DUMMYFUNCTION("IMPORTRANGE(""https://docs.google.com/spreadsheets/d/1QqKyyYR6Q21VydFLVH3TRQUabQu_ym0Zz7PgGX0-kHA/edit?usp=sharing"",""แผน!AH20"")"),0)</f>
        <v>0</v>
      </c>
      <c r="M202" s="831"/>
      <c r="N202" s="1031">
        <v>0</v>
      </c>
      <c r="O202" s="831"/>
      <c r="P202" s="831"/>
      <c r="Q202" s="1033"/>
      <c r="R202" s="1033"/>
      <c r="S202" s="1033"/>
      <c r="T202" s="1033"/>
      <c r="U202" s="1033"/>
      <c r="V202" s="1033"/>
      <c r="W202" s="1033"/>
      <c r="X202" s="1033"/>
      <c r="Y202" s="1033"/>
      <c r="Z202" s="1033"/>
    </row>
    <row r="203" spans="1:26" ht="19.5">
      <c r="A203" s="949"/>
      <c r="B203" s="950"/>
      <c r="C203" s="976" t="s">
        <v>16</v>
      </c>
      <c r="D203" s="951" t="s">
        <v>38</v>
      </c>
      <c r="E203" s="952"/>
      <c r="F203" s="952"/>
      <c r="G203" s="953"/>
      <c r="H203" s="954"/>
      <c r="I203" s="944"/>
      <c r="J203" s="944"/>
      <c r="K203" s="945"/>
      <c r="L203" s="945"/>
      <c r="M203" s="945"/>
      <c r="N203" s="945"/>
      <c r="O203" s="945"/>
      <c r="P203" s="945"/>
      <c r="Q203" s="818"/>
      <c r="R203" s="818"/>
      <c r="S203" s="818"/>
      <c r="T203" s="818"/>
      <c r="U203" s="818"/>
      <c r="V203" s="818"/>
      <c r="W203" s="818"/>
      <c r="X203" s="818"/>
      <c r="Y203" s="818"/>
      <c r="Z203" s="818"/>
    </row>
    <row r="204" spans="1:26" ht="18.75">
      <c r="A204" s="949"/>
      <c r="B204" s="950"/>
      <c r="C204" s="950"/>
      <c r="D204" s="955" t="s">
        <v>101</v>
      </c>
      <c r="E204" s="957"/>
      <c r="F204" s="957"/>
      <c r="G204" s="958"/>
      <c r="H204" s="954" t="s">
        <v>96</v>
      </c>
      <c r="I204" s="830">
        <f ca="1">IFERROR(__xludf.DUMMYFUNCTION("IMPORTRANGE(""https://docs.google.com/spreadsheets/d/1QqKyyYR6Q21VydFLVH3TRQUabQu_ym0Zz7PgGX0-kHA/edit?usp=sharing"",""แผน!AI20"")"),2)</f>
        <v>2</v>
      </c>
      <c r="J204" s="959">
        <v>2</v>
      </c>
      <c r="K204" s="945">
        <f ca="1">IF(I204&gt;0,J204*100/I204,0)</f>
        <v>100</v>
      </c>
      <c r="L204" s="831"/>
      <c r="M204" s="831"/>
      <c r="N204" s="831"/>
      <c r="O204" s="831"/>
      <c r="P204" s="831"/>
      <c r="Q204" s="818"/>
      <c r="R204" s="818"/>
      <c r="S204" s="818"/>
      <c r="T204" s="818"/>
      <c r="U204" s="818"/>
      <c r="V204" s="818"/>
      <c r="W204" s="818"/>
      <c r="X204" s="818"/>
      <c r="Y204" s="818"/>
      <c r="Z204" s="818"/>
    </row>
    <row r="205" spans="1:26" ht="18.75">
      <c r="A205" s="949"/>
      <c r="B205" s="950"/>
      <c r="C205" s="950"/>
      <c r="D205" s="956" t="s">
        <v>59</v>
      </c>
      <c r="E205" s="957"/>
      <c r="F205" s="957"/>
      <c r="G205" s="958"/>
      <c r="H205" s="954"/>
      <c r="I205" s="830"/>
      <c r="J205" s="830"/>
      <c r="K205" s="945"/>
      <c r="L205" s="831"/>
      <c r="M205" s="831"/>
      <c r="N205" s="831"/>
      <c r="O205" s="831"/>
      <c r="P205" s="831"/>
      <c r="Q205" s="818"/>
      <c r="R205" s="818"/>
      <c r="S205" s="818"/>
      <c r="T205" s="818"/>
      <c r="U205" s="818"/>
      <c r="V205" s="818"/>
      <c r="W205" s="818"/>
      <c r="X205" s="818"/>
      <c r="Y205" s="818"/>
      <c r="Z205" s="818"/>
    </row>
    <row r="206" spans="1:26" ht="18.75">
      <c r="A206" s="949"/>
      <c r="B206" s="950"/>
      <c r="C206" s="950"/>
      <c r="D206" s="957"/>
      <c r="E206" s="968" t="s">
        <v>102</v>
      </c>
      <c r="F206" s="1034"/>
      <c r="G206" s="1035"/>
      <c r="H206" s="1036" t="s">
        <v>96</v>
      </c>
      <c r="I206" s="830">
        <v>2</v>
      </c>
      <c r="J206" s="959">
        <v>2</v>
      </c>
      <c r="K206" s="945">
        <f t="shared" ref="K206:K208" si="100">IF(I206&gt;0,J206*100/I206,0)</f>
        <v>100</v>
      </c>
      <c r="L206" s="831"/>
      <c r="M206" s="831"/>
      <c r="N206" s="831"/>
      <c r="O206" s="831"/>
      <c r="P206" s="831"/>
      <c r="Q206" s="818"/>
      <c r="R206" s="818"/>
      <c r="S206" s="818"/>
      <c r="T206" s="818"/>
      <c r="U206" s="818"/>
      <c r="V206" s="818"/>
      <c r="W206" s="818"/>
      <c r="X206" s="818"/>
      <c r="Y206" s="818"/>
      <c r="Z206" s="818"/>
    </row>
    <row r="207" spans="1:26" ht="18.75">
      <c r="A207" s="949"/>
      <c r="B207" s="950"/>
      <c r="C207" s="950"/>
      <c r="D207" s="956"/>
      <c r="E207" s="956" t="s">
        <v>103</v>
      </c>
      <c r="F207" s="957"/>
      <c r="G207" s="957"/>
      <c r="H207" s="290" t="s">
        <v>104</v>
      </c>
      <c r="I207" s="830">
        <v>0</v>
      </c>
      <c r="J207" s="959">
        <v>0</v>
      </c>
      <c r="K207" s="945">
        <f t="shared" si="100"/>
        <v>0</v>
      </c>
      <c r="L207" s="831"/>
      <c r="M207" s="831"/>
      <c r="N207" s="831"/>
      <c r="O207" s="831"/>
      <c r="P207" s="831"/>
      <c r="Q207" s="818"/>
      <c r="R207" s="818"/>
      <c r="S207" s="818"/>
      <c r="T207" s="818"/>
      <c r="U207" s="818"/>
      <c r="V207" s="818"/>
      <c r="W207" s="818"/>
      <c r="X207" s="818"/>
      <c r="Y207" s="818"/>
      <c r="Z207" s="818"/>
    </row>
    <row r="208" spans="1:26" ht="19.5" hidden="1">
      <c r="A208" s="1011"/>
      <c r="B208" s="1018"/>
      <c r="C208" s="1023" t="s">
        <v>105</v>
      </c>
      <c r="D208" s="1012"/>
      <c r="E208" s="1012"/>
      <c r="F208" s="1037"/>
      <c r="G208" s="1014"/>
      <c r="H208" s="278" t="s">
        <v>96</v>
      </c>
      <c r="I208" s="1024">
        <f t="shared" ref="I208:J208" ca="1" si="101">I215</f>
        <v>0</v>
      </c>
      <c r="J208" s="1024">
        <f t="shared" si="101"/>
        <v>0</v>
      </c>
      <c r="K208" s="1025">
        <f t="shared" ca="1" si="100"/>
        <v>0</v>
      </c>
      <c r="L208" s="1016"/>
      <c r="M208" s="1016"/>
      <c r="N208" s="1016"/>
      <c r="O208" s="1016"/>
      <c r="P208" s="1016"/>
    </row>
    <row r="209" spans="1:26" ht="19.5" hidden="1">
      <c r="A209" s="932"/>
      <c r="B209" s="933"/>
      <c r="C209" s="934" t="s">
        <v>16</v>
      </c>
      <c r="D209" s="1026" t="s">
        <v>17</v>
      </c>
      <c r="E209" s="933"/>
      <c r="F209" s="933"/>
      <c r="G209" s="936"/>
      <c r="H209" s="275" t="s">
        <v>12</v>
      </c>
      <c r="I209" s="1028"/>
      <c r="J209" s="1028"/>
      <c r="K209" s="1029"/>
      <c r="L209" s="939">
        <f ca="1">L210+L211+L212</f>
        <v>0</v>
      </c>
      <c r="M209" s="939"/>
      <c r="N209" s="939">
        <f>N210+N211+N212</f>
        <v>0</v>
      </c>
      <c r="O209" s="939">
        <f ca="1">IF(L209&gt;0,N209*100/L209,0)</f>
        <v>0</v>
      </c>
      <c r="P209" s="939">
        <f>IF(M209&gt;0,N209*100/M209,0)</f>
        <v>0</v>
      </c>
      <c r="Q209" s="818"/>
      <c r="R209" s="818"/>
      <c r="S209" s="818"/>
      <c r="T209" s="818"/>
      <c r="U209" s="818"/>
      <c r="V209" s="818"/>
      <c r="W209" s="818"/>
      <c r="X209" s="818"/>
      <c r="Y209" s="818"/>
      <c r="Z209" s="818"/>
    </row>
    <row r="210" spans="1:26" ht="18.75" hidden="1">
      <c r="A210" s="942"/>
      <c r="B210" s="1030"/>
      <c r="C210" s="827"/>
      <c r="D210" s="943" t="s">
        <v>97</v>
      </c>
      <c r="E210" s="827"/>
      <c r="F210" s="827"/>
      <c r="G210" s="829"/>
      <c r="H210" s="778" t="s">
        <v>12</v>
      </c>
      <c r="I210" s="944"/>
      <c r="J210" s="944"/>
      <c r="K210" s="945"/>
      <c r="L210" s="831">
        <f ca="1">IFERROR(__xludf.DUMMYFUNCTION("IMPORTRANGE(""https://docs.google.com/spreadsheets/d/1QqKyyYR6Q21VydFLVH3TRQUabQu_ym0Zz7PgGX0-kHA/edit?usp=sharing"",""แผน!AK20"")"),0)</f>
        <v>0</v>
      </c>
      <c r="M210" s="831"/>
      <c r="N210" s="1031">
        <v>0</v>
      </c>
      <c r="O210" s="831"/>
      <c r="P210" s="831"/>
      <c r="Q210" s="818"/>
      <c r="R210" s="818"/>
      <c r="S210" s="818"/>
      <c r="T210" s="818"/>
      <c r="U210" s="818"/>
      <c r="V210" s="818"/>
      <c r="W210" s="818"/>
      <c r="X210" s="818"/>
      <c r="Y210" s="818"/>
      <c r="Z210" s="818"/>
    </row>
    <row r="211" spans="1:26" ht="19.5" hidden="1">
      <c r="A211" s="1032"/>
      <c r="B211" s="1030"/>
      <c r="C211" s="1038"/>
      <c r="D211" s="943" t="s">
        <v>99</v>
      </c>
      <c r="E211" s="827"/>
      <c r="F211" s="827"/>
      <c r="G211" s="829"/>
      <c r="H211" s="778" t="s">
        <v>12</v>
      </c>
      <c r="I211" s="830"/>
      <c r="J211" s="830"/>
      <c r="K211" s="831"/>
      <c r="L211" s="831">
        <f ca="1">IFERROR(__xludf.DUMMYFUNCTION("IMPORTRANGE(""https://docs.google.com/spreadsheets/d/1QqKyyYR6Q21VydFLVH3TRQUabQu_ym0Zz7PgGX0-kHA/edit?usp=sharing"",""แผน!AL20"")"),0)</f>
        <v>0</v>
      </c>
      <c r="M211" s="831"/>
      <c r="N211" s="1031">
        <v>0</v>
      </c>
      <c r="O211" s="831"/>
      <c r="P211" s="831"/>
      <c r="Q211" s="1033"/>
      <c r="R211" s="1033"/>
      <c r="S211" s="1033"/>
      <c r="T211" s="1033"/>
      <c r="U211" s="1033"/>
      <c r="V211" s="1033"/>
      <c r="W211" s="1033"/>
      <c r="X211" s="1033"/>
      <c r="Y211" s="1033"/>
      <c r="Z211" s="1033"/>
    </row>
    <row r="212" spans="1:26" ht="19.5" hidden="1">
      <c r="A212" s="1032"/>
      <c r="B212" s="1030"/>
      <c r="C212" s="1038"/>
      <c r="D212" s="943" t="s">
        <v>98</v>
      </c>
      <c r="E212" s="827"/>
      <c r="F212" s="827"/>
      <c r="G212" s="829"/>
      <c r="H212" s="778" t="s">
        <v>12</v>
      </c>
      <c r="I212" s="830"/>
      <c r="J212" s="830"/>
      <c r="K212" s="831"/>
      <c r="L212" s="831">
        <f ca="1">IFERROR(__xludf.DUMMYFUNCTION("IMPORTRANGE(""https://docs.google.com/spreadsheets/d/1QqKyyYR6Q21VydFLVH3TRQUabQu_ym0Zz7PgGX0-kHA/edit?usp=sharing"",""แผน!AM20"")"),0)</f>
        <v>0</v>
      </c>
      <c r="M212" s="831"/>
      <c r="N212" s="1031">
        <v>0</v>
      </c>
      <c r="O212" s="831"/>
      <c r="P212" s="831"/>
      <c r="Q212" s="1033"/>
      <c r="R212" s="1033"/>
      <c r="S212" s="1033"/>
      <c r="T212" s="1033"/>
      <c r="U212" s="1033"/>
      <c r="V212" s="1033"/>
      <c r="W212" s="1033"/>
      <c r="X212" s="1033"/>
      <c r="Y212" s="1033"/>
      <c r="Z212" s="1033"/>
    </row>
    <row r="213" spans="1:26" ht="19.5" hidden="1">
      <c r="A213" s="949"/>
      <c r="B213" s="950"/>
      <c r="C213" s="1038" t="s">
        <v>16</v>
      </c>
      <c r="D213" s="951" t="s">
        <v>38</v>
      </c>
      <c r="E213" s="952"/>
      <c r="F213" s="952"/>
      <c r="G213" s="953"/>
      <c r="H213" s="954"/>
      <c r="I213" s="944"/>
      <c r="J213" s="830"/>
      <c r="K213" s="831"/>
      <c r="L213" s="831"/>
      <c r="M213" s="831"/>
      <c r="N213" s="831"/>
      <c r="O213" s="945"/>
      <c r="P213" s="945"/>
      <c r="Q213" s="818"/>
      <c r="R213" s="818"/>
      <c r="S213" s="818"/>
      <c r="T213" s="818"/>
      <c r="U213" s="818"/>
      <c r="V213" s="818"/>
      <c r="W213" s="818"/>
      <c r="X213" s="818"/>
      <c r="Y213" s="818"/>
      <c r="Z213" s="818"/>
    </row>
    <row r="214" spans="1:26" ht="18.75" hidden="1">
      <c r="A214" s="949"/>
      <c r="B214" s="950"/>
      <c r="C214" s="950"/>
      <c r="D214" s="955" t="s">
        <v>106</v>
      </c>
      <c r="E214" s="957"/>
      <c r="F214" s="957"/>
      <c r="G214" s="958"/>
      <c r="H214" s="954" t="s">
        <v>96</v>
      </c>
      <c r="I214" s="830">
        <f ca="1">IFERROR(__xludf.DUMMYFUNCTION("IMPORTRANGE(""https://docs.google.com/spreadsheets/d/1QqKyyYR6Q21VydFLVH3TRQUabQu_ym0Zz7PgGX0-kHA/edit?usp=sharing"",""แผน!AN20"")"),0)</f>
        <v>0</v>
      </c>
      <c r="J214" s="959">
        <v>0</v>
      </c>
      <c r="K214" s="831">
        <f t="shared" ref="K214:K216" ca="1" si="102">IF(I214&gt;0,J214*100/I214,0)</f>
        <v>0</v>
      </c>
      <c r="L214" s="831"/>
      <c r="M214" s="831"/>
      <c r="N214" s="831"/>
      <c r="O214" s="831"/>
      <c r="P214" s="831"/>
      <c r="Q214" s="818"/>
      <c r="R214" s="818"/>
      <c r="S214" s="818"/>
      <c r="T214" s="818"/>
      <c r="U214" s="818"/>
      <c r="V214" s="818"/>
      <c r="W214" s="818"/>
      <c r="X214" s="818"/>
      <c r="Y214" s="818"/>
      <c r="Z214" s="818"/>
    </row>
    <row r="215" spans="1:26" ht="18.75" hidden="1">
      <c r="A215" s="949"/>
      <c r="B215" s="950"/>
      <c r="C215" s="950"/>
      <c r="D215" s="955" t="s">
        <v>107</v>
      </c>
      <c r="E215" s="957"/>
      <c r="F215" s="957"/>
      <c r="G215" s="958"/>
      <c r="H215" s="954" t="s">
        <v>96</v>
      </c>
      <c r="I215" s="830">
        <f ca="1">IFERROR(__xludf.DUMMYFUNCTION("IMPORTRANGE(""https://docs.google.com/spreadsheets/d/1QqKyyYR6Q21VydFLVH3TRQUabQu_ym0Zz7PgGX0-kHA/edit?usp=sharing"",""แผน!AN20"")"),0)</f>
        <v>0</v>
      </c>
      <c r="J215" s="959">
        <v>0</v>
      </c>
      <c r="K215" s="831">
        <f t="shared" ca="1" si="102"/>
        <v>0</v>
      </c>
      <c r="L215" s="831"/>
      <c r="M215" s="831"/>
      <c r="N215" s="831"/>
      <c r="O215" s="831"/>
      <c r="P215" s="831"/>
      <c r="Q215" s="818"/>
      <c r="R215" s="818"/>
      <c r="S215" s="818"/>
      <c r="T215" s="818"/>
      <c r="U215" s="818"/>
      <c r="V215" s="818"/>
      <c r="W215" s="818"/>
      <c r="X215" s="818"/>
      <c r="Y215" s="818"/>
      <c r="Z215" s="818"/>
    </row>
    <row r="216" spans="1:26" ht="19.5">
      <c r="A216" s="1011"/>
      <c r="B216" s="1018"/>
      <c r="C216" s="1023" t="s">
        <v>108</v>
      </c>
      <c r="D216" s="1012"/>
      <c r="E216" s="1012"/>
      <c r="F216" s="1037"/>
      <c r="G216" s="1014"/>
      <c r="H216" s="260" t="s">
        <v>109</v>
      </c>
      <c r="I216" s="1024">
        <f t="shared" ref="I216:J216" ca="1" si="103">I224</f>
        <v>20000</v>
      </c>
      <c r="J216" s="1024">
        <f t="shared" si="103"/>
        <v>0</v>
      </c>
      <c r="K216" s="1025">
        <f t="shared" ca="1" si="102"/>
        <v>0</v>
      </c>
      <c r="L216" s="1016"/>
      <c r="M216" s="1016"/>
      <c r="N216" s="1016"/>
      <c r="O216" s="1016"/>
      <c r="P216" s="1016"/>
    </row>
    <row r="217" spans="1:26" ht="19.5">
      <c r="A217" s="932"/>
      <c r="B217" s="933"/>
      <c r="C217" s="934" t="s">
        <v>16</v>
      </c>
      <c r="D217" s="1026" t="s">
        <v>17</v>
      </c>
      <c r="E217" s="933"/>
      <c r="F217" s="933"/>
      <c r="G217" s="936"/>
      <c r="H217" s="275" t="s">
        <v>12</v>
      </c>
      <c r="I217" s="1028"/>
      <c r="J217" s="1028"/>
      <c r="K217" s="1029"/>
      <c r="L217" s="939">
        <f ca="1">L218+L219+L220</f>
        <v>18000</v>
      </c>
      <c r="M217" s="939"/>
      <c r="N217" s="939">
        <f>N218+N219+N220</f>
        <v>10360</v>
      </c>
      <c r="O217" s="939">
        <f ca="1">IF(L217&gt;0,N217*100/L217,0)</f>
        <v>57.555555555555557</v>
      </c>
      <c r="P217" s="939">
        <f>IF(M217&gt;0,N217*100/M217,0)</f>
        <v>0</v>
      </c>
      <c r="Q217" s="818"/>
      <c r="R217" s="818"/>
      <c r="S217" s="818"/>
      <c r="T217" s="818"/>
      <c r="U217" s="818"/>
      <c r="V217" s="818"/>
      <c r="W217" s="818"/>
      <c r="X217" s="818"/>
      <c r="Y217" s="818"/>
      <c r="Z217" s="818"/>
    </row>
    <row r="218" spans="1:26" ht="18.75">
      <c r="A218" s="942"/>
      <c r="B218" s="1030"/>
      <c r="C218" s="827"/>
      <c r="D218" s="943" t="s">
        <v>97</v>
      </c>
      <c r="E218" s="827"/>
      <c r="F218" s="827"/>
      <c r="G218" s="829"/>
      <c r="H218" s="778" t="s">
        <v>12</v>
      </c>
      <c r="I218" s="944"/>
      <c r="J218" s="944"/>
      <c r="K218" s="945"/>
      <c r="L218" s="831">
        <f ca="1">IFERROR(__xludf.DUMMYFUNCTION("IMPORTRANGE(""https://docs.google.com/spreadsheets/d/1QqKyyYR6Q21VydFLVH3TRQUabQu_ym0Zz7PgGX0-kHA/edit?usp=sharing"",""แผน!AP20"")"),3000)</f>
        <v>3000</v>
      </c>
      <c r="M218" s="831"/>
      <c r="N218" s="1031">
        <v>1620</v>
      </c>
      <c r="O218" s="831"/>
      <c r="P218" s="831"/>
      <c r="Q218" s="818"/>
      <c r="R218" s="818"/>
      <c r="S218" s="818"/>
      <c r="T218" s="818"/>
      <c r="U218" s="818"/>
      <c r="V218" s="818"/>
      <c r="W218" s="818"/>
      <c r="X218" s="818"/>
      <c r="Y218" s="818"/>
      <c r="Z218" s="818"/>
    </row>
    <row r="219" spans="1:26" ht="19.5">
      <c r="A219" s="1032"/>
      <c r="B219" s="1030"/>
      <c r="C219" s="1038"/>
      <c r="D219" s="943" t="s">
        <v>110</v>
      </c>
      <c r="E219" s="827"/>
      <c r="F219" s="827"/>
      <c r="G219" s="829"/>
      <c r="H219" s="778" t="s">
        <v>12</v>
      </c>
      <c r="I219" s="830"/>
      <c r="J219" s="830"/>
      <c r="K219" s="831"/>
      <c r="L219" s="831">
        <f ca="1">IFERROR(__xludf.DUMMYFUNCTION("IMPORTRANGE(""https://docs.google.com/spreadsheets/d/1QqKyyYR6Q21VydFLVH3TRQUabQu_ym0Zz7PgGX0-kHA/edit?usp=sharing"",""แผน!AQ20"")"),5000)</f>
        <v>5000</v>
      </c>
      <c r="M219" s="831"/>
      <c r="N219" s="1031">
        <v>0</v>
      </c>
      <c r="O219" s="831"/>
      <c r="P219" s="831"/>
      <c r="Q219" s="1033"/>
      <c r="R219" s="1033"/>
      <c r="S219" s="1033"/>
      <c r="T219" s="1033"/>
      <c r="U219" s="1033"/>
      <c r="V219" s="1033"/>
      <c r="W219" s="1033"/>
      <c r="X219" s="1033"/>
      <c r="Y219" s="1033"/>
      <c r="Z219" s="1033"/>
    </row>
    <row r="220" spans="1:26" ht="19.5">
      <c r="A220" s="1032"/>
      <c r="B220" s="1030"/>
      <c r="C220" s="1038"/>
      <c r="D220" s="943" t="s">
        <v>98</v>
      </c>
      <c r="E220" s="827"/>
      <c r="F220" s="827"/>
      <c r="G220" s="829"/>
      <c r="H220" s="778" t="s">
        <v>12</v>
      </c>
      <c r="I220" s="830"/>
      <c r="J220" s="830"/>
      <c r="K220" s="831"/>
      <c r="L220" s="831">
        <f ca="1">IFERROR(__xludf.DUMMYFUNCTION("IMPORTRANGE(""https://docs.google.com/spreadsheets/d/1QqKyyYR6Q21VydFLVH3TRQUabQu_ym0Zz7PgGX0-kHA/edit?usp=sharing"",""แผน!AR20"")"),10000)</f>
        <v>10000</v>
      </c>
      <c r="M220" s="831"/>
      <c r="N220" s="1031">
        <v>8740</v>
      </c>
      <c r="O220" s="831"/>
      <c r="P220" s="831"/>
      <c r="Q220" s="1033"/>
      <c r="R220" s="1033"/>
      <c r="S220" s="1033"/>
      <c r="T220" s="1033"/>
      <c r="U220" s="1033"/>
      <c r="V220" s="1033"/>
      <c r="W220" s="1033"/>
      <c r="X220" s="1033"/>
      <c r="Y220" s="1033"/>
      <c r="Z220" s="1033"/>
    </row>
    <row r="221" spans="1:26" ht="19.5">
      <c r="A221" s="949"/>
      <c r="B221" s="950"/>
      <c r="C221" s="1038" t="s">
        <v>16</v>
      </c>
      <c r="D221" s="951" t="s">
        <v>38</v>
      </c>
      <c r="E221" s="952"/>
      <c r="F221" s="952"/>
      <c r="G221" s="953"/>
      <c r="H221" s="954"/>
      <c r="I221" s="944"/>
      <c r="J221" s="944"/>
      <c r="K221" s="945"/>
      <c r="L221" s="945"/>
      <c r="M221" s="945"/>
      <c r="N221" s="945"/>
      <c r="O221" s="945"/>
      <c r="P221" s="945"/>
      <c r="Q221" s="818"/>
      <c r="R221" s="818"/>
      <c r="S221" s="818"/>
      <c r="T221" s="818"/>
      <c r="U221" s="818"/>
      <c r="V221" s="818"/>
      <c r="W221" s="818"/>
      <c r="X221" s="818"/>
      <c r="Y221" s="818"/>
      <c r="Z221" s="818"/>
    </row>
    <row r="222" spans="1:26" ht="18.75">
      <c r="A222" s="949"/>
      <c r="B222" s="950"/>
      <c r="C222" s="950"/>
      <c r="D222" s="943" t="s">
        <v>111</v>
      </c>
      <c r="E222" s="957"/>
      <c r="F222" s="957"/>
      <c r="G222" s="958"/>
      <c r="H222" s="954"/>
      <c r="I222" s="830"/>
      <c r="J222" s="830"/>
      <c r="K222" s="945"/>
      <c r="L222" s="945"/>
      <c r="M222" s="945"/>
      <c r="N222" s="945"/>
      <c r="O222" s="945"/>
      <c r="P222" s="945"/>
      <c r="Q222" s="818"/>
      <c r="R222" s="818"/>
      <c r="S222" s="818"/>
      <c r="T222" s="818"/>
      <c r="U222" s="818"/>
      <c r="V222" s="818"/>
      <c r="W222" s="818"/>
      <c r="X222" s="818"/>
      <c r="Y222" s="818"/>
      <c r="Z222" s="818"/>
    </row>
    <row r="223" spans="1:26" ht="18.75">
      <c r="A223" s="949"/>
      <c r="B223" s="950"/>
      <c r="C223" s="950"/>
      <c r="D223" s="950"/>
      <c r="E223" s="955" t="s">
        <v>112</v>
      </c>
      <c r="F223" s="957"/>
      <c r="G223" s="958"/>
      <c r="H223" s="730" t="s">
        <v>109</v>
      </c>
      <c r="I223" s="830">
        <f ca="1">IFERROR(__xludf.DUMMYFUNCTION("IMPORTRANGE(""https://docs.google.com/spreadsheets/d/1QqKyyYR6Q21VydFLVH3TRQUabQu_ym0Zz7PgGX0-kHA/edit?usp=sharing"",""แผน!AT20"")"),20000)</f>
        <v>20000</v>
      </c>
      <c r="J223" s="959">
        <v>0</v>
      </c>
      <c r="K223" s="945">
        <f t="shared" ref="K223:K226" ca="1" si="104">IF(I223&gt;0,J223*100/I223,0)</f>
        <v>0</v>
      </c>
      <c r="L223" s="945"/>
      <c r="M223" s="945"/>
      <c r="N223" s="945"/>
      <c r="O223" s="945"/>
      <c r="P223" s="945"/>
      <c r="Q223" s="818"/>
      <c r="R223" s="818"/>
      <c r="S223" s="818"/>
      <c r="T223" s="818"/>
      <c r="U223" s="818"/>
      <c r="V223" s="818"/>
      <c r="W223" s="818"/>
      <c r="X223" s="818"/>
      <c r="Y223" s="818"/>
      <c r="Z223" s="818"/>
    </row>
    <row r="224" spans="1:26" ht="18.75">
      <c r="A224" s="949"/>
      <c r="B224" s="950"/>
      <c r="C224" s="950"/>
      <c r="D224" s="950"/>
      <c r="E224" s="955" t="s">
        <v>113</v>
      </c>
      <c r="F224" s="957"/>
      <c r="G224" s="958"/>
      <c r="H224" s="730" t="s">
        <v>109</v>
      </c>
      <c r="I224" s="830">
        <f ca="1">IFERROR(__xludf.DUMMYFUNCTION("IMPORTRANGE(""https://docs.google.com/spreadsheets/d/1QqKyyYR6Q21VydFLVH3TRQUabQu_ym0Zz7PgGX0-kHA/edit?usp=sharing"",""แผน!AT20"")"),20000)</f>
        <v>20000</v>
      </c>
      <c r="J224" s="959">
        <v>0</v>
      </c>
      <c r="K224" s="945">
        <f t="shared" ca="1" si="104"/>
        <v>0</v>
      </c>
      <c r="L224" s="831"/>
      <c r="M224" s="831"/>
      <c r="N224" s="831"/>
      <c r="O224" s="831"/>
      <c r="P224" s="831"/>
      <c r="Q224" s="818"/>
      <c r="R224" s="818"/>
      <c r="S224" s="818"/>
      <c r="T224" s="818"/>
      <c r="U224" s="818"/>
      <c r="V224" s="818"/>
      <c r="W224" s="818"/>
      <c r="X224" s="818"/>
      <c r="Y224" s="818"/>
      <c r="Z224" s="818"/>
    </row>
    <row r="225" spans="1:26" ht="18.75">
      <c r="A225" s="949"/>
      <c r="B225" s="950"/>
      <c r="C225" s="950"/>
      <c r="D225" s="943" t="s">
        <v>114</v>
      </c>
      <c r="E225" s="957"/>
      <c r="F225" s="957"/>
      <c r="G225" s="958"/>
      <c r="H225" s="730" t="s">
        <v>35</v>
      </c>
      <c r="I225" s="830">
        <f ca="1">IFERROR(__xludf.DUMMYFUNCTION("IMPORTRANGE(""https://docs.google.com/spreadsheets/d/1QqKyyYR6Q21VydFLVH3TRQUabQu_ym0Zz7PgGX0-kHA/edit?usp=sharing"",""แผน!AS20"")"),10)</f>
        <v>10</v>
      </c>
      <c r="J225" s="959">
        <v>10</v>
      </c>
      <c r="K225" s="945">
        <f t="shared" ca="1" si="104"/>
        <v>100</v>
      </c>
      <c r="L225" s="831"/>
      <c r="M225" s="831"/>
      <c r="N225" s="831"/>
      <c r="O225" s="831"/>
      <c r="P225" s="831"/>
      <c r="Q225" s="818"/>
      <c r="R225" s="818"/>
      <c r="S225" s="818"/>
      <c r="T225" s="818"/>
      <c r="U225" s="818"/>
      <c r="V225" s="818"/>
      <c r="W225" s="818"/>
      <c r="X225" s="818"/>
      <c r="Y225" s="818"/>
      <c r="Z225" s="818"/>
    </row>
    <row r="226" spans="1:26" ht="19.5" hidden="1">
      <c r="A226" s="1011"/>
      <c r="B226" s="1018"/>
      <c r="C226" s="1039" t="s">
        <v>115</v>
      </c>
      <c r="D226" s="1012"/>
      <c r="E226" s="1012"/>
      <c r="F226" s="1012"/>
      <c r="G226" s="1014"/>
      <c r="H226" s="266" t="s">
        <v>35</v>
      </c>
      <c r="I226" s="1040">
        <f t="shared" ref="I226:J226" ca="1" si="105">I237+I248</f>
        <v>40</v>
      </c>
      <c r="J226" s="1040">
        <f t="shared" si="105"/>
        <v>40</v>
      </c>
      <c r="K226" s="1041">
        <f t="shared" ca="1" si="104"/>
        <v>100</v>
      </c>
      <c r="L226" s="1016"/>
      <c r="M226" s="1016"/>
      <c r="N226" s="1016"/>
      <c r="O226" s="1016"/>
      <c r="P226" s="1016"/>
    </row>
    <row r="227" spans="1:26" ht="19.5" hidden="1">
      <c r="A227" s="1042"/>
      <c r="B227" s="1043"/>
      <c r="C227" s="1044" t="s">
        <v>16</v>
      </c>
      <c r="D227" s="1045" t="s">
        <v>17</v>
      </c>
      <c r="E227" s="1043"/>
      <c r="F227" s="1043"/>
      <c r="G227" s="1046"/>
      <c r="H227" s="1047" t="s">
        <v>12</v>
      </c>
      <c r="I227" s="1048"/>
      <c r="J227" s="1048"/>
      <c r="K227" s="1049"/>
      <c r="L227" s="1050">
        <f t="shared" ref="L227:L231" ca="1" si="106">L238+L249</f>
        <v>389580</v>
      </c>
      <c r="M227" s="1050"/>
      <c r="N227" s="1050">
        <f t="shared" ref="N227:N231" si="107">N238+N249</f>
        <v>219070</v>
      </c>
      <c r="O227" s="1051"/>
      <c r="P227" s="1051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</row>
    <row r="228" spans="1:26" ht="18.75" hidden="1">
      <c r="A228" s="940"/>
      <c r="B228" s="1052"/>
      <c r="C228" s="833"/>
      <c r="D228" s="834" t="s">
        <v>97</v>
      </c>
      <c r="E228" s="833"/>
      <c r="F228" s="833"/>
      <c r="G228" s="835"/>
      <c r="H228" s="165" t="s">
        <v>12</v>
      </c>
      <c r="I228" s="947"/>
      <c r="J228" s="947"/>
      <c r="K228" s="948"/>
      <c r="L228" s="837">
        <f t="shared" ca="1" si="106"/>
        <v>163000</v>
      </c>
      <c r="M228" s="837"/>
      <c r="N228" s="837">
        <f t="shared" si="107"/>
        <v>64595</v>
      </c>
      <c r="O228" s="837"/>
      <c r="P228" s="837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</row>
    <row r="229" spans="1:26" ht="19.5" hidden="1">
      <c r="A229" s="1053"/>
      <c r="B229" s="1052"/>
      <c r="C229" s="1054"/>
      <c r="D229" s="834" t="s">
        <v>98</v>
      </c>
      <c r="E229" s="833"/>
      <c r="F229" s="833"/>
      <c r="G229" s="835"/>
      <c r="H229" s="165" t="s">
        <v>12</v>
      </c>
      <c r="I229" s="836"/>
      <c r="J229" s="836"/>
      <c r="K229" s="837"/>
      <c r="L229" s="837">
        <f t="shared" ca="1" si="106"/>
        <v>166580</v>
      </c>
      <c r="M229" s="837"/>
      <c r="N229" s="837">
        <f t="shared" si="107"/>
        <v>154475</v>
      </c>
      <c r="O229" s="837"/>
      <c r="P229" s="837"/>
      <c r="Q229" s="1055"/>
      <c r="R229" s="1055"/>
      <c r="S229" s="1055"/>
      <c r="T229" s="1055"/>
      <c r="U229" s="1055"/>
      <c r="V229" s="1055"/>
      <c r="W229" s="1055"/>
      <c r="X229" s="1055"/>
      <c r="Y229" s="1055"/>
      <c r="Z229" s="1055"/>
    </row>
    <row r="230" spans="1:26" ht="19.5" hidden="1">
      <c r="A230" s="1053"/>
      <c r="B230" s="1052"/>
      <c r="C230" s="1054"/>
      <c r="D230" s="834" t="s">
        <v>116</v>
      </c>
      <c r="E230" s="833"/>
      <c r="F230" s="833"/>
      <c r="G230" s="835"/>
      <c r="H230" s="165" t="s">
        <v>12</v>
      </c>
      <c r="I230" s="836"/>
      <c r="J230" s="836"/>
      <c r="K230" s="837"/>
      <c r="L230" s="837">
        <f t="shared" ca="1" si="106"/>
        <v>20000</v>
      </c>
      <c r="M230" s="837"/>
      <c r="N230" s="837">
        <f t="shared" si="107"/>
        <v>0</v>
      </c>
      <c r="O230" s="837"/>
      <c r="P230" s="837"/>
      <c r="Q230" s="1055"/>
      <c r="R230" s="1055"/>
      <c r="S230" s="1055"/>
      <c r="T230" s="1055"/>
      <c r="U230" s="1055"/>
      <c r="V230" s="1055"/>
      <c r="W230" s="1055"/>
      <c r="X230" s="1055"/>
      <c r="Y230" s="1055"/>
      <c r="Z230" s="1055"/>
    </row>
    <row r="231" spans="1:26" ht="19.5" hidden="1">
      <c r="A231" s="1053"/>
      <c r="B231" s="1052"/>
      <c r="C231" s="1054"/>
      <c r="D231" s="834" t="s">
        <v>100</v>
      </c>
      <c r="E231" s="833"/>
      <c r="F231" s="833"/>
      <c r="G231" s="835"/>
      <c r="H231" s="165" t="s">
        <v>12</v>
      </c>
      <c r="I231" s="836"/>
      <c r="J231" s="836"/>
      <c r="K231" s="837"/>
      <c r="L231" s="837">
        <f t="shared" ca="1" si="106"/>
        <v>40000</v>
      </c>
      <c r="M231" s="837"/>
      <c r="N231" s="837">
        <f t="shared" si="107"/>
        <v>0</v>
      </c>
      <c r="O231" s="837"/>
      <c r="P231" s="837"/>
      <c r="Q231" s="1055"/>
      <c r="R231" s="1055"/>
      <c r="S231" s="1055"/>
      <c r="T231" s="1055"/>
      <c r="U231" s="1055"/>
      <c r="V231" s="1055"/>
      <c r="W231" s="1055"/>
      <c r="X231" s="1055"/>
      <c r="Y231" s="1055"/>
      <c r="Z231" s="1055"/>
    </row>
    <row r="232" spans="1:26" ht="19.5" hidden="1">
      <c r="A232" s="1056"/>
      <c r="B232" s="1057"/>
      <c r="C232" s="1054" t="s">
        <v>16</v>
      </c>
      <c r="D232" s="1020" t="s">
        <v>38</v>
      </c>
      <c r="E232" s="1058"/>
      <c r="F232" s="1058"/>
      <c r="G232" s="1059"/>
      <c r="H232" s="1060"/>
      <c r="I232" s="947"/>
      <c r="J232" s="836"/>
      <c r="K232" s="837"/>
      <c r="L232" s="837"/>
      <c r="M232" s="837"/>
      <c r="N232" s="837"/>
      <c r="O232" s="948"/>
      <c r="P232" s="948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</row>
    <row r="233" spans="1:26" ht="18.75" hidden="1">
      <c r="A233" s="1056"/>
      <c r="B233" s="1057"/>
      <c r="C233" s="1057"/>
      <c r="D233" s="1022" t="s">
        <v>117</v>
      </c>
      <c r="E233" s="1061"/>
      <c r="F233" s="1061"/>
      <c r="G233" s="1062"/>
      <c r="H233" s="583" t="s">
        <v>35</v>
      </c>
      <c r="I233" s="836">
        <f t="shared" ref="I233:J233" ca="1" si="108">I244+I255</f>
        <v>40</v>
      </c>
      <c r="J233" s="836">
        <f t="shared" si="108"/>
        <v>40</v>
      </c>
      <c r="K233" s="837">
        <f ca="1">IF(I233&gt;0,J233*100/I233,0)</f>
        <v>100</v>
      </c>
      <c r="L233" s="837"/>
      <c r="M233" s="837"/>
      <c r="N233" s="837"/>
      <c r="O233" s="837"/>
      <c r="P233" s="837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</row>
    <row r="234" spans="1:26" ht="18.75" hidden="1">
      <c r="A234" s="1056"/>
      <c r="B234" s="1057"/>
      <c r="C234" s="1057"/>
      <c r="D234" s="1063" t="s">
        <v>43</v>
      </c>
      <c r="E234" s="1061"/>
      <c r="F234" s="1061"/>
      <c r="G234" s="1062"/>
      <c r="H234" s="583"/>
      <c r="I234" s="836"/>
      <c r="J234" s="836"/>
      <c r="K234" s="837"/>
      <c r="L234" s="837"/>
      <c r="M234" s="837"/>
      <c r="N234" s="837"/>
      <c r="O234" s="948"/>
      <c r="P234" s="948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</row>
    <row r="235" spans="1:26" ht="18.75" hidden="1">
      <c r="A235" s="1056"/>
      <c r="B235" s="1057"/>
      <c r="C235" s="1057"/>
      <c r="D235" s="1057"/>
      <c r="E235" s="1021" t="s">
        <v>118</v>
      </c>
      <c r="F235" s="1061"/>
      <c r="G235" s="1062"/>
      <c r="H235" s="583" t="s">
        <v>35</v>
      </c>
      <c r="I235" s="836">
        <f t="shared" ref="I235:J236" si="109">I246+I257</f>
        <v>40</v>
      </c>
      <c r="J235" s="836">
        <f t="shared" si="109"/>
        <v>0</v>
      </c>
      <c r="K235" s="837">
        <f t="shared" ref="K235:K237" si="110">IF(I235&gt;0,J235*100/I235,0)</f>
        <v>0</v>
      </c>
      <c r="L235" s="837"/>
      <c r="M235" s="837"/>
      <c r="N235" s="837"/>
      <c r="O235" s="837"/>
      <c r="P235" s="837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</row>
    <row r="236" spans="1:26" ht="18.75" hidden="1">
      <c r="A236" s="1056"/>
      <c r="B236" s="1057"/>
      <c r="C236" s="1057"/>
      <c r="D236" s="1057"/>
      <c r="E236" s="1021" t="s">
        <v>119</v>
      </c>
      <c r="F236" s="1061"/>
      <c r="G236" s="1062"/>
      <c r="H236" s="583" t="s">
        <v>66</v>
      </c>
      <c r="I236" s="836">
        <f t="shared" si="109"/>
        <v>1</v>
      </c>
      <c r="J236" s="836">
        <f t="shared" si="109"/>
        <v>0</v>
      </c>
      <c r="K236" s="837">
        <f t="shared" si="110"/>
        <v>0</v>
      </c>
      <c r="L236" s="837"/>
      <c r="M236" s="837"/>
      <c r="N236" s="837"/>
      <c r="O236" s="837"/>
      <c r="P236" s="837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</row>
    <row r="237" spans="1:26" ht="19.5">
      <c r="A237" s="1011"/>
      <c r="B237" s="1018"/>
      <c r="C237" s="1023" t="s">
        <v>343</v>
      </c>
      <c r="D237" s="1012"/>
      <c r="E237" s="1012"/>
      <c r="F237" s="1012"/>
      <c r="G237" s="1014"/>
      <c r="H237" s="260" t="s">
        <v>35</v>
      </c>
      <c r="I237" s="1024">
        <f t="shared" ref="I237:J237" ca="1" si="111">I244</f>
        <v>40</v>
      </c>
      <c r="J237" s="1024">
        <f t="shared" si="111"/>
        <v>40</v>
      </c>
      <c r="K237" s="1025">
        <f t="shared" ca="1" si="110"/>
        <v>100</v>
      </c>
      <c r="L237" s="1016"/>
      <c r="M237" s="1016"/>
      <c r="N237" s="1016"/>
      <c r="O237" s="1016"/>
      <c r="P237" s="1016"/>
    </row>
    <row r="238" spans="1:26" ht="19.5">
      <c r="A238" s="932"/>
      <c r="B238" s="933"/>
      <c r="C238" s="934" t="s">
        <v>16</v>
      </c>
      <c r="D238" s="935" t="s">
        <v>17</v>
      </c>
      <c r="E238" s="933"/>
      <c r="F238" s="933"/>
      <c r="G238" s="936"/>
      <c r="H238" s="275" t="s">
        <v>12</v>
      </c>
      <c r="I238" s="1028"/>
      <c r="J238" s="1028"/>
      <c r="K238" s="1029"/>
      <c r="L238" s="939">
        <f ca="1">L239+L240+L241+L242</f>
        <v>389580</v>
      </c>
      <c r="M238" s="939"/>
      <c r="N238" s="939">
        <f>N239+N240+N241+N242</f>
        <v>219070</v>
      </c>
      <c r="O238" s="939">
        <f ca="1">IF(L238&gt;0,N238*100/L238,0)</f>
        <v>56.232352790184301</v>
      </c>
      <c r="P238" s="939">
        <f>IF(M238&gt;0,N238*100/M238,0)</f>
        <v>0</v>
      </c>
      <c r="Q238" s="818"/>
      <c r="R238" s="818"/>
      <c r="S238" s="818"/>
      <c r="T238" s="818"/>
      <c r="U238" s="818"/>
      <c r="V238" s="818"/>
      <c r="W238" s="818"/>
      <c r="X238" s="818"/>
      <c r="Y238" s="818"/>
      <c r="Z238" s="818"/>
    </row>
    <row r="239" spans="1:26" ht="18.75">
      <c r="A239" s="1064"/>
      <c r="B239" s="1065"/>
      <c r="C239" s="1066"/>
      <c r="D239" s="1067" t="s">
        <v>97</v>
      </c>
      <c r="E239" s="1066"/>
      <c r="F239" s="1066"/>
      <c r="G239" s="1068"/>
      <c r="H239" s="319" t="s">
        <v>12</v>
      </c>
      <c r="I239" s="1069"/>
      <c r="J239" s="1069"/>
      <c r="K239" s="1070"/>
      <c r="L239" s="1071">
        <f ca="1">IFERROR(__xludf.DUMMYFUNCTION("IMPORTRANGE(""https://docs.google.com/spreadsheets/d/1QqKyyYR6Q21VydFLVH3TRQUabQu_ym0Zz7PgGX0-kHA/edit?usp=sharing"",""แผน!AV20"")"),163000)</f>
        <v>163000</v>
      </c>
      <c r="M239" s="1071"/>
      <c r="N239" s="1072">
        <v>64595</v>
      </c>
      <c r="O239" s="1071"/>
      <c r="P239" s="1071"/>
      <c r="Q239" s="1073"/>
      <c r="R239" s="1073"/>
      <c r="S239" s="1073"/>
      <c r="T239" s="1073"/>
      <c r="U239" s="1073"/>
      <c r="V239" s="1073"/>
      <c r="W239" s="1073"/>
      <c r="X239" s="1073"/>
      <c r="Y239" s="1073"/>
      <c r="Z239" s="1073"/>
    </row>
    <row r="240" spans="1:26" ht="19.5">
      <c r="A240" s="1074"/>
      <c r="B240" s="1065"/>
      <c r="C240" s="1075"/>
      <c r="D240" s="1067" t="s">
        <v>98</v>
      </c>
      <c r="E240" s="1066"/>
      <c r="F240" s="1066"/>
      <c r="G240" s="1068"/>
      <c r="H240" s="319" t="s">
        <v>12</v>
      </c>
      <c r="I240" s="1076"/>
      <c r="J240" s="1076"/>
      <c r="K240" s="1071"/>
      <c r="L240" s="1071">
        <f ca="1">IFERROR(__xludf.DUMMYFUNCTION("IMPORTRANGE(""https://docs.google.com/spreadsheets/d/1QqKyyYR6Q21VydFLVH3TRQUabQu_ym0Zz7PgGX0-kHA/edit?usp=sharing"",""แผน!AW20"")"),166580)</f>
        <v>166580</v>
      </c>
      <c r="M240" s="1071"/>
      <c r="N240" s="1072">
        <v>154475</v>
      </c>
      <c r="O240" s="1071"/>
      <c r="P240" s="1071"/>
      <c r="Q240" s="1077"/>
      <c r="R240" s="1077"/>
      <c r="S240" s="1077"/>
      <c r="T240" s="1077"/>
      <c r="U240" s="1077"/>
      <c r="V240" s="1077"/>
      <c r="W240" s="1077"/>
      <c r="X240" s="1077"/>
      <c r="Y240" s="1077"/>
      <c r="Z240" s="1077"/>
    </row>
    <row r="241" spans="1:26" ht="19.5">
      <c r="A241" s="1074"/>
      <c r="B241" s="1065"/>
      <c r="C241" s="1075"/>
      <c r="D241" s="1067" t="s">
        <v>116</v>
      </c>
      <c r="E241" s="1066"/>
      <c r="F241" s="1066"/>
      <c r="G241" s="1068"/>
      <c r="H241" s="319" t="s">
        <v>12</v>
      </c>
      <c r="I241" s="1076"/>
      <c r="J241" s="1076"/>
      <c r="K241" s="1071"/>
      <c r="L241" s="1071">
        <f ca="1">IFERROR(__xludf.DUMMYFUNCTION("IMPORTRANGE(""https://docs.google.com/spreadsheets/d/1QqKyyYR6Q21VydFLVH3TRQUabQu_ym0Zz7PgGX0-kHA/edit?usp=sharing"",""แผน!AX20"")"),20000)</f>
        <v>20000</v>
      </c>
      <c r="M241" s="1071"/>
      <c r="N241" s="1072">
        <v>0</v>
      </c>
      <c r="O241" s="1071"/>
      <c r="P241" s="1071"/>
      <c r="Q241" s="1077"/>
      <c r="R241" s="1077"/>
      <c r="S241" s="1077"/>
      <c r="T241" s="1077"/>
      <c r="U241" s="1077"/>
      <c r="V241" s="1077"/>
      <c r="W241" s="1077"/>
      <c r="X241" s="1077"/>
      <c r="Y241" s="1077"/>
      <c r="Z241" s="1077"/>
    </row>
    <row r="242" spans="1:26" ht="19.5">
      <c r="A242" s="1074"/>
      <c r="B242" s="1065"/>
      <c r="C242" s="1075"/>
      <c r="D242" s="1067" t="s">
        <v>100</v>
      </c>
      <c r="E242" s="1066"/>
      <c r="F242" s="1066"/>
      <c r="G242" s="1068"/>
      <c r="H242" s="319" t="s">
        <v>12</v>
      </c>
      <c r="I242" s="1076"/>
      <c r="J242" s="1076"/>
      <c r="K242" s="1071"/>
      <c r="L242" s="1071">
        <f ca="1">IFERROR(__xludf.DUMMYFUNCTION("IMPORTRANGE(""https://docs.google.com/spreadsheets/d/1QqKyyYR6Q21VydFLVH3TRQUabQu_ym0Zz7PgGX0-kHA/edit?usp=sharing"",""แผน!AY20"")"),40000)</f>
        <v>40000</v>
      </c>
      <c r="M242" s="1071"/>
      <c r="N242" s="1072">
        <v>0</v>
      </c>
      <c r="O242" s="1071"/>
      <c r="P242" s="1071"/>
      <c r="Q242" s="1077"/>
      <c r="R242" s="1077"/>
      <c r="S242" s="1077"/>
      <c r="T242" s="1077"/>
      <c r="U242" s="1077"/>
      <c r="V242" s="1077"/>
      <c r="W242" s="1077"/>
      <c r="X242" s="1077"/>
      <c r="Y242" s="1077"/>
      <c r="Z242" s="1077"/>
    </row>
    <row r="243" spans="1:26" ht="19.5">
      <c r="A243" s="949"/>
      <c r="B243" s="950"/>
      <c r="C243" s="1038" t="s">
        <v>16</v>
      </c>
      <c r="D243" s="951" t="s">
        <v>38</v>
      </c>
      <c r="E243" s="952"/>
      <c r="F243" s="952"/>
      <c r="G243" s="953"/>
      <c r="H243" s="954"/>
      <c r="I243" s="944"/>
      <c r="J243" s="830"/>
      <c r="K243" s="831"/>
      <c r="L243" s="831"/>
      <c r="M243" s="831"/>
      <c r="N243" s="831"/>
      <c r="O243" s="945"/>
      <c r="P243" s="945"/>
      <c r="Q243" s="818"/>
      <c r="R243" s="818"/>
      <c r="S243" s="818"/>
      <c r="T243" s="818"/>
      <c r="U243" s="818"/>
      <c r="V243" s="818"/>
      <c r="W243" s="818"/>
      <c r="X243" s="818"/>
      <c r="Y243" s="818"/>
      <c r="Z243" s="818"/>
    </row>
    <row r="244" spans="1:26" ht="18.75">
      <c r="A244" s="949"/>
      <c r="B244" s="950"/>
      <c r="C244" s="950"/>
      <c r="D244" s="956" t="s">
        <v>117</v>
      </c>
      <c r="E244" s="957"/>
      <c r="F244" s="957"/>
      <c r="G244" s="958"/>
      <c r="H244" s="730" t="s">
        <v>35</v>
      </c>
      <c r="I244" s="830">
        <f ca="1">IFERROR(__xludf.DUMMYFUNCTION("IMPORTRANGE(""https://docs.google.com/spreadsheets/d/1QqKyyYR6Q21VydFLVH3TRQUabQu_ym0Zz7PgGX0-kHA/edit?usp=sharing"",""แผน!BE20"")"),40)</f>
        <v>40</v>
      </c>
      <c r="J244" s="959">
        <v>40</v>
      </c>
      <c r="K244" s="831">
        <f ca="1">IF(I244&gt;0,J244*100/I244,0)</f>
        <v>100</v>
      </c>
      <c r="L244" s="831"/>
      <c r="M244" s="831"/>
      <c r="N244" s="831"/>
      <c r="O244" s="831"/>
      <c r="P244" s="831"/>
      <c r="Q244" s="818"/>
      <c r="R244" s="818"/>
      <c r="S244" s="818"/>
      <c r="T244" s="818"/>
      <c r="U244" s="818"/>
      <c r="V244" s="818"/>
      <c r="W244" s="818"/>
      <c r="X244" s="818"/>
      <c r="Y244" s="818"/>
      <c r="Z244" s="818"/>
    </row>
    <row r="245" spans="1:26" ht="18.75">
      <c r="A245" s="949"/>
      <c r="B245" s="950"/>
      <c r="C245" s="950"/>
      <c r="D245" s="1078" t="s">
        <v>43</v>
      </c>
      <c r="E245" s="957"/>
      <c r="F245" s="957"/>
      <c r="G245" s="958"/>
      <c r="H245" s="730"/>
      <c r="I245" s="830"/>
      <c r="J245" s="830"/>
      <c r="K245" s="831"/>
      <c r="L245" s="831"/>
      <c r="M245" s="831"/>
      <c r="N245" s="831"/>
      <c r="O245" s="945"/>
      <c r="P245" s="945"/>
      <c r="Q245" s="818"/>
      <c r="R245" s="818"/>
      <c r="S245" s="818"/>
      <c r="T245" s="818"/>
      <c r="U245" s="818"/>
      <c r="V245" s="818"/>
      <c r="W245" s="818"/>
      <c r="X245" s="818"/>
      <c r="Y245" s="818"/>
      <c r="Z245" s="818"/>
    </row>
    <row r="246" spans="1:26" ht="18.75">
      <c r="A246" s="949"/>
      <c r="B246" s="950"/>
      <c r="C246" s="950"/>
      <c r="D246" s="950"/>
      <c r="E246" s="955" t="s">
        <v>118</v>
      </c>
      <c r="F246" s="957"/>
      <c r="G246" s="958"/>
      <c r="H246" s="730" t="s">
        <v>35</v>
      </c>
      <c r="I246" s="830">
        <v>40</v>
      </c>
      <c r="J246" s="959">
        <v>0</v>
      </c>
      <c r="K246" s="831">
        <f t="shared" ref="K246:K248" si="112">IF(I246&gt;0,J246*100/I246,0)</f>
        <v>0</v>
      </c>
      <c r="L246" s="831"/>
      <c r="M246" s="831"/>
      <c r="N246" s="831"/>
      <c r="O246" s="831"/>
      <c r="P246" s="831"/>
      <c r="Q246" s="818"/>
      <c r="R246" s="818"/>
      <c r="S246" s="818"/>
      <c r="T246" s="818"/>
      <c r="U246" s="818"/>
      <c r="V246" s="818"/>
      <c r="W246" s="818"/>
      <c r="X246" s="818"/>
      <c r="Y246" s="818"/>
      <c r="Z246" s="818"/>
    </row>
    <row r="247" spans="1:26" ht="18.75">
      <c r="A247" s="949"/>
      <c r="B247" s="950"/>
      <c r="C247" s="950"/>
      <c r="D247" s="950"/>
      <c r="E247" s="955" t="s">
        <v>119</v>
      </c>
      <c r="F247" s="957"/>
      <c r="G247" s="958"/>
      <c r="H247" s="730" t="s">
        <v>66</v>
      </c>
      <c r="I247" s="830">
        <v>1</v>
      </c>
      <c r="J247" s="959">
        <v>0</v>
      </c>
      <c r="K247" s="831">
        <f t="shared" si="112"/>
        <v>0</v>
      </c>
      <c r="L247" s="831"/>
      <c r="M247" s="831"/>
      <c r="N247" s="831"/>
      <c r="O247" s="831"/>
      <c r="P247" s="831"/>
      <c r="Q247" s="818"/>
      <c r="R247" s="818"/>
      <c r="S247" s="818"/>
      <c r="T247" s="818"/>
      <c r="U247" s="818"/>
      <c r="V247" s="818"/>
      <c r="W247" s="818"/>
      <c r="X247" s="818"/>
      <c r="Y247" s="818"/>
      <c r="Z247" s="818"/>
    </row>
    <row r="248" spans="1:26" ht="19.5" hidden="1">
      <c r="A248" s="1011"/>
      <c r="B248" s="1018"/>
      <c r="C248" s="1023" t="s">
        <v>332</v>
      </c>
      <c r="D248" s="1012"/>
      <c r="E248" s="1012"/>
      <c r="F248" s="1012"/>
      <c r="G248" s="1014"/>
      <c r="H248" s="260" t="s">
        <v>35</v>
      </c>
      <c r="I248" s="1024">
        <f t="shared" ref="I248:J248" ca="1" si="113">I255</f>
        <v>0</v>
      </c>
      <c r="J248" s="1024">
        <f t="shared" si="113"/>
        <v>0</v>
      </c>
      <c r="K248" s="1025">
        <f t="shared" ca="1" si="112"/>
        <v>0</v>
      </c>
      <c r="L248" s="1016"/>
      <c r="M248" s="1016"/>
      <c r="N248" s="1016"/>
      <c r="O248" s="1016"/>
      <c r="P248" s="1016"/>
    </row>
    <row r="249" spans="1:26" ht="19.5" hidden="1">
      <c r="A249" s="932"/>
      <c r="B249" s="933"/>
      <c r="C249" s="934" t="s">
        <v>16</v>
      </c>
      <c r="D249" s="1026" t="s">
        <v>17</v>
      </c>
      <c r="E249" s="933"/>
      <c r="F249" s="933"/>
      <c r="G249" s="936"/>
      <c r="H249" s="275" t="s">
        <v>12</v>
      </c>
      <c r="I249" s="1028"/>
      <c r="J249" s="1028"/>
      <c r="K249" s="1029"/>
      <c r="L249" s="939">
        <f ca="1">L250+L251+L252+L253</f>
        <v>0</v>
      </c>
      <c r="M249" s="939"/>
      <c r="N249" s="939">
        <f>N250+N251+N252+N253</f>
        <v>0</v>
      </c>
      <c r="O249" s="939">
        <f ca="1">IF(L249&gt;0,N249*100/L249,0)</f>
        <v>0</v>
      </c>
      <c r="P249" s="939">
        <f>IF(M249&gt;0,N249*100/M249,0)</f>
        <v>0</v>
      </c>
      <c r="Q249" s="818"/>
      <c r="R249" s="818"/>
      <c r="S249" s="818"/>
      <c r="T249" s="818"/>
      <c r="U249" s="818"/>
      <c r="V249" s="818"/>
      <c r="W249" s="818"/>
      <c r="X249" s="818"/>
      <c r="Y249" s="818"/>
      <c r="Z249" s="818"/>
    </row>
    <row r="250" spans="1:26" ht="18.75" hidden="1">
      <c r="A250" s="1064"/>
      <c r="B250" s="1065"/>
      <c r="C250" s="1066"/>
      <c r="D250" s="1067" t="s">
        <v>97</v>
      </c>
      <c r="E250" s="1066"/>
      <c r="F250" s="1066"/>
      <c r="G250" s="1068"/>
      <c r="H250" s="319" t="s">
        <v>12</v>
      </c>
      <c r="I250" s="1069"/>
      <c r="J250" s="1069"/>
      <c r="K250" s="1070"/>
      <c r="L250" s="1071">
        <f ca="1">IFERROR(__xludf.DUMMYFUNCTION("IMPORTRANGE(""https://docs.google.com/spreadsheets/d/1QqKyyYR6Q21VydFLVH3TRQUabQu_ym0Zz7PgGX0-kHA/edit?usp=sharing"",""แผน!AZ20"")"),0)</f>
        <v>0</v>
      </c>
      <c r="M250" s="1071"/>
      <c r="N250" s="1072">
        <v>0</v>
      </c>
      <c r="O250" s="1071"/>
      <c r="P250" s="1071"/>
      <c r="Q250" s="1073"/>
      <c r="R250" s="1073"/>
      <c r="S250" s="1073"/>
      <c r="T250" s="1073"/>
      <c r="U250" s="1073"/>
      <c r="V250" s="1073"/>
      <c r="W250" s="1073"/>
      <c r="X250" s="1073"/>
      <c r="Y250" s="1073"/>
      <c r="Z250" s="1073"/>
    </row>
    <row r="251" spans="1:26" ht="19.5" hidden="1">
      <c r="A251" s="1074"/>
      <c r="B251" s="1065"/>
      <c r="C251" s="1075"/>
      <c r="D251" s="1067" t="s">
        <v>98</v>
      </c>
      <c r="E251" s="1066"/>
      <c r="F251" s="1066"/>
      <c r="G251" s="1068"/>
      <c r="H251" s="319" t="s">
        <v>12</v>
      </c>
      <c r="I251" s="1076"/>
      <c r="J251" s="1076"/>
      <c r="K251" s="1071"/>
      <c r="L251" s="1071">
        <f ca="1">IFERROR(__xludf.DUMMYFUNCTION("IMPORTRANGE(""https://docs.google.com/spreadsheets/d/1QqKyyYR6Q21VydFLVH3TRQUabQu_ym0Zz7PgGX0-kHA/edit?usp=sharing"",""แผน!BA20"")"),0)</f>
        <v>0</v>
      </c>
      <c r="M251" s="1071"/>
      <c r="N251" s="1072">
        <v>0</v>
      </c>
      <c r="O251" s="1071"/>
      <c r="P251" s="1071"/>
      <c r="Q251" s="1077"/>
      <c r="R251" s="1077"/>
      <c r="S251" s="1077"/>
      <c r="T251" s="1077"/>
      <c r="U251" s="1077"/>
      <c r="V251" s="1077"/>
      <c r="W251" s="1077"/>
      <c r="X251" s="1077"/>
      <c r="Y251" s="1077"/>
      <c r="Z251" s="1077"/>
    </row>
    <row r="252" spans="1:26" ht="19.5" hidden="1">
      <c r="A252" s="1074"/>
      <c r="B252" s="1065"/>
      <c r="C252" s="1075"/>
      <c r="D252" s="1067" t="s">
        <v>116</v>
      </c>
      <c r="E252" s="1066"/>
      <c r="F252" s="1066"/>
      <c r="G252" s="1068"/>
      <c r="H252" s="319" t="s">
        <v>12</v>
      </c>
      <c r="I252" s="1076"/>
      <c r="J252" s="1076"/>
      <c r="K252" s="1071"/>
      <c r="L252" s="1071">
        <f ca="1">IFERROR(__xludf.DUMMYFUNCTION("IMPORTRANGE(""https://docs.google.com/spreadsheets/d/1QqKyyYR6Q21VydFLVH3TRQUabQu_ym0Zz7PgGX0-kHA/edit?usp=sharing"",""แผน!BB20"")"),0)</f>
        <v>0</v>
      </c>
      <c r="M252" s="1071"/>
      <c r="N252" s="1072">
        <v>0</v>
      </c>
      <c r="O252" s="1071"/>
      <c r="P252" s="1071"/>
      <c r="Q252" s="1077"/>
      <c r="R252" s="1077"/>
      <c r="S252" s="1077"/>
      <c r="T252" s="1077"/>
      <c r="U252" s="1077"/>
      <c r="V252" s="1077"/>
      <c r="W252" s="1077"/>
      <c r="X252" s="1077"/>
      <c r="Y252" s="1077"/>
      <c r="Z252" s="1077"/>
    </row>
    <row r="253" spans="1:26" ht="19.5" hidden="1">
      <c r="A253" s="1074"/>
      <c r="B253" s="1065"/>
      <c r="C253" s="1075"/>
      <c r="D253" s="1067" t="s">
        <v>100</v>
      </c>
      <c r="E253" s="1066"/>
      <c r="F253" s="1066"/>
      <c r="G253" s="1068"/>
      <c r="H253" s="319" t="s">
        <v>12</v>
      </c>
      <c r="I253" s="1076"/>
      <c r="J253" s="1076"/>
      <c r="K253" s="1071"/>
      <c r="L253" s="1071">
        <f ca="1">IFERROR(__xludf.DUMMYFUNCTION("IMPORTRANGE(""https://docs.google.com/spreadsheets/d/1QqKyyYR6Q21VydFLVH3TRQUabQu_ym0Zz7PgGX0-kHA/edit?usp=sharing"",""แผน!BC20"")"),0)</f>
        <v>0</v>
      </c>
      <c r="M253" s="1071"/>
      <c r="N253" s="1072">
        <v>0</v>
      </c>
      <c r="O253" s="1071"/>
      <c r="P253" s="1071"/>
      <c r="Q253" s="1077"/>
      <c r="R253" s="1077"/>
      <c r="S253" s="1077"/>
      <c r="T253" s="1077"/>
      <c r="U253" s="1077"/>
      <c r="V253" s="1077"/>
      <c r="W253" s="1077"/>
      <c r="X253" s="1077"/>
      <c r="Y253" s="1077"/>
      <c r="Z253" s="1077"/>
    </row>
    <row r="254" spans="1:26" ht="19.5" hidden="1">
      <c r="A254" s="949"/>
      <c r="B254" s="950"/>
      <c r="C254" s="1038" t="s">
        <v>16</v>
      </c>
      <c r="D254" s="951" t="s">
        <v>38</v>
      </c>
      <c r="E254" s="952"/>
      <c r="F254" s="952"/>
      <c r="G254" s="953"/>
      <c r="H254" s="954"/>
      <c r="I254" s="944"/>
      <c r="J254" s="830"/>
      <c r="K254" s="831"/>
      <c r="L254" s="831"/>
      <c r="M254" s="831"/>
      <c r="N254" s="831"/>
      <c r="O254" s="945"/>
      <c r="P254" s="945"/>
      <c r="Q254" s="818"/>
      <c r="R254" s="818"/>
      <c r="S254" s="818"/>
      <c r="T254" s="818"/>
      <c r="U254" s="818"/>
      <c r="V254" s="818"/>
      <c r="W254" s="818"/>
      <c r="X254" s="818"/>
      <c r="Y254" s="818"/>
      <c r="Z254" s="818"/>
    </row>
    <row r="255" spans="1:26" ht="18.75" hidden="1">
      <c r="A255" s="949"/>
      <c r="B255" s="950"/>
      <c r="C255" s="950"/>
      <c r="D255" s="956" t="s">
        <v>117</v>
      </c>
      <c r="E255" s="957"/>
      <c r="F255" s="957"/>
      <c r="G255" s="958"/>
      <c r="H255" s="730" t="s">
        <v>35</v>
      </c>
      <c r="I255" s="830">
        <f ca="1">IFERROR(__xludf.DUMMYFUNCTION("IMPORTRANGE(""https://docs.google.com/spreadsheets/d/1QqKyyYR6Q21VydFLVH3TRQUabQu_ym0Zz7PgGX0-kHA/edit?usp=sharing"",""แผน!BF20"")"),0)</f>
        <v>0</v>
      </c>
      <c r="J255" s="959">
        <v>0</v>
      </c>
      <c r="K255" s="831">
        <f ca="1">IF(I255&gt;0,J255*100/I255,0)</f>
        <v>0</v>
      </c>
      <c r="L255" s="831"/>
      <c r="M255" s="831"/>
      <c r="N255" s="831"/>
      <c r="O255" s="831"/>
      <c r="P255" s="831"/>
      <c r="Q255" s="818"/>
      <c r="R255" s="818"/>
      <c r="S255" s="818"/>
      <c r="T255" s="818"/>
      <c r="U255" s="818"/>
      <c r="V255" s="818"/>
      <c r="W255" s="818"/>
      <c r="X255" s="818"/>
      <c r="Y255" s="818"/>
      <c r="Z255" s="818"/>
    </row>
    <row r="256" spans="1:26" ht="18.75" hidden="1">
      <c r="A256" s="949"/>
      <c r="B256" s="950"/>
      <c r="C256" s="950"/>
      <c r="D256" s="1078" t="s">
        <v>43</v>
      </c>
      <c r="E256" s="957"/>
      <c r="F256" s="957"/>
      <c r="G256" s="958"/>
      <c r="H256" s="730"/>
      <c r="I256" s="830"/>
      <c r="J256" s="830"/>
      <c r="K256" s="831"/>
      <c r="L256" s="831"/>
      <c r="M256" s="831"/>
      <c r="N256" s="831"/>
      <c r="O256" s="945"/>
      <c r="P256" s="945"/>
      <c r="Q256" s="818"/>
      <c r="R256" s="818"/>
      <c r="S256" s="818"/>
      <c r="T256" s="818"/>
      <c r="U256" s="818"/>
      <c r="V256" s="818"/>
      <c r="W256" s="818"/>
      <c r="X256" s="818"/>
      <c r="Y256" s="818"/>
      <c r="Z256" s="818"/>
    </row>
    <row r="257" spans="1:26" ht="18.75" hidden="1">
      <c r="A257" s="949"/>
      <c r="B257" s="950"/>
      <c r="C257" s="950"/>
      <c r="D257" s="950"/>
      <c r="E257" s="955" t="s">
        <v>118</v>
      </c>
      <c r="F257" s="957"/>
      <c r="G257" s="958"/>
      <c r="H257" s="730" t="s">
        <v>35</v>
      </c>
      <c r="I257" s="830"/>
      <c r="J257" s="959">
        <v>0</v>
      </c>
      <c r="K257" s="831">
        <f t="shared" ref="K257:K258" si="114">IF(I257&gt;0,J257*100/I257,0)</f>
        <v>0</v>
      </c>
      <c r="L257" s="831"/>
      <c r="M257" s="831"/>
      <c r="N257" s="831"/>
      <c r="O257" s="831"/>
      <c r="P257" s="831"/>
      <c r="Q257" s="818"/>
      <c r="R257" s="818"/>
      <c r="S257" s="818"/>
      <c r="T257" s="818"/>
      <c r="U257" s="818"/>
      <c r="V257" s="818"/>
      <c r="W257" s="818"/>
      <c r="X257" s="818"/>
      <c r="Y257" s="818"/>
      <c r="Z257" s="818"/>
    </row>
    <row r="258" spans="1:26" ht="18.75" hidden="1">
      <c r="A258" s="949"/>
      <c r="B258" s="950"/>
      <c r="C258" s="950"/>
      <c r="D258" s="950"/>
      <c r="E258" s="955" t="s">
        <v>119</v>
      </c>
      <c r="F258" s="957"/>
      <c r="G258" s="958"/>
      <c r="H258" s="730" t="s">
        <v>66</v>
      </c>
      <c r="I258" s="830"/>
      <c r="J258" s="959">
        <v>0</v>
      </c>
      <c r="K258" s="831">
        <f t="shared" si="114"/>
        <v>0</v>
      </c>
      <c r="L258" s="831"/>
      <c r="M258" s="831"/>
      <c r="N258" s="831"/>
      <c r="O258" s="831"/>
      <c r="P258" s="831"/>
      <c r="Q258" s="818"/>
      <c r="R258" s="818"/>
      <c r="S258" s="818"/>
      <c r="T258" s="818"/>
      <c r="U258" s="818"/>
      <c r="V258" s="818"/>
      <c r="W258" s="818"/>
      <c r="X258" s="818"/>
      <c r="Y258" s="818"/>
      <c r="Z258" s="818"/>
    </row>
    <row r="259" spans="1:26" ht="19.5">
      <c r="A259" s="998" t="s">
        <v>122</v>
      </c>
      <c r="B259" s="999"/>
      <c r="C259" s="999"/>
      <c r="D259" s="1000"/>
      <c r="E259" s="1000"/>
      <c r="F259" s="1000"/>
      <c r="G259" s="1001"/>
      <c r="H259" s="1002"/>
      <c r="I259" s="1003"/>
      <c r="J259" s="1003"/>
      <c r="K259" s="1004"/>
      <c r="L259" s="1004"/>
      <c r="M259" s="1004"/>
      <c r="N259" s="1004"/>
      <c r="O259" s="1004"/>
      <c r="P259" s="1004"/>
    </row>
    <row r="260" spans="1:26" ht="19.5">
      <c r="A260" s="1005"/>
      <c r="B260" s="1006" t="s">
        <v>123</v>
      </c>
      <c r="C260" s="1007"/>
      <c r="D260" s="952"/>
      <c r="E260" s="952"/>
      <c r="F260" s="952"/>
      <c r="G260" s="953"/>
      <c r="H260" s="252" t="s">
        <v>35</v>
      </c>
      <c r="I260" s="1008">
        <f t="shared" ref="I260:J260" ca="1" si="115">I271</f>
        <v>22</v>
      </c>
      <c r="J260" s="1008">
        <f t="shared" si="115"/>
        <v>22</v>
      </c>
      <c r="K260" s="1009">
        <f ca="1">IF(I260&gt;0,J260*100/I260,0)</f>
        <v>100</v>
      </c>
      <c r="L260" s="1010"/>
      <c r="M260" s="1010"/>
      <c r="N260" s="1010"/>
      <c r="O260" s="1010"/>
      <c r="P260" s="1010"/>
    </row>
    <row r="261" spans="1:26" ht="19.5">
      <c r="A261" s="932"/>
      <c r="B261" s="933"/>
      <c r="C261" s="934" t="s">
        <v>16</v>
      </c>
      <c r="D261" s="935" t="s">
        <v>17</v>
      </c>
      <c r="E261" s="933"/>
      <c r="F261" s="933"/>
      <c r="G261" s="936"/>
      <c r="H261" s="152" t="s">
        <v>12</v>
      </c>
      <c r="I261" s="937"/>
      <c r="J261" s="937"/>
      <c r="K261" s="938"/>
      <c r="L261" s="939">
        <f t="shared" ref="L261:N261" ca="1" si="116">L262+L263</f>
        <v>26900</v>
      </c>
      <c r="M261" s="939">
        <f t="shared" ca="1" si="116"/>
        <v>23900</v>
      </c>
      <c r="N261" s="939">
        <f t="shared" ca="1" si="116"/>
        <v>18470</v>
      </c>
      <c r="O261" s="939">
        <f t="shared" ref="O261:O269" ca="1" si="117">IF(L261&gt;0,N261*100/L261,0)</f>
        <v>68.661710037174714</v>
      </c>
      <c r="P261" s="939">
        <f t="shared" ref="P261:P269" ca="1" si="118">IF(M261&gt;0,N261*100/M261,0)</f>
        <v>77.280334728033466</v>
      </c>
      <c r="Q261" s="818"/>
      <c r="R261" s="818"/>
      <c r="S261" s="818"/>
      <c r="T261" s="818"/>
      <c r="U261" s="818"/>
      <c r="V261" s="818"/>
      <c r="W261" s="818"/>
      <c r="X261" s="818"/>
      <c r="Y261" s="818"/>
      <c r="Z261" s="818"/>
    </row>
    <row r="262" spans="1:26" ht="18.75" hidden="1">
      <c r="A262" s="940"/>
      <c r="B262" s="833"/>
      <c r="C262" s="833"/>
      <c r="D262" s="833"/>
      <c r="E262" s="834" t="s">
        <v>18</v>
      </c>
      <c r="F262" s="833"/>
      <c r="G262" s="941"/>
      <c r="H262" s="158" t="s">
        <v>12</v>
      </c>
      <c r="I262" s="836"/>
      <c r="J262" s="836"/>
      <c r="K262" s="837"/>
      <c r="L262" s="837">
        <f t="shared" ref="L262:N263" si="119">L265+L268</f>
        <v>0</v>
      </c>
      <c r="M262" s="837">
        <f t="shared" si="119"/>
        <v>0</v>
      </c>
      <c r="N262" s="837">
        <f t="shared" si="119"/>
        <v>0</v>
      </c>
      <c r="O262" s="837">
        <f t="shared" si="117"/>
        <v>0</v>
      </c>
      <c r="P262" s="837">
        <f t="shared" si="118"/>
        <v>0</v>
      </c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</row>
    <row r="263" spans="1:26" ht="18.75" hidden="1">
      <c r="A263" s="940"/>
      <c r="B263" s="833"/>
      <c r="C263" s="833"/>
      <c r="D263" s="833"/>
      <c r="E263" s="834" t="s">
        <v>19</v>
      </c>
      <c r="F263" s="833"/>
      <c r="G263" s="941"/>
      <c r="H263" s="158" t="s">
        <v>12</v>
      </c>
      <c r="I263" s="836"/>
      <c r="J263" s="836"/>
      <c r="K263" s="837"/>
      <c r="L263" s="837">
        <f t="shared" ca="1" si="119"/>
        <v>26900</v>
      </c>
      <c r="M263" s="837">
        <f t="shared" ca="1" si="119"/>
        <v>23900</v>
      </c>
      <c r="N263" s="837">
        <f t="shared" ca="1" si="119"/>
        <v>18470</v>
      </c>
      <c r="O263" s="837">
        <f t="shared" ca="1" si="117"/>
        <v>68.661710037174714</v>
      </c>
      <c r="P263" s="837">
        <f t="shared" ca="1" si="118"/>
        <v>77.280334728033466</v>
      </c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</row>
    <row r="264" spans="1:26" ht="18.75">
      <c r="A264" s="942"/>
      <c r="B264" s="827"/>
      <c r="C264" s="943"/>
      <c r="D264" s="828" t="s">
        <v>20</v>
      </c>
      <c r="E264" s="827"/>
      <c r="F264" s="827"/>
      <c r="G264" s="829"/>
      <c r="H264" s="778" t="s">
        <v>12</v>
      </c>
      <c r="I264" s="944"/>
      <c r="J264" s="944"/>
      <c r="K264" s="945"/>
      <c r="L264" s="831">
        <f t="shared" ref="L264:N264" ca="1" si="120">L265+L266</f>
        <v>26900</v>
      </c>
      <c r="M264" s="831">
        <f t="shared" ca="1" si="120"/>
        <v>23900</v>
      </c>
      <c r="N264" s="831">
        <f t="shared" ca="1" si="120"/>
        <v>18470</v>
      </c>
      <c r="O264" s="831">
        <f t="shared" ca="1" si="117"/>
        <v>68.661710037174714</v>
      </c>
      <c r="P264" s="831">
        <f t="shared" ca="1" si="118"/>
        <v>77.280334728033466</v>
      </c>
      <c r="Q264" s="818"/>
      <c r="R264" s="818"/>
      <c r="S264" s="818"/>
      <c r="T264" s="818"/>
      <c r="U264" s="818"/>
      <c r="V264" s="818"/>
      <c r="W264" s="818"/>
      <c r="X264" s="818"/>
      <c r="Y264" s="818"/>
      <c r="Z264" s="818"/>
    </row>
    <row r="265" spans="1:26" ht="19.5" hidden="1">
      <c r="A265" s="940"/>
      <c r="B265" s="833"/>
      <c r="C265" s="946"/>
      <c r="D265" s="833"/>
      <c r="E265" s="834" t="s">
        <v>36</v>
      </c>
      <c r="F265" s="833"/>
      <c r="G265" s="941"/>
      <c r="H265" s="165" t="s">
        <v>12</v>
      </c>
      <c r="I265" s="947"/>
      <c r="J265" s="947"/>
      <c r="K265" s="948"/>
      <c r="L265" s="837">
        <v>0</v>
      </c>
      <c r="M265" s="837">
        <v>0</v>
      </c>
      <c r="N265" s="837">
        <v>0</v>
      </c>
      <c r="O265" s="837">
        <f t="shared" si="117"/>
        <v>0</v>
      </c>
      <c r="P265" s="837">
        <f t="shared" si="118"/>
        <v>0</v>
      </c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</row>
    <row r="266" spans="1:26" ht="19.5" hidden="1">
      <c r="A266" s="940"/>
      <c r="B266" s="833"/>
      <c r="C266" s="946"/>
      <c r="D266" s="833"/>
      <c r="E266" s="834" t="s">
        <v>37</v>
      </c>
      <c r="F266" s="833"/>
      <c r="G266" s="941"/>
      <c r="H266" s="165" t="s">
        <v>12</v>
      </c>
      <c r="I266" s="947"/>
      <c r="J266" s="947"/>
      <c r="K266" s="948"/>
      <c r="L266" s="837">
        <f ca="1">IFERROR(__xludf.DUMMYFUNCTION("IMPORTRANGE(""https://docs.google.com/spreadsheets/d/1MeEWN-I1oV_STSDYn1IFDPWt_1FKiwhDph83XaGc0o0/edit?usp=sharing"",""งบพรบ!CY20"")"),26900)</f>
        <v>26900</v>
      </c>
      <c r="M266" s="837">
        <f ca="1">IFERROR(__xludf.DUMMYFUNCTION("IMPORTRANGE(""https://docs.google.com/spreadsheets/d/1MeEWN-I1oV_STSDYn1IFDPWt_1FKiwhDph83XaGc0o0/edit?usp=sharing"",""งบพรบ!DD20"")"),23900)</f>
        <v>23900</v>
      </c>
      <c r="N266" s="837">
        <f ca="1">IFERROR(__xludf.DUMMYFUNCTION("IMPORTRANGE(""https://docs.google.com/spreadsheets/d/1MeEWN-I1oV_STSDYn1IFDPWt_1FKiwhDph83XaGc0o0/edit?usp=sharing"",""งบพรบ!DF20"")"),18470)</f>
        <v>18470</v>
      </c>
      <c r="O266" s="837">
        <f t="shared" ca="1" si="117"/>
        <v>68.661710037174714</v>
      </c>
      <c r="P266" s="837">
        <f t="shared" ca="1" si="118"/>
        <v>77.280334728033466</v>
      </c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</row>
    <row r="267" spans="1:26" ht="18.75">
      <c r="A267" s="942"/>
      <c r="B267" s="827"/>
      <c r="C267" s="943"/>
      <c r="D267" s="828" t="s">
        <v>21</v>
      </c>
      <c r="E267" s="827"/>
      <c r="F267" s="827"/>
      <c r="G267" s="829"/>
      <c r="H267" s="168" t="s">
        <v>12</v>
      </c>
      <c r="I267" s="944"/>
      <c r="J267" s="944"/>
      <c r="K267" s="945"/>
      <c r="L267" s="831">
        <f t="shared" ref="L267:N267" ca="1" si="121">L268+L269</f>
        <v>0</v>
      </c>
      <c r="M267" s="831">
        <f t="shared" ca="1" si="121"/>
        <v>0</v>
      </c>
      <c r="N267" s="831">
        <f t="shared" ca="1" si="121"/>
        <v>0</v>
      </c>
      <c r="O267" s="831">
        <f t="shared" ca="1" si="117"/>
        <v>0</v>
      </c>
      <c r="P267" s="831">
        <f t="shared" ca="1" si="118"/>
        <v>0</v>
      </c>
      <c r="Q267" s="818"/>
      <c r="R267" s="818"/>
      <c r="S267" s="818"/>
      <c r="T267" s="818"/>
      <c r="U267" s="818"/>
      <c r="V267" s="818"/>
      <c r="W267" s="818"/>
      <c r="X267" s="818"/>
      <c r="Y267" s="818"/>
      <c r="Z267" s="818"/>
    </row>
    <row r="268" spans="1:26" ht="19.5" hidden="1">
      <c r="A268" s="940"/>
      <c r="B268" s="833"/>
      <c r="C268" s="946"/>
      <c r="D268" s="833"/>
      <c r="E268" s="834" t="s">
        <v>18</v>
      </c>
      <c r="F268" s="833"/>
      <c r="G268" s="941"/>
      <c r="H268" s="165" t="s">
        <v>12</v>
      </c>
      <c r="I268" s="947"/>
      <c r="J268" s="947"/>
      <c r="K268" s="948"/>
      <c r="L268" s="837">
        <v>0</v>
      </c>
      <c r="M268" s="837">
        <v>0</v>
      </c>
      <c r="N268" s="837">
        <v>0</v>
      </c>
      <c r="O268" s="837">
        <f t="shared" si="117"/>
        <v>0</v>
      </c>
      <c r="P268" s="837">
        <f t="shared" si="118"/>
        <v>0</v>
      </c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</row>
    <row r="269" spans="1:26" ht="19.5" hidden="1">
      <c r="A269" s="940"/>
      <c r="B269" s="833"/>
      <c r="C269" s="946"/>
      <c r="D269" s="833"/>
      <c r="E269" s="834" t="s">
        <v>19</v>
      </c>
      <c r="F269" s="833"/>
      <c r="G269" s="941"/>
      <c r="H269" s="169" t="s">
        <v>12</v>
      </c>
      <c r="I269" s="947"/>
      <c r="J269" s="947"/>
      <c r="K269" s="948"/>
      <c r="L269" s="837">
        <f ca="1">IFERROR(__xludf.DUMMYFUNCTION("IMPORTRANGE(""https://docs.google.com/spreadsheets/d/1MeEWN-I1oV_STSDYn1IFDPWt_1FKiwhDph83XaGc0o0/edit?usp=sharing"",""งบพรบ!DB20"")"),0)</f>
        <v>0</v>
      </c>
      <c r="M269" s="837">
        <f ca="1">IFERROR(__xludf.DUMMYFUNCTION("IMPORTRANGE(""https://docs.google.com/spreadsheets/d/1MeEWN-I1oV_STSDYn1IFDPWt_1FKiwhDph83XaGc0o0/edit?usp=sharing"",""งบพรบ!DE20"")"),0)</f>
        <v>0</v>
      </c>
      <c r="N269" s="837">
        <f ca="1">IFERROR(__xludf.DUMMYFUNCTION("IMPORTRANGE(""https://docs.google.com/spreadsheets/d/1MeEWN-I1oV_STSDYn1IFDPWt_1FKiwhDph83XaGc0o0/edit?usp=sharing"",""งบพรบ!DG20"")"),0)</f>
        <v>0</v>
      </c>
      <c r="O269" s="837">
        <f t="shared" ca="1" si="117"/>
        <v>0</v>
      </c>
      <c r="P269" s="837">
        <f t="shared" ca="1" si="118"/>
        <v>0</v>
      </c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</row>
    <row r="270" spans="1:26" ht="19.5">
      <c r="A270" s="949"/>
      <c r="B270" s="950"/>
      <c r="C270" s="943" t="s">
        <v>16</v>
      </c>
      <c r="D270" s="951" t="s">
        <v>38</v>
      </c>
      <c r="E270" s="952"/>
      <c r="F270" s="952"/>
      <c r="G270" s="953"/>
      <c r="H270" s="954"/>
      <c r="I270" s="944"/>
      <c r="J270" s="944"/>
      <c r="K270" s="945"/>
      <c r="L270" s="945"/>
      <c r="M270" s="945"/>
      <c r="N270" s="945"/>
      <c r="O270" s="945"/>
      <c r="P270" s="945"/>
    </row>
    <row r="271" spans="1:26" ht="18.75">
      <c r="A271" s="949"/>
      <c r="B271" s="950"/>
      <c r="C271" s="950"/>
      <c r="D271" s="1079" t="s">
        <v>124</v>
      </c>
      <c r="E271" s="957"/>
      <c r="F271" s="1022"/>
      <c r="G271" s="958"/>
      <c r="H271" s="346" t="s">
        <v>35</v>
      </c>
      <c r="I271" s="830">
        <f ca="1">IFERROR(__xludf.DUMMYFUNCTION("IMPORTRANGE(""https://docs.google.com/spreadsheets/d/1QqKyyYR6Q21VydFLVH3TRQUabQu_ym0Zz7PgGX0-kHA/edit?usp=sharing"",""แผน!EA20"")"),22)</f>
        <v>22</v>
      </c>
      <c r="J271" s="959">
        <v>22</v>
      </c>
      <c r="K271" s="945">
        <f ca="1">IF(I271&gt;0,J271*100/I271,0)</f>
        <v>100</v>
      </c>
      <c r="L271" s="945"/>
      <c r="M271" s="945"/>
      <c r="N271" s="945"/>
      <c r="O271" s="945"/>
      <c r="P271" s="945"/>
    </row>
    <row r="272" spans="1:26" ht="18.75" hidden="1">
      <c r="A272" s="1080"/>
      <c r="B272" s="1081"/>
      <c r="C272" s="1081"/>
      <c r="D272" s="1082" t="s">
        <v>125</v>
      </c>
      <c r="E272" s="1083"/>
      <c r="F272" s="1083"/>
      <c r="G272" s="1084"/>
      <c r="H272" s="50" t="s">
        <v>35</v>
      </c>
      <c r="I272" s="1085">
        <v>0</v>
      </c>
      <c r="J272" s="1085">
        <v>0</v>
      </c>
      <c r="K272" s="1086">
        <v>0</v>
      </c>
      <c r="L272" s="1086"/>
      <c r="M272" s="1086"/>
      <c r="N272" s="1086"/>
      <c r="O272" s="1086"/>
      <c r="P272" s="1086"/>
    </row>
    <row r="273" spans="1:26" ht="19.5">
      <c r="A273" s="1087" t="s">
        <v>126</v>
      </c>
      <c r="B273" s="1088"/>
      <c r="C273" s="1088"/>
      <c r="D273" s="1088"/>
      <c r="E273" s="1089"/>
      <c r="F273" s="1089"/>
      <c r="G273" s="1090"/>
      <c r="H273" s="1091"/>
      <c r="I273" s="1092"/>
      <c r="J273" s="1092"/>
      <c r="K273" s="1093"/>
      <c r="L273" s="1093"/>
      <c r="M273" s="1093"/>
      <c r="N273" s="1093"/>
      <c r="O273" s="1093"/>
      <c r="P273" s="1093"/>
    </row>
    <row r="274" spans="1:26" ht="19.5">
      <c r="A274" s="1094" t="s">
        <v>127</v>
      </c>
      <c r="B274" s="1095"/>
      <c r="C274" s="1096"/>
      <c r="D274" s="1095"/>
      <c r="E274" s="1095"/>
      <c r="F274" s="1095"/>
      <c r="G274" s="1095"/>
      <c r="H274" s="1097"/>
      <c r="I274" s="1098"/>
      <c r="J274" s="1099"/>
      <c r="K274" s="1100"/>
      <c r="L274" s="1100"/>
      <c r="M274" s="1100"/>
      <c r="N274" s="1100"/>
      <c r="O274" s="1100"/>
      <c r="P274" s="1100"/>
    </row>
    <row r="275" spans="1:26" ht="19.5">
      <c r="A275" s="1101"/>
      <c r="B275" s="1102" t="s">
        <v>128</v>
      </c>
      <c r="C275" s="1103"/>
      <c r="D275" s="1104"/>
      <c r="E275" s="1103"/>
      <c r="F275" s="1103"/>
      <c r="G275" s="1105"/>
      <c r="H275" s="374" t="s">
        <v>35</v>
      </c>
      <c r="I275" s="1106">
        <f t="shared" ref="I275:J275" ca="1" si="122">I288</f>
        <v>10</v>
      </c>
      <c r="J275" s="1106">
        <f t="shared" ca="1" si="122"/>
        <v>0</v>
      </c>
      <c r="K275" s="1107">
        <f t="shared" ref="K275:K276" ca="1" si="123">IF(I275&gt;0,J275*100/I275,0)</f>
        <v>0</v>
      </c>
      <c r="L275" s="1108"/>
      <c r="M275" s="1108"/>
      <c r="N275" s="1108"/>
      <c r="O275" s="1108"/>
      <c r="P275" s="1108"/>
    </row>
    <row r="276" spans="1:26" ht="19.5">
      <c r="A276" s="1101"/>
      <c r="B276" s="1102"/>
      <c r="C276" s="1103"/>
      <c r="D276" s="1104"/>
      <c r="E276" s="1103"/>
      <c r="F276" s="1103"/>
      <c r="G276" s="1105"/>
      <c r="H276" s="374" t="s">
        <v>46</v>
      </c>
      <c r="I276" s="1435">
        <f t="shared" ref="I276:J276" ca="1" si="124">I287</f>
        <v>100</v>
      </c>
      <c r="J276" s="1435">
        <f t="shared" si="124"/>
        <v>113</v>
      </c>
      <c r="K276" s="1108">
        <f t="shared" ca="1" si="123"/>
        <v>113</v>
      </c>
      <c r="L276" s="1108"/>
      <c r="M276" s="1108"/>
      <c r="N276" s="1108"/>
      <c r="O276" s="1108"/>
      <c r="P276" s="1108"/>
    </row>
    <row r="277" spans="1:26" ht="19.5">
      <c r="A277" s="932"/>
      <c r="B277" s="933"/>
      <c r="C277" s="934" t="s">
        <v>16</v>
      </c>
      <c r="D277" s="935" t="s">
        <v>17</v>
      </c>
      <c r="E277" s="933"/>
      <c r="F277" s="933"/>
      <c r="G277" s="936"/>
      <c r="H277" s="152" t="s">
        <v>12</v>
      </c>
      <c r="I277" s="937"/>
      <c r="J277" s="937"/>
      <c r="K277" s="938"/>
      <c r="L277" s="939">
        <f t="shared" ref="L277:N277" ca="1" si="125">L278+L279</f>
        <v>41010</v>
      </c>
      <c r="M277" s="939">
        <f t="shared" ca="1" si="125"/>
        <v>21950</v>
      </c>
      <c r="N277" s="939">
        <f t="shared" ca="1" si="125"/>
        <v>12880</v>
      </c>
      <c r="O277" s="939">
        <f t="shared" ref="O277:O285" ca="1" si="126">IF(L277&gt;0,N277*100/L277,0)</f>
        <v>31.40697390880273</v>
      </c>
      <c r="P277" s="939">
        <f t="shared" ref="P277:P285" ca="1" si="127">IF(M277&gt;0,N277*100/M277,0)</f>
        <v>58.678815489749432</v>
      </c>
      <c r="Q277" s="818"/>
      <c r="R277" s="818"/>
      <c r="S277" s="818"/>
      <c r="T277" s="818"/>
      <c r="U277" s="818"/>
      <c r="V277" s="818"/>
      <c r="W277" s="818"/>
      <c r="X277" s="818"/>
      <c r="Y277" s="818"/>
      <c r="Z277" s="818"/>
    </row>
    <row r="278" spans="1:26" ht="18.75" hidden="1">
      <c r="A278" s="940"/>
      <c r="B278" s="833"/>
      <c r="C278" s="833"/>
      <c r="D278" s="833"/>
      <c r="E278" s="834" t="s">
        <v>18</v>
      </c>
      <c r="F278" s="833"/>
      <c r="G278" s="941"/>
      <c r="H278" s="158" t="s">
        <v>12</v>
      </c>
      <c r="I278" s="836"/>
      <c r="J278" s="836"/>
      <c r="K278" s="837"/>
      <c r="L278" s="837">
        <f t="shared" ref="L278:N279" si="128">L281+L284</f>
        <v>0</v>
      </c>
      <c r="M278" s="837">
        <f t="shared" si="128"/>
        <v>0</v>
      </c>
      <c r="N278" s="837">
        <f t="shared" si="128"/>
        <v>0</v>
      </c>
      <c r="O278" s="837">
        <f t="shared" si="126"/>
        <v>0</v>
      </c>
      <c r="P278" s="837">
        <f t="shared" si="127"/>
        <v>0</v>
      </c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</row>
    <row r="279" spans="1:26" ht="18.75" hidden="1">
      <c r="A279" s="940"/>
      <c r="B279" s="833"/>
      <c r="C279" s="833"/>
      <c r="D279" s="833"/>
      <c r="E279" s="834" t="s">
        <v>19</v>
      </c>
      <c r="F279" s="833"/>
      <c r="G279" s="941"/>
      <c r="H279" s="158" t="s">
        <v>12</v>
      </c>
      <c r="I279" s="836"/>
      <c r="J279" s="836"/>
      <c r="K279" s="837"/>
      <c r="L279" s="837">
        <f t="shared" ca="1" si="128"/>
        <v>41010</v>
      </c>
      <c r="M279" s="837">
        <f t="shared" ca="1" si="128"/>
        <v>21950</v>
      </c>
      <c r="N279" s="837">
        <f t="shared" ca="1" si="128"/>
        <v>12880</v>
      </c>
      <c r="O279" s="837">
        <f t="shared" ca="1" si="126"/>
        <v>31.40697390880273</v>
      </c>
      <c r="P279" s="837">
        <f t="shared" ca="1" si="127"/>
        <v>58.678815489749432</v>
      </c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</row>
    <row r="280" spans="1:26" ht="18.75">
      <c r="A280" s="942"/>
      <c r="B280" s="827"/>
      <c r="C280" s="943"/>
      <c r="D280" s="828" t="s">
        <v>20</v>
      </c>
      <c r="E280" s="827"/>
      <c r="F280" s="827"/>
      <c r="G280" s="829"/>
      <c r="H280" s="778" t="s">
        <v>12</v>
      </c>
      <c r="I280" s="944"/>
      <c r="J280" s="944"/>
      <c r="K280" s="945"/>
      <c r="L280" s="831">
        <f t="shared" ref="L280:N280" ca="1" si="129">L281+L282</f>
        <v>41010</v>
      </c>
      <c r="M280" s="831">
        <f t="shared" ca="1" si="129"/>
        <v>21950</v>
      </c>
      <c r="N280" s="831">
        <f t="shared" ca="1" si="129"/>
        <v>12880</v>
      </c>
      <c r="O280" s="831">
        <f t="shared" ca="1" si="126"/>
        <v>31.40697390880273</v>
      </c>
      <c r="P280" s="831">
        <f t="shared" ca="1" si="127"/>
        <v>58.678815489749432</v>
      </c>
      <c r="Q280" s="818"/>
      <c r="R280" s="818"/>
      <c r="S280" s="818"/>
      <c r="T280" s="818"/>
      <c r="U280" s="818"/>
      <c r="V280" s="818"/>
      <c r="W280" s="818"/>
      <c r="X280" s="818"/>
      <c r="Y280" s="818"/>
      <c r="Z280" s="818"/>
    </row>
    <row r="281" spans="1:26" ht="19.5" hidden="1">
      <c r="A281" s="940"/>
      <c r="B281" s="833"/>
      <c r="C281" s="946"/>
      <c r="D281" s="833"/>
      <c r="E281" s="834" t="s">
        <v>36</v>
      </c>
      <c r="F281" s="833"/>
      <c r="G281" s="941"/>
      <c r="H281" s="165" t="s">
        <v>12</v>
      </c>
      <c r="I281" s="947"/>
      <c r="J281" s="947"/>
      <c r="K281" s="948"/>
      <c r="L281" s="837">
        <v>0</v>
      </c>
      <c r="M281" s="837">
        <v>0</v>
      </c>
      <c r="N281" s="837">
        <v>0</v>
      </c>
      <c r="O281" s="837">
        <f t="shared" si="126"/>
        <v>0</v>
      </c>
      <c r="P281" s="837">
        <f t="shared" si="127"/>
        <v>0</v>
      </c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</row>
    <row r="282" spans="1:26" ht="19.5" hidden="1">
      <c r="A282" s="940"/>
      <c r="B282" s="833"/>
      <c r="C282" s="946"/>
      <c r="D282" s="833"/>
      <c r="E282" s="834" t="s">
        <v>37</v>
      </c>
      <c r="F282" s="833"/>
      <c r="G282" s="941"/>
      <c r="H282" s="165" t="s">
        <v>12</v>
      </c>
      <c r="I282" s="947"/>
      <c r="J282" s="947"/>
      <c r="K282" s="948"/>
      <c r="L282" s="837">
        <f ca="1">IFERROR(__xludf.DUMMYFUNCTION("IMPORTRANGE(""https://docs.google.com/spreadsheets/d/1MeEWN-I1oV_STSDYn1IFDPWt_1FKiwhDph83XaGc0o0/edit?usp=sharing"",""งบพรบ!DI20"")"),41010)</f>
        <v>41010</v>
      </c>
      <c r="M282" s="837">
        <f ca="1">IFERROR(__xludf.DUMMYFUNCTION("IMPORTRANGE(""https://docs.google.com/spreadsheets/d/1MeEWN-I1oV_STSDYn1IFDPWt_1FKiwhDph83XaGc0o0/edit?usp=sharing"",""งบพรบ!DN20"")"),21950)</f>
        <v>21950</v>
      </c>
      <c r="N282" s="837">
        <f ca="1">IFERROR(__xludf.DUMMYFUNCTION("IMPORTRANGE(""https://docs.google.com/spreadsheets/d/1MeEWN-I1oV_STSDYn1IFDPWt_1FKiwhDph83XaGc0o0/edit?usp=sharing"",""งบพรบ!DP20"")"),12880)</f>
        <v>12880</v>
      </c>
      <c r="O282" s="837">
        <f t="shared" ca="1" si="126"/>
        <v>31.40697390880273</v>
      </c>
      <c r="P282" s="837">
        <f t="shared" ca="1" si="127"/>
        <v>58.678815489749432</v>
      </c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</row>
    <row r="283" spans="1:26" ht="18.75">
      <c r="A283" s="942"/>
      <c r="B283" s="827"/>
      <c r="C283" s="943"/>
      <c r="D283" s="828" t="s">
        <v>21</v>
      </c>
      <c r="E283" s="827"/>
      <c r="F283" s="827"/>
      <c r="G283" s="829"/>
      <c r="H283" s="168" t="s">
        <v>12</v>
      </c>
      <c r="I283" s="944"/>
      <c r="J283" s="944"/>
      <c r="K283" s="945"/>
      <c r="L283" s="831">
        <f t="shared" ref="L283:N283" ca="1" si="130">L284+L285</f>
        <v>0</v>
      </c>
      <c r="M283" s="831">
        <f t="shared" ca="1" si="130"/>
        <v>0</v>
      </c>
      <c r="N283" s="831">
        <f t="shared" ca="1" si="130"/>
        <v>0</v>
      </c>
      <c r="O283" s="831">
        <f t="shared" ca="1" si="126"/>
        <v>0</v>
      </c>
      <c r="P283" s="831">
        <f t="shared" ca="1" si="127"/>
        <v>0</v>
      </c>
      <c r="Q283" s="818"/>
      <c r="R283" s="818"/>
      <c r="S283" s="818"/>
      <c r="T283" s="818"/>
      <c r="U283" s="818"/>
      <c r="V283" s="818"/>
      <c r="W283" s="818"/>
      <c r="X283" s="818"/>
      <c r="Y283" s="818"/>
      <c r="Z283" s="818"/>
    </row>
    <row r="284" spans="1:26" ht="19.5" hidden="1">
      <c r="A284" s="940"/>
      <c r="B284" s="833"/>
      <c r="C284" s="946"/>
      <c r="D284" s="833"/>
      <c r="E284" s="834" t="s">
        <v>18</v>
      </c>
      <c r="F284" s="833"/>
      <c r="G284" s="941"/>
      <c r="H284" s="165" t="s">
        <v>12</v>
      </c>
      <c r="I284" s="947"/>
      <c r="J284" s="947"/>
      <c r="K284" s="948"/>
      <c r="L284" s="837">
        <v>0</v>
      </c>
      <c r="M284" s="837">
        <v>0</v>
      </c>
      <c r="N284" s="837">
        <v>0</v>
      </c>
      <c r="O284" s="837">
        <f t="shared" si="126"/>
        <v>0</v>
      </c>
      <c r="P284" s="837">
        <f t="shared" si="127"/>
        <v>0</v>
      </c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</row>
    <row r="285" spans="1:26" ht="19.5" hidden="1">
      <c r="A285" s="940"/>
      <c r="B285" s="833"/>
      <c r="C285" s="946"/>
      <c r="D285" s="833"/>
      <c r="E285" s="834" t="s">
        <v>19</v>
      </c>
      <c r="F285" s="833"/>
      <c r="G285" s="941"/>
      <c r="H285" s="169" t="s">
        <v>12</v>
      </c>
      <c r="I285" s="947"/>
      <c r="J285" s="947"/>
      <c r="K285" s="948"/>
      <c r="L285" s="837">
        <f ca="1">IFERROR(__xludf.DUMMYFUNCTION("IMPORTRANGE(""https://docs.google.com/spreadsheets/d/1MeEWN-I1oV_STSDYn1IFDPWt_1FKiwhDph83XaGc0o0/edit?usp=sharing"",""งบพรบ!DL20"")"),0)</f>
        <v>0</v>
      </c>
      <c r="M285" s="837">
        <f ca="1">IFERROR(__xludf.DUMMYFUNCTION("IMPORTRANGE(""https://docs.google.com/spreadsheets/d/1MeEWN-I1oV_STSDYn1IFDPWt_1FKiwhDph83XaGc0o0/edit?usp=sharing"",""งบพรบ!DO20"")"),0)</f>
        <v>0</v>
      </c>
      <c r="N285" s="837">
        <f ca="1">IFERROR(__xludf.DUMMYFUNCTION("IMPORTRANGE(""https://docs.google.com/spreadsheets/d/1MeEWN-I1oV_STSDYn1IFDPWt_1FKiwhDph83XaGc0o0/edit?usp=sharing"",""งบพรบ!DQ20"")"),0)</f>
        <v>0</v>
      </c>
      <c r="O285" s="837">
        <f t="shared" ca="1" si="126"/>
        <v>0</v>
      </c>
      <c r="P285" s="837">
        <f t="shared" ca="1" si="127"/>
        <v>0</v>
      </c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</row>
    <row r="286" spans="1:26" ht="19.5">
      <c r="A286" s="949"/>
      <c r="B286" s="950"/>
      <c r="C286" s="946" t="s">
        <v>16</v>
      </c>
      <c r="D286" s="951" t="s">
        <v>38</v>
      </c>
      <c r="E286" s="952"/>
      <c r="F286" s="952"/>
      <c r="G286" s="953"/>
      <c r="H286" s="954"/>
      <c r="I286" s="944"/>
      <c r="J286" s="944"/>
      <c r="K286" s="945"/>
      <c r="L286" s="945"/>
      <c r="M286" s="945"/>
      <c r="N286" s="945"/>
      <c r="O286" s="945"/>
      <c r="P286" s="945"/>
    </row>
    <row r="287" spans="1:26" ht="18.75">
      <c r="A287" s="949"/>
      <c r="B287" s="950"/>
      <c r="C287" s="950"/>
      <c r="D287" s="961" t="s">
        <v>129</v>
      </c>
      <c r="E287" s="950"/>
      <c r="F287" s="957"/>
      <c r="G287" s="958"/>
      <c r="H287" s="777" t="s">
        <v>46</v>
      </c>
      <c r="I287" s="830">
        <f ca="1">IFERROR(__xludf.DUMMYFUNCTION("IMPORTRANGE(""https://docs.google.com/spreadsheets/d/1QqKyyYR6Q21VydFLVH3TRQUabQu_ym0Zz7PgGX0-kHA/edit?usp=sharing"",""แผน!EC20"")"),100)</f>
        <v>100</v>
      </c>
      <c r="J287" s="959">
        <v>113</v>
      </c>
      <c r="K287" s="945">
        <f t="shared" ref="K287:K288" ca="1" si="131">IF(I287&gt;0,J287*100/I287,0)</f>
        <v>113</v>
      </c>
      <c r="L287" s="945"/>
      <c r="M287" s="945"/>
      <c r="N287" s="945"/>
      <c r="O287" s="945"/>
      <c r="P287" s="945"/>
    </row>
    <row r="288" spans="1:26" ht="19.5">
      <c r="A288" s="949"/>
      <c r="B288" s="950"/>
      <c r="C288" s="950"/>
      <c r="D288" s="961" t="s">
        <v>130</v>
      </c>
      <c r="E288" s="950"/>
      <c r="F288" s="957"/>
      <c r="G288" s="958"/>
      <c r="H288" s="180" t="s">
        <v>35</v>
      </c>
      <c r="I288" s="966">
        <f ca="1">IFERROR(__xludf.DUMMYFUNCTION("IMPORTRANGE(""https://docs.google.com/spreadsheets/d/1QqKyyYR6Q21VydFLVH3TRQUabQu_ym0Zz7PgGX0-kHA/edit?usp=sharing"",""แผน!EB20"")"),10)</f>
        <v>10</v>
      </c>
      <c r="J288" s="966">
        <f ca="1">IF(AND(J291&gt;=I288,J294&gt;=I288),J294,0)</f>
        <v>0</v>
      </c>
      <c r="K288" s="1109">
        <f t="shared" ca="1" si="131"/>
        <v>0</v>
      </c>
      <c r="L288" s="945"/>
      <c r="M288" s="945"/>
      <c r="N288" s="945"/>
      <c r="O288" s="945"/>
      <c r="P288" s="945"/>
    </row>
    <row r="289" spans="1:26" ht="19.5">
      <c r="A289" s="949"/>
      <c r="B289" s="950"/>
      <c r="C289" s="950"/>
      <c r="D289" s="1110"/>
      <c r="E289" s="1111" t="s">
        <v>131</v>
      </c>
      <c r="F289" s="957"/>
      <c r="G289" s="958"/>
      <c r="H289" s="730"/>
      <c r="I289" s="944"/>
      <c r="J289" s="830"/>
      <c r="K289" s="945"/>
      <c r="L289" s="945"/>
      <c r="M289" s="945"/>
      <c r="N289" s="945"/>
      <c r="O289" s="945"/>
      <c r="P289" s="945"/>
    </row>
    <row r="290" spans="1:26" ht="19.5">
      <c r="A290" s="949"/>
      <c r="B290" s="950"/>
      <c r="C290" s="950"/>
      <c r="D290" s="1110"/>
      <c r="E290" s="961" t="s">
        <v>132</v>
      </c>
      <c r="F290" s="957"/>
      <c r="G290" s="958"/>
      <c r="H290" s="730" t="s">
        <v>35</v>
      </c>
      <c r="I290" s="944">
        <f ca="1">IFERROR(__xludf.DUMMYFUNCTION("IMPORTRANGE(""https://docs.google.com/spreadsheets/d/1QqKyyYR6Q21VydFLVH3TRQUabQu_ym0Zz7PgGX0-kHA/edit?usp=sharing"",""แผน!EB20"")"),10)</f>
        <v>10</v>
      </c>
      <c r="J290" s="959">
        <v>10</v>
      </c>
      <c r="K290" s="945">
        <f t="shared" ref="K290:K291" ca="1" si="132">IF(I290&gt;0,J290*100/I290,0)</f>
        <v>100</v>
      </c>
      <c r="L290" s="945"/>
      <c r="M290" s="945"/>
      <c r="N290" s="945"/>
      <c r="O290" s="945"/>
      <c r="P290" s="945"/>
    </row>
    <row r="291" spans="1:26" ht="19.5">
      <c r="A291" s="949"/>
      <c r="B291" s="950"/>
      <c r="C291" s="950"/>
      <c r="D291" s="957"/>
      <c r="E291" s="961" t="s">
        <v>133</v>
      </c>
      <c r="F291" s="957"/>
      <c r="G291" s="958"/>
      <c r="H291" s="730" t="s">
        <v>35</v>
      </c>
      <c r="I291" s="944">
        <f ca="1">IFERROR(__xludf.DUMMYFUNCTION("IMPORTRANGE(""https://docs.google.com/spreadsheets/d/1QqKyyYR6Q21VydFLVH3TRQUabQu_ym0Zz7PgGX0-kHA/edit?usp=sharing"",""แผน!EB20"")"),10)</f>
        <v>10</v>
      </c>
      <c r="J291" s="959">
        <v>10</v>
      </c>
      <c r="K291" s="945">
        <f t="shared" ca="1" si="132"/>
        <v>100</v>
      </c>
      <c r="L291" s="945"/>
      <c r="M291" s="945"/>
      <c r="N291" s="945"/>
      <c r="O291" s="945"/>
      <c r="P291" s="945"/>
    </row>
    <row r="292" spans="1:26" ht="19.5">
      <c r="A292" s="1112"/>
      <c r="B292" s="1113"/>
      <c r="C292" s="1113"/>
      <c r="D292" s="1114"/>
      <c r="E292" s="1115" t="s">
        <v>134</v>
      </c>
      <c r="F292" s="1034"/>
      <c r="G292" s="1035"/>
      <c r="H292" s="387"/>
      <c r="I292" s="1028"/>
      <c r="J292" s="937"/>
      <c r="K292" s="1029"/>
      <c r="L292" s="1029"/>
      <c r="M292" s="1029"/>
      <c r="N292" s="1029"/>
      <c r="O292" s="1029"/>
      <c r="P292" s="1029"/>
    </row>
    <row r="293" spans="1:26" ht="19.5">
      <c r="A293" s="949"/>
      <c r="B293" s="950"/>
      <c r="C293" s="950"/>
      <c r="D293" s="1110"/>
      <c r="E293" s="961" t="s">
        <v>132</v>
      </c>
      <c r="F293" s="957"/>
      <c r="G293" s="958"/>
      <c r="H293" s="730" t="s">
        <v>35</v>
      </c>
      <c r="I293" s="944">
        <f ca="1">IFERROR(__xludf.DUMMYFUNCTION("IMPORTRANGE(""https://docs.google.com/spreadsheets/d/1QqKyyYR6Q21VydFLVH3TRQUabQu_ym0Zz7PgGX0-kHA/edit?usp=sharing"",""แผน!EB20"")"),10)</f>
        <v>10</v>
      </c>
      <c r="J293" s="959">
        <v>0</v>
      </c>
      <c r="K293" s="945">
        <f t="shared" ref="K293:K294" ca="1" si="133">IF(I293&gt;0,J293*100/I293,0)</f>
        <v>0</v>
      </c>
      <c r="L293" s="945"/>
      <c r="M293" s="945"/>
      <c r="N293" s="945"/>
      <c r="O293" s="945"/>
      <c r="P293" s="945"/>
    </row>
    <row r="294" spans="1:26" ht="19.5">
      <c r="A294" s="1080"/>
      <c r="B294" s="1081"/>
      <c r="C294" s="1081"/>
      <c r="D294" s="1083"/>
      <c r="E294" s="1116" t="s">
        <v>136</v>
      </c>
      <c r="F294" s="1083"/>
      <c r="G294" s="1084"/>
      <c r="H294" s="391" t="s">
        <v>35</v>
      </c>
      <c r="I294" s="1117">
        <f ca="1">IFERROR(__xludf.DUMMYFUNCTION("IMPORTRANGE(""https://docs.google.com/spreadsheets/d/1QqKyyYR6Q21VydFLVH3TRQUabQu_ym0Zz7PgGX0-kHA/edit?usp=sharing"",""แผน!EB20"")"),10)</f>
        <v>10</v>
      </c>
      <c r="J294" s="1118">
        <v>0</v>
      </c>
      <c r="K294" s="1086">
        <f t="shared" ca="1" si="133"/>
        <v>0</v>
      </c>
      <c r="L294" s="1086"/>
      <c r="M294" s="1086"/>
      <c r="N294" s="1086"/>
      <c r="O294" s="1086"/>
      <c r="P294" s="1086"/>
    </row>
    <row r="295" spans="1:26" ht="19.5">
      <c r="A295" s="1119" t="s">
        <v>137</v>
      </c>
      <c r="B295" s="1120"/>
      <c r="C295" s="1120"/>
      <c r="D295" s="1120"/>
      <c r="E295" s="1121"/>
      <c r="F295" s="1121"/>
      <c r="G295" s="1122"/>
      <c r="H295" s="1123"/>
      <c r="I295" s="1124"/>
      <c r="J295" s="1124"/>
      <c r="K295" s="1125"/>
      <c r="L295" s="1125"/>
      <c r="M295" s="1125"/>
      <c r="N295" s="1125"/>
      <c r="O295" s="1125"/>
      <c r="P295" s="1125"/>
    </row>
    <row r="296" spans="1:26" ht="19.5">
      <c r="A296" s="1126" t="s">
        <v>138</v>
      </c>
      <c r="B296" s="1127"/>
      <c r="C296" s="1127"/>
      <c r="D296" s="1128"/>
      <c r="E296" s="1128"/>
      <c r="F296" s="1128"/>
      <c r="G296" s="1129"/>
      <c r="H296" s="1130"/>
      <c r="I296" s="1131"/>
      <c r="J296" s="1131"/>
      <c r="K296" s="1132"/>
      <c r="L296" s="1132"/>
      <c r="M296" s="1132"/>
      <c r="N296" s="1132"/>
      <c r="O296" s="1132"/>
      <c r="P296" s="1132"/>
    </row>
    <row r="297" spans="1:26" ht="19.5">
      <c r="A297" s="1133"/>
      <c r="B297" s="1134" t="s">
        <v>139</v>
      </c>
      <c r="C297" s="1135"/>
      <c r="D297" s="1135"/>
      <c r="E297" s="1135"/>
      <c r="F297" s="1135"/>
      <c r="G297" s="1136"/>
      <c r="H297" s="412" t="s">
        <v>35</v>
      </c>
      <c r="I297" s="1137">
        <f t="shared" ref="I297:J297" ca="1" si="134">I309</f>
        <v>20</v>
      </c>
      <c r="J297" s="1137">
        <f t="shared" si="134"/>
        <v>20</v>
      </c>
      <c r="K297" s="1138">
        <f ca="1">IF(I297&gt;0,J297*100/I297,0)</f>
        <v>100</v>
      </c>
      <c r="L297" s="1139"/>
      <c r="M297" s="1139"/>
      <c r="N297" s="1139"/>
      <c r="O297" s="1139"/>
      <c r="P297" s="1139"/>
    </row>
    <row r="298" spans="1:26" ht="19.5">
      <c r="A298" s="932"/>
      <c r="B298" s="933"/>
      <c r="C298" s="934" t="s">
        <v>16</v>
      </c>
      <c r="D298" s="935" t="s">
        <v>17</v>
      </c>
      <c r="E298" s="933"/>
      <c r="F298" s="933"/>
      <c r="G298" s="936"/>
      <c r="H298" s="152" t="s">
        <v>12</v>
      </c>
      <c r="I298" s="937"/>
      <c r="J298" s="937"/>
      <c r="K298" s="938"/>
      <c r="L298" s="939">
        <f t="shared" ref="L298:N298" ca="1" si="135">L299+L300</f>
        <v>368400</v>
      </c>
      <c r="M298" s="939">
        <f t="shared" ca="1" si="135"/>
        <v>272400</v>
      </c>
      <c r="N298" s="939">
        <f t="shared" ca="1" si="135"/>
        <v>185932</v>
      </c>
      <c r="O298" s="939">
        <f t="shared" ref="O298:O306" ca="1" si="136">IF(L298&gt;0,N298*100/L298,0)</f>
        <v>50.470141150922913</v>
      </c>
      <c r="P298" s="939">
        <f t="shared" ref="P298:P306" ca="1" si="137">IF(M298&gt;0,N298*100/M298,0)</f>
        <v>68.256975036710713</v>
      </c>
      <c r="Q298" s="818"/>
      <c r="R298" s="818"/>
      <c r="S298" s="818"/>
      <c r="T298" s="818"/>
      <c r="U298" s="818"/>
      <c r="V298" s="818"/>
      <c r="W298" s="818"/>
      <c r="X298" s="818"/>
      <c r="Y298" s="818"/>
      <c r="Z298" s="818"/>
    </row>
    <row r="299" spans="1:26" ht="18.75" hidden="1">
      <c r="A299" s="940"/>
      <c r="B299" s="833"/>
      <c r="C299" s="833"/>
      <c r="D299" s="833"/>
      <c r="E299" s="834" t="s">
        <v>18</v>
      </c>
      <c r="F299" s="833"/>
      <c r="G299" s="941"/>
      <c r="H299" s="158" t="s">
        <v>12</v>
      </c>
      <c r="I299" s="836"/>
      <c r="J299" s="836"/>
      <c r="K299" s="837"/>
      <c r="L299" s="837">
        <f t="shared" ref="L299:N300" si="138">L302+L305</f>
        <v>0</v>
      </c>
      <c r="M299" s="837">
        <f t="shared" si="138"/>
        <v>0</v>
      </c>
      <c r="N299" s="837">
        <f t="shared" si="138"/>
        <v>0</v>
      </c>
      <c r="O299" s="837">
        <f t="shared" si="136"/>
        <v>0</v>
      </c>
      <c r="P299" s="837">
        <f t="shared" si="137"/>
        <v>0</v>
      </c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</row>
    <row r="300" spans="1:26" ht="18.75" hidden="1">
      <c r="A300" s="940"/>
      <c r="B300" s="833"/>
      <c r="C300" s="833"/>
      <c r="D300" s="833"/>
      <c r="E300" s="834" t="s">
        <v>19</v>
      </c>
      <c r="F300" s="833"/>
      <c r="G300" s="941"/>
      <c r="H300" s="158" t="s">
        <v>12</v>
      </c>
      <c r="I300" s="836"/>
      <c r="J300" s="836"/>
      <c r="K300" s="837"/>
      <c r="L300" s="837">
        <f t="shared" ca="1" si="138"/>
        <v>368400</v>
      </c>
      <c r="M300" s="837">
        <f t="shared" ca="1" si="138"/>
        <v>272400</v>
      </c>
      <c r="N300" s="837">
        <f t="shared" ca="1" si="138"/>
        <v>185932</v>
      </c>
      <c r="O300" s="837">
        <f t="shared" ca="1" si="136"/>
        <v>50.470141150922913</v>
      </c>
      <c r="P300" s="837">
        <f t="shared" ca="1" si="137"/>
        <v>68.256975036710713</v>
      </c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</row>
    <row r="301" spans="1:26" ht="18.75">
      <c r="A301" s="942"/>
      <c r="B301" s="827"/>
      <c r="C301" s="943"/>
      <c r="D301" s="828" t="s">
        <v>20</v>
      </c>
      <c r="E301" s="827"/>
      <c r="F301" s="827"/>
      <c r="G301" s="829"/>
      <c r="H301" s="778" t="s">
        <v>12</v>
      </c>
      <c r="I301" s="944"/>
      <c r="J301" s="944"/>
      <c r="K301" s="945"/>
      <c r="L301" s="831">
        <f t="shared" ref="L301:N301" ca="1" si="139">L302+L303</f>
        <v>368400</v>
      </c>
      <c r="M301" s="831">
        <f t="shared" ca="1" si="139"/>
        <v>272400</v>
      </c>
      <c r="N301" s="831">
        <f t="shared" ca="1" si="139"/>
        <v>185932</v>
      </c>
      <c r="O301" s="831">
        <f t="shared" ca="1" si="136"/>
        <v>50.470141150922913</v>
      </c>
      <c r="P301" s="831">
        <f t="shared" ca="1" si="137"/>
        <v>68.256975036710713</v>
      </c>
      <c r="Q301" s="818"/>
      <c r="R301" s="818"/>
      <c r="S301" s="818"/>
      <c r="T301" s="818"/>
      <c r="U301" s="818"/>
      <c r="V301" s="818"/>
      <c r="W301" s="818"/>
      <c r="X301" s="818"/>
      <c r="Y301" s="818"/>
      <c r="Z301" s="818"/>
    </row>
    <row r="302" spans="1:26" ht="19.5" hidden="1">
      <c r="A302" s="940"/>
      <c r="B302" s="833"/>
      <c r="C302" s="946"/>
      <c r="D302" s="833"/>
      <c r="E302" s="834" t="s">
        <v>36</v>
      </c>
      <c r="F302" s="833"/>
      <c r="G302" s="941"/>
      <c r="H302" s="165" t="s">
        <v>12</v>
      </c>
      <c r="I302" s="947"/>
      <c r="J302" s="947"/>
      <c r="K302" s="948"/>
      <c r="L302" s="837">
        <v>0</v>
      </c>
      <c r="M302" s="837">
        <v>0</v>
      </c>
      <c r="N302" s="837">
        <v>0</v>
      </c>
      <c r="O302" s="837">
        <f t="shared" si="136"/>
        <v>0</v>
      </c>
      <c r="P302" s="837">
        <f t="shared" si="137"/>
        <v>0</v>
      </c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</row>
    <row r="303" spans="1:26" ht="19.5" hidden="1">
      <c r="A303" s="940"/>
      <c r="B303" s="833"/>
      <c r="C303" s="946"/>
      <c r="D303" s="833"/>
      <c r="E303" s="834" t="s">
        <v>37</v>
      </c>
      <c r="F303" s="833"/>
      <c r="G303" s="941"/>
      <c r="H303" s="165" t="s">
        <v>12</v>
      </c>
      <c r="I303" s="947"/>
      <c r="J303" s="947"/>
      <c r="K303" s="948"/>
      <c r="L303" s="837">
        <f ca="1">IFERROR(__xludf.DUMMYFUNCTION("IMPORTRANGE(""https://docs.google.com/spreadsheets/d/1MeEWN-I1oV_STSDYn1IFDPWt_1FKiwhDph83XaGc0o0/edit?usp=sharing"",""งบพรบ!DS20"")"),368400)</f>
        <v>368400</v>
      </c>
      <c r="M303" s="837">
        <f ca="1">IFERROR(__xludf.DUMMYFUNCTION("IMPORTRANGE(""https://docs.google.com/spreadsheets/d/1MeEWN-I1oV_STSDYn1IFDPWt_1FKiwhDph83XaGc0o0/edit?usp=sharing"",""งบพรบ!DX20"")"),272400)</f>
        <v>272400</v>
      </c>
      <c r="N303" s="837">
        <f ca="1">IFERROR(__xludf.DUMMYFUNCTION("IMPORTRANGE(""https://docs.google.com/spreadsheets/d/1MeEWN-I1oV_STSDYn1IFDPWt_1FKiwhDph83XaGc0o0/edit?usp=sharing"",""งบพรบ!DZ20"")"),185932)</f>
        <v>185932</v>
      </c>
      <c r="O303" s="837">
        <f t="shared" ca="1" si="136"/>
        <v>50.470141150922913</v>
      </c>
      <c r="P303" s="837">
        <f t="shared" ca="1" si="137"/>
        <v>68.256975036710713</v>
      </c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</row>
    <row r="304" spans="1:26" ht="18.75">
      <c r="A304" s="942"/>
      <c r="B304" s="827"/>
      <c r="C304" s="943"/>
      <c r="D304" s="828" t="s">
        <v>21</v>
      </c>
      <c r="E304" s="827"/>
      <c r="F304" s="827"/>
      <c r="G304" s="829"/>
      <c r="H304" s="168" t="s">
        <v>12</v>
      </c>
      <c r="I304" s="944"/>
      <c r="J304" s="944"/>
      <c r="K304" s="945"/>
      <c r="L304" s="831">
        <f t="shared" ref="L304:N304" ca="1" si="140">L305+L306</f>
        <v>0</v>
      </c>
      <c r="M304" s="831">
        <f t="shared" ca="1" si="140"/>
        <v>0</v>
      </c>
      <c r="N304" s="831">
        <f t="shared" ca="1" si="140"/>
        <v>0</v>
      </c>
      <c r="O304" s="831">
        <f t="shared" ca="1" si="136"/>
        <v>0</v>
      </c>
      <c r="P304" s="831">
        <f t="shared" ca="1" si="137"/>
        <v>0</v>
      </c>
      <c r="Q304" s="818"/>
      <c r="R304" s="818"/>
      <c r="S304" s="818"/>
      <c r="T304" s="818"/>
      <c r="U304" s="818"/>
      <c r="V304" s="818"/>
      <c r="W304" s="818"/>
      <c r="X304" s="818"/>
      <c r="Y304" s="818"/>
      <c r="Z304" s="818"/>
    </row>
    <row r="305" spans="1:26" ht="19.5" hidden="1">
      <c r="A305" s="940"/>
      <c r="B305" s="833"/>
      <c r="C305" s="946"/>
      <c r="D305" s="833"/>
      <c r="E305" s="834" t="s">
        <v>18</v>
      </c>
      <c r="F305" s="833"/>
      <c r="G305" s="941"/>
      <c r="H305" s="165" t="s">
        <v>12</v>
      </c>
      <c r="I305" s="947"/>
      <c r="J305" s="947"/>
      <c r="K305" s="948"/>
      <c r="L305" s="837">
        <v>0</v>
      </c>
      <c r="M305" s="837">
        <v>0</v>
      </c>
      <c r="N305" s="837">
        <v>0</v>
      </c>
      <c r="O305" s="837">
        <f t="shared" si="136"/>
        <v>0</v>
      </c>
      <c r="P305" s="837">
        <f t="shared" si="137"/>
        <v>0</v>
      </c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</row>
    <row r="306" spans="1:26" ht="19.5" hidden="1">
      <c r="A306" s="940"/>
      <c r="B306" s="833"/>
      <c r="C306" s="946"/>
      <c r="D306" s="833"/>
      <c r="E306" s="834" t="s">
        <v>19</v>
      </c>
      <c r="F306" s="833"/>
      <c r="G306" s="941"/>
      <c r="H306" s="169" t="s">
        <v>12</v>
      </c>
      <c r="I306" s="947"/>
      <c r="J306" s="947"/>
      <c r="K306" s="948"/>
      <c r="L306" s="837">
        <f ca="1">IFERROR(__xludf.DUMMYFUNCTION("IMPORTRANGE(""https://docs.google.com/spreadsheets/d/1MeEWN-I1oV_STSDYn1IFDPWt_1FKiwhDph83XaGc0o0/edit?usp=sharing"",""งบพรบ!DV20"")"),0)</f>
        <v>0</v>
      </c>
      <c r="M306" s="837">
        <f ca="1">IFERROR(__xludf.DUMMYFUNCTION("IMPORTRANGE(""https://docs.google.com/spreadsheets/d/1MeEWN-I1oV_STSDYn1IFDPWt_1FKiwhDph83XaGc0o0/edit?usp=sharing"",""งบพรบ!DY20"")"),0)</f>
        <v>0</v>
      </c>
      <c r="N306" s="837">
        <f ca="1">IFERROR(__xludf.DUMMYFUNCTION("IMPORTRANGE(""https://docs.google.com/spreadsheets/d/1MeEWN-I1oV_STSDYn1IFDPWt_1FKiwhDph83XaGc0o0/edit?usp=sharing"",""งบพรบ!EA20"")"),0)</f>
        <v>0</v>
      </c>
      <c r="O306" s="837">
        <f t="shared" ca="1" si="136"/>
        <v>0</v>
      </c>
      <c r="P306" s="837">
        <f t="shared" ca="1" si="137"/>
        <v>0</v>
      </c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</row>
    <row r="307" spans="1:26" ht="19.5">
      <c r="A307" s="949"/>
      <c r="B307" s="950"/>
      <c r="C307" s="946" t="s">
        <v>16</v>
      </c>
      <c r="D307" s="951" t="s">
        <v>38</v>
      </c>
      <c r="E307" s="952"/>
      <c r="F307" s="952"/>
      <c r="G307" s="953"/>
      <c r="H307" s="954"/>
      <c r="I307" s="830"/>
      <c r="J307" s="830"/>
      <c r="K307" s="831"/>
      <c r="L307" s="831"/>
      <c r="M307" s="831"/>
      <c r="N307" s="831"/>
      <c r="O307" s="831"/>
      <c r="P307" s="831"/>
    </row>
    <row r="308" spans="1:26" ht="18.75">
      <c r="A308" s="949"/>
      <c r="B308" s="950"/>
      <c r="C308" s="950"/>
      <c r="D308" s="956" t="s">
        <v>140</v>
      </c>
      <c r="E308" s="956"/>
      <c r="F308" s="956"/>
      <c r="G308" s="958"/>
      <c r="H308" s="730"/>
      <c r="I308" s="830"/>
      <c r="J308" s="959">
        <v>1</v>
      </c>
      <c r="K308" s="831"/>
      <c r="L308" s="831"/>
      <c r="M308" s="831"/>
      <c r="N308" s="831"/>
      <c r="O308" s="831"/>
      <c r="P308" s="831"/>
    </row>
    <row r="309" spans="1:26" ht="18.75">
      <c r="A309" s="949"/>
      <c r="B309" s="950"/>
      <c r="C309" s="950"/>
      <c r="D309" s="956" t="s">
        <v>141</v>
      </c>
      <c r="E309" s="956"/>
      <c r="F309" s="956"/>
      <c r="G309" s="958"/>
      <c r="H309" s="730" t="s">
        <v>35</v>
      </c>
      <c r="I309" s="830">
        <f ca="1">IFERROR(__xludf.DUMMYFUNCTION("IMPORTRANGE(""https://docs.google.com/spreadsheets/d/1QqKyyYR6Q21VydFLVH3TRQUabQu_ym0Zz7PgGX0-kHA/edit?usp=sharing"",""แผน!ED20"")"),20)</f>
        <v>20</v>
      </c>
      <c r="J309" s="959">
        <v>20</v>
      </c>
      <c r="K309" s="831">
        <f t="shared" ref="K309:K312" ca="1" si="141">IF(I309&gt;0,J309*100/I309,0)</f>
        <v>100</v>
      </c>
      <c r="L309" s="831"/>
      <c r="M309" s="831"/>
      <c r="N309" s="831"/>
      <c r="O309" s="831"/>
      <c r="P309" s="831"/>
    </row>
    <row r="310" spans="1:26" ht="18.75">
      <c r="A310" s="949"/>
      <c r="B310" s="950"/>
      <c r="C310" s="950"/>
      <c r="D310" s="956" t="s">
        <v>142</v>
      </c>
      <c r="E310" s="956"/>
      <c r="F310" s="956"/>
      <c r="G310" s="958"/>
      <c r="H310" s="730" t="s">
        <v>35</v>
      </c>
      <c r="I310" s="830">
        <f ca="1">IFERROR(__xludf.DUMMYFUNCTION("IMPORTRANGE(""https://docs.google.com/spreadsheets/d/1QqKyyYR6Q21VydFLVH3TRQUabQu_ym0Zz7PgGX0-kHA/edit?usp=sharing"",""แผน!ED20"")"),20)</f>
        <v>20</v>
      </c>
      <c r="J310" s="959">
        <v>20</v>
      </c>
      <c r="K310" s="831">
        <f t="shared" ca="1" si="141"/>
        <v>100</v>
      </c>
      <c r="L310" s="831"/>
      <c r="M310" s="831"/>
      <c r="N310" s="831"/>
      <c r="O310" s="831"/>
      <c r="P310" s="831"/>
    </row>
    <row r="311" spans="1:26" ht="18.75">
      <c r="A311" s="949"/>
      <c r="B311" s="950"/>
      <c r="C311" s="950"/>
      <c r="D311" s="956" t="s">
        <v>59</v>
      </c>
      <c r="E311" s="956"/>
      <c r="F311" s="956"/>
      <c r="G311" s="958"/>
      <c r="H311" s="730" t="s">
        <v>35</v>
      </c>
      <c r="I311" s="830">
        <f ca="1">IFERROR(__xludf.DUMMYFUNCTION("IMPORTRANGE(""https://docs.google.com/spreadsheets/d/1QqKyyYR6Q21VydFLVH3TRQUabQu_ym0Zz7PgGX0-kHA/edit?usp=sharing"",""แผน!ED20"")"),20)</f>
        <v>20</v>
      </c>
      <c r="J311" s="959">
        <v>0</v>
      </c>
      <c r="K311" s="831">
        <f t="shared" ca="1" si="141"/>
        <v>0</v>
      </c>
      <c r="L311" s="831"/>
      <c r="M311" s="831"/>
      <c r="N311" s="831"/>
      <c r="O311" s="831"/>
      <c r="P311" s="831"/>
    </row>
    <row r="312" spans="1:26" ht="18.75">
      <c r="A312" s="949"/>
      <c r="B312" s="950"/>
      <c r="C312" s="950"/>
      <c r="D312" s="956" t="s">
        <v>143</v>
      </c>
      <c r="E312" s="956"/>
      <c r="F312" s="956"/>
      <c r="G312" s="958"/>
      <c r="H312" s="730" t="s">
        <v>35</v>
      </c>
      <c r="I312" s="830">
        <f ca="1">IFERROR(__xludf.DUMMYFUNCTION("IMPORTRANGE(""https://docs.google.com/spreadsheets/d/1QqKyyYR6Q21VydFLVH3TRQUabQu_ym0Zz7PgGX0-kHA/edit?usp=sharing"",""แผน!EE20"")"),4)</f>
        <v>4</v>
      </c>
      <c r="J312" s="959">
        <v>0</v>
      </c>
      <c r="K312" s="831">
        <f t="shared" ca="1" si="141"/>
        <v>0</v>
      </c>
      <c r="L312" s="831"/>
      <c r="M312" s="831"/>
      <c r="N312" s="831"/>
      <c r="O312" s="831"/>
      <c r="P312" s="831"/>
    </row>
    <row r="313" spans="1:26" ht="19.5" hidden="1">
      <c r="A313" s="1126" t="s">
        <v>144</v>
      </c>
      <c r="B313" s="1127"/>
      <c r="C313" s="1127"/>
      <c r="D313" s="1128"/>
      <c r="E313" s="1127"/>
      <c r="F313" s="1127"/>
      <c r="G313" s="1127"/>
      <c r="H313" s="1140"/>
      <c r="I313" s="1131"/>
      <c r="J313" s="1131"/>
      <c r="K313" s="1132"/>
      <c r="L313" s="1132"/>
      <c r="M313" s="1132"/>
      <c r="N313" s="1132"/>
      <c r="O313" s="1132"/>
      <c r="P313" s="1132"/>
    </row>
    <row r="314" spans="1:26" ht="19.5" hidden="1">
      <c r="A314" s="1141"/>
      <c r="B314" s="1134" t="s">
        <v>145</v>
      </c>
      <c r="C314" s="1142"/>
      <c r="D314" s="1143"/>
      <c r="E314" s="1135"/>
      <c r="F314" s="1135"/>
      <c r="G314" s="1136"/>
      <c r="H314" s="412" t="s">
        <v>146</v>
      </c>
      <c r="I314" s="1137">
        <f t="shared" ref="I314:J314" ca="1" si="142">I325</f>
        <v>0</v>
      </c>
      <c r="J314" s="1137">
        <f t="shared" si="142"/>
        <v>0</v>
      </c>
      <c r="K314" s="1138">
        <f ca="1">IF(I314&gt;0,J314*100/I314,0)</f>
        <v>0</v>
      </c>
      <c r="L314" s="1139"/>
      <c r="M314" s="1139"/>
      <c r="N314" s="1139"/>
      <c r="O314" s="1139"/>
      <c r="P314" s="1139"/>
    </row>
    <row r="315" spans="1:26" ht="19.5" hidden="1">
      <c r="A315" s="932"/>
      <c r="B315" s="933"/>
      <c r="C315" s="934" t="s">
        <v>16</v>
      </c>
      <c r="D315" s="935" t="s">
        <v>17</v>
      </c>
      <c r="E315" s="933"/>
      <c r="F315" s="933"/>
      <c r="G315" s="936"/>
      <c r="H315" s="152" t="s">
        <v>12</v>
      </c>
      <c r="I315" s="937"/>
      <c r="J315" s="937"/>
      <c r="K315" s="938"/>
      <c r="L315" s="939">
        <f t="shared" ref="L315:N315" ca="1" si="143">L316+L317</f>
        <v>0</v>
      </c>
      <c r="M315" s="939">
        <f t="shared" ca="1" si="143"/>
        <v>0</v>
      </c>
      <c r="N315" s="939">
        <f t="shared" ca="1" si="143"/>
        <v>0</v>
      </c>
      <c r="O315" s="939">
        <f t="shared" ref="O315:O323" ca="1" si="144">IF(L315&gt;0,N315*100/L315,0)</f>
        <v>0</v>
      </c>
      <c r="P315" s="939">
        <f t="shared" ref="P315:P323" ca="1" si="145">IF(M315&gt;0,N315*100/M315,0)</f>
        <v>0</v>
      </c>
      <c r="Q315" s="818"/>
      <c r="R315" s="818"/>
      <c r="S315" s="818"/>
      <c r="T315" s="818"/>
      <c r="U315" s="818"/>
      <c r="V315" s="818"/>
      <c r="W315" s="818"/>
      <c r="X315" s="818"/>
      <c r="Y315" s="818"/>
      <c r="Z315" s="818"/>
    </row>
    <row r="316" spans="1:26" ht="18.75" hidden="1">
      <c r="A316" s="940"/>
      <c r="B316" s="833"/>
      <c r="C316" s="833"/>
      <c r="D316" s="833"/>
      <c r="E316" s="834" t="s">
        <v>18</v>
      </c>
      <c r="F316" s="833"/>
      <c r="G316" s="941"/>
      <c r="H316" s="158" t="s">
        <v>12</v>
      </c>
      <c r="I316" s="836"/>
      <c r="J316" s="836"/>
      <c r="K316" s="837"/>
      <c r="L316" s="837">
        <f t="shared" ref="L316:N317" si="146">L319+L322</f>
        <v>0</v>
      </c>
      <c r="M316" s="837">
        <f t="shared" si="146"/>
        <v>0</v>
      </c>
      <c r="N316" s="837">
        <f t="shared" si="146"/>
        <v>0</v>
      </c>
      <c r="O316" s="837">
        <f t="shared" si="144"/>
        <v>0</v>
      </c>
      <c r="P316" s="837">
        <f t="shared" si="145"/>
        <v>0</v>
      </c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</row>
    <row r="317" spans="1:26" ht="18.75" hidden="1">
      <c r="A317" s="940"/>
      <c r="B317" s="833"/>
      <c r="C317" s="833"/>
      <c r="D317" s="833"/>
      <c r="E317" s="834" t="s">
        <v>19</v>
      </c>
      <c r="F317" s="833"/>
      <c r="G317" s="941"/>
      <c r="H317" s="158" t="s">
        <v>12</v>
      </c>
      <c r="I317" s="836"/>
      <c r="J317" s="836"/>
      <c r="K317" s="837"/>
      <c r="L317" s="837">
        <f t="shared" ca="1" si="146"/>
        <v>0</v>
      </c>
      <c r="M317" s="837">
        <f t="shared" ca="1" si="146"/>
        <v>0</v>
      </c>
      <c r="N317" s="837">
        <f t="shared" ca="1" si="146"/>
        <v>0</v>
      </c>
      <c r="O317" s="837">
        <f t="shared" ca="1" si="144"/>
        <v>0</v>
      </c>
      <c r="P317" s="837">
        <f t="shared" ca="1" si="145"/>
        <v>0</v>
      </c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</row>
    <row r="318" spans="1:26" ht="18.75" hidden="1">
      <c r="A318" s="942"/>
      <c r="B318" s="827"/>
      <c r="C318" s="943"/>
      <c r="D318" s="828" t="s">
        <v>20</v>
      </c>
      <c r="E318" s="827"/>
      <c r="F318" s="827"/>
      <c r="G318" s="829"/>
      <c r="H318" s="778" t="s">
        <v>12</v>
      </c>
      <c r="I318" s="944"/>
      <c r="J318" s="944"/>
      <c r="K318" s="945"/>
      <c r="L318" s="831">
        <f t="shared" ref="L318:N318" ca="1" si="147">L319+L320</f>
        <v>0</v>
      </c>
      <c r="M318" s="831">
        <f t="shared" ca="1" si="147"/>
        <v>0</v>
      </c>
      <c r="N318" s="831">
        <f t="shared" ca="1" si="147"/>
        <v>0</v>
      </c>
      <c r="O318" s="831">
        <f t="shared" ca="1" si="144"/>
        <v>0</v>
      </c>
      <c r="P318" s="831">
        <f t="shared" ca="1" si="145"/>
        <v>0</v>
      </c>
      <c r="Q318" s="818"/>
      <c r="R318" s="818"/>
      <c r="S318" s="818"/>
      <c r="T318" s="818"/>
      <c r="U318" s="818"/>
      <c r="V318" s="818"/>
      <c r="W318" s="818"/>
      <c r="X318" s="818"/>
      <c r="Y318" s="818"/>
      <c r="Z318" s="818"/>
    </row>
    <row r="319" spans="1:26" ht="19.5" hidden="1">
      <c r="A319" s="940"/>
      <c r="B319" s="833"/>
      <c r="C319" s="946"/>
      <c r="D319" s="833"/>
      <c r="E319" s="834" t="s">
        <v>36</v>
      </c>
      <c r="F319" s="833"/>
      <c r="G319" s="941"/>
      <c r="H319" s="165" t="s">
        <v>12</v>
      </c>
      <c r="I319" s="947"/>
      <c r="J319" s="947"/>
      <c r="K319" s="948"/>
      <c r="L319" s="837">
        <v>0</v>
      </c>
      <c r="M319" s="837">
        <v>0</v>
      </c>
      <c r="N319" s="837">
        <v>0</v>
      </c>
      <c r="O319" s="837">
        <f t="shared" si="144"/>
        <v>0</v>
      </c>
      <c r="P319" s="837">
        <f t="shared" si="145"/>
        <v>0</v>
      </c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</row>
    <row r="320" spans="1:26" ht="19.5" hidden="1">
      <c r="A320" s="940"/>
      <c r="B320" s="833"/>
      <c r="C320" s="946"/>
      <c r="D320" s="833"/>
      <c r="E320" s="834" t="s">
        <v>37</v>
      </c>
      <c r="F320" s="833"/>
      <c r="G320" s="941"/>
      <c r="H320" s="165" t="s">
        <v>12</v>
      </c>
      <c r="I320" s="947"/>
      <c r="J320" s="947"/>
      <c r="K320" s="948"/>
      <c r="L320" s="837">
        <f ca="1">IFERROR(__xludf.DUMMYFUNCTION("IMPORTRANGE(""https://docs.google.com/spreadsheets/d/1MeEWN-I1oV_STSDYn1IFDPWt_1FKiwhDph83XaGc0o0/edit?usp=sharing"",""งบพรบ!EC20"")"),0)</f>
        <v>0</v>
      </c>
      <c r="M320" s="837">
        <f ca="1">IFERROR(__xludf.DUMMYFUNCTION("IMPORTRANGE(""https://docs.google.com/spreadsheets/d/1MeEWN-I1oV_STSDYn1IFDPWt_1FKiwhDph83XaGc0o0/edit?usp=sharing"",""งบพรบ!EH20"")"),0)</f>
        <v>0</v>
      </c>
      <c r="N320" s="837">
        <f ca="1">IFERROR(__xludf.DUMMYFUNCTION("IMPORTRANGE(""https://docs.google.com/spreadsheets/d/1MeEWN-I1oV_STSDYn1IFDPWt_1FKiwhDph83XaGc0o0/edit?usp=sharing"",""งบพรบ!EJ20"")"),0)</f>
        <v>0</v>
      </c>
      <c r="O320" s="837">
        <f t="shared" ca="1" si="144"/>
        <v>0</v>
      </c>
      <c r="P320" s="837">
        <f t="shared" ca="1" si="145"/>
        <v>0</v>
      </c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</row>
    <row r="321" spans="1:26" ht="18.75" hidden="1">
      <c r="A321" s="942"/>
      <c r="B321" s="827"/>
      <c r="C321" s="943"/>
      <c r="D321" s="828" t="s">
        <v>21</v>
      </c>
      <c r="E321" s="827"/>
      <c r="F321" s="827"/>
      <c r="G321" s="829"/>
      <c r="H321" s="168" t="s">
        <v>12</v>
      </c>
      <c r="I321" s="944"/>
      <c r="J321" s="944"/>
      <c r="K321" s="945"/>
      <c r="L321" s="831">
        <f t="shared" ref="L321:N321" ca="1" si="148">L322+L323</f>
        <v>0</v>
      </c>
      <c r="M321" s="831">
        <f t="shared" ca="1" si="148"/>
        <v>0</v>
      </c>
      <c r="N321" s="831">
        <f t="shared" ca="1" si="148"/>
        <v>0</v>
      </c>
      <c r="O321" s="831">
        <f t="shared" ca="1" si="144"/>
        <v>0</v>
      </c>
      <c r="P321" s="831">
        <f t="shared" ca="1" si="145"/>
        <v>0</v>
      </c>
      <c r="Q321" s="818"/>
      <c r="R321" s="818"/>
      <c r="S321" s="818"/>
      <c r="T321" s="818"/>
      <c r="U321" s="818"/>
      <c r="V321" s="818"/>
      <c r="W321" s="818"/>
      <c r="X321" s="818"/>
      <c r="Y321" s="818"/>
      <c r="Z321" s="818"/>
    </row>
    <row r="322" spans="1:26" ht="19.5" hidden="1">
      <c r="A322" s="940"/>
      <c r="B322" s="833"/>
      <c r="C322" s="946"/>
      <c r="D322" s="833"/>
      <c r="E322" s="834" t="s">
        <v>18</v>
      </c>
      <c r="F322" s="833"/>
      <c r="G322" s="941"/>
      <c r="H322" s="165" t="s">
        <v>12</v>
      </c>
      <c r="I322" s="947"/>
      <c r="J322" s="947"/>
      <c r="K322" s="948"/>
      <c r="L322" s="837">
        <v>0</v>
      </c>
      <c r="M322" s="837">
        <v>0</v>
      </c>
      <c r="N322" s="837">
        <v>0</v>
      </c>
      <c r="O322" s="837">
        <f t="shared" si="144"/>
        <v>0</v>
      </c>
      <c r="P322" s="837">
        <f t="shared" si="145"/>
        <v>0</v>
      </c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</row>
    <row r="323" spans="1:26" ht="19.5" hidden="1">
      <c r="A323" s="940"/>
      <c r="B323" s="833"/>
      <c r="C323" s="946"/>
      <c r="D323" s="833"/>
      <c r="E323" s="834" t="s">
        <v>19</v>
      </c>
      <c r="F323" s="833"/>
      <c r="G323" s="941"/>
      <c r="H323" s="169" t="s">
        <v>12</v>
      </c>
      <c r="I323" s="947"/>
      <c r="J323" s="947"/>
      <c r="K323" s="948"/>
      <c r="L323" s="837">
        <f ca="1">IFERROR(__xludf.DUMMYFUNCTION("IMPORTRANGE(""https://docs.google.com/spreadsheets/d/1MeEWN-I1oV_STSDYn1IFDPWt_1FKiwhDph83XaGc0o0/edit?usp=sharing"",""งบพรบ!EF20"")"),0)</f>
        <v>0</v>
      </c>
      <c r="M323" s="837">
        <f ca="1">IFERROR(__xludf.DUMMYFUNCTION("IMPORTRANGE(""https://docs.google.com/spreadsheets/d/1MeEWN-I1oV_STSDYn1IFDPWt_1FKiwhDph83XaGc0o0/edit?usp=sharing"",""งบพรบ!EI20"")"),0)</f>
        <v>0</v>
      </c>
      <c r="N323" s="837">
        <f ca="1">IFERROR(__xludf.DUMMYFUNCTION("IMPORTRANGE(""https://docs.google.com/spreadsheets/d/1MeEWN-I1oV_STSDYn1IFDPWt_1FKiwhDph83XaGc0o0/edit?usp=sharing"",""งบพรบ!EK20"")"),0)</f>
        <v>0</v>
      </c>
      <c r="O323" s="837">
        <f t="shared" ca="1" si="144"/>
        <v>0</v>
      </c>
      <c r="P323" s="837">
        <f t="shared" ca="1" si="145"/>
        <v>0</v>
      </c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</row>
    <row r="324" spans="1:26" ht="19.5" hidden="1">
      <c r="A324" s="949"/>
      <c r="B324" s="950"/>
      <c r="C324" s="946" t="s">
        <v>16</v>
      </c>
      <c r="D324" s="951" t="s">
        <v>38</v>
      </c>
      <c r="E324" s="952"/>
      <c r="F324" s="952"/>
      <c r="G324" s="953"/>
      <c r="H324" s="954"/>
      <c r="I324" s="944"/>
      <c r="J324" s="830"/>
      <c r="K324" s="831"/>
      <c r="L324" s="831"/>
      <c r="M324" s="831"/>
      <c r="N324" s="831"/>
      <c r="O324" s="945"/>
      <c r="P324" s="945"/>
    </row>
    <row r="325" spans="1:26" ht="18.75" hidden="1">
      <c r="A325" s="949"/>
      <c r="B325" s="950"/>
      <c r="C325" s="950"/>
      <c r="D325" s="955" t="s">
        <v>147</v>
      </c>
      <c r="E325" s="957"/>
      <c r="F325" s="956"/>
      <c r="G325" s="958"/>
      <c r="H325" s="590" t="s">
        <v>146</v>
      </c>
      <c r="I325" s="830">
        <f ca="1">IFERROR(__xludf.DUMMYFUNCTION("IMPORTRANGE(""https://docs.google.com/spreadsheets/d/1QqKyyYR6Q21VydFLVH3TRQUabQu_ym0Zz7PgGX0-kHA/edit?usp=sharing"",""แผน!EF20"")"),0)</f>
        <v>0</v>
      </c>
      <c r="J325" s="959">
        <v>0</v>
      </c>
      <c r="K325" s="831">
        <f ca="1">IF(I325&gt;0,J325*100/I325,0)</f>
        <v>0</v>
      </c>
      <c r="L325" s="831"/>
      <c r="M325" s="831"/>
      <c r="N325" s="831"/>
      <c r="O325" s="945"/>
      <c r="P325" s="945"/>
    </row>
    <row r="326" spans="1:26" ht="19.5">
      <c r="A326" s="1126" t="s">
        <v>148</v>
      </c>
      <c r="B326" s="1127"/>
      <c r="C326" s="1127"/>
      <c r="D326" s="1128"/>
      <c r="E326" s="1127"/>
      <c r="F326" s="1127"/>
      <c r="G326" s="1127"/>
      <c r="H326" s="1140"/>
      <c r="I326" s="1131"/>
      <c r="J326" s="1131"/>
      <c r="K326" s="1132"/>
      <c r="L326" s="1132"/>
      <c r="M326" s="1132"/>
      <c r="N326" s="1132"/>
      <c r="O326" s="1132"/>
      <c r="P326" s="1132"/>
    </row>
    <row r="327" spans="1:26" ht="19.5">
      <c r="A327" s="1133"/>
      <c r="B327" s="1134" t="s">
        <v>149</v>
      </c>
      <c r="C327" s="1143"/>
      <c r="D327" s="1135"/>
      <c r="E327" s="1135"/>
      <c r="F327" s="1135"/>
      <c r="G327" s="1136"/>
      <c r="H327" s="412" t="s">
        <v>35</v>
      </c>
      <c r="I327" s="1137">
        <f ca="1">IFERROR(__xludf.DUMMYFUNCTION("IMPORTRANGE(""https://docs.google.com/spreadsheets/d/1QqKyyYR6Q21VydFLVH3TRQUabQu_ym0Zz7PgGX0-kHA/edit?usp=sharing"",""แผน!EG20"")"),1600)</f>
        <v>1600</v>
      </c>
      <c r="J327" s="1137">
        <f ca="1">J338+J341+J342+J343</f>
        <v>2633</v>
      </c>
      <c r="K327" s="1138">
        <f ca="1">IF(I327&gt;0,J327*100/I327,0)</f>
        <v>164.5625</v>
      </c>
      <c r="L327" s="1139"/>
      <c r="M327" s="1139"/>
      <c r="N327" s="1139"/>
      <c r="O327" s="1139"/>
      <c r="P327" s="1139"/>
    </row>
    <row r="328" spans="1:26" ht="19.5">
      <c r="A328" s="932"/>
      <c r="B328" s="933"/>
      <c r="C328" s="934" t="s">
        <v>16</v>
      </c>
      <c r="D328" s="935" t="s">
        <v>17</v>
      </c>
      <c r="E328" s="933"/>
      <c r="F328" s="933"/>
      <c r="G328" s="936"/>
      <c r="H328" s="152" t="s">
        <v>12</v>
      </c>
      <c r="I328" s="937"/>
      <c r="J328" s="937"/>
      <c r="K328" s="938"/>
      <c r="L328" s="939">
        <f t="shared" ref="L328:N328" ca="1" si="149">L329+L330</f>
        <v>168000</v>
      </c>
      <c r="M328" s="939">
        <f t="shared" ca="1" si="149"/>
        <v>128500</v>
      </c>
      <c r="N328" s="939">
        <f t="shared" ca="1" si="149"/>
        <v>67390</v>
      </c>
      <c r="O328" s="939">
        <f t="shared" ref="O328:O336" ca="1" si="150">IF(L328&gt;0,N328*100/L328,0)</f>
        <v>40.113095238095241</v>
      </c>
      <c r="P328" s="939">
        <f t="shared" ref="P328:P336" ca="1" si="151">IF(M328&gt;0,N328*100/M328,0)</f>
        <v>52.443579766536963</v>
      </c>
      <c r="Q328" s="818"/>
      <c r="R328" s="818"/>
      <c r="S328" s="818"/>
      <c r="T328" s="818"/>
      <c r="U328" s="818"/>
      <c r="V328" s="818"/>
      <c r="W328" s="818"/>
      <c r="X328" s="818"/>
      <c r="Y328" s="818"/>
      <c r="Z328" s="818"/>
    </row>
    <row r="329" spans="1:26" ht="18.75" hidden="1">
      <c r="A329" s="940"/>
      <c r="B329" s="833"/>
      <c r="C329" s="833"/>
      <c r="D329" s="833"/>
      <c r="E329" s="834" t="s">
        <v>18</v>
      </c>
      <c r="F329" s="833"/>
      <c r="G329" s="941"/>
      <c r="H329" s="158" t="s">
        <v>12</v>
      </c>
      <c r="I329" s="836"/>
      <c r="J329" s="836"/>
      <c r="K329" s="837"/>
      <c r="L329" s="837">
        <f t="shared" ref="L329:N330" si="152">L332+L335</f>
        <v>0</v>
      </c>
      <c r="M329" s="837">
        <f t="shared" si="152"/>
        <v>0</v>
      </c>
      <c r="N329" s="837">
        <f t="shared" si="152"/>
        <v>0</v>
      </c>
      <c r="O329" s="837">
        <f t="shared" si="150"/>
        <v>0</v>
      </c>
      <c r="P329" s="837">
        <f t="shared" si="151"/>
        <v>0</v>
      </c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</row>
    <row r="330" spans="1:26" ht="18.75" hidden="1">
      <c r="A330" s="940"/>
      <c r="B330" s="833"/>
      <c r="C330" s="833"/>
      <c r="D330" s="833"/>
      <c r="E330" s="834" t="s">
        <v>19</v>
      </c>
      <c r="F330" s="833"/>
      <c r="G330" s="941"/>
      <c r="H330" s="158" t="s">
        <v>12</v>
      </c>
      <c r="I330" s="836"/>
      <c r="J330" s="836"/>
      <c r="K330" s="837"/>
      <c r="L330" s="837">
        <f t="shared" ca="1" si="152"/>
        <v>168000</v>
      </c>
      <c r="M330" s="837">
        <f t="shared" ca="1" si="152"/>
        <v>128500</v>
      </c>
      <c r="N330" s="837">
        <f t="shared" ca="1" si="152"/>
        <v>67390</v>
      </c>
      <c r="O330" s="837">
        <f t="shared" ca="1" si="150"/>
        <v>40.113095238095241</v>
      </c>
      <c r="P330" s="837">
        <f t="shared" ca="1" si="151"/>
        <v>52.443579766536963</v>
      </c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</row>
    <row r="331" spans="1:26" ht="18.75">
      <c r="A331" s="942"/>
      <c r="B331" s="827"/>
      <c r="C331" s="943"/>
      <c r="D331" s="828" t="s">
        <v>20</v>
      </c>
      <c r="E331" s="827"/>
      <c r="F331" s="827"/>
      <c r="G331" s="829"/>
      <c r="H331" s="778" t="s">
        <v>12</v>
      </c>
      <c r="I331" s="944"/>
      <c r="J331" s="944"/>
      <c r="K331" s="945"/>
      <c r="L331" s="831">
        <f t="shared" ref="L331:N331" ca="1" si="153">L332+L333</f>
        <v>168000</v>
      </c>
      <c r="M331" s="831">
        <f t="shared" ca="1" si="153"/>
        <v>128500</v>
      </c>
      <c r="N331" s="831">
        <f t="shared" ca="1" si="153"/>
        <v>67390</v>
      </c>
      <c r="O331" s="831">
        <f t="shared" ca="1" si="150"/>
        <v>40.113095238095241</v>
      </c>
      <c r="P331" s="831">
        <f t="shared" ca="1" si="151"/>
        <v>52.443579766536963</v>
      </c>
      <c r="Q331" s="818"/>
      <c r="R331" s="818"/>
      <c r="S331" s="818"/>
      <c r="T331" s="818"/>
      <c r="U331" s="818"/>
      <c r="V331" s="818"/>
      <c r="W331" s="818"/>
      <c r="X331" s="818"/>
      <c r="Y331" s="818"/>
      <c r="Z331" s="818"/>
    </row>
    <row r="332" spans="1:26" ht="19.5" hidden="1">
      <c r="A332" s="940"/>
      <c r="B332" s="833"/>
      <c r="C332" s="946"/>
      <c r="D332" s="833"/>
      <c r="E332" s="834" t="s">
        <v>36</v>
      </c>
      <c r="F332" s="833"/>
      <c r="G332" s="941"/>
      <c r="H332" s="165" t="s">
        <v>12</v>
      </c>
      <c r="I332" s="947"/>
      <c r="J332" s="947"/>
      <c r="K332" s="948"/>
      <c r="L332" s="837">
        <v>0</v>
      </c>
      <c r="M332" s="837">
        <v>0</v>
      </c>
      <c r="N332" s="837">
        <v>0</v>
      </c>
      <c r="O332" s="837">
        <f t="shared" si="150"/>
        <v>0</v>
      </c>
      <c r="P332" s="837">
        <f t="shared" si="151"/>
        <v>0</v>
      </c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</row>
    <row r="333" spans="1:26" ht="19.5" hidden="1">
      <c r="A333" s="940"/>
      <c r="B333" s="833"/>
      <c r="C333" s="946"/>
      <c r="D333" s="833"/>
      <c r="E333" s="834" t="s">
        <v>37</v>
      </c>
      <c r="F333" s="833"/>
      <c r="G333" s="941"/>
      <c r="H333" s="165" t="s">
        <v>12</v>
      </c>
      <c r="I333" s="947"/>
      <c r="J333" s="947"/>
      <c r="K333" s="948"/>
      <c r="L333" s="837">
        <f ca="1">IFERROR(__xludf.DUMMYFUNCTION("IMPORTRANGE(""https://docs.google.com/spreadsheets/d/1MeEWN-I1oV_STSDYn1IFDPWt_1FKiwhDph83XaGc0o0/edit?usp=sharing"",""งบพรบ!EM20"")"),168000)</f>
        <v>168000</v>
      </c>
      <c r="M333" s="837">
        <f ca="1">IFERROR(__xludf.DUMMYFUNCTION("IMPORTRANGE(""https://docs.google.com/spreadsheets/d/1MeEWN-I1oV_STSDYn1IFDPWt_1FKiwhDph83XaGc0o0/edit?usp=sharing"",""งบพรบ!ER20"")"),128500)</f>
        <v>128500</v>
      </c>
      <c r="N333" s="837">
        <f ca="1">IFERROR(__xludf.DUMMYFUNCTION("IMPORTRANGE(""https://docs.google.com/spreadsheets/d/1MeEWN-I1oV_STSDYn1IFDPWt_1FKiwhDph83XaGc0o0/edit?usp=sharing"",""งบพรบ!ET20"")"),67390)</f>
        <v>67390</v>
      </c>
      <c r="O333" s="837">
        <f t="shared" ca="1" si="150"/>
        <v>40.113095238095241</v>
      </c>
      <c r="P333" s="837">
        <f t="shared" ca="1" si="151"/>
        <v>52.443579766536963</v>
      </c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</row>
    <row r="334" spans="1:26" ht="18.75">
      <c r="A334" s="942"/>
      <c r="B334" s="827"/>
      <c r="C334" s="943"/>
      <c r="D334" s="828" t="s">
        <v>21</v>
      </c>
      <c r="E334" s="827"/>
      <c r="F334" s="827"/>
      <c r="G334" s="829"/>
      <c r="H334" s="168" t="s">
        <v>12</v>
      </c>
      <c r="I334" s="944"/>
      <c r="J334" s="944"/>
      <c r="K334" s="945"/>
      <c r="L334" s="831">
        <f t="shared" ref="L334:N334" ca="1" si="154">L335+L336</f>
        <v>0</v>
      </c>
      <c r="M334" s="831">
        <f t="shared" ca="1" si="154"/>
        <v>0</v>
      </c>
      <c r="N334" s="831">
        <f t="shared" ca="1" si="154"/>
        <v>0</v>
      </c>
      <c r="O334" s="831">
        <f t="shared" ca="1" si="150"/>
        <v>0</v>
      </c>
      <c r="P334" s="831">
        <f t="shared" ca="1" si="151"/>
        <v>0</v>
      </c>
      <c r="Q334" s="818"/>
      <c r="R334" s="818"/>
      <c r="S334" s="818"/>
      <c r="T334" s="818"/>
      <c r="U334" s="818"/>
      <c r="V334" s="818"/>
      <c r="W334" s="818"/>
      <c r="X334" s="818"/>
      <c r="Y334" s="818"/>
      <c r="Z334" s="818"/>
    </row>
    <row r="335" spans="1:26" ht="19.5" hidden="1">
      <c r="A335" s="940"/>
      <c r="B335" s="833"/>
      <c r="C335" s="946"/>
      <c r="D335" s="833"/>
      <c r="E335" s="834" t="s">
        <v>18</v>
      </c>
      <c r="F335" s="833"/>
      <c r="G335" s="941"/>
      <c r="H335" s="165" t="s">
        <v>12</v>
      </c>
      <c r="I335" s="947"/>
      <c r="J335" s="947"/>
      <c r="K335" s="948"/>
      <c r="L335" s="837">
        <v>0</v>
      </c>
      <c r="M335" s="837">
        <v>0</v>
      </c>
      <c r="N335" s="837">
        <v>0</v>
      </c>
      <c r="O335" s="837">
        <f t="shared" si="150"/>
        <v>0</v>
      </c>
      <c r="P335" s="837">
        <f t="shared" si="151"/>
        <v>0</v>
      </c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</row>
    <row r="336" spans="1:26" ht="19.5" hidden="1">
      <c r="A336" s="940"/>
      <c r="B336" s="833"/>
      <c r="C336" s="946"/>
      <c r="D336" s="833"/>
      <c r="E336" s="834" t="s">
        <v>19</v>
      </c>
      <c r="F336" s="833"/>
      <c r="G336" s="941"/>
      <c r="H336" s="169" t="s">
        <v>12</v>
      </c>
      <c r="I336" s="947"/>
      <c r="J336" s="947"/>
      <c r="K336" s="948"/>
      <c r="L336" s="837">
        <f ca="1">IFERROR(__xludf.DUMMYFUNCTION("IMPORTRANGE(""https://docs.google.com/spreadsheets/d/1MeEWN-I1oV_STSDYn1IFDPWt_1FKiwhDph83XaGc0o0/edit?usp=sharing"",""งบพรบ!EP20"")"),0)</f>
        <v>0</v>
      </c>
      <c r="M336" s="837">
        <f ca="1">IFERROR(__xludf.DUMMYFUNCTION("IMPORTRANGE(""https://docs.google.com/spreadsheets/d/1MeEWN-I1oV_STSDYn1IFDPWt_1FKiwhDph83XaGc0o0/edit?usp=sharing"",""งบพรบ!ES20"")"),0)</f>
        <v>0</v>
      </c>
      <c r="N336" s="837">
        <f ca="1">IFERROR(__xludf.DUMMYFUNCTION("IMPORTRANGE(""https://docs.google.com/spreadsheets/d/1MeEWN-I1oV_STSDYn1IFDPWt_1FKiwhDph83XaGc0o0/edit?usp=sharing"",""งบพรบ!EU20"")"),0)</f>
        <v>0</v>
      </c>
      <c r="O336" s="837">
        <f t="shared" ca="1" si="150"/>
        <v>0</v>
      </c>
      <c r="P336" s="837">
        <f t="shared" ca="1" si="151"/>
        <v>0</v>
      </c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</row>
    <row r="337" spans="1:26" ht="19.5">
      <c r="A337" s="949"/>
      <c r="B337" s="950"/>
      <c r="C337" s="946" t="s">
        <v>16</v>
      </c>
      <c r="D337" s="951" t="s">
        <v>38</v>
      </c>
      <c r="E337" s="952"/>
      <c r="F337" s="952"/>
      <c r="G337" s="953"/>
      <c r="H337" s="954"/>
      <c r="I337" s="944"/>
      <c r="J337" s="830"/>
      <c r="K337" s="831"/>
      <c r="L337" s="831"/>
      <c r="M337" s="831"/>
      <c r="N337" s="831"/>
      <c r="O337" s="945"/>
      <c r="P337" s="945"/>
    </row>
    <row r="338" spans="1:26" ht="18.75">
      <c r="A338" s="1032"/>
      <c r="B338" s="827"/>
      <c r="C338" s="1030"/>
      <c r="D338" s="956" t="s">
        <v>150</v>
      </c>
      <c r="E338" s="950"/>
      <c r="F338" s="827"/>
      <c r="G338" s="829"/>
      <c r="H338" s="277" t="s">
        <v>35</v>
      </c>
      <c r="I338" s="830">
        <f ca="1">IFERROR(__xludf.DUMMYFUNCTION("IMPORTRANGE(""https://docs.google.com/spreadsheets/d/1QqKyyYR6Q21VydFLVH3TRQUabQu_ym0Zz7PgGX0-kHA/edit?usp=sharing"",""แผน!EG20"")"),1600)</f>
        <v>1600</v>
      </c>
      <c r="J338" s="830">
        <f ca="1">IFERROR(__xludf.DUMMYFUNCTION("IMPORTRANGE(""https://docs.google.com/spreadsheets/d/1kVcqe37tkHyjCSG3S0O1AXqVkqjo8mSIZil3BcpIysc/edit?usp=sharing"",""ศูนย์!D20"")"),2380)</f>
        <v>2380</v>
      </c>
      <c r="K338" s="831">
        <f ca="1">IF(I338&gt;0,J338*100/I338,0)</f>
        <v>148.75</v>
      </c>
      <c r="L338" s="831"/>
      <c r="M338" s="831"/>
      <c r="N338" s="831"/>
      <c r="O338" s="831"/>
      <c r="P338" s="831"/>
    </row>
    <row r="339" spans="1:26" ht="18.75">
      <c r="A339" s="1032"/>
      <c r="B339" s="827"/>
      <c r="C339" s="1030"/>
      <c r="D339" s="956" t="s">
        <v>151</v>
      </c>
      <c r="E339" s="950"/>
      <c r="F339" s="827"/>
      <c r="G339" s="829"/>
      <c r="H339" s="277"/>
      <c r="I339" s="830"/>
      <c r="J339" s="830"/>
      <c r="K339" s="831"/>
      <c r="L339" s="831"/>
      <c r="M339" s="831"/>
      <c r="N339" s="831"/>
      <c r="O339" s="831"/>
      <c r="P339" s="831"/>
    </row>
    <row r="340" spans="1:26" ht="18.75">
      <c r="A340" s="1032"/>
      <c r="B340" s="827"/>
      <c r="C340" s="1030"/>
      <c r="D340" s="957"/>
      <c r="E340" s="956" t="s">
        <v>152</v>
      </c>
      <c r="F340" s="827"/>
      <c r="G340" s="829"/>
      <c r="H340" s="277" t="s">
        <v>153</v>
      </c>
      <c r="I340" s="830">
        <f ca="1">IFERROR(__xludf.DUMMYFUNCTION("IMPORTRANGE(""https://docs.google.com/spreadsheets/d/1QqKyyYR6Q21VydFLVH3TRQUabQu_ym0Zz7PgGX0-kHA/edit?usp=sharing"",""แผน!EH20"")"),5)</f>
        <v>5</v>
      </c>
      <c r="J340" s="830">
        <f ca="1">IFERROR(__xludf.DUMMYFUNCTION("IMPORTRANGE(""https://docs.google.com/spreadsheets/d/1kVcqe37tkHyjCSG3S0O1AXqVkqjo8mSIZil3BcpIysc/edit?usp=sharing"",""ศูนย์!E20"")"),5)</f>
        <v>5</v>
      </c>
      <c r="K340" s="831">
        <f ca="1">IF(I340&gt;0,J340*100/I340,0)</f>
        <v>100</v>
      </c>
      <c r="L340" s="831"/>
      <c r="M340" s="831"/>
      <c r="N340" s="831"/>
      <c r="O340" s="831"/>
      <c r="P340" s="831"/>
    </row>
    <row r="341" spans="1:26" ht="18.75">
      <c r="A341" s="1032"/>
      <c r="B341" s="827"/>
      <c r="C341" s="1030"/>
      <c r="D341" s="957"/>
      <c r="E341" s="956" t="s">
        <v>154</v>
      </c>
      <c r="F341" s="827"/>
      <c r="G341" s="829"/>
      <c r="H341" s="277" t="s">
        <v>35</v>
      </c>
      <c r="I341" s="830"/>
      <c r="J341" s="830">
        <f ca="1">IFERROR(__xludf.DUMMYFUNCTION("IMPORTRANGE(""https://docs.google.com/spreadsheets/d/1kVcqe37tkHyjCSG3S0O1AXqVkqjo8mSIZil3BcpIysc/edit?usp=sharing"",""ศูนย์!F20"")"),253)</f>
        <v>253</v>
      </c>
      <c r="K341" s="831"/>
      <c r="L341" s="831"/>
      <c r="M341" s="831"/>
      <c r="N341" s="831"/>
      <c r="O341" s="831"/>
      <c r="P341" s="831"/>
    </row>
    <row r="342" spans="1:26" ht="18.75">
      <c r="A342" s="1032"/>
      <c r="B342" s="827"/>
      <c r="C342" s="1030"/>
      <c r="D342" s="956" t="s">
        <v>155</v>
      </c>
      <c r="E342" s="957"/>
      <c r="F342" s="957"/>
      <c r="G342" s="829"/>
      <c r="H342" s="277" t="s">
        <v>35</v>
      </c>
      <c r="I342" s="830"/>
      <c r="J342" s="830">
        <f ca="1">IFERROR(__xludf.DUMMYFUNCTION("IMPORTRANGE(""https://docs.google.com/spreadsheets/d/1kVcqe37tkHyjCSG3S0O1AXqVkqjo8mSIZil3BcpIysc/edit?usp=sharing"",""ศูนย์!G20"")"),0)</f>
        <v>0</v>
      </c>
      <c r="K342" s="831"/>
      <c r="L342" s="831"/>
      <c r="M342" s="831"/>
      <c r="N342" s="831"/>
      <c r="O342" s="831"/>
      <c r="P342" s="831"/>
    </row>
    <row r="343" spans="1:26" ht="18.75">
      <c r="A343" s="1032"/>
      <c r="B343" s="827"/>
      <c r="C343" s="1030"/>
      <c r="D343" s="956" t="s">
        <v>156</v>
      </c>
      <c r="E343" s="957"/>
      <c r="F343" s="957"/>
      <c r="G343" s="829"/>
      <c r="H343" s="277" t="s">
        <v>35</v>
      </c>
      <c r="I343" s="830"/>
      <c r="J343" s="830">
        <f ca="1">IFERROR(__xludf.DUMMYFUNCTION("IMPORTRANGE(""https://docs.google.com/spreadsheets/d/1kVcqe37tkHyjCSG3S0O1AXqVkqjo8mSIZil3BcpIysc/edit?usp=sharing"",""ศูนย์!H20"")"),0)</f>
        <v>0</v>
      </c>
      <c r="K343" s="831"/>
      <c r="L343" s="831"/>
      <c r="M343" s="831"/>
      <c r="N343" s="831"/>
      <c r="O343" s="831"/>
      <c r="P343" s="831"/>
    </row>
    <row r="344" spans="1:26" ht="19.5">
      <c r="A344" s="1133"/>
      <c r="B344" s="1134" t="s">
        <v>157</v>
      </c>
      <c r="C344" s="1143"/>
      <c r="D344" s="1135"/>
      <c r="E344" s="1135"/>
      <c r="F344" s="1135"/>
      <c r="G344" s="1136"/>
      <c r="H344" s="412"/>
      <c r="I344" s="1144"/>
      <c r="J344" s="1144"/>
      <c r="K344" s="1139"/>
      <c r="L344" s="1139"/>
      <c r="M344" s="1139"/>
      <c r="N344" s="1139"/>
      <c r="O344" s="1139"/>
      <c r="P344" s="1139"/>
    </row>
    <row r="345" spans="1:26" ht="19.5">
      <c r="A345" s="932"/>
      <c r="B345" s="933"/>
      <c r="C345" s="934" t="s">
        <v>16</v>
      </c>
      <c r="D345" s="935" t="s">
        <v>17</v>
      </c>
      <c r="E345" s="933"/>
      <c r="F345" s="933"/>
      <c r="G345" s="936"/>
      <c r="H345" s="152" t="s">
        <v>12</v>
      </c>
      <c r="I345" s="937"/>
      <c r="J345" s="937"/>
      <c r="K345" s="938"/>
      <c r="L345" s="939">
        <f t="shared" ref="L345:N345" ca="1" si="155">L346+L347</f>
        <v>590000</v>
      </c>
      <c r="M345" s="939">
        <f t="shared" ca="1" si="155"/>
        <v>471200</v>
      </c>
      <c r="N345" s="939">
        <f t="shared" ca="1" si="155"/>
        <v>299794.07</v>
      </c>
      <c r="O345" s="939">
        <f t="shared" ref="O345:O353" ca="1" si="156">IF(L345&gt;0,N345*100/L345,0)</f>
        <v>50.812554237288133</v>
      </c>
      <c r="P345" s="939">
        <f t="shared" ref="P345:P353" ca="1" si="157">IF(M345&gt;0,N345*100/M345,0)</f>
        <v>63.623529286926995</v>
      </c>
      <c r="Q345" s="818"/>
      <c r="R345" s="818"/>
      <c r="S345" s="818"/>
      <c r="T345" s="818"/>
      <c r="U345" s="818"/>
      <c r="V345" s="818"/>
      <c r="W345" s="818"/>
      <c r="X345" s="818"/>
      <c r="Y345" s="818"/>
      <c r="Z345" s="818"/>
    </row>
    <row r="346" spans="1:26" ht="18.75" hidden="1">
      <c r="A346" s="940"/>
      <c r="B346" s="833"/>
      <c r="C346" s="833"/>
      <c r="D346" s="833"/>
      <c r="E346" s="834" t="s">
        <v>18</v>
      </c>
      <c r="F346" s="833"/>
      <c r="G346" s="941"/>
      <c r="H346" s="158" t="s">
        <v>12</v>
      </c>
      <c r="I346" s="836"/>
      <c r="J346" s="836"/>
      <c r="K346" s="837"/>
      <c r="L346" s="837">
        <f t="shared" ref="L346:N347" si="158">L349+L352</f>
        <v>0</v>
      </c>
      <c r="M346" s="837">
        <f t="shared" si="158"/>
        <v>0</v>
      </c>
      <c r="N346" s="837">
        <f t="shared" si="158"/>
        <v>0</v>
      </c>
      <c r="O346" s="837">
        <f t="shared" si="156"/>
        <v>0</v>
      </c>
      <c r="P346" s="837">
        <f t="shared" si="157"/>
        <v>0</v>
      </c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</row>
    <row r="347" spans="1:26" ht="18.75" hidden="1">
      <c r="A347" s="940"/>
      <c r="B347" s="833"/>
      <c r="C347" s="833"/>
      <c r="D347" s="833"/>
      <c r="E347" s="834" t="s">
        <v>19</v>
      </c>
      <c r="F347" s="833"/>
      <c r="G347" s="941"/>
      <c r="H347" s="158" t="s">
        <v>12</v>
      </c>
      <c r="I347" s="836"/>
      <c r="J347" s="836"/>
      <c r="K347" s="837"/>
      <c r="L347" s="837">
        <f t="shared" ca="1" si="158"/>
        <v>590000</v>
      </c>
      <c r="M347" s="837">
        <f t="shared" ca="1" si="158"/>
        <v>471200</v>
      </c>
      <c r="N347" s="837">
        <f t="shared" ca="1" si="158"/>
        <v>299794.07</v>
      </c>
      <c r="O347" s="837">
        <f t="shared" ca="1" si="156"/>
        <v>50.812554237288133</v>
      </c>
      <c r="P347" s="837">
        <f t="shared" ca="1" si="157"/>
        <v>63.623529286926995</v>
      </c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</row>
    <row r="348" spans="1:26" ht="18.75">
      <c r="A348" s="942"/>
      <c r="B348" s="827"/>
      <c r="C348" s="943"/>
      <c r="D348" s="828" t="s">
        <v>20</v>
      </c>
      <c r="E348" s="827"/>
      <c r="F348" s="827"/>
      <c r="G348" s="829"/>
      <c r="H348" s="778" t="s">
        <v>12</v>
      </c>
      <c r="I348" s="944"/>
      <c r="J348" s="944"/>
      <c r="K348" s="945"/>
      <c r="L348" s="831">
        <f t="shared" ref="L348:N348" ca="1" si="159">L349+L350</f>
        <v>492200</v>
      </c>
      <c r="M348" s="831">
        <f t="shared" ca="1" si="159"/>
        <v>373400</v>
      </c>
      <c r="N348" s="831">
        <f t="shared" ca="1" si="159"/>
        <v>201994.07</v>
      </c>
      <c r="O348" s="831">
        <f t="shared" ca="1" si="156"/>
        <v>41.039022754977651</v>
      </c>
      <c r="P348" s="831">
        <f t="shared" ca="1" si="157"/>
        <v>54.095894483128014</v>
      </c>
      <c r="Q348" s="818"/>
      <c r="R348" s="818"/>
      <c r="S348" s="818"/>
      <c r="T348" s="818"/>
      <c r="U348" s="818"/>
      <c r="V348" s="818"/>
      <c r="W348" s="818"/>
      <c r="X348" s="818"/>
      <c r="Y348" s="818"/>
      <c r="Z348" s="818"/>
    </row>
    <row r="349" spans="1:26" ht="19.5" hidden="1">
      <c r="A349" s="940"/>
      <c r="B349" s="833"/>
      <c r="C349" s="946"/>
      <c r="D349" s="833"/>
      <c r="E349" s="834" t="s">
        <v>36</v>
      </c>
      <c r="F349" s="833"/>
      <c r="G349" s="941"/>
      <c r="H349" s="165" t="s">
        <v>12</v>
      </c>
      <c r="I349" s="947"/>
      <c r="J349" s="947"/>
      <c r="K349" s="948"/>
      <c r="L349" s="837">
        <v>0</v>
      </c>
      <c r="M349" s="837">
        <v>0</v>
      </c>
      <c r="N349" s="837">
        <v>0</v>
      </c>
      <c r="O349" s="837">
        <f t="shared" si="156"/>
        <v>0</v>
      </c>
      <c r="P349" s="837">
        <f t="shared" si="157"/>
        <v>0</v>
      </c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</row>
    <row r="350" spans="1:26" ht="19.5" hidden="1">
      <c r="A350" s="940"/>
      <c r="B350" s="833"/>
      <c r="C350" s="946"/>
      <c r="D350" s="833"/>
      <c r="E350" s="834" t="s">
        <v>37</v>
      </c>
      <c r="F350" s="833"/>
      <c r="G350" s="941"/>
      <c r="H350" s="165" t="s">
        <v>12</v>
      </c>
      <c r="I350" s="947"/>
      <c r="J350" s="947"/>
      <c r="K350" s="948"/>
      <c r="L350" s="837">
        <f ca="1">IFERROR(__xludf.DUMMYFUNCTION("IMPORTRANGE(""https://docs.google.com/spreadsheets/d/1MeEWN-I1oV_STSDYn1IFDPWt_1FKiwhDph83XaGc0o0/edit?usp=sharing"",""งบพรบ!EW20"")"),492200)</f>
        <v>492200</v>
      </c>
      <c r="M350" s="837">
        <f ca="1">IFERROR(__xludf.DUMMYFUNCTION("IMPORTRANGE(""https://docs.google.com/spreadsheets/d/1MeEWN-I1oV_STSDYn1IFDPWt_1FKiwhDph83XaGc0o0/edit?usp=sharing"",""งบพรบ!FB20"")"),373400)</f>
        <v>373400</v>
      </c>
      <c r="N350" s="837">
        <f ca="1">IFERROR(__xludf.DUMMYFUNCTION("IMPORTRANGE(""https://docs.google.com/spreadsheets/d/1MeEWN-I1oV_STSDYn1IFDPWt_1FKiwhDph83XaGc0o0/edit?usp=sharing"",""งบพรบ!FD20"")"),201994.07)</f>
        <v>201994.07</v>
      </c>
      <c r="O350" s="837">
        <f t="shared" ca="1" si="156"/>
        <v>41.039022754977651</v>
      </c>
      <c r="P350" s="837">
        <f t="shared" ca="1" si="157"/>
        <v>54.095894483128014</v>
      </c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</row>
    <row r="351" spans="1:26" ht="18.75">
      <c r="A351" s="942"/>
      <c r="B351" s="827"/>
      <c r="C351" s="943"/>
      <c r="D351" s="828" t="s">
        <v>21</v>
      </c>
      <c r="E351" s="827"/>
      <c r="F351" s="827"/>
      <c r="G351" s="829"/>
      <c r="H351" s="168" t="s">
        <v>12</v>
      </c>
      <c r="I351" s="944"/>
      <c r="J351" s="944"/>
      <c r="K351" s="945"/>
      <c r="L351" s="831">
        <f t="shared" ref="L351:N351" ca="1" si="160">L352+L353</f>
        <v>97800</v>
      </c>
      <c r="M351" s="831">
        <f t="shared" ca="1" si="160"/>
        <v>97800</v>
      </c>
      <c r="N351" s="831">
        <f t="shared" ca="1" si="160"/>
        <v>97800</v>
      </c>
      <c r="O351" s="831">
        <f t="shared" ca="1" si="156"/>
        <v>100</v>
      </c>
      <c r="P351" s="831">
        <f t="shared" ca="1" si="157"/>
        <v>100</v>
      </c>
      <c r="Q351" s="818"/>
      <c r="R351" s="818"/>
      <c r="S351" s="818"/>
      <c r="T351" s="818"/>
      <c r="U351" s="818"/>
      <c r="V351" s="818"/>
      <c r="W351" s="818"/>
      <c r="X351" s="818"/>
      <c r="Y351" s="818"/>
      <c r="Z351" s="818"/>
    </row>
    <row r="352" spans="1:26" ht="19.5" hidden="1">
      <c r="A352" s="940"/>
      <c r="B352" s="833"/>
      <c r="C352" s="946"/>
      <c r="D352" s="833"/>
      <c r="E352" s="834" t="s">
        <v>18</v>
      </c>
      <c r="F352" s="833"/>
      <c r="G352" s="941"/>
      <c r="H352" s="165" t="s">
        <v>12</v>
      </c>
      <c r="I352" s="947"/>
      <c r="J352" s="947"/>
      <c r="K352" s="948"/>
      <c r="L352" s="837">
        <v>0</v>
      </c>
      <c r="M352" s="837">
        <v>0</v>
      </c>
      <c r="N352" s="837">
        <v>0</v>
      </c>
      <c r="O352" s="837">
        <f t="shared" si="156"/>
        <v>0</v>
      </c>
      <c r="P352" s="837">
        <f t="shared" si="157"/>
        <v>0</v>
      </c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</row>
    <row r="353" spans="1:26" ht="19.5" hidden="1">
      <c r="A353" s="940"/>
      <c r="B353" s="833"/>
      <c r="C353" s="946"/>
      <c r="D353" s="833"/>
      <c r="E353" s="834" t="s">
        <v>19</v>
      </c>
      <c r="F353" s="833"/>
      <c r="G353" s="941"/>
      <c r="H353" s="169" t="s">
        <v>12</v>
      </c>
      <c r="I353" s="947"/>
      <c r="J353" s="947"/>
      <c r="K353" s="948"/>
      <c r="L353" s="837">
        <f ca="1">IFERROR(__xludf.DUMMYFUNCTION("IMPORTRANGE(""https://docs.google.com/spreadsheets/d/1MeEWN-I1oV_STSDYn1IFDPWt_1FKiwhDph83XaGc0o0/edit?usp=sharing"",""งบพรบ!EZ20"")"),97800)</f>
        <v>97800</v>
      </c>
      <c r="M353" s="837">
        <f ca="1">IFERROR(__xludf.DUMMYFUNCTION("IMPORTRANGE(""https://docs.google.com/spreadsheets/d/1MeEWN-I1oV_STSDYn1IFDPWt_1FKiwhDph83XaGc0o0/edit?usp=sharing"",""งบพรบ!FC20"")"),97800)</f>
        <v>97800</v>
      </c>
      <c r="N353" s="837">
        <f ca="1">IFERROR(__xludf.DUMMYFUNCTION("IMPORTRANGE(""https://docs.google.com/spreadsheets/d/1MeEWN-I1oV_STSDYn1IFDPWt_1FKiwhDph83XaGc0o0/edit?usp=sharing"",""งบพรบ!FE20"")"),97800)</f>
        <v>97800</v>
      </c>
      <c r="O353" s="837">
        <f t="shared" ca="1" si="156"/>
        <v>100</v>
      </c>
      <c r="P353" s="837">
        <f t="shared" ca="1" si="157"/>
        <v>100</v>
      </c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</row>
    <row r="354" spans="1:26" ht="19.5">
      <c r="A354" s="1011"/>
      <c r="B354" s="1018"/>
      <c r="C354" s="1012"/>
      <c r="D354" s="1145" t="s">
        <v>158</v>
      </c>
      <c r="E354" s="1012"/>
      <c r="F354" s="1012"/>
      <c r="G354" s="1014"/>
      <c r="H354" s="1146"/>
      <c r="I354" s="1015"/>
      <c r="J354" s="1015"/>
      <c r="K354" s="1016"/>
      <c r="L354" s="1016"/>
      <c r="M354" s="1016"/>
      <c r="N354" s="1016"/>
      <c r="O354" s="1016"/>
      <c r="P354" s="1016"/>
    </row>
    <row r="355" spans="1:26" ht="19.5">
      <c r="A355" s="1147"/>
      <c r="B355" s="1148"/>
      <c r="C355" s="1149"/>
      <c r="D355" s="1150" t="s">
        <v>159</v>
      </c>
      <c r="E355" s="1151"/>
      <c r="F355" s="1151"/>
      <c r="G355" s="1152"/>
      <c r="H355" s="431" t="s">
        <v>35</v>
      </c>
      <c r="I355" s="1153">
        <f ca="1">IFERROR(__xludf.DUMMYFUNCTION("IMPORTRANGE(""https://docs.google.com/spreadsheets/d/1QqKyyYR6Q21VydFLVH3TRQUabQu_ym0Zz7PgGX0-kHA/edit?usp=sharing"",""แผน!EP20"")"),240)</f>
        <v>240</v>
      </c>
      <c r="J355" s="1153">
        <f ca="1">J362</f>
        <v>88</v>
      </c>
      <c r="K355" s="1154">
        <f ca="1">IF(I355&gt;0,J355*100/I355,0)</f>
        <v>36.666666666666664</v>
      </c>
      <c r="L355" s="1155"/>
      <c r="M355" s="1155"/>
      <c r="N355" s="1155"/>
      <c r="O355" s="1155"/>
      <c r="P355" s="1155"/>
    </row>
    <row r="356" spans="1:26" ht="19.5">
      <c r="A356" s="1147"/>
      <c r="B356" s="1148"/>
      <c r="C356" s="1149"/>
      <c r="D356" s="1156" t="s">
        <v>160</v>
      </c>
      <c r="E356" s="1151"/>
      <c r="F356" s="1151"/>
      <c r="G356" s="1152"/>
      <c r="H356" s="1157"/>
      <c r="I356" s="1158"/>
      <c r="J356" s="1158"/>
      <c r="K356" s="1155"/>
      <c r="L356" s="1155"/>
      <c r="M356" s="1155"/>
      <c r="N356" s="1155"/>
      <c r="O356" s="1155"/>
      <c r="P356" s="1155"/>
    </row>
    <row r="357" spans="1:26" ht="19.5">
      <c r="A357" s="949"/>
      <c r="B357" s="950"/>
      <c r="C357" s="946" t="s">
        <v>16</v>
      </c>
      <c r="D357" s="951" t="s">
        <v>38</v>
      </c>
      <c r="E357" s="952"/>
      <c r="F357" s="952"/>
      <c r="G357" s="953"/>
      <c r="H357" s="954"/>
      <c r="I357" s="830"/>
      <c r="J357" s="830"/>
      <c r="K357" s="831"/>
      <c r="L357" s="945"/>
      <c r="M357" s="945"/>
      <c r="N357" s="945"/>
      <c r="O357" s="945"/>
      <c r="P357" s="945"/>
    </row>
    <row r="358" spans="1:26" ht="18.75">
      <c r="A358" s="949"/>
      <c r="B358" s="957"/>
      <c r="C358" s="950"/>
      <c r="D358" s="957"/>
      <c r="E358" s="955" t="s">
        <v>161</v>
      </c>
      <c r="F358" s="957"/>
      <c r="G358" s="958"/>
      <c r="H358" s="777" t="s">
        <v>35</v>
      </c>
      <c r="I358" s="830">
        <v>0</v>
      </c>
      <c r="J358" s="830">
        <f ca="1">IFERROR(__xludf.DUMMYFUNCTION("IMPORTRANGE(""https://docs.google.com/spreadsheets/d/1XWAQStnk-4SwqDmLtmXYiTMKHgktTP8We1SCoS47DrQ/edit?usp=sharing"",""จัดที่ดิน!W20"")"),125)</f>
        <v>125</v>
      </c>
      <c r="K358" s="831">
        <f t="shared" ref="K358:K365" si="161">IF(I358&gt;0,J358*100/I358,0)</f>
        <v>0</v>
      </c>
      <c r="L358" s="945"/>
      <c r="M358" s="945"/>
      <c r="N358" s="945"/>
      <c r="O358" s="945"/>
      <c r="P358" s="945"/>
    </row>
    <row r="359" spans="1:26" ht="18.75">
      <c r="A359" s="949"/>
      <c r="B359" s="957"/>
      <c r="C359" s="950"/>
      <c r="D359" s="957"/>
      <c r="E359" s="957"/>
      <c r="F359" s="957"/>
      <c r="G359" s="958"/>
      <c r="H359" s="777" t="s">
        <v>46</v>
      </c>
      <c r="I359" s="830">
        <f ca="1">IFERROR(__xludf.DUMMYFUNCTION("IMPORTRANGE(""https://docs.google.com/spreadsheets/d/1QqKyyYR6Q21VydFLVH3TRQUabQu_ym0Zz7PgGX0-kHA/edit?usp=sharing"",""แผน!EO20"")"),2000)</f>
        <v>2000</v>
      </c>
      <c r="J359" s="830">
        <f ca="1">IFERROR(__xludf.DUMMYFUNCTION("IMPORTRANGE(""https://docs.google.com/spreadsheets/d/1XWAQStnk-4SwqDmLtmXYiTMKHgktTP8We1SCoS47DrQ/edit?usp=sharing"",""จัดที่ดิน!X20"")"),700.46)</f>
        <v>700.46</v>
      </c>
      <c r="K359" s="831">
        <f t="shared" ca="1" si="161"/>
        <v>35.023000000000003</v>
      </c>
      <c r="L359" s="945"/>
      <c r="M359" s="945"/>
      <c r="N359" s="945"/>
      <c r="O359" s="945"/>
      <c r="P359" s="945"/>
    </row>
    <row r="360" spans="1:26" ht="18.75">
      <c r="A360" s="949"/>
      <c r="B360" s="957"/>
      <c r="C360" s="950"/>
      <c r="D360" s="957"/>
      <c r="E360" s="955" t="s">
        <v>162</v>
      </c>
      <c r="F360" s="957"/>
      <c r="G360" s="958"/>
      <c r="H360" s="730" t="s">
        <v>35</v>
      </c>
      <c r="I360" s="830">
        <f ca="1">IFERROR(__xludf.DUMMYFUNCTION("IMPORTRANGE(""https://docs.google.com/spreadsheets/d/1QqKyyYR6Q21VydFLVH3TRQUabQu_ym0Zz7PgGX0-kHA/edit?usp=sharing"",""แผน!EP20"")"),240)</f>
        <v>240</v>
      </c>
      <c r="J360" s="830">
        <f ca="1">IFERROR(__xludf.DUMMYFUNCTION("IMPORTRANGE(""https://docs.google.com/spreadsheets/d/1XWAQStnk-4SwqDmLtmXYiTMKHgktTP8We1SCoS47DrQ/edit?usp=sharing"",""จัดที่ดิน!Y20"")"),69)</f>
        <v>69</v>
      </c>
      <c r="K360" s="831">
        <f t="shared" ca="1" si="161"/>
        <v>28.75</v>
      </c>
      <c r="L360" s="945"/>
      <c r="M360" s="945"/>
      <c r="N360" s="945"/>
      <c r="O360" s="945"/>
      <c r="P360" s="945"/>
    </row>
    <row r="361" spans="1:26" ht="18.75">
      <c r="A361" s="949"/>
      <c r="B361" s="957"/>
      <c r="C361" s="950"/>
      <c r="D361" s="957"/>
      <c r="E361" s="957"/>
      <c r="F361" s="957"/>
      <c r="G361" s="958"/>
      <c r="H361" s="730" t="s">
        <v>46</v>
      </c>
      <c r="I361" s="830">
        <v>0</v>
      </c>
      <c r="J361" s="830">
        <f ca="1">IFERROR(__xludf.DUMMYFUNCTION("IMPORTRANGE(""https://docs.google.com/spreadsheets/d/1XWAQStnk-4SwqDmLtmXYiTMKHgktTP8We1SCoS47DrQ/edit?usp=sharing"",""จัดที่ดิน!Z20"")"),292.36)</f>
        <v>292.36</v>
      </c>
      <c r="K361" s="831">
        <f t="shared" si="161"/>
        <v>0</v>
      </c>
      <c r="L361" s="945"/>
      <c r="M361" s="945"/>
      <c r="N361" s="945"/>
      <c r="O361" s="945"/>
      <c r="P361" s="945"/>
    </row>
    <row r="362" spans="1:26" ht="18.75">
      <c r="A362" s="949"/>
      <c r="B362" s="957"/>
      <c r="C362" s="950"/>
      <c r="D362" s="957"/>
      <c r="E362" s="955" t="s">
        <v>163</v>
      </c>
      <c r="F362" s="957"/>
      <c r="G362" s="958"/>
      <c r="H362" s="730" t="s">
        <v>35</v>
      </c>
      <c r="I362" s="830">
        <f ca="1">IFERROR(__xludf.DUMMYFUNCTION("IMPORTRANGE(""https://docs.google.com/spreadsheets/d/1QqKyyYR6Q21VydFLVH3TRQUabQu_ym0Zz7PgGX0-kHA/edit?usp=sharing"",""แผน!EP20"")"),240)</f>
        <v>240</v>
      </c>
      <c r="J362" s="830">
        <f ca="1">IFERROR(__xludf.DUMMYFUNCTION("IMPORTRANGE(""https://docs.google.com/spreadsheets/d/1XWAQStnk-4SwqDmLtmXYiTMKHgktTP8We1SCoS47DrQ/edit?usp=sharing"",""จัดที่ดิน!AA20"")"),88)</f>
        <v>88</v>
      </c>
      <c r="K362" s="831">
        <f t="shared" ca="1" si="161"/>
        <v>36.666666666666664</v>
      </c>
      <c r="L362" s="945"/>
      <c r="M362" s="945"/>
      <c r="N362" s="945"/>
      <c r="O362" s="945"/>
      <c r="P362" s="945"/>
    </row>
    <row r="363" spans="1:26" ht="18.75">
      <c r="A363" s="1159" t="s">
        <v>164</v>
      </c>
      <c r="B363" s="957"/>
      <c r="C363" s="950"/>
      <c r="D363" s="957"/>
      <c r="E363" s="956"/>
      <c r="F363" s="957"/>
      <c r="G363" s="958"/>
      <c r="H363" s="730" t="s">
        <v>46</v>
      </c>
      <c r="I363" s="830">
        <v>0</v>
      </c>
      <c r="J363" s="830">
        <f ca="1">IFERROR(__xludf.DUMMYFUNCTION("IMPORTRANGE(""https://docs.google.com/spreadsheets/d/1XWAQStnk-4SwqDmLtmXYiTMKHgktTP8We1SCoS47DrQ/edit?usp=sharing"",""จัดที่ดิน!AB20"")"),422.89)</f>
        <v>422.89</v>
      </c>
      <c r="K363" s="831">
        <f t="shared" si="161"/>
        <v>0</v>
      </c>
      <c r="L363" s="945"/>
      <c r="M363" s="945"/>
      <c r="N363" s="945"/>
      <c r="O363" s="945"/>
      <c r="P363" s="945"/>
    </row>
    <row r="364" spans="1:26" ht="19.5">
      <c r="A364" s="1160"/>
      <c r="B364" s="1161"/>
      <c r="C364" s="1162"/>
      <c r="D364" s="1163" t="s">
        <v>165</v>
      </c>
      <c r="E364" s="1164"/>
      <c r="F364" s="1164"/>
      <c r="G364" s="1165"/>
      <c r="H364" s="446" t="s">
        <v>35</v>
      </c>
      <c r="I364" s="1166">
        <f t="shared" ref="I364:J364" ca="1" si="162">I365+I374</f>
        <v>440</v>
      </c>
      <c r="J364" s="1166">
        <f t="shared" ca="1" si="162"/>
        <v>155</v>
      </c>
      <c r="K364" s="1167">
        <f t="shared" ca="1" si="161"/>
        <v>35.227272727272727</v>
      </c>
      <c r="L364" s="1168"/>
      <c r="M364" s="1168"/>
      <c r="N364" s="1168"/>
      <c r="O364" s="1168"/>
      <c r="P364" s="1168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69"/>
      <c r="B365" s="1170"/>
      <c r="C365" s="1171"/>
      <c r="D365" s="1171" t="s">
        <v>166</v>
      </c>
      <c r="E365" s="1172"/>
      <c r="F365" s="1172"/>
      <c r="G365" s="1173"/>
      <c r="H365" s="457" t="s">
        <v>35</v>
      </c>
      <c r="I365" s="1174">
        <f ca="1">IFERROR(__xludf.DUMMYFUNCTION("IMPORTRANGE(""https://docs.google.com/spreadsheets/d/1QqKyyYR6Q21VydFLVH3TRQUabQu_ym0Zz7PgGX0-kHA/edit?usp=sharing"",""แผน!EJ20"")"),100)</f>
        <v>100</v>
      </c>
      <c r="J365" s="1174">
        <f ca="1">J372</f>
        <v>0</v>
      </c>
      <c r="K365" s="1175">
        <f t="shared" ca="1" si="161"/>
        <v>0</v>
      </c>
      <c r="L365" s="1176"/>
      <c r="M365" s="1176"/>
      <c r="N365" s="1176"/>
      <c r="O365" s="1176"/>
      <c r="P365" s="1176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69"/>
      <c r="B366" s="1170"/>
      <c r="C366" s="1171"/>
      <c r="D366" s="1177" t="s">
        <v>167</v>
      </c>
      <c r="E366" s="1172"/>
      <c r="F366" s="1172"/>
      <c r="G366" s="1173"/>
      <c r="H366" s="1178"/>
      <c r="I366" s="1179"/>
      <c r="J366" s="1179"/>
      <c r="K366" s="1176"/>
      <c r="L366" s="1176"/>
      <c r="M366" s="1176"/>
      <c r="N366" s="1176"/>
      <c r="O366" s="1176"/>
      <c r="P366" s="1176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49"/>
      <c r="B367" s="950"/>
      <c r="C367" s="946" t="s">
        <v>16</v>
      </c>
      <c r="D367" s="951" t="s">
        <v>38</v>
      </c>
      <c r="E367" s="952"/>
      <c r="F367" s="952"/>
      <c r="G367" s="953"/>
      <c r="H367" s="954"/>
      <c r="I367" s="830"/>
      <c r="J367" s="830"/>
      <c r="K367" s="831"/>
      <c r="L367" s="945"/>
      <c r="M367" s="945"/>
      <c r="N367" s="945"/>
      <c r="O367" s="945"/>
      <c r="P367" s="945"/>
    </row>
    <row r="368" spans="1:26" ht="18.75">
      <c r="A368" s="949"/>
      <c r="B368" s="957"/>
      <c r="C368" s="950"/>
      <c r="D368" s="957"/>
      <c r="E368" s="955" t="s">
        <v>161</v>
      </c>
      <c r="F368" s="957"/>
      <c r="G368" s="958"/>
      <c r="H368" s="777" t="s">
        <v>35</v>
      </c>
      <c r="I368" s="830">
        <v>0</v>
      </c>
      <c r="J368" s="830">
        <f ca="1">IFERROR(__xludf.DUMMYFUNCTION("IMPORTRANGE(""https://docs.google.com/spreadsheets/d/1XWAQStnk-4SwqDmLtmXYiTMKHgktTP8We1SCoS47DrQ/edit?usp=sharing"",""จัดที่ดิน!E20"")"),36)</f>
        <v>36</v>
      </c>
      <c r="K368" s="831">
        <f t="shared" ref="K368:K374" si="163">IF(I368&gt;0,J368*100/I368,0)</f>
        <v>0</v>
      </c>
      <c r="L368" s="945"/>
      <c r="M368" s="945"/>
      <c r="N368" s="945"/>
      <c r="O368" s="945"/>
      <c r="P368" s="945"/>
    </row>
    <row r="369" spans="1:26" ht="18.75">
      <c r="A369" s="949"/>
      <c r="B369" s="957"/>
      <c r="C369" s="950"/>
      <c r="D369" s="957"/>
      <c r="E369" s="957"/>
      <c r="F369" s="957"/>
      <c r="G369" s="958"/>
      <c r="H369" s="777" t="s">
        <v>46</v>
      </c>
      <c r="I369" s="830">
        <f ca="1">IFERROR(__xludf.DUMMYFUNCTION("IMPORTRANGE(""https://docs.google.com/spreadsheets/d/1QqKyyYR6Q21VydFLVH3TRQUabQu_ym0Zz7PgGX0-kHA/edit?usp=sharing"",""แผน!EI20"")"),1000)</f>
        <v>1000</v>
      </c>
      <c r="J369" s="830">
        <f ca="1">IFERROR(__xludf.DUMMYFUNCTION("IMPORTRANGE(""https://docs.google.com/spreadsheets/d/1XWAQStnk-4SwqDmLtmXYiTMKHgktTP8We1SCoS47DrQ/edit?usp=sharing"",""จัดที่ดิน!F20"")"),277.32)</f>
        <v>277.32</v>
      </c>
      <c r="K369" s="831">
        <f t="shared" ca="1" si="163"/>
        <v>27.731999999999999</v>
      </c>
      <c r="L369" s="945"/>
      <c r="M369" s="945"/>
      <c r="N369" s="945"/>
      <c r="O369" s="945"/>
      <c r="P369" s="945"/>
    </row>
    <row r="370" spans="1:26" ht="18.75">
      <c r="A370" s="949"/>
      <c r="B370" s="957"/>
      <c r="C370" s="950"/>
      <c r="D370" s="957"/>
      <c r="E370" s="955" t="s">
        <v>162</v>
      </c>
      <c r="F370" s="957"/>
      <c r="G370" s="958"/>
      <c r="H370" s="730" t="s">
        <v>35</v>
      </c>
      <c r="I370" s="830">
        <f ca="1">IFERROR(__xludf.DUMMYFUNCTION("IMPORTRANGE(""https://docs.google.com/spreadsheets/d/1QqKyyYR6Q21VydFLVH3TRQUabQu_ym0Zz7PgGX0-kHA/edit?usp=sharing"",""แผน!EJ20"")"),100)</f>
        <v>100</v>
      </c>
      <c r="J370" s="830">
        <f ca="1">IFERROR(__xludf.DUMMYFUNCTION("IMPORTRANGE(""https://docs.google.com/spreadsheets/d/1XWAQStnk-4SwqDmLtmXYiTMKHgktTP8We1SCoS47DrQ/edit?usp=sharing"",""จัดที่ดิน!G20"")"),3)</f>
        <v>3</v>
      </c>
      <c r="K370" s="831">
        <f t="shared" ca="1" si="163"/>
        <v>3</v>
      </c>
      <c r="L370" s="945"/>
      <c r="M370" s="945"/>
      <c r="N370" s="945"/>
      <c r="O370" s="945"/>
      <c r="P370" s="945"/>
    </row>
    <row r="371" spans="1:26" ht="18.75">
      <c r="A371" s="949"/>
      <c r="B371" s="957"/>
      <c r="C371" s="950"/>
      <c r="D371" s="957"/>
      <c r="E371" s="957"/>
      <c r="F371" s="957"/>
      <c r="G371" s="958"/>
      <c r="H371" s="730" t="s">
        <v>46</v>
      </c>
      <c r="I371" s="830">
        <v>0</v>
      </c>
      <c r="J371" s="830">
        <f ca="1">IFERROR(__xludf.DUMMYFUNCTION("IMPORTRANGE(""https://docs.google.com/spreadsheets/d/1XWAQStnk-4SwqDmLtmXYiTMKHgktTP8We1SCoS47DrQ/edit?usp=sharing"",""จัดที่ดิน!H20"")"),22.78)</f>
        <v>22.78</v>
      </c>
      <c r="K371" s="831">
        <f t="shared" si="163"/>
        <v>0</v>
      </c>
      <c r="L371" s="945"/>
      <c r="M371" s="945"/>
      <c r="N371" s="945"/>
      <c r="O371" s="945"/>
      <c r="P371" s="945"/>
    </row>
    <row r="372" spans="1:26" ht="18.75">
      <c r="A372" s="949"/>
      <c r="B372" s="957"/>
      <c r="C372" s="950"/>
      <c r="D372" s="957"/>
      <c r="E372" s="955" t="s">
        <v>163</v>
      </c>
      <c r="F372" s="957"/>
      <c r="G372" s="958"/>
      <c r="H372" s="730" t="s">
        <v>35</v>
      </c>
      <c r="I372" s="830">
        <f ca="1">IFERROR(__xludf.DUMMYFUNCTION("IMPORTRANGE(""https://docs.google.com/spreadsheets/d/1QqKyyYR6Q21VydFLVH3TRQUabQu_ym0Zz7PgGX0-kHA/edit?usp=sharing"",""แผน!EJ20"")"),100)</f>
        <v>100</v>
      </c>
      <c r="J372" s="830">
        <f ca="1">IFERROR(__xludf.DUMMYFUNCTION("IMPORTRANGE(""https://docs.google.com/spreadsheets/d/1XWAQStnk-4SwqDmLtmXYiTMKHgktTP8We1SCoS47DrQ/edit?usp=sharing"",""จัดที่ดิน!I20"")"),0)</f>
        <v>0</v>
      </c>
      <c r="K372" s="831">
        <f t="shared" ca="1" si="163"/>
        <v>0</v>
      </c>
      <c r="L372" s="945"/>
      <c r="M372" s="945"/>
      <c r="N372" s="945"/>
      <c r="O372" s="945"/>
      <c r="P372" s="945"/>
    </row>
    <row r="373" spans="1:26" ht="18.75">
      <c r="A373" s="1159" t="s">
        <v>164</v>
      </c>
      <c r="B373" s="957"/>
      <c r="C373" s="950"/>
      <c r="D373" s="957"/>
      <c r="E373" s="956"/>
      <c r="F373" s="957"/>
      <c r="G373" s="958"/>
      <c r="H373" s="730" t="s">
        <v>46</v>
      </c>
      <c r="I373" s="830">
        <v>0</v>
      </c>
      <c r="J373" s="830">
        <f ca="1">IFERROR(__xludf.DUMMYFUNCTION("IMPORTRANGE(""https://docs.google.com/spreadsheets/d/1XWAQStnk-4SwqDmLtmXYiTMKHgktTP8We1SCoS47DrQ/edit?usp=sharing"",""จัดที่ดิน!J20"")"),0)</f>
        <v>0</v>
      </c>
      <c r="K373" s="831">
        <f t="shared" si="163"/>
        <v>0</v>
      </c>
      <c r="L373" s="945"/>
      <c r="M373" s="945"/>
      <c r="N373" s="945"/>
      <c r="O373" s="945"/>
      <c r="P373" s="945"/>
    </row>
    <row r="374" spans="1:26" ht="19.5">
      <c r="A374" s="1169"/>
      <c r="B374" s="1170"/>
      <c r="C374" s="1171"/>
      <c r="D374" s="1171" t="s">
        <v>168</v>
      </c>
      <c r="E374" s="1172"/>
      <c r="F374" s="1172"/>
      <c r="G374" s="1173"/>
      <c r="H374" s="457" t="s">
        <v>35</v>
      </c>
      <c r="I374" s="1180">
        <f ca="1">IFERROR(__xludf.DUMMYFUNCTION("IMPORTRANGE(""https://docs.google.com/spreadsheets/d/1QqKyyYR6Q21VydFLVH3TRQUabQu_ym0Zz7PgGX0-kHA/edit?usp=sharing"",""แผน!EU20"")"),340)</f>
        <v>340</v>
      </c>
      <c r="J374" s="1174">
        <f ca="1">J381</f>
        <v>155</v>
      </c>
      <c r="K374" s="1175">
        <f t="shared" ca="1" si="163"/>
        <v>45.588235294117645</v>
      </c>
      <c r="L374" s="1176"/>
      <c r="M374" s="1176"/>
      <c r="N374" s="1176"/>
      <c r="O374" s="1176"/>
      <c r="P374" s="1176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69"/>
      <c r="B375" s="1170"/>
      <c r="C375" s="1171"/>
      <c r="D375" s="1177" t="s">
        <v>169</v>
      </c>
      <c r="E375" s="1172"/>
      <c r="F375" s="1172"/>
      <c r="G375" s="1173"/>
      <c r="H375" s="1178"/>
      <c r="I375" s="1179"/>
      <c r="J375" s="1179"/>
      <c r="K375" s="1176"/>
      <c r="L375" s="1176"/>
      <c r="M375" s="1176"/>
      <c r="N375" s="1176"/>
      <c r="O375" s="1176"/>
      <c r="P375" s="1176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49"/>
      <c r="B376" s="950"/>
      <c r="C376" s="946" t="s">
        <v>16</v>
      </c>
      <c r="D376" s="951" t="s">
        <v>38</v>
      </c>
      <c r="E376" s="952"/>
      <c r="F376" s="952"/>
      <c r="G376" s="953"/>
      <c r="H376" s="954"/>
      <c r="I376" s="830"/>
      <c r="J376" s="830"/>
      <c r="K376" s="831"/>
      <c r="L376" s="945"/>
      <c r="M376" s="945"/>
      <c r="N376" s="945"/>
      <c r="O376" s="945"/>
      <c r="P376" s="945"/>
    </row>
    <row r="377" spans="1:26" ht="18.75">
      <c r="A377" s="949"/>
      <c r="B377" s="957"/>
      <c r="C377" s="950"/>
      <c r="D377" s="957"/>
      <c r="E377" s="955" t="s">
        <v>161</v>
      </c>
      <c r="F377" s="957"/>
      <c r="G377" s="958"/>
      <c r="H377" s="777" t="s">
        <v>35</v>
      </c>
      <c r="I377" s="830">
        <v>0</v>
      </c>
      <c r="J377" s="830">
        <f ca="1">IFERROR(__xludf.DUMMYFUNCTION("IMPORTRANGE(""https://docs.google.com/spreadsheets/d/1XWAQStnk-4SwqDmLtmXYiTMKHgktTP8We1SCoS47DrQ/edit?usp=sharing"",""จัดที่ดิน!AH20"")"),89)</f>
        <v>89</v>
      </c>
      <c r="K377" s="831">
        <f t="shared" ref="K377:K382" si="164">IF(I377&gt;0,J377*100/I377,0)</f>
        <v>0</v>
      </c>
      <c r="L377" s="945"/>
      <c r="M377" s="945"/>
      <c r="N377" s="945"/>
      <c r="O377" s="945"/>
      <c r="P377" s="945"/>
    </row>
    <row r="378" spans="1:26" ht="18.75">
      <c r="A378" s="949"/>
      <c r="B378" s="957"/>
      <c r="C378" s="950"/>
      <c r="D378" s="957"/>
      <c r="E378" s="957"/>
      <c r="F378" s="957"/>
      <c r="G378" s="958"/>
      <c r="H378" s="777" t="s">
        <v>46</v>
      </c>
      <c r="I378" s="830">
        <f ca="1">IFERROR(__xludf.DUMMYFUNCTION("IMPORTRANGE(""https://docs.google.com/spreadsheets/d/1QqKyyYR6Q21VydFLVH3TRQUabQu_ym0Zz7PgGX0-kHA/edit?usp=sharing"",""แผน!ET20"")"),1000)</f>
        <v>1000</v>
      </c>
      <c r="J378" s="830">
        <f ca="1">IFERROR(__xludf.DUMMYFUNCTION("IMPORTRANGE(""https://docs.google.com/spreadsheets/d/1XWAQStnk-4SwqDmLtmXYiTMKHgktTP8We1SCoS47DrQ/edit?usp=sharing"",""จัดที่ดิน!AI20"")"),423.14)</f>
        <v>423.14</v>
      </c>
      <c r="K378" s="831">
        <f t="shared" ca="1" si="164"/>
        <v>42.314</v>
      </c>
      <c r="L378" s="945"/>
      <c r="M378" s="945"/>
      <c r="N378" s="945"/>
      <c r="O378" s="945"/>
      <c r="P378" s="945"/>
    </row>
    <row r="379" spans="1:26" ht="18.75">
      <c r="A379" s="949"/>
      <c r="B379" s="957"/>
      <c r="C379" s="950"/>
      <c r="D379" s="957"/>
      <c r="E379" s="955" t="s">
        <v>162</v>
      </c>
      <c r="F379" s="957"/>
      <c r="G379" s="958"/>
      <c r="H379" s="730" t="s">
        <v>35</v>
      </c>
      <c r="I379" s="830">
        <f ca="1">IFERROR(__xludf.DUMMYFUNCTION("IMPORTRANGE(""https://docs.google.com/spreadsheets/d/1QqKyyYR6Q21VydFLVH3TRQUabQu_ym0Zz7PgGX0-kHA/edit?usp=sharing"",""แผน!EU20"")"),340)</f>
        <v>340</v>
      </c>
      <c r="J379" s="830">
        <f ca="1">IFERROR(__xludf.DUMMYFUNCTION("IMPORTRANGE(""https://docs.google.com/spreadsheets/d/1XWAQStnk-4SwqDmLtmXYiTMKHgktTP8We1SCoS47DrQ/edit?usp=sharing"",""จัดที่ดิน!AJ20"")"),133)</f>
        <v>133</v>
      </c>
      <c r="K379" s="831">
        <f t="shared" ca="1" si="164"/>
        <v>39.117647058823529</v>
      </c>
      <c r="L379" s="945"/>
      <c r="M379" s="945"/>
      <c r="N379" s="945"/>
      <c r="O379" s="945"/>
      <c r="P379" s="945"/>
    </row>
    <row r="380" spans="1:26" ht="18.75">
      <c r="A380" s="949"/>
      <c r="B380" s="957"/>
      <c r="C380" s="950"/>
      <c r="D380" s="957"/>
      <c r="E380" s="957"/>
      <c r="F380" s="957"/>
      <c r="G380" s="958"/>
      <c r="H380" s="730" t="s">
        <v>46</v>
      </c>
      <c r="I380" s="830">
        <v>0</v>
      </c>
      <c r="J380" s="830">
        <f ca="1">IFERROR(__xludf.DUMMYFUNCTION("IMPORTRANGE(""https://docs.google.com/spreadsheets/d/1XWAQStnk-4SwqDmLtmXYiTMKHgktTP8We1SCoS47DrQ/edit?usp=sharing"",""จัดที่ดิน!AK20"")"),721.15)</f>
        <v>721.15</v>
      </c>
      <c r="K380" s="831">
        <f t="shared" si="164"/>
        <v>0</v>
      </c>
      <c r="L380" s="945"/>
      <c r="M380" s="945"/>
      <c r="N380" s="945"/>
      <c r="O380" s="945"/>
      <c r="P380" s="945"/>
    </row>
    <row r="381" spans="1:26" ht="18.75">
      <c r="A381" s="949"/>
      <c r="B381" s="957"/>
      <c r="C381" s="950"/>
      <c r="D381" s="957"/>
      <c r="E381" s="955" t="s">
        <v>163</v>
      </c>
      <c r="F381" s="957"/>
      <c r="G381" s="958"/>
      <c r="H381" s="730" t="s">
        <v>35</v>
      </c>
      <c r="I381" s="830">
        <f ca="1">IFERROR(__xludf.DUMMYFUNCTION("IMPORTRANGE(""https://docs.google.com/spreadsheets/d/1QqKyyYR6Q21VydFLVH3TRQUabQu_ym0Zz7PgGX0-kHA/edit?usp=sharing"",""แผน!EU20"")"),340)</f>
        <v>340</v>
      </c>
      <c r="J381" s="830">
        <f ca="1">IFERROR(__xludf.DUMMYFUNCTION("IMPORTRANGE(""https://docs.google.com/spreadsheets/d/1XWAQStnk-4SwqDmLtmXYiTMKHgktTP8We1SCoS47DrQ/edit?usp=sharing"",""จัดที่ดิน!AL20"")"),155)</f>
        <v>155</v>
      </c>
      <c r="K381" s="831">
        <f t="shared" ca="1" si="164"/>
        <v>45.588235294117645</v>
      </c>
      <c r="L381" s="945"/>
      <c r="M381" s="945"/>
      <c r="N381" s="945"/>
      <c r="O381" s="945"/>
      <c r="P381" s="945"/>
    </row>
    <row r="382" spans="1:26" ht="18.75">
      <c r="A382" s="1159" t="s">
        <v>164</v>
      </c>
      <c r="B382" s="957"/>
      <c r="C382" s="950"/>
      <c r="D382" s="957"/>
      <c r="E382" s="956"/>
      <c r="F382" s="957"/>
      <c r="G382" s="958"/>
      <c r="H382" s="730" t="s">
        <v>46</v>
      </c>
      <c r="I382" s="830">
        <v>0</v>
      </c>
      <c r="J382" s="830">
        <f ca="1">IFERROR(__xludf.DUMMYFUNCTION("IMPORTRANGE(""https://docs.google.com/spreadsheets/d/1XWAQStnk-4SwqDmLtmXYiTMKHgktTP8We1SCoS47DrQ/edit?usp=sharing"",""จัดที่ดิน!AM20"")"),874.46)</f>
        <v>874.46</v>
      </c>
      <c r="K382" s="831">
        <f t="shared" si="164"/>
        <v>0</v>
      </c>
      <c r="L382" s="945"/>
      <c r="M382" s="945"/>
      <c r="N382" s="945"/>
      <c r="O382" s="945"/>
      <c r="P382" s="945"/>
    </row>
    <row r="383" spans="1:26" ht="19.5">
      <c r="A383" s="1011"/>
      <c r="B383" s="1018"/>
      <c r="C383" s="1012"/>
      <c r="D383" s="1145" t="s">
        <v>170</v>
      </c>
      <c r="E383" s="1012"/>
      <c r="F383" s="1012"/>
      <c r="G383" s="1014"/>
      <c r="H383" s="1146"/>
      <c r="I383" s="1015"/>
      <c r="J383" s="1015"/>
      <c r="K383" s="1016"/>
      <c r="L383" s="1016"/>
      <c r="M383" s="1016"/>
      <c r="N383" s="1016"/>
      <c r="O383" s="1016"/>
      <c r="P383" s="1016"/>
    </row>
    <row r="384" spans="1:26" ht="19.5">
      <c r="A384" s="949"/>
      <c r="B384" s="950"/>
      <c r="C384" s="827" t="s">
        <v>16</v>
      </c>
      <c r="D384" s="951" t="s">
        <v>38</v>
      </c>
      <c r="E384" s="952"/>
      <c r="F384" s="952"/>
      <c r="G384" s="953"/>
      <c r="H384" s="954"/>
      <c r="I384" s="830"/>
      <c r="J384" s="830"/>
      <c r="K384" s="831"/>
      <c r="L384" s="945"/>
      <c r="M384" s="945"/>
      <c r="N384" s="945"/>
      <c r="O384" s="945"/>
      <c r="P384" s="945"/>
    </row>
    <row r="385" spans="1:26" ht="18.75">
      <c r="A385" s="1080"/>
      <c r="B385" s="1083"/>
      <c r="C385" s="1081"/>
      <c r="D385" s="1083"/>
      <c r="E385" s="1181" t="s">
        <v>163</v>
      </c>
      <c r="F385" s="1083"/>
      <c r="G385" s="1084"/>
      <c r="H385" s="468" t="s">
        <v>35</v>
      </c>
      <c r="I385" s="1085">
        <f ca="1">IFERROR(__xludf.DUMMYFUNCTION("IMPORTRANGE(""https://docs.google.com/spreadsheets/d/1QqKyyYR6Q21VydFLVH3TRQUabQu_ym0Zz7PgGX0-kHA/edit?usp=sharing"",""แผน!EW20"")"),15)</f>
        <v>15</v>
      </c>
      <c r="J385" s="1085">
        <f ca="1">IFERROR(__xludf.DUMMYFUNCTION("IMPORTRANGE(""https://docs.google.com/spreadsheets/d/1XWAQStnk-4SwqDmLtmXYiTMKHgktTP8We1SCoS47DrQ/edit?usp=sharing"",""จัดที่ดิน!AP20"")"),0)</f>
        <v>0</v>
      </c>
      <c r="K385" s="1182">
        <f ca="1">IF(I385&gt;0,J385*100/I385,0)</f>
        <v>0</v>
      </c>
      <c r="L385" s="1086"/>
      <c r="M385" s="1086"/>
      <c r="N385" s="1086"/>
      <c r="O385" s="1086"/>
      <c r="P385" s="1086"/>
    </row>
    <row r="386" spans="1:26" ht="19.5" hidden="1">
      <c r="A386" s="1183" t="s">
        <v>171</v>
      </c>
      <c r="B386" s="1184"/>
      <c r="C386" s="1184"/>
      <c r="D386" s="1184"/>
      <c r="E386" s="1185"/>
      <c r="F386" s="1185"/>
      <c r="G386" s="1186"/>
      <c r="H386" s="1187"/>
      <c r="I386" s="1188"/>
      <c r="J386" s="1188"/>
      <c r="K386" s="1189"/>
      <c r="L386" s="1189"/>
      <c r="M386" s="1189"/>
      <c r="N386" s="1189"/>
      <c r="O386" s="1189"/>
      <c r="P386" s="1189"/>
    </row>
    <row r="387" spans="1:26" ht="19.5" hidden="1">
      <c r="A387" s="1190" t="s">
        <v>172</v>
      </c>
      <c r="B387" s="1191"/>
      <c r="C387" s="1191"/>
      <c r="D387" s="1192"/>
      <c r="E387" s="1191"/>
      <c r="F387" s="1191"/>
      <c r="G387" s="1191"/>
      <c r="H387" s="1193"/>
      <c r="I387" s="1194"/>
      <c r="J387" s="1194"/>
      <c r="K387" s="1195"/>
      <c r="L387" s="1195"/>
      <c r="M387" s="1195"/>
      <c r="N387" s="1195"/>
      <c r="O387" s="1195"/>
      <c r="P387" s="1195"/>
    </row>
    <row r="388" spans="1:26" ht="19.5" hidden="1">
      <c r="A388" s="1196"/>
      <c r="B388" s="1197" t="s">
        <v>173</v>
      </c>
      <c r="C388" s="1198"/>
      <c r="D388" s="1199"/>
      <c r="E388" s="1199"/>
      <c r="F388" s="1199"/>
      <c r="G388" s="1200"/>
      <c r="H388" s="489" t="s">
        <v>66</v>
      </c>
      <c r="I388" s="1201">
        <f t="shared" ref="I388:J388" si="165">I400</f>
        <v>0</v>
      </c>
      <c r="J388" s="1201">
        <f t="shared" si="165"/>
        <v>0</v>
      </c>
      <c r="K388" s="1202">
        <f>IF(I388&gt;0,J388*100/I388,0)</f>
        <v>0</v>
      </c>
      <c r="L388" s="1203"/>
      <c r="M388" s="1203"/>
      <c r="N388" s="1203"/>
      <c r="O388" s="1203"/>
      <c r="P388" s="1203"/>
    </row>
    <row r="389" spans="1:26" ht="19.5" hidden="1">
      <c r="A389" s="932"/>
      <c r="B389" s="933"/>
      <c r="C389" s="934" t="s">
        <v>16</v>
      </c>
      <c r="D389" s="935" t="s">
        <v>17</v>
      </c>
      <c r="E389" s="933"/>
      <c r="F389" s="933"/>
      <c r="G389" s="936"/>
      <c r="H389" s="152" t="s">
        <v>12</v>
      </c>
      <c r="I389" s="937"/>
      <c r="J389" s="937"/>
      <c r="K389" s="938"/>
      <c r="L389" s="939">
        <f t="shared" ref="L389:N389" ca="1" si="166">L390+L391</f>
        <v>0</v>
      </c>
      <c r="M389" s="939">
        <f t="shared" ca="1" si="166"/>
        <v>0</v>
      </c>
      <c r="N389" s="939">
        <f t="shared" ca="1" si="166"/>
        <v>0</v>
      </c>
      <c r="O389" s="939">
        <f t="shared" ref="O389:O397" ca="1" si="167">IF(L389&gt;0,N389*100/L389,0)</f>
        <v>0</v>
      </c>
      <c r="P389" s="939">
        <f t="shared" ref="P389:P397" ca="1" si="168">IF(M389&gt;0,N389*100/M389,0)</f>
        <v>0</v>
      </c>
      <c r="Q389" s="818"/>
      <c r="R389" s="818"/>
      <c r="S389" s="818"/>
      <c r="T389" s="818"/>
      <c r="U389" s="818"/>
      <c r="V389" s="818"/>
      <c r="W389" s="818"/>
      <c r="X389" s="818"/>
      <c r="Y389" s="818"/>
      <c r="Z389" s="818"/>
    </row>
    <row r="390" spans="1:26" ht="18.75" hidden="1">
      <c r="A390" s="940"/>
      <c r="B390" s="833"/>
      <c r="C390" s="833"/>
      <c r="D390" s="833"/>
      <c r="E390" s="834" t="s">
        <v>18</v>
      </c>
      <c r="F390" s="833"/>
      <c r="G390" s="941"/>
      <c r="H390" s="158" t="s">
        <v>12</v>
      </c>
      <c r="I390" s="836"/>
      <c r="J390" s="836"/>
      <c r="K390" s="837"/>
      <c r="L390" s="837">
        <f t="shared" ref="L390:N391" si="169">L393+L396</f>
        <v>0</v>
      </c>
      <c r="M390" s="837">
        <f t="shared" si="169"/>
        <v>0</v>
      </c>
      <c r="N390" s="837">
        <f t="shared" si="169"/>
        <v>0</v>
      </c>
      <c r="O390" s="837">
        <f t="shared" si="167"/>
        <v>0</v>
      </c>
      <c r="P390" s="837">
        <f t="shared" si="168"/>
        <v>0</v>
      </c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</row>
    <row r="391" spans="1:26" ht="18.75" hidden="1">
      <c r="A391" s="940"/>
      <c r="B391" s="833"/>
      <c r="C391" s="833"/>
      <c r="D391" s="833"/>
      <c r="E391" s="834" t="s">
        <v>19</v>
      </c>
      <c r="F391" s="833"/>
      <c r="G391" s="941"/>
      <c r="H391" s="158" t="s">
        <v>12</v>
      </c>
      <c r="I391" s="836"/>
      <c r="J391" s="836"/>
      <c r="K391" s="837"/>
      <c r="L391" s="837">
        <f t="shared" ca="1" si="169"/>
        <v>0</v>
      </c>
      <c r="M391" s="837">
        <f t="shared" ca="1" si="169"/>
        <v>0</v>
      </c>
      <c r="N391" s="837">
        <f t="shared" ca="1" si="169"/>
        <v>0</v>
      </c>
      <c r="O391" s="837">
        <f t="shared" ca="1" si="167"/>
        <v>0</v>
      </c>
      <c r="P391" s="837">
        <f t="shared" ca="1" si="168"/>
        <v>0</v>
      </c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</row>
    <row r="392" spans="1:26" ht="18.75" hidden="1">
      <c r="A392" s="942"/>
      <c r="B392" s="827"/>
      <c r="C392" s="943"/>
      <c r="D392" s="828" t="s">
        <v>20</v>
      </c>
      <c r="E392" s="827"/>
      <c r="F392" s="827"/>
      <c r="G392" s="829"/>
      <c r="H392" s="778" t="s">
        <v>12</v>
      </c>
      <c r="I392" s="944"/>
      <c r="J392" s="944"/>
      <c r="K392" s="945"/>
      <c r="L392" s="831">
        <f t="shared" ref="L392:N392" ca="1" si="170">L393+L394</f>
        <v>0</v>
      </c>
      <c r="M392" s="831">
        <f t="shared" ca="1" si="170"/>
        <v>0</v>
      </c>
      <c r="N392" s="831">
        <f t="shared" ca="1" si="170"/>
        <v>0</v>
      </c>
      <c r="O392" s="831">
        <f t="shared" ca="1" si="167"/>
        <v>0</v>
      </c>
      <c r="P392" s="831">
        <f t="shared" ca="1" si="168"/>
        <v>0</v>
      </c>
      <c r="Q392" s="818"/>
      <c r="R392" s="818"/>
      <c r="S392" s="818"/>
      <c r="T392" s="818"/>
      <c r="U392" s="818"/>
      <c r="V392" s="818"/>
      <c r="W392" s="818"/>
      <c r="X392" s="818"/>
      <c r="Y392" s="818"/>
      <c r="Z392" s="818"/>
    </row>
    <row r="393" spans="1:26" ht="19.5" hidden="1">
      <c r="A393" s="940"/>
      <c r="B393" s="833"/>
      <c r="C393" s="946"/>
      <c r="D393" s="833"/>
      <c r="E393" s="834" t="s">
        <v>36</v>
      </c>
      <c r="F393" s="833"/>
      <c r="G393" s="941"/>
      <c r="H393" s="165" t="s">
        <v>12</v>
      </c>
      <c r="I393" s="947"/>
      <c r="J393" s="947"/>
      <c r="K393" s="948"/>
      <c r="L393" s="837">
        <v>0</v>
      </c>
      <c r="M393" s="837">
        <v>0</v>
      </c>
      <c r="N393" s="837">
        <v>0</v>
      </c>
      <c r="O393" s="837">
        <f t="shared" si="167"/>
        <v>0</v>
      </c>
      <c r="P393" s="837">
        <f t="shared" si="168"/>
        <v>0</v>
      </c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</row>
    <row r="394" spans="1:26" ht="19.5" hidden="1">
      <c r="A394" s="940"/>
      <c r="B394" s="833"/>
      <c r="C394" s="946"/>
      <c r="D394" s="833"/>
      <c r="E394" s="834" t="s">
        <v>37</v>
      </c>
      <c r="F394" s="833"/>
      <c r="G394" s="941"/>
      <c r="H394" s="165" t="s">
        <v>12</v>
      </c>
      <c r="I394" s="947"/>
      <c r="J394" s="947"/>
      <c r="K394" s="948"/>
      <c r="L394" s="837">
        <f ca="1">IFERROR(__xludf.DUMMYFUNCTION("IMPORTRANGE(""https://docs.google.com/spreadsheets/d/1MeEWN-I1oV_STSDYn1IFDPWt_1FKiwhDph83XaGc0o0/edit?usp=sharing"",""งบพรบ!FG20"")"),0)</f>
        <v>0</v>
      </c>
      <c r="M394" s="837">
        <f ca="1">IFERROR(__xludf.DUMMYFUNCTION("IMPORTRANGE(""https://docs.google.com/spreadsheets/d/1MeEWN-I1oV_STSDYn1IFDPWt_1FKiwhDph83XaGc0o0/edit?usp=sharing"",""งบพรบ!FL20"")"),0)</f>
        <v>0</v>
      </c>
      <c r="N394" s="837">
        <f ca="1">IFERROR(__xludf.DUMMYFUNCTION("IMPORTRANGE(""https://docs.google.com/spreadsheets/d/1MeEWN-I1oV_STSDYn1IFDPWt_1FKiwhDph83XaGc0o0/edit?usp=sharing"",""งบพรบ!FN20"")"),0)</f>
        <v>0</v>
      </c>
      <c r="O394" s="837">
        <f t="shared" ca="1" si="167"/>
        <v>0</v>
      </c>
      <c r="P394" s="837">
        <f t="shared" ca="1" si="168"/>
        <v>0</v>
      </c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</row>
    <row r="395" spans="1:26" ht="18.75" hidden="1">
      <c r="A395" s="942"/>
      <c r="B395" s="827"/>
      <c r="C395" s="943"/>
      <c r="D395" s="828" t="s">
        <v>21</v>
      </c>
      <c r="E395" s="827"/>
      <c r="F395" s="827"/>
      <c r="G395" s="829"/>
      <c r="H395" s="168" t="s">
        <v>12</v>
      </c>
      <c r="I395" s="944"/>
      <c r="J395" s="944"/>
      <c r="K395" s="945"/>
      <c r="L395" s="831">
        <f t="shared" ref="L395:N395" ca="1" si="171">L396+L397</f>
        <v>0</v>
      </c>
      <c r="M395" s="831">
        <f t="shared" ca="1" si="171"/>
        <v>0</v>
      </c>
      <c r="N395" s="831">
        <f t="shared" ca="1" si="171"/>
        <v>0</v>
      </c>
      <c r="O395" s="831">
        <f t="shared" ca="1" si="167"/>
        <v>0</v>
      </c>
      <c r="P395" s="831">
        <f t="shared" ca="1" si="168"/>
        <v>0</v>
      </c>
      <c r="Q395" s="818"/>
      <c r="R395" s="818"/>
      <c r="S395" s="818"/>
      <c r="T395" s="818"/>
      <c r="U395" s="818"/>
      <c r="V395" s="818"/>
      <c r="W395" s="818"/>
      <c r="X395" s="818"/>
      <c r="Y395" s="818"/>
      <c r="Z395" s="818"/>
    </row>
    <row r="396" spans="1:26" ht="19.5" hidden="1">
      <c r="A396" s="940"/>
      <c r="B396" s="833"/>
      <c r="C396" s="946"/>
      <c r="D396" s="833"/>
      <c r="E396" s="834" t="s">
        <v>18</v>
      </c>
      <c r="F396" s="833"/>
      <c r="G396" s="941"/>
      <c r="H396" s="165" t="s">
        <v>12</v>
      </c>
      <c r="I396" s="947"/>
      <c r="J396" s="947"/>
      <c r="K396" s="948"/>
      <c r="L396" s="837">
        <v>0</v>
      </c>
      <c r="M396" s="837">
        <v>0</v>
      </c>
      <c r="N396" s="837">
        <v>0</v>
      </c>
      <c r="O396" s="837">
        <f t="shared" si="167"/>
        <v>0</v>
      </c>
      <c r="P396" s="837">
        <f t="shared" si="168"/>
        <v>0</v>
      </c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</row>
    <row r="397" spans="1:26" ht="19.5" hidden="1">
      <c r="A397" s="940"/>
      <c r="B397" s="833"/>
      <c r="C397" s="946"/>
      <c r="D397" s="833"/>
      <c r="E397" s="834" t="s">
        <v>19</v>
      </c>
      <c r="F397" s="833"/>
      <c r="G397" s="941"/>
      <c r="H397" s="169" t="s">
        <v>12</v>
      </c>
      <c r="I397" s="947"/>
      <c r="J397" s="947"/>
      <c r="K397" s="948"/>
      <c r="L397" s="837">
        <f ca="1">IFERROR(__xludf.DUMMYFUNCTION("IMPORTRANGE(""https://docs.google.com/spreadsheets/d/1MeEWN-I1oV_STSDYn1IFDPWt_1FKiwhDph83XaGc0o0/edit?usp=sharing"",""งบพรบ!FJ20"")"),0)</f>
        <v>0</v>
      </c>
      <c r="M397" s="837">
        <f ca="1">IFERROR(__xludf.DUMMYFUNCTION("IMPORTRANGE(""https://docs.google.com/spreadsheets/d/1MeEWN-I1oV_STSDYn1IFDPWt_1FKiwhDph83XaGc0o0/edit?usp=sharing"",""งบพรบ!FM20"")"),0)</f>
        <v>0</v>
      </c>
      <c r="N397" s="837">
        <f ca="1">IFERROR(__xludf.DUMMYFUNCTION("IMPORTRANGE(""https://docs.google.com/spreadsheets/d/1MeEWN-I1oV_STSDYn1IFDPWt_1FKiwhDph83XaGc0o0/edit?usp=sharing"",""งบพรบ!FO20"")"),0)</f>
        <v>0</v>
      </c>
      <c r="O397" s="837">
        <f t="shared" ca="1" si="167"/>
        <v>0</v>
      </c>
      <c r="P397" s="837">
        <f t="shared" ca="1" si="168"/>
        <v>0</v>
      </c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</row>
    <row r="398" spans="1:26" ht="19.5" hidden="1">
      <c r="A398" s="949"/>
      <c r="B398" s="950"/>
      <c r="C398" s="946" t="s">
        <v>16</v>
      </c>
      <c r="D398" s="951" t="s">
        <v>38</v>
      </c>
      <c r="E398" s="952"/>
      <c r="F398" s="952"/>
      <c r="G398" s="953"/>
      <c r="H398" s="954"/>
      <c r="I398" s="944"/>
      <c r="J398" s="830"/>
      <c r="K398" s="831"/>
      <c r="L398" s="831"/>
      <c r="M398" s="831"/>
      <c r="N398" s="831"/>
      <c r="O398" s="945"/>
      <c r="P398" s="945"/>
    </row>
    <row r="399" spans="1:26" ht="18.75" hidden="1">
      <c r="A399" s="1204"/>
      <c r="B399" s="933"/>
      <c r="C399" s="1205"/>
      <c r="D399" s="968" t="s">
        <v>174</v>
      </c>
      <c r="E399" s="1113"/>
      <c r="F399" s="933"/>
      <c r="G399" s="936"/>
      <c r="H399" s="496" t="s">
        <v>9</v>
      </c>
      <c r="I399" s="830">
        <v>0</v>
      </c>
      <c r="J399" s="959">
        <v>0</v>
      </c>
      <c r="K399" s="831">
        <f t="shared" ref="K399:K401" si="172">IF(I399&gt;0,J399*100/I399,0)</f>
        <v>0</v>
      </c>
      <c r="L399" s="1206"/>
      <c r="M399" s="1206"/>
      <c r="N399" s="1206"/>
      <c r="O399" s="1206"/>
      <c r="P399" s="1206"/>
      <c r="Q399" s="818"/>
      <c r="R399" s="818"/>
      <c r="S399" s="818"/>
      <c r="T399" s="818"/>
      <c r="U399" s="818"/>
      <c r="V399" s="818"/>
      <c r="W399" s="818"/>
      <c r="X399" s="818"/>
      <c r="Y399" s="818"/>
      <c r="Z399" s="818"/>
    </row>
    <row r="400" spans="1:26" ht="18.75" hidden="1">
      <c r="A400" s="1032"/>
      <c r="B400" s="827"/>
      <c r="C400" s="1030"/>
      <c r="D400" s="956" t="s">
        <v>175</v>
      </c>
      <c r="E400" s="950"/>
      <c r="F400" s="827"/>
      <c r="G400" s="829"/>
      <c r="H400" s="277" t="s">
        <v>66</v>
      </c>
      <c r="I400" s="830">
        <v>0</v>
      </c>
      <c r="J400" s="959">
        <v>0</v>
      </c>
      <c r="K400" s="831">
        <f t="shared" si="172"/>
        <v>0</v>
      </c>
      <c r="L400" s="831"/>
      <c r="M400" s="831"/>
      <c r="N400" s="831"/>
      <c r="O400" s="831"/>
      <c r="P400" s="831"/>
    </row>
    <row r="401" spans="1:26" ht="19.5" hidden="1">
      <c r="A401" s="1196"/>
      <c r="B401" s="1197" t="s">
        <v>176</v>
      </c>
      <c r="C401" s="1198"/>
      <c r="D401" s="1199"/>
      <c r="E401" s="1199"/>
      <c r="F401" s="1199"/>
      <c r="G401" s="1200"/>
      <c r="H401" s="489" t="s">
        <v>66</v>
      </c>
      <c r="I401" s="1201">
        <f t="shared" ref="I401:J401" si="173">I412</f>
        <v>0</v>
      </c>
      <c r="J401" s="1201">
        <f t="shared" si="173"/>
        <v>0</v>
      </c>
      <c r="K401" s="1202">
        <f t="shared" si="172"/>
        <v>0</v>
      </c>
      <c r="L401" s="1203"/>
      <c r="M401" s="1203"/>
      <c r="N401" s="1203"/>
      <c r="O401" s="1203"/>
      <c r="P401" s="1203"/>
    </row>
    <row r="402" spans="1:26" ht="19.5" hidden="1">
      <c r="A402" s="932"/>
      <c r="B402" s="933"/>
      <c r="C402" s="934" t="s">
        <v>16</v>
      </c>
      <c r="D402" s="935" t="s">
        <v>17</v>
      </c>
      <c r="E402" s="933"/>
      <c r="F402" s="933"/>
      <c r="G402" s="936"/>
      <c r="H402" s="152" t="s">
        <v>12</v>
      </c>
      <c r="I402" s="937"/>
      <c r="J402" s="937"/>
      <c r="K402" s="938"/>
      <c r="L402" s="939">
        <f t="shared" ref="L402:N402" ca="1" si="174">L403+L404</f>
        <v>0</v>
      </c>
      <c r="M402" s="939">
        <f t="shared" ca="1" si="174"/>
        <v>0</v>
      </c>
      <c r="N402" s="939">
        <f t="shared" ca="1" si="174"/>
        <v>0</v>
      </c>
      <c r="O402" s="939">
        <f t="shared" ref="O402:O410" ca="1" si="175">IF(L402&gt;0,N402*100/L402,0)</f>
        <v>0</v>
      </c>
      <c r="P402" s="939">
        <f t="shared" ref="P402:P410" ca="1" si="176">IF(M402&gt;0,N402*100/M402,0)</f>
        <v>0</v>
      </c>
      <c r="Q402" s="818"/>
      <c r="R402" s="818"/>
      <c r="S402" s="818"/>
      <c r="T402" s="818"/>
      <c r="U402" s="818"/>
      <c r="V402" s="818"/>
      <c r="W402" s="818"/>
      <c r="X402" s="818"/>
      <c r="Y402" s="818"/>
      <c r="Z402" s="818"/>
    </row>
    <row r="403" spans="1:26" ht="18.75" hidden="1">
      <c r="A403" s="940"/>
      <c r="B403" s="833"/>
      <c r="C403" s="833"/>
      <c r="D403" s="833"/>
      <c r="E403" s="834" t="s">
        <v>18</v>
      </c>
      <c r="F403" s="833"/>
      <c r="G403" s="941"/>
      <c r="H403" s="158" t="s">
        <v>12</v>
      </c>
      <c r="I403" s="836"/>
      <c r="J403" s="836"/>
      <c r="K403" s="837"/>
      <c r="L403" s="837">
        <f t="shared" ref="L403:N404" si="177">L406+L409</f>
        <v>0</v>
      </c>
      <c r="M403" s="837">
        <f t="shared" si="177"/>
        <v>0</v>
      </c>
      <c r="N403" s="837">
        <f t="shared" si="177"/>
        <v>0</v>
      </c>
      <c r="O403" s="837">
        <f t="shared" si="175"/>
        <v>0</v>
      </c>
      <c r="P403" s="837">
        <f t="shared" si="176"/>
        <v>0</v>
      </c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</row>
    <row r="404" spans="1:26" ht="18.75" hidden="1">
      <c r="A404" s="940"/>
      <c r="B404" s="833"/>
      <c r="C404" s="833"/>
      <c r="D404" s="833"/>
      <c r="E404" s="834" t="s">
        <v>19</v>
      </c>
      <c r="F404" s="833"/>
      <c r="G404" s="941"/>
      <c r="H404" s="158" t="s">
        <v>12</v>
      </c>
      <c r="I404" s="836"/>
      <c r="J404" s="836"/>
      <c r="K404" s="837"/>
      <c r="L404" s="837">
        <f t="shared" ca="1" si="177"/>
        <v>0</v>
      </c>
      <c r="M404" s="837">
        <f t="shared" ca="1" si="177"/>
        <v>0</v>
      </c>
      <c r="N404" s="837">
        <f t="shared" ca="1" si="177"/>
        <v>0</v>
      </c>
      <c r="O404" s="837">
        <f t="shared" ca="1" si="175"/>
        <v>0</v>
      </c>
      <c r="P404" s="837">
        <f t="shared" ca="1" si="176"/>
        <v>0</v>
      </c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</row>
    <row r="405" spans="1:26" ht="18.75" hidden="1">
      <c r="A405" s="942"/>
      <c r="B405" s="827"/>
      <c r="C405" s="943"/>
      <c r="D405" s="828" t="s">
        <v>20</v>
      </c>
      <c r="E405" s="827"/>
      <c r="F405" s="827"/>
      <c r="G405" s="829"/>
      <c r="H405" s="778" t="s">
        <v>12</v>
      </c>
      <c r="I405" s="944"/>
      <c r="J405" s="944"/>
      <c r="K405" s="945"/>
      <c r="L405" s="831">
        <f t="shared" ref="L405:N405" ca="1" si="178">L406+L407</f>
        <v>0</v>
      </c>
      <c r="M405" s="831">
        <f t="shared" ca="1" si="178"/>
        <v>0</v>
      </c>
      <c r="N405" s="831">
        <f t="shared" ca="1" si="178"/>
        <v>0</v>
      </c>
      <c r="O405" s="831">
        <f t="shared" ca="1" si="175"/>
        <v>0</v>
      </c>
      <c r="P405" s="831">
        <f t="shared" ca="1" si="176"/>
        <v>0</v>
      </c>
      <c r="Q405" s="818"/>
      <c r="R405" s="818"/>
      <c r="S405" s="818"/>
      <c r="T405" s="818"/>
      <c r="U405" s="818"/>
      <c r="V405" s="818"/>
      <c r="W405" s="818"/>
      <c r="X405" s="818"/>
      <c r="Y405" s="818"/>
      <c r="Z405" s="818"/>
    </row>
    <row r="406" spans="1:26" ht="19.5" hidden="1">
      <c r="A406" s="940"/>
      <c r="B406" s="833"/>
      <c r="C406" s="946"/>
      <c r="D406" s="833"/>
      <c r="E406" s="834" t="s">
        <v>36</v>
      </c>
      <c r="F406" s="833"/>
      <c r="G406" s="941"/>
      <c r="H406" s="165" t="s">
        <v>12</v>
      </c>
      <c r="I406" s="947"/>
      <c r="J406" s="947"/>
      <c r="K406" s="948"/>
      <c r="L406" s="837">
        <v>0</v>
      </c>
      <c r="M406" s="837">
        <v>0</v>
      </c>
      <c r="N406" s="837">
        <v>0</v>
      </c>
      <c r="O406" s="837">
        <f t="shared" si="175"/>
        <v>0</v>
      </c>
      <c r="P406" s="837">
        <f t="shared" si="176"/>
        <v>0</v>
      </c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</row>
    <row r="407" spans="1:26" ht="19.5" hidden="1">
      <c r="A407" s="940"/>
      <c r="B407" s="833"/>
      <c r="C407" s="946"/>
      <c r="D407" s="833"/>
      <c r="E407" s="834" t="s">
        <v>37</v>
      </c>
      <c r="F407" s="833"/>
      <c r="G407" s="941"/>
      <c r="H407" s="165" t="s">
        <v>12</v>
      </c>
      <c r="I407" s="947"/>
      <c r="J407" s="947"/>
      <c r="K407" s="948"/>
      <c r="L407" s="837">
        <f ca="1">IFERROR(__xludf.DUMMYFUNCTION("IMPORTRANGE(""https://docs.google.com/spreadsheets/d/1MeEWN-I1oV_STSDYn1IFDPWt_1FKiwhDph83XaGc0o0/edit?usp=sharing"",""งบพรบ!FQ20"")"),0)</f>
        <v>0</v>
      </c>
      <c r="M407" s="837">
        <f ca="1">IFERROR(__xludf.DUMMYFUNCTION("IMPORTRANGE(""https://docs.google.com/spreadsheets/d/1MeEWN-I1oV_STSDYn1IFDPWt_1FKiwhDph83XaGc0o0/edit?usp=sharing"",""งบพรบ!FV20"")"),0)</f>
        <v>0</v>
      </c>
      <c r="N407" s="837">
        <f ca="1">IFERROR(__xludf.DUMMYFUNCTION("IMPORTRANGE(""https://docs.google.com/spreadsheets/d/1MeEWN-I1oV_STSDYn1IFDPWt_1FKiwhDph83XaGc0o0/edit?usp=sharing"",""งบพรบ!FX20"")"),0)</f>
        <v>0</v>
      </c>
      <c r="O407" s="837">
        <f t="shared" ca="1" si="175"/>
        <v>0</v>
      </c>
      <c r="P407" s="837">
        <f t="shared" ca="1" si="176"/>
        <v>0</v>
      </c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</row>
    <row r="408" spans="1:26" ht="18.75" hidden="1">
      <c r="A408" s="942"/>
      <c r="B408" s="827"/>
      <c r="C408" s="943"/>
      <c r="D408" s="828" t="s">
        <v>21</v>
      </c>
      <c r="E408" s="827"/>
      <c r="F408" s="827"/>
      <c r="G408" s="829"/>
      <c r="H408" s="168" t="s">
        <v>12</v>
      </c>
      <c r="I408" s="944"/>
      <c r="J408" s="944"/>
      <c r="K408" s="945"/>
      <c r="L408" s="831">
        <f t="shared" ref="L408:N408" ca="1" si="179">L409+L410</f>
        <v>0</v>
      </c>
      <c r="M408" s="831">
        <f t="shared" ca="1" si="179"/>
        <v>0</v>
      </c>
      <c r="N408" s="831">
        <f t="shared" ca="1" si="179"/>
        <v>0</v>
      </c>
      <c r="O408" s="831">
        <f t="shared" ca="1" si="175"/>
        <v>0</v>
      </c>
      <c r="P408" s="831">
        <f t="shared" ca="1" si="176"/>
        <v>0</v>
      </c>
      <c r="Q408" s="818"/>
      <c r="R408" s="818"/>
      <c r="S408" s="818"/>
      <c r="T408" s="818"/>
      <c r="U408" s="818"/>
      <c r="V408" s="818"/>
      <c r="W408" s="818"/>
      <c r="X408" s="818"/>
      <c r="Y408" s="818"/>
      <c r="Z408" s="818"/>
    </row>
    <row r="409" spans="1:26" ht="19.5" hidden="1">
      <c r="A409" s="940"/>
      <c r="B409" s="833"/>
      <c r="C409" s="946"/>
      <c r="D409" s="833"/>
      <c r="E409" s="834" t="s">
        <v>18</v>
      </c>
      <c r="F409" s="833"/>
      <c r="G409" s="941"/>
      <c r="H409" s="165" t="s">
        <v>12</v>
      </c>
      <c r="I409" s="947"/>
      <c r="J409" s="947"/>
      <c r="K409" s="948"/>
      <c r="L409" s="837">
        <v>0</v>
      </c>
      <c r="M409" s="837">
        <v>0</v>
      </c>
      <c r="N409" s="837">
        <v>0</v>
      </c>
      <c r="O409" s="837">
        <f t="shared" si="175"/>
        <v>0</v>
      </c>
      <c r="P409" s="837">
        <f t="shared" si="176"/>
        <v>0</v>
      </c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</row>
    <row r="410" spans="1:26" ht="19.5" hidden="1">
      <c r="A410" s="940"/>
      <c r="B410" s="833"/>
      <c r="C410" s="946"/>
      <c r="D410" s="833"/>
      <c r="E410" s="834" t="s">
        <v>19</v>
      </c>
      <c r="F410" s="833"/>
      <c r="G410" s="941"/>
      <c r="H410" s="169" t="s">
        <v>12</v>
      </c>
      <c r="I410" s="947"/>
      <c r="J410" s="947"/>
      <c r="K410" s="948"/>
      <c r="L410" s="837">
        <f ca="1">IFERROR(__xludf.DUMMYFUNCTION("IMPORTRANGE(""https://docs.google.com/spreadsheets/d/1MeEWN-I1oV_STSDYn1IFDPWt_1FKiwhDph83XaGc0o0/edit?usp=sharing"",""งบพรบ!FT20"")"),0)</f>
        <v>0</v>
      </c>
      <c r="M410" s="837">
        <f ca="1">IFERROR(__xludf.DUMMYFUNCTION("IMPORTRANGE(""https://docs.google.com/spreadsheets/d/1MeEWN-I1oV_STSDYn1IFDPWt_1FKiwhDph83XaGc0o0/edit?usp=sharing"",""งบพรบ!FW20"")"),0)</f>
        <v>0</v>
      </c>
      <c r="N410" s="837">
        <f ca="1">IFERROR(__xludf.DUMMYFUNCTION("IMPORTRANGE(""https://docs.google.com/spreadsheets/d/1MeEWN-I1oV_STSDYn1IFDPWt_1FKiwhDph83XaGc0o0/edit?usp=sharing"",""งบพรบ!FY20"")"),0)</f>
        <v>0</v>
      </c>
      <c r="O410" s="837">
        <f t="shared" ca="1" si="175"/>
        <v>0</v>
      </c>
      <c r="P410" s="837">
        <f t="shared" ca="1" si="176"/>
        <v>0</v>
      </c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</row>
    <row r="411" spans="1:26" ht="19.5" hidden="1">
      <c r="A411" s="949"/>
      <c r="B411" s="950"/>
      <c r="C411" s="946" t="s">
        <v>16</v>
      </c>
      <c r="D411" s="1207" t="s">
        <v>38</v>
      </c>
      <c r="E411" s="1208"/>
      <c r="F411" s="1208"/>
      <c r="G411" s="1209"/>
      <c r="H411" s="954"/>
      <c r="I411" s="830"/>
      <c r="J411" s="830"/>
      <c r="K411" s="831"/>
      <c r="L411" s="945"/>
      <c r="M411" s="945"/>
      <c r="N411" s="945"/>
      <c r="O411" s="945"/>
      <c r="P411" s="945"/>
    </row>
    <row r="412" spans="1:26" ht="18.75" hidden="1">
      <c r="A412" s="949"/>
      <c r="B412" s="957"/>
      <c r="C412" s="957"/>
      <c r="D412" s="956" t="s">
        <v>177</v>
      </c>
      <c r="E412" s="957"/>
      <c r="F412" s="957"/>
      <c r="G412" s="958"/>
      <c r="H412" s="501" t="s">
        <v>66</v>
      </c>
      <c r="I412" s="830">
        <v>0</v>
      </c>
      <c r="J412" s="959">
        <v>0</v>
      </c>
      <c r="K412" s="831">
        <f t="shared" ref="K412:K413" si="180">IF(I412&gt;0,J412*100/I412,0)</f>
        <v>0</v>
      </c>
      <c r="L412" s="945"/>
      <c r="M412" s="945"/>
      <c r="N412" s="945"/>
      <c r="O412" s="945"/>
      <c r="P412" s="945"/>
    </row>
    <row r="413" spans="1:26" ht="19.5" hidden="1" thickBot="1">
      <c r="A413" s="1210"/>
      <c r="B413" s="1211"/>
      <c r="C413" s="1211"/>
      <c r="D413" s="1212" t="s">
        <v>178</v>
      </c>
      <c r="E413" s="1211"/>
      <c r="F413" s="1211"/>
      <c r="G413" s="1213"/>
      <c r="H413" s="506" t="s">
        <v>179</v>
      </c>
      <c r="I413" s="1214">
        <v>0</v>
      </c>
      <c r="J413" s="1215">
        <v>0</v>
      </c>
      <c r="K413" s="1216">
        <f t="shared" si="180"/>
        <v>0</v>
      </c>
      <c r="L413" s="1217"/>
      <c r="M413" s="1217"/>
      <c r="N413" s="1217"/>
      <c r="O413" s="1217"/>
      <c r="P413" s="1217"/>
    </row>
    <row r="414" spans="1:26" ht="19.5">
      <c r="A414" s="1218" t="s">
        <v>180</v>
      </c>
      <c r="B414" s="1219"/>
      <c r="C414" s="1219"/>
      <c r="D414" s="1219"/>
      <c r="E414" s="1219"/>
      <c r="F414" s="1219"/>
      <c r="G414" s="1220"/>
      <c r="H414" s="1221"/>
      <c r="I414" s="1222"/>
      <c r="J414" s="1222"/>
      <c r="K414" s="1223"/>
      <c r="L414" s="1224">
        <f t="shared" ref="L414:N414" ca="1" si="181">L419+L444+L467+L502+L523+L544+L629+L655+L685+L737+L754+L770+L786+L805</f>
        <v>1544949</v>
      </c>
      <c r="M414" s="1224">
        <f t="shared" si="181"/>
        <v>0</v>
      </c>
      <c r="N414" s="1224">
        <f t="shared" si="181"/>
        <v>426635</v>
      </c>
      <c r="O414" s="1224">
        <f ca="1">IF(L414&gt;0,N414*100/L414,0)</f>
        <v>27.614827415014993</v>
      </c>
      <c r="P414" s="1224">
        <f>IF(M414&gt;0,N414*100/M414,0)</f>
        <v>0</v>
      </c>
    </row>
    <row r="415" spans="1:26" ht="19.5">
      <c r="A415" s="1225" t="s">
        <v>181</v>
      </c>
      <c r="B415" s="1226"/>
      <c r="C415" s="1226"/>
      <c r="D415" s="1226"/>
      <c r="E415" s="1226"/>
      <c r="F415" s="1226"/>
      <c r="G415" s="1226"/>
      <c r="H415" s="1227"/>
      <c r="I415" s="1228"/>
      <c r="J415" s="1228"/>
      <c r="K415" s="1229"/>
      <c r="L415" s="1230"/>
      <c r="M415" s="1230"/>
      <c r="N415" s="1230"/>
      <c r="O415" s="1230"/>
      <c r="P415" s="1230"/>
    </row>
    <row r="416" spans="1:26" ht="19.5">
      <c r="A416" s="1225" t="s">
        <v>182</v>
      </c>
      <c r="B416" s="1226"/>
      <c r="C416" s="1226"/>
      <c r="D416" s="1226"/>
      <c r="E416" s="1226"/>
      <c r="F416" s="1226"/>
      <c r="G416" s="1231"/>
      <c r="H416" s="1232"/>
      <c r="I416" s="1233"/>
      <c r="J416" s="1233"/>
      <c r="K416" s="1230"/>
      <c r="L416" s="1230"/>
      <c r="M416" s="1230"/>
      <c r="N416" s="1230"/>
      <c r="O416" s="1230"/>
      <c r="P416" s="1230"/>
    </row>
    <row r="417" spans="1:26" ht="39">
      <c r="A417" s="527">
        <v>1</v>
      </c>
      <c r="B417" s="1234" t="s">
        <v>183</v>
      </c>
      <c r="C417" s="1234"/>
      <c r="D417" s="1235"/>
      <c r="E417" s="1235"/>
      <c r="F417" s="1235"/>
      <c r="G417" s="1236"/>
      <c r="H417" s="532" t="s">
        <v>35</v>
      </c>
      <c r="I417" s="1237">
        <f t="shared" ref="I417:J418" ca="1" si="182">I433</f>
        <v>65</v>
      </c>
      <c r="J417" s="1237">
        <f t="shared" ca="1" si="182"/>
        <v>0</v>
      </c>
      <c r="K417" s="1238">
        <f t="shared" ref="K417:K418" ca="1" si="183">IF(I417&gt;0,J417*100/I417,0)</f>
        <v>0</v>
      </c>
      <c r="L417" s="1239"/>
      <c r="M417" s="1239"/>
      <c r="N417" s="1239"/>
      <c r="O417" s="1239"/>
      <c r="P417" s="1239"/>
    </row>
    <row r="418" spans="1:26" ht="19.5">
      <c r="A418" s="1240"/>
      <c r="B418" s="527"/>
      <c r="C418" s="1234"/>
      <c r="D418" s="1235"/>
      <c r="E418" s="1235"/>
      <c r="F418" s="1235"/>
      <c r="G418" s="1236"/>
      <c r="H418" s="532" t="s">
        <v>49</v>
      </c>
      <c r="I418" s="1237">
        <f t="shared" ca="1" si="182"/>
        <v>2</v>
      </c>
      <c r="J418" s="1237">
        <f t="shared" si="182"/>
        <v>1</v>
      </c>
      <c r="K418" s="1238">
        <f t="shared" ca="1" si="183"/>
        <v>50</v>
      </c>
      <c r="L418" s="1239"/>
      <c r="M418" s="1239"/>
      <c r="N418" s="1239"/>
      <c r="O418" s="1239"/>
      <c r="P418" s="1239"/>
    </row>
    <row r="419" spans="1:26" ht="19.5">
      <c r="A419" s="932"/>
      <c r="B419" s="933"/>
      <c r="C419" s="933" t="s">
        <v>16</v>
      </c>
      <c r="D419" s="1510" t="s">
        <v>17</v>
      </c>
      <c r="E419" s="1487"/>
      <c r="F419" s="1487"/>
      <c r="G419" s="936"/>
      <c r="H419" s="275" t="s">
        <v>12</v>
      </c>
      <c r="I419" s="937"/>
      <c r="J419" s="937"/>
      <c r="K419" s="938"/>
      <c r="L419" s="939">
        <f t="shared" ref="L419:N419" ca="1" si="184">L420+L421</f>
        <v>197440</v>
      </c>
      <c r="M419" s="939">
        <f t="shared" si="184"/>
        <v>0</v>
      </c>
      <c r="N419" s="939">
        <f t="shared" si="184"/>
        <v>55415</v>
      </c>
      <c r="O419" s="939">
        <f t="shared" ref="O419:O424" ca="1" si="185">IF(L419&gt;0,N419*100/L419,0)</f>
        <v>28.066754457050244</v>
      </c>
      <c r="P419" s="939">
        <f t="shared" ref="P419:P424" si="186">IF(M419&gt;0,N419*100/M419,0)</f>
        <v>0</v>
      </c>
      <c r="Q419" s="818"/>
      <c r="R419" s="818"/>
      <c r="S419" s="818"/>
      <c r="T419" s="818"/>
      <c r="U419" s="818"/>
      <c r="V419" s="818"/>
      <c r="W419" s="818"/>
      <c r="X419" s="818"/>
      <c r="Y419" s="818"/>
      <c r="Z419" s="818"/>
    </row>
    <row r="420" spans="1:26" ht="18.75" hidden="1">
      <c r="A420" s="940"/>
      <c r="B420" s="833"/>
      <c r="C420" s="833"/>
      <c r="D420" s="1061"/>
      <c r="E420" s="834" t="s">
        <v>184</v>
      </c>
      <c r="F420" s="833"/>
      <c r="G420" s="941"/>
      <c r="H420" s="165" t="s">
        <v>12</v>
      </c>
      <c r="I420" s="836"/>
      <c r="J420" s="836"/>
      <c r="K420" s="837"/>
      <c r="L420" s="837">
        <f t="shared" ref="L420:N421" si="187">L423+L430</f>
        <v>0</v>
      </c>
      <c r="M420" s="837">
        <f t="shared" si="187"/>
        <v>0</v>
      </c>
      <c r="N420" s="837">
        <f t="shared" si="187"/>
        <v>0</v>
      </c>
      <c r="O420" s="837">
        <f t="shared" si="185"/>
        <v>0</v>
      </c>
      <c r="P420" s="837">
        <f t="shared" si="186"/>
        <v>0</v>
      </c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</row>
    <row r="421" spans="1:26" ht="18.75" hidden="1">
      <c r="A421" s="940"/>
      <c r="B421" s="833"/>
      <c r="C421" s="833"/>
      <c r="D421" s="1061"/>
      <c r="E421" s="834" t="s">
        <v>185</v>
      </c>
      <c r="F421" s="833"/>
      <c r="G421" s="941"/>
      <c r="H421" s="165" t="s">
        <v>12</v>
      </c>
      <c r="I421" s="836"/>
      <c r="J421" s="836"/>
      <c r="K421" s="837"/>
      <c r="L421" s="837">
        <f t="shared" ca="1" si="187"/>
        <v>197440</v>
      </c>
      <c r="M421" s="837">
        <f t="shared" si="187"/>
        <v>0</v>
      </c>
      <c r="N421" s="837">
        <f t="shared" si="187"/>
        <v>55415</v>
      </c>
      <c r="O421" s="837">
        <f t="shared" ca="1" si="185"/>
        <v>28.066754457050244</v>
      </c>
      <c r="P421" s="837">
        <f t="shared" si="186"/>
        <v>0</v>
      </c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</row>
    <row r="422" spans="1:26" ht="18.75">
      <c r="A422" s="942"/>
      <c r="B422" s="1030"/>
      <c r="C422" s="827"/>
      <c r="D422" s="828" t="s">
        <v>20</v>
      </c>
      <c r="E422" s="827"/>
      <c r="F422" s="827"/>
      <c r="G422" s="829"/>
      <c r="H422" s="778" t="s">
        <v>12</v>
      </c>
      <c r="I422" s="944"/>
      <c r="J422" s="944"/>
      <c r="K422" s="945"/>
      <c r="L422" s="831">
        <f t="shared" ref="L422:N422" ca="1" si="188">L423+L424</f>
        <v>197440</v>
      </c>
      <c r="M422" s="831">
        <f t="shared" si="188"/>
        <v>0</v>
      </c>
      <c r="N422" s="831">
        <f t="shared" si="188"/>
        <v>55415</v>
      </c>
      <c r="O422" s="831">
        <f t="shared" ca="1" si="185"/>
        <v>28.066754457050244</v>
      </c>
      <c r="P422" s="831">
        <f t="shared" si="186"/>
        <v>0</v>
      </c>
      <c r="Q422" s="818"/>
      <c r="R422" s="818"/>
      <c r="S422" s="818"/>
      <c r="T422" s="818"/>
      <c r="U422" s="818"/>
      <c r="V422" s="818"/>
      <c r="W422" s="818"/>
      <c r="X422" s="818"/>
      <c r="Y422" s="818"/>
      <c r="Z422" s="818"/>
    </row>
    <row r="423" spans="1:26" ht="18.75" hidden="1">
      <c r="A423" s="940"/>
      <c r="B423" s="833"/>
      <c r="C423" s="833"/>
      <c r="D423" s="1061"/>
      <c r="E423" s="834" t="s">
        <v>184</v>
      </c>
      <c r="F423" s="833"/>
      <c r="G423" s="941"/>
      <c r="H423" s="165" t="s">
        <v>12</v>
      </c>
      <c r="I423" s="836"/>
      <c r="J423" s="836"/>
      <c r="K423" s="837"/>
      <c r="L423" s="837">
        <v>0</v>
      </c>
      <c r="M423" s="837">
        <v>0</v>
      </c>
      <c r="N423" s="837">
        <v>0</v>
      </c>
      <c r="O423" s="837">
        <f t="shared" si="185"/>
        <v>0</v>
      </c>
      <c r="P423" s="837">
        <f t="shared" si="186"/>
        <v>0</v>
      </c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</row>
    <row r="424" spans="1:26" ht="18.75" hidden="1">
      <c r="A424" s="940"/>
      <c r="B424" s="833"/>
      <c r="C424" s="833"/>
      <c r="D424" s="1061"/>
      <c r="E424" s="834" t="s">
        <v>185</v>
      </c>
      <c r="F424" s="833"/>
      <c r="G424" s="941"/>
      <c r="H424" s="165" t="s">
        <v>12</v>
      </c>
      <c r="I424" s="836"/>
      <c r="J424" s="836"/>
      <c r="K424" s="837"/>
      <c r="L424" s="837">
        <f ca="1">IFERROR(__xludf.DUMMYFUNCTION("IMPORTRANGE(""https://docs.google.com/spreadsheets/d/1QqKyyYR6Q21VydFLVH3TRQUabQu_ym0Zz7PgGX0-kHA/edit?usp=sharing"",""แผน!EY20"")"),197440)</f>
        <v>197440</v>
      </c>
      <c r="M424" s="837">
        <v>0</v>
      </c>
      <c r="N424" s="837">
        <f>N425+N426+N427+N428</f>
        <v>55415</v>
      </c>
      <c r="O424" s="837">
        <f t="shared" ca="1" si="185"/>
        <v>28.066754457050244</v>
      </c>
      <c r="P424" s="837">
        <f t="shared" si="186"/>
        <v>0</v>
      </c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</row>
    <row r="425" spans="1:26" ht="18.75">
      <c r="A425" s="1241"/>
      <c r="B425" s="1242"/>
      <c r="C425" s="1243"/>
      <c r="D425" s="1243"/>
      <c r="E425" s="1243"/>
      <c r="F425" s="1243" t="s">
        <v>186</v>
      </c>
      <c r="G425" s="963"/>
      <c r="H425" s="778" t="s">
        <v>12</v>
      </c>
      <c r="I425" s="830"/>
      <c r="J425" s="830"/>
      <c r="K425" s="831"/>
      <c r="L425" s="831"/>
      <c r="M425" s="831"/>
      <c r="N425" s="1031">
        <v>54395</v>
      </c>
      <c r="O425" s="831"/>
      <c r="P425" s="831"/>
      <c r="Q425" s="1244"/>
      <c r="R425" s="1244"/>
      <c r="S425" s="1244"/>
      <c r="T425" s="1244"/>
      <c r="U425" s="1244"/>
      <c r="V425" s="1244"/>
      <c r="W425" s="1244"/>
      <c r="X425" s="1244"/>
      <c r="Y425" s="1244"/>
      <c r="Z425" s="1244"/>
    </row>
    <row r="426" spans="1:26" ht="18.75">
      <c r="A426" s="1241"/>
      <c r="B426" s="1242"/>
      <c r="C426" s="1243"/>
      <c r="D426" s="1243"/>
      <c r="E426" s="1243"/>
      <c r="F426" s="1243" t="s">
        <v>187</v>
      </c>
      <c r="G426" s="963"/>
      <c r="H426" s="778" t="s">
        <v>12</v>
      </c>
      <c r="I426" s="830"/>
      <c r="J426" s="830"/>
      <c r="K426" s="831"/>
      <c r="L426" s="831"/>
      <c r="M426" s="831"/>
      <c r="N426" s="1031">
        <v>0</v>
      </c>
      <c r="O426" s="831"/>
      <c r="P426" s="831"/>
      <c r="Q426" s="1244"/>
      <c r="R426" s="1244"/>
      <c r="S426" s="1244"/>
      <c r="T426" s="1244"/>
      <c r="U426" s="1244"/>
      <c r="V426" s="1244"/>
      <c r="W426" s="1244"/>
      <c r="X426" s="1244"/>
      <c r="Y426" s="1244"/>
      <c r="Z426" s="1244"/>
    </row>
    <row r="427" spans="1:26" ht="18.75">
      <c r="A427" s="1241"/>
      <c r="B427" s="1242"/>
      <c r="C427" s="1243"/>
      <c r="D427" s="1243"/>
      <c r="E427" s="1243"/>
      <c r="F427" s="1243" t="s">
        <v>188</v>
      </c>
      <c r="G427" s="963"/>
      <c r="H427" s="778" t="s">
        <v>12</v>
      </c>
      <c r="I427" s="830"/>
      <c r="J427" s="830"/>
      <c r="K427" s="831"/>
      <c r="L427" s="831"/>
      <c r="M427" s="831"/>
      <c r="N427" s="1031">
        <v>0</v>
      </c>
      <c r="O427" s="831"/>
      <c r="P427" s="831"/>
      <c r="Q427" s="1244"/>
      <c r="R427" s="1244"/>
      <c r="S427" s="1244"/>
      <c r="T427" s="1244"/>
      <c r="U427" s="1244"/>
      <c r="V427" s="1244"/>
      <c r="W427" s="1244"/>
      <c r="X427" s="1244"/>
      <c r="Y427" s="1244"/>
      <c r="Z427" s="1244"/>
    </row>
    <row r="428" spans="1:26" ht="18.75">
      <c r="A428" s="1032"/>
      <c r="B428" s="1030"/>
      <c r="C428" s="827"/>
      <c r="D428" s="827"/>
      <c r="E428" s="827"/>
      <c r="F428" s="943" t="s">
        <v>189</v>
      </c>
      <c r="G428" s="977"/>
      <c r="H428" s="778" t="s">
        <v>12</v>
      </c>
      <c r="I428" s="830"/>
      <c r="J428" s="830"/>
      <c r="K428" s="831"/>
      <c r="L428" s="831"/>
      <c r="M428" s="831"/>
      <c r="N428" s="1031">
        <v>1020</v>
      </c>
      <c r="O428" s="831"/>
      <c r="P428" s="831"/>
      <c r="Q428" s="818"/>
      <c r="R428" s="818"/>
      <c r="S428" s="818"/>
      <c r="T428" s="818"/>
      <c r="U428" s="818"/>
      <c r="V428" s="818"/>
      <c r="W428" s="818"/>
      <c r="X428" s="818"/>
      <c r="Y428" s="818"/>
      <c r="Z428" s="818"/>
    </row>
    <row r="429" spans="1:26" ht="18.75">
      <c r="A429" s="942"/>
      <c r="B429" s="1030"/>
      <c r="C429" s="827"/>
      <c r="D429" s="828" t="s">
        <v>21</v>
      </c>
      <c r="E429" s="827"/>
      <c r="F429" s="827"/>
      <c r="G429" s="829"/>
      <c r="H429" s="168" t="s">
        <v>12</v>
      </c>
      <c r="I429" s="944"/>
      <c r="J429" s="944"/>
      <c r="K429" s="945"/>
      <c r="L429" s="831">
        <f t="shared" ref="L429:N429" ca="1" si="189">L430+L431</f>
        <v>0</v>
      </c>
      <c r="M429" s="831">
        <f t="shared" si="189"/>
        <v>0</v>
      </c>
      <c r="N429" s="831">
        <f t="shared" si="189"/>
        <v>0</v>
      </c>
      <c r="O429" s="831">
        <f t="shared" ref="O429:O431" ca="1" si="190">IF(L429&gt;0,N429*100/L429,0)</f>
        <v>0</v>
      </c>
      <c r="P429" s="831">
        <f t="shared" ref="P429:P431" si="191">IF(M429&gt;0,N429*100/M429,0)</f>
        <v>0</v>
      </c>
      <c r="Q429" s="818"/>
      <c r="R429" s="818"/>
      <c r="S429" s="818"/>
      <c r="T429" s="818"/>
      <c r="U429" s="818"/>
      <c r="V429" s="818"/>
      <c r="W429" s="818"/>
      <c r="X429" s="818"/>
      <c r="Y429" s="818"/>
      <c r="Z429" s="818"/>
    </row>
    <row r="430" spans="1:26" ht="18.75" hidden="1">
      <c r="A430" s="940"/>
      <c r="B430" s="1052"/>
      <c r="C430" s="833"/>
      <c r="D430" s="833"/>
      <c r="E430" s="834" t="s">
        <v>18</v>
      </c>
      <c r="F430" s="833"/>
      <c r="G430" s="835"/>
      <c r="H430" s="165" t="s">
        <v>12</v>
      </c>
      <c r="I430" s="947"/>
      <c r="J430" s="947"/>
      <c r="K430" s="948"/>
      <c r="L430" s="837">
        <v>0</v>
      </c>
      <c r="M430" s="837">
        <v>0</v>
      </c>
      <c r="N430" s="837">
        <v>0</v>
      </c>
      <c r="O430" s="837">
        <f t="shared" si="190"/>
        <v>0</v>
      </c>
      <c r="P430" s="837">
        <f t="shared" si="191"/>
        <v>0</v>
      </c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</row>
    <row r="431" spans="1:26" ht="18.75" hidden="1">
      <c r="A431" s="940"/>
      <c r="B431" s="1052"/>
      <c r="C431" s="833"/>
      <c r="D431" s="833"/>
      <c r="E431" s="834" t="s">
        <v>19</v>
      </c>
      <c r="F431" s="833"/>
      <c r="G431" s="835"/>
      <c r="H431" s="169" t="s">
        <v>12</v>
      </c>
      <c r="I431" s="947"/>
      <c r="J431" s="947"/>
      <c r="K431" s="948"/>
      <c r="L431" s="837">
        <f ca="1">IFERROR(__xludf.DUMMYFUNCTION("IMPORTRANGE(""https://docs.google.com/spreadsheets/d/1QqKyyYR6Q21VydFLVH3TRQUabQu_ym0Zz7PgGX0-kHA/edit?usp=sharing"",""แผน!FB20"")"),0)</f>
        <v>0</v>
      </c>
      <c r="M431" s="837">
        <v>0</v>
      </c>
      <c r="N431" s="837">
        <v>0</v>
      </c>
      <c r="O431" s="837">
        <f t="shared" ca="1" si="190"/>
        <v>0</v>
      </c>
      <c r="P431" s="837">
        <f t="shared" si="191"/>
        <v>0</v>
      </c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</row>
    <row r="432" spans="1:26" ht="19.5">
      <c r="A432" s="1112"/>
      <c r="B432" s="1113"/>
      <c r="C432" s="933" t="s">
        <v>16</v>
      </c>
      <c r="D432" s="1245" t="s">
        <v>38</v>
      </c>
      <c r="E432" s="1246"/>
      <c r="F432" s="1246"/>
      <c r="G432" s="1247"/>
      <c r="H432" s="1248"/>
      <c r="I432" s="937"/>
      <c r="J432" s="937"/>
      <c r="K432" s="938"/>
      <c r="L432" s="938"/>
      <c r="M432" s="938"/>
      <c r="N432" s="938"/>
      <c r="O432" s="938"/>
      <c r="P432" s="938"/>
      <c r="Q432" s="818"/>
      <c r="R432" s="818"/>
      <c r="S432" s="818"/>
      <c r="T432" s="818"/>
      <c r="U432" s="818"/>
      <c r="V432" s="818"/>
      <c r="W432" s="818"/>
      <c r="X432" s="818"/>
      <c r="Y432" s="818"/>
      <c r="Z432" s="818"/>
    </row>
    <row r="433" spans="1:26" ht="19.5">
      <c r="A433" s="949"/>
      <c r="B433" s="950"/>
      <c r="C433" s="950"/>
      <c r="D433" s="960" t="s">
        <v>190</v>
      </c>
      <c r="E433" s="957"/>
      <c r="F433" s="957"/>
      <c r="G433" s="958"/>
      <c r="H433" s="196" t="s">
        <v>35</v>
      </c>
      <c r="I433" s="966">
        <f ca="1">I435</f>
        <v>65</v>
      </c>
      <c r="J433" s="966">
        <f ca="1">IF(AND(J435=I435,J437=I437,J439=I439),I437+I439,IF(AND(J435=I437,J437=I437),I437,IF(AND(J435=I439,J439=I439),I439,0)))</f>
        <v>0</v>
      </c>
      <c r="K433" s="967">
        <f t="shared" ref="K433:K435" ca="1" si="192">IF(I433&gt;0,J433*100/I433,0)</f>
        <v>0</v>
      </c>
      <c r="L433" s="831"/>
      <c r="M433" s="831"/>
      <c r="N433" s="831"/>
      <c r="O433" s="831"/>
      <c r="P433" s="831"/>
      <c r="Q433" s="818"/>
      <c r="R433" s="818"/>
      <c r="S433" s="818"/>
      <c r="T433" s="818"/>
      <c r="U433" s="818"/>
      <c r="V433" s="818"/>
      <c r="W433" s="818"/>
      <c r="X433" s="818"/>
      <c r="Y433" s="818"/>
      <c r="Z433" s="818"/>
    </row>
    <row r="434" spans="1:26" ht="19.5">
      <c r="A434" s="949"/>
      <c r="B434" s="950"/>
      <c r="C434" s="950"/>
      <c r="D434" s="960" t="s">
        <v>191</v>
      </c>
      <c r="E434" s="957"/>
      <c r="F434" s="957"/>
      <c r="G434" s="958"/>
      <c r="H434" s="196" t="s">
        <v>49</v>
      </c>
      <c r="I434" s="966">
        <f t="shared" ref="I434:J434" ca="1" si="193">I438+I440</f>
        <v>2</v>
      </c>
      <c r="J434" s="966">
        <f t="shared" si="193"/>
        <v>1</v>
      </c>
      <c r="K434" s="967">
        <f t="shared" ca="1" si="192"/>
        <v>50</v>
      </c>
      <c r="L434" s="831"/>
      <c r="M434" s="831"/>
      <c r="N434" s="831"/>
      <c r="O434" s="831"/>
      <c r="P434" s="831"/>
      <c r="Q434" s="818"/>
      <c r="R434" s="818"/>
      <c r="S434" s="818"/>
      <c r="T434" s="818"/>
      <c r="U434" s="818"/>
      <c r="V434" s="818"/>
      <c r="W434" s="818"/>
      <c r="X434" s="818"/>
      <c r="Y434" s="818"/>
      <c r="Z434" s="818"/>
    </row>
    <row r="435" spans="1:26" ht="18.75">
      <c r="A435" s="949"/>
      <c r="B435" s="950"/>
      <c r="C435" s="950"/>
      <c r="D435" s="956" t="s">
        <v>192</v>
      </c>
      <c r="E435" s="957"/>
      <c r="F435" s="957"/>
      <c r="G435" s="958"/>
      <c r="H435" s="590" t="s">
        <v>35</v>
      </c>
      <c r="I435" s="548">
        <f ca="1">IFERROR(__xludf.DUMMYFUNCTION("IMPORTRANGE(""https://docs.google.com/spreadsheets/d/1QqKyyYR6Q21VydFLVH3TRQUabQu_ym0Zz7PgGX0-kHA/edit?usp=sharing"",""แผน!FC20"")"),65)</f>
        <v>65</v>
      </c>
      <c r="J435" s="549">
        <v>65</v>
      </c>
      <c r="K435" s="831">
        <f t="shared" ca="1" si="192"/>
        <v>100</v>
      </c>
      <c r="L435" s="831"/>
      <c r="M435" s="831"/>
      <c r="N435" s="831"/>
      <c r="O435" s="831"/>
      <c r="P435" s="831"/>
      <c r="Q435" s="818"/>
      <c r="R435" s="818"/>
      <c r="S435" s="818"/>
      <c r="T435" s="818"/>
      <c r="U435" s="818"/>
      <c r="V435" s="818"/>
      <c r="W435" s="818"/>
      <c r="X435" s="818"/>
      <c r="Y435" s="818"/>
      <c r="Z435" s="818"/>
    </row>
    <row r="436" spans="1:26" ht="18.75">
      <c r="A436" s="949"/>
      <c r="B436" s="950"/>
      <c r="C436" s="950"/>
      <c r="D436" s="956" t="s">
        <v>193</v>
      </c>
      <c r="E436" s="957"/>
      <c r="F436" s="957"/>
      <c r="G436" s="958"/>
      <c r="H436" s="590"/>
      <c r="I436" s="830"/>
      <c r="J436" s="830"/>
      <c r="K436" s="831"/>
      <c r="L436" s="831"/>
      <c r="M436" s="831"/>
      <c r="N436" s="831"/>
      <c r="O436" s="831"/>
      <c r="P436" s="831"/>
      <c r="Q436" s="818"/>
      <c r="R436" s="818"/>
      <c r="S436" s="818"/>
      <c r="T436" s="818"/>
      <c r="U436" s="818"/>
      <c r="V436" s="818"/>
      <c r="W436" s="818"/>
      <c r="X436" s="818"/>
      <c r="Y436" s="818"/>
      <c r="Z436" s="818"/>
    </row>
    <row r="437" spans="1:26" ht="18.75">
      <c r="A437" s="949"/>
      <c r="B437" s="950"/>
      <c r="C437" s="950"/>
      <c r="D437" s="956" t="s">
        <v>194</v>
      </c>
      <c r="E437" s="957"/>
      <c r="F437" s="957"/>
      <c r="G437" s="958"/>
      <c r="H437" s="590" t="s">
        <v>35</v>
      </c>
      <c r="I437" s="548">
        <f ca="1">IFERROR(__xludf.DUMMYFUNCTION("IMPORTRANGE(""https://docs.google.com/spreadsheets/d/1QqKyyYR6Q21VydFLVH3TRQUabQu_ym0Zz7PgGX0-kHA/edit?usp=sharing"",""แผน!FD20"")"),30)</f>
        <v>30</v>
      </c>
      <c r="J437" s="549">
        <v>0</v>
      </c>
      <c r="K437" s="831">
        <f t="shared" ref="K437:K443" ca="1" si="194">IF(I437&gt;0,J437*100/I437,0)</f>
        <v>0</v>
      </c>
      <c r="L437" s="831"/>
      <c r="M437" s="831"/>
      <c r="N437" s="831"/>
      <c r="O437" s="831"/>
      <c r="P437" s="831"/>
      <c r="Q437" s="818"/>
      <c r="R437" s="818"/>
      <c r="S437" s="818"/>
      <c r="T437" s="818"/>
      <c r="U437" s="818"/>
      <c r="V437" s="818"/>
      <c r="W437" s="818"/>
      <c r="X437" s="818"/>
      <c r="Y437" s="818"/>
      <c r="Z437" s="818"/>
    </row>
    <row r="438" spans="1:26" ht="18.75">
      <c r="A438" s="949"/>
      <c r="B438" s="950"/>
      <c r="C438" s="950"/>
      <c r="D438" s="956" t="s">
        <v>195</v>
      </c>
      <c r="E438" s="957"/>
      <c r="F438" s="957"/>
      <c r="G438" s="958"/>
      <c r="H438" s="590" t="s">
        <v>49</v>
      </c>
      <c r="I438" s="830">
        <f ca="1">IFERROR(__xludf.DUMMYFUNCTION("IMPORTRANGE(""https://docs.google.com/spreadsheets/d/1QqKyyYR6Q21VydFLVH3TRQUabQu_ym0Zz7PgGX0-kHA/edit?usp=sharing"",""แผน!FE20"")"),1)</f>
        <v>1</v>
      </c>
      <c r="J438" s="959">
        <v>0</v>
      </c>
      <c r="K438" s="831">
        <f t="shared" ca="1" si="194"/>
        <v>0</v>
      </c>
      <c r="L438" s="831"/>
      <c r="M438" s="831"/>
      <c r="N438" s="831"/>
      <c r="O438" s="831"/>
      <c r="P438" s="831"/>
      <c r="Q438" s="818"/>
      <c r="R438" s="818"/>
      <c r="S438" s="818"/>
      <c r="T438" s="818"/>
      <c r="U438" s="818"/>
      <c r="V438" s="818"/>
      <c r="W438" s="818"/>
      <c r="X438" s="818"/>
      <c r="Y438" s="818"/>
      <c r="Z438" s="818"/>
    </row>
    <row r="439" spans="1:26" ht="18.75">
      <c r="A439" s="949"/>
      <c r="B439" s="950"/>
      <c r="C439" s="950"/>
      <c r="D439" s="956" t="s">
        <v>196</v>
      </c>
      <c r="E439" s="957"/>
      <c r="F439" s="957"/>
      <c r="G439" s="958"/>
      <c r="H439" s="590" t="s">
        <v>35</v>
      </c>
      <c r="I439" s="548">
        <f ca="1">IFERROR(__xludf.DUMMYFUNCTION("IMPORTRANGE(""https://docs.google.com/spreadsheets/d/1QqKyyYR6Q21VydFLVH3TRQUabQu_ym0Zz7PgGX0-kHA/edit?usp=sharing"",""แผน!FF20"")"),35)</f>
        <v>35</v>
      </c>
      <c r="J439" s="549">
        <v>35</v>
      </c>
      <c r="K439" s="831">
        <f t="shared" ca="1" si="194"/>
        <v>100</v>
      </c>
      <c r="L439" s="831"/>
      <c r="M439" s="831"/>
      <c r="N439" s="831"/>
      <c r="O439" s="831"/>
      <c r="P439" s="831"/>
      <c r="Q439" s="818"/>
      <c r="R439" s="818"/>
      <c r="S439" s="818"/>
      <c r="T439" s="818"/>
      <c r="U439" s="818"/>
      <c r="V439" s="818"/>
      <c r="W439" s="818"/>
      <c r="X439" s="818"/>
      <c r="Y439" s="818"/>
      <c r="Z439" s="818"/>
    </row>
    <row r="440" spans="1:26" ht="18.75">
      <c r="A440" s="949"/>
      <c r="B440" s="950"/>
      <c r="C440" s="950"/>
      <c r="D440" s="956" t="s">
        <v>197</v>
      </c>
      <c r="E440" s="957"/>
      <c r="F440" s="957"/>
      <c r="G440" s="958"/>
      <c r="H440" s="590" t="s">
        <v>49</v>
      </c>
      <c r="I440" s="830">
        <f ca="1">IFERROR(__xludf.DUMMYFUNCTION("IMPORTRANGE(""https://docs.google.com/spreadsheets/d/1QqKyyYR6Q21VydFLVH3TRQUabQu_ym0Zz7PgGX0-kHA/edit?usp=sharing"",""แผน!FG20"")"),1)</f>
        <v>1</v>
      </c>
      <c r="J440" s="959">
        <v>1</v>
      </c>
      <c r="K440" s="831">
        <f t="shared" ca="1" si="194"/>
        <v>100</v>
      </c>
      <c r="L440" s="831"/>
      <c r="M440" s="831"/>
      <c r="N440" s="831"/>
      <c r="O440" s="831"/>
      <c r="P440" s="831"/>
      <c r="Q440" s="818"/>
      <c r="R440" s="818"/>
      <c r="S440" s="818"/>
      <c r="T440" s="818"/>
      <c r="U440" s="818"/>
      <c r="V440" s="818"/>
      <c r="W440" s="818"/>
      <c r="X440" s="818"/>
      <c r="Y440" s="818"/>
      <c r="Z440" s="818"/>
    </row>
    <row r="441" spans="1:26" ht="18.75" hidden="1">
      <c r="A441" s="949"/>
      <c r="B441" s="950"/>
      <c r="C441" s="950"/>
      <c r="D441" s="956" t="s">
        <v>198</v>
      </c>
      <c r="E441" s="957"/>
      <c r="F441" s="957"/>
      <c r="G441" s="958"/>
      <c r="H441" s="590" t="s">
        <v>35</v>
      </c>
      <c r="I441" s="830">
        <f ca="1">IFERROR(__xludf.DUMMYFUNCTION("IMPORTRANGE(""https://docs.google.com/spreadsheets/d/1QqKyyYR6Q21VydFLVH3TRQUabQu_ym0Zz7PgGX0-kHA/edit?usp=sharing"",""แผน!FH20"")"),0)</f>
        <v>0</v>
      </c>
      <c r="J441" s="830">
        <v>0</v>
      </c>
      <c r="K441" s="831">
        <f t="shared" ca="1" si="194"/>
        <v>0</v>
      </c>
      <c r="L441" s="831"/>
      <c r="M441" s="831"/>
      <c r="N441" s="831"/>
      <c r="O441" s="831"/>
      <c r="P441" s="831"/>
      <c r="Q441" s="818"/>
      <c r="R441" s="818"/>
      <c r="S441" s="818"/>
      <c r="T441" s="818"/>
      <c r="U441" s="818"/>
      <c r="V441" s="818"/>
      <c r="W441" s="818"/>
      <c r="X441" s="818"/>
      <c r="Y441" s="818"/>
      <c r="Z441" s="818"/>
    </row>
    <row r="442" spans="1:26" ht="19.5">
      <c r="A442" s="550">
        <v>2</v>
      </c>
      <c r="B442" s="1249" t="s">
        <v>199</v>
      </c>
      <c r="C442" s="1250"/>
      <c r="D442" s="1250"/>
      <c r="E442" s="1250"/>
      <c r="F442" s="1250"/>
      <c r="G442" s="1251"/>
      <c r="H442" s="554" t="s">
        <v>35</v>
      </c>
      <c r="I442" s="1252">
        <f t="shared" ref="I442:J442" ca="1" si="195">I460</f>
        <v>60</v>
      </c>
      <c r="J442" s="1252">
        <f t="shared" si="195"/>
        <v>60</v>
      </c>
      <c r="K442" s="1253">
        <f t="shared" ca="1" si="194"/>
        <v>100</v>
      </c>
      <c r="L442" s="1254"/>
      <c r="M442" s="1254"/>
      <c r="N442" s="1254"/>
      <c r="O442" s="1254"/>
      <c r="P442" s="1254"/>
      <c r="Q442" s="1244"/>
      <c r="R442" s="1244"/>
      <c r="S442" s="1244"/>
      <c r="T442" s="1244"/>
      <c r="U442" s="1244"/>
      <c r="V442" s="1244"/>
      <c r="W442" s="1244"/>
      <c r="X442" s="1244"/>
      <c r="Y442" s="1244"/>
      <c r="Z442" s="1244"/>
    </row>
    <row r="443" spans="1:26" ht="19.5">
      <c r="A443" s="1255"/>
      <c r="B443" s="1256"/>
      <c r="C443" s="1257"/>
      <c r="D443" s="1257"/>
      <c r="E443" s="1257"/>
      <c r="F443" s="1257"/>
      <c r="G443" s="1258"/>
      <c r="H443" s="532" t="s">
        <v>46</v>
      </c>
      <c r="I443" s="1237">
        <f t="shared" ref="I443:J443" ca="1" si="196">I462</f>
        <v>100</v>
      </c>
      <c r="J443" s="1237">
        <f t="shared" si="196"/>
        <v>0</v>
      </c>
      <c r="K443" s="1238">
        <f t="shared" ca="1" si="194"/>
        <v>0</v>
      </c>
      <c r="L443" s="1239"/>
      <c r="M443" s="1239"/>
      <c r="N443" s="1239"/>
      <c r="O443" s="1239"/>
      <c r="P443" s="1239"/>
      <c r="Q443" s="1244"/>
      <c r="R443" s="1244"/>
      <c r="S443" s="1244"/>
      <c r="T443" s="1244"/>
      <c r="U443" s="1244"/>
      <c r="V443" s="1244"/>
      <c r="W443" s="1244"/>
      <c r="X443" s="1244"/>
      <c r="Y443" s="1244"/>
      <c r="Z443" s="1244"/>
    </row>
    <row r="444" spans="1:26" ht="19.5">
      <c r="A444" s="1259"/>
      <c r="B444" s="1243"/>
      <c r="C444" s="1243" t="s">
        <v>16</v>
      </c>
      <c r="D444" s="1507" t="s">
        <v>17</v>
      </c>
      <c r="E444" s="1485"/>
      <c r="F444" s="1485"/>
      <c r="G444" s="963"/>
      <c r="H444" s="563" t="s">
        <v>12</v>
      </c>
      <c r="I444" s="830"/>
      <c r="J444" s="830"/>
      <c r="K444" s="831"/>
      <c r="L444" s="967">
        <f t="shared" ref="L444:N444" ca="1" si="197">L445+L446</f>
        <v>379600</v>
      </c>
      <c r="M444" s="967">
        <f t="shared" si="197"/>
        <v>0</v>
      </c>
      <c r="N444" s="967">
        <f t="shared" si="197"/>
        <v>128786</v>
      </c>
      <c r="O444" s="967">
        <f t="shared" ref="O444:O449" ca="1" si="198">IF(L444&gt;0,N444*100/L444,0)</f>
        <v>33.926765015806112</v>
      </c>
      <c r="P444" s="967">
        <f t="shared" ref="P444:P449" si="199">IF(M444&gt;0,N444*100/M444,0)</f>
        <v>0</v>
      </c>
      <c r="Q444" s="1244"/>
      <c r="R444" s="1244"/>
      <c r="S444" s="1244"/>
      <c r="T444" s="1244"/>
      <c r="U444" s="1244"/>
      <c r="V444" s="1244"/>
      <c r="W444" s="1244"/>
      <c r="X444" s="1244"/>
      <c r="Y444" s="1244"/>
      <c r="Z444" s="1244"/>
    </row>
    <row r="445" spans="1:26" ht="18.75" hidden="1">
      <c r="A445" s="1260"/>
      <c r="B445" s="1261"/>
      <c r="C445" s="1261"/>
      <c r="D445" s="1262"/>
      <c r="E445" s="1261" t="s">
        <v>184</v>
      </c>
      <c r="F445" s="1261"/>
      <c r="G445" s="1263"/>
      <c r="H445" s="165" t="s">
        <v>12</v>
      </c>
      <c r="I445" s="836"/>
      <c r="J445" s="836"/>
      <c r="K445" s="837"/>
      <c r="L445" s="837">
        <f t="shared" ref="L445:N446" si="200">L448+L455</f>
        <v>0</v>
      </c>
      <c r="M445" s="837">
        <f t="shared" si="200"/>
        <v>0</v>
      </c>
      <c r="N445" s="837">
        <f t="shared" si="200"/>
        <v>0</v>
      </c>
      <c r="O445" s="837">
        <f t="shared" si="198"/>
        <v>0</v>
      </c>
      <c r="P445" s="837">
        <f t="shared" si="199"/>
        <v>0</v>
      </c>
      <c r="Q445" s="1264"/>
      <c r="R445" s="1264"/>
      <c r="S445" s="1264"/>
      <c r="T445" s="1264"/>
      <c r="U445" s="1264"/>
      <c r="V445" s="1264"/>
      <c r="W445" s="1264"/>
      <c r="X445" s="1264"/>
      <c r="Y445" s="1264"/>
      <c r="Z445" s="1264"/>
    </row>
    <row r="446" spans="1:26" ht="18.75" hidden="1">
      <c r="A446" s="1260"/>
      <c r="B446" s="1265"/>
      <c r="C446" s="1261"/>
      <c r="D446" s="1262"/>
      <c r="E446" s="1261" t="s">
        <v>185</v>
      </c>
      <c r="F446" s="1261"/>
      <c r="G446" s="1263"/>
      <c r="H446" s="165" t="s">
        <v>12</v>
      </c>
      <c r="I446" s="836"/>
      <c r="J446" s="836"/>
      <c r="K446" s="837"/>
      <c r="L446" s="837">
        <f t="shared" ca="1" si="200"/>
        <v>379600</v>
      </c>
      <c r="M446" s="837">
        <f t="shared" si="200"/>
        <v>0</v>
      </c>
      <c r="N446" s="837">
        <f t="shared" si="200"/>
        <v>128786</v>
      </c>
      <c r="O446" s="837">
        <f t="shared" ca="1" si="198"/>
        <v>33.926765015806112</v>
      </c>
      <c r="P446" s="837">
        <f t="shared" si="199"/>
        <v>0</v>
      </c>
      <c r="Q446" s="1264"/>
      <c r="R446" s="1264"/>
      <c r="S446" s="1264"/>
      <c r="T446" s="1264"/>
      <c r="U446" s="1264"/>
      <c r="V446" s="1264"/>
      <c r="W446" s="1264"/>
      <c r="X446" s="1264"/>
      <c r="Y446" s="1264"/>
      <c r="Z446" s="1264"/>
    </row>
    <row r="447" spans="1:26" ht="18.75">
      <c r="A447" s="1259"/>
      <c r="B447" s="1242"/>
      <c r="C447" s="1243"/>
      <c r="D447" s="1266" t="s">
        <v>20</v>
      </c>
      <c r="E447" s="1243"/>
      <c r="F447" s="1243"/>
      <c r="G447" s="963"/>
      <c r="H447" s="778" t="s">
        <v>12</v>
      </c>
      <c r="I447" s="944"/>
      <c r="J447" s="944"/>
      <c r="K447" s="945"/>
      <c r="L447" s="831">
        <f t="shared" ref="L447:N447" ca="1" si="201">L448+L449</f>
        <v>379600</v>
      </c>
      <c r="M447" s="831">
        <f t="shared" si="201"/>
        <v>0</v>
      </c>
      <c r="N447" s="831">
        <f t="shared" si="201"/>
        <v>128786</v>
      </c>
      <c r="O447" s="831">
        <f t="shared" ca="1" si="198"/>
        <v>33.926765015806112</v>
      </c>
      <c r="P447" s="831">
        <f t="shared" si="199"/>
        <v>0</v>
      </c>
      <c r="Q447" s="1244"/>
      <c r="R447" s="1244"/>
      <c r="S447" s="1244"/>
      <c r="T447" s="1244"/>
      <c r="U447" s="1244"/>
      <c r="V447" s="1244"/>
      <c r="W447" s="1244"/>
      <c r="X447" s="1244"/>
      <c r="Y447" s="1244"/>
      <c r="Z447" s="1244"/>
    </row>
    <row r="448" spans="1:26" ht="18.75" hidden="1">
      <c r="A448" s="1260"/>
      <c r="B448" s="1265"/>
      <c r="C448" s="1261"/>
      <c r="D448" s="1262"/>
      <c r="E448" s="1261" t="s">
        <v>184</v>
      </c>
      <c r="F448" s="1261"/>
      <c r="G448" s="1263"/>
      <c r="H448" s="165" t="s">
        <v>12</v>
      </c>
      <c r="I448" s="836"/>
      <c r="J448" s="836"/>
      <c r="K448" s="837"/>
      <c r="L448" s="837">
        <v>0</v>
      </c>
      <c r="M448" s="837">
        <v>0</v>
      </c>
      <c r="N448" s="837">
        <v>0</v>
      </c>
      <c r="O448" s="837">
        <f t="shared" si="198"/>
        <v>0</v>
      </c>
      <c r="P448" s="837">
        <f t="shared" si="199"/>
        <v>0</v>
      </c>
      <c r="Q448" s="1264"/>
      <c r="R448" s="1264"/>
      <c r="S448" s="1264"/>
      <c r="T448" s="1264"/>
      <c r="U448" s="1264"/>
      <c r="V448" s="1264"/>
      <c r="W448" s="1264"/>
      <c r="X448" s="1264"/>
      <c r="Y448" s="1264"/>
      <c r="Z448" s="1264"/>
    </row>
    <row r="449" spans="1:26" ht="18.75" hidden="1">
      <c r="A449" s="1260"/>
      <c r="B449" s="1265"/>
      <c r="C449" s="1261"/>
      <c r="D449" s="1262"/>
      <c r="E449" s="1261" t="s">
        <v>185</v>
      </c>
      <c r="F449" s="1261"/>
      <c r="G449" s="1263"/>
      <c r="H449" s="165" t="s">
        <v>12</v>
      </c>
      <c r="I449" s="836"/>
      <c r="J449" s="836"/>
      <c r="K449" s="837"/>
      <c r="L449" s="837">
        <f ca="1">IFERROR(__xludf.DUMMYFUNCTION("IMPORTRANGE(""https://docs.google.com/spreadsheets/d/1QqKyyYR6Q21VydFLVH3TRQUabQu_ym0Zz7PgGX0-kHA/edit?usp=sharing"",""แผน!FJ20"")"),379600)</f>
        <v>379600</v>
      </c>
      <c r="M449" s="837">
        <v>0</v>
      </c>
      <c r="N449" s="837">
        <f>N450+N451+N452+N453</f>
        <v>128786</v>
      </c>
      <c r="O449" s="837">
        <f t="shared" ca="1" si="198"/>
        <v>33.926765015806112</v>
      </c>
      <c r="P449" s="837">
        <f t="shared" si="199"/>
        <v>0</v>
      </c>
      <c r="Q449" s="1264"/>
      <c r="R449" s="1264"/>
      <c r="S449" s="1264"/>
      <c r="T449" s="1264"/>
      <c r="U449" s="1264"/>
      <c r="V449" s="1264"/>
      <c r="W449" s="1264"/>
      <c r="X449" s="1264"/>
      <c r="Y449" s="1264"/>
      <c r="Z449" s="1264"/>
    </row>
    <row r="450" spans="1:26" ht="18.75">
      <c r="A450" s="1241"/>
      <c r="B450" s="1242"/>
      <c r="C450" s="1243"/>
      <c r="D450" s="1243"/>
      <c r="E450" s="1243"/>
      <c r="F450" s="1243" t="s">
        <v>186</v>
      </c>
      <c r="G450" s="963"/>
      <c r="H450" s="778" t="s">
        <v>12</v>
      </c>
      <c r="I450" s="830"/>
      <c r="J450" s="830"/>
      <c r="K450" s="831"/>
      <c r="L450" s="831"/>
      <c r="M450" s="831"/>
      <c r="N450" s="1031">
        <v>73580</v>
      </c>
      <c r="O450" s="831"/>
      <c r="P450" s="831"/>
      <c r="Q450" s="1244"/>
      <c r="R450" s="1244"/>
      <c r="S450" s="1244"/>
      <c r="T450" s="1244"/>
      <c r="U450" s="1244"/>
      <c r="V450" s="1244"/>
      <c r="W450" s="1244"/>
      <c r="X450" s="1244"/>
      <c r="Y450" s="1244"/>
      <c r="Z450" s="1244"/>
    </row>
    <row r="451" spans="1:26" ht="18.75">
      <c r="A451" s="1241"/>
      <c r="B451" s="1242"/>
      <c r="C451" s="1243"/>
      <c r="D451" s="1243"/>
      <c r="E451" s="1243"/>
      <c r="F451" s="1243" t="s">
        <v>187</v>
      </c>
      <c r="G451" s="963"/>
      <c r="H451" s="778" t="s">
        <v>12</v>
      </c>
      <c r="I451" s="830"/>
      <c r="J451" s="830"/>
      <c r="K451" s="831"/>
      <c r="L451" s="831"/>
      <c r="M451" s="831"/>
      <c r="N451" s="1031">
        <v>0</v>
      </c>
      <c r="O451" s="831"/>
      <c r="P451" s="831"/>
      <c r="Q451" s="1244"/>
      <c r="R451" s="1244"/>
      <c r="S451" s="1244"/>
      <c r="T451" s="1244"/>
      <c r="U451" s="1244"/>
      <c r="V451" s="1244"/>
      <c r="W451" s="1244"/>
      <c r="X451" s="1244"/>
      <c r="Y451" s="1244"/>
      <c r="Z451" s="1244"/>
    </row>
    <row r="452" spans="1:26" ht="18.75">
      <c r="A452" s="1241"/>
      <c r="B452" s="1242"/>
      <c r="C452" s="1242"/>
      <c r="D452" s="1242"/>
      <c r="E452" s="1242"/>
      <c r="F452" s="1243" t="s">
        <v>188</v>
      </c>
      <c r="G452" s="963"/>
      <c r="H452" s="778" t="s">
        <v>12</v>
      </c>
      <c r="I452" s="830"/>
      <c r="J452" s="830"/>
      <c r="K452" s="831"/>
      <c r="L452" s="831"/>
      <c r="M452" s="831"/>
      <c r="N452" s="1031">
        <v>51566</v>
      </c>
      <c r="O452" s="831"/>
      <c r="P452" s="831"/>
      <c r="Q452" s="1244"/>
      <c r="R452" s="1244"/>
      <c r="S452" s="1244"/>
      <c r="T452" s="1244"/>
      <c r="U452" s="1244"/>
      <c r="V452" s="1244"/>
      <c r="W452" s="1244"/>
      <c r="X452" s="1244"/>
      <c r="Y452" s="1244"/>
      <c r="Z452" s="1244"/>
    </row>
    <row r="453" spans="1:26" ht="18.75">
      <c r="A453" s="1241"/>
      <c r="B453" s="1242"/>
      <c r="C453" s="1242"/>
      <c r="D453" s="1242"/>
      <c r="E453" s="1242"/>
      <c r="F453" s="1243" t="s">
        <v>189</v>
      </c>
      <c r="G453" s="963"/>
      <c r="H453" s="778" t="s">
        <v>12</v>
      </c>
      <c r="I453" s="830"/>
      <c r="J453" s="830"/>
      <c r="K453" s="831"/>
      <c r="L453" s="831"/>
      <c r="M453" s="831"/>
      <c r="N453" s="1031">
        <v>3640</v>
      </c>
      <c r="O453" s="831"/>
      <c r="P453" s="831"/>
      <c r="Q453" s="1244"/>
      <c r="R453" s="1244"/>
      <c r="S453" s="1244"/>
      <c r="T453" s="1244"/>
      <c r="U453" s="1244"/>
      <c r="V453" s="1244"/>
      <c r="W453" s="1244"/>
      <c r="X453" s="1244"/>
      <c r="Y453" s="1244"/>
      <c r="Z453" s="1244"/>
    </row>
    <row r="454" spans="1:26" ht="18.75">
      <c r="A454" s="1259"/>
      <c r="B454" s="1242"/>
      <c r="C454" s="1242"/>
      <c r="D454" s="1266" t="s">
        <v>21</v>
      </c>
      <c r="E454" s="1242"/>
      <c r="F454" s="1243"/>
      <c r="G454" s="963"/>
      <c r="H454" s="168" t="s">
        <v>12</v>
      </c>
      <c r="I454" s="944"/>
      <c r="J454" s="944"/>
      <c r="K454" s="945"/>
      <c r="L454" s="831">
        <f t="shared" ref="L454:N454" ca="1" si="202">L455+L456</f>
        <v>0</v>
      </c>
      <c r="M454" s="831">
        <f t="shared" si="202"/>
        <v>0</v>
      </c>
      <c r="N454" s="831">
        <f t="shared" si="202"/>
        <v>0</v>
      </c>
      <c r="O454" s="831">
        <f t="shared" ref="O454:O456" ca="1" si="203">IF(L454&gt;0,N454*100/L454,0)</f>
        <v>0</v>
      </c>
      <c r="P454" s="831">
        <f t="shared" ref="P454:P456" si="204">IF(M454&gt;0,N454*100/M454,0)</f>
        <v>0</v>
      </c>
      <c r="Q454" s="1244"/>
      <c r="R454" s="1244"/>
      <c r="S454" s="1244"/>
      <c r="T454" s="1244"/>
      <c r="U454" s="1244"/>
      <c r="V454" s="1244"/>
      <c r="W454" s="1244"/>
      <c r="X454" s="1244"/>
      <c r="Y454" s="1244"/>
      <c r="Z454" s="1244"/>
    </row>
    <row r="455" spans="1:26" ht="18.75" hidden="1">
      <c r="A455" s="1260"/>
      <c r="B455" s="1265"/>
      <c r="C455" s="1265"/>
      <c r="D455" s="1265"/>
      <c r="E455" s="1265" t="s">
        <v>18</v>
      </c>
      <c r="F455" s="1261"/>
      <c r="G455" s="1263"/>
      <c r="H455" s="165" t="s">
        <v>12</v>
      </c>
      <c r="I455" s="947"/>
      <c r="J455" s="947"/>
      <c r="K455" s="948"/>
      <c r="L455" s="837">
        <v>0</v>
      </c>
      <c r="M455" s="837">
        <v>0</v>
      </c>
      <c r="N455" s="837">
        <v>0</v>
      </c>
      <c r="O455" s="837">
        <f t="shared" si="203"/>
        <v>0</v>
      </c>
      <c r="P455" s="837">
        <f t="shared" si="204"/>
        <v>0</v>
      </c>
      <c r="Q455" s="1264"/>
      <c r="R455" s="1264"/>
      <c r="S455" s="1264"/>
      <c r="T455" s="1264"/>
      <c r="U455" s="1264"/>
      <c r="V455" s="1264"/>
      <c r="W455" s="1264"/>
      <c r="X455" s="1264"/>
      <c r="Y455" s="1264"/>
      <c r="Z455" s="1264"/>
    </row>
    <row r="456" spans="1:26" ht="18.75" hidden="1">
      <c r="A456" s="1260"/>
      <c r="B456" s="1265"/>
      <c r="C456" s="1265"/>
      <c r="D456" s="1265"/>
      <c r="E456" s="1265" t="s">
        <v>19</v>
      </c>
      <c r="F456" s="1261"/>
      <c r="G456" s="1263"/>
      <c r="H456" s="169" t="s">
        <v>12</v>
      </c>
      <c r="I456" s="947"/>
      <c r="J456" s="947"/>
      <c r="K456" s="948"/>
      <c r="L456" s="837">
        <f ca="1">IFERROR(__xludf.DUMMYFUNCTION("IMPORTRANGE(""https://docs.google.com/spreadsheets/d/1QqKyyYR6Q21VydFLVH3TRQUabQu_ym0Zz7PgGX0-kHA/edit?usp=sharing"",""แผน!FM20"")"),0)</f>
        <v>0</v>
      </c>
      <c r="M456" s="837">
        <v>0</v>
      </c>
      <c r="N456" s="837">
        <v>0</v>
      </c>
      <c r="O456" s="837">
        <f t="shared" ca="1" si="203"/>
        <v>0</v>
      </c>
      <c r="P456" s="837">
        <f t="shared" si="204"/>
        <v>0</v>
      </c>
      <c r="Q456" s="1264"/>
      <c r="R456" s="1264"/>
      <c r="S456" s="1264"/>
      <c r="T456" s="1264"/>
      <c r="U456" s="1264"/>
      <c r="V456" s="1264"/>
      <c r="W456" s="1264"/>
      <c r="X456" s="1264"/>
      <c r="Y456" s="1264"/>
      <c r="Z456" s="1264"/>
    </row>
    <row r="457" spans="1:26" ht="19.5">
      <c r="A457" s="1267"/>
      <c r="B457" s="1268"/>
      <c r="C457" s="1242" t="s">
        <v>16</v>
      </c>
      <c r="D457" s="1269" t="s">
        <v>38</v>
      </c>
      <c r="E457" s="1270"/>
      <c r="F457" s="1271"/>
      <c r="G457" s="1272"/>
      <c r="H457" s="954"/>
      <c r="I457" s="830"/>
      <c r="J457" s="830"/>
      <c r="K457" s="831"/>
      <c r="L457" s="831"/>
      <c r="M457" s="831"/>
      <c r="N457" s="831"/>
      <c r="O457" s="831"/>
      <c r="P457" s="831"/>
      <c r="Q457" s="1244"/>
      <c r="R457" s="1244"/>
      <c r="S457" s="1244"/>
      <c r="T457" s="1244"/>
      <c r="U457" s="1244"/>
      <c r="V457" s="1244"/>
      <c r="W457" s="1244"/>
      <c r="X457" s="1244"/>
      <c r="Y457" s="1244"/>
      <c r="Z457" s="1244"/>
    </row>
    <row r="458" spans="1:26" ht="18.75" hidden="1">
      <c r="A458" s="1273"/>
      <c r="B458" s="1274"/>
      <c r="C458" s="1274"/>
      <c r="D458" s="1274" t="s">
        <v>200</v>
      </c>
      <c r="E458" s="1274"/>
      <c r="F458" s="1262"/>
      <c r="G458" s="1060"/>
      <c r="H458" s="583" t="s">
        <v>35</v>
      </c>
      <c r="I458" s="836">
        <v>0</v>
      </c>
      <c r="J458" s="836">
        <v>0</v>
      </c>
      <c r="K458" s="837">
        <f>IF(I458&gt;0,J458*100/I458,0)</f>
        <v>0</v>
      </c>
      <c r="L458" s="837"/>
      <c r="M458" s="837"/>
      <c r="N458" s="837"/>
      <c r="O458" s="837"/>
      <c r="P458" s="837"/>
      <c r="Q458" s="1264"/>
      <c r="R458" s="1264"/>
      <c r="S458" s="1264"/>
      <c r="T458" s="1264"/>
      <c r="U458" s="1264"/>
      <c r="V458" s="1264"/>
      <c r="W458" s="1264"/>
      <c r="X458" s="1264"/>
      <c r="Y458" s="1264"/>
      <c r="Z458" s="1264"/>
    </row>
    <row r="459" spans="1:26" ht="18.75" hidden="1">
      <c r="A459" s="1273"/>
      <c r="B459" s="1274"/>
      <c r="C459" s="1274"/>
      <c r="D459" s="1274" t="s">
        <v>201</v>
      </c>
      <c r="E459" s="1274"/>
      <c r="F459" s="1262"/>
      <c r="G459" s="1060"/>
      <c r="H459" s="583"/>
      <c r="I459" s="836"/>
      <c r="J459" s="836"/>
      <c r="K459" s="837"/>
      <c r="L459" s="837"/>
      <c r="M459" s="837"/>
      <c r="N459" s="837"/>
      <c r="O459" s="837"/>
      <c r="P459" s="837"/>
      <c r="Q459" s="1264"/>
      <c r="R459" s="1264"/>
      <c r="S459" s="1264"/>
      <c r="T459" s="1264"/>
      <c r="U459" s="1264"/>
      <c r="V459" s="1264"/>
      <c r="W459" s="1264"/>
      <c r="X459" s="1264"/>
      <c r="Y459" s="1264"/>
      <c r="Z459" s="1264"/>
    </row>
    <row r="460" spans="1:26" ht="18.75">
      <c r="A460" s="1267"/>
      <c r="B460" s="1268"/>
      <c r="C460" s="1268"/>
      <c r="D460" s="1268" t="s">
        <v>202</v>
      </c>
      <c r="E460" s="1268"/>
      <c r="F460" s="961"/>
      <c r="G460" s="954"/>
      <c r="H460" s="730" t="s">
        <v>35</v>
      </c>
      <c r="I460" s="830">
        <f ca="1">IFERROR(__xludf.DUMMYFUNCTION("IMPORTRANGE(""https://docs.google.com/spreadsheets/d/1QqKyyYR6Q21VydFLVH3TRQUabQu_ym0Zz7PgGX0-kHA/edit?usp=sharing"",""แผน!FN20"")"),60)</f>
        <v>60</v>
      </c>
      <c r="J460" s="959">
        <v>60</v>
      </c>
      <c r="K460" s="831">
        <f ca="1">IF(I460&gt;0,J460*100/I460,0)</f>
        <v>100</v>
      </c>
      <c r="L460" s="831"/>
      <c r="M460" s="831"/>
      <c r="N460" s="831"/>
      <c r="O460" s="831"/>
      <c r="P460" s="831"/>
      <c r="Q460" s="1244"/>
      <c r="R460" s="1244"/>
      <c r="S460" s="1244"/>
      <c r="T460" s="1244"/>
      <c r="U460" s="1244"/>
      <c r="V460" s="1244"/>
      <c r="W460" s="1244"/>
      <c r="X460" s="1244"/>
      <c r="Y460" s="1244"/>
      <c r="Z460" s="1244"/>
    </row>
    <row r="461" spans="1:26" ht="18.75">
      <c r="A461" s="1267"/>
      <c r="B461" s="1268"/>
      <c r="C461" s="1268"/>
      <c r="D461" s="1268" t="s">
        <v>203</v>
      </c>
      <c r="E461" s="961"/>
      <c r="F461" s="961"/>
      <c r="G461" s="954"/>
      <c r="H461" s="730"/>
      <c r="I461" s="830"/>
      <c r="J461" s="830"/>
      <c r="K461" s="831"/>
      <c r="L461" s="831"/>
      <c r="M461" s="831"/>
      <c r="N461" s="831"/>
      <c r="O461" s="831"/>
      <c r="P461" s="831"/>
      <c r="Q461" s="1244"/>
      <c r="R461" s="1244"/>
      <c r="S461" s="1244"/>
      <c r="T461" s="1244"/>
      <c r="U461" s="1244"/>
      <c r="V461" s="1244"/>
      <c r="W461" s="1244"/>
      <c r="X461" s="1244"/>
      <c r="Y461" s="1244"/>
      <c r="Z461" s="1244"/>
    </row>
    <row r="462" spans="1:26" ht="18.75">
      <c r="A462" s="1267"/>
      <c r="B462" s="1268"/>
      <c r="C462" s="1268"/>
      <c r="D462" s="1268" t="s">
        <v>204</v>
      </c>
      <c r="E462" s="961"/>
      <c r="F462" s="961"/>
      <c r="G462" s="954"/>
      <c r="H462" s="730" t="s">
        <v>46</v>
      </c>
      <c r="I462" s="830">
        <f ca="1">IFERROR(__xludf.DUMMYFUNCTION("IMPORTRANGE(""https://docs.google.com/spreadsheets/d/1QqKyyYR6Q21VydFLVH3TRQUabQu_ym0Zz7PgGX0-kHA/edit?usp=sharing"",""แผน!FO20"")"),100)</f>
        <v>100</v>
      </c>
      <c r="J462" s="959">
        <v>0</v>
      </c>
      <c r="K462" s="831">
        <f ca="1">IF(I462&gt;0,J462*100/I462,0)</f>
        <v>0</v>
      </c>
      <c r="L462" s="831"/>
      <c r="M462" s="831"/>
      <c r="N462" s="831"/>
      <c r="O462" s="831"/>
      <c r="P462" s="831"/>
      <c r="Q462" s="1244"/>
      <c r="R462" s="1244"/>
      <c r="S462" s="1244"/>
      <c r="T462" s="1244"/>
      <c r="U462" s="1244"/>
      <c r="V462" s="1244"/>
      <c r="W462" s="1244"/>
      <c r="X462" s="1244"/>
      <c r="Y462" s="1244"/>
      <c r="Z462" s="1244"/>
    </row>
    <row r="463" spans="1:26" ht="18.75">
      <c r="A463" s="1267"/>
      <c r="B463" s="1268"/>
      <c r="C463" s="1268"/>
      <c r="D463" s="1268" t="s">
        <v>59</v>
      </c>
      <c r="E463" s="961"/>
      <c r="F463" s="1243"/>
      <c r="G463" s="963"/>
      <c r="H463" s="730" t="s">
        <v>46</v>
      </c>
      <c r="I463" s="830">
        <f ca="1">IFERROR(__xludf.DUMMYFUNCTION("IMPORTRANGE(""https://docs.google.com/spreadsheets/d/1QqKyyYR6Q21VydFLVH3TRQUabQu_ym0Zz7PgGX0-kHA/edit?usp=sharing"",""แผน!FO20"")"),100)</f>
        <v>100</v>
      </c>
      <c r="J463" s="959">
        <v>0</v>
      </c>
      <c r="K463" s="831"/>
      <c r="L463" s="831"/>
      <c r="M463" s="831"/>
      <c r="N463" s="831"/>
      <c r="O463" s="831"/>
      <c r="P463" s="831"/>
      <c r="Q463" s="1244"/>
      <c r="R463" s="1244"/>
      <c r="S463" s="1244"/>
      <c r="T463" s="1244"/>
      <c r="U463" s="1244"/>
      <c r="V463" s="1244"/>
      <c r="W463" s="1244"/>
      <c r="X463" s="1244"/>
      <c r="Y463" s="1244"/>
      <c r="Z463" s="1244"/>
    </row>
    <row r="464" spans="1:26" ht="19.5">
      <c r="A464" s="1267"/>
      <c r="B464" s="1268"/>
      <c r="C464" s="1268"/>
      <c r="D464" s="1268"/>
      <c r="E464" s="961"/>
      <c r="F464" s="961"/>
      <c r="G464" s="1275"/>
      <c r="H464" s="730" t="s">
        <v>35</v>
      </c>
      <c r="I464" s="830">
        <f ca="1">IFERROR(__xludf.DUMMYFUNCTION("IMPORTRANGE(""https://docs.google.com/spreadsheets/d/1QqKyyYR6Q21VydFLVH3TRQUabQu_ym0Zz7PgGX0-kHA/edit?usp=sharing"",""แผน!FN20"")"),60)</f>
        <v>60</v>
      </c>
      <c r="J464" s="959">
        <v>0</v>
      </c>
      <c r="K464" s="831"/>
      <c r="L464" s="831"/>
      <c r="M464" s="831"/>
      <c r="N464" s="831"/>
      <c r="O464" s="831"/>
      <c r="P464" s="831"/>
      <c r="Q464" s="1244"/>
      <c r="R464" s="1244"/>
      <c r="S464" s="1244"/>
      <c r="T464" s="1244"/>
      <c r="U464" s="1244"/>
      <c r="V464" s="1244"/>
      <c r="W464" s="1244"/>
      <c r="X464" s="1244"/>
      <c r="Y464" s="1244"/>
      <c r="Z464" s="1244"/>
    </row>
    <row r="465" spans="1:26" ht="19.5">
      <c r="A465" s="550">
        <v>3</v>
      </c>
      <c r="B465" s="1249" t="s">
        <v>205</v>
      </c>
      <c r="C465" s="1250"/>
      <c r="D465" s="1250"/>
      <c r="E465" s="1250"/>
      <c r="F465" s="1250"/>
      <c r="G465" s="1251"/>
      <c r="H465" s="554" t="s">
        <v>35</v>
      </c>
      <c r="I465" s="1252">
        <f ca="1">IFERROR(__xludf.DUMMYFUNCTION("IMPORTRANGE(""https://docs.google.com/spreadsheets/d/1QqKyyYR6Q21VydFLVH3TRQUabQu_ym0Zz7PgGX0-kHA/edit?usp=sharing"",""แผน!FX20"")"),31)</f>
        <v>31</v>
      </c>
      <c r="J465" s="1252">
        <f>J485+J489+J492</f>
        <v>3</v>
      </c>
      <c r="K465" s="1253">
        <f t="shared" ref="K465:K466" ca="1" si="205">IF(I465&gt;0,J465*100/I465,0)</f>
        <v>9.67741935483871</v>
      </c>
      <c r="L465" s="1254"/>
      <c r="M465" s="1254"/>
      <c r="N465" s="1254"/>
      <c r="O465" s="1254"/>
      <c r="P465" s="1254"/>
      <c r="Q465" s="1244"/>
      <c r="R465" s="1244"/>
      <c r="S465" s="1244"/>
      <c r="T465" s="1244"/>
      <c r="U465" s="1244"/>
      <c r="V465" s="1244"/>
      <c r="W465" s="1244"/>
      <c r="X465" s="1244"/>
      <c r="Y465" s="1244"/>
      <c r="Z465" s="1244"/>
    </row>
    <row r="466" spans="1:26" ht="19.5">
      <c r="A466" s="1255"/>
      <c r="B466" s="1256"/>
      <c r="C466" s="1257"/>
      <c r="D466" s="1257"/>
      <c r="E466" s="1257"/>
      <c r="F466" s="1257"/>
      <c r="G466" s="1258"/>
      <c r="H466" s="532" t="s">
        <v>46</v>
      </c>
      <c r="I466" s="1237">
        <f ca="1">IFERROR(__xludf.DUMMYFUNCTION("IMPORTRANGE(""https://docs.google.com/spreadsheets/d/1QqKyyYR6Q21VydFLVH3TRQUabQu_ym0Zz7PgGX0-kHA/edit?usp=sharing"",""แผน!FW20"")"),300)</f>
        <v>300</v>
      </c>
      <c r="J466" s="1237">
        <f>J495+J498</f>
        <v>0</v>
      </c>
      <c r="K466" s="1238">
        <f t="shared" ca="1" si="205"/>
        <v>0</v>
      </c>
      <c r="L466" s="1239"/>
      <c r="M466" s="1239"/>
      <c r="N466" s="1239"/>
      <c r="O466" s="1239"/>
      <c r="P466" s="1239"/>
      <c r="Q466" s="1244"/>
      <c r="R466" s="1244"/>
      <c r="S466" s="1244"/>
      <c r="T466" s="1244"/>
      <c r="U466" s="1244"/>
      <c r="V466" s="1244"/>
      <c r="W466" s="1244"/>
      <c r="X466" s="1244"/>
      <c r="Y466" s="1244"/>
      <c r="Z466" s="1244"/>
    </row>
    <row r="467" spans="1:26" ht="19.5">
      <c r="A467" s="1259"/>
      <c r="B467" s="1243"/>
      <c r="C467" s="1243" t="s">
        <v>16</v>
      </c>
      <c r="D467" s="1507" t="s">
        <v>17</v>
      </c>
      <c r="E467" s="1485"/>
      <c r="F467" s="1485"/>
      <c r="G467" s="963"/>
      <c r="H467" s="563" t="s">
        <v>12</v>
      </c>
      <c r="I467" s="830"/>
      <c r="J467" s="830"/>
      <c r="K467" s="831"/>
      <c r="L467" s="967">
        <f t="shared" ref="L467:N467" ca="1" si="206">L468+L469</f>
        <v>260703</v>
      </c>
      <c r="M467" s="967">
        <f t="shared" si="206"/>
        <v>0</v>
      </c>
      <c r="N467" s="967">
        <f t="shared" si="206"/>
        <v>27800</v>
      </c>
      <c r="O467" s="967">
        <f t="shared" ref="O467:O472" ca="1" si="207">IF(L467&gt;0,N467*100/L467,0)</f>
        <v>10.663475295642934</v>
      </c>
      <c r="P467" s="967">
        <f t="shared" ref="P467:P472" si="208">IF(M467&gt;0,N467*100/M467,0)</f>
        <v>0</v>
      </c>
      <c r="Q467" s="1244"/>
      <c r="R467" s="1244"/>
      <c r="S467" s="1244"/>
      <c r="T467" s="1244"/>
      <c r="U467" s="1244"/>
      <c r="V467" s="1244"/>
      <c r="W467" s="1244"/>
      <c r="X467" s="1244"/>
      <c r="Y467" s="1244"/>
      <c r="Z467" s="1244"/>
    </row>
    <row r="468" spans="1:26" ht="18.75" hidden="1">
      <c r="A468" s="1260"/>
      <c r="B468" s="1261"/>
      <c r="C468" s="1261"/>
      <c r="D468" s="1262"/>
      <c r="E468" s="1261" t="s">
        <v>184</v>
      </c>
      <c r="F468" s="1261"/>
      <c r="G468" s="1263"/>
      <c r="H468" s="165" t="s">
        <v>12</v>
      </c>
      <c r="I468" s="836"/>
      <c r="J468" s="836"/>
      <c r="K468" s="837"/>
      <c r="L468" s="837">
        <f t="shared" ref="L468:N469" si="209">L471+L478</f>
        <v>0</v>
      </c>
      <c r="M468" s="837">
        <f t="shared" si="209"/>
        <v>0</v>
      </c>
      <c r="N468" s="837">
        <f t="shared" si="209"/>
        <v>0</v>
      </c>
      <c r="O468" s="837">
        <f t="shared" si="207"/>
        <v>0</v>
      </c>
      <c r="P468" s="837">
        <f t="shared" si="208"/>
        <v>0</v>
      </c>
      <c r="Q468" s="1264"/>
      <c r="R468" s="1264"/>
      <c r="S468" s="1264"/>
      <c r="T468" s="1264"/>
      <c r="U468" s="1264"/>
      <c r="V468" s="1264"/>
      <c r="W468" s="1264"/>
      <c r="X468" s="1264"/>
      <c r="Y468" s="1264"/>
      <c r="Z468" s="1264"/>
    </row>
    <row r="469" spans="1:26" ht="18.75" hidden="1">
      <c r="A469" s="1260"/>
      <c r="B469" s="1265"/>
      <c r="C469" s="1261"/>
      <c r="D469" s="1262"/>
      <c r="E469" s="1261" t="s">
        <v>185</v>
      </c>
      <c r="F469" s="1261"/>
      <c r="G469" s="1263"/>
      <c r="H469" s="165" t="s">
        <v>12</v>
      </c>
      <c r="I469" s="836"/>
      <c r="J469" s="836"/>
      <c r="K469" s="837"/>
      <c r="L469" s="837">
        <f t="shared" ca="1" si="209"/>
        <v>260703</v>
      </c>
      <c r="M469" s="837">
        <f t="shared" si="209"/>
        <v>0</v>
      </c>
      <c r="N469" s="837">
        <f t="shared" si="209"/>
        <v>27800</v>
      </c>
      <c r="O469" s="837">
        <f t="shared" ca="1" si="207"/>
        <v>10.663475295642934</v>
      </c>
      <c r="P469" s="837">
        <f t="shared" si="208"/>
        <v>0</v>
      </c>
      <c r="Q469" s="1264"/>
      <c r="R469" s="1264"/>
      <c r="S469" s="1264"/>
      <c r="T469" s="1264"/>
      <c r="U469" s="1264"/>
      <c r="V469" s="1264"/>
      <c r="W469" s="1264"/>
      <c r="X469" s="1264"/>
      <c r="Y469" s="1264"/>
      <c r="Z469" s="1264"/>
    </row>
    <row r="470" spans="1:26" ht="18.75">
      <c r="A470" s="1259"/>
      <c r="B470" s="1242"/>
      <c r="C470" s="1243"/>
      <c r="D470" s="1266" t="s">
        <v>20</v>
      </c>
      <c r="E470" s="1243"/>
      <c r="F470" s="1243"/>
      <c r="G470" s="963"/>
      <c r="H470" s="778" t="s">
        <v>12</v>
      </c>
      <c r="I470" s="944"/>
      <c r="J470" s="944"/>
      <c r="K470" s="945"/>
      <c r="L470" s="831">
        <f t="shared" ref="L470:N470" ca="1" si="210">L471+L472</f>
        <v>260703</v>
      </c>
      <c r="M470" s="831">
        <f t="shared" si="210"/>
        <v>0</v>
      </c>
      <c r="N470" s="831">
        <f t="shared" si="210"/>
        <v>27800</v>
      </c>
      <c r="O470" s="831">
        <f t="shared" ca="1" si="207"/>
        <v>10.663475295642934</v>
      </c>
      <c r="P470" s="831">
        <f t="shared" si="208"/>
        <v>0</v>
      </c>
      <c r="Q470" s="1244"/>
      <c r="R470" s="1244"/>
      <c r="S470" s="1244"/>
      <c r="T470" s="1244"/>
      <c r="U470" s="1244"/>
      <c r="V470" s="1244"/>
      <c r="W470" s="1244"/>
      <c r="X470" s="1244"/>
      <c r="Y470" s="1244"/>
      <c r="Z470" s="1244"/>
    </row>
    <row r="471" spans="1:26" ht="18.75" hidden="1">
      <c r="A471" s="1260"/>
      <c r="B471" s="1265"/>
      <c r="C471" s="1261"/>
      <c r="D471" s="1262"/>
      <c r="E471" s="1261" t="s">
        <v>184</v>
      </c>
      <c r="F471" s="1261"/>
      <c r="G471" s="1263"/>
      <c r="H471" s="165" t="s">
        <v>12</v>
      </c>
      <c r="I471" s="836"/>
      <c r="J471" s="836"/>
      <c r="K471" s="837"/>
      <c r="L471" s="837">
        <v>0</v>
      </c>
      <c r="M471" s="837">
        <v>0</v>
      </c>
      <c r="N471" s="837">
        <v>0</v>
      </c>
      <c r="O471" s="837">
        <f t="shared" si="207"/>
        <v>0</v>
      </c>
      <c r="P471" s="837">
        <f t="shared" si="208"/>
        <v>0</v>
      </c>
      <c r="Q471" s="1264"/>
      <c r="R471" s="1264"/>
      <c r="S471" s="1264"/>
      <c r="T471" s="1264"/>
      <c r="U471" s="1264"/>
      <c r="V471" s="1264"/>
      <c r="W471" s="1264"/>
      <c r="X471" s="1264"/>
      <c r="Y471" s="1264"/>
      <c r="Z471" s="1264"/>
    </row>
    <row r="472" spans="1:26" ht="18.75" hidden="1">
      <c r="A472" s="1260"/>
      <c r="B472" s="1265"/>
      <c r="C472" s="1261"/>
      <c r="D472" s="1262"/>
      <c r="E472" s="1261" t="s">
        <v>185</v>
      </c>
      <c r="F472" s="1261"/>
      <c r="G472" s="1263"/>
      <c r="H472" s="165" t="s">
        <v>12</v>
      </c>
      <c r="I472" s="836"/>
      <c r="J472" s="836"/>
      <c r="K472" s="837"/>
      <c r="L472" s="837">
        <f ca="1">IFERROR(__xludf.DUMMYFUNCTION("IMPORTRANGE(""https://docs.google.com/spreadsheets/d/1QqKyyYR6Q21VydFLVH3TRQUabQu_ym0Zz7PgGX0-kHA/edit?usp=sharing"",""แผน!FS20"")"),260703)</f>
        <v>260703</v>
      </c>
      <c r="M472" s="837">
        <v>0</v>
      </c>
      <c r="N472" s="837">
        <f>N473+N474+N475+N476</f>
        <v>27800</v>
      </c>
      <c r="O472" s="837">
        <f t="shared" ca="1" si="207"/>
        <v>10.663475295642934</v>
      </c>
      <c r="P472" s="837">
        <f t="shared" si="208"/>
        <v>0</v>
      </c>
      <c r="Q472" s="1264"/>
      <c r="R472" s="1264"/>
      <c r="S472" s="1264"/>
      <c r="T472" s="1264"/>
      <c r="U472" s="1264"/>
      <c r="V472" s="1264"/>
      <c r="W472" s="1264"/>
      <c r="X472" s="1264"/>
      <c r="Y472" s="1264"/>
      <c r="Z472" s="1264"/>
    </row>
    <row r="473" spans="1:26" ht="18.75">
      <c r="A473" s="1241"/>
      <c r="B473" s="1242"/>
      <c r="C473" s="1243"/>
      <c r="D473" s="1243"/>
      <c r="E473" s="1243"/>
      <c r="F473" s="1243" t="s">
        <v>186</v>
      </c>
      <c r="G473" s="963"/>
      <c r="H473" s="778" t="s">
        <v>12</v>
      </c>
      <c r="I473" s="830"/>
      <c r="J473" s="830"/>
      <c r="K473" s="831"/>
      <c r="L473" s="831"/>
      <c r="M473" s="831"/>
      <c r="N473" s="1031">
        <v>17830</v>
      </c>
      <c r="O473" s="831"/>
      <c r="P473" s="831"/>
      <c r="Q473" s="1244"/>
      <c r="R473" s="1244"/>
      <c r="S473" s="1244"/>
      <c r="T473" s="1244"/>
      <c r="U473" s="1244"/>
      <c r="V473" s="1244"/>
      <c r="W473" s="1244"/>
      <c r="X473" s="1244"/>
      <c r="Y473" s="1244"/>
      <c r="Z473" s="1244"/>
    </row>
    <row r="474" spans="1:26" ht="18.75">
      <c r="A474" s="1241"/>
      <c r="B474" s="1242"/>
      <c r="C474" s="1243"/>
      <c r="D474" s="1243"/>
      <c r="E474" s="1243"/>
      <c r="F474" s="1243" t="s">
        <v>187</v>
      </c>
      <c r="G474" s="963"/>
      <c r="H474" s="778" t="s">
        <v>12</v>
      </c>
      <c r="I474" s="830"/>
      <c r="J474" s="830"/>
      <c r="K474" s="831"/>
      <c r="L474" s="831"/>
      <c r="M474" s="831"/>
      <c r="N474" s="1031">
        <v>0</v>
      </c>
      <c r="O474" s="831"/>
      <c r="P474" s="831"/>
      <c r="Q474" s="1244"/>
      <c r="R474" s="1244"/>
      <c r="S474" s="1244"/>
      <c r="T474" s="1244"/>
      <c r="U474" s="1244"/>
      <c r="V474" s="1244"/>
      <c r="W474" s="1244"/>
      <c r="X474" s="1244"/>
      <c r="Y474" s="1244"/>
      <c r="Z474" s="1244"/>
    </row>
    <row r="475" spans="1:26" ht="18.75">
      <c r="A475" s="1241"/>
      <c r="B475" s="1242"/>
      <c r="C475" s="1242"/>
      <c r="D475" s="1242"/>
      <c r="E475" s="1242"/>
      <c r="F475" s="1243" t="s">
        <v>188</v>
      </c>
      <c r="G475" s="963"/>
      <c r="H475" s="778" t="s">
        <v>12</v>
      </c>
      <c r="I475" s="830"/>
      <c r="J475" s="830"/>
      <c r="K475" s="831"/>
      <c r="L475" s="831"/>
      <c r="M475" s="831"/>
      <c r="N475" s="1031">
        <v>0</v>
      </c>
      <c r="O475" s="831"/>
      <c r="P475" s="831"/>
      <c r="Q475" s="1244"/>
      <c r="R475" s="1244"/>
      <c r="S475" s="1244"/>
      <c r="T475" s="1244"/>
      <c r="U475" s="1244"/>
      <c r="V475" s="1244"/>
      <c r="W475" s="1244"/>
      <c r="X475" s="1244"/>
      <c r="Y475" s="1244"/>
      <c r="Z475" s="1244"/>
    </row>
    <row r="476" spans="1:26" ht="18.75">
      <c r="A476" s="1241"/>
      <c r="B476" s="1242"/>
      <c r="C476" s="1242"/>
      <c r="D476" s="1242"/>
      <c r="E476" s="1242"/>
      <c r="F476" s="1243" t="s">
        <v>189</v>
      </c>
      <c r="G476" s="963"/>
      <c r="H476" s="778" t="s">
        <v>12</v>
      </c>
      <c r="I476" s="830"/>
      <c r="J476" s="830"/>
      <c r="K476" s="831"/>
      <c r="L476" s="831"/>
      <c r="M476" s="831"/>
      <c r="N476" s="1031">
        <v>9970</v>
      </c>
      <c r="O476" s="831"/>
      <c r="P476" s="831"/>
      <c r="Q476" s="1244"/>
      <c r="R476" s="1244"/>
      <c r="S476" s="1244"/>
      <c r="T476" s="1244"/>
      <c r="U476" s="1244"/>
      <c r="V476" s="1244"/>
      <c r="W476" s="1244"/>
      <c r="X476" s="1244"/>
      <c r="Y476" s="1244"/>
      <c r="Z476" s="1244"/>
    </row>
    <row r="477" spans="1:26" ht="18.75">
      <c r="A477" s="1259"/>
      <c r="B477" s="1242"/>
      <c r="C477" s="1242"/>
      <c r="D477" s="1266" t="s">
        <v>21</v>
      </c>
      <c r="E477" s="1242"/>
      <c r="F477" s="1242"/>
      <c r="G477" s="963"/>
      <c r="H477" s="168" t="s">
        <v>12</v>
      </c>
      <c r="I477" s="944"/>
      <c r="J477" s="944"/>
      <c r="K477" s="945"/>
      <c r="L477" s="831">
        <f t="shared" ref="L477:N477" ca="1" si="211">L478+L479</f>
        <v>0</v>
      </c>
      <c r="M477" s="831">
        <f t="shared" si="211"/>
        <v>0</v>
      </c>
      <c r="N477" s="831">
        <f t="shared" si="211"/>
        <v>0</v>
      </c>
      <c r="O477" s="831">
        <f t="shared" ref="O477:O479" ca="1" si="212">IF(L477&gt;0,N477*100/L477,0)</f>
        <v>0</v>
      </c>
      <c r="P477" s="831">
        <f t="shared" ref="P477:P479" si="213">IF(M477&gt;0,N477*100/M477,0)</f>
        <v>0</v>
      </c>
      <c r="Q477" s="1244"/>
      <c r="R477" s="1244"/>
      <c r="S477" s="1244"/>
      <c r="T477" s="1244"/>
      <c r="U477" s="1244"/>
      <c r="V477" s="1244"/>
      <c r="W477" s="1244"/>
      <c r="X477" s="1244"/>
      <c r="Y477" s="1244"/>
      <c r="Z477" s="1244"/>
    </row>
    <row r="478" spans="1:26" ht="18.75" hidden="1">
      <c r="A478" s="1260"/>
      <c r="B478" s="1265"/>
      <c r="C478" s="1265"/>
      <c r="D478" s="1265"/>
      <c r="E478" s="1265" t="s">
        <v>18</v>
      </c>
      <c r="F478" s="1265"/>
      <c r="G478" s="1263"/>
      <c r="H478" s="165" t="s">
        <v>12</v>
      </c>
      <c r="I478" s="947"/>
      <c r="J478" s="947"/>
      <c r="K478" s="948"/>
      <c r="L478" s="837">
        <v>0</v>
      </c>
      <c r="M478" s="837">
        <v>0</v>
      </c>
      <c r="N478" s="837">
        <v>0</v>
      </c>
      <c r="O478" s="837">
        <f t="shared" si="212"/>
        <v>0</v>
      </c>
      <c r="P478" s="837">
        <f t="shared" si="213"/>
        <v>0</v>
      </c>
      <c r="Q478" s="1264"/>
      <c r="R478" s="1264"/>
      <c r="S478" s="1264"/>
      <c r="T478" s="1264"/>
      <c r="U478" s="1264"/>
      <c r="V478" s="1264"/>
      <c r="W478" s="1264"/>
      <c r="X478" s="1264"/>
      <c r="Y478" s="1264"/>
      <c r="Z478" s="1264"/>
    </row>
    <row r="479" spans="1:26" ht="18.75" hidden="1">
      <c r="A479" s="1260"/>
      <c r="B479" s="1265"/>
      <c r="C479" s="1265"/>
      <c r="D479" s="1265"/>
      <c r="E479" s="1265" t="s">
        <v>19</v>
      </c>
      <c r="F479" s="1265"/>
      <c r="G479" s="1263"/>
      <c r="H479" s="169" t="s">
        <v>12</v>
      </c>
      <c r="I479" s="947"/>
      <c r="J479" s="947"/>
      <c r="K479" s="948"/>
      <c r="L479" s="837">
        <f ca="1">IFERROR(__xludf.DUMMYFUNCTION("IMPORTRANGE(""https://docs.google.com/spreadsheets/d/1QqKyyYR6Q21VydFLVH3TRQUabQu_ym0Zz7PgGX0-kHA/edit?usp=sharing"",""แผน!FV20"")"),0)</f>
        <v>0</v>
      </c>
      <c r="M479" s="837">
        <v>0</v>
      </c>
      <c r="N479" s="837">
        <v>0</v>
      </c>
      <c r="O479" s="837">
        <f t="shared" ca="1" si="212"/>
        <v>0</v>
      </c>
      <c r="P479" s="837">
        <f t="shared" si="213"/>
        <v>0</v>
      </c>
      <c r="Q479" s="1264"/>
      <c r="R479" s="1264"/>
      <c r="S479" s="1264"/>
      <c r="T479" s="1264"/>
      <c r="U479" s="1264"/>
      <c r="V479" s="1264"/>
      <c r="W479" s="1264"/>
      <c r="X479" s="1264"/>
      <c r="Y479" s="1264"/>
      <c r="Z479" s="1264"/>
    </row>
    <row r="480" spans="1:26" ht="19.5">
      <c r="A480" s="1267"/>
      <c r="B480" s="1268"/>
      <c r="C480" s="1242" t="s">
        <v>16</v>
      </c>
      <c r="D480" s="1276" t="s">
        <v>38</v>
      </c>
      <c r="E480" s="1270"/>
      <c r="F480" s="1271"/>
      <c r="G480" s="1272"/>
      <c r="H480" s="954"/>
      <c r="I480" s="830"/>
      <c r="J480" s="830"/>
      <c r="K480" s="831"/>
      <c r="L480" s="831"/>
      <c r="M480" s="831"/>
      <c r="N480" s="831"/>
      <c r="O480" s="831"/>
      <c r="P480" s="831"/>
      <c r="Q480" s="1244"/>
      <c r="R480" s="1244"/>
      <c r="S480" s="1244"/>
      <c r="T480" s="1244"/>
      <c r="U480" s="1244"/>
      <c r="V480" s="1244"/>
      <c r="W480" s="1244"/>
      <c r="X480" s="1244"/>
      <c r="Y480" s="1244"/>
      <c r="Z480" s="1244"/>
    </row>
    <row r="481" spans="1:26" ht="19.5">
      <c r="A481" s="1267"/>
      <c r="B481" s="1268"/>
      <c r="C481" s="1268"/>
      <c r="D481" s="1277" t="s">
        <v>206</v>
      </c>
      <c r="E481" s="1268"/>
      <c r="F481" s="1268"/>
      <c r="G481" s="954"/>
      <c r="H481" s="963"/>
      <c r="I481" s="830"/>
      <c r="J481" s="830"/>
      <c r="K481" s="831"/>
      <c r="L481" s="831"/>
      <c r="M481" s="831"/>
      <c r="N481" s="831"/>
      <c r="O481" s="831"/>
      <c r="P481" s="831"/>
      <c r="Q481" s="1244"/>
      <c r="R481" s="1244"/>
      <c r="S481" s="1244"/>
      <c r="T481" s="1244"/>
      <c r="U481" s="1244"/>
      <c r="V481" s="1244"/>
      <c r="W481" s="1244"/>
      <c r="X481" s="1244"/>
      <c r="Y481" s="1244"/>
      <c r="Z481" s="1244"/>
    </row>
    <row r="482" spans="1:26" ht="18.75">
      <c r="A482" s="1267"/>
      <c r="B482" s="1268"/>
      <c r="C482" s="1268"/>
      <c r="D482" s="1268"/>
      <c r="E482" s="1268" t="s">
        <v>207</v>
      </c>
      <c r="F482" s="1268"/>
      <c r="G482" s="954"/>
      <c r="H482" s="963"/>
      <c r="I482" s="830"/>
      <c r="J482" s="830"/>
      <c r="K482" s="831"/>
      <c r="L482" s="831"/>
      <c r="M482" s="831"/>
      <c r="N482" s="831"/>
      <c r="O482" s="831"/>
      <c r="P482" s="831"/>
      <c r="Q482" s="1244"/>
      <c r="R482" s="1244"/>
      <c r="S482" s="1244"/>
      <c r="T482" s="1244"/>
      <c r="U482" s="1244"/>
      <c r="V482" s="1244"/>
      <c r="W482" s="1244"/>
      <c r="X482" s="1244"/>
      <c r="Y482" s="1244"/>
      <c r="Z482" s="1244"/>
    </row>
    <row r="483" spans="1:26" ht="18.75">
      <c r="A483" s="1267"/>
      <c r="B483" s="1268"/>
      <c r="C483" s="1268"/>
      <c r="D483" s="1268"/>
      <c r="E483" s="1268"/>
      <c r="F483" s="1268" t="s">
        <v>208</v>
      </c>
      <c r="G483" s="954"/>
      <c r="H483" s="590" t="s">
        <v>46</v>
      </c>
      <c r="I483" s="830">
        <f ca="1">IFERROR(__xludf.DUMMYFUNCTION("IMPORTRANGE(""https://docs.google.com/spreadsheets/d/1QqKyyYR6Q21VydFLVH3TRQUabQu_ym0Zz7PgGX0-kHA/edit?usp=sharing"",""แผน!FY20"")"),270)</f>
        <v>270</v>
      </c>
      <c r="J483" s="959">
        <v>0</v>
      </c>
      <c r="K483" s="831">
        <f ca="1">IF(I483&gt;0,J483*100/I483,0)</f>
        <v>0</v>
      </c>
      <c r="L483" s="831"/>
      <c r="M483" s="831"/>
      <c r="N483" s="831"/>
      <c r="O483" s="831"/>
      <c r="P483" s="831"/>
      <c r="Q483" s="1244"/>
      <c r="R483" s="1244"/>
      <c r="S483" s="1244"/>
      <c r="T483" s="1244"/>
      <c r="U483" s="1244"/>
      <c r="V483" s="1244"/>
      <c r="W483" s="1244"/>
      <c r="X483" s="1244"/>
      <c r="Y483" s="1244"/>
      <c r="Z483" s="1244"/>
    </row>
    <row r="484" spans="1:26" ht="18.75">
      <c r="A484" s="1267"/>
      <c r="B484" s="1268"/>
      <c r="C484" s="1268"/>
      <c r="D484" s="1268"/>
      <c r="E484" s="1268"/>
      <c r="F484" s="1268" t="s">
        <v>209</v>
      </c>
      <c r="G484" s="954"/>
      <c r="H484" s="590" t="s">
        <v>35</v>
      </c>
      <c r="I484" s="830"/>
      <c r="J484" s="959">
        <v>0</v>
      </c>
      <c r="K484" s="831"/>
      <c r="L484" s="831"/>
      <c r="M484" s="831"/>
      <c r="N484" s="831"/>
      <c r="O484" s="831"/>
      <c r="P484" s="831"/>
      <c r="Q484" s="1244"/>
      <c r="R484" s="1244"/>
      <c r="S484" s="1244"/>
      <c r="T484" s="1244"/>
      <c r="U484" s="1244"/>
      <c r="V484" s="1244"/>
      <c r="W484" s="1244"/>
      <c r="X484" s="1244"/>
      <c r="Y484" s="1244"/>
      <c r="Z484" s="1244"/>
    </row>
    <row r="485" spans="1:26" ht="18.75">
      <c r="A485" s="1267"/>
      <c r="B485" s="1268"/>
      <c r="C485" s="1268"/>
      <c r="D485" s="1268"/>
      <c r="E485" s="1268"/>
      <c r="F485" s="1268" t="s">
        <v>210</v>
      </c>
      <c r="G485" s="954"/>
      <c r="H485" s="590" t="s">
        <v>35</v>
      </c>
      <c r="I485" s="830">
        <f ca="1">IFERROR(__xludf.DUMMYFUNCTION("IMPORTRANGE(""https://docs.google.com/spreadsheets/d/1QqKyyYR6Q21VydFLVH3TRQUabQu_ym0Zz7PgGX0-kHA/edit?usp=sharing"",""แผน!FZ20"")"),27)</f>
        <v>27</v>
      </c>
      <c r="J485" s="959">
        <v>0</v>
      </c>
      <c r="K485" s="831">
        <f ca="1">IF(I485&gt;0,J485*100/I485,0)</f>
        <v>0</v>
      </c>
      <c r="L485" s="831"/>
      <c r="M485" s="831"/>
      <c r="N485" s="831"/>
      <c r="O485" s="831"/>
      <c r="P485" s="831"/>
      <c r="Q485" s="1244"/>
      <c r="R485" s="1244"/>
      <c r="S485" s="1244"/>
      <c r="T485" s="1244"/>
      <c r="U485" s="1244"/>
      <c r="V485" s="1244"/>
      <c r="W485" s="1244"/>
      <c r="X485" s="1244"/>
      <c r="Y485" s="1244"/>
      <c r="Z485" s="1244"/>
    </row>
    <row r="486" spans="1:26" ht="18.75">
      <c r="A486" s="1267"/>
      <c r="B486" s="1268"/>
      <c r="C486" s="1268"/>
      <c r="D486" s="1268"/>
      <c r="E486" s="1268" t="s">
        <v>62</v>
      </c>
      <c r="F486" s="1268"/>
      <c r="G486" s="954"/>
      <c r="H486" s="590"/>
      <c r="I486" s="830"/>
      <c r="J486" s="830"/>
      <c r="K486" s="831"/>
      <c r="L486" s="831"/>
      <c r="M486" s="831"/>
      <c r="N486" s="831"/>
      <c r="O486" s="831"/>
      <c r="P486" s="831"/>
      <c r="Q486" s="1244"/>
      <c r="R486" s="1244"/>
      <c r="S486" s="1244"/>
      <c r="T486" s="1244"/>
      <c r="U486" s="1244"/>
      <c r="V486" s="1244"/>
      <c r="W486" s="1244"/>
      <c r="X486" s="1244"/>
      <c r="Y486" s="1244"/>
      <c r="Z486" s="1244"/>
    </row>
    <row r="487" spans="1:26" ht="18.75">
      <c r="A487" s="1267"/>
      <c r="B487" s="1268"/>
      <c r="C487" s="1268"/>
      <c r="D487" s="1268"/>
      <c r="E487" s="1268"/>
      <c r="F487" s="1268" t="s">
        <v>208</v>
      </c>
      <c r="G487" s="954"/>
      <c r="H487" s="590" t="s">
        <v>46</v>
      </c>
      <c r="I487" s="830">
        <f ca="1">IFERROR(__xludf.DUMMYFUNCTION("IMPORTRANGE(""https://docs.google.com/spreadsheets/d/1QqKyyYR6Q21VydFLVH3TRQUabQu_ym0Zz7PgGX0-kHA/edit?usp=sharing"",""แผน!GA20"")"),30)</f>
        <v>30</v>
      </c>
      <c r="J487" s="959">
        <v>0</v>
      </c>
      <c r="K487" s="831">
        <f ca="1">IF(I487&gt;0,J487*100/I487,0)</f>
        <v>0</v>
      </c>
      <c r="L487" s="831"/>
      <c r="M487" s="831"/>
      <c r="N487" s="831"/>
      <c r="O487" s="831"/>
      <c r="P487" s="831"/>
      <c r="Q487" s="1244"/>
      <c r="R487" s="1244"/>
      <c r="S487" s="1244"/>
      <c r="T487" s="1244"/>
      <c r="U487" s="1244"/>
      <c r="V487" s="1244"/>
      <c r="W487" s="1244"/>
      <c r="X487" s="1244"/>
      <c r="Y487" s="1244"/>
      <c r="Z487" s="1244"/>
    </row>
    <row r="488" spans="1:26" ht="18.75">
      <c r="A488" s="1267"/>
      <c r="B488" s="1268"/>
      <c r="C488" s="1268"/>
      <c r="D488" s="1268"/>
      <c r="E488" s="1268"/>
      <c r="F488" s="1268" t="s">
        <v>211</v>
      </c>
      <c r="G488" s="954"/>
      <c r="H488" s="590" t="s">
        <v>35</v>
      </c>
      <c r="I488" s="830"/>
      <c r="J488" s="959">
        <v>0</v>
      </c>
      <c r="K488" s="831"/>
      <c r="L488" s="831"/>
      <c r="M488" s="831"/>
      <c r="N488" s="831"/>
      <c r="O488" s="831"/>
      <c r="P488" s="831"/>
      <c r="Q488" s="1244"/>
      <c r="R488" s="1244"/>
      <c r="S488" s="1244"/>
      <c r="T488" s="1244"/>
      <c r="U488" s="1244"/>
      <c r="V488" s="1244"/>
      <c r="W488" s="1244"/>
      <c r="X488" s="1244"/>
      <c r="Y488" s="1244"/>
      <c r="Z488" s="1244"/>
    </row>
    <row r="489" spans="1:26" ht="18.75">
      <c r="A489" s="1267"/>
      <c r="B489" s="1268"/>
      <c r="C489" s="1268"/>
      <c r="D489" s="1268"/>
      <c r="E489" s="1268"/>
      <c r="F489" s="1268" t="s">
        <v>212</v>
      </c>
      <c r="G489" s="954"/>
      <c r="H489" s="590" t="s">
        <v>35</v>
      </c>
      <c r="I489" s="830">
        <f ca="1">IFERROR(__xludf.DUMMYFUNCTION("IMPORTRANGE(""https://docs.google.com/spreadsheets/d/1QqKyyYR6Q21VydFLVH3TRQUabQu_ym0Zz7PgGX0-kHA/edit?usp=sharing"",""แผน!GB20"")"),3)</f>
        <v>3</v>
      </c>
      <c r="J489" s="959">
        <v>3</v>
      </c>
      <c r="K489" s="831">
        <f ca="1">IF(I489&gt;0,J489*100/I489,0)</f>
        <v>100</v>
      </c>
      <c r="L489" s="831"/>
      <c r="M489" s="831"/>
      <c r="N489" s="831"/>
      <c r="O489" s="831"/>
      <c r="P489" s="831"/>
      <c r="Q489" s="1244"/>
      <c r="R489" s="1244"/>
      <c r="S489" s="1244"/>
      <c r="T489" s="1244"/>
      <c r="U489" s="1244"/>
      <c r="V489" s="1244"/>
      <c r="W489" s="1244"/>
      <c r="X489" s="1244"/>
      <c r="Y489" s="1244"/>
      <c r="Z489" s="1244"/>
    </row>
    <row r="490" spans="1:26" ht="18.75">
      <c r="A490" s="1267"/>
      <c r="B490" s="1268"/>
      <c r="C490" s="1268"/>
      <c r="D490" s="1268"/>
      <c r="E490" s="1268" t="s">
        <v>63</v>
      </c>
      <c r="F490" s="961"/>
      <c r="G490" s="954"/>
      <c r="H490" s="590"/>
      <c r="I490" s="830"/>
      <c r="J490" s="830"/>
      <c r="K490" s="831"/>
      <c r="L490" s="831"/>
      <c r="M490" s="831"/>
      <c r="N490" s="831"/>
      <c r="O490" s="831"/>
      <c r="P490" s="831"/>
      <c r="Q490" s="1244"/>
      <c r="R490" s="1244"/>
      <c r="S490" s="1244"/>
      <c r="T490" s="1244"/>
      <c r="U490" s="1244"/>
      <c r="V490" s="1244"/>
      <c r="W490" s="1244"/>
      <c r="X490" s="1244"/>
      <c r="Y490" s="1244"/>
      <c r="Z490" s="1244"/>
    </row>
    <row r="491" spans="1:26" ht="18.75">
      <c r="A491" s="1267"/>
      <c r="B491" s="1268"/>
      <c r="C491" s="1268"/>
      <c r="D491" s="1268"/>
      <c r="E491" s="1268"/>
      <c r="F491" s="1268" t="s">
        <v>213</v>
      </c>
      <c r="G491" s="954"/>
      <c r="H491" s="590" t="s">
        <v>35</v>
      </c>
      <c r="I491" s="830"/>
      <c r="J491" s="959">
        <v>0</v>
      </c>
      <c r="K491" s="831"/>
      <c r="L491" s="831"/>
      <c r="M491" s="831"/>
      <c r="N491" s="831"/>
      <c r="O491" s="831"/>
      <c r="P491" s="831"/>
      <c r="Q491" s="1244"/>
      <c r="R491" s="1244"/>
      <c r="S491" s="1244"/>
      <c r="T491" s="1244"/>
      <c r="U491" s="1244"/>
      <c r="V491" s="1244"/>
      <c r="W491" s="1244"/>
      <c r="X491" s="1244"/>
      <c r="Y491" s="1244"/>
      <c r="Z491" s="1244"/>
    </row>
    <row r="492" spans="1:26" ht="18.75">
      <c r="A492" s="1267"/>
      <c r="B492" s="1268"/>
      <c r="C492" s="1268"/>
      <c r="D492" s="1268"/>
      <c r="E492" s="1268"/>
      <c r="F492" s="1268" t="s">
        <v>214</v>
      </c>
      <c r="G492" s="954"/>
      <c r="H492" s="590" t="s">
        <v>35</v>
      </c>
      <c r="I492" s="830">
        <f ca="1">IFERROR(__xludf.DUMMYFUNCTION("IMPORTRANGE(""https://docs.google.com/spreadsheets/d/1QqKyyYR6Q21VydFLVH3TRQUabQu_ym0Zz7PgGX0-kHA/edit?usp=sharing"",""แผน!GC20"")"),1)</f>
        <v>1</v>
      </c>
      <c r="J492" s="959">
        <v>0</v>
      </c>
      <c r="K492" s="831">
        <f ca="1">IF(I492&gt;0,J492*100/I492,0)</f>
        <v>0</v>
      </c>
      <c r="L492" s="831"/>
      <c r="M492" s="831"/>
      <c r="N492" s="831"/>
      <c r="O492" s="831"/>
      <c r="P492" s="831"/>
      <c r="Q492" s="1244"/>
      <c r="R492" s="1244"/>
      <c r="S492" s="1244"/>
      <c r="T492" s="1244"/>
      <c r="U492" s="1244"/>
      <c r="V492" s="1244"/>
      <c r="W492" s="1244"/>
      <c r="X492" s="1244"/>
      <c r="Y492" s="1244"/>
      <c r="Z492" s="1244"/>
    </row>
    <row r="493" spans="1:26" ht="19.5">
      <c r="A493" s="1267"/>
      <c r="B493" s="1268"/>
      <c r="C493" s="1268"/>
      <c r="D493" s="1277" t="s">
        <v>59</v>
      </c>
      <c r="E493" s="1268"/>
      <c r="F493" s="961"/>
      <c r="G493" s="954"/>
      <c r="H493" s="963"/>
      <c r="I493" s="830"/>
      <c r="J493" s="830"/>
      <c r="K493" s="831"/>
      <c r="L493" s="831"/>
      <c r="M493" s="831"/>
      <c r="N493" s="831"/>
      <c r="O493" s="831"/>
      <c r="P493" s="831"/>
      <c r="Q493" s="1244"/>
      <c r="R493" s="1244"/>
      <c r="S493" s="1244"/>
      <c r="T493" s="1244"/>
      <c r="U493" s="1244"/>
      <c r="V493" s="1244"/>
      <c r="W493" s="1244"/>
      <c r="X493" s="1244"/>
      <c r="Y493" s="1244"/>
      <c r="Z493" s="1244"/>
    </row>
    <row r="494" spans="1:26" ht="18.75">
      <c r="A494" s="1267"/>
      <c r="B494" s="1268"/>
      <c r="C494" s="1268"/>
      <c r="D494" s="1268"/>
      <c r="E494" s="1268" t="s">
        <v>207</v>
      </c>
      <c r="F494" s="961"/>
      <c r="G494" s="954"/>
      <c r="H494" s="963"/>
      <c r="I494" s="830"/>
      <c r="J494" s="830"/>
      <c r="K494" s="831"/>
      <c r="L494" s="831"/>
      <c r="M494" s="831"/>
      <c r="N494" s="831"/>
      <c r="O494" s="831"/>
      <c r="P494" s="831"/>
      <c r="Q494" s="1244"/>
      <c r="R494" s="1244"/>
      <c r="S494" s="1244"/>
      <c r="T494" s="1244"/>
      <c r="U494" s="1244"/>
      <c r="V494" s="1244"/>
      <c r="W494" s="1244"/>
      <c r="X494" s="1244"/>
      <c r="Y494" s="1244"/>
      <c r="Z494" s="1244"/>
    </row>
    <row r="495" spans="1:26" ht="18.75">
      <c r="A495" s="1267"/>
      <c r="B495" s="1268"/>
      <c r="C495" s="1268"/>
      <c r="D495" s="1268"/>
      <c r="E495" s="1268"/>
      <c r="F495" s="961" t="s">
        <v>215</v>
      </c>
      <c r="G495" s="954"/>
      <c r="H495" s="590" t="s">
        <v>46</v>
      </c>
      <c r="I495" s="830">
        <f ca="1">IFERROR(__xludf.DUMMYFUNCTION("IMPORTRANGE(""https://docs.google.com/spreadsheets/d/1QqKyyYR6Q21VydFLVH3TRQUabQu_ym0Zz7PgGX0-kHA/edit?usp=sharing"",""แผน!FY20"")"),270)</f>
        <v>270</v>
      </c>
      <c r="J495" s="959">
        <v>0</v>
      </c>
      <c r="K495" s="831">
        <f ca="1">IF(I495&gt;0,J495*100/I495,0)</f>
        <v>0</v>
      </c>
      <c r="L495" s="831"/>
      <c r="M495" s="831"/>
      <c r="N495" s="831"/>
      <c r="O495" s="831"/>
      <c r="P495" s="831"/>
      <c r="Q495" s="1244"/>
      <c r="R495" s="1244"/>
      <c r="S495" s="1244"/>
      <c r="T495" s="1244"/>
      <c r="U495" s="1244"/>
      <c r="V495" s="1244"/>
      <c r="W495" s="1244"/>
      <c r="X495" s="1244"/>
      <c r="Y495" s="1244"/>
      <c r="Z495" s="1244"/>
    </row>
    <row r="496" spans="1:26" ht="18.75">
      <c r="A496" s="1267"/>
      <c r="B496" s="1268"/>
      <c r="C496" s="1268"/>
      <c r="D496" s="1268"/>
      <c r="E496" s="1268"/>
      <c r="F496" s="961" t="s">
        <v>216</v>
      </c>
      <c r="G496" s="954"/>
      <c r="H496" s="590" t="s">
        <v>46</v>
      </c>
      <c r="I496" s="830"/>
      <c r="J496" s="959">
        <v>0</v>
      </c>
      <c r="K496" s="831"/>
      <c r="L496" s="831"/>
      <c r="M496" s="831"/>
      <c r="N496" s="831"/>
      <c r="O496" s="831"/>
      <c r="P496" s="831"/>
      <c r="Q496" s="1244"/>
      <c r="R496" s="1244"/>
      <c r="S496" s="1244"/>
      <c r="T496" s="1244"/>
      <c r="U496" s="1244"/>
      <c r="V496" s="1244"/>
      <c r="W496" s="1244"/>
      <c r="X496" s="1244"/>
      <c r="Y496" s="1244"/>
      <c r="Z496" s="1244"/>
    </row>
    <row r="497" spans="1:26" ht="18.75">
      <c r="A497" s="1267"/>
      <c r="B497" s="1268"/>
      <c r="C497" s="1268"/>
      <c r="D497" s="1268"/>
      <c r="E497" s="1268" t="s">
        <v>62</v>
      </c>
      <c r="F497" s="961"/>
      <c r="G497" s="954"/>
      <c r="H497" s="963"/>
      <c r="I497" s="830"/>
      <c r="J497" s="830"/>
      <c r="K497" s="831"/>
      <c r="L497" s="831"/>
      <c r="M497" s="831"/>
      <c r="N497" s="831"/>
      <c r="O497" s="831"/>
      <c r="P497" s="831"/>
      <c r="Q497" s="1244"/>
      <c r="R497" s="1244"/>
      <c r="S497" s="1244"/>
      <c r="T497" s="1244"/>
      <c r="U497" s="1244"/>
      <c r="V497" s="1244"/>
      <c r="W497" s="1244"/>
      <c r="X497" s="1244"/>
      <c r="Y497" s="1244"/>
      <c r="Z497" s="1244"/>
    </row>
    <row r="498" spans="1:26" ht="18.75">
      <c r="A498" s="1267"/>
      <c r="B498" s="1268"/>
      <c r="C498" s="1268"/>
      <c r="D498" s="1268"/>
      <c r="E498" s="961"/>
      <c r="F498" s="961" t="s">
        <v>217</v>
      </c>
      <c r="G498" s="954"/>
      <c r="H498" s="590" t="s">
        <v>46</v>
      </c>
      <c r="I498" s="830">
        <f ca="1">IFERROR(__xludf.DUMMYFUNCTION("IMPORTRANGE(""https://docs.google.com/spreadsheets/d/1QqKyyYR6Q21VydFLVH3TRQUabQu_ym0Zz7PgGX0-kHA/edit?usp=sharing"",""แผน!GA20"")"),30)</f>
        <v>30</v>
      </c>
      <c r="J498" s="959">
        <v>0</v>
      </c>
      <c r="K498" s="831">
        <f ca="1">IF(I498&gt;0,J498*100/I498,0)</f>
        <v>0</v>
      </c>
      <c r="L498" s="831"/>
      <c r="M498" s="831"/>
      <c r="N498" s="831"/>
      <c r="O498" s="831"/>
      <c r="P498" s="831"/>
      <c r="Q498" s="1244"/>
      <c r="R498" s="1244"/>
      <c r="S498" s="1244"/>
      <c r="T498" s="1244"/>
      <c r="U498" s="1244"/>
      <c r="V498" s="1244"/>
      <c r="W498" s="1244"/>
      <c r="X498" s="1244"/>
      <c r="Y498" s="1244"/>
      <c r="Z498" s="1244"/>
    </row>
    <row r="499" spans="1:26" ht="18.75">
      <c r="A499" s="1267"/>
      <c r="B499" s="1268"/>
      <c r="C499" s="1268"/>
      <c r="D499" s="1268"/>
      <c r="E499" s="961"/>
      <c r="F499" s="961" t="s">
        <v>218</v>
      </c>
      <c r="G499" s="954"/>
      <c r="H499" s="590" t="s">
        <v>46</v>
      </c>
      <c r="I499" s="830"/>
      <c r="J499" s="959">
        <v>0</v>
      </c>
      <c r="K499" s="831"/>
      <c r="L499" s="831"/>
      <c r="M499" s="831"/>
      <c r="N499" s="831"/>
      <c r="O499" s="831"/>
      <c r="P499" s="831"/>
      <c r="Q499" s="1244"/>
      <c r="R499" s="1244"/>
      <c r="S499" s="1244"/>
      <c r="T499" s="1244"/>
      <c r="U499" s="1244"/>
      <c r="V499" s="1244"/>
      <c r="W499" s="1244"/>
      <c r="X499" s="1244"/>
      <c r="Y499" s="1244"/>
      <c r="Z499" s="1244"/>
    </row>
    <row r="500" spans="1:26" ht="19.5" hidden="1">
      <c r="A500" s="594">
        <v>4</v>
      </c>
      <c r="B500" s="1278" t="s">
        <v>219</v>
      </c>
      <c r="C500" s="1279"/>
      <c r="D500" s="1280"/>
      <c r="E500" s="1280"/>
      <c r="F500" s="1280"/>
      <c r="G500" s="1281"/>
      <c r="H500" s="599" t="s">
        <v>109</v>
      </c>
      <c r="I500" s="1282"/>
      <c r="J500" s="1282">
        <f t="shared" ref="J500:J501" si="214">J516</f>
        <v>0</v>
      </c>
      <c r="K500" s="1283">
        <f t="shared" ref="K500:K501" si="215">IF(I500&gt;0,J500*100/I500,0)</f>
        <v>0</v>
      </c>
      <c r="L500" s="1284"/>
      <c r="M500" s="1284"/>
      <c r="N500" s="1284"/>
      <c r="O500" s="1284"/>
      <c r="P500" s="1284"/>
      <c r="Q500" s="1264"/>
      <c r="R500" s="1264"/>
      <c r="S500" s="1264"/>
      <c r="T500" s="1264"/>
      <c r="U500" s="1264"/>
      <c r="V500" s="1264"/>
      <c r="W500" s="1264"/>
      <c r="X500" s="1264"/>
      <c r="Y500" s="1264"/>
      <c r="Z500" s="1264"/>
    </row>
    <row r="501" spans="1:26" ht="19.5" hidden="1">
      <c r="A501" s="1285"/>
      <c r="B501" s="1286" t="s">
        <v>220</v>
      </c>
      <c r="C501" s="1286"/>
      <c r="D501" s="1287"/>
      <c r="E501" s="1287"/>
      <c r="F501" s="1287"/>
      <c r="G501" s="1288"/>
      <c r="H501" s="608" t="s">
        <v>35</v>
      </c>
      <c r="I501" s="1289"/>
      <c r="J501" s="1289">
        <f t="shared" si="214"/>
        <v>0</v>
      </c>
      <c r="K501" s="1290">
        <f t="shared" si="215"/>
        <v>0</v>
      </c>
      <c r="L501" s="1291"/>
      <c r="M501" s="1291"/>
      <c r="N501" s="1291"/>
      <c r="O501" s="1291"/>
      <c r="P501" s="1291"/>
      <c r="Q501" s="1264"/>
      <c r="R501" s="1264"/>
      <c r="S501" s="1264"/>
      <c r="T501" s="1264"/>
      <c r="U501" s="1264"/>
      <c r="V501" s="1264"/>
      <c r="W501" s="1264"/>
      <c r="X501" s="1264"/>
      <c r="Y501" s="1264"/>
      <c r="Z501" s="1264"/>
    </row>
    <row r="502" spans="1:26" ht="19.5" hidden="1">
      <c r="A502" s="1260"/>
      <c r="B502" s="1261"/>
      <c r="C502" s="1261" t="s">
        <v>16</v>
      </c>
      <c r="D502" s="1508" t="s">
        <v>17</v>
      </c>
      <c r="E502" s="1485"/>
      <c r="F502" s="1485"/>
      <c r="G502" s="1263"/>
      <c r="H502" s="612" t="s">
        <v>12</v>
      </c>
      <c r="I502" s="836"/>
      <c r="J502" s="836"/>
      <c r="K502" s="837"/>
      <c r="L502" s="1292">
        <f t="shared" ref="L502:N502" si="216">L503+L504</f>
        <v>0</v>
      </c>
      <c r="M502" s="1292">
        <f t="shared" si="216"/>
        <v>0</v>
      </c>
      <c r="N502" s="1292">
        <f t="shared" si="216"/>
        <v>0</v>
      </c>
      <c r="O502" s="1292">
        <f t="shared" ref="O502:O507" si="217">IF(L502&gt;0,N502*100/L502,0)</f>
        <v>0</v>
      </c>
      <c r="P502" s="1292">
        <f t="shared" ref="P502:P507" si="218">IF(M502&gt;0,N502*100/M502,0)</f>
        <v>0</v>
      </c>
      <c r="Q502" s="1264"/>
      <c r="R502" s="1264"/>
      <c r="S502" s="1264"/>
      <c r="T502" s="1264"/>
      <c r="U502" s="1264"/>
      <c r="V502" s="1264"/>
      <c r="W502" s="1264"/>
      <c r="X502" s="1264"/>
      <c r="Y502" s="1264"/>
      <c r="Z502" s="1264"/>
    </row>
    <row r="503" spans="1:26" ht="18.75" hidden="1">
      <c r="A503" s="1260"/>
      <c r="B503" s="1261"/>
      <c r="C503" s="1261"/>
      <c r="D503" s="1262"/>
      <c r="E503" s="1261" t="s">
        <v>184</v>
      </c>
      <c r="F503" s="1261"/>
      <c r="G503" s="1263"/>
      <c r="H503" s="165" t="s">
        <v>12</v>
      </c>
      <c r="I503" s="836"/>
      <c r="J503" s="836"/>
      <c r="K503" s="837"/>
      <c r="L503" s="837">
        <f t="shared" ref="L503:N504" si="219">L506+L513</f>
        <v>0</v>
      </c>
      <c r="M503" s="837">
        <f t="shared" si="219"/>
        <v>0</v>
      </c>
      <c r="N503" s="837">
        <f t="shared" si="219"/>
        <v>0</v>
      </c>
      <c r="O503" s="837">
        <f t="shared" si="217"/>
        <v>0</v>
      </c>
      <c r="P503" s="837">
        <f t="shared" si="218"/>
        <v>0</v>
      </c>
      <c r="Q503" s="1264"/>
      <c r="R503" s="1264"/>
      <c r="S503" s="1264"/>
      <c r="T503" s="1264"/>
      <c r="U503" s="1264"/>
      <c r="V503" s="1264"/>
      <c r="W503" s="1264"/>
      <c r="X503" s="1264"/>
      <c r="Y503" s="1264"/>
      <c r="Z503" s="1264"/>
    </row>
    <row r="504" spans="1:26" ht="18.75" hidden="1">
      <c r="A504" s="1260"/>
      <c r="B504" s="1265"/>
      <c r="C504" s="1261"/>
      <c r="D504" s="1262"/>
      <c r="E504" s="1261" t="s">
        <v>185</v>
      </c>
      <c r="F504" s="1261"/>
      <c r="G504" s="1263"/>
      <c r="H504" s="165" t="s">
        <v>12</v>
      </c>
      <c r="I504" s="836"/>
      <c r="J504" s="836"/>
      <c r="K504" s="837"/>
      <c r="L504" s="837">
        <f t="shared" si="219"/>
        <v>0</v>
      </c>
      <c r="M504" s="837">
        <f t="shared" si="219"/>
        <v>0</v>
      </c>
      <c r="N504" s="837">
        <f t="shared" si="219"/>
        <v>0</v>
      </c>
      <c r="O504" s="837">
        <f t="shared" si="217"/>
        <v>0</v>
      </c>
      <c r="P504" s="837">
        <f t="shared" si="218"/>
        <v>0</v>
      </c>
      <c r="Q504" s="1264"/>
      <c r="R504" s="1264"/>
      <c r="S504" s="1264"/>
      <c r="T504" s="1264"/>
      <c r="U504" s="1264"/>
      <c r="V504" s="1264"/>
      <c r="W504" s="1264"/>
      <c r="X504" s="1264"/>
      <c r="Y504" s="1264"/>
      <c r="Z504" s="1264"/>
    </row>
    <row r="505" spans="1:26" ht="18.75" hidden="1">
      <c r="A505" s="1260"/>
      <c r="B505" s="1265"/>
      <c r="C505" s="1261"/>
      <c r="D505" s="1293" t="s">
        <v>20</v>
      </c>
      <c r="E505" s="1261"/>
      <c r="F505" s="1261"/>
      <c r="G505" s="1263"/>
      <c r="H505" s="165" t="s">
        <v>12</v>
      </c>
      <c r="I505" s="947"/>
      <c r="J505" s="947"/>
      <c r="K505" s="948"/>
      <c r="L505" s="837">
        <f t="shared" ref="L505:N505" si="220">L506+L507</f>
        <v>0</v>
      </c>
      <c r="M505" s="837">
        <f t="shared" si="220"/>
        <v>0</v>
      </c>
      <c r="N505" s="837">
        <f t="shared" si="220"/>
        <v>0</v>
      </c>
      <c r="O505" s="837">
        <f t="shared" si="217"/>
        <v>0</v>
      </c>
      <c r="P505" s="837">
        <f t="shared" si="218"/>
        <v>0</v>
      </c>
      <c r="Q505" s="1264"/>
      <c r="R505" s="1264"/>
      <c r="S505" s="1264"/>
      <c r="T505" s="1264"/>
      <c r="U505" s="1264"/>
      <c r="V505" s="1264"/>
      <c r="W505" s="1264"/>
      <c r="X505" s="1264"/>
      <c r="Y505" s="1264"/>
      <c r="Z505" s="1264"/>
    </row>
    <row r="506" spans="1:26" ht="18.75" hidden="1">
      <c r="A506" s="1260"/>
      <c r="B506" s="1265"/>
      <c r="C506" s="1261"/>
      <c r="D506" s="1262"/>
      <c r="E506" s="1261" t="s">
        <v>184</v>
      </c>
      <c r="F506" s="1261"/>
      <c r="G506" s="1263"/>
      <c r="H506" s="165" t="s">
        <v>12</v>
      </c>
      <c r="I506" s="836"/>
      <c r="J506" s="836"/>
      <c r="K506" s="837"/>
      <c r="L506" s="837">
        <v>0</v>
      </c>
      <c r="M506" s="837">
        <v>0</v>
      </c>
      <c r="N506" s="837">
        <v>0</v>
      </c>
      <c r="O506" s="837">
        <f t="shared" si="217"/>
        <v>0</v>
      </c>
      <c r="P506" s="837">
        <f t="shared" si="218"/>
        <v>0</v>
      </c>
      <c r="Q506" s="1264"/>
      <c r="R506" s="1264"/>
      <c r="S506" s="1264"/>
      <c r="T506" s="1264"/>
      <c r="U506" s="1264"/>
      <c r="V506" s="1264"/>
      <c r="W506" s="1264"/>
      <c r="X506" s="1264"/>
      <c r="Y506" s="1264"/>
      <c r="Z506" s="1264"/>
    </row>
    <row r="507" spans="1:26" ht="18.75" hidden="1">
      <c r="A507" s="1260"/>
      <c r="B507" s="1265"/>
      <c r="C507" s="1261"/>
      <c r="D507" s="1262"/>
      <c r="E507" s="1261" t="s">
        <v>185</v>
      </c>
      <c r="F507" s="1261"/>
      <c r="G507" s="1263"/>
      <c r="H507" s="165" t="s">
        <v>12</v>
      </c>
      <c r="I507" s="836"/>
      <c r="J507" s="836"/>
      <c r="K507" s="837"/>
      <c r="L507" s="837">
        <v>0</v>
      </c>
      <c r="M507" s="837">
        <v>0</v>
      </c>
      <c r="N507" s="837">
        <f>N508+N509+N510+N511</f>
        <v>0</v>
      </c>
      <c r="O507" s="837">
        <f t="shared" si="217"/>
        <v>0</v>
      </c>
      <c r="P507" s="837">
        <f t="shared" si="218"/>
        <v>0</v>
      </c>
      <c r="Q507" s="1264"/>
      <c r="R507" s="1264"/>
      <c r="S507" s="1264"/>
      <c r="T507" s="1264"/>
      <c r="U507" s="1264"/>
      <c r="V507" s="1264"/>
      <c r="W507" s="1264"/>
      <c r="X507" s="1264"/>
      <c r="Y507" s="1264"/>
      <c r="Z507" s="1264"/>
    </row>
    <row r="508" spans="1:26" ht="18.75" hidden="1">
      <c r="A508" s="1294"/>
      <c r="B508" s="1265"/>
      <c r="C508" s="1261"/>
      <c r="D508" s="1261"/>
      <c r="E508" s="1261"/>
      <c r="F508" s="1261" t="s">
        <v>186</v>
      </c>
      <c r="G508" s="1263"/>
      <c r="H508" s="165" t="s">
        <v>12</v>
      </c>
      <c r="I508" s="836"/>
      <c r="J508" s="836"/>
      <c r="K508" s="837"/>
      <c r="L508" s="837"/>
      <c r="M508" s="837"/>
      <c r="N508" s="837">
        <v>0</v>
      </c>
      <c r="O508" s="837"/>
      <c r="P508" s="837"/>
      <c r="Q508" s="1264"/>
      <c r="R508" s="1264"/>
      <c r="S508" s="1264"/>
      <c r="T508" s="1264"/>
      <c r="U508" s="1264"/>
      <c r="V508" s="1264"/>
      <c r="W508" s="1264"/>
      <c r="X508" s="1264"/>
      <c r="Y508" s="1264"/>
      <c r="Z508" s="1264"/>
    </row>
    <row r="509" spans="1:26" ht="18.75" hidden="1">
      <c r="A509" s="1294"/>
      <c r="B509" s="1265"/>
      <c r="C509" s="1261"/>
      <c r="D509" s="1261"/>
      <c r="E509" s="1261"/>
      <c r="F509" s="1261" t="s">
        <v>187</v>
      </c>
      <c r="G509" s="1263"/>
      <c r="H509" s="165" t="s">
        <v>12</v>
      </c>
      <c r="I509" s="836"/>
      <c r="J509" s="836"/>
      <c r="K509" s="837"/>
      <c r="L509" s="837"/>
      <c r="M509" s="837"/>
      <c r="N509" s="837">
        <v>0</v>
      </c>
      <c r="O509" s="837"/>
      <c r="P509" s="837"/>
      <c r="Q509" s="1264"/>
      <c r="R509" s="1264"/>
      <c r="S509" s="1264"/>
      <c r="T509" s="1264"/>
      <c r="U509" s="1264"/>
      <c r="V509" s="1264"/>
      <c r="W509" s="1264"/>
      <c r="X509" s="1264"/>
      <c r="Y509" s="1264"/>
      <c r="Z509" s="1264"/>
    </row>
    <row r="510" spans="1:26" ht="18.75" hidden="1">
      <c r="A510" s="1294"/>
      <c r="B510" s="1265"/>
      <c r="C510" s="1265"/>
      <c r="D510" s="1265"/>
      <c r="E510" s="1261"/>
      <c r="F510" s="1261" t="s">
        <v>188</v>
      </c>
      <c r="G510" s="1263"/>
      <c r="H510" s="165" t="s">
        <v>12</v>
      </c>
      <c r="I510" s="836"/>
      <c r="J510" s="836"/>
      <c r="K510" s="837"/>
      <c r="L510" s="837"/>
      <c r="M510" s="837"/>
      <c r="N510" s="837">
        <v>0</v>
      </c>
      <c r="O510" s="837"/>
      <c r="P510" s="837"/>
      <c r="Q510" s="1264"/>
      <c r="R510" s="1264"/>
      <c r="S510" s="1264"/>
      <c r="T510" s="1264"/>
      <c r="U510" s="1264"/>
      <c r="V510" s="1264"/>
      <c r="W510" s="1264"/>
      <c r="X510" s="1264"/>
      <c r="Y510" s="1264"/>
      <c r="Z510" s="1264"/>
    </row>
    <row r="511" spans="1:26" ht="18.75" hidden="1">
      <c r="A511" s="1294"/>
      <c r="B511" s="1265"/>
      <c r="C511" s="1265"/>
      <c r="D511" s="1265"/>
      <c r="E511" s="1261"/>
      <c r="F511" s="1261" t="s">
        <v>189</v>
      </c>
      <c r="G511" s="1263"/>
      <c r="H511" s="165" t="s">
        <v>12</v>
      </c>
      <c r="I511" s="836"/>
      <c r="J511" s="836"/>
      <c r="K511" s="837"/>
      <c r="L511" s="837"/>
      <c r="M511" s="837"/>
      <c r="N511" s="837">
        <v>0</v>
      </c>
      <c r="O511" s="837"/>
      <c r="P511" s="837"/>
      <c r="Q511" s="1264"/>
      <c r="R511" s="1264"/>
      <c r="S511" s="1264"/>
      <c r="T511" s="1264"/>
      <c r="U511" s="1264"/>
      <c r="V511" s="1264"/>
      <c r="W511" s="1264"/>
      <c r="X511" s="1264"/>
      <c r="Y511" s="1264"/>
      <c r="Z511" s="1264"/>
    </row>
    <row r="512" spans="1:26" ht="18.75" hidden="1">
      <c r="A512" s="1260"/>
      <c r="B512" s="1265"/>
      <c r="C512" s="1265"/>
      <c r="D512" s="1293" t="s">
        <v>21</v>
      </c>
      <c r="E512" s="1265"/>
      <c r="F512" s="1261"/>
      <c r="G512" s="1263"/>
      <c r="H512" s="169" t="s">
        <v>12</v>
      </c>
      <c r="I512" s="947"/>
      <c r="J512" s="947"/>
      <c r="K512" s="948"/>
      <c r="L512" s="837">
        <f t="shared" ref="L512:N512" si="221">L513+L514</f>
        <v>0</v>
      </c>
      <c r="M512" s="837">
        <f t="shared" si="221"/>
        <v>0</v>
      </c>
      <c r="N512" s="837">
        <f t="shared" si="221"/>
        <v>0</v>
      </c>
      <c r="O512" s="837">
        <f t="shared" ref="O512:O514" si="222">IF(L512&gt;0,N512*100/L512,0)</f>
        <v>0</v>
      </c>
      <c r="P512" s="837">
        <f t="shared" ref="P512:P514" si="223">IF(M512&gt;0,N512*100/M512,0)</f>
        <v>0</v>
      </c>
      <c r="Q512" s="1264"/>
      <c r="R512" s="1264"/>
      <c r="S512" s="1264"/>
      <c r="T512" s="1264"/>
      <c r="U512" s="1264"/>
      <c r="V512" s="1264"/>
      <c r="W512" s="1264"/>
      <c r="X512" s="1264"/>
      <c r="Y512" s="1264"/>
      <c r="Z512" s="1264"/>
    </row>
    <row r="513" spans="1:26" ht="18.75" hidden="1">
      <c r="A513" s="1260"/>
      <c r="B513" s="1265"/>
      <c r="C513" s="1265"/>
      <c r="D513" s="1265"/>
      <c r="E513" s="1265" t="s">
        <v>18</v>
      </c>
      <c r="F513" s="1261"/>
      <c r="G513" s="1263"/>
      <c r="H513" s="165" t="s">
        <v>12</v>
      </c>
      <c r="I513" s="947"/>
      <c r="J513" s="947"/>
      <c r="K513" s="948"/>
      <c r="L513" s="837">
        <v>0</v>
      </c>
      <c r="M513" s="837">
        <v>0</v>
      </c>
      <c r="N513" s="837">
        <v>0</v>
      </c>
      <c r="O513" s="837">
        <f t="shared" si="222"/>
        <v>0</v>
      </c>
      <c r="P513" s="837">
        <f t="shared" si="223"/>
        <v>0</v>
      </c>
      <c r="Q513" s="1264"/>
      <c r="R513" s="1264"/>
      <c r="S513" s="1264"/>
      <c r="T513" s="1264"/>
      <c r="U513" s="1264"/>
      <c r="V513" s="1264"/>
      <c r="W513" s="1264"/>
      <c r="X513" s="1264"/>
      <c r="Y513" s="1264"/>
      <c r="Z513" s="1264"/>
    </row>
    <row r="514" spans="1:26" ht="18.75" hidden="1">
      <c r="A514" s="1260"/>
      <c r="B514" s="1265"/>
      <c r="C514" s="1265"/>
      <c r="D514" s="1261"/>
      <c r="E514" s="1265" t="s">
        <v>19</v>
      </c>
      <c r="F514" s="1261"/>
      <c r="G514" s="1263"/>
      <c r="H514" s="169" t="s">
        <v>12</v>
      </c>
      <c r="I514" s="947"/>
      <c r="J514" s="947"/>
      <c r="K514" s="948"/>
      <c r="L514" s="837">
        <v>0</v>
      </c>
      <c r="M514" s="837">
        <v>0</v>
      </c>
      <c r="N514" s="837">
        <v>0</v>
      </c>
      <c r="O514" s="837">
        <f t="shared" si="222"/>
        <v>0</v>
      </c>
      <c r="P514" s="837">
        <f t="shared" si="223"/>
        <v>0</v>
      </c>
      <c r="Q514" s="1264"/>
      <c r="R514" s="1264"/>
      <c r="S514" s="1264"/>
      <c r="T514" s="1264"/>
      <c r="U514" s="1264"/>
      <c r="V514" s="1264"/>
      <c r="W514" s="1264"/>
      <c r="X514" s="1264"/>
      <c r="Y514" s="1264"/>
      <c r="Z514" s="1264"/>
    </row>
    <row r="515" spans="1:26" ht="19.5" hidden="1">
      <c r="A515" s="1273"/>
      <c r="B515" s="1274"/>
      <c r="C515" s="1265" t="s">
        <v>16</v>
      </c>
      <c r="D515" s="1295" t="s">
        <v>38</v>
      </c>
      <c r="E515" s="1296"/>
      <c r="F515" s="1296"/>
      <c r="G515" s="1297"/>
      <c r="H515" s="1060"/>
      <c r="I515" s="947"/>
      <c r="J515" s="947"/>
      <c r="K515" s="948"/>
      <c r="L515" s="948"/>
      <c r="M515" s="948"/>
      <c r="N515" s="948"/>
      <c r="O515" s="948"/>
      <c r="P515" s="948"/>
      <c r="Q515" s="1264"/>
      <c r="R515" s="1264"/>
      <c r="S515" s="1264"/>
      <c r="T515" s="1264"/>
      <c r="U515" s="1264"/>
      <c r="V515" s="1264"/>
      <c r="W515" s="1264"/>
      <c r="X515" s="1264"/>
      <c r="Y515" s="1264"/>
      <c r="Z515" s="1264"/>
    </row>
    <row r="516" spans="1:26" ht="18.75" hidden="1">
      <c r="A516" s="1273"/>
      <c r="B516" s="1274"/>
      <c r="C516" s="1274"/>
      <c r="D516" s="1274" t="s">
        <v>221</v>
      </c>
      <c r="E516" s="1262"/>
      <c r="F516" s="1262"/>
      <c r="G516" s="1060"/>
      <c r="H516" s="619" t="s">
        <v>109</v>
      </c>
      <c r="I516" s="836"/>
      <c r="J516" s="836">
        <v>0</v>
      </c>
      <c r="K516" s="948">
        <f t="shared" ref="K516:K517" si="224">IF(I516&gt;0,J516*100/I516,0)</f>
        <v>0</v>
      </c>
      <c r="L516" s="948"/>
      <c r="M516" s="948"/>
      <c r="N516" s="948"/>
      <c r="O516" s="948"/>
      <c r="P516" s="948"/>
      <c r="Q516" s="1264"/>
      <c r="R516" s="1264"/>
      <c r="S516" s="1264"/>
      <c r="T516" s="1264"/>
      <c r="U516" s="1264"/>
      <c r="V516" s="1264"/>
      <c r="W516" s="1264"/>
      <c r="X516" s="1264"/>
      <c r="Y516" s="1264"/>
      <c r="Z516" s="1264"/>
    </row>
    <row r="517" spans="1:26" ht="19.5" hidden="1">
      <c r="A517" s="1273"/>
      <c r="B517" s="1274"/>
      <c r="C517" s="1274"/>
      <c r="D517" s="1274" t="s">
        <v>222</v>
      </c>
      <c r="E517" s="1262"/>
      <c r="F517" s="1262"/>
      <c r="G517" s="1060"/>
      <c r="H517" s="620" t="s">
        <v>35</v>
      </c>
      <c r="I517" s="1298"/>
      <c r="J517" s="1298">
        <f>J518+J519</f>
        <v>0</v>
      </c>
      <c r="K517" s="1299">
        <f t="shared" si="224"/>
        <v>0</v>
      </c>
      <c r="L517" s="948"/>
      <c r="M517" s="948"/>
      <c r="N517" s="948"/>
      <c r="O517" s="948"/>
      <c r="P517" s="948"/>
      <c r="Q517" s="1264"/>
      <c r="R517" s="1264"/>
      <c r="S517" s="1264"/>
      <c r="T517" s="1264"/>
      <c r="U517" s="1264"/>
      <c r="V517" s="1264"/>
      <c r="W517" s="1264"/>
      <c r="X517" s="1264"/>
      <c r="Y517" s="1264"/>
      <c r="Z517" s="1264"/>
    </row>
    <row r="518" spans="1:26" ht="18.75" hidden="1">
      <c r="A518" s="1273"/>
      <c r="B518" s="1274"/>
      <c r="C518" s="1274"/>
      <c r="D518" s="1274"/>
      <c r="E518" s="1274" t="s">
        <v>223</v>
      </c>
      <c r="F518" s="1262"/>
      <c r="G518" s="1060"/>
      <c r="H518" s="583" t="s">
        <v>35</v>
      </c>
      <c r="I518" s="836"/>
      <c r="J518" s="836"/>
      <c r="K518" s="948"/>
      <c r="L518" s="948"/>
      <c r="M518" s="948"/>
      <c r="N518" s="948"/>
      <c r="O518" s="948"/>
      <c r="P518" s="948"/>
      <c r="Q518" s="1264"/>
      <c r="R518" s="1264"/>
      <c r="S518" s="1264"/>
      <c r="T518" s="1264"/>
      <c r="U518" s="1264"/>
      <c r="V518" s="1264"/>
      <c r="W518" s="1264"/>
      <c r="X518" s="1264"/>
      <c r="Y518" s="1264"/>
      <c r="Z518" s="1264"/>
    </row>
    <row r="519" spans="1:26" ht="18.75" hidden="1">
      <c r="A519" s="1273"/>
      <c r="B519" s="1274"/>
      <c r="C519" s="1274"/>
      <c r="D519" s="1274"/>
      <c r="E519" s="1274" t="s">
        <v>224</v>
      </c>
      <c r="F519" s="1262"/>
      <c r="G519" s="1060"/>
      <c r="H519" s="619" t="s">
        <v>35</v>
      </c>
      <c r="I519" s="836"/>
      <c r="J519" s="836"/>
      <c r="K519" s="948"/>
      <c r="L519" s="948"/>
      <c r="M519" s="948"/>
      <c r="N519" s="948"/>
      <c r="O519" s="948"/>
      <c r="P519" s="948"/>
      <c r="Q519" s="1264"/>
      <c r="R519" s="1264"/>
      <c r="S519" s="1264"/>
      <c r="T519" s="1264"/>
      <c r="U519" s="1264"/>
      <c r="V519" s="1264"/>
      <c r="W519" s="1264"/>
      <c r="X519" s="1264"/>
      <c r="Y519" s="1264"/>
      <c r="Z519" s="1264"/>
    </row>
    <row r="520" spans="1:26" ht="19.5">
      <c r="A520" s="1300" t="s">
        <v>137</v>
      </c>
      <c r="B520" s="1301"/>
      <c r="C520" s="1301"/>
      <c r="D520" s="1302"/>
      <c r="E520" s="1302"/>
      <c r="F520" s="1302"/>
      <c r="G520" s="1303"/>
      <c r="H520" s="1304"/>
      <c r="I520" s="1305"/>
      <c r="J520" s="1305"/>
      <c r="K520" s="1306"/>
      <c r="L520" s="1306"/>
      <c r="M520" s="1306"/>
      <c r="N520" s="1306"/>
      <c r="O520" s="1306"/>
      <c r="P520" s="1306"/>
    </row>
    <row r="521" spans="1:26" ht="19.5" hidden="1">
      <c r="A521" s="630">
        <v>5</v>
      </c>
      <c r="B521" s="1307" t="s">
        <v>225</v>
      </c>
      <c r="C521" s="1308"/>
      <c r="D521" s="1309"/>
      <c r="E521" s="1309"/>
      <c r="F521" s="1309"/>
      <c r="G521" s="1309"/>
      <c r="H521" s="1310"/>
      <c r="I521" s="1311"/>
      <c r="J521" s="1311"/>
      <c r="K521" s="1312"/>
      <c r="L521" s="1312"/>
      <c r="M521" s="1312"/>
      <c r="N521" s="1312"/>
      <c r="O521" s="1312"/>
      <c r="P521" s="1312"/>
      <c r="Q521" s="1244"/>
      <c r="R521" s="1244"/>
      <c r="S521" s="1244"/>
      <c r="T521" s="1244"/>
      <c r="U521" s="1244"/>
      <c r="V521" s="1244"/>
      <c r="W521" s="1244"/>
      <c r="X521" s="1244"/>
      <c r="Y521" s="1244"/>
      <c r="Z521" s="1244"/>
    </row>
    <row r="522" spans="1:26" ht="19.5" hidden="1">
      <c r="A522" s="1313"/>
      <c r="B522" s="1314" t="s">
        <v>226</v>
      </c>
      <c r="C522" s="1315"/>
      <c r="D522" s="1315"/>
      <c r="E522" s="1315"/>
      <c r="F522" s="1315"/>
      <c r="G522" s="1316"/>
      <c r="H522" s="641" t="s">
        <v>35</v>
      </c>
      <c r="I522" s="1317">
        <f t="shared" ref="I522:J522" ca="1" si="225">I537</f>
        <v>0</v>
      </c>
      <c r="J522" s="1317">
        <f t="shared" ca="1" si="225"/>
        <v>0</v>
      </c>
      <c r="K522" s="1318">
        <f ca="1">IF(I522&gt;0,J522*100/I522,0)</f>
        <v>0</v>
      </c>
      <c r="L522" s="1319"/>
      <c r="M522" s="1319"/>
      <c r="N522" s="1319"/>
      <c r="O522" s="1319"/>
      <c r="P522" s="1319"/>
      <c r="Q522" s="1244"/>
      <c r="R522" s="1244"/>
      <c r="S522" s="1244"/>
      <c r="T522" s="1244"/>
      <c r="U522" s="1244"/>
      <c r="V522" s="1244"/>
      <c r="W522" s="1244"/>
      <c r="X522" s="1244"/>
      <c r="Y522" s="1244"/>
      <c r="Z522" s="1244"/>
    </row>
    <row r="523" spans="1:26" ht="19.5" hidden="1">
      <c r="A523" s="1259"/>
      <c r="B523" s="1243"/>
      <c r="C523" s="1243" t="s">
        <v>16</v>
      </c>
      <c r="D523" s="1507" t="s">
        <v>17</v>
      </c>
      <c r="E523" s="1485"/>
      <c r="F523" s="1485"/>
      <c r="G523" s="963"/>
      <c r="H523" s="563" t="s">
        <v>12</v>
      </c>
      <c r="I523" s="830"/>
      <c r="J523" s="830"/>
      <c r="K523" s="831"/>
      <c r="L523" s="967">
        <f t="shared" ref="L523:N523" ca="1" si="226">L524+L525</f>
        <v>0</v>
      </c>
      <c r="M523" s="967">
        <f t="shared" si="226"/>
        <v>0</v>
      </c>
      <c r="N523" s="967">
        <f t="shared" si="226"/>
        <v>0</v>
      </c>
      <c r="O523" s="967">
        <f t="shared" ref="O523:O528" ca="1" si="227">IF(L523&gt;0,N523*100/L523,0)</f>
        <v>0</v>
      </c>
      <c r="P523" s="967">
        <f t="shared" ref="P523:P528" si="228">IF(M523&gt;0,N523*100/M523,0)</f>
        <v>0</v>
      </c>
      <c r="Q523" s="1244"/>
      <c r="R523" s="1244"/>
      <c r="S523" s="1244"/>
      <c r="T523" s="1244"/>
      <c r="U523" s="1244"/>
      <c r="V523" s="1244"/>
      <c r="W523" s="1244"/>
      <c r="X523" s="1244"/>
      <c r="Y523" s="1244"/>
      <c r="Z523" s="1244"/>
    </row>
    <row r="524" spans="1:26" ht="18.75" hidden="1">
      <c r="A524" s="1260"/>
      <c r="B524" s="1261"/>
      <c r="C524" s="1261"/>
      <c r="D524" s="1262"/>
      <c r="E524" s="1261" t="s">
        <v>184</v>
      </c>
      <c r="F524" s="1261"/>
      <c r="G524" s="1263"/>
      <c r="H524" s="165" t="s">
        <v>12</v>
      </c>
      <c r="I524" s="836"/>
      <c r="J524" s="836"/>
      <c r="K524" s="837"/>
      <c r="L524" s="837">
        <f t="shared" ref="L524:N525" si="229">L527+L534</f>
        <v>0</v>
      </c>
      <c r="M524" s="837">
        <f t="shared" si="229"/>
        <v>0</v>
      </c>
      <c r="N524" s="837">
        <f t="shared" si="229"/>
        <v>0</v>
      </c>
      <c r="O524" s="837">
        <f t="shared" si="227"/>
        <v>0</v>
      </c>
      <c r="P524" s="837">
        <f t="shared" si="228"/>
        <v>0</v>
      </c>
      <c r="Q524" s="1264"/>
      <c r="R524" s="1264"/>
      <c r="S524" s="1264"/>
      <c r="T524" s="1264"/>
      <c r="U524" s="1264"/>
      <c r="V524" s="1264"/>
      <c r="W524" s="1264"/>
      <c r="X524" s="1264"/>
      <c r="Y524" s="1264"/>
      <c r="Z524" s="1264"/>
    </row>
    <row r="525" spans="1:26" ht="18.75" hidden="1">
      <c r="A525" s="1260"/>
      <c r="B525" s="1265"/>
      <c r="C525" s="1261"/>
      <c r="D525" s="1262"/>
      <c r="E525" s="1261" t="s">
        <v>185</v>
      </c>
      <c r="F525" s="1261"/>
      <c r="G525" s="1263"/>
      <c r="H525" s="165" t="s">
        <v>12</v>
      </c>
      <c r="I525" s="836"/>
      <c r="J525" s="836"/>
      <c r="K525" s="837"/>
      <c r="L525" s="837">
        <f t="shared" ca="1" si="229"/>
        <v>0</v>
      </c>
      <c r="M525" s="837">
        <f t="shared" si="229"/>
        <v>0</v>
      </c>
      <c r="N525" s="837">
        <f t="shared" si="229"/>
        <v>0</v>
      </c>
      <c r="O525" s="837">
        <f t="shared" ca="1" si="227"/>
        <v>0</v>
      </c>
      <c r="P525" s="837">
        <f t="shared" si="228"/>
        <v>0</v>
      </c>
      <c r="Q525" s="1264"/>
      <c r="R525" s="1264"/>
      <c r="S525" s="1264"/>
      <c r="T525" s="1264"/>
      <c r="U525" s="1264"/>
      <c r="V525" s="1264"/>
      <c r="W525" s="1264"/>
      <c r="X525" s="1264"/>
      <c r="Y525" s="1264"/>
      <c r="Z525" s="1264"/>
    </row>
    <row r="526" spans="1:26" ht="18.75" hidden="1">
      <c r="A526" s="1259"/>
      <c r="B526" s="1242"/>
      <c r="C526" s="1243"/>
      <c r="D526" s="1266" t="s">
        <v>20</v>
      </c>
      <c r="E526" s="1243"/>
      <c r="F526" s="1243"/>
      <c r="G526" s="963"/>
      <c r="H526" s="778" t="s">
        <v>12</v>
      </c>
      <c r="I526" s="944"/>
      <c r="J526" s="944"/>
      <c r="K526" s="945"/>
      <c r="L526" s="831">
        <f t="shared" ref="L526:N526" ca="1" si="230">L527+L528</f>
        <v>0</v>
      </c>
      <c r="M526" s="831">
        <f t="shared" si="230"/>
        <v>0</v>
      </c>
      <c r="N526" s="831">
        <f t="shared" si="230"/>
        <v>0</v>
      </c>
      <c r="O526" s="831">
        <f t="shared" ca="1" si="227"/>
        <v>0</v>
      </c>
      <c r="P526" s="831">
        <f t="shared" si="228"/>
        <v>0</v>
      </c>
      <c r="Q526" s="1244"/>
      <c r="R526" s="1244"/>
      <c r="S526" s="1244"/>
      <c r="T526" s="1244"/>
      <c r="U526" s="1244"/>
      <c r="V526" s="1244"/>
      <c r="W526" s="1244"/>
      <c r="X526" s="1244"/>
      <c r="Y526" s="1244"/>
      <c r="Z526" s="1244"/>
    </row>
    <row r="527" spans="1:26" ht="18.75" hidden="1">
      <c r="A527" s="1260"/>
      <c r="B527" s="1265"/>
      <c r="C527" s="1261"/>
      <c r="D527" s="1262"/>
      <c r="E527" s="1261" t="s">
        <v>184</v>
      </c>
      <c r="F527" s="1261"/>
      <c r="G527" s="1263"/>
      <c r="H527" s="165" t="s">
        <v>12</v>
      </c>
      <c r="I527" s="836"/>
      <c r="J527" s="836"/>
      <c r="K527" s="837"/>
      <c r="L527" s="837">
        <v>0</v>
      </c>
      <c r="M527" s="837">
        <v>0</v>
      </c>
      <c r="N527" s="837">
        <v>0</v>
      </c>
      <c r="O527" s="837">
        <f t="shared" si="227"/>
        <v>0</v>
      </c>
      <c r="P527" s="837">
        <f t="shared" si="228"/>
        <v>0</v>
      </c>
      <c r="Q527" s="1264"/>
      <c r="R527" s="1264"/>
      <c r="S527" s="1264"/>
      <c r="T527" s="1264"/>
      <c r="U527" s="1264"/>
      <c r="V527" s="1264"/>
      <c r="W527" s="1264"/>
      <c r="X527" s="1264"/>
      <c r="Y527" s="1264"/>
      <c r="Z527" s="1264"/>
    </row>
    <row r="528" spans="1:26" ht="18.75" hidden="1">
      <c r="A528" s="1260"/>
      <c r="B528" s="1265"/>
      <c r="C528" s="1261"/>
      <c r="D528" s="1262"/>
      <c r="E528" s="1261" t="s">
        <v>185</v>
      </c>
      <c r="F528" s="1261"/>
      <c r="G528" s="1263"/>
      <c r="H528" s="165" t="s">
        <v>12</v>
      </c>
      <c r="I528" s="836"/>
      <c r="J528" s="836"/>
      <c r="K528" s="837"/>
      <c r="L528" s="837">
        <f ca="1">IFERROR(__xludf.DUMMYFUNCTION("IMPORTRANGE(""https://docs.google.com/spreadsheets/d/1QqKyyYR6Q21VydFLVH3TRQUabQu_ym0Zz7PgGX0-kHA/edit?usp=sharing"",""แผน!GQ20"")"),0)</f>
        <v>0</v>
      </c>
      <c r="M528" s="837">
        <v>0</v>
      </c>
      <c r="N528" s="837">
        <f>N529+N530+N531+N532</f>
        <v>0</v>
      </c>
      <c r="O528" s="837">
        <f t="shared" ca="1" si="227"/>
        <v>0</v>
      </c>
      <c r="P528" s="837">
        <f t="shared" si="228"/>
        <v>0</v>
      </c>
      <c r="Q528" s="1264"/>
      <c r="R528" s="1264"/>
      <c r="S528" s="1264"/>
      <c r="T528" s="1264"/>
      <c r="U528" s="1264"/>
      <c r="V528" s="1264"/>
      <c r="W528" s="1264"/>
      <c r="X528" s="1264"/>
      <c r="Y528" s="1264"/>
      <c r="Z528" s="1264"/>
    </row>
    <row r="529" spans="1:26" ht="18.75" hidden="1">
      <c r="A529" s="1241"/>
      <c r="B529" s="1242"/>
      <c r="C529" s="1243"/>
      <c r="D529" s="1243"/>
      <c r="E529" s="1243"/>
      <c r="F529" s="1243" t="s">
        <v>186</v>
      </c>
      <c r="G529" s="963"/>
      <c r="H529" s="778" t="s">
        <v>12</v>
      </c>
      <c r="I529" s="830"/>
      <c r="J529" s="830"/>
      <c r="K529" s="831"/>
      <c r="L529" s="831"/>
      <c r="M529" s="831"/>
      <c r="N529" s="1031">
        <v>0</v>
      </c>
      <c r="O529" s="831"/>
      <c r="P529" s="831"/>
      <c r="Q529" s="1244"/>
      <c r="R529" s="1244"/>
      <c r="S529" s="1244"/>
      <c r="T529" s="1244"/>
      <c r="U529" s="1244"/>
      <c r="V529" s="1244"/>
      <c r="W529" s="1244"/>
      <c r="X529" s="1244"/>
      <c r="Y529" s="1244"/>
      <c r="Z529" s="1244"/>
    </row>
    <row r="530" spans="1:26" ht="18.75" hidden="1">
      <c r="A530" s="1241"/>
      <c r="B530" s="1242"/>
      <c r="C530" s="1243"/>
      <c r="D530" s="1243"/>
      <c r="E530" s="1243"/>
      <c r="F530" s="1243" t="s">
        <v>187</v>
      </c>
      <c r="G530" s="963"/>
      <c r="H530" s="778" t="s">
        <v>12</v>
      </c>
      <c r="I530" s="830"/>
      <c r="J530" s="830"/>
      <c r="K530" s="831"/>
      <c r="L530" s="831"/>
      <c r="M530" s="831"/>
      <c r="N530" s="1031">
        <v>0</v>
      </c>
      <c r="O530" s="831"/>
      <c r="P530" s="831"/>
      <c r="Q530" s="1244"/>
      <c r="R530" s="1244"/>
      <c r="S530" s="1244"/>
      <c r="T530" s="1244"/>
      <c r="U530" s="1244"/>
      <c r="V530" s="1244"/>
      <c r="W530" s="1244"/>
      <c r="X530" s="1244"/>
      <c r="Y530" s="1244"/>
      <c r="Z530" s="1244"/>
    </row>
    <row r="531" spans="1:26" ht="18.75" hidden="1">
      <c r="A531" s="1241"/>
      <c r="B531" s="1242"/>
      <c r="C531" s="1243"/>
      <c r="D531" s="1243"/>
      <c r="E531" s="1243"/>
      <c r="F531" s="1243" t="s">
        <v>188</v>
      </c>
      <c r="G531" s="963"/>
      <c r="H531" s="778" t="s">
        <v>12</v>
      </c>
      <c r="I531" s="830"/>
      <c r="J531" s="830"/>
      <c r="K531" s="831"/>
      <c r="L531" s="831"/>
      <c r="M531" s="831"/>
      <c r="N531" s="1031">
        <v>0</v>
      </c>
      <c r="O531" s="831"/>
      <c r="P531" s="831"/>
      <c r="Q531" s="1244"/>
      <c r="R531" s="1244"/>
      <c r="S531" s="1244"/>
      <c r="T531" s="1244"/>
      <c r="U531" s="1244"/>
      <c r="V531" s="1244"/>
      <c r="W531" s="1244"/>
      <c r="X531" s="1244"/>
      <c r="Y531" s="1244"/>
      <c r="Z531" s="1244"/>
    </row>
    <row r="532" spans="1:26" ht="18.75" hidden="1">
      <c r="A532" s="1241"/>
      <c r="B532" s="1242"/>
      <c r="C532" s="1243"/>
      <c r="D532" s="1243"/>
      <c r="E532" s="1243"/>
      <c r="F532" s="1243" t="s">
        <v>189</v>
      </c>
      <c r="G532" s="963"/>
      <c r="H532" s="778" t="s">
        <v>12</v>
      </c>
      <c r="I532" s="830"/>
      <c r="J532" s="830"/>
      <c r="K532" s="831"/>
      <c r="L532" s="831"/>
      <c r="M532" s="831"/>
      <c r="N532" s="1031">
        <v>0</v>
      </c>
      <c r="O532" s="831"/>
      <c r="P532" s="831"/>
      <c r="Q532" s="1244"/>
      <c r="R532" s="1244"/>
      <c r="S532" s="1244"/>
      <c r="T532" s="1244"/>
      <c r="U532" s="1244"/>
      <c r="V532" s="1244"/>
      <c r="W532" s="1244"/>
      <c r="X532" s="1244"/>
      <c r="Y532" s="1244"/>
      <c r="Z532" s="1244"/>
    </row>
    <row r="533" spans="1:26" ht="18.75" hidden="1">
      <c r="A533" s="1259"/>
      <c r="B533" s="1242"/>
      <c r="C533" s="1243"/>
      <c r="D533" s="1266" t="s">
        <v>21</v>
      </c>
      <c r="E533" s="1243"/>
      <c r="F533" s="1243"/>
      <c r="G533" s="963"/>
      <c r="H533" s="168" t="s">
        <v>12</v>
      </c>
      <c r="I533" s="944"/>
      <c r="J533" s="944"/>
      <c r="K533" s="945"/>
      <c r="L533" s="831">
        <f t="shared" ref="L533:N533" ca="1" si="231">L534+L535</f>
        <v>0</v>
      </c>
      <c r="M533" s="831">
        <f t="shared" si="231"/>
        <v>0</v>
      </c>
      <c r="N533" s="831">
        <f t="shared" si="231"/>
        <v>0</v>
      </c>
      <c r="O533" s="831">
        <f t="shared" ref="O533:O535" ca="1" si="232">IF(L533&gt;0,N533*100/L533,0)</f>
        <v>0</v>
      </c>
      <c r="P533" s="831">
        <f t="shared" ref="P533:P535" si="233">IF(M533&gt;0,N533*100/M533,0)</f>
        <v>0</v>
      </c>
      <c r="Q533" s="1244"/>
      <c r="R533" s="1244"/>
      <c r="S533" s="1244"/>
      <c r="T533" s="1244"/>
      <c r="U533" s="1244"/>
      <c r="V533" s="1244"/>
      <c r="W533" s="1244"/>
      <c r="X533" s="1244"/>
      <c r="Y533" s="1244"/>
      <c r="Z533" s="1244"/>
    </row>
    <row r="534" spans="1:26" ht="18.75" hidden="1">
      <c r="A534" s="1260"/>
      <c r="B534" s="1265"/>
      <c r="C534" s="1261"/>
      <c r="D534" s="1261"/>
      <c r="E534" s="1261" t="s">
        <v>18</v>
      </c>
      <c r="F534" s="1261"/>
      <c r="G534" s="1263"/>
      <c r="H534" s="165" t="s">
        <v>12</v>
      </c>
      <c r="I534" s="947"/>
      <c r="J534" s="947"/>
      <c r="K534" s="948"/>
      <c r="L534" s="837">
        <v>0</v>
      </c>
      <c r="M534" s="837">
        <v>0</v>
      </c>
      <c r="N534" s="837">
        <v>0</v>
      </c>
      <c r="O534" s="837">
        <f t="shared" si="232"/>
        <v>0</v>
      </c>
      <c r="P534" s="837">
        <f t="shared" si="233"/>
        <v>0</v>
      </c>
      <c r="Q534" s="1264"/>
      <c r="R534" s="1264"/>
      <c r="S534" s="1264"/>
      <c r="T534" s="1264"/>
      <c r="U534" s="1264"/>
      <c r="V534" s="1264"/>
      <c r="W534" s="1264"/>
      <c r="X534" s="1264"/>
      <c r="Y534" s="1264"/>
      <c r="Z534" s="1264"/>
    </row>
    <row r="535" spans="1:26" ht="18.75" hidden="1">
      <c r="A535" s="1260"/>
      <c r="B535" s="1265"/>
      <c r="C535" s="1261"/>
      <c r="D535" s="1261"/>
      <c r="E535" s="1261" t="s">
        <v>19</v>
      </c>
      <c r="F535" s="1261"/>
      <c r="G535" s="1263"/>
      <c r="H535" s="169" t="s">
        <v>12</v>
      </c>
      <c r="I535" s="947"/>
      <c r="J535" s="947"/>
      <c r="K535" s="948"/>
      <c r="L535" s="837">
        <f ca="1">IFERROR(__xludf.DUMMYFUNCTION("IMPORTRANGE(""https://docs.google.com/spreadsheets/d/1QqKyyYR6Q21VydFLVH3TRQUabQu_ym0Zz7PgGX0-kHA/edit?usp=sharing"",""แผน!GT20"")"),0)</f>
        <v>0</v>
      </c>
      <c r="M535" s="837">
        <v>0</v>
      </c>
      <c r="N535" s="837">
        <v>0</v>
      </c>
      <c r="O535" s="837">
        <f t="shared" ca="1" si="232"/>
        <v>0</v>
      </c>
      <c r="P535" s="837">
        <f t="shared" si="233"/>
        <v>0</v>
      </c>
      <c r="Q535" s="1264"/>
      <c r="R535" s="1264"/>
      <c r="S535" s="1264"/>
      <c r="T535" s="1264"/>
      <c r="U535" s="1264"/>
      <c r="V535" s="1264"/>
      <c r="W535" s="1264"/>
      <c r="X535" s="1264"/>
      <c r="Y535" s="1264"/>
      <c r="Z535" s="1264"/>
    </row>
    <row r="536" spans="1:26" ht="19.5" hidden="1">
      <c r="A536" s="1267"/>
      <c r="B536" s="1268"/>
      <c r="C536" s="1243" t="s">
        <v>16</v>
      </c>
      <c r="D536" s="1320" t="s">
        <v>38</v>
      </c>
      <c r="E536" s="1271"/>
      <c r="F536" s="1271"/>
      <c r="G536" s="1272"/>
      <c r="H536" s="954"/>
      <c r="I536" s="944"/>
      <c r="J536" s="944"/>
      <c r="K536" s="945"/>
      <c r="L536" s="945"/>
      <c r="M536" s="945"/>
      <c r="N536" s="945"/>
      <c r="O536" s="945"/>
      <c r="P536" s="945"/>
      <c r="Q536" s="1244"/>
      <c r="R536" s="1244"/>
      <c r="S536" s="1244"/>
      <c r="T536" s="1244"/>
      <c r="U536" s="1244"/>
      <c r="V536" s="1244"/>
      <c r="W536" s="1244"/>
      <c r="X536" s="1244"/>
      <c r="Y536" s="1244"/>
      <c r="Z536" s="1244"/>
    </row>
    <row r="537" spans="1:26" ht="19.5" hidden="1">
      <c r="A537" s="1241"/>
      <c r="B537" s="1242"/>
      <c r="C537" s="1243"/>
      <c r="D537" s="1243" t="s">
        <v>227</v>
      </c>
      <c r="E537" s="1243"/>
      <c r="F537" s="1243"/>
      <c r="G537" s="963"/>
      <c r="H537" s="590" t="s">
        <v>35</v>
      </c>
      <c r="I537" s="966">
        <f ca="1">IFERROR(__xludf.DUMMYFUNCTION("IMPORTRANGE(""https://docs.google.com/spreadsheets/d/1QqKyyYR6Q21VydFLVH3TRQUabQu_ym0Zz7PgGX0-kHA/edit?usp=sharing"",""แผน!GU20"")"),0)</f>
        <v>0</v>
      </c>
      <c r="J537" s="966">
        <f ca="1">IF(AND(J538=I538,J539=I539,J540=I540,J541=I541),I537,0)</f>
        <v>0</v>
      </c>
      <c r="K537" s="831">
        <f t="shared" ref="K537:K543" ca="1" si="234">IF(I537&gt;0,J537*100/I537,0)</f>
        <v>0</v>
      </c>
      <c r="L537" s="831"/>
      <c r="M537" s="831"/>
      <c r="N537" s="831"/>
      <c r="O537" s="831"/>
      <c r="P537" s="831"/>
      <c r="Q537" s="1321"/>
      <c r="R537" s="1321"/>
      <c r="S537" s="1321"/>
      <c r="T537" s="1321"/>
      <c r="U537" s="1321"/>
      <c r="V537" s="1321"/>
      <c r="W537" s="1321"/>
      <c r="X537" s="1321"/>
      <c r="Y537" s="1321"/>
      <c r="Z537" s="1321"/>
    </row>
    <row r="538" spans="1:26" ht="18.75" hidden="1">
      <c r="A538" s="1241"/>
      <c r="B538" s="1242"/>
      <c r="C538" s="1243"/>
      <c r="D538" s="1243"/>
      <c r="E538" s="1243" t="s">
        <v>228</v>
      </c>
      <c r="F538" s="1243"/>
      <c r="G538" s="963"/>
      <c r="H538" s="590" t="s">
        <v>35</v>
      </c>
      <c r="I538" s="830">
        <f ca="1">IFERROR(__xludf.DUMMYFUNCTION("IMPORTRANGE(""https://docs.google.com/spreadsheets/d/1QqKyyYR6Q21VydFLVH3TRQUabQu_ym0Zz7PgGX0-kHA/edit?usp=sharing"",""แผน!GV20"")"),0)</f>
        <v>0</v>
      </c>
      <c r="J538" s="959">
        <v>0</v>
      </c>
      <c r="K538" s="831">
        <f t="shared" ca="1" si="234"/>
        <v>0</v>
      </c>
      <c r="L538" s="831"/>
      <c r="M538" s="831"/>
      <c r="N538" s="831"/>
      <c r="O538" s="831"/>
      <c r="P538" s="831"/>
      <c r="Q538" s="1321"/>
      <c r="R538" s="1321"/>
      <c r="S538" s="1321"/>
      <c r="T538" s="1321"/>
      <c r="U538" s="1321"/>
      <c r="V538" s="1321"/>
      <c r="W538" s="1321"/>
      <c r="X538" s="1321"/>
      <c r="Y538" s="1321"/>
      <c r="Z538" s="1321"/>
    </row>
    <row r="539" spans="1:26" ht="18.75" hidden="1">
      <c r="A539" s="1241"/>
      <c r="B539" s="1242"/>
      <c r="C539" s="1243"/>
      <c r="D539" s="1243"/>
      <c r="E539" s="1243" t="s">
        <v>229</v>
      </c>
      <c r="F539" s="1243"/>
      <c r="G539" s="963"/>
      <c r="H539" s="590" t="s">
        <v>35</v>
      </c>
      <c r="I539" s="830">
        <f ca="1">IFERROR(__xludf.DUMMYFUNCTION("IMPORTRANGE(""https://docs.google.com/spreadsheets/d/1QqKyyYR6Q21VydFLVH3TRQUabQu_ym0Zz7PgGX0-kHA/edit?usp=sharing"",""แผน!GW20"")"),0)</f>
        <v>0</v>
      </c>
      <c r="J539" s="959">
        <v>0</v>
      </c>
      <c r="K539" s="831">
        <f t="shared" ca="1" si="234"/>
        <v>0</v>
      </c>
      <c r="L539" s="831"/>
      <c r="M539" s="831"/>
      <c r="N539" s="831"/>
      <c r="O539" s="831"/>
      <c r="P539" s="831"/>
      <c r="Q539" s="1321"/>
      <c r="R539" s="1321"/>
      <c r="S539" s="1321"/>
      <c r="T539" s="1321"/>
      <c r="U539" s="1321"/>
      <c r="V539" s="1321"/>
      <c r="W539" s="1321"/>
      <c r="X539" s="1321"/>
      <c r="Y539" s="1321"/>
      <c r="Z539" s="1321"/>
    </row>
    <row r="540" spans="1:26" ht="18.75" hidden="1">
      <c r="A540" s="1241"/>
      <c r="B540" s="1242"/>
      <c r="C540" s="1243"/>
      <c r="D540" s="1243"/>
      <c r="E540" s="1243" t="s">
        <v>230</v>
      </c>
      <c r="F540" s="1243"/>
      <c r="G540" s="963"/>
      <c r="H540" s="590" t="s">
        <v>35</v>
      </c>
      <c r="I540" s="830">
        <f ca="1">IFERROR(__xludf.DUMMYFUNCTION("IMPORTRANGE(""https://docs.google.com/spreadsheets/d/1QqKyyYR6Q21VydFLVH3TRQUabQu_ym0Zz7PgGX0-kHA/edit?usp=sharing"",""แผน!GX20"")"),0)</f>
        <v>0</v>
      </c>
      <c r="J540" s="959">
        <v>0</v>
      </c>
      <c r="K540" s="831">
        <f t="shared" ca="1" si="234"/>
        <v>0</v>
      </c>
      <c r="L540" s="831"/>
      <c r="M540" s="831"/>
      <c r="N540" s="831"/>
      <c r="O540" s="831"/>
      <c r="P540" s="831"/>
      <c r="Q540" s="1321"/>
      <c r="R540" s="1321"/>
      <c r="S540" s="1321"/>
      <c r="T540" s="1321"/>
      <c r="U540" s="1321"/>
      <c r="V540" s="1321"/>
      <c r="W540" s="1321"/>
      <c r="X540" s="1321"/>
      <c r="Y540" s="1321"/>
      <c r="Z540" s="1321"/>
    </row>
    <row r="541" spans="1:26" ht="18.75" hidden="1">
      <c r="A541" s="1241"/>
      <c r="B541" s="1242"/>
      <c r="C541" s="1243"/>
      <c r="D541" s="1243"/>
      <c r="E541" s="1322" t="s">
        <v>231</v>
      </c>
      <c r="F541" s="1243"/>
      <c r="G541" s="963"/>
      <c r="H541" s="590" t="s">
        <v>35</v>
      </c>
      <c r="I541" s="830">
        <f ca="1">IFERROR(__xludf.DUMMYFUNCTION("IMPORTRANGE(""https://docs.google.com/spreadsheets/d/1QqKyyYR6Q21VydFLVH3TRQUabQu_ym0Zz7PgGX0-kHA/edit?usp=sharing"",""แผน!GY20"")"),0)</f>
        <v>0</v>
      </c>
      <c r="J541" s="959">
        <v>0</v>
      </c>
      <c r="K541" s="831">
        <f t="shared" ca="1" si="234"/>
        <v>0</v>
      </c>
      <c r="L541" s="831"/>
      <c r="M541" s="831"/>
      <c r="N541" s="831"/>
      <c r="O541" s="831"/>
      <c r="P541" s="831"/>
      <c r="Q541" s="1321"/>
      <c r="R541" s="1321"/>
      <c r="S541" s="1321"/>
      <c r="T541" s="1321"/>
      <c r="U541" s="1321"/>
      <c r="V541" s="1321"/>
      <c r="W541" s="1321"/>
      <c r="X541" s="1321"/>
      <c r="Y541" s="1321"/>
      <c r="Z541" s="1321"/>
    </row>
    <row r="542" spans="1:26" ht="18.75" hidden="1">
      <c r="A542" s="1241"/>
      <c r="B542" s="1242"/>
      <c r="C542" s="1243"/>
      <c r="D542" s="1243" t="s">
        <v>59</v>
      </c>
      <c r="E542" s="1243"/>
      <c r="F542" s="1243"/>
      <c r="G542" s="963"/>
      <c r="H542" s="590" t="s">
        <v>35</v>
      </c>
      <c r="I542" s="830">
        <f ca="1">IFERROR(__xludf.DUMMYFUNCTION("IMPORTRANGE(""https://docs.google.com/spreadsheets/d/1QqKyyYR6Q21VydFLVH3TRQUabQu_ym0Zz7PgGX0-kHA/edit?usp=sharing"",""แผน!GZ20"")"),0)</f>
        <v>0</v>
      </c>
      <c r="J542" s="959">
        <v>0</v>
      </c>
      <c r="K542" s="831">
        <f t="shared" ca="1" si="234"/>
        <v>0</v>
      </c>
      <c r="L542" s="831"/>
      <c r="M542" s="831"/>
      <c r="N542" s="831"/>
      <c r="O542" s="831"/>
      <c r="P542" s="831"/>
      <c r="Q542" s="1321"/>
      <c r="R542" s="1321"/>
      <c r="S542" s="1321"/>
      <c r="T542" s="1321"/>
      <c r="U542" s="1321"/>
      <c r="V542" s="1321"/>
      <c r="W542" s="1321"/>
      <c r="X542" s="1321"/>
      <c r="Y542" s="1321"/>
      <c r="Z542" s="1321"/>
    </row>
    <row r="543" spans="1:26" ht="19.5">
      <c r="A543" s="630">
        <v>6</v>
      </c>
      <c r="B543" s="1323" t="s">
        <v>232</v>
      </c>
      <c r="C543" s="1309"/>
      <c r="D543" s="1309"/>
      <c r="E543" s="1309"/>
      <c r="F543" s="1309"/>
      <c r="G543" s="1310"/>
      <c r="H543" s="652" t="s">
        <v>46</v>
      </c>
      <c r="I543" s="1324">
        <f t="shared" ref="I543:J543" ca="1" si="235">I559</f>
        <v>25837</v>
      </c>
      <c r="J543" s="1324">
        <f t="shared" si="235"/>
        <v>0</v>
      </c>
      <c r="K543" s="1325">
        <f t="shared" ca="1" si="234"/>
        <v>0</v>
      </c>
      <c r="L543" s="1312"/>
      <c r="M543" s="1312"/>
      <c r="N543" s="1312"/>
      <c r="O543" s="1312"/>
      <c r="P543" s="1312"/>
      <c r="Q543" s="1244"/>
      <c r="R543" s="1244"/>
      <c r="S543" s="1244"/>
      <c r="T543" s="1244"/>
      <c r="U543" s="1244"/>
      <c r="V543" s="1244"/>
      <c r="W543" s="1244"/>
      <c r="X543" s="1244"/>
      <c r="Y543" s="1244"/>
      <c r="Z543" s="1244"/>
    </row>
    <row r="544" spans="1:26" ht="19.5">
      <c r="A544" s="1326"/>
      <c r="B544" s="1327"/>
      <c r="C544" s="1327" t="s">
        <v>16</v>
      </c>
      <c r="D544" s="1511" t="s">
        <v>17</v>
      </c>
      <c r="E544" s="1487"/>
      <c r="F544" s="1487"/>
      <c r="G544" s="1328"/>
      <c r="H544" s="275" t="s">
        <v>12</v>
      </c>
      <c r="I544" s="937"/>
      <c r="J544" s="937"/>
      <c r="K544" s="938"/>
      <c r="L544" s="939">
        <f t="shared" ref="L544:N544" ca="1" si="236">L545+L546</f>
        <v>348546</v>
      </c>
      <c r="M544" s="939">
        <f t="shared" si="236"/>
        <v>0</v>
      </c>
      <c r="N544" s="939">
        <f t="shared" si="236"/>
        <v>89914</v>
      </c>
      <c r="O544" s="939">
        <f t="shared" ref="O544:O549" ca="1" si="237">IF(L544&gt;0,N544*100/L544,0)</f>
        <v>25.796881903679857</v>
      </c>
      <c r="P544" s="939">
        <f t="shared" ref="P544:P549" si="238">IF(M544&gt;0,N544*100/M544,0)</f>
        <v>0</v>
      </c>
      <c r="Q544" s="1244"/>
      <c r="R544" s="1244"/>
      <c r="S544" s="1244"/>
      <c r="T544" s="1244"/>
      <c r="U544" s="1244"/>
      <c r="V544" s="1244"/>
      <c r="W544" s="1244"/>
      <c r="X544" s="1244"/>
      <c r="Y544" s="1244"/>
      <c r="Z544" s="1244"/>
    </row>
    <row r="545" spans="1:26" ht="18.75" hidden="1">
      <c r="A545" s="1260"/>
      <c r="B545" s="1261"/>
      <c r="C545" s="1261"/>
      <c r="D545" s="1261"/>
      <c r="E545" s="1261" t="s">
        <v>184</v>
      </c>
      <c r="F545" s="1261"/>
      <c r="G545" s="1263"/>
      <c r="H545" s="165" t="s">
        <v>12</v>
      </c>
      <c r="I545" s="836"/>
      <c r="J545" s="836"/>
      <c r="K545" s="837"/>
      <c r="L545" s="837">
        <f t="shared" ref="L545:L546" si="239">L548+L556</f>
        <v>0</v>
      </c>
      <c r="M545" s="837">
        <f t="shared" ref="M545:N546" si="240">M548+M555</f>
        <v>0</v>
      </c>
      <c r="N545" s="837">
        <f t="shared" si="240"/>
        <v>0</v>
      </c>
      <c r="O545" s="837">
        <f t="shared" si="237"/>
        <v>0</v>
      </c>
      <c r="P545" s="837">
        <f t="shared" si="238"/>
        <v>0</v>
      </c>
      <c r="Q545" s="1264"/>
      <c r="R545" s="1264"/>
      <c r="S545" s="1264"/>
      <c r="T545" s="1264"/>
      <c r="U545" s="1264"/>
      <c r="V545" s="1264"/>
      <c r="W545" s="1264"/>
      <c r="X545" s="1264"/>
      <c r="Y545" s="1264"/>
      <c r="Z545" s="1264"/>
    </row>
    <row r="546" spans="1:26" ht="18.75" hidden="1">
      <c r="A546" s="1260"/>
      <c r="B546" s="1265"/>
      <c r="C546" s="1261"/>
      <c r="D546" s="1261"/>
      <c r="E546" s="1261" t="s">
        <v>185</v>
      </c>
      <c r="F546" s="1261"/>
      <c r="G546" s="1263"/>
      <c r="H546" s="165" t="s">
        <v>12</v>
      </c>
      <c r="I546" s="836"/>
      <c r="J546" s="836"/>
      <c r="K546" s="837"/>
      <c r="L546" s="837">
        <f t="shared" ca="1" si="239"/>
        <v>348546</v>
      </c>
      <c r="M546" s="837">
        <f t="shared" si="240"/>
        <v>0</v>
      </c>
      <c r="N546" s="837">
        <f t="shared" si="240"/>
        <v>89914</v>
      </c>
      <c r="O546" s="837">
        <f t="shared" ca="1" si="237"/>
        <v>25.796881903679857</v>
      </c>
      <c r="P546" s="837">
        <f t="shared" si="238"/>
        <v>0</v>
      </c>
      <c r="Q546" s="1264"/>
      <c r="R546" s="1264"/>
      <c r="S546" s="1264"/>
      <c r="T546" s="1264"/>
      <c r="U546" s="1264"/>
      <c r="V546" s="1264"/>
      <c r="W546" s="1264"/>
      <c r="X546" s="1264"/>
      <c r="Y546" s="1264"/>
      <c r="Z546" s="1264"/>
    </row>
    <row r="547" spans="1:26" ht="18.75">
      <c r="A547" s="1259"/>
      <c r="B547" s="1242"/>
      <c r="C547" s="1243"/>
      <c r="D547" s="1266" t="s">
        <v>20</v>
      </c>
      <c r="E547" s="1243"/>
      <c r="F547" s="1243"/>
      <c r="G547" s="963"/>
      <c r="H547" s="778" t="s">
        <v>12</v>
      </c>
      <c r="I547" s="944"/>
      <c r="J547" s="944"/>
      <c r="K547" s="945"/>
      <c r="L547" s="831">
        <f t="shared" ref="L547:N547" ca="1" si="241">L548+L549</f>
        <v>348546</v>
      </c>
      <c r="M547" s="831">
        <f t="shared" si="241"/>
        <v>0</v>
      </c>
      <c r="N547" s="831">
        <f t="shared" si="241"/>
        <v>89914</v>
      </c>
      <c r="O547" s="831">
        <f t="shared" ca="1" si="237"/>
        <v>25.796881903679857</v>
      </c>
      <c r="P547" s="831">
        <f t="shared" si="238"/>
        <v>0</v>
      </c>
      <c r="Q547" s="1244"/>
      <c r="R547" s="1244"/>
      <c r="S547" s="1244"/>
      <c r="T547" s="1244"/>
      <c r="U547" s="1244"/>
      <c r="V547" s="1244"/>
      <c r="W547" s="1244"/>
      <c r="X547" s="1244"/>
      <c r="Y547" s="1244"/>
      <c r="Z547" s="1244"/>
    </row>
    <row r="548" spans="1:26" ht="18.75" hidden="1">
      <c r="A548" s="1260"/>
      <c r="B548" s="1265"/>
      <c r="C548" s="1261"/>
      <c r="D548" s="1262"/>
      <c r="E548" s="1261" t="s">
        <v>184</v>
      </c>
      <c r="F548" s="1261"/>
      <c r="G548" s="1263"/>
      <c r="H548" s="165" t="s">
        <v>12</v>
      </c>
      <c r="I548" s="836"/>
      <c r="J548" s="836"/>
      <c r="K548" s="837"/>
      <c r="L548" s="837">
        <v>0</v>
      </c>
      <c r="M548" s="837">
        <v>0</v>
      </c>
      <c r="N548" s="837">
        <v>0</v>
      </c>
      <c r="O548" s="837">
        <f t="shared" si="237"/>
        <v>0</v>
      </c>
      <c r="P548" s="837">
        <f t="shared" si="238"/>
        <v>0</v>
      </c>
      <c r="Q548" s="1264"/>
      <c r="R548" s="1264"/>
      <c r="S548" s="1264"/>
      <c r="T548" s="1264"/>
      <c r="U548" s="1264"/>
      <c r="V548" s="1264"/>
      <c r="W548" s="1264"/>
      <c r="X548" s="1264"/>
      <c r="Y548" s="1264"/>
      <c r="Z548" s="1264"/>
    </row>
    <row r="549" spans="1:26" ht="18.75" hidden="1">
      <c r="A549" s="1260"/>
      <c r="B549" s="1265"/>
      <c r="C549" s="1261"/>
      <c r="D549" s="1262"/>
      <c r="E549" s="1261" t="s">
        <v>185</v>
      </c>
      <c r="F549" s="1261"/>
      <c r="G549" s="1263"/>
      <c r="H549" s="165" t="s">
        <v>12</v>
      </c>
      <c r="I549" s="836"/>
      <c r="J549" s="836"/>
      <c r="K549" s="837"/>
      <c r="L549" s="837">
        <f ca="1">IFERROR(__xludf.DUMMYFUNCTION("IMPORTRANGE(""https://docs.google.com/spreadsheets/d/1QqKyyYR6Q21VydFLVH3TRQUabQu_ym0Zz7PgGX0-kHA/edit?usp=sharing"",""แผน!HB20"")"),348546)</f>
        <v>348546</v>
      </c>
      <c r="M549" s="837">
        <v>0</v>
      </c>
      <c r="N549" s="837">
        <f>N550+N551+N552+N553+N554</f>
        <v>89914</v>
      </c>
      <c r="O549" s="837">
        <f t="shared" ca="1" si="237"/>
        <v>25.796881903679857</v>
      </c>
      <c r="P549" s="837">
        <f t="shared" si="238"/>
        <v>0</v>
      </c>
      <c r="Q549" s="1264"/>
      <c r="R549" s="1264"/>
      <c r="S549" s="1264"/>
      <c r="T549" s="1264"/>
      <c r="U549" s="1264"/>
      <c r="V549" s="1264"/>
      <c r="W549" s="1264"/>
      <c r="X549" s="1264"/>
      <c r="Y549" s="1264"/>
      <c r="Z549" s="1264"/>
    </row>
    <row r="550" spans="1:26" ht="18.75">
      <c r="A550" s="1241"/>
      <c r="B550" s="1242"/>
      <c r="C550" s="1243"/>
      <c r="D550" s="1243"/>
      <c r="E550" s="1243"/>
      <c r="F550" s="1243" t="s">
        <v>186</v>
      </c>
      <c r="G550" s="963"/>
      <c r="H550" s="778" t="s">
        <v>12</v>
      </c>
      <c r="I550" s="830"/>
      <c r="J550" s="830"/>
      <c r="K550" s="831"/>
      <c r="L550" s="831"/>
      <c r="M550" s="831"/>
      <c r="N550" s="1031">
        <v>0</v>
      </c>
      <c r="O550" s="831"/>
      <c r="P550" s="831"/>
      <c r="Q550" s="1244"/>
      <c r="R550" s="1244"/>
      <c r="S550" s="1244"/>
      <c r="T550" s="1244"/>
      <c r="U550" s="1244"/>
      <c r="V550" s="1244"/>
      <c r="W550" s="1244"/>
      <c r="X550" s="1244"/>
      <c r="Y550" s="1244"/>
      <c r="Z550" s="1244"/>
    </row>
    <row r="551" spans="1:26" ht="18.75">
      <c r="A551" s="1241"/>
      <c r="B551" s="1242"/>
      <c r="C551" s="1242"/>
      <c r="D551" s="1242"/>
      <c r="E551" s="1243"/>
      <c r="F551" s="1243" t="s">
        <v>187</v>
      </c>
      <c r="G551" s="963"/>
      <c r="H551" s="778" t="s">
        <v>12</v>
      </c>
      <c r="I551" s="830"/>
      <c r="J551" s="830"/>
      <c r="K551" s="831"/>
      <c r="L551" s="831"/>
      <c r="M551" s="831"/>
      <c r="N551" s="1031">
        <v>0</v>
      </c>
      <c r="O551" s="831"/>
      <c r="P551" s="831"/>
      <c r="Q551" s="1244"/>
      <c r="R551" s="1244"/>
      <c r="S551" s="1244"/>
      <c r="T551" s="1244"/>
      <c r="U551" s="1244"/>
      <c r="V551" s="1244"/>
      <c r="W551" s="1244"/>
      <c r="X551" s="1244"/>
      <c r="Y551" s="1244"/>
      <c r="Z551" s="1244"/>
    </row>
    <row r="552" spans="1:26" ht="18.75">
      <c r="A552" s="1241"/>
      <c r="B552" s="1242"/>
      <c r="C552" s="1243"/>
      <c r="D552" s="1243"/>
      <c r="E552" s="1243"/>
      <c r="F552" s="1243" t="s">
        <v>188</v>
      </c>
      <c r="G552" s="963"/>
      <c r="H552" s="778" t="s">
        <v>12</v>
      </c>
      <c r="I552" s="830"/>
      <c r="J552" s="830"/>
      <c r="K552" s="831"/>
      <c r="L552" s="831"/>
      <c r="M552" s="831"/>
      <c r="N552" s="1031">
        <v>50264</v>
      </c>
      <c r="O552" s="831"/>
      <c r="P552" s="831"/>
      <c r="Q552" s="1244"/>
      <c r="R552" s="1244"/>
      <c r="S552" s="1244"/>
      <c r="T552" s="1244"/>
      <c r="U552" s="1244"/>
      <c r="V552" s="1244"/>
      <c r="W552" s="1244"/>
      <c r="X552" s="1244"/>
      <c r="Y552" s="1244"/>
      <c r="Z552" s="1244"/>
    </row>
    <row r="553" spans="1:26" ht="18.75">
      <c r="A553" s="1241"/>
      <c r="B553" s="1242"/>
      <c r="C553" s="1242"/>
      <c r="D553" s="1242"/>
      <c r="E553" s="1243"/>
      <c r="F553" s="1243" t="s">
        <v>189</v>
      </c>
      <c r="G553" s="963"/>
      <c r="H553" s="778" t="s">
        <v>12</v>
      </c>
      <c r="I553" s="830"/>
      <c r="J553" s="830"/>
      <c r="K553" s="831"/>
      <c r="L553" s="831"/>
      <c r="M553" s="831"/>
      <c r="N553" s="1031">
        <v>39650</v>
      </c>
      <c r="O553" s="831"/>
      <c r="P553" s="831"/>
      <c r="Q553" s="1244"/>
      <c r="R553" s="1244"/>
      <c r="S553" s="1244"/>
      <c r="T553" s="1244"/>
      <c r="U553" s="1244"/>
      <c r="V553" s="1244"/>
      <c r="W553" s="1244"/>
      <c r="X553" s="1244"/>
      <c r="Y553" s="1244"/>
      <c r="Z553" s="1244"/>
    </row>
    <row r="554" spans="1:26" ht="18.75">
      <c r="A554" s="1241"/>
      <c r="B554" s="1242"/>
      <c r="C554" s="1242"/>
      <c r="D554" s="1242"/>
      <c r="E554" s="1243"/>
      <c r="F554" s="1243" t="s">
        <v>233</v>
      </c>
      <c r="G554" s="963"/>
      <c r="H554" s="778" t="s">
        <v>12</v>
      </c>
      <c r="I554" s="830"/>
      <c r="J554" s="830"/>
      <c r="K554" s="831"/>
      <c r="L554" s="831"/>
      <c r="M554" s="831"/>
      <c r="N554" s="1031">
        <v>0</v>
      </c>
      <c r="O554" s="831"/>
      <c r="P554" s="831"/>
      <c r="Q554" s="1244"/>
      <c r="R554" s="1244"/>
      <c r="S554" s="1244"/>
      <c r="T554" s="1244"/>
      <c r="U554" s="1244"/>
      <c r="V554" s="1244"/>
      <c r="W554" s="1244"/>
      <c r="X554" s="1244"/>
      <c r="Y554" s="1244"/>
      <c r="Z554" s="1244"/>
    </row>
    <row r="555" spans="1:26" ht="18.75">
      <c r="A555" s="1259"/>
      <c r="B555" s="1242"/>
      <c r="C555" s="1242"/>
      <c r="D555" s="1266" t="s">
        <v>21</v>
      </c>
      <c r="E555" s="1243"/>
      <c r="F555" s="1243"/>
      <c r="G555" s="963"/>
      <c r="H555" s="168" t="s">
        <v>12</v>
      </c>
      <c r="I555" s="944"/>
      <c r="J555" s="944"/>
      <c r="K555" s="945"/>
      <c r="L555" s="831">
        <f t="shared" ref="L555:N555" ca="1" si="242">L556+L557</f>
        <v>0</v>
      </c>
      <c r="M555" s="831">
        <f t="shared" si="242"/>
        <v>0</v>
      </c>
      <c r="N555" s="831">
        <f t="shared" si="242"/>
        <v>0</v>
      </c>
      <c r="O555" s="831">
        <f t="shared" ref="O555:O557" ca="1" si="243">IF(L555&gt;0,N555*100/L555,0)</f>
        <v>0</v>
      </c>
      <c r="P555" s="831">
        <f t="shared" ref="P555:P557" si="244">IF(M555&gt;0,N555*100/M555,0)</f>
        <v>0</v>
      </c>
      <c r="Q555" s="1244"/>
      <c r="R555" s="1244"/>
      <c r="S555" s="1244"/>
      <c r="T555" s="1244"/>
      <c r="U555" s="1244"/>
      <c r="V555" s="1244"/>
      <c r="W555" s="1244"/>
      <c r="X555" s="1244"/>
      <c r="Y555" s="1244"/>
      <c r="Z555" s="1244"/>
    </row>
    <row r="556" spans="1:26" ht="18.75" hidden="1">
      <c r="A556" s="1260"/>
      <c r="B556" s="1265"/>
      <c r="C556" s="1265"/>
      <c r="D556" s="1261"/>
      <c r="E556" s="1261" t="s">
        <v>18</v>
      </c>
      <c r="F556" s="1261"/>
      <c r="G556" s="1263"/>
      <c r="H556" s="165" t="s">
        <v>12</v>
      </c>
      <c r="I556" s="947"/>
      <c r="J556" s="947"/>
      <c r="K556" s="948"/>
      <c r="L556" s="837">
        <v>0</v>
      </c>
      <c r="M556" s="837">
        <v>0</v>
      </c>
      <c r="N556" s="837">
        <v>0</v>
      </c>
      <c r="O556" s="837">
        <f t="shared" si="243"/>
        <v>0</v>
      </c>
      <c r="P556" s="837">
        <f t="shared" si="244"/>
        <v>0</v>
      </c>
      <c r="Q556" s="1264"/>
      <c r="R556" s="1264"/>
      <c r="S556" s="1264"/>
      <c r="T556" s="1264"/>
      <c r="U556" s="1264"/>
      <c r="V556" s="1264"/>
      <c r="W556" s="1264"/>
      <c r="X556" s="1264"/>
      <c r="Y556" s="1264"/>
      <c r="Z556" s="1264"/>
    </row>
    <row r="557" spans="1:26" ht="18.75" hidden="1">
      <c r="A557" s="1260"/>
      <c r="B557" s="1265"/>
      <c r="C557" s="1265"/>
      <c r="D557" s="1261"/>
      <c r="E557" s="1261" t="s">
        <v>19</v>
      </c>
      <c r="F557" s="1261"/>
      <c r="G557" s="1263"/>
      <c r="H557" s="169" t="s">
        <v>12</v>
      </c>
      <c r="I557" s="947"/>
      <c r="J557" s="947"/>
      <c r="K557" s="948"/>
      <c r="L557" s="837">
        <f ca="1">IFERROR(__xludf.DUMMYFUNCTION("IMPORTRANGE(""https://docs.google.com/spreadsheets/d/1QqKyyYR6Q21VydFLVH3TRQUabQu_ym0Zz7PgGX0-kHA/edit?usp=sharing"",""แผน!HF20"")"),0)</f>
        <v>0</v>
      </c>
      <c r="M557" s="837">
        <v>0</v>
      </c>
      <c r="N557" s="837">
        <v>0</v>
      </c>
      <c r="O557" s="837">
        <f t="shared" ca="1" si="243"/>
        <v>0</v>
      </c>
      <c r="P557" s="837">
        <f t="shared" si="244"/>
        <v>0</v>
      </c>
      <c r="Q557" s="1264"/>
      <c r="R557" s="1264"/>
      <c r="S557" s="1264"/>
      <c r="T557" s="1264"/>
      <c r="U557" s="1264"/>
      <c r="V557" s="1264"/>
      <c r="W557" s="1264"/>
      <c r="X557" s="1264"/>
      <c r="Y557" s="1264"/>
      <c r="Z557" s="1264"/>
    </row>
    <row r="558" spans="1:26" ht="19.5">
      <c r="A558" s="1267"/>
      <c r="B558" s="1268"/>
      <c r="C558" s="1242" t="s">
        <v>16</v>
      </c>
      <c r="D558" s="1320" t="s">
        <v>38</v>
      </c>
      <c r="E558" s="1271"/>
      <c r="F558" s="1271"/>
      <c r="G558" s="1272"/>
      <c r="H558" s="954"/>
      <c r="I558" s="944"/>
      <c r="J558" s="944"/>
      <c r="K558" s="945"/>
      <c r="L558" s="945"/>
      <c r="M558" s="945"/>
      <c r="N558" s="945"/>
      <c r="O558" s="945"/>
      <c r="P558" s="945"/>
      <c r="Q558" s="1244"/>
      <c r="R558" s="1244"/>
      <c r="S558" s="1244"/>
      <c r="T558" s="1244"/>
      <c r="U558" s="1244"/>
      <c r="V558" s="1244"/>
      <c r="W558" s="1244"/>
      <c r="X558" s="1244"/>
      <c r="Y558" s="1244"/>
      <c r="Z558" s="1244"/>
    </row>
    <row r="559" spans="1:26" ht="19.5">
      <c r="A559" s="1329"/>
      <c r="B559" s="1330" t="s">
        <v>234</v>
      </c>
      <c r="C559" s="1331"/>
      <c r="D559" s="1331"/>
      <c r="E559" s="1315"/>
      <c r="F559" s="1315"/>
      <c r="G559" s="1316"/>
      <c r="H559" s="661" t="s">
        <v>46</v>
      </c>
      <c r="I559" s="1317">
        <f t="shared" ref="I559:J559" ca="1" si="245">I576</f>
        <v>25837</v>
      </c>
      <c r="J559" s="1317">
        <f t="shared" si="245"/>
        <v>0</v>
      </c>
      <c r="K559" s="1318">
        <f t="shared" ref="K559:K561" ca="1" si="246">IF(I559&gt;0,J559*100/I559,0)</f>
        <v>0</v>
      </c>
      <c r="L559" s="1319"/>
      <c r="M559" s="1319"/>
      <c r="N559" s="1319"/>
      <c r="O559" s="1319"/>
      <c r="P559" s="1319"/>
      <c r="Q559" s="1244"/>
      <c r="R559" s="1244"/>
      <c r="S559" s="1244"/>
      <c r="T559" s="1244"/>
      <c r="U559" s="1244"/>
      <c r="V559" s="1244"/>
      <c r="W559" s="1244"/>
      <c r="X559" s="1244"/>
      <c r="Y559" s="1244"/>
      <c r="Z559" s="1244"/>
    </row>
    <row r="560" spans="1:26" ht="19.5">
      <c r="A560" s="1267"/>
      <c r="B560" s="1268"/>
      <c r="C560" s="1277" t="s">
        <v>235</v>
      </c>
      <c r="D560" s="1268"/>
      <c r="E560" s="961"/>
      <c r="F560" s="961"/>
      <c r="G560" s="954"/>
      <c r="H560" s="733" t="s">
        <v>46</v>
      </c>
      <c r="I560" s="965">
        <f ca="1">IFERROR(__xludf.DUMMYFUNCTION("IMPORTRANGE(""https://docs.google.com/spreadsheets/d/1QqKyyYR6Q21VydFLVH3TRQUabQu_ym0Zz7PgGX0-kHA/edit?usp=sharing"",""แผน!HH20"")"),25837)</f>
        <v>25837</v>
      </c>
      <c r="J560" s="965">
        <f t="shared" ref="J560:J561" si="247">J562+J564+J566</f>
        <v>25837.94</v>
      </c>
      <c r="K560" s="1109">
        <f t="shared" ca="1" si="246"/>
        <v>100.00363819328869</v>
      </c>
      <c r="L560" s="945"/>
      <c r="M560" s="945"/>
      <c r="N560" s="945"/>
      <c r="O560" s="945"/>
      <c r="P560" s="945"/>
      <c r="Q560" s="1244"/>
      <c r="R560" s="1244"/>
      <c r="S560" s="1244"/>
      <c r="T560" s="1244"/>
      <c r="U560" s="1244"/>
      <c r="V560" s="1244"/>
      <c r="W560" s="1244"/>
      <c r="X560" s="1244"/>
      <c r="Y560" s="1244"/>
      <c r="Z560" s="1244"/>
    </row>
    <row r="561" spans="1:26" ht="19.5">
      <c r="A561" s="1267"/>
      <c r="B561" s="1268"/>
      <c r="C561" s="1268"/>
      <c r="D561" s="961"/>
      <c r="E561" s="961"/>
      <c r="F561" s="961"/>
      <c r="G561" s="954"/>
      <c r="H561" s="733" t="s">
        <v>34</v>
      </c>
      <c r="I561" s="965">
        <f ca="1">IFERROR(__xludf.DUMMYFUNCTION("IMPORTRANGE(""https://docs.google.com/spreadsheets/d/1QqKyyYR6Q21VydFLVH3TRQUabQu_ym0Zz7PgGX0-kHA/edit?usp=sharing"",""แผน!HG20"")"),4200)</f>
        <v>4200</v>
      </c>
      <c r="J561" s="965">
        <f t="shared" si="247"/>
        <v>4200</v>
      </c>
      <c r="K561" s="1109">
        <f t="shared" ca="1" si="246"/>
        <v>100</v>
      </c>
      <c r="L561" s="945"/>
      <c r="M561" s="945"/>
      <c r="N561" s="945"/>
      <c r="O561" s="945"/>
      <c r="P561" s="945"/>
      <c r="Q561" s="1244"/>
      <c r="R561" s="1244"/>
      <c r="S561" s="1244"/>
      <c r="T561" s="1244"/>
      <c r="U561" s="1244"/>
      <c r="V561" s="1244"/>
      <c r="W561" s="1244"/>
      <c r="X561" s="1244"/>
      <c r="Y561" s="1244"/>
      <c r="Z561" s="1244"/>
    </row>
    <row r="562" spans="1:26" ht="18.75">
      <c r="A562" s="1267"/>
      <c r="B562" s="1268"/>
      <c r="C562" s="1268"/>
      <c r="D562" s="961" t="s">
        <v>236</v>
      </c>
      <c r="E562" s="961"/>
      <c r="F562" s="961"/>
      <c r="G562" s="954"/>
      <c r="H562" s="730" t="s">
        <v>46</v>
      </c>
      <c r="I562" s="944"/>
      <c r="J562" s="959">
        <f>21133+204.6</f>
        <v>21337.599999999999</v>
      </c>
      <c r="K562" s="945"/>
      <c r="L562" s="945"/>
      <c r="M562" s="945"/>
      <c r="N562" s="945"/>
      <c r="O562" s="945"/>
      <c r="P562" s="945"/>
      <c r="Q562" s="1244"/>
      <c r="R562" s="1244"/>
      <c r="S562" s="1244"/>
      <c r="T562" s="1244"/>
      <c r="U562" s="1244"/>
      <c r="V562" s="1244"/>
      <c r="W562" s="1244"/>
      <c r="X562" s="1244"/>
      <c r="Y562" s="1244"/>
      <c r="Z562" s="1244"/>
    </row>
    <row r="563" spans="1:26" ht="18.75">
      <c r="A563" s="1267"/>
      <c r="B563" s="1268"/>
      <c r="C563" s="1268"/>
      <c r="D563" s="1268"/>
      <c r="E563" s="961"/>
      <c r="F563" s="961"/>
      <c r="G563" s="954"/>
      <c r="H563" s="730" t="s">
        <v>34</v>
      </c>
      <c r="I563" s="944"/>
      <c r="J563" s="959">
        <f>3195+322</f>
        <v>3517</v>
      </c>
      <c r="K563" s="945"/>
      <c r="L563" s="945"/>
      <c r="M563" s="945"/>
      <c r="N563" s="945"/>
      <c r="O563" s="945"/>
      <c r="P563" s="945"/>
      <c r="Q563" s="1244"/>
      <c r="R563" s="1244"/>
      <c r="S563" s="1244"/>
      <c r="T563" s="1244"/>
      <c r="U563" s="1244"/>
      <c r="V563" s="1244"/>
      <c r="W563" s="1244"/>
      <c r="X563" s="1244"/>
      <c r="Y563" s="1244"/>
      <c r="Z563" s="1244"/>
    </row>
    <row r="564" spans="1:26" ht="18.75">
      <c r="A564" s="1267"/>
      <c r="B564" s="1268"/>
      <c r="C564" s="1268"/>
      <c r="D564" s="961" t="s">
        <v>237</v>
      </c>
      <c r="E564" s="961"/>
      <c r="F564" s="961"/>
      <c r="G564" s="954"/>
      <c r="H564" s="730" t="s">
        <v>46</v>
      </c>
      <c r="I564" s="944"/>
      <c r="J564" s="959">
        <f>4265+16</f>
        <v>4281</v>
      </c>
      <c r="K564" s="945"/>
      <c r="L564" s="945"/>
      <c r="M564" s="945"/>
      <c r="N564" s="945"/>
      <c r="O564" s="945"/>
      <c r="P564" s="945"/>
      <c r="Q564" s="1244"/>
      <c r="R564" s="1244"/>
      <c r="S564" s="1244"/>
      <c r="T564" s="1244"/>
      <c r="U564" s="1244"/>
      <c r="V564" s="1244"/>
      <c r="W564" s="1244"/>
      <c r="X564" s="1244"/>
      <c r="Y564" s="1244"/>
      <c r="Z564" s="1244"/>
    </row>
    <row r="565" spans="1:26" ht="18.75">
      <c r="A565" s="1267"/>
      <c r="B565" s="1268"/>
      <c r="C565" s="1268"/>
      <c r="D565" s="961"/>
      <c r="E565" s="961"/>
      <c r="F565" s="961"/>
      <c r="G565" s="954"/>
      <c r="H565" s="730" t="s">
        <v>34</v>
      </c>
      <c r="I565" s="944"/>
      <c r="J565" s="959">
        <f>629+22</f>
        <v>651</v>
      </c>
      <c r="K565" s="945"/>
      <c r="L565" s="945"/>
      <c r="M565" s="945"/>
      <c r="N565" s="945"/>
      <c r="O565" s="945"/>
      <c r="P565" s="945"/>
      <c r="Q565" s="1244"/>
      <c r="R565" s="1244"/>
      <c r="S565" s="1244"/>
      <c r="T565" s="1244"/>
      <c r="U565" s="1244"/>
      <c r="V565" s="1244"/>
      <c r="W565" s="1244"/>
      <c r="X565" s="1244"/>
      <c r="Y565" s="1244"/>
      <c r="Z565" s="1244"/>
    </row>
    <row r="566" spans="1:26" ht="18.75">
      <c r="A566" s="1267"/>
      <c r="B566" s="1268"/>
      <c r="C566" s="1268"/>
      <c r="D566" s="961" t="s">
        <v>238</v>
      </c>
      <c r="E566" s="961"/>
      <c r="F566" s="961"/>
      <c r="G566" s="954"/>
      <c r="H566" s="730" t="s">
        <v>46</v>
      </c>
      <c r="I566" s="944"/>
      <c r="J566" s="959">
        <f>211+8.34</f>
        <v>219.34</v>
      </c>
      <c r="K566" s="945"/>
      <c r="L566" s="945"/>
      <c r="M566" s="945"/>
      <c r="N566" s="945"/>
      <c r="O566" s="945"/>
      <c r="P566" s="945"/>
      <c r="Q566" s="1244"/>
      <c r="R566" s="1244"/>
      <c r="S566" s="1244"/>
      <c r="T566" s="1244"/>
      <c r="U566" s="1244"/>
      <c r="V566" s="1244"/>
      <c r="W566" s="1244"/>
      <c r="X566" s="1244"/>
      <c r="Y566" s="1244"/>
      <c r="Z566" s="1244"/>
    </row>
    <row r="567" spans="1:26" ht="18.75">
      <c r="A567" s="1267"/>
      <c r="B567" s="1268"/>
      <c r="C567" s="1268"/>
      <c r="D567" s="961"/>
      <c r="E567" s="961"/>
      <c r="F567" s="961"/>
      <c r="G567" s="954"/>
      <c r="H567" s="730" t="s">
        <v>34</v>
      </c>
      <c r="I567" s="944"/>
      <c r="J567" s="959">
        <f>30+2</f>
        <v>32</v>
      </c>
      <c r="K567" s="945"/>
      <c r="L567" s="945"/>
      <c r="M567" s="945"/>
      <c r="N567" s="945"/>
      <c r="O567" s="945"/>
      <c r="P567" s="945"/>
      <c r="Q567" s="1244"/>
      <c r="R567" s="1244"/>
      <c r="S567" s="1244"/>
      <c r="T567" s="1244"/>
      <c r="U567" s="1244"/>
      <c r="V567" s="1244"/>
      <c r="W567" s="1244"/>
      <c r="X567" s="1244"/>
      <c r="Y567" s="1244"/>
      <c r="Z567" s="1244"/>
    </row>
    <row r="568" spans="1:26" ht="19.5">
      <c r="A568" s="1267"/>
      <c r="B568" s="1268"/>
      <c r="C568" s="1277" t="s">
        <v>239</v>
      </c>
      <c r="D568" s="961"/>
      <c r="E568" s="961"/>
      <c r="F568" s="961"/>
      <c r="G568" s="954"/>
      <c r="H568" s="733" t="s">
        <v>46</v>
      </c>
      <c r="I568" s="965">
        <f ca="1">IFERROR(__xludf.DUMMYFUNCTION("IMPORTRANGE(""https://docs.google.com/spreadsheets/d/1QqKyyYR6Q21VydFLVH3TRQUabQu_ym0Zz7PgGX0-kHA/edit?usp=sharing"",""แผน!HH20"")"),25837)</f>
        <v>25837</v>
      </c>
      <c r="J568" s="966">
        <f t="shared" ref="J568:J569" si="248">J570+J572+J574</f>
        <v>0</v>
      </c>
      <c r="K568" s="1109">
        <f t="shared" ref="K568:K569" ca="1" si="249">IF(I568&gt;0,J568*100/I568,0)</f>
        <v>0</v>
      </c>
      <c r="L568" s="945"/>
      <c r="M568" s="945"/>
      <c r="N568" s="945"/>
      <c r="O568" s="945"/>
      <c r="P568" s="945"/>
      <c r="Q568" s="1244"/>
      <c r="R568" s="1244"/>
      <c r="S568" s="1244"/>
      <c r="T568" s="1244"/>
      <c r="U568" s="1244"/>
      <c r="V568" s="1244"/>
      <c r="W568" s="1244"/>
      <c r="X568" s="1244"/>
      <c r="Y568" s="1244"/>
      <c r="Z568" s="1244"/>
    </row>
    <row r="569" spans="1:26" ht="19.5">
      <c r="A569" s="1267"/>
      <c r="B569" s="1268"/>
      <c r="C569" s="1268"/>
      <c r="D569" s="1268"/>
      <c r="E569" s="961"/>
      <c r="F569" s="961"/>
      <c r="G569" s="954"/>
      <c r="H569" s="733" t="s">
        <v>34</v>
      </c>
      <c r="I569" s="965">
        <f ca="1">IFERROR(__xludf.DUMMYFUNCTION("IMPORTRANGE(""https://docs.google.com/spreadsheets/d/1QqKyyYR6Q21VydFLVH3TRQUabQu_ym0Zz7PgGX0-kHA/edit?usp=sharing"",""แผน!HG20"")"),4200)</f>
        <v>4200</v>
      </c>
      <c r="J569" s="966">
        <f t="shared" si="248"/>
        <v>0</v>
      </c>
      <c r="K569" s="1109">
        <f t="shared" ca="1" si="249"/>
        <v>0</v>
      </c>
      <c r="L569" s="945"/>
      <c r="M569" s="945"/>
      <c r="N569" s="945"/>
      <c r="O569" s="945"/>
      <c r="P569" s="945"/>
      <c r="Q569" s="1244"/>
      <c r="R569" s="1244"/>
      <c r="S569" s="1244"/>
      <c r="T569" s="1244"/>
      <c r="U569" s="1244"/>
      <c r="V569" s="1244"/>
      <c r="W569" s="1244"/>
      <c r="X569" s="1244"/>
      <c r="Y569" s="1244"/>
      <c r="Z569" s="1244"/>
    </row>
    <row r="570" spans="1:26" ht="18.75">
      <c r="A570" s="1267"/>
      <c r="B570" s="1268"/>
      <c r="C570" s="1268"/>
      <c r="D570" s="961" t="s">
        <v>240</v>
      </c>
      <c r="E570" s="1268"/>
      <c r="F570" s="961"/>
      <c r="G570" s="954"/>
      <c r="H570" s="730" t="s">
        <v>46</v>
      </c>
      <c r="I570" s="944"/>
      <c r="J570" s="959">
        <v>0</v>
      </c>
      <c r="K570" s="945"/>
      <c r="L570" s="945"/>
      <c r="M570" s="945"/>
      <c r="N570" s="945"/>
      <c r="O570" s="945"/>
      <c r="P570" s="945"/>
      <c r="Q570" s="1244"/>
      <c r="R570" s="1244"/>
      <c r="S570" s="1244"/>
      <c r="T570" s="1244"/>
      <c r="U570" s="1244"/>
      <c r="V570" s="1244"/>
      <c r="W570" s="1244"/>
      <c r="X570" s="1244"/>
      <c r="Y570" s="1244"/>
      <c r="Z570" s="1244"/>
    </row>
    <row r="571" spans="1:26" ht="18.75">
      <c r="A571" s="1267"/>
      <c r="B571" s="1268"/>
      <c r="C571" s="1268"/>
      <c r="D571" s="1268"/>
      <c r="E571" s="961"/>
      <c r="F571" s="961"/>
      <c r="G571" s="954"/>
      <c r="H571" s="730" t="s">
        <v>34</v>
      </c>
      <c r="I571" s="944"/>
      <c r="J571" s="959">
        <v>0</v>
      </c>
      <c r="K571" s="945"/>
      <c r="L571" s="945"/>
      <c r="M571" s="945"/>
      <c r="N571" s="945"/>
      <c r="O571" s="945"/>
      <c r="P571" s="945"/>
      <c r="Q571" s="1244"/>
      <c r="R571" s="1244"/>
      <c r="S571" s="1244"/>
      <c r="T571" s="1244"/>
      <c r="U571" s="1244"/>
      <c r="V571" s="1244"/>
      <c r="W571" s="1244"/>
      <c r="X571" s="1244"/>
      <c r="Y571" s="1244"/>
      <c r="Z571" s="1244"/>
    </row>
    <row r="572" spans="1:26" ht="18.75">
      <c r="A572" s="1267"/>
      <c r="B572" s="1268"/>
      <c r="C572" s="1268"/>
      <c r="D572" s="961" t="s">
        <v>241</v>
      </c>
      <c r="E572" s="961"/>
      <c r="F572" s="961"/>
      <c r="G572" s="954"/>
      <c r="H572" s="730" t="s">
        <v>46</v>
      </c>
      <c r="I572" s="944"/>
      <c r="J572" s="959">
        <v>0</v>
      </c>
      <c r="K572" s="945"/>
      <c r="L572" s="945"/>
      <c r="M572" s="945"/>
      <c r="N572" s="945"/>
      <c r="O572" s="945"/>
      <c r="P572" s="945"/>
      <c r="Q572" s="1244"/>
      <c r="R572" s="1244"/>
      <c r="S572" s="1244"/>
      <c r="T572" s="1244"/>
      <c r="U572" s="1244"/>
      <c r="V572" s="1244"/>
      <c r="W572" s="1244"/>
      <c r="X572" s="1244"/>
      <c r="Y572" s="1244"/>
      <c r="Z572" s="1244"/>
    </row>
    <row r="573" spans="1:26" ht="18.75">
      <c r="A573" s="1267"/>
      <c r="B573" s="1268"/>
      <c r="C573" s="1268"/>
      <c r="D573" s="961"/>
      <c r="E573" s="961"/>
      <c r="F573" s="961"/>
      <c r="G573" s="954"/>
      <c r="H573" s="730" t="s">
        <v>34</v>
      </c>
      <c r="I573" s="944"/>
      <c r="J573" s="959">
        <v>0</v>
      </c>
      <c r="K573" s="945"/>
      <c r="L573" s="945"/>
      <c r="M573" s="945"/>
      <c r="N573" s="945"/>
      <c r="O573" s="945"/>
      <c r="P573" s="945"/>
      <c r="Q573" s="1244"/>
      <c r="R573" s="1244"/>
      <c r="S573" s="1244"/>
      <c r="T573" s="1244"/>
      <c r="U573" s="1244"/>
      <c r="V573" s="1244"/>
      <c r="W573" s="1244"/>
      <c r="X573" s="1244"/>
      <c r="Y573" s="1244"/>
      <c r="Z573" s="1244"/>
    </row>
    <row r="574" spans="1:26" ht="18.75">
      <c r="A574" s="1267"/>
      <c r="B574" s="1268"/>
      <c r="C574" s="1268"/>
      <c r="D574" s="961" t="s">
        <v>242</v>
      </c>
      <c r="E574" s="961"/>
      <c r="F574" s="961"/>
      <c r="G574" s="954"/>
      <c r="H574" s="730" t="s">
        <v>46</v>
      </c>
      <c r="I574" s="944"/>
      <c r="J574" s="959">
        <v>0</v>
      </c>
      <c r="K574" s="945"/>
      <c r="L574" s="945"/>
      <c r="M574" s="945"/>
      <c r="N574" s="945"/>
      <c r="O574" s="945"/>
      <c r="P574" s="945"/>
      <c r="Q574" s="1244"/>
      <c r="R574" s="1244"/>
      <c r="S574" s="1244"/>
      <c r="T574" s="1244"/>
      <c r="U574" s="1244"/>
      <c r="V574" s="1244"/>
      <c r="W574" s="1244"/>
      <c r="X574" s="1244"/>
      <c r="Y574" s="1244"/>
      <c r="Z574" s="1244"/>
    </row>
    <row r="575" spans="1:26" ht="18.75">
      <c r="A575" s="1267"/>
      <c r="B575" s="1268"/>
      <c r="C575" s="1268"/>
      <c r="D575" s="1268"/>
      <c r="E575" s="961"/>
      <c r="F575" s="961"/>
      <c r="G575" s="954"/>
      <c r="H575" s="730" t="s">
        <v>34</v>
      </c>
      <c r="I575" s="944"/>
      <c r="J575" s="959">
        <v>0</v>
      </c>
      <c r="K575" s="945"/>
      <c r="L575" s="945"/>
      <c r="M575" s="945"/>
      <c r="N575" s="945"/>
      <c r="O575" s="945"/>
      <c r="P575" s="945"/>
      <c r="Q575" s="1244"/>
      <c r="R575" s="1244"/>
      <c r="S575" s="1244"/>
      <c r="T575" s="1244"/>
      <c r="U575" s="1244"/>
      <c r="V575" s="1244"/>
      <c r="W575" s="1244"/>
      <c r="X575" s="1244"/>
      <c r="Y575" s="1244"/>
      <c r="Z575" s="1244"/>
    </row>
    <row r="576" spans="1:26" ht="19.5">
      <c r="A576" s="1267"/>
      <c r="B576" s="1268"/>
      <c r="C576" s="1277" t="s">
        <v>243</v>
      </c>
      <c r="D576" s="1268"/>
      <c r="E576" s="1268"/>
      <c r="F576" s="961"/>
      <c r="G576" s="954"/>
      <c r="H576" s="733" t="s">
        <v>46</v>
      </c>
      <c r="I576" s="965">
        <f ca="1">IFERROR(__xludf.DUMMYFUNCTION("IMPORTRANGE(""https://docs.google.com/spreadsheets/d/1QqKyyYR6Q21VydFLVH3TRQUabQu_ym0Zz7PgGX0-kHA/edit?usp=sharing"",""แผน!HH20"")"),25837)</f>
        <v>25837</v>
      </c>
      <c r="J576" s="966">
        <f t="shared" ref="J576:J577" si="250">J578+J580+J582+J588+J590</f>
        <v>0</v>
      </c>
      <c r="K576" s="1109">
        <f t="shared" ref="K576:K577" ca="1" si="251">IF(I576&gt;0,J576*100/I576,0)</f>
        <v>0</v>
      </c>
      <c r="L576" s="945"/>
      <c r="M576" s="945"/>
      <c r="N576" s="945"/>
      <c r="O576" s="945"/>
      <c r="P576" s="945"/>
      <c r="Q576" s="1244"/>
      <c r="R576" s="1244"/>
      <c r="S576" s="1244"/>
      <c r="T576" s="1244"/>
      <c r="U576" s="1244"/>
      <c r="V576" s="1244"/>
      <c r="W576" s="1244"/>
      <c r="X576" s="1244"/>
      <c r="Y576" s="1244"/>
      <c r="Z576" s="1244"/>
    </row>
    <row r="577" spans="1:26" ht="19.5">
      <c r="A577" s="1267"/>
      <c r="B577" s="1268"/>
      <c r="C577" s="1268"/>
      <c r="D577" s="1268"/>
      <c r="E577" s="961"/>
      <c r="F577" s="961"/>
      <c r="G577" s="954"/>
      <c r="H577" s="733" t="s">
        <v>34</v>
      </c>
      <c r="I577" s="965">
        <f ca="1">IFERROR(__xludf.DUMMYFUNCTION("IMPORTRANGE(""https://docs.google.com/spreadsheets/d/1QqKyyYR6Q21VydFLVH3TRQUabQu_ym0Zz7PgGX0-kHA/edit?usp=sharing"",""แผน!HG20"")"),4200)</f>
        <v>4200</v>
      </c>
      <c r="J577" s="966">
        <f t="shared" si="250"/>
        <v>0</v>
      </c>
      <c r="K577" s="1109">
        <f t="shared" ca="1" si="251"/>
        <v>0</v>
      </c>
      <c r="L577" s="945"/>
      <c r="M577" s="945"/>
      <c r="N577" s="945"/>
      <c r="O577" s="945"/>
      <c r="P577" s="945"/>
      <c r="Q577" s="1244"/>
      <c r="R577" s="1244"/>
      <c r="S577" s="1244"/>
      <c r="T577" s="1244"/>
      <c r="U577" s="1244"/>
      <c r="V577" s="1244"/>
      <c r="W577" s="1244"/>
      <c r="X577" s="1244"/>
      <c r="Y577" s="1244"/>
      <c r="Z577" s="1244"/>
    </row>
    <row r="578" spans="1:26" ht="18.75">
      <c r="A578" s="1267"/>
      <c r="B578" s="1268"/>
      <c r="C578" s="1268"/>
      <c r="D578" s="961" t="s">
        <v>244</v>
      </c>
      <c r="E578" s="961"/>
      <c r="F578" s="961"/>
      <c r="G578" s="954"/>
      <c r="H578" s="730" t="s">
        <v>46</v>
      </c>
      <c r="I578" s="944"/>
      <c r="J578" s="959">
        <v>0</v>
      </c>
      <c r="K578" s="945"/>
      <c r="L578" s="945"/>
      <c r="M578" s="945"/>
      <c r="N578" s="945"/>
      <c r="O578" s="945"/>
      <c r="P578" s="945"/>
      <c r="Q578" s="1244"/>
      <c r="R578" s="1244"/>
      <c r="S578" s="1244"/>
      <c r="T578" s="1244"/>
      <c r="U578" s="1244"/>
      <c r="V578" s="1244"/>
      <c r="W578" s="1244"/>
      <c r="X578" s="1244"/>
      <c r="Y578" s="1244"/>
      <c r="Z578" s="1244"/>
    </row>
    <row r="579" spans="1:26" ht="18.75">
      <c r="A579" s="1267"/>
      <c r="B579" s="1268"/>
      <c r="C579" s="1268"/>
      <c r="D579" s="1268"/>
      <c r="E579" s="961"/>
      <c r="F579" s="961"/>
      <c r="G579" s="954"/>
      <c r="H579" s="730" t="s">
        <v>34</v>
      </c>
      <c r="I579" s="944"/>
      <c r="J579" s="959">
        <v>0</v>
      </c>
      <c r="K579" s="945"/>
      <c r="L579" s="945"/>
      <c r="M579" s="945"/>
      <c r="N579" s="945"/>
      <c r="O579" s="945"/>
      <c r="P579" s="945"/>
      <c r="Q579" s="1244"/>
      <c r="R579" s="1244"/>
      <c r="S579" s="1244"/>
      <c r="T579" s="1244"/>
      <c r="U579" s="1244"/>
      <c r="V579" s="1244"/>
      <c r="W579" s="1244"/>
      <c r="X579" s="1244"/>
      <c r="Y579" s="1244"/>
      <c r="Z579" s="1244"/>
    </row>
    <row r="580" spans="1:26" ht="18.75">
      <c r="A580" s="1267"/>
      <c r="B580" s="1268"/>
      <c r="C580" s="1268"/>
      <c r="D580" s="961" t="s">
        <v>245</v>
      </c>
      <c r="E580" s="961"/>
      <c r="F580" s="961"/>
      <c r="G580" s="954"/>
      <c r="H580" s="730" t="s">
        <v>46</v>
      </c>
      <c r="I580" s="944"/>
      <c r="J580" s="959">
        <v>0</v>
      </c>
      <c r="K580" s="945"/>
      <c r="L580" s="945"/>
      <c r="M580" s="945"/>
      <c r="N580" s="945"/>
      <c r="O580" s="945"/>
      <c r="P580" s="945"/>
      <c r="Q580" s="1244"/>
      <c r="R580" s="1244"/>
      <c r="S580" s="1244"/>
      <c r="T580" s="1244"/>
      <c r="U580" s="1244"/>
      <c r="V580" s="1244"/>
      <c r="W580" s="1244"/>
      <c r="X580" s="1244"/>
      <c r="Y580" s="1244"/>
      <c r="Z580" s="1244"/>
    </row>
    <row r="581" spans="1:26" ht="18.75">
      <c r="A581" s="1267"/>
      <c r="B581" s="1268"/>
      <c r="C581" s="1268"/>
      <c r="D581" s="1268"/>
      <c r="E581" s="961"/>
      <c r="F581" s="961"/>
      <c r="G581" s="954"/>
      <c r="H581" s="730" t="s">
        <v>34</v>
      </c>
      <c r="I581" s="944"/>
      <c r="J581" s="959">
        <v>0</v>
      </c>
      <c r="K581" s="945"/>
      <c r="L581" s="945"/>
      <c r="M581" s="945"/>
      <c r="N581" s="945"/>
      <c r="O581" s="945"/>
      <c r="P581" s="945"/>
      <c r="Q581" s="1244"/>
      <c r="R581" s="1244"/>
      <c r="S581" s="1244"/>
      <c r="T581" s="1244"/>
      <c r="U581" s="1244"/>
      <c r="V581" s="1244"/>
      <c r="W581" s="1244"/>
      <c r="X581" s="1244"/>
      <c r="Y581" s="1244"/>
      <c r="Z581" s="1244"/>
    </row>
    <row r="582" spans="1:26" ht="19.5">
      <c r="A582" s="1267"/>
      <c r="B582" s="1268"/>
      <c r="C582" s="1268"/>
      <c r="D582" s="961" t="s">
        <v>246</v>
      </c>
      <c r="E582" s="961"/>
      <c r="F582" s="961"/>
      <c r="G582" s="954"/>
      <c r="H582" s="730" t="s">
        <v>46</v>
      </c>
      <c r="I582" s="944"/>
      <c r="J582" s="966">
        <f t="shared" ref="J582:J583" si="252">J584+J586</f>
        <v>0</v>
      </c>
      <c r="K582" s="1109"/>
      <c r="L582" s="945"/>
      <c r="M582" s="945"/>
      <c r="N582" s="945"/>
      <c r="O582" s="945"/>
      <c r="P582" s="945"/>
      <c r="Q582" s="1244"/>
      <c r="R582" s="1244"/>
      <c r="S582" s="1244"/>
      <c r="T582" s="1244"/>
      <c r="U582" s="1244"/>
      <c r="V582" s="1244"/>
      <c r="W582" s="1244"/>
      <c r="X582" s="1244"/>
      <c r="Y582" s="1244"/>
      <c r="Z582" s="1244"/>
    </row>
    <row r="583" spans="1:26" ht="19.5">
      <c r="A583" s="1267"/>
      <c r="B583" s="1268"/>
      <c r="C583" s="1268"/>
      <c r="D583" s="1268"/>
      <c r="E583" s="961"/>
      <c r="F583" s="961"/>
      <c r="G583" s="954"/>
      <c r="H583" s="730" t="s">
        <v>34</v>
      </c>
      <c r="I583" s="944"/>
      <c r="J583" s="966">
        <f t="shared" si="252"/>
        <v>0</v>
      </c>
      <c r="K583" s="1109"/>
      <c r="L583" s="945"/>
      <c r="M583" s="945"/>
      <c r="N583" s="945"/>
      <c r="O583" s="945"/>
      <c r="P583" s="945"/>
      <c r="Q583" s="1244"/>
      <c r="R583" s="1244"/>
      <c r="S583" s="1244"/>
      <c r="T583" s="1244"/>
      <c r="U583" s="1244"/>
      <c r="V583" s="1244"/>
      <c r="W583" s="1244"/>
      <c r="X583" s="1244"/>
      <c r="Y583" s="1244"/>
      <c r="Z583" s="1244"/>
    </row>
    <row r="584" spans="1:26" ht="18.75">
      <c r="A584" s="1267"/>
      <c r="B584" s="1268"/>
      <c r="C584" s="1268"/>
      <c r="D584" s="1268"/>
      <c r="E584" s="961" t="s">
        <v>247</v>
      </c>
      <c r="F584" s="961"/>
      <c r="G584" s="954"/>
      <c r="H584" s="730" t="s">
        <v>46</v>
      </c>
      <c r="I584" s="944"/>
      <c r="J584" s="959">
        <v>0</v>
      </c>
      <c r="K584" s="945"/>
      <c r="L584" s="945"/>
      <c r="M584" s="945"/>
      <c r="N584" s="945"/>
      <c r="O584" s="945"/>
      <c r="P584" s="945"/>
      <c r="Q584" s="1244"/>
      <c r="R584" s="1244"/>
      <c r="S584" s="1244"/>
      <c r="T584" s="1244"/>
      <c r="U584" s="1244"/>
      <c r="V584" s="1244"/>
      <c r="W584" s="1244"/>
      <c r="X584" s="1244"/>
      <c r="Y584" s="1244"/>
      <c r="Z584" s="1244"/>
    </row>
    <row r="585" spans="1:26" ht="18.75">
      <c r="A585" s="1267"/>
      <c r="B585" s="1268"/>
      <c r="C585" s="1268"/>
      <c r="D585" s="1268"/>
      <c r="E585" s="961"/>
      <c r="F585" s="961"/>
      <c r="G585" s="954"/>
      <c r="H585" s="730" t="s">
        <v>34</v>
      </c>
      <c r="I585" s="944"/>
      <c r="J585" s="959">
        <v>0</v>
      </c>
      <c r="K585" s="945"/>
      <c r="L585" s="945"/>
      <c r="M585" s="945"/>
      <c r="N585" s="945"/>
      <c r="O585" s="945"/>
      <c r="P585" s="945"/>
      <c r="Q585" s="1244"/>
      <c r="R585" s="1244"/>
      <c r="S585" s="1244"/>
      <c r="T585" s="1244"/>
      <c r="U585" s="1244"/>
      <c r="V585" s="1244"/>
      <c r="W585" s="1244"/>
      <c r="X585" s="1244"/>
      <c r="Y585" s="1244"/>
      <c r="Z585" s="1244"/>
    </row>
    <row r="586" spans="1:26" ht="18.75">
      <c r="A586" s="1267"/>
      <c r="B586" s="1268"/>
      <c r="C586" s="1268"/>
      <c r="D586" s="1268"/>
      <c r="E586" s="961" t="s">
        <v>248</v>
      </c>
      <c r="F586" s="961"/>
      <c r="G586" s="954"/>
      <c r="H586" s="730" t="s">
        <v>46</v>
      </c>
      <c r="I586" s="944"/>
      <c r="J586" s="959">
        <v>0</v>
      </c>
      <c r="K586" s="945"/>
      <c r="L586" s="945"/>
      <c r="M586" s="945"/>
      <c r="N586" s="945"/>
      <c r="O586" s="945"/>
      <c r="P586" s="945"/>
      <c r="Q586" s="1244"/>
      <c r="R586" s="1244"/>
      <c r="S586" s="1244"/>
      <c r="T586" s="1244"/>
      <c r="U586" s="1244"/>
      <c r="V586" s="1244"/>
      <c r="W586" s="1244"/>
      <c r="X586" s="1244"/>
      <c r="Y586" s="1244"/>
      <c r="Z586" s="1244"/>
    </row>
    <row r="587" spans="1:26" ht="18.75">
      <c r="A587" s="1267"/>
      <c r="B587" s="1268"/>
      <c r="C587" s="1268"/>
      <c r="D587" s="1268"/>
      <c r="E587" s="1268"/>
      <c r="F587" s="961"/>
      <c r="G587" s="954"/>
      <c r="H587" s="730" t="s">
        <v>34</v>
      </c>
      <c r="I587" s="944"/>
      <c r="J587" s="959">
        <v>0</v>
      </c>
      <c r="K587" s="945"/>
      <c r="L587" s="945"/>
      <c r="M587" s="945"/>
      <c r="N587" s="945"/>
      <c r="O587" s="945"/>
      <c r="P587" s="945"/>
      <c r="Q587" s="1244"/>
      <c r="R587" s="1244"/>
      <c r="S587" s="1244"/>
      <c r="T587" s="1244"/>
      <c r="U587" s="1244"/>
      <c r="V587" s="1244"/>
      <c r="W587" s="1244"/>
      <c r="X587" s="1244"/>
      <c r="Y587" s="1244"/>
      <c r="Z587" s="1244"/>
    </row>
    <row r="588" spans="1:26" ht="18.75">
      <c r="A588" s="1267"/>
      <c r="B588" s="1268"/>
      <c r="C588" s="1268"/>
      <c r="D588" s="961" t="s">
        <v>249</v>
      </c>
      <c r="E588" s="961"/>
      <c r="F588" s="961"/>
      <c r="G588" s="954"/>
      <c r="H588" s="730" t="s">
        <v>46</v>
      </c>
      <c r="I588" s="944"/>
      <c r="J588" s="959">
        <v>0</v>
      </c>
      <c r="K588" s="945"/>
      <c r="L588" s="945"/>
      <c r="M588" s="945"/>
      <c r="N588" s="945"/>
      <c r="O588" s="945"/>
      <c r="P588" s="945"/>
      <c r="Q588" s="1244"/>
      <c r="R588" s="1244"/>
      <c r="S588" s="1244"/>
      <c r="T588" s="1244"/>
      <c r="U588" s="1244"/>
      <c r="V588" s="1244"/>
      <c r="W588" s="1244"/>
      <c r="X588" s="1244"/>
      <c r="Y588" s="1244"/>
      <c r="Z588" s="1244"/>
    </row>
    <row r="589" spans="1:26" ht="18.75">
      <c r="A589" s="1267"/>
      <c r="B589" s="1268"/>
      <c r="C589" s="1268"/>
      <c r="D589" s="1268"/>
      <c r="E589" s="1268"/>
      <c r="F589" s="961"/>
      <c r="G589" s="954"/>
      <c r="H589" s="730" t="s">
        <v>34</v>
      </c>
      <c r="I589" s="944"/>
      <c r="J589" s="959">
        <v>0</v>
      </c>
      <c r="K589" s="945"/>
      <c r="L589" s="945"/>
      <c r="M589" s="945"/>
      <c r="N589" s="945"/>
      <c r="O589" s="945"/>
      <c r="P589" s="945"/>
      <c r="Q589" s="1244"/>
      <c r="R589" s="1244"/>
      <c r="S589" s="1244"/>
      <c r="T589" s="1244"/>
      <c r="U589" s="1244"/>
      <c r="V589" s="1244"/>
      <c r="W589" s="1244"/>
      <c r="X589" s="1244"/>
      <c r="Y589" s="1244"/>
      <c r="Z589" s="1244"/>
    </row>
    <row r="590" spans="1:26" ht="18.75">
      <c r="A590" s="1267"/>
      <c r="B590" s="1268"/>
      <c r="C590" s="1268"/>
      <c r="D590" s="961" t="s">
        <v>250</v>
      </c>
      <c r="E590" s="961"/>
      <c r="F590" s="961"/>
      <c r="G590" s="954"/>
      <c r="H590" s="730" t="s">
        <v>46</v>
      </c>
      <c r="I590" s="944"/>
      <c r="J590" s="959">
        <v>0</v>
      </c>
      <c r="K590" s="945"/>
      <c r="L590" s="945"/>
      <c r="M590" s="945"/>
      <c r="N590" s="945"/>
      <c r="O590" s="945"/>
      <c r="P590" s="945"/>
      <c r="Q590" s="1244"/>
      <c r="R590" s="1244"/>
      <c r="S590" s="1244"/>
      <c r="T590" s="1244"/>
      <c r="U590" s="1244"/>
      <c r="V590" s="1244"/>
      <c r="W590" s="1244"/>
      <c r="X590" s="1244"/>
      <c r="Y590" s="1244"/>
      <c r="Z590" s="1244"/>
    </row>
    <row r="591" spans="1:26" ht="18.75">
      <c r="A591" s="1332"/>
      <c r="B591" s="1333"/>
      <c r="C591" s="1333"/>
      <c r="D591" s="1333"/>
      <c r="E591" s="1244"/>
      <c r="F591" s="1244"/>
      <c r="G591" s="1334"/>
      <c r="H591" s="665" t="s">
        <v>34</v>
      </c>
      <c r="I591" s="1335"/>
      <c r="J591" s="1336">
        <v>0</v>
      </c>
      <c r="K591" s="1337"/>
      <c r="L591" s="1337"/>
      <c r="M591" s="1337"/>
      <c r="N591" s="1337"/>
      <c r="O591" s="1337"/>
      <c r="P591" s="1337"/>
      <c r="Q591" s="1244"/>
      <c r="R591" s="1244"/>
      <c r="S591" s="1244"/>
      <c r="T591" s="1244"/>
      <c r="U591" s="1244"/>
      <c r="V591" s="1244"/>
      <c r="W591" s="1244"/>
      <c r="X591" s="1244"/>
      <c r="Y591" s="1244"/>
      <c r="Z591" s="1244"/>
    </row>
    <row r="592" spans="1:26" ht="19.5">
      <c r="A592" s="1329"/>
      <c r="B592" s="1330" t="s">
        <v>251</v>
      </c>
      <c r="C592" s="1331"/>
      <c r="D592" s="1331"/>
      <c r="E592" s="1315"/>
      <c r="F592" s="1315"/>
      <c r="G592" s="1316"/>
      <c r="H592" s="661" t="s">
        <v>46</v>
      </c>
      <c r="I592" s="1338">
        <f t="shared" ref="I592:J592" ca="1" si="253">I593</f>
        <v>795.13</v>
      </c>
      <c r="J592" s="1317">
        <f t="shared" si="253"/>
        <v>0</v>
      </c>
      <c r="K592" s="1318">
        <f t="shared" ref="K592:K594" ca="1" si="254">IF(I592&gt;0,J592*100/I592,0)</f>
        <v>0</v>
      </c>
      <c r="L592" s="1319"/>
      <c r="M592" s="1319"/>
      <c r="N592" s="1319"/>
      <c r="O592" s="1319"/>
      <c r="P592" s="1319"/>
      <c r="Q592" s="1244"/>
      <c r="R592" s="1244"/>
      <c r="S592" s="1244"/>
      <c r="T592" s="1244"/>
      <c r="U592" s="1244"/>
      <c r="V592" s="1244"/>
      <c r="W592" s="1244"/>
      <c r="X592" s="1244"/>
      <c r="Y592" s="1244"/>
      <c r="Z592" s="1244"/>
    </row>
    <row r="593" spans="1:26" ht="19.5">
      <c r="A593" s="1267"/>
      <c r="B593" s="1268"/>
      <c r="C593" s="1277" t="s">
        <v>252</v>
      </c>
      <c r="D593" s="1268"/>
      <c r="E593" s="1268"/>
      <c r="F593" s="961"/>
      <c r="G593" s="954"/>
      <c r="H593" s="733" t="s">
        <v>46</v>
      </c>
      <c r="I593" s="1339">
        <f ca="1">IFERROR(__xludf.DUMMYFUNCTION("IMPORTRANGE(""https://docs.google.com/spreadsheets/d/1QqKyyYR6Q21VydFLVH3TRQUabQu_ym0Zz7PgGX0-kHA/edit?usp=sharing"",""แผน!HJ20"")"),795.13)</f>
        <v>795.13</v>
      </c>
      <c r="J593" s="965">
        <f t="shared" ref="J593:J594" si="255">J595+J603+J609</f>
        <v>0</v>
      </c>
      <c r="K593" s="1109">
        <f t="shared" ca="1" si="254"/>
        <v>0</v>
      </c>
      <c r="L593" s="945"/>
      <c r="M593" s="945"/>
      <c r="N593" s="945"/>
      <c r="O593" s="945"/>
      <c r="P593" s="945"/>
      <c r="Q593" s="1244"/>
      <c r="R593" s="1244"/>
      <c r="S593" s="1244"/>
      <c r="T593" s="1244"/>
      <c r="U593" s="1244"/>
      <c r="V593" s="1244"/>
      <c r="W593" s="1244"/>
      <c r="X593" s="1244"/>
      <c r="Y593" s="1244"/>
      <c r="Z593" s="1244"/>
    </row>
    <row r="594" spans="1:26" ht="19.5">
      <c r="A594" s="1267"/>
      <c r="B594" s="1268"/>
      <c r="C594" s="1268"/>
      <c r="D594" s="1268"/>
      <c r="E594" s="961"/>
      <c r="F594" s="961"/>
      <c r="G594" s="954"/>
      <c r="H594" s="733" t="s">
        <v>34</v>
      </c>
      <c r="I594" s="965">
        <f ca="1">IFERROR(__xludf.DUMMYFUNCTION("IMPORTRANGE(""https://docs.google.com/spreadsheets/d/1QqKyyYR6Q21VydFLVH3TRQUabQu_ym0Zz7PgGX0-kHA/edit?usp=sharing"",""แผน!HI20"")"),89)</f>
        <v>89</v>
      </c>
      <c r="J594" s="965">
        <f t="shared" si="255"/>
        <v>0</v>
      </c>
      <c r="K594" s="1109">
        <f t="shared" ca="1" si="254"/>
        <v>0</v>
      </c>
      <c r="L594" s="945"/>
      <c r="M594" s="945"/>
      <c r="N594" s="945"/>
      <c r="O594" s="945"/>
      <c r="P594" s="945"/>
      <c r="Q594" s="1244"/>
      <c r="R594" s="1244"/>
      <c r="S594" s="1244"/>
      <c r="T594" s="1244"/>
      <c r="U594" s="1244"/>
      <c r="V594" s="1244"/>
      <c r="W594" s="1244"/>
      <c r="X594" s="1244"/>
      <c r="Y594" s="1244"/>
      <c r="Z594" s="1244"/>
    </row>
    <row r="595" spans="1:26" ht="18.75">
      <c r="A595" s="1267"/>
      <c r="B595" s="1268"/>
      <c r="C595" s="1268" t="s">
        <v>253</v>
      </c>
      <c r="D595" s="1268"/>
      <c r="E595" s="1268"/>
      <c r="F595" s="961"/>
      <c r="G595" s="954"/>
      <c r="H595" s="730" t="s">
        <v>46</v>
      </c>
      <c r="I595" s="944"/>
      <c r="J595" s="944">
        <f t="shared" ref="J595:J596" si="256">J597+J599</f>
        <v>0</v>
      </c>
      <c r="K595" s="945"/>
      <c r="L595" s="945"/>
      <c r="M595" s="945"/>
      <c r="N595" s="945"/>
      <c r="O595" s="945"/>
      <c r="P595" s="945"/>
      <c r="Q595" s="1244"/>
      <c r="R595" s="1244"/>
      <c r="S595" s="1244"/>
      <c r="T595" s="1244"/>
      <c r="U595" s="1244"/>
      <c r="V595" s="1244"/>
      <c r="W595" s="1244"/>
      <c r="X595" s="1244"/>
      <c r="Y595" s="1244"/>
      <c r="Z595" s="1244"/>
    </row>
    <row r="596" spans="1:26" ht="18.75">
      <c r="A596" s="1267"/>
      <c r="B596" s="1268"/>
      <c r="C596" s="1268"/>
      <c r="D596" s="1268"/>
      <c r="E596" s="961"/>
      <c r="F596" s="961"/>
      <c r="G596" s="954"/>
      <c r="H596" s="730" t="s">
        <v>34</v>
      </c>
      <c r="I596" s="944"/>
      <c r="J596" s="944">
        <f t="shared" si="256"/>
        <v>0</v>
      </c>
      <c r="K596" s="945"/>
      <c r="L596" s="945"/>
      <c r="M596" s="945"/>
      <c r="N596" s="945"/>
      <c r="O596" s="945"/>
      <c r="P596" s="945"/>
      <c r="Q596" s="1244"/>
      <c r="R596" s="1244"/>
      <c r="S596" s="1244"/>
      <c r="T596" s="1244"/>
      <c r="U596" s="1244"/>
      <c r="V596" s="1244"/>
      <c r="W596" s="1244"/>
      <c r="X596" s="1244"/>
      <c r="Y596" s="1244"/>
      <c r="Z596" s="1244"/>
    </row>
    <row r="597" spans="1:26" ht="18.75">
      <c r="A597" s="1267"/>
      <c r="B597" s="1268"/>
      <c r="C597" s="1268"/>
      <c r="D597" s="1017" t="s">
        <v>254</v>
      </c>
      <c r="E597" s="961"/>
      <c r="F597" s="961"/>
      <c r="G597" s="954"/>
      <c r="H597" s="730" t="s">
        <v>46</v>
      </c>
      <c r="I597" s="944"/>
      <c r="J597" s="959">
        <v>0</v>
      </c>
      <c r="K597" s="945"/>
      <c r="L597" s="945"/>
      <c r="M597" s="945"/>
      <c r="N597" s="945"/>
      <c r="O597" s="945"/>
      <c r="P597" s="945"/>
      <c r="Q597" s="1244"/>
      <c r="R597" s="1244"/>
      <c r="S597" s="1244"/>
      <c r="T597" s="1244"/>
      <c r="U597" s="1244"/>
      <c r="V597" s="1244"/>
      <c r="W597" s="1244"/>
      <c r="X597" s="1244"/>
      <c r="Y597" s="1244"/>
      <c r="Z597" s="1244"/>
    </row>
    <row r="598" spans="1:26" ht="18.75">
      <c r="A598" s="1267"/>
      <c r="B598" s="1268"/>
      <c r="C598" s="1268"/>
      <c r="D598" s="1268"/>
      <c r="E598" s="961"/>
      <c r="F598" s="961"/>
      <c r="G598" s="954"/>
      <c r="H598" s="730" t="s">
        <v>34</v>
      </c>
      <c r="I598" s="830"/>
      <c r="J598" s="959">
        <v>0</v>
      </c>
      <c r="K598" s="945"/>
      <c r="L598" s="945"/>
      <c r="M598" s="945"/>
      <c r="N598" s="945"/>
      <c r="O598" s="945"/>
      <c r="P598" s="945"/>
      <c r="Q598" s="1244"/>
      <c r="R598" s="1244"/>
      <c r="S598" s="1244"/>
      <c r="T598" s="1244"/>
      <c r="U598" s="1244"/>
      <c r="V598" s="1244"/>
      <c r="W598" s="1244"/>
      <c r="X598" s="1244"/>
      <c r="Y598" s="1244"/>
      <c r="Z598" s="1244"/>
    </row>
    <row r="599" spans="1:26" ht="18.75">
      <c r="A599" s="1267"/>
      <c r="B599" s="1268"/>
      <c r="C599" s="1268"/>
      <c r="D599" s="1017" t="s">
        <v>255</v>
      </c>
      <c r="E599" s="961"/>
      <c r="F599" s="961"/>
      <c r="G599" s="954"/>
      <c r="H599" s="730" t="s">
        <v>46</v>
      </c>
      <c r="I599" s="830"/>
      <c r="J599" s="959">
        <v>0</v>
      </c>
      <c r="K599" s="945"/>
      <c r="L599" s="945"/>
      <c r="M599" s="945"/>
      <c r="N599" s="945"/>
      <c r="O599" s="945"/>
      <c r="P599" s="945"/>
      <c r="Q599" s="1244"/>
      <c r="R599" s="1244"/>
      <c r="S599" s="1244"/>
      <c r="T599" s="1244"/>
      <c r="U599" s="1244"/>
      <c r="V599" s="1244"/>
      <c r="W599" s="1244"/>
      <c r="X599" s="1244"/>
      <c r="Y599" s="1244"/>
      <c r="Z599" s="1244"/>
    </row>
    <row r="600" spans="1:26" ht="18.75">
      <c r="A600" s="1267"/>
      <c r="B600" s="1268"/>
      <c r="C600" s="1268"/>
      <c r="D600" s="1268"/>
      <c r="E600" s="961"/>
      <c r="F600" s="961"/>
      <c r="G600" s="954"/>
      <c r="H600" s="730" t="s">
        <v>34</v>
      </c>
      <c r="I600" s="830"/>
      <c r="J600" s="959">
        <v>0</v>
      </c>
      <c r="K600" s="945"/>
      <c r="L600" s="945"/>
      <c r="M600" s="945"/>
      <c r="N600" s="945"/>
      <c r="O600" s="945"/>
      <c r="P600" s="945"/>
      <c r="Q600" s="1244"/>
      <c r="R600" s="1244"/>
      <c r="S600" s="1244"/>
      <c r="T600" s="1244"/>
      <c r="U600" s="1244"/>
      <c r="V600" s="1244"/>
      <c r="W600" s="1244"/>
      <c r="X600" s="1244"/>
      <c r="Y600" s="1244"/>
      <c r="Z600" s="1244"/>
    </row>
    <row r="601" spans="1:26" ht="18.75">
      <c r="A601" s="1267"/>
      <c r="B601" s="1268"/>
      <c r="C601" s="1268"/>
      <c r="D601" s="1017" t="s">
        <v>256</v>
      </c>
      <c r="E601" s="961"/>
      <c r="F601" s="961"/>
      <c r="G601" s="954"/>
      <c r="H601" s="730" t="s">
        <v>46</v>
      </c>
      <c r="I601" s="830"/>
      <c r="J601" s="959">
        <v>0</v>
      </c>
      <c r="K601" s="945"/>
      <c r="L601" s="945"/>
      <c r="M601" s="945"/>
      <c r="N601" s="945"/>
      <c r="O601" s="945"/>
      <c r="P601" s="945"/>
      <c r="Q601" s="1244"/>
      <c r="R601" s="1244"/>
      <c r="S601" s="1244"/>
      <c r="T601" s="1244"/>
      <c r="U601" s="1244"/>
      <c r="V601" s="1244"/>
      <c r="W601" s="1244"/>
      <c r="X601" s="1244"/>
      <c r="Y601" s="1244"/>
      <c r="Z601" s="1244"/>
    </row>
    <row r="602" spans="1:26" ht="18.75">
      <c r="A602" s="1267"/>
      <c r="B602" s="1268"/>
      <c r="C602" s="1268"/>
      <c r="D602" s="1268"/>
      <c r="E602" s="961"/>
      <c r="F602" s="961"/>
      <c r="G602" s="954"/>
      <c r="H602" s="730" t="s">
        <v>34</v>
      </c>
      <c r="I602" s="830"/>
      <c r="J602" s="959">
        <v>0</v>
      </c>
      <c r="K602" s="945"/>
      <c r="L602" s="945"/>
      <c r="M602" s="945"/>
      <c r="N602" s="945"/>
      <c r="O602" s="945"/>
      <c r="P602" s="945"/>
      <c r="Q602" s="1244"/>
      <c r="R602" s="1244"/>
      <c r="S602" s="1244"/>
      <c r="T602" s="1244"/>
      <c r="U602" s="1244"/>
      <c r="V602" s="1244"/>
      <c r="W602" s="1244"/>
      <c r="X602" s="1244"/>
      <c r="Y602" s="1244"/>
      <c r="Z602" s="1244"/>
    </row>
    <row r="603" spans="1:26" ht="18.75">
      <c r="A603" s="1267"/>
      <c r="B603" s="1268"/>
      <c r="C603" s="1340" t="s">
        <v>257</v>
      </c>
      <c r="D603" s="1268"/>
      <c r="E603" s="1268"/>
      <c r="F603" s="961"/>
      <c r="G603" s="954"/>
      <c r="H603" s="730" t="s">
        <v>46</v>
      </c>
      <c r="I603" s="830"/>
      <c r="J603" s="830">
        <f t="shared" ref="J603:J604" si="257">J605+J607</f>
        <v>0</v>
      </c>
      <c r="K603" s="945"/>
      <c r="L603" s="945"/>
      <c r="M603" s="945"/>
      <c r="N603" s="945"/>
      <c r="O603" s="945"/>
      <c r="P603" s="945"/>
      <c r="Q603" s="1244"/>
      <c r="R603" s="1244"/>
      <c r="S603" s="1244"/>
      <c r="T603" s="1244"/>
      <c r="U603" s="1244"/>
      <c r="V603" s="1244"/>
      <c r="W603" s="1244"/>
      <c r="X603" s="1244"/>
      <c r="Y603" s="1244"/>
      <c r="Z603" s="1244"/>
    </row>
    <row r="604" spans="1:26" ht="18.75">
      <c r="A604" s="1267"/>
      <c r="B604" s="1268"/>
      <c r="C604" s="1268"/>
      <c r="D604" s="1268"/>
      <c r="E604" s="961"/>
      <c r="F604" s="961"/>
      <c r="G604" s="954"/>
      <c r="H604" s="730" t="s">
        <v>34</v>
      </c>
      <c r="I604" s="830"/>
      <c r="J604" s="830">
        <f t="shared" si="257"/>
        <v>0</v>
      </c>
      <c r="K604" s="945"/>
      <c r="L604" s="945"/>
      <c r="M604" s="945"/>
      <c r="N604" s="945"/>
      <c r="O604" s="945"/>
      <c r="P604" s="945"/>
      <c r="Q604" s="1244"/>
      <c r="R604" s="1244"/>
      <c r="S604" s="1244"/>
      <c r="T604" s="1244"/>
      <c r="U604" s="1244"/>
      <c r="V604" s="1244"/>
      <c r="W604" s="1244"/>
      <c r="X604" s="1244"/>
      <c r="Y604" s="1244"/>
      <c r="Z604" s="1244"/>
    </row>
    <row r="605" spans="1:26" ht="18.75">
      <c r="A605" s="1267"/>
      <c r="B605" s="1268"/>
      <c r="C605" s="1268"/>
      <c r="D605" s="1340" t="s">
        <v>258</v>
      </c>
      <c r="E605" s="961"/>
      <c r="F605" s="961"/>
      <c r="G605" s="954"/>
      <c r="H605" s="730" t="s">
        <v>46</v>
      </c>
      <c r="I605" s="830"/>
      <c r="J605" s="959">
        <v>0</v>
      </c>
      <c r="K605" s="945"/>
      <c r="L605" s="945"/>
      <c r="M605" s="945"/>
      <c r="N605" s="945"/>
      <c r="O605" s="945"/>
      <c r="P605" s="945"/>
      <c r="Q605" s="1244"/>
      <c r="R605" s="1244"/>
      <c r="S605" s="1244"/>
      <c r="T605" s="1244"/>
      <c r="U605" s="1244"/>
      <c r="V605" s="1244"/>
      <c r="W605" s="1244"/>
      <c r="X605" s="1244"/>
      <c r="Y605" s="1244"/>
      <c r="Z605" s="1244"/>
    </row>
    <row r="606" spans="1:26" ht="18.75">
      <c r="A606" s="1267"/>
      <c r="B606" s="1268"/>
      <c r="C606" s="1268"/>
      <c r="D606" s="1268"/>
      <c r="E606" s="1268"/>
      <c r="F606" s="961"/>
      <c r="G606" s="954"/>
      <c r="H606" s="730" t="s">
        <v>34</v>
      </c>
      <c r="I606" s="830"/>
      <c r="J606" s="959">
        <v>0</v>
      </c>
      <c r="K606" s="945"/>
      <c r="L606" s="945"/>
      <c r="M606" s="945"/>
      <c r="N606" s="945"/>
      <c r="O606" s="945"/>
      <c r="P606" s="945"/>
      <c r="Q606" s="1244"/>
      <c r="R606" s="1244"/>
      <c r="S606" s="1244"/>
      <c r="T606" s="1244"/>
      <c r="U606" s="1244"/>
      <c r="V606" s="1244"/>
      <c r="W606" s="1244"/>
      <c r="X606" s="1244"/>
      <c r="Y606" s="1244"/>
      <c r="Z606" s="1244"/>
    </row>
    <row r="607" spans="1:26" ht="18.75">
      <c r="A607" s="1267"/>
      <c r="B607" s="1268"/>
      <c r="C607" s="1268"/>
      <c r="D607" s="1340" t="s">
        <v>259</v>
      </c>
      <c r="E607" s="1268"/>
      <c r="F607" s="961"/>
      <c r="G607" s="954"/>
      <c r="H607" s="730" t="s">
        <v>46</v>
      </c>
      <c r="I607" s="830"/>
      <c r="J607" s="959">
        <v>0</v>
      </c>
      <c r="K607" s="945"/>
      <c r="L607" s="945"/>
      <c r="M607" s="945"/>
      <c r="N607" s="945"/>
      <c r="O607" s="945"/>
      <c r="P607" s="945"/>
      <c r="Q607" s="1244"/>
      <c r="R607" s="1244"/>
      <c r="S607" s="1244"/>
      <c r="T607" s="1244"/>
      <c r="U607" s="1244"/>
      <c r="V607" s="1244"/>
      <c r="W607" s="1244"/>
      <c r="X607" s="1244"/>
      <c r="Y607" s="1244"/>
      <c r="Z607" s="1244"/>
    </row>
    <row r="608" spans="1:26" ht="18.75">
      <c r="A608" s="1267"/>
      <c r="B608" s="1268"/>
      <c r="C608" s="1268"/>
      <c r="D608" s="1268"/>
      <c r="E608" s="961"/>
      <c r="F608" s="961"/>
      <c r="G608" s="954"/>
      <c r="H608" s="730" t="s">
        <v>34</v>
      </c>
      <c r="I608" s="830"/>
      <c r="J608" s="959">
        <v>0</v>
      </c>
      <c r="K608" s="945"/>
      <c r="L608" s="945"/>
      <c r="M608" s="945"/>
      <c r="N608" s="945"/>
      <c r="O608" s="945"/>
      <c r="P608" s="945"/>
      <c r="Q608" s="1244"/>
      <c r="R608" s="1244"/>
      <c r="S608" s="1244"/>
      <c r="T608" s="1244"/>
      <c r="U608" s="1244"/>
      <c r="V608" s="1244"/>
      <c r="W608" s="1244"/>
      <c r="X608" s="1244"/>
      <c r="Y608" s="1244"/>
      <c r="Z608" s="1244"/>
    </row>
    <row r="609" spans="1:26" ht="18.75">
      <c r="A609" s="1267"/>
      <c r="B609" s="1268"/>
      <c r="C609" s="1268" t="s">
        <v>260</v>
      </c>
      <c r="D609" s="1268"/>
      <c r="E609" s="1268"/>
      <c r="F609" s="961"/>
      <c r="G609" s="954"/>
      <c r="H609" s="730" t="s">
        <v>46</v>
      </c>
      <c r="I609" s="830"/>
      <c r="J609" s="959">
        <v>0</v>
      </c>
      <c r="K609" s="945"/>
      <c r="L609" s="945"/>
      <c r="M609" s="945"/>
      <c r="N609" s="945"/>
      <c r="O609" s="945"/>
      <c r="P609" s="945"/>
      <c r="Q609" s="1244"/>
      <c r="R609" s="1244"/>
      <c r="S609" s="1244"/>
      <c r="T609" s="1244"/>
      <c r="U609" s="1244"/>
      <c r="V609" s="1244"/>
      <c r="W609" s="1244"/>
      <c r="X609" s="1244"/>
      <c r="Y609" s="1244"/>
      <c r="Z609" s="1244"/>
    </row>
    <row r="610" spans="1:26" ht="18.75">
      <c r="A610" s="1267"/>
      <c r="B610" s="1268"/>
      <c r="C610" s="1268"/>
      <c r="D610" s="1268"/>
      <c r="E610" s="961"/>
      <c r="F610" s="961"/>
      <c r="G610" s="954"/>
      <c r="H610" s="730" t="s">
        <v>34</v>
      </c>
      <c r="I610" s="830"/>
      <c r="J610" s="959">
        <v>0</v>
      </c>
      <c r="K610" s="945"/>
      <c r="L610" s="945"/>
      <c r="M610" s="945"/>
      <c r="N610" s="945"/>
      <c r="O610" s="945"/>
      <c r="P610" s="945"/>
      <c r="Q610" s="1244"/>
      <c r="R610" s="1244"/>
      <c r="S610" s="1244"/>
      <c r="T610" s="1244"/>
      <c r="U610" s="1244"/>
      <c r="V610" s="1244"/>
      <c r="W610" s="1244"/>
      <c r="X610" s="1244"/>
      <c r="Y610" s="1244"/>
      <c r="Z610" s="1244"/>
    </row>
    <row r="611" spans="1:26" ht="19.5" hidden="1">
      <c r="A611" s="1329"/>
      <c r="B611" s="1341" t="s">
        <v>261</v>
      </c>
      <c r="C611" s="1331"/>
      <c r="D611" s="1331"/>
      <c r="E611" s="1315"/>
      <c r="F611" s="1315"/>
      <c r="G611" s="1316"/>
      <c r="H611" s="673" t="s">
        <v>46</v>
      </c>
      <c r="I611" s="1317">
        <v>0</v>
      </c>
      <c r="J611" s="1317">
        <f>J614+J616</f>
        <v>0</v>
      </c>
      <c r="K611" s="1318">
        <f t="shared" ref="K611:K613" si="258">IF(I611&gt;0,J611*100/I611,0)</f>
        <v>0</v>
      </c>
      <c r="L611" s="1319"/>
      <c r="M611" s="1319"/>
      <c r="N611" s="1319"/>
      <c r="O611" s="1319"/>
      <c r="P611" s="1319"/>
      <c r="Q611" s="1244"/>
      <c r="R611" s="1244"/>
      <c r="S611" s="1244"/>
      <c r="T611" s="1244"/>
      <c r="U611" s="1244"/>
      <c r="V611" s="1244"/>
      <c r="W611" s="1244"/>
      <c r="X611" s="1244"/>
      <c r="Y611" s="1244"/>
      <c r="Z611" s="1244"/>
    </row>
    <row r="612" spans="1:26" ht="19.5" hidden="1">
      <c r="A612" s="1342"/>
      <c r="B612" s="1343"/>
      <c r="C612" s="1344" t="s">
        <v>262</v>
      </c>
      <c r="D612" s="1343"/>
      <c r="E612" s="1343"/>
      <c r="F612" s="1345"/>
      <c r="G612" s="1346"/>
      <c r="H612" s="680" t="s">
        <v>46</v>
      </c>
      <c r="I612" s="1347">
        <v>0</v>
      </c>
      <c r="J612" s="1347">
        <f t="shared" ref="J612:J613" si="259">J614+J616</f>
        <v>0</v>
      </c>
      <c r="K612" s="1348">
        <f t="shared" si="258"/>
        <v>0</v>
      </c>
      <c r="L612" s="1349"/>
      <c r="M612" s="1349"/>
      <c r="N612" s="1349"/>
      <c r="O612" s="1349"/>
      <c r="P612" s="1349"/>
      <c r="Q612" s="1264"/>
      <c r="R612" s="1264"/>
      <c r="S612" s="1264"/>
      <c r="T612" s="1264"/>
      <c r="U612" s="1264"/>
      <c r="V612" s="1264"/>
      <c r="W612" s="1264"/>
      <c r="X612" s="1264"/>
      <c r="Y612" s="1264"/>
      <c r="Z612" s="1264"/>
    </row>
    <row r="613" spans="1:26" ht="19.5" hidden="1">
      <c r="A613" s="1342"/>
      <c r="B613" s="1343"/>
      <c r="C613" s="1343" t="s">
        <v>263</v>
      </c>
      <c r="D613" s="1343"/>
      <c r="E613" s="1343"/>
      <c r="F613" s="1345"/>
      <c r="G613" s="1346"/>
      <c r="H613" s="680" t="s">
        <v>34</v>
      </c>
      <c r="I613" s="1347">
        <v>0</v>
      </c>
      <c r="J613" s="1347">
        <f t="shared" si="259"/>
        <v>0</v>
      </c>
      <c r="K613" s="1348">
        <f t="shared" si="258"/>
        <v>0</v>
      </c>
      <c r="L613" s="1349"/>
      <c r="M613" s="1349"/>
      <c r="N613" s="1349"/>
      <c r="O613" s="1349"/>
      <c r="P613" s="1349"/>
      <c r="Q613" s="1264"/>
      <c r="R613" s="1264"/>
      <c r="S613" s="1264"/>
      <c r="T613" s="1264"/>
      <c r="U613" s="1264"/>
      <c r="V613" s="1264"/>
      <c r="W613" s="1264"/>
      <c r="X613" s="1264"/>
      <c r="Y613" s="1264"/>
      <c r="Z613" s="1264"/>
    </row>
    <row r="614" spans="1:26" ht="18.75" hidden="1">
      <c r="A614" s="1273"/>
      <c r="B614" s="1274"/>
      <c r="C614" s="1274"/>
      <c r="D614" s="1262" t="s">
        <v>264</v>
      </c>
      <c r="E614" s="1274"/>
      <c r="F614" s="1262"/>
      <c r="G614" s="1060"/>
      <c r="H614" s="583" t="s">
        <v>46</v>
      </c>
      <c r="I614" s="836"/>
      <c r="J614" s="836">
        <v>0</v>
      </c>
      <c r="K614" s="948"/>
      <c r="L614" s="948"/>
      <c r="M614" s="948"/>
      <c r="N614" s="948"/>
      <c r="O614" s="948"/>
      <c r="P614" s="948"/>
      <c r="Q614" s="1264"/>
      <c r="R614" s="1264"/>
      <c r="S614" s="1264"/>
      <c r="T614" s="1264"/>
      <c r="U614" s="1264"/>
      <c r="V614" s="1264"/>
      <c r="W614" s="1264"/>
      <c r="X614" s="1264"/>
      <c r="Y614" s="1264"/>
      <c r="Z614" s="1264"/>
    </row>
    <row r="615" spans="1:26" ht="18.75" hidden="1">
      <c r="A615" s="1273"/>
      <c r="B615" s="1274"/>
      <c r="C615" s="1274"/>
      <c r="D615" s="1274"/>
      <c r="E615" s="1274"/>
      <c r="F615" s="1262"/>
      <c r="G615" s="1060"/>
      <c r="H615" s="583" t="s">
        <v>34</v>
      </c>
      <c r="I615" s="836"/>
      <c r="J615" s="836">
        <v>0</v>
      </c>
      <c r="K615" s="948"/>
      <c r="L615" s="948"/>
      <c r="M615" s="948"/>
      <c r="N615" s="948"/>
      <c r="O615" s="948"/>
      <c r="P615" s="948"/>
      <c r="Q615" s="1264"/>
      <c r="R615" s="1264"/>
      <c r="S615" s="1264"/>
      <c r="T615" s="1264"/>
      <c r="U615" s="1264"/>
      <c r="V615" s="1264"/>
      <c r="W615" s="1264"/>
      <c r="X615" s="1264"/>
      <c r="Y615" s="1264"/>
      <c r="Z615" s="1264"/>
    </row>
    <row r="616" spans="1:26" ht="18.75" hidden="1">
      <c r="A616" s="1273"/>
      <c r="B616" s="1274"/>
      <c r="C616" s="1274"/>
      <c r="D616" s="1350" t="s">
        <v>264</v>
      </c>
      <c r="E616" s="1262"/>
      <c r="F616" s="1262"/>
      <c r="G616" s="1060"/>
      <c r="H616" s="583" t="s">
        <v>46</v>
      </c>
      <c r="I616" s="836"/>
      <c r="J616" s="836">
        <v>0</v>
      </c>
      <c r="K616" s="948"/>
      <c r="L616" s="948"/>
      <c r="M616" s="948"/>
      <c r="N616" s="948"/>
      <c r="O616" s="948"/>
      <c r="P616" s="948"/>
      <c r="Q616" s="1264"/>
      <c r="R616" s="1264"/>
      <c r="S616" s="1264"/>
      <c r="T616" s="1264"/>
      <c r="U616" s="1264"/>
      <c r="V616" s="1264"/>
      <c r="W616" s="1264"/>
      <c r="X616" s="1264"/>
      <c r="Y616" s="1264"/>
      <c r="Z616" s="1264"/>
    </row>
    <row r="617" spans="1:26" ht="18.75" hidden="1">
      <c r="A617" s="1273"/>
      <c r="B617" s="1274"/>
      <c r="C617" s="1274"/>
      <c r="D617" s="1274"/>
      <c r="E617" s="1262"/>
      <c r="F617" s="1262"/>
      <c r="G617" s="1060"/>
      <c r="H617" s="583" t="s">
        <v>34</v>
      </c>
      <c r="I617" s="836"/>
      <c r="J617" s="836">
        <v>0</v>
      </c>
      <c r="K617" s="948"/>
      <c r="L617" s="948"/>
      <c r="M617" s="948"/>
      <c r="N617" s="948"/>
      <c r="O617" s="948"/>
      <c r="P617" s="948"/>
      <c r="Q617" s="1264"/>
      <c r="R617" s="1264"/>
      <c r="S617" s="1264"/>
      <c r="T617" s="1264"/>
      <c r="U617" s="1264"/>
      <c r="V617" s="1264"/>
      <c r="W617" s="1264"/>
      <c r="X617" s="1264"/>
      <c r="Y617" s="1264"/>
      <c r="Z617" s="1264"/>
    </row>
    <row r="618" spans="1:26" ht="18.75" hidden="1">
      <c r="A618" s="1273"/>
      <c r="B618" s="1274"/>
      <c r="C618" s="1274"/>
      <c r="D618" s="1350" t="s">
        <v>265</v>
      </c>
      <c r="E618" s="1262"/>
      <c r="F618" s="1262"/>
      <c r="G618" s="1060"/>
      <c r="H618" s="583" t="s">
        <v>46</v>
      </c>
      <c r="I618" s="836"/>
      <c r="J618" s="836">
        <v>0</v>
      </c>
      <c r="K618" s="948"/>
      <c r="L618" s="948"/>
      <c r="M618" s="948"/>
      <c r="N618" s="948"/>
      <c r="O618" s="948"/>
      <c r="P618" s="948"/>
      <c r="Q618" s="1264"/>
      <c r="R618" s="1264"/>
      <c r="S618" s="1264"/>
      <c r="T618" s="1264"/>
      <c r="U618" s="1264"/>
      <c r="V618" s="1264"/>
      <c r="W618" s="1264"/>
      <c r="X618" s="1264"/>
      <c r="Y618" s="1264"/>
      <c r="Z618" s="1264"/>
    </row>
    <row r="619" spans="1:26" ht="18.75" hidden="1">
      <c r="A619" s="1273"/>
      <c r="B619" s="1274"/>
      <c r="C619" s="1274"/>
      <c r="D619" s="1274"/>
      <c r="E619" s="1262"/>
      <c r="F619" s="1262"/>
      <c r="G619" s="1060"/>
      <c r="H619" s="583" t="s">
        <v>34</v>
      </c>
      <c r="I619" s="836"/>
      <c r="J619" s="836">
        <v>0</v>
      </c>
      <c r="K619" s="948"/>
      <c r="L619" s="948"/>
      <c r="M619" s="948"/>
      <c r="N619" s="948"/>
      <c r="O619" s="948"/>
      <c r="P619" s="948"/>
      <c r="Q619" s="1264"/>
      <c r="R619" s="1264"/>
      <c r="S619" s="1264"/>
      <c r="T619" s="1264"/>
      <c r="U619" s="1264"/>
      <c r="V619" s="1264"/>
      <c r="W619" s="1264"/>
      <c r="X619" s="1264"/>
      <c r="Y619" s="1264"/>
      <c r="Z619" s="1264"/>
    </row>
    <row r="620" spans="1:26" ht="19.5" hidden="1">
      <c r="A620" s="1351"/>
      <c r="B620" s="1352"/>
      <c r="C620" s="1353" t="s">
        <v>266</v>
      </c>
      <c r="D620" s="1352"/>
      <c r="E620" s="1352"/>
      <c r="F620" s="1354"/>
      <c r="G620" s="1355"/>
      <c r="H620" s="693" t="s">
        <v>46</v>
      </c>
      <c r="I620" s="1356">
        <f ca="1">IFERROR(__xludf.DUMMYFUNCTION("IMPORTRANGE(""https://docs.google.com/spreadsheets/d/1QqKyyYR6Q21VydFLVH3TRQUabQu_ym0Zz7PgGX0-kHA/edit?usp=sharing"",""แผน!HL20"")"),173)</f>
        <v>173</v>
      </c>
      <c r="J620" s="1356">
        <f t="shared" ref="J620:J621" si="260">J622+J624+J626</f>
        <v>0</v>
      </c>
      <c r="K620" s="1357">
        <f t="shared" ref="K620:K621" ca="1" si="261">IF(I620&gt;0,J620*100/I620,0)</f>
        <v>0</v>
      </c>
      <c r="L620" s="1358"/>
      <c r="M620" s="1358"/>
      <c r="N620" s="1358"/>
      <c r="O620" s="1358"/>
      <c r="P620" s="1358"/>
      <c r="Q620" s="1244"/>
      <c r="R620" s="1244"/>
      <c r="S620" s="1244"/>
      <c r="T620" s="1244"/>
      <c r="U620" s="1244"/>
      <c r="V620" s="1244"/>
      <c r="W620" s="1244"/>
      <c r="X620" s="1244"/>
      <c r="Y620" s="1244"/>
      <c r="Z620" s="1244"/>
    </row>
    <row r="621" spans="1:26" ht="19.5" hidden="1">
      <c r="A621" s="1351"/>
      <c r="B621" s="1352"/>
      <c r="C621" s="1352" t="s">
        <v>267</v>
      </c>
      <c r="D621" s="1352"/>
      <c r="E621" s="1352"/>
      <c r="F621" s="1354"/>
      <c r="G621" s="1355"/>
      <c r="H621" s="693" t="s">
        <v>34</v>
      </c>
      <c r="I621" s="1356">
        <f ca="1">IFERROR(__xludf.DUMMYFUNCTION("IMPORTRANGE(""https://docs.google.com/spreadsheets/d/1QqKyyYR6Q21VydFLVH3TRQUabQu_ym0Zz7PgGX0-kHA/edit?usp=sharing"",""แผน!HK20"")"),19)</f>
        <v>19</v>
      </c>
      <c r="J621" s="1356">
        <f t="shared" si="260"/>
        <v>0</v>
      </c>
      <c r="K621" s="1357">
        <f t="shared" ca="1" si="261"/>
        <v>0</v>
      </c>
      <c r="L621" s="1358"/>
      <c r="M621" s="1358"/>
      <c r="N621" s="1358"/>
      <c r="O621" s="1358"/>
      <c r="P621" s="1358"/>
      <c r="Q621" s="1244"/>
      <c r="R621" s="1244"/>
      <c r="S621" s="1244"/>
      <c r="T621" s="1244"/>
      <c r="U621" s="1244"/>
      <c r="V621" s="1244"/>
      <c r="W621" s="1244"/>
      <c r="X621" s="1244"/>
      <c r="Y621" s="1244"/>
      <c r="Z621" s="1244"/>
    </row>
    <row r="622" spans="1:26" ht="18.75" hidden="1">
      <c r="A622" s="1267"/>
      <c r="B622" s="1268"/>
      <c r="C622" s="1268"/>
      <c r="D622" s="1017" t="s">
        <v>268</v>
      </c>
      <c r="E622" s="961"/>
      <c r="F622" s="961"/>
      <c r="G622" s="954"/>
      <c r="H622" s="730" t="s">
        <v>46</v>
      </c>
      <c r="I622" s="830"/>
      <c r="J622" s="959">
        <v>0</v>
      </c>
      <c r="K622" s="945"/>
      <c r="L622" s="945"/>
      <c r="M622" s="945"/>
      <c r="N622" s="945"/>
      <c r="O622" s="945"/>
      <c r="P622" s="945"/>
      <c r="Q622" s="1244"/>
      <c r="R622" s="1244"/>
      <c r="S622" s="1244"/>
      <c r="T622" s="1244"/>
      <c r="U622" s="1244"/>
      <c r="V622" s="1244"/>
      <c r="W622" s="1244"/>
      <c r="X622" s="1244"/>
      <c r="Y622" s="1244"/>
      <c r="Z622" s="1244"/>
    </row>
    <row r="623" spans="1:26" ht="18.75" hidden="1">
      <c r="A623" s="1267"/>
      <c r="B623" s="1268"/>
      <c r="C623" s="1268"/>
      <c r="D623" s="1268"/>
      <c r="E623" s="961"/>
      <c r="F623" s="961"/>
      <c r="G623" s="954"/>
      <c r="H623" s="730" t="s">
        <v>34</v>
      </c>
      <c r="I623" s="830"/>
      <c r="J623" s="959">
        <v>0</v>
      </c>
      <c r="K623" s="945"/>
      <c r="L623" s="945"/>
      <c r="M623" s="945"/>
      <c r="N623" s="945"/>
      <c r="O623" s="945"/>
      <c r="P623" s="945"/>
      <c r="Q623" s="1244"/>
      <c r="R623" s="1244"/>
      <c r="S623" s="1244"/>
      <c r="T623" s="1244"/>
      <c r="U623" s="1244"/>
      <c r="V623" s="1244"/>
      <c r="W623" s="1244"/>
      <c r="X623" s="1244"/>
      <c r="Y623" s="1244"/>
      <c r="Z623" s="1244"/>
    </row>
    <row r="624" spans="1:26" ht="18.75" hidden="1">
      <c r="A624" s="1267"/>
      <c r="B624" s="1268"/>
      <c r="C624" s="1268"/>
      <c r="D624" s="1017" t="s">
        <v>264</v>
      </c>
      <c r="E624" s="961"/>
      <c r="F624" s="961"/>
      <c r="G624" s="954"/>
      <c r="H624" s="730" t="s">
        <v>46</v>
      </c>
      <c r="I624" s="830"/>
      <c r="J624" s="959">
        <v>0</v>
      </c>
      <c r="K624" s="945"/>
      <c r="L624" s="945"/>
      <c r="M624" s="945"/>
      <c r="N624" s="945"/>
      <c r="O624" s="945"/>
      <c r="P624" s="945"/>
      <c r="Q624" s="1244"/>
      <c r="R624" s="1244"/>
      <c r="S624" s="1244"/>
      <c r="T624" s="1244"/>
      <c r="U624" s="1244"/>
      <c r="V624" s="1244"/>
      <c r="W624" s="1244"/>
      <c r="X624" s="1244"/>
      <c r="Y624" s="1244"/>
      <c r="Z624" s="1244"/>
    </row>
    <row r="625" spans="1:26" ht="18.75" hidden="1">
      <c r="A625" s="1267"/>
      <c r="B625" s="1268"/>
      <c r="C625" s="1268"/>
      <c r="D625" s="1268"/>
      <c r="E625" s="961"/>
      <c r="F625" s="961"/>
      <c r="G625" s="954"/>
      <c r="H625" s="730" t="s">
        <v>34</v>
      </c>
      <c r="I625" s="830"/>
      <c r="J625" s="959">
        <v>0</v>
      </c>
      <c r="K625" s="945"/>
      <c r="L625" s="945"/>
      <c r="M625" s="945"/>
      <c r="N625" s="945"/>
      <c r="O625" s="945"/>
      <c r="P625" s="945"/>
      <c r="Q625" s="1244"/>
      <c r="R625" s="1244"/>
      <c r="S625" s="1244"/>
      <c r="T625" s="1244"/>
      <c r="U625" s="1244"/>
      <c r="V625" s="1244"/>
      <c r="W625" s="1244"/>
      <c r="X625" s="1244"/>
      <c r="Y625" s="1244"/>
      <c r="Z625" s="1244"/>
    </row>
    <row r="626" spans="1:26" ht="18.75" hidden="1">
      <c r="A626" s="1267"/>
      <c r="B626" s="1268"/>
      <c r="C626" s="1268"/>
      <c r="D626" s="1017" t="s">
        <v>269</v>
      </c>
      <c r="E626" s="961"/>
      <c r="F626" s="961"/>
      <c r="G626" s="954"/>
      <c r="H626" s="730" t="s">
        <v>46</v>
      </c>
      <c r="I626" s="830"/>
      <c r="J626" s="959">
        <v>0</v>
      </c>
      <c r="K626" s="945"/>
      <c r="L626" s="945"/>
      <c r="M626" s="945"/>
      <c r="N626" s="945"/>
      <c r="O626" s="945"/>
      <c r="P626" s="945"/>
      <c r="Q626" s="1244"/>
      <c r="R626" s="1244"/>
      <c r="S626" s="1244"/>
      <c r="T626" s="1244"/>
      <c r="U626" s="1244"/>
      <c r="V626" s="1244"/>
      <c r="W626" s="1244"/>
      <c r="X626" s="1244"/>
      <c r="Y626" s="1244"/>
      <c r="Z626" s="1244"/>
    </row>
    <row r="627" spans="1:26" ht="18.75" hidden="1">
      <c r="A627" s="1359"/>
      <c r="B627" s="1360"/>
      <c r="C627" s="1360"/>
      <c r="D627" s="1360"/>
      <c r="E627" s="1116"/>
      <c r="F627" s="1116"/>
      <c r="G627" s="1361"/>
      <c r="H627" s="391" t="s">
        <v>34</v>
      </c>
      <c r="I627" s="1085"/>
      <c r="J627" s="1118">
        <v>0</v>
      </c>
      <c r="K627" s="1086"/>
      <c r="L627" s="1086"/>
      <c r="M627" s="1086"/>
      <c r="N627" s="1086"/>
      <c r="O627" s="1086"/>
      <c r="P627" s="1086"/>
      <c r="Q627" s="1244"/>
      <c r="R627" s="1244"/>
      <c r="S627" s="1244"/>
      <c r="T627" s="1244"/>
      <c r="U627" s="1244"/>
      <c r="V627" s="1244"/>
      <c r="W627" s="1244"/>
      <c r="X627" s="1244"/>
      <c r="Y627" s="1244"/>
      <c r="Z627" s="1244"/>
    </row>
    <row r="628" spans="1:26" ht="19.5">
      <c r="A628" s="702">
        <v>7</v>
      </c>
      <c r="B628" s="1362" t="s">
        <v>270</v>
      </c>
      <c r="C628" s="1363"/>
      <c r="D628" s="1363"/>
      <c r="E628" s="1363"/>
      <c r="F628" s="1363"/>
      <c r="G628" s="1364"/>
      <c r="H628" s="706" t="s">
        <v>35</v>
      </c>
      <c r="I628" s="1365">
        <f t="shared" ref="I628:J628" ca="1" si="262">I651</f>
        <v>60</v>
      </c>
      <c r="J628" s="1365">
        <f t="shared" ca="1" si="262"/>
        <v>0</v>
      </c>
      <c r="K628" s="1366">
        <f ca="1">IF(I628&gt;0,J628*100/I628,0)</f>
        <v>0</v>
      </c>
      <c r="L628" s="1367"/>
      <c r="M628" s="1367"/>
      <c r="N628" s="1367"/>
      <c r="O628" s="1367"/>
      <c r="P628" s="1367"/>
      <c r="Q628" s="1244"/>
      <c r="R628" s="1244"/>
      <c r="S628" s="1244"/>
      <c r="T628" s="1244"/>
      <c r="U628" s="1244"/>
      <c r="V628" s="1244"/>
      <c r="W628" s="1244"/>
      <c r="X628" s="1244"/>
      <c r="Y628" s="1244"/>
      <c r="Z628" s="1244"/>
    </row>
    <row r="629" spans="1:26" ht="19.5">
      <c r="A629" s="1259"/>
      <c r="B629" s="1243"/>
      <c r="C629" s="1243" t="s">
        <v>16</v>
      </c>
      <c r="D629" s="1507" t="s">
        <v>17</v>
      </c>
      <c r="E629" s="1485"/>
      <c r="F629" s="1485"/>
      <c r="G629" s="963"/>
      <c r="H629" s="563" t="s">
        <v>12</v>
      </c>
      <c r="I629" s="830"/>
      <c r="J629" s="830"/>
      <c r="K629" s="831"/>
      <c r="L629" s="967">
        <f t="shared" ref="L629:N629" ca="1" si="263">L630+L631</f>
        <v>336260</v>
      </c>
      <c r="M629" s="967">
        <f t="shared" si="263"/>
        <v>0</v>
      </c>
      <c r="N629" s="967">
        <f t="shared" si="263"/>
        <v>123720</v>
      </c>
      <c r="O629" s="967">
        <f t="shared" ref="O629:O634" ca="1" si="264">IF(L629&gt;0,N629*100/L629,0)</f>
        <v>36.792957830250401</v>
      </c>
      <c r="P629" s="967">
        <f t="shared" ref="P629:P634" si="265">IF(M629&gt;0,N629*100/M629,0)</f>
        <v>0</v>
      </c>
      <c r="Q629" s="1244"/>
      <c r="R629" s="1244"/>
      <c r="S629" s="1244"/>
      <c r="T629" s="1244"/>
      <c r="U629" s="1244"/>
      <c r="V629" s="1244"/>
      <c r="W629" s="1244"/>
      <c r="X629" s="1244"/>
      <c r="Y629" s="1244"/>
      <c r="Z629" s="1244"/>
    </row>
    <row r="630" spans="1:26" ht="18.75" hidden="1">
      <c r="A630" s="1260"/>
      <c r="B630" s="1261"/>
      <c r="C630" s="1261"/>
      <c r="D630" s="1262"/>
      <c r="E630" s="1261" t="s">
        <v>184</v>
      </c>
      <c r="F630" s="1261"/>
      <c r="G630" s="1263"/>
      <c r="H630" s="165" t="s">
        <v>12</v>
      </c>
      <c r="I630" s="836"/>
      <c r="J630" s="836"/>
      <c r="K630" s="837"/>
      <c r="L630" s="837">
        <f t="shared" ref="L630:N631" si="266">L633+L640</f>
        <v>0</v>
      </c>
      <c r="M630" s="837">
        <f t="shared" si="266"/>
        <v>0</v>
      </c>
      <c r="N630" s="837">
        <f t="shared" si="266"/>
        <v>0</v>
      </c>
      <c r="O630" s="837">
        <f t="shared" si="264"/>
        <v>0</v>
      </c>
      <c r="P630" s="837">
        <f t="shared" si="265"/>
        <v>0</v>
      </c>
      <c r="Q630" s="1264"/>
      <c r="R630" s="1264"/>
      <c r="S630" s="1264"/>
      <c r="T630" s="1264"/>
      <c r="U630" s="1264"/>
      <c r="V630" s="1264"/>
      <c r="W630" s="1264"/>
      <c r="X630" s="1264"/>
      <c r="Y630" s="1264"/>
      <c r="Z630" s="1264"/>
    </row>
    <row r="631" spans="1:26" ht="18.75" hidden="1">
      <c r="A631" s="1260"/>
      <c r="B631" s="1265"/>
      <c r="C631" s="1261"/>
      <c r="D631" s="1262"/>
      <c r="E631" s="1261" t="s">
        <v>185</v>
      </c>
      <c r="F631" s="1261"/>
      <c r="G631" s="1263"/>
      <c r="H631" s="165" t="s">
        <v>12</v>
      </c>
      <c r="I631" s="836"/>
      <c r="J631" s="836"/>
      <c r="K631" s="837"/>
      <c r="L631" s="837">
        <f t="shared" ca="1" si="266"/>
        <v>336260</v>
      </c>
      <c r="M631" s="837">
        <f t="shared" si="266"/>
        <v>0</v>
      </c>
      <c r="N631" s="837">
        <f t="shared" si="266"/>
        <v>123720</v>
      </c>
      <c r="O631" s="837">
        <f t="shared" ca="1" si="264"/>
        <v>36.792957830250401</v>
      </c>
      <c r="P631" s="837">
        <f t="shared" si="265"/>
        <v>0</v>
      </c>
      <c r="Q631" s="1264"/>
      <c r="R631" s="1264"/>
      <c r="S631" s="1264"/>
      <c r="T631" s="1264"/>
      <c r="U631" s="1264"/>
      <c r="V631" s="1264"/>
      <c r="W631" s="1264"/>
      <c r="X631" s="1264"/>
      <c r="Y631" s="1264"/>
      <c r="Z631" s="1264"/>
    </row>
    <row r="632" spans="1:26" ht="18.75">
      <c r="A632" s="1259"/>
      <c r="B632" s="1242"/>
      <c r="C632" s="1243"/>
      <c r="D632" s="1266" t="s">
        <v>20</v>
      </c>
      <c r="E632" s="1243"/>
      <c r="F632" s="1243"/>
      <c r="G632" s="963"/>
      <c r="H632" s="778" t="s">
        <v>12</v>
      </c>
      <c r="I632" s="944"/>
      <c r="J632" s="944"/>
      <c r="K632" s="945"/>
      <c r="L632" s="831">
        <f t="shared" ref="L632:N632" ca="1" si="267">L633+L634</f>
        <v>336260</v>
      </c>
      <c r="M632" s="831">
        <f t="shared" si="267"/>
        <v>0</v>
      </c>
      <c r="N632" s="831">
        <f t="shared" si="267"/>
        <v>123720</v>
      </c>
      <c r="O632" s="831">
        <f t="shared" ca="1" si="264"/>
        <v>36.792957830250401</v>
      </c>
      <c r="P632" s="831">
        <f t="shared" si="265"/>
        <v>0</v>
      </c>
      <c r="Q632" s="1244"/>
      <c r="R632" s="1244"/>
      <c r="S632" s="1244"/>
      <c r="T632" s="1244"/>
      <c r="U632" s="1244"/>
      <c r="V632" s="1244"/>
      <c r="W632" s="1244"/>
      <c r="X632" s="1244"/>
      <c r="Y632" s="1244"/>
      <c r="Z632" s="1244"/>
    </row>
    <row r="633" spans="1:26" ht="18.75" hidden="1">
      <c r="A633" s="1260"/>
      <c r="B633" s="1265"/>
      <c r="C633" s="1261"/>
      <c r="D633" s="1262"/>
      <c r="E633" s="1261" t="s">
        <v>184</v>
      </c>
      <c r="F633" s="1261"/>
      <c r="G633" s="1263"/>
      <c r="H633" s="165" t="s">
        <v>12</v>
      </c>
      <c r="I633" s="836"/>
      <c r="J633" s="836"/>
      <c r="K633" s="837"/>
      <c r="L633" s="837">
        <v>0</v>
      </c>
      <c r="M633" s="837">
        <v>0</v>
      </c>
      <c r="N633" s="837">
        <v>0</v>
      </c>
      <c r="O633" s="837">
        <f t="shared" si="264"/>
        <v>0</v>
      </c>
      <c r="P633" s="837">
        <f t="shared" si="265"/>
        <v>0</v>
      </c>
      <c r="Q633" s="1264"/>
      <c r="R633" s="1264"/>
      <c r="S633" s="1264"/>
      <c r="T633" s="1264"/>
      <c r="U633" s="1264"/>
      <c r="V633" s="1264"/>
      <c r="W633" s="1264"/>
      <c r="X633" s="1264"/>
      <c r="Y633" s="1264"/>
      <c r="Z633" s="1264"/>
    </row>
    <row r="634" spans="1:26" ht="18.75" hidden="1">
      <c r="A634" s="1260"/>
      <c r="B634" s="1265"/>
      <c r="C634" s="1261"/>
      <c r="D634" s="1262"/>
      <c r="E634" s="1261" t="s">
        <v>185</v>
      </c>
      <c r="F634" s="1261"/>
      <c r="G634" s="1263"/>
      <c r="H634" s="165" t="s">
        <v>12</v>
      </c>
      <c r="I634" s="836"/>
      <c r="J634" s="836"/>
      <c r="K634" s="837"/>
      <c r="L634" s="837">
        <f ca="1">IFERROR(__xludf.DUMMYFUNCTION("IMPORTRANGE(""https://docs.google.com/spreadsheets/d/1QqKyyYR6Q21VydFLVH3TRQUabQu_ym0Zz7PgGX0-kHA/edit?usp=sharing"",""แผน!HN20"")"),336260)</f>
        <v>336260</v>
      </c>
      <c r="M634" s="837">
        <v>0</v>
      </c>
      <c r="N634" s="837">
        <f>N635+N636+N637+N638</f>
        <v>123720</v>
      </c>
      <c r="O634" s="837">
        <f t="shared" ca="1" si="264"/>
        <v>36.792957830250401</v>
      </c>
      <c r="P634" s="837">
        <f t="shared" si="265"/>
        <v>0</v>
      </c>
      <c r="Q634" s="1264"/>
      <c r="R634" s="1264"/>
      <c r="S634" s="1264"/>
      <c r="T634" s="1264"/>
      <c r="U634" s="1264"/>
      <c r="V634" s="1264"/>
      <c r="W634" s="1264"/>
      <c r="X634" s="1264"/>
      <c r="Y634" s="1264"/>
      <c r="Z634" s="1264"/>
    </row>
    <row r="635" spans="1:26" ht="18.75">
      <c r="A635" s="1241"/>
      <c r="B635" s="1242"/>
      <c r="C635" s="1243"/>
      <c r="D635" s="1243"/>
      <c r="E635" s="1243"/>
      <c r="F635" s="1243" t="s">
        <v>186</v>
      </c>
      <c r="G635" s="963"/>
      <c r="H635" s="778" t="s">
        <v>12</v>
      </c>
      <c r="I635" s="830"/>
      <c r="J635" s="830"/>
      <c r="K635" s="831"/>
      <c r="L635" s="831"/>
      <c r="M635" s="831"/>
      <c r="N635" s="1031">
        <v>0</v>
      </c>
      <c r="O635" s="831"/>
      <c r="P635" s="831"/>
      <c r="Q635" s="1244"/>
      <c r="R635" s="1244"/>
      <c r="S635" s="1244"/>
      <c r="T635" s="1244"/>
      <c r="U635" s="1244"/>
      <c r="V635" s="1244"/>
      <c r="W635" s="1244"/>
      <c r="X635" s="1244"/>
      <c r="Y635" s="1244"/>
      <c r="Z635" s="1244"/>
    </row>
    <row r="636" spans="1:26" ht="18.75">
      <c r="A636" s="1241"/>
      <c r="B636" s="1242"/>
      <c r="C636" s="1243"/>
      <c r="D636" s="1243"/>
      <c r="E636" s="1243"/>
      <c r="F636" s="1243" t="s">
        <v>187</v>
      </c>
      <c r="G636" s="963"/>
      <c r="H636" s="778" t="s">
        <v>12</v>
      </c>
      <c r="I636" s="830"/>
      <c r="J636" s="830"/>
      <c r="K636" s="831"/>
      <c r="L636" s="831"/>
      <c r="M636" s="831"/>
      <c r="N636" s="1031">
        <v>0</v>
      </c>
      <c r="O636" s="831"/>
      <c r="P636" s="831"/>
      <c r="Q636" s="1244"/>
      <c r="R636" s="1244"/>
      <c r="S636" s="1244"/>
      <c r="T636" s="1244"/>
      <c r="U636" s="1244"/>
      <c r="V636" s="1244"/>
      <c r="W636" s="1244"/>
      <c r="X636" s="1244"/>
      <c r="Y636" s="1244"/>
      <c r="Z636" s="1244"/>
    </row>
    <row r="637" spans="1:26" ht="18.75">
      <c r="A637" s="1241"/>
      <c r="B637" s="1242"/>
      <c r="C637" s="1243"/>
      <c r="D637" s="1243"/>
      <c r="E637" s="1243"/>
      <c r="F637" s="1243" t="s">
        <v>188</v>
      </c>
      <c r="G637" s="963"/>
      <c r="H637" s="778" t="s">
        <v>12</v>
      </c>
      <c r="I637" s="830"/>
      <c r="J637" s="830"/>
      <c r="K637" s="831"/>
      <c r="L637" s="831"/>
      <c r="M637" s="831"/>
      <c r="N637" s="1031">
        <v>52000</v>
      </c>
      <c r="O637" s="831"/>
      <c r="P637" s="831"/>
      <c r="Q637" s="1244"/>
      <c r="R637" s="1244"/>
      <c r="S637" s="1244"/>
      <c r="T637" s="1244"/>
      <c r="U637" s="1244"/>
      <c r="V637" s="1244"/>
      <c r="W637" s="1244"/>
      <c r="X637" s="1244"/>
      <c r="Y637" s="1244"/>
      <c r="Z637" s="1244"/>
    </row>
    <row r="638" spans="1:26" ht="18.75">
      <c r="A638" s="1241"/>
      <c r="B638" s="1242"/>
      <c r="C638" s="1243"/>
      <c r="D638" s="1243"/>
      <c r="E638" s="1243"/>
      <c r="F638" s="1243" t="s">
        <v>189</v>
      </c>
      <c r="G638" s="963"/>
      <c r="H638" s="778" t="s">
        <v>12</v>
      </c>
      <c r="I638" s="830"/>
      <c r="J638" s="830"/>
      <c r="K638" s="831"/>
      <c r="L638" s="831"/>
      <c r="M638" s="831"/>
      <c r="N638" s="1031">
        <v>71720</v>
      </c>
      <c r="O638" s="831"/>
      <c r="P638" s="831"/>
      <c r="Q638" s="1244"/>
      <c r="R638" s="1244"/>
      <c r="S638" s="1244"/>
      <c r="T638" s="1244"/>
      <c r="U638" s="1244"/>
      <c r="V638" s="1244"/>
      <c r="W638" s="1244"/>
      <c r="X638" s="1244"/>
      <c r="Y638" s="1244"/>
      <c r="Z638" s="1244"/>
    </row>
    <row r="639" spans="1:26" ht="18.75">
      <c r="A639" s="1259"/>
      <c r="B639" s="1242"/>
      <c r="C639" s="1243"/>
      <c r="D639" s="1266" t="s">
        <v>21</v>
      </c>
      <c r="E639" s="1243"/>
      <c r="F639" s="1243"/>
      <c r="G639" s="963"/>
      <c r="H639" s="168" t="s">
        <v>12</v>
      </c>
      <c r="I639" s="944"/>
      <c r="J639" s="944"/>
      <c r="K639" s="945"/>
      <c r="L639" s="831">
        <f t="shared" ref="L639:N639" ca="1" si="268">L640+L641</f>
        <v>0</v>
      </c>
      <c r="M639" s="831">
        <f t="shared" si="268"/>
        <v>0</v>
      </c>
      <c r="N639" s="831">
        <f t="shared" si="268"/>
        <v>0</v>
      </c>
      <c r="O639" s="831">
        <f t="shared" ref="O639:O641" ca="1" si="269">IF(L639&gt;0,N639*100/L639,0)</f>
        <v>0</v>
      </c>
      <c r="P639" s="831">
        <f t="shared" ref="P639:P641" si="270">IF(M639&gt;0,N639*100/M639,0)</f>
        <v>0</v>
      </c>
      <c r="Q639" s="1244"/>
      <c r="R639" s="1244"/>
      <c r="S639" s="1244"/>
      <c r="T639" s="1244"/>
      <c r="U639" s="1244"/>
      <c r="V639" s="1244"/>
      <c r="W639" s="1244"/>
      <c r="X639" s="1244"/>
      <c r="Y639" s="1244"/>
      <c r="Z639" s="1244"/>
    </row>
    <row r="640" spans="1:26" ht="18.75" hidden="1">
      <c r="A640" s="1260"/>
      <c r="B640" s="1265"/>
      <c r="C640" s="1261"/>
      <c r="D640" s="1261"/>
      <c r="E640" s="1261" t="s">
        <v>18</v>
      </c>
      <c r="F640" s="1261"/>
      <c r="G640" s="1263"/>
      <c r="H640" s="165" t="s">
        <v>12</v>
      </c>
      <c r="I640" s="947"/>
      <c r="J640" s="947"/>
      <c r="K640" s="948"/>
      <c r="L640" s="837">
        <v>0</v>
      </c>
      <c r="M640" s="837">
        <v>0</v>
      </c>
      <c r="N640" s="837">
        <v>0</v>
      </c>
      <c r="O640" s="837">
        <f t="shared" si="269"/>
        <v>0</v>
      </c>
      <c r="P640" s="837">
        <f t="shared" si="270"/>
        <v>0</v>
      </c>
      <c r="Q640" s="1264"/>
      <c r="R640" s="1264"/>
      <c r="S640" s="1264"/>
      <c r="T640" s="1264"/>
      <c r="U640" s="1264"/>
      <c r="V640" s="1264"/>
      <c r="W640" s="1264"/>
      <c r="X640" s="1264"/>
      <c r="Y640" s="1264"/>
      <c r="Z640" s="1264"/>
    </row>
    <row r="641" spans="1:26" ht="18.75" hidden="1">
      <c r="A641" s="1260"/>
      <c r="B641" s="1265"/>
      <c r="C641" s="1261"/>
      <c r="D641" s="1261"/>
      <c r="E641" s="1261" t="s">
        <v>19</v>
      </c>
      <c r="F641" s="1261"/>
      <c r="G641" s="1263"/>
      <c r="H641" s="169" t="s">
        <v>12</v>
      </c>
      <c r="I641" s="947"/>
      <c r="J641" s="947"/>
      <c r="K641" s="948"/>
      <c r="L641" s="837">
        <f ca="1">IFERROR(__xludf.DUMMYFUNCTION("IMPORTRANGE(""https://docs.google.com/spreadsheets/d/1QqKyyYR6Q21VydFLVH3TRQUabQu_ym0Zz7PgGX0-kHA/edit?usp=sharing"",""แผน!HQ20"")"),0)</f>
        <v>0</v>
      </c>
      <c r="M641" s="837">
        <v>0</v>
      </c>
      <c r="N641" s="837">
        <v>0</v>
      </c>
      <c r="O641" s="837">
        <f t="shared" ca="1" si="269"/>
        <v>0</v>
      </c>
      <c r="P641" s="837">
        <f t="shared" si="270"/>
        <v>0</v>
      </c>
      <c r="Q641" s="1264"/>
      <c r="R641" s="1264"/>
      <c r="S641" s="1264"/>
      <c r="T641" s="1264"/>
      <c r="U641" s="1264"/>
      <c r="V641" s="1264"/>
      <c r="W641" s="1264"/>
      <c r="X641" s="1264"/>
      <c r="Y641" s="1264"/>
      <c r="Z641" s="1264"/>
    </row>
    <row r="642" spans="1:26" ht="19.5">
      <c r="A642" s="1267"/>
      <c r="B642" s="1268"/>
      <c r="C642" s="1243" t="s">
        <v>16</v>
      </c>
      <c r="D642" s="1320" t="s">
        <v>38</v>
      </c>
      <c r="E642" s="1271"/>
      <c r="F642" s="1271"/>
      <c r="G642" s="1272"/>
      <c r="H642" s="954"/>
      <c r="I642" s="944"/>
      <c r="J642" s="944"/>
      <c r="K642" s="945"/>
      <c r="L642" s="945"/>
      <c r="M642" s="945"/>
      <c r="N642" s="945"/>
      <c r="O642" s="945"/>
      <c r="P642" s="945"/>
      <c r="Q642" s="1244"/>
      <c r="R642" s="1244"/>
      <c r="S642" s="1244"/>
      <c r="T642" s="1244"/>
      <c r="U642" s="1244"/>
      <c r="V642" s="1244"/>
      <c r="W642" s="1244"/>
      <c r="X642" s="1244"/>
      <c r="Y642" s="1244"/>
      <c r="Z642" s="1244"/>
    </row>
    <row r="643" spans="1:26" ht="18.75">
      <c r="A643" s="1368"/>
      <c r="B643" s="1242"/>
      <c r="C643" s="1243"/>
      <c r="D643" s="961"/>
      <c r="E643" s="1017" t="s">
        <v>271</v>
      </c>
      <c r="F643" s="961"/>
      <c r="G643" s="954"/>
      <c r="H643" s="730" t="s">
        <v>272</v>
      </c>
      <c r="I643" s="830">
        <f ca="1">IFERROR(__xludf.DUMMYFUNCTION("IMPORTRANGE(""https://docs.google.com/spreadsheets/d/1QqKyyYR6Q21VydFLVH3TRQUabQu_ym0Zz7PgGX0-kHA/edit?usp=sharing"",""แผน!HR20"")"),0)</f>
        <v>0</v>
      </c>
      <c r="J643" s="959">
        <v>0</v>
      </c>
      <c r="K643" s="945">
        <f t="shared" ref="K643:K652" ca="1" si="271">IF(I643&gt;0,J643*100/I643,0)</f>
        <v>0</v>
      </c>
      <c r="L643" s="945"/>
      <c r="M643" s="945"/>
      <c r="N643" s="831"/>
      <c r="O643" s="945"/>
      <c r="P643" s="945"/>
      <c r="Q643" s="1244"/>
      <c r="R643" s="1244"/>
      <c r="S643" s="1244"/>
      <c r="T643" s="1244"/>
      <c r="U643" s="1244"/>
      <c r="V643" s="1244"/>
      <c r="W643" s="1244"/>
      <c r="X643" s="1244"/>
      <c r="Y643" s="1244"/>
      <c r="Z643" s="1244"/>
    </row>
    <row r="644" spans="1:26" ht="18.75">
      <c r="A644" s="1368"/>
      <c r="B644" s="1242"/>
      <c r="C644" s="1243"/>
      <c r="D644" s="961"/>
      <c r="E644" s="1017" t="s">
        <v>273</v>
      </c>
      <c r="F644" s="961"/>
      <c r="G644" s="954"/>
      <c r="H644" s="730" t="s">
        <v>274</v>
      </c>
      <c r="I644" s="830">
        <f ca="1">IFERROR(__xludf.DUMMYFUNCTION("IMPORTRANGE(""https://docs.google.com/spreadsheets/d/1QqKyyYR6Q21VydFLVH3TRQUabQu_ym0Zz7PgGX0-kHA/edit?usp=sharing"",""แผน!HR20"")"),0)</f>
        <v>0</v>
      </c>
      <c r="J644" s="959">
        <v>0</v>
      </c>
      <c r="K644" s="945">
        <f t="shared" ca="1" si="271"/>
        <v>0</v>
      </c>
      <c r="L644" s="945"/>
      <c r="M644" s="945"/>
      <c r="N644" s="831"/>
      <c r="O644" s="945"/>
      <c r="P644" s="945"/>
      <c r="Q644" s="1244"/>
      <c r="R644" s="1244"/>
      <c r="S644" s="1244"/>
      <c r="T644" s="1244"/>
      <c r="U644" s="1244"/>
      <c r="V644" s="1244"/>
      <c r="W644" s="1244"/>
      <c r="X644" s="1244"/>
      <c r="Y644" s="1244"/>
      <c r="Z644" s="1244"/>
    </row>
    <row r="645" spans="1:26" ht="18.75">
      <c r="A645" s="1368"/>
      <c r="B645" s="1242"/>
      <c r="C645" s="1243"/>
      <c r="D645" s="961"/>
      <c r="E645" s="1017" t="s">
        <v>275</v>
      </c>
      <c r="F645" s="961"/>
      <c r="G645" s="954"/>
      <c r="H645" s="730" t="s">
        <v>34</v>
      </c>
      <c r="I645" s="830">
        <v>0</v>
      </c>
      <c r="J645" s="830">
        <f ca="1">IFERROR(__xludf.DUMMYFUNCTION("IMPORTRANGE(""https://docs.google.com/spreadsheets/d/1XWAQStnk-4SwqDmLtmXYiTMKHgktTP8We1SCoS47DrQ/edit?usp=sharing"",""จัดที่ดิน!AS20"")"),117)</f>
        <v>117</v>
      </c>
      <c r="K645" s="945">
        <f t="shared" si="271"/>
        <v>0</v>
      </c>
      <c r="L645" s="945"/>
      <c r="M645" s="945"/>
      <c r="N645" s="831"/>
      <c r="O645" s="945"/>
      <c r="P645" s="945"/>
      <c r="Q645" s="1244"/>
      <c r="R645" s="1244"/>
      <c r="S645" s="1244"/>
      <c r="T645" s="1244"/>
      <c r="U645" s="1244"/>
      <c r="V645" s="1244"/>
      <c r="W645" s="1244"/>
      <c r="X645" s="1244"/>
      <c r="Y645" s="1244"/>
      <c r="Z645" s="1244"/>
    </row>
    <row r="646" spans="1:26" ht="18.75">
      <c r="A646" s="1368"/>
      <c r="B646" s="1242"/>
      <c r="C646" s="1243"/>
      <c r="D646" s="961"/>
      <c r="E646" s="961"/>
      <c r="F646" s="961"/>
      <c r="G646" s="954"/>
      <c r="H646" s="730" t="s">
        <v>46</v>
      </c>
      <c r="I646" s="830">
        <v>0</v>
      </c>
      <c r="J646" s="830">
        <f ca="1">IFERROR(__xludf.DUMMYFUNCTION("IMPORTRANGE(""https://docs.google.com/spreadsheets/d/1XWAQStnk-4SwqDmLtmXYiTMKHgktTP8We1SCoS47DrQ/edit?usp=sharing"",""จัดที่ดิน!AT20"")"),60)</f>
        <v>60</v>
      </c>
      <c r="K646" s="831">
        <f t="shared" si="271"/>
        <v>0</v>
      </c>
      <c r="L646" s="945"/>
      <c r="M646" s="945"/>
      <c r="N646" s="831"/>
      <c r="O646" s="945"/>
      <c r="P646" s="945"/>
      <c r="Q646" s="1244"/>
      <c r="R646" s="1244"/>
      <c r="S646" s="1244"/>
      <c r="T646" s="1244"/>
      <c r="U646" s="1244"/>
      <c r="V646" s="1244"/>
      <c r="W646" s="1244"/>
      <c r="X646" s="1244"/>
      <c r="Y646" s="1244"/>
      <c r="Z646" s="1244"/>
    </row>
    <row r="647" spans="1:26" ht="18.75">
      <c r="A647" s="1368"/>
      <c r="B647" s="1242"/>
      <c r="C647" s="1243"/>
      <c r="D647" s="961"/>
      <c r="E647" s="1017" t="s">
        <v>162</v>
      </c>
      <c r="F647" s="961"/>
      <c r="G647" s="954"/>
      <c r="H647" s="730" t="s">
        <v>35</v>
      </c>
      <c r="I647" s="830">
        <f ca="1">IFERROR(__xludf.DUMMYFUNCTION("IMPORTRANGE(""https://docs.google.com/spreadsheets/d/1QqKyyYR6Q21VydFLVH3TRQUabQu_ym0Zz7PgGX0-kHA/edit?usp=sharing"",""แผน!HS20"")"),60)</f>
        <v>60</v>
      </c>
      <c r="J647" s="830">
        <f ca="1">IFERROR(__xludf.DUMMYFUNCTION("IMPORTRANGE(""https://docs.google.com/spreadsheets/d/1XWAQStnk-4SwqDmLtmXYiTMKHgktTP8We1SCoS47DrQ/edit?usp=sharing"",""จัดที่ดิน!AU20"")"),100)</f>
        <v>100</v>
      </c>
      <c r="K647" s="945">
        <f t="shared" ca="1" si="271"/>
        <v>166.66666666666666</v>
      </c>
      <c r="L647" s="945"/>
      <c r="M647" s="945"/>
      <c r="N647" s="945"/>
      <c r="O647" s="945"/>
      <c r="P647" s="945"/>
      <c r="Q647" s="1244"/>
      <c r="R647" s="1244"/>
      <c r="S647" s="1244"/>
      <c r="T647" s="1244"/>
      <c r="U647" s="1244"/>
      <c r="V647" s="1244"/>
      <c r="W647" s="1244"/>
      <c r="X647" s="1244"/>
      <c r="Y647" s="1244"/>
      <c r="Z647" s="1244"/>
    </row>
    <row r="648" spans="1:26" ht="18.75">
      <c r="A648" s="1368"/>
      <c r="B648" s="1242"/>
      <c r="C648" s="1243"/>
      <c r="D648" s="961"/>
      <c r="E648" s="961"/>
      <c r="F648" s="961"/>
      <c r="G648" s="954"/>
      <c r="H648" s="730" t="s">
        <v>46</v>
      </c>
      <c r="I648" s="830">
        <v>0</v>
      </c>
      <c r="J648" s="830">
        <f ca="1">IFERROR(__xludf.DUMMYFUNCTION("IMPORTRANGE(""https://docs.google.com/spreadsheets/d/1XWAQStnk-4SwqDmLtmXYiTMKHgktTP8We1SCoS47DrQ/edit?usp=sharing"",""จัดที่ดิน!AV20"")"),54.58)</f>
        <v>54.58</v>
      </c>
      <c r="K648" s="831">
        <f t="shared" si="271"/>
        <v>0</v>
      </c>
      <c r="L648" s="945"/>
      <c r="M648" s="945"/>
      <c r="N648" s="945"/>
      <c r="O648" s="945"/>
      <c r="P648" s="945"/>
      <c r="Q648" s="1244"/>
      <c r="R648" s="1244"/>
      <c r="S648" s="1244"/>
      <c r="T648" s="1244"/>
      <c r="U648" s="1244"/>
      <c r="V648" s="1244"/>
      <c r="W648" s="1244"/>
      <c r="X648" s="1244"/>
      <c r="Y648" s="1244"/>
      <c r="Z648" s="1244"/>
    </row>
    <row r="649" spans="1:26" ht="18.75">
      <c r="A649" s="1368"/>
      <c r="B649" s="1242"/>
      <c r="C649" s="1243"/>
      <c r="D649" s="961"/>
      <c r="E649" s="1017" t="s">
        <v>276</v>
      </c>
      <c r="F649" s="961"/>
      <c r="G649" s="954"/>
      <c r="H649" s="730" t="s">
        <v>35</v>
      </c>
      <c r="I649" s="830">
        <f ca="1">IFERROR(__xludf.DUMMYFUNCTION("IMPORTRANGE(""https://docs.google.com/spreadsheets/d/1QqKyyYR6Q21VydFLVH3TRQUabQu_ym0Zz7PgGX0-kHA/edit?usp=sharing"",""แผน!HS20"")"),60)</f>
        <v>60</v>
      </c>
      <c r="J649" s="830">
        <f ca="1">IFERROR(__xludf.DUMMYFUNCTION("IMPORTRANGE(""https://docs.google.com/spreadsheets/d/1XWAQStnk-4SwqDmLtmXYiTMKHgktTP8We1SCoS47DrQ/edit?usp=sharing"",""จัดที่ดิน!AW20"")"),3)</f>
        <v>3</v>
      </c>
      <c r="K649" s="945">
        <f t="shared" ca="1" si="271"/>
        <v>5</v>
      </c>
      <c r="L649" s="945"/>
      <c r="M649" s="945"/>
      <c r="N649" s="945"/>
      <c r="O649" s="945"/>
      <c r="P649" s="945"/>
      <c r="Q649" s="1244"/>
      <c r="R649" s="1244"/>
      <c r="S649" s="1244"/>
      <c r="T649" s="1244"/>
      <c r="U649" s="1244"/>
      <c r="V649" s="1244"/>
      <c r="W649" s="1244"/>
      <c r="X649" s="1244"/>
      <c r="Y649" s="1244"/>
      <c r="Z649" s="1244"/>
    </row>
    <row r="650" spans="1:26" ht="18.75">
      <c r="A650" s="1368"/>
      <c r="B650" s="1242"/>
      <c r="C650" s="1243"/>
      <c r="D650" s="961"/>
      <c r="E650" s="961"/>
      <c r="F650" s="961"/>
      <c r="G650" s="954"/>
      <c r="H650" s="730" t="s">
        <v>46</v>
      </c>
      <c r="I650" s="830">
        <v>0</v>
      </c>
      <c r="J650" s="830">
        <f ca="1">IFERROR(__xludf.DUMMYFUNCTION("IMPORTRANGE(""https://docs.google.com/spreadsheets/d/1XWAQStnk-4SwqDmLtmXYiTMKHgktTP8We1SCoS47DrQ/edit?usp=sharing"",""จัดที่ดิน!AX20"")"),5.74)</f>
        <v>5.74</v>
      </c>
      <c r="K650" s="831">
        <f t="shared" si="271"/>
        <v>0</v>
      </c>
      <c r="L650" s="945"/>
      <c r="M650" s="945"/>
      <c r="N650" s="945"/>
      <c r="O650" s="945"/>
      <c r="P650" s="945"/>
      <c r="Q650" s="1244"/>
      <c r="R650" s="1244"/>
      <c r="S650" s="1244"/>
      <c r="T650" s="1244"/>
      <c r="U650" s="1244"/>
      <c r="V650" s="1244"/>
      <c r="W650" s="1244"/>
      <c r="X650" s="1244"/>
      <c r="Y650" s="1244"/>
      <c r="Z650" s="1244"/>
    </row>
    <row r="651" spans="1:26" ht="18.75">
      <c r="A651" s="1368"/>
      <c r="B651" s="1242"/>
      <c r="C651" s="1243"/>
      <c r="D651" s="961"/>
      <c r="E651" s="1017" t="s">
        <v>277</v>
      </c>
      <c r="F651" s="961"/>
      <c r="G651" s="954"/>
      <c r="H651" s="730" t="s">
        <v>35</v>
      </c>
      <c r="I651" s="830">
        <f ca="1">IFERROR(__xludf.DUMMYFUNCTION("IMPORTRANGE(""https://docs.google.com/spreadsheets/d/1QqKyyYR6Q21VydFLVH3TRQUabQu_ym0Zz7PgGX0-kHA/edit?usp=sharing"",""แผน!HS20"")"),60)</f>
        <v>60</v>
      </c>
      <c r="J651" s="830">
        <f ca="1">IFERROR(__xludf.DUMMYFUNCTION("IMPORTRANGE(""https://docs.google.com/spreadsheets/d/1XWAQStnk-4SwqDmLtmXYiTMKHgktTP8We1SCoS47DrQ/edit?usp=sharing"",""จัดที่ดิน!AY20"")"),0)</f>
        <v>0</v>
      </c>
      <c r="K651" s="945">
        <f t="shared" ca="1" si="271"/>
        <v>0</v>
      </c>
      <c r="L651" s="945"/>
      <c r="M651" s="945"/>
      <c r="N651" s="945"/>
      <c r="O651" s="945"/>
      <c r="P651" s="945"/>
      <c r="Q651" s="1244"/>
      <c r="R651" s="1244"/>
      <c r="S651" s="1244"/>
      <c r="T651" s="1244"/>
      <c r="U651" s="1244"/>
      <c r="V651" s="1244"/>
      <c r="W651" s="1244"/>
      <c r="X651" s="1244"/>
      <c r="Y651" s="1244"/>
      <c r="Z651" s="1244"/>
    </row>
    <row r="652" spans="1:26" ht="18.75">
      <c r="A652" s="1369"/>
      <c r="B652" s="1370"/>
      <c r="C652" s="1371"/>
      <c r="D652" s="1116"/>
      <c r="E652" s="1116"/>
      <c r="F652" s="1116"/>
      <c r="G652" s="1361"/>
      <c r="H652" s="468" t="s">
        <v>46</v>
      </c>
      <c r="I652" s="1085">
        <v>0</v>
      </c>
      <c r="J652" s="1085">
        <f ca="1">IFERROR(__xludf.DUMMYFUNCTION("IMPORTRANGE(""https://docs.google.com/spreadsheets/d/1XWAQStnk-4SwqDmLtmXYiTMKHgktTP8We1SCoS47DrQ/edit?usp=sharing"",""จัดที่ดิน!AZ20"")"),0)</f>
        <v>0</v>
      </c>
      <c r="K652" s="1182">
        <f t="shared" si="271"/>
        <v>0</v>
      </c>
      <c r="L652" s="1086"/>
      <c r="M652" s="1086"/>
      <c r="N652" s="1086"/>
      <c r="O652" s="1086"/>
      <c r="P652" s="1086"/>
      <c r="Q652" s="1244"/>
      <c r="R652" s="1244"/>
      <c r="S652" s="1244"/>
      <c r="T652" s="1244"/>
      <c r="U652" s="1244"/>
      <c r="V652" s="1244"/>
      <c r="W652" s="1244"/>
      <c r="X652" s="1244"/>
      <c r="Y652" s="1244"/>
      <c r="Z652" s="1244"/>
    </row>
    <row r="653" spans="1:26" ht="19.5">
      <c r="A653" s="716">
        <v>8</v>
      </c>
      <c r="B653" s="1362" t="s">
        <v>278</v>
      </c>
      <c r="C653" s="1363"/>
      <c r="D653" s="1363"/>
      <c r="E653" s="1363"/>
      <c r="F653" s="1363"/>
      <c r="G653" s="1364"/>
      <c r="H653" s="1364"/>
      <c r="I653" s="1372"/>
      <c r="J653" s="1372"/>
      <c r="K653" s="1367"/>
      <c r="L653" s="1367"/>
      <c r="M653" s="1367"/>
      <c r="N653" s="1367"/>
      <c r="O653" s="1367"/>
      <c r="P653" s="1367"/>
      <c r="Q653" s="1244"/>
      <c r="R653" s="1244"/>
      <c r="S653" s="1244"/>
      <c r="T653" s="1244"/>
      <c r="U653" s="1244"/>
      <c r="V653" s="1244"/>
      <c r="W653" s="1244"/>
      <c r="X653" s="1244"/>
      <c r="Y653" s="1244"/>
      <c r="Z653" s="1244"/>
    </row>
    <row r="654" spans="1:26" ht="19.5">
      <c r="A654" s="1315"/>
      <c r="B654" s="1314" t="s">
        <v>279</v>
      </c>
      <c r="C654" s="1315"/>
      <c r="D654" s="1315"/>
      <c r="E654" s="1315"/>
      <c r="F654" s="1315"/>
      <c r="G654" s="1316"/>
      <c r="H654" s="673" t="s">
        <v>46</v>
      </c>
      <c r="I654" s="1317">
        <f t="shared" ref="I654:J654" ca="1" si="272">I669</f>
        <v>50</v>
      </c>
      <c r="J654" s="1317">
        <f t="shared" si="272"/>
        <v>0</v>
      </c>
      <c r="K654" s="1318">
        <f ca="1">IF(I654&gt;0,J654*100/I654,0)</f>
        <v>0</v>
      </c>
      <c r="L654" s="1319"/>
      <c r="M654" s="1319"/>
      <c r="N654" s="1319"/>
      <c r="O654" s="1319"/>
      <c r="P654" s="1319"/>
      <c r="Q654" s="1244"/>
      <c r="R654" s="1244"/>
      <c r="S654" s="1244"/>
      <c r="T654" s="1244"/>
      <c r="U654" s="1244"/>
      <c r="V654" s="1244"/>
      <c r="W654" s="1244"/>
      <c r="X654" s="1244"/>
      <c r="Y654" s="1244"/>
      <c r="Z654" s="1244"/>
    </row>
    <row r="655" spans="1:26" ht="19.5">
      <c r="A655" s="1259"/>
      <c r="B655" s="1243"/>
      <c r="C655" s="1243" t="s">
        <v>16</v>
      </c>
      <c r="D655" s="1507" t="s">
        <v>17</v>
      </c>
      <c r="E655" s="1485"/>
      <c r="F655" s="1485"/>
      <c r="G655" s="963"/>
      <c r="H655" s="563" t="s">
        <v>12</v>
      </c>
      <c r="I655" s="830"/>
      <c r="J655" s="830"/>
      <c r="K655" s="831"/>
      <c r="L655" s="967">
        <f t="shared" ref="L655:N655" ca="1" si="273">L656+L657</f>
        <v>9400</v>
      </c>
      <c r="M655" s="967">
        <f t="shared" si="273"/>
        <v>0</v>
      </c>
      <c r="N655" s="967">
        <f t="shared" si="273"/>
        <v>1000</v>
      </c>
      <c r="O655" s="967">
        <f t="shared" ref="O655:O660" ca="1" si="274">IF(L655&gt;0,N655*100/L655,0)</f>
        <v>10.638297872340425</v>
      </c>
      <c r="P655" s="967">
        <f t="shared" ref="P655:P660" si="275">IF(M655&gt;0,N655*100/M655,0)</f>
        <v>0</v>
      </c>
      <c r="Q655" s="1244"/>
      <c r="R655" s="1244"/>
      <c r="S655" s="1244"/>
      <c r="T655" s="1244"/>
      <c r="U655" s="1244"/>
      <c r="V655" s="1244"/>
      <c r="W655" s="1244"/>
      <c r="X655" s="1244"/>
      <c r="Y655" s="1244"/>
      <c r="Z655" s="1244"/>
    </row>
    <row r="656" spans="1:26" ht="18.75" hidden="1">
      <c r="A656" s="1260"/>
      <c r="B656" s="1261"/>
      <c r="C656" s="1261"/>
      <c r="D656" s="1262"/>
      <c r="E656" s="1261" t="s">
        <v>184</v>
      </c>
      <c r="F656" s="1261"/>
      <c r="G656" s="1263"/>
      <c r="H656" s="165" t="s">
        <v>12</v>
      </c>
      <c r="I656" s="836"/>
      <c r="J656" s="836"/>
      <c r="K656" s="837"/>
      <c r="L656" s="837">
        <f t="shared" ref="L656:N657" si="276">L659+L666</f>
        <v>0</v>
      </c>
      <c r="M656" s="837">
        <f t="shared" si="276"/>
        <v>0</v>
      </c>
      <c r="N656" s="837">
        <f t="shared" si="276"/>
        <v>0</v>
      </c>
      <c r="O656" s="837">
        <f t="shared" si="274"/>
        <v>0</v>
      </c>
      <c r="P656" s="837">
        <f t="shared" si="275"/>
        <v>0</v>
      </c>
      <c r="Q656" s="1264"/>
      <c r="R656" s="1264"/>
      <c r="S656" s="1264"/>
      <c r="T656" s="1264"/>
      <c r="U656" s="1264"/>
      <c r="V656" s="1264"/>
      <c r="W656" s="1264"/>
      <c r="X656" s="1264"/>
      <c r="Y656" s="1264"/>
      <c r="Z656" s="1264"/>
    </row>
    <row r="657" spans="1:26" ht="18.75" hidden="1">
      <c r="A657" s="1260"/>
      <c r="B657" s="1265"/>
      <c r="C657" s="1261"/>
      <c r="D657" s="1262"/>
      <c r="E657" s="1261" t="s">
        <v>185</v>
      </c>
      <c r="F657" s="1261"/>
      <c r="G657" s="1263"/>
      <c r="H657" s="165" t="s">
        <v>12</v>
      </c>
      <c r="I657" s="836"/>
      <c r="J657" s="836"/>
      <c r="K657" s="837"/>
      <c r="L657" s="837">
        <f t="shared" ca="1" si="276"/>
        <v>9400</v>
      </c>
      <c r="M657" s="837">
        <f t="shared" si="276"/>
        <v>0</v>
      </c>
      <c r="N657" s="837">
        <f t="shared" si="276"/>
        <v>1000</v>
      </c>
      <c r="O657" s="837">
        <f t="shared" ca="1" si="274"/>
        <v>10.638297872340425</v>
      </c>
      <c r="P657" s="837">
        <f t="shared" si="275"/>
        <v>0</v>
      </c>
      <c r="Q657" s="1264"/>
      <c r="R657" s="1264"/>
      <c r="S657" s="1264"/>
      <c r="T657" s="1264"/>
      <c r="U657" s="1264"/>
      <c r="V657" s="1264"/>
      <c r="W657" s="1264"/>
      <c r="X657" s="1264"/>
      <c r="Y657" s="1264"/>
      <c r="Z657" s="1264"/>
    </row>
    <row r="658" spans="1:26" ht="18.75">
      <c r="A658" s="1259"/>
      <c r="B658" s="1242"/>
      <c r="C658" s="1243"/>
      <c r="D658" s="1266" t="s">
        <v>20</v>
      </c>
      <c r="E658" s="1243"/>
      <c r="F658" s="1243"/>
      <c r="G658" s="963"/>
      <c r="H658" s="778" t="s">
        <v>12</v>
      </c>
      <c r="I658" s="944"/>
      <c r="J658" s="944"/>
      <c r="K658" s="945"/>
      <c r="L658" s="831">
        <f t="shared" ref="L658:N658" ca="1" si="277">L659+L660</f>
        <v>9400</v>
      </c>
      <c r="M658" s="831">
        <f t="shared" si="277"/>
        <v>0</v>
      </c>
      <c r="N658" s="831">
        <f t="shared" si="277"/>
        <v>1000</v>
      </c>
      <c r="O658" s="831">
        <f t="shared" ca="1" si="274"/>
        <v>10.638297872340425</v>
      </c>
      <c r="P658" s="831">
        <f t="shared" si="275"/>
        <v>0</v>
      </c>
      <c r="Q658" s="1244"/>
      <c r="R658" s="1244"/>
      <c r="S658" s="1244"/>
      <c r="T658" s="1244"/>
      <c r="U658" s="1244"/>
      <c r="V658" s="1244"/>
      <c r="W658" s="1244"/>
      <c r="X658" s="1244"/>
      <c r="Y658" s="1244"/>
      <c r="Z658" s="1244"/>
    </row>
    <row r="659" spans="1:26" ht="18.75" hidden="1">
      <c r="A659" s="1260"/>
      <c r="B659" s="1265"/>
      <c r="C659" s="1261"/>
      <c r="D659" s="1262"/>
      <c r="E659" s="1261" t="s">
        <v>184</v>
      </c>
      <c r="F659" s="1261"/>
      <c r="G659" s="1263"/>
      <c r="H659" s="165" t="s">
        <v>12</v>
      </c>
      <c r="I659" s="836"/>
      <c r="J659" s="836"/>
      <c r="K659" s="837"/>
      <c r="L659" s="837">
        <v>0</v>
      </c>
      <c r="M659" s="837">
        <v>0</v>
      </c>
      <c r="N659" s="837">
        <v>0</v>
      </c>
      <c r="O659" s="837">
        <f t="shared" si="274"/>
        <v>0</v>
      </c>
      <c r="P659" s="837">
        <f t="shared" si="275"/>
        <v>0</v>
      </c>
      <c r="Q659" s="1264"/>
      <c r="R659" s="1264"/>
      <c r="S659" s="1264"/>
      <c r="T659" s="1264"/>
      <c r="U659" s="1264"/>
      <c r="V659" s="1264"/>
      <c r="W659" s="1264"/>
      <c r="X659" s="1264"/>
      <c r="Y659" s="1264"/>
      <c r="Z659" s="1264"/>
    </row>
    <row r="660" spans="1:26" ht="18.75" hidden="1">
      <c r="A660" s="1260"/>
      <c r="B660" s="1265"/>
      <c r="C660" s="1261"/>
      <c r="D660" s="1262"/>
      <c r="E660" s="1261" t="s">
        <v>185</v>
      </c>
      <c r="F660" s="1261"/>
      <c r="G660" s="1263"/>
      <c r="H660" s="165" t="s">
        <v>12</v>
      </c>
      <c r="I660" s="836"/>
      <c r="J660" s="836"/>
      <c r="K660" s="837"/>
      <c r="L660" s="837">
        <f ca="1">IFERROR(__xludf.DUMMYFUNCTION("IMPORTRANGE(""https://docs.google.com/spreadsheets/d/1QqKyyYR6Q21VydFLVH3TRQUabQu_ym0Zz7PgGX0-kHA/edit?usp=sharing"",""แผน!HV20"")"),9400)</f>
        <v>9400</v>
      </c>
      <c r="M660" s="837">
        <v>0</v>
      </c>
      <c r="N660" s="837">
        <f>N661+N662+N663+N664</f>
        <v>1000</v>
      </c>
      <c r="O660" s="837">
        <f t="shared" ca="1" si="274"/>
        <v>10.638297872340425</v>
      </c>
      <c r="P660" s="837">
        <f t="shared" si="275"/>
        <v>0</v>
      </c>
      <c r="Q660" s="1264"/>
      <c r="R660" s="1264"/>
      <c r="S660" s="1264"/>
      <c r="T660" s="1264"/>
      <c r="U660" s="1264"/>
      <c r="V660" s="1264"/>
      <c r="W660" s="1264"/>
      <c r="X660" s="1264"/>
      <c r="Y660" s="1264"/>
      <c r="Z660" s="1264"/>
    </row>
    <row r="661" spans="1:26" ht="18.75">
      <c r="A661" s="1241"/>
      <c r="B661" s="1242"/>
      <c r="C661" s="1243"/>
      <c r="D661" s="1243"/>
      <c r="E661" s="1243"/>
      <c r="F661" s="1243" t="s">
        <v>186</v>
      </c>
      <c r="G661" s="963"/>
      <c r="H661" s="778" t="s">
        <v>12</v>
      </c>
      <c r="I661" s="830"/>
      <c r="J661" s="830"/>
      <c r="K661" s="831"/>
      <c r="L661" s="831"/>
      <c r="M661" s="831"/>
      <c r="N661" s="1031">
        <v>0</v>
      </c>
      <c r="O661" s="831"/>
      <c r="P661" s="831"/>
      <c r="Q661" s="1244"/>
      <c r="R661" s="1244"/>
      <c r="S661" s="1244"/>
      <c r="T661" s="1244"/>
      <c r="U661" s="1244"/>
      <c r="V661" s="1244"/>
      <c r="W661" s="1244"/>
      <c r="X661" s="1244"/>
      <c r="Y661" s="1244"/>
      <c r="Z661" s="1244"/>
    </row>
    <row r="662" spans="1:26" ht="18.75">
      <c r="A662" s="1241"/>
      <c r="B662" s="1242"/>
      <c r="C662" s="1243"/>
      <c r="D662" s="1243"/>
      <c r="E662" s="1243"/>
      <c r="F662" s="1243" t="s">
        <v>187</v>
      </c>
      <c r="G662" s="963"/>
      <c r="H662" s="778" t="s">
        <v>12</v>
      </c>
      <c r="I662" s="830"/>
      <c r="J662" s="830"/>
      <c r="K662" s="831"/>
      <c r="L662" s="831"/>
      <c r="M662" s="831"/>
      <c r="N662" s="1031">
        <v>0</v>
      </c>
      <c r="O662" s="831"/>
      <c r="P662" s="831"/>
      <c r="Q662" s="1244"/>
      <c r="R662" s="1244"/>
      <c r="S662" s="1244"/>
      <c r="T662" s="1244"/>
      <c r="U662" s="1244"/>
      <c r="V662" s="1244"/>
      <c r="W662" s="1244"/>
      <c r="X662" s="1244"/>
      <c r="Y662" s="1244"/>
      <c r="Z662" s="1244"/>
    </row>
    <row r="663" spans="1:26" ht="18.75">
      <c r="A663" s="1241"/>
      <c r="B663" s="1242"/>
      <c r="C663" s="1242"/>
      <c r="D663" s="1243"/>
      <c r="E663" s="1243"/>
      <c r="F663" s="1243" t="s">
        <v>188</v>
      </c>
      <c r="G663" s="963"/>
      <c r="H663" s="778" t="s">
        <v>12</v>
      </c>
      <c r="I663" s="830"/>
      <c r="J663" s="830"/>
      <c r="K663" s="831"/>
      <c r="L663" s="831"/>
      <c r="M663" s="831"/>
      <c r="N663" s="1031">
        <v>0</v>
      </c>
      <c r="O663" s="831"/>
      <c r="P663" s="831"/>
      <c r="Q663" s="1244"/>
      <c r="R663" s="1244"/>
      <c r="S663" s="1244"/>
      <c r="T663" s="1244"/>
      <c r="U663" s="1244"/>
      <c r="V663" s="1244"/>
      <c r="W663" s="1244"/>
      <c r="X663" s="1244"/>
      <c r="Y663" s="1244"/>
      <c r="Z663" s="1244"/>
    </row>
    <row r="664" spans="1:26" ht="18.75">
      <c r="A664" s="1241"/>
      <c r="B664" s="1242"/>
      <c r="C664" s="1242"/>
      <c r="D664" s="1242"/>
      <c r="E664" s="1243"/>
      <c r="F664" s="1243" t="s">
        <v>189</v>
      </c>
      <c r="G664" s="963"/>
      <c r="H664" s="778" t="s">
        <v>12</v>
      </c>
      <c r="I664" s="830"/>
      <c r="J664" s="830"/>
      <c r="K664" s="831"/>
      <c r="L664" s="831"/>
      <c r="M664" s="831"/>
      <c r="N664" s="1031">
        <v>1000</v>
      </c>
      <c r="O664" s="831"/>
      <c r="P664" s="831"/>
      <c r="Q664" s="1244"/>
      <c r="R664" s="1244"/>
      <c r="S664" s="1244"/>
      <c r="T664" s="1244"/>
      <c r="U664" s="1244"/>
      <c r="V664" s="1244"/>
      <c r="W664" s="1244"/>
      <c r="X664" s="1244"/>
      <c r="Y664" s="1244"/>
      <c r="Z664" s="1244"/>
    </row>
    <row r="665" spans="1:26" ht="18.75">
      <c r="A665" s="1259"/>
      <c r="B665" s="1242"/>
      <c r="C665" s="1242"/>
      <c r="D665" s="1266" t="s">
        <v>21</v>
      </c>
      <c r="E665" s="1243"/>
      <c r="F665" s="1243"/>
      <c r="G665" s="963"/>
      <c r="H665" s="168" t="s">
        <v>12</v>
      </c>
      <c r="I665" s="944"/>
      <c r="J665" s="944"/>
      <c r="K665" s="945"/>
      <c r="L665" s="831">
        <f t="shared" ref="L665:N665" si="278">L666+L667</f>
        <v>0</v>
      </c>
      <c r="M665" s="831">
        <f t="shared" si="278"/>
        <v>0</v>
      </c>
      <c r="N665" s="831">
        <f t="shared" si="278"/>
        <v>0</v>
      </c>
      <c r="O665" s="831">
        <f t="shared" ref="O665:O667" si="279">IF(L665&gt;0,N665*100/L665,0)</f>
        <v>0</v>
      </c>
      <c r="P665" s="831">
        <f t="shared" ref="P665:P667" si="280">IF(M665&gt;0,N665*100/M665,0)</f>
        <v>0</v>
      </c>
      <c r="Q665" s="1244"/>
      <c r="R665" s="1244"/>
      <c r="S665" s="1244"/>
      <c r="T665" s="1244"/>
      <c r="U665" s="1244"/>
      <c r="V665" s="1244"/>
      <c r="W665" s="1244"/>
      <c r="X665" s="1244"/>
      <c r="Y665" s="1244"/>
      <c r="Z665" s="1244"/>
    </row>
    <row r="666" spans="1:26" ht="18.75" hidden="1">
      <c r="A666" s="1260"/>
      <c r="B666" s="1265"/>
      <c r="C666" s="1265"/>
      <c r="D666" s="1265"/>
      <c r="E666" s="1261" t="s">
        <v>18</v>
      </c>
      <c r="F666" s="1261"/>
      <c r="G666" s="1263"/>
      <c r="H666" s="165" t="s">
        <v>12</v>
      </c>
      <c r="I666" s="947"/>
      <c r="J666" s="947"/>
      <c r="K666" s="948"/>
      <c r="L666" s="837">
        <v>0</v>
      </c>
      <c r="M666" s="837">
        <v>0</v>
      </c>
      <c r="N666" s="837">
        <v>0</v>
      </c>
      <c r="O666" s="837">
        <f t="shared" si="279"/>
        <v>0</v>
      </c>
      <c r="P666" s="837">
        <f t="shared" si="280"/>
        <v>0</v>
      </c>
      <c r="Q666" s="1264"/>
      <c r="R666" s="1264"/>
      <c r="S666" s="1264"/>
      <c r="T666" s="1264"/>
      <c r="U666" s="1264"/>
      <c r="V666" s="1264"/>
      <c r="W666" s="1264"/>
      <c r="X666" s="1264"/>
      <c r="Y666" s="1264"/>
      <c r="Z666" s="1264"/>
    </row>
    <row r="667" spans="1:26" ht="18.75" hidden="1">
      <c r="A667" s="1260"/>
      <c r="B667" s="1265"/>
      <c r="C667" s="1265"/>
      <c r="D667" s="1265"/>
      <c r="E667" s="1261" t="s">
        <v>19</v>
      </c>
      <c r="F667" s="1261"/>
      <c r="G667" s="1263"/>
      <c r="H667" s="169" t="s">
        <v>12</v>
      </c>
      <c r="I667" s="947"/>
      <c r="J667" s="947"/>
      <c r="K667" s="948"/>
      <c r="L667" s="837">
        <v>0</v>
      </c>
      <c r="M667" s="837">
        <v>0</v>
      </c>
      <c r="N667" s="837">
        <v>0</v>
      </c>
      <c r="O667" s="837">
        <f t="shared" si="279"/>
        <v>0</v>
      </c>
      <c r="P667" s="837">
        <f t="shared" si="280"/>
        <v>0</v>
      </c>
      <c r="Q667" s="1264"/>
      <c r="R667" s="1264"/>
      <c r="S667" s="1264"/>
      <c r="T667" s="1264"/>
      <c r="U667" s="1264"/>
      <c r="V667" s="1264"/>
      <c r="W667" s="1264"/>
      <c r="X667" s="1264"/>
      <c r="Y667" s="1264"/>
      <c r="Z667" s="1264"/>
    </row>
    <row r="668" spans="1:26" ht="19.5">
      <c r="A668" s="1267"/>
      <c r="B668" s="1268"/>
      <c r="C668" s="1242" t="s">
        <v>16</v>
      </c>
      <c r="D668" s="1269" t="s">
        <v>38</v>
      </c>
      <c r="E668" s="1271"/>
      <c r="F668" s="1271"/>
      <c r="G668" s="1272"/>
      <c r="H668" s="954"/>
      <c r="I668" s="944"/>
      <c r="J668" s="944"/>
      <c r="K668" s="945"/>
      <c r="L668" s="945"/>
      <c r="M668" s="945"/>
      <c r="N668" s="945"/>
      <c r="O668" s="945"/>
      <c r="P668" s="945"/>
      <c r="Q668" s="1244"/>
      <c r="R668" s="1244"/>
      <c r="S668" s="1244"/>
      <c r="T668" s="1244"/>
      <c r="U668" s="1244"/>
      <c r="V668" s="1244"/>
      <c r="W668" s="1244"/>
      <c r="X668" s="1244"/>
      <c r="Y668" s="1244"/>
      <c r="Z668" s="1244"/>
    </row>
    <row r="669" spans="1:26" ht="19.5">
      <c r="A669" s="1267"/>
      <c r="B669" s="1268"/>
      <c r="C669" s="1268"/>
      <c r="D669" s="1268" t="s">
        <v>280</v>
      </c>
      <c r="E669" s="961"/>
      <c r="F669" s="961"/>
      <c r="G669" s="954"/>
      <c r="H669" s="733" t="s">
        <v>46</v>
      </c>
      <c r="I669" s="966">
        <f ca="1">IFERROR(__xludf.DUMMYFUNCTION("IMPORTRANGE(""https://docs.google.com/spreadsheets/d/1QqKyyYR6Q21VydFLVH3TRQUabQu_ym0Zz7PgGX0-kHA/edit?usp=sharing"",""แผน!IA20"")"),50)</f>
        <v>50</v>
      </c>
      <c r="J669" s="966">
        <f>J675</f>
        <v>0</v>
      </c>
      <c r="K669" s="967">
        <f ca="1">IF(I669&gt;0,J669*100/I669,0)</f>
        <v>0</v>
      </c>
      <c r="L669" s="945"/>
      <c r="M669" s="945"/>
      <c r="N669" s="945"/>
      <c r="O669" s="945"/>
      <c r="P669" s="945"/>
      <c r="Q669" s="1244"/>
      <c r="R669" s="1244"/>
      <c r="S669" s="1244"/>
      <c r="T669" s="1244"/>
      <c r="U669" s="1244"/>
      <c r="V669" s="1244"/>
      <c r="W669" s="1244"/>
      <c r="X669" s="1244"/>
      <c r="Y669" s="1244"/>
      <c r="Z669" s="1244"/>
    </row>
    <row r="670" spans="1:26" ht="18.75">
      <c r="A670" s="1267"/>
      <c r="B670" s="1268"/>
      <c r="C670" s="1268"/>
      <c r="D670" s="1268"/>
      <c r="E670" s="961" t="s">
        <v>281</v>
      </c>
      <c r="F670" s="961"/>
      <c r="G670" s="954"/>
      <c r="H670" s="730" t="s">
        <v>66</v>
      </c>
      <c r="I670" s="830">
        <f ca="1">IFERROR(__xludf.DUMMYFUNCTION("IMPORTRANGE(""https://docs.google.com/spreadsheets/d/1QqKyyYR6Q21VydFLVH3TRQUabQu_ym0Zz7PgGX0-kHA/edit?usp=sharing"",""แผน!HZ20"")"),4)</f>
        <v>4</v>
      </c>
      <c r="J670" s="959">
        <v>4</v>
      </c>
      <c r="K670" s="831">
        <f ca="1">IF(I670&gt;0,(J670*100)/I670,0)</f>
        <v>100</v>
      </c>
      <c r="L670" s="945"/>
      <c r="M670" s="945"/>
      <c r="N670" s="945"/>
      <c r="O670" s="945"/>
      <c r="P670" s="945"/>
      <c r="Q670" s="1244"/>
      <c r="R670" s="1244"/>
      <c r="S670" s="1244"/>
      <c r="T670" s="1244"/>
      <c r="U670" s="1244"/>
      <c r="V670" s="1244"/>
      <c r="W670" s="1244"/>
      <c r="X670" s="1244"/>
      <c r="Y670" s="1244"/>
      <c r="Z670" s="1244"/>
    </row>
    <row r="671" spans="1:26" ht="18.75">
      <c r="A671" s="1267"/>
      <c r="B671" s="1268"/>
      <c r="C671" s="1268"/>
      <c r="D671" s="1268"/>
      <c r="E671" s="961" t="s">
        <v>282</v>
      </c>
      <c r="F671" s="961"/>
      <c r="G671" s="954"/>
      <c r="H671" s="730" t="s">
        <v>66</v>
      </c>
      <c r="I671" s="830">
        <f ca="1">IFERROR(__xludf.DUMMYFUNCTION("IMPORTRANGE(""https://docs.google.com/spreadsheets/d/1QqKyyYR6Q21VydFLVH3TRQUabQu_ym0Zz7PgGX0-kHA/edit?usp=sharing"",""แผน!HZ20"")"),4)</f>
        <v>4</v>
      </c>
      <c r="J671" s="959">
        <v>4</v>
      </c>
      <c r="K671" s="831">
        <f ca="1">IF(I$671&gt;0,J671*100/I$671,0)</f>
        <v>100</v>
      </c>
      <c r="L671" s="945"/>
      <c r="M671" s="945"/>
      <c r="N671" s="945"/>
      <c r="O671" s="945"/>
      <c r="P671" s="945"/>
      <c r="Q671" s="1244"/>
      <c r="R671" s="1244"/>
      <c r="S671" s="1244"/>
      <c r="T671" s="1244"/>
      <c r="U671" s="1244"/>
      <c r="V671" s="1244"/>
      <c r="W671" s="1244"/>
      <c r="X671" s="1244"/>
      <c r="Y671" s="1244"/>
      <c r="Z671" s="1244"/>
    </row>
    <row r="672" spans="1:26" ht="18.75">
      <c r="A672" s="1267"/>
      <c r="B672" s="1268"/>
      <c r="C672" s="1268"/>
      <c r="D672" s="1268"/>
      <c r="E672" s="961" t="s">
        <v>283</v>
      </c>
      <c r="F672" s="961"/>
      <c r="G672" s="954"/>
      <c r="H672" s="730" t="s">
        <v>46</v>
      </c>
      <c r="I672" s="830"/>
      <c r="J672" s="959">
        <v>0</v>
      </c>
      <c r="K672" s="831">
        <f t="shared" ref="K672:K675" ca="1" si="281">IF(I$669&gt;0,J672*100/I$669,0)</f>
        <v>0</v>
      </c>
      <c r="L672" s="945"/>
      <c r="M672" s="945"/>
      <c r="N672" s="945"/>
      <c r="O672" s="945"/>
      <c r="P672" s="945"/>
      <c r="Q672" s="1244"/>
      <c r="R672" s="1244"/>
      <c r="S672" s="1244"/>
      <c r="T672" s="1244"/>
      <c r="U672" s="1244"/>
      <c r="V672" s="1244"/>
      <c r="W672" s="1244"/>
      <c r="X672" s="1244"/>
      <c r="Y672" s="1244"/>
      <c r="Z672" s="1244"/>
    </row>
    <row r="673" spans="1:26" ht="18.75">
      <c r="A673" s="1267"/>
      <c r="B673" s="1268"/>
      <c r="C673" s="1268"/>
      <c r="D673" s="1268"/>
      <c r="E673" s="961" t="s">
        <v>284</v>
      </c>
      <c r="F673" s="961"/>
      <c r="G673" s="954"/>
      <c r="H673" s="730" t="s">
        <v>46</v>
      </c>
      <c r="I673" s="830"/>
      <c r="J673" s="959">
        <v>0</v>
      </c>
      <c r="K673" s="831">
        <f t="shared" ca="1" si="281"/>
        <v>0</v>
      </c>
      <c r="L673" s="945"/>
      <c r="M673" s="945"/>
      <c r="N673" s="945"/>
      <c r="O673" s="945"/>
      <c r="P673" s="945"/>
      <c r="Q673" s="1244"/>
      <c r="R673" s="1244"/>
      <c r="S673" s="1244"/>
      <c r="T673" s="1244"/>
      <c r="U673" s="1244"/>
      <c r="V673" s="1244"/>
      <c r="W673" s="1244"/>
      <c r="X673" s="1244"/>
      <c r="Y673" s="1244"/>
      <c r="Z673" s="1244"/>
    </row>
    <row r="674" spans="1:26" ht="18.75">
      <c r="A674" s="1267"/>
      <c r="B674" s="1268"/>
      <c r="C674" s="1268"/>
      <c r="D674" s="1268"/>
      <c r="E674" s="961" t="s">
        <v>285</v>
      </c>
      <c r="F674" s="961"/>
      <c r="G674" s="954"/>
      <c r="H674" s="730" t="s">
        <v>46</v>
      </c>
      <c r="I674" s="830"/>
      <c r="J674" s="959">
        <v>0</v>
      </c>
      <c r="K674" s="831">
        <f t="shared" ca="1" si="281"/>
        <v>0</v>
      </c>
      <c r="L674" s="945"/>
      <c r="M674" s="945"/>
      <c r="N674" s="945"/>
      <c r="O674" s="945"/>
      <c r="P674" s="945"/>
      <c r="Q674" s="1244"/>
      <c r="R674" s="1244"/>
      <c r="S674" s="1244"/>
      <c r="T674" s="1244"/>
      <c r="U674" s="1244"/>
      <c r="V674" s="1244"/>
      <c r="W674" s="1244"/>
      <c r="X674" s="1244"/>
      <c r="Y674" s="1244"/>
      <c r="Z674" s="1244"/>
    </row>
    <row r="675" spans="1:26" ht="19.5">
      <c r="A675" s="1267"/>
      <c r="B675" s="1268"/>
      <c r="C675" s="1268"/>
      <c r="D675" s="1268"/>
      <c r="E675" s="961" t="s">
        <v>286</v>
      </c>
      <c r="F675" s="961"/>
      <c r="G675" s="954"/>
      <c r="H675" s="730" t="s">
        <v>46</v>
      </c>
      <c r="I675" s="830"/>
      <c r="J675" s="966">
        <f>J676+J677</f>
        <v>0</v>
      </c>
      <c r="K675" s="967">
        <f t="shared" ca="1" si="281"/>
        <v>0</v>
      </c>
      <c r="L675" s="945"/>
      <c r="M675" s="945"/>
      <c r="N675" s="945"/>
      <c r="O675" s="945"/>
      <c r="P675" s="945"/>
      <c r="Q675" s="1244"/>
      <c r="R675" s="1244"/>
      <c r="S675" s="1244"/>
      <c r="T675" s="1244"/>
      <c r="U675" s="1244"/>
      <c r="V675" s="1244"/>
      <c r="W675" s="1244"/>
      <c r="X675" s="1244"/>
      <c r="Y675" s="1244"/>
      <c r="Z675" s="1244"/>
    </row>
    <row r="676" spans="1:26" ht="18.75">
      <c r="A676" s="1267"/>
      <c r="B676" s="1268"/>
      <c r="C676" s="1268"/>
      <c r="D676" s="1268"/>
      <c r="E676" s="961"/>
      <c r="F676" s="961" t="s">
        <v>287</v>
      </c>
      <c r="G676" s="954"/>
      <c r="H676" s="730" t="s">
        <v>46</v>
      </c>
      <c r="I676" s="830"/>
      <c r="J676" s="959">
        <v>0</v>
      </c>
      <c r="K676" s="831"/>
      <c r="L676" s="945"/>
      <c r="M676" s="945"/>
      <c r="N676" s="945"/>
      <c r="O676" s="945"/>
      <c r="P676" s="945"/>
      <c r="Q676" s="1244"/>
      <c r="R676" s="1244"/>
      <c r="S676" s="1244"/>
      <c r="T676" s="1244"/>
      <c r="U676" s="1244"/>
      <c r="V676" s="1244"/>
      <c r="W676" s="1244"/>
      <c r="X676" s="1244"/>
      <c r="Y676" s="1244"/>
      <c r="Z676" s="1244"/>
    </row>
    <row r="677" spans="1:26" ht="18.75">
      <c r="A677" s="1267"/>
      <c r="B677" s="1268"/>
      <c r="C677" s="1268"/>
      <c r="D677" s="1268"/>
      <c r="E677" s="961"/>
      <c r="F677" s="961" t="s">
        <v>288</v>
      </c>
      <c r="G677" s="954"/>
      <c r="H677" s="730" t="s">
        <v>46</v>
      </c>
      <c r="I677" s="830"/>
      <c r="J677" s="959">
        <v>0</v>
      </c>
      <c r="K677" s="831"/>
      <c r="L677" s="945"/>
      <c r="M677" s="945"/>
      <c r="N677" s="945"/>
      <c r="O677" s="945"/>
      <c r="P677" s="945"/>
      <c r="Q677" s="1244"/>
      <c r="R677" s="1244"/>
      <c r="S677" s="1244"/>
      <c r="T677" s="1244"/>
      <c r="U677" s="1244"/>
      <c r="V677" s="1244"/>
      <c r="W677" s="1244"/>
      <c r="X677" s="1244"/>
      <c r="Y677" s="1244"/>
      <c r="Z677" s="1244"/>
    </row>
    <row r="678" spans="1:26" ht="19.5">
      <c r="A678" s="1267"/>
      <c r="B678" s="1268"/>
      <c r="C678" s="1268"/>
      <c r="D678" s="1268" t="s">
        <v>289</v>
      </c>
      <c r="E678" s="961"/>
      <c r="F678" s="961"/>
      <c r="G678" s="954"/>
      <c r="H678" s="730" t="s">
        <v>46</v>
      </c>
      <c r="I678" s="966">
        <f ca="1">IFERROR(__xludf.DUMMYFUNCTION("IMPORTRANGE(""https://docs.google.com/spreadsheets/d/1QqKyyYR6Q21VydFLVH3TRQUabQu_ym0Zz7PgGX0-kHA/edit?usp=sharing"",""แผน!IB20"")"),0)</f>
        <v>0</v>
      </c>
      <c r="J678" s="966">
        <f>J679</f>
        <v>0</v>
      </c>
      <c r="K678" s="967">
        <f ca="1">IF(I678&gt;0,J678*100/I678,0)</f>
        <v>0</v>
      </c>
      <c r="L678" s="945"/>
      <c r="M678" s="945"/>
      <c r="N678" s="945"/>
      <c r="O678" s="945"/>
      <c r="P678" s="945"/>
      <c r="Q678" s="1244"/>
      <c r="R678" s="1244"/>
      <c r="S678" s="1244"/>
      <c r="T678" s="1244"/>
      <c r="U678" s="1244"/>
      <c r="V678" s="1244"/>
      <c r="W678" s="1244"/>
      <c r="X678" s="1244"/>
      <c r="Y678" s="1244"/>
      <c r="Z678" s="1244"/>
    </row>
    <row r="679" spans="1:26" ht="18.75">
      <c r="A679" s="1267"/>
      <c r="B679" s="1268"/>
      <c r="C679" s="1268"/>
      <c r="D679" s="1268"/>
      <c r="E679" s="961" t="s">
        <v>290</v>
      </c>
      <c r="F679" s="961"/>
      <c r="G679" s="954"/>
      <c r="H679" s="730" t="s">
        <v>46</v>
      </c>
      <c r="I679" s="830"/>
      <c r="J679" s="830">
        <f>J680+J681</f>
        <v>0</v>
      </c>
      <c r="K679" s="831"/>
      <c r="L679" s="945"/>
      <c r="M679" s="945"/>
      <c r="N679" s="945"/>
      <c r="O679" s="945"/>
      <c r="P679" s="945"/>
      <c r="Q679" s="1244"/>
      <c r="R679" s="1244"/>
      <c r="S679" s="1244"/>
      <c r="T679" s="1244"/>
      <c r="U679" s="1244"/>
      <c r="V679" s="1244"/>
      <c r="W679" s="1244"/>
      <c r="X679" s="1244"/>
      <c r="Y679" s="1244"/>
      <c r="Z679" s="1244"/>
    </row>
    <row r="680" spans="1:26" ht="18.75">
      <c r="A680" s="1267"/>
      <c r="B680" s="1268"/>
      <c r="C680" s="1268"/>
      <c r="D680" s="1268"/>
      <c r="E680" s="961"/>
      <c r="F680" s="961" t="s">
        <v>287</v>
      </c>
      <c r="G680" s="954"/>
      <c r="H680" s="730" t="s">
        <v>46</v>
      </c>
      <c r="I680" s="830"/>
      <c r="J680" s="959">
        <v>0</v>
      </c>
      <c r="K680" s="831"/>
      <c r="L680" s="945"/>
      <c r="M680" s="945"/>
      <c r="N680" s="945"/>
      <c r="O680" s="945"/>
      <c r="P680" s="945"/>
      <c r="Q680" s="1244"/>
      <c r="R680" s="1244"/>
      <c r="S680" s="1244"/>
      <c r="T680" s="1244"/>
      <c r="U680" s="1244"/>
      <c r="V680" s="1244"/>
      <c r="W680" s="1244"/>
      <c r="X680" s="1244"/>
      <c r="Y680" s="1244"/>
      <c r="Z680" s="1244"/>
    </row>
    <row r="681" spans="1:26" ht="18.75">
      <c r="A681" s="1267"/>
      <c r="B681" s="1268"/>
      <c r="C681" s="1268"/>
      <c r="D681" s="1268"/>
      <c r="E681" s="961"/>
      <c r="F681" s="961" t="s">
        <v>288</v>
      </c>
      <c r="G681" s="954"/>
      <c r="H681" s="730" t="s">
        <v>46</v>
      </c>
      <c r="I681" s="830"/>
      <c r="J681" s="959">
        <v>0</v>
      </c>
      <c r="K681" s="831"/>
      <c r="L681" s="945"/>
      <c r="M681" s="945"/>
      <c r="N681" s="945"/>
      <c r="O681" s="945"/>
      <c r="P681" s="945"/>
      <c r="Q681" s="1244"/>
      <c r="R681" s="1244"/>
      <c r="S681" s="1244"/>
      <c r="T681" s="1244"/>
      <c r="U681" s="1244"/>
      <c r="V681" s="1244"/>
      <c r="W681" s="1244"/>
      <c r="X681" s="1244"/>
      <c r="Y681" s="1244"/>
      <c r="Z681" s="1244"/>
    </row>
    <row r="682" spans="1:26" ht="18.75">
      <c r="A682" s="1267"/>
      <c r="B682" s="1268"/>
      <c r="C682" s="1268"/>
      <c r="D682" s="1268"/>
      <c r="E682" s="961" t="s">
        <v>291</v>
      </c>
      <c r="F682" s="961"/>
      <c r="G682" s="954"/>
      <c r="H682" s="730" t="s">
        <v>46</v>
      </c>
      <c r="I682" s="830"/>
      <c r="J682" s="959">
        <v>0</v>
      </c>
      <c r="K682" s="831"/>
      <c r="L682" s="945"/>
      <c r="M682" s="945"/>
      <c r="N682" s="945"/>
      <c r="O682" s="945"/>
      <c r="P682" s="945"/>
      <c r="Q682" s="1244"/>
      <c r="R682" s="1244"/>
      <c r="S682" s="1244"/>
      <c r="T682" s="1244"/>
      <c r="U682" s="1244"/>
      <c r="V682" s="1244"/>
      <c r="W682" s="1244"/>
      <c r="X682" s="1244"/>
      <c r="Y682" s="1244"/>
      <c r="Z682" s="1244"/>
    </row>
    <row r="683" spans="1:26" ht="18.75">
      <c r="A683" s="1267"/>
      <c r="B683" s="1268"/>
      <c r="C683" s="1268"/>
      <c r="D683" s="1268"/>
      <c r="E683" s="961"/>
      <c r="F683" s="961" t="s">
        <v>292</v>
      </c>
      <c r="G683" s="954"/>
      <c r="H683" s="730" t="s">
        <v>46</v>
      </c>
      <c r="I683" s="830"/>
      <c r="J683" s="959">
        <v>0</v>
      </c>
      <c r="K683" s="831"/>
      <c r="L683" s="945"/>
      <c r="M683" s="945"/>
      <c r="N683" s="945"/>
      <c r="O683" s="945"/>
      <c r="P683" s="945"/>
      <c r="Q683" s="1244"/>
      <c r="R683" s="1244"/>
      <c r="S683" s="1244"/>
      <c r="T683" s="1244"/>
      <c r="U683" s="1244"/>
      <c r="V683" s="1244"/>
      <c r="W683" s="1244"/>
      <c r="X683" s="1244"/>
      <c r="Y683" s="1244"/>
      <c r="Z683" s="1244"/>
    </row>
    <row r="684" spans="1:26" ht="19.5">
      <c r="A684" s="1373"/>
      <c r="B684" s="1374" t="s">
        <v>293</v>
      </c>
      <c r="C684" s="1373"/>
      <c r="D684" s="1373"/>
      <c r="E684" s="1373"/>
      <c r="F684" s="1373"/>
      <c r="G684" s="1375"/>
      <c r="H684" s="1375"/>
      <c r="I684" s="1376"/>
      <c r="J684" s="1376"/>
      <c r="K684" s="1377"/>
      <c r="L684" s="1377"/>
      <c r="M684" s="1377"/>
      <c r="N684" s="1377"/>
      <c r="O684" s="1377"/>
      <c r="P684" s="1377"/>
      <c r="Q684" s="1244"/>
      <c r="R684" s="1244"/>
      <c r="S684" s="1244"/>
      <c r="T684" s="1244"/>
      <c r="U684" s="1244"/>
      <c r="V684" s="1244"/>
      <c r="W684" s="1244"/>
      <c r="X684" s="1244"/>
      <c r="Y684" s="1244"/>
      <c r="Z684" s="1244"/>
    </row>
    <row r="685" spans="1:26" ht="19.5">
      <c r="A685" s="1259"/>
      <c r="B685" s="1243"/>
      <c r="C685" s="1243" t="s">
        <v>16</v>
      </c>
      <c r="D685" s="1507" t="s">
        <v>17</v>
      </c>
      <c r="E685" s="1485"/>
      <c r="F685" s="1485"/>
      <c r="G685" s="963"/>
      <c r="H685" s="563" t="s">
        <v>12</v>
      </c>
      <c r="I685" s="830"/>
      <c r="J685" s="830"/>
      <c r="K685" s="831"/>
      <c r="L685" s="967">
        <f t="shared" ref="L685:N685" ca="1" si="282">L686+L687</f>
        <v>13000</v>
      </c>
      <c r="M685" s="967">
        <f t="shared" si="282"/>
        <v>0</v>
      </c>
      <c r="N685" s="967">
        <f t="shared" si="282"/>
        <v>0</v>
      </c>
      <c r="O685" s="967">
        <f t="shared" ref="O685:O688" ca="1" si="283">IF(L685&gt;0,N685*100/L685,0)</f>
        <v>0</v>
      </c>
      <c r="P685" s="967">
        <f t="shared" ref="P685:P688" si="284">IF(M685&gt;0,N685*100/M685,0)</f>
        <v>0</v>
      </c>
      <c r="Q685" s="1244"/>
      <c r="R685" s="1244"/>
      <c r="S685" s="1244"/>
      <c r="T685" s="1244"/>
      <c r="U685" s="1244"/>
      <c r="V685" s="1244"/>
      <c r="W685" s="1244"/>
      <c r="X685" s="1244"/>
      <c r="Y685" s="1244"/>
      <c r="Z685" s="1244"/>
    </row>
    <row r="686" spans="1:26" ht="18.75" hidden="1">
      <c r="A686" s="1260"/>
      <c r="B686" s="1261"/>
      <c r="C686" s="1261"/>
      <c r="D686" s="1262"/>
      <c r="E686" s="1261" t="s">
        <v>184</v>
      </c>
      <c r="F686" s="1261"/>
      <c r="G686" s="1263"/>
      <c r="H686" s="165" t="s">
        <v>12</v>
      </c>
      <c r="I686" s="836"/>
      <c r="J686" s="836"/>
      <c r="K686" s="837"/>
      <c r="L686" s="837">
        <f t="shared" ref="L686:N687" si="285">L689+L696</f>
        <v>0</v>
      </c>
      <c r="M686" s="837">
        <f t="shared" si="285"/>
        <v>0</v>
      </c>
      <c r="N686" s="837">
        <f t="shared" si="285"/>
        <v>0</v>
      </c>
      <c r="O686" s="837">
        <f t="shared" si="283"/>
        <v>0</v>
      </c>
      <c r="P686" s="837">
        <f t="shared" si="284"/>
        <v>0</v>
      </c>
      <c r="Q686" s="1264"/>
      <c r="R686" s="1264"/>
      <c r="S686" s="1264"/>
      <c r="T686" s="1264"/>
      <c r="U686" s="1264"/>
      <c r="V686" s="1264"/>
      <c r="W686" s="1264"/>
      <c r="X686" s="1264"/>
      <c r="Y686" s="1264"/>
      <c r="Z686" s="1264"/>
    </row>
    <row r="687" spans="1:26" ht="18.75" hidden="1">
      <c r="A687" s="1260"/>
      <c r="B687" s="1265"/>
      <c r="C687" s="1261"/>
      <c r="D687" s="1262"/>
      <c r="E687" s="1261" t="s">
        <v>185</v>
      </c>
      <c r="F687" s="1261"/>
      <c r="G687" s="1263"/>
      <c r="H687" s="165" t="s">
        <v>12</v>
      </c>
      <c r="I687" s="836"/>
      <c r="J687" s="836"/>
      <c r="K687" s="837"/>
      <c r="L687" s="837">
        <f t="shared" ca="1" si="285"/>
        <v>13000</v>
      </c>
      <c r="M687" s="837">
        <f t="shared" si="285"/>
        <v>0</v>
      </c>
      <c r="N687" s="837">
        <f t="shared" si="285"/>
        <v>0</v>
      </c>
      <c r="O687" s="837">
        <f t="shared" ca="1" si="283"/>
        <v>0</v>
      </c>
      <c r="P687" s="837">
        <f t="shared" si="284"/>
        <v>0</v>
      </c>
      <c r="Q687" s="1264"/>
      <c r="R687" s="1264"/>
      <c r="S687" s="1264"/>
      <c r="T687" s="1264"/>
      <c r="U687" s="1264"/>
      <c r="V687" s="1264"/>
      <c r="W687" s="1264"/>
      <c r="X687" s="1264"/>
      <c r="Y687" s="1264"/>
      <c r="Z687" s="1264"/>
    </row>
    <row r="688" spans="1:26" ht="18.75">
      <c r="A688" s="1259"/>
      <c r="B688" s="1242"/>
      <c r="C688" s="1243"/>
      <c r="D688" s="1266" t="s">
        <v>20</v>
      </c>
      <c r="E688" s="1243"/>
      <c r="F688" s="1243"/>
      <c r="G688" s="963"/>
      <c r="H688" s="778" t="s">
        <v>12</v>
      </c>
      <c r="I688" s="944"/>
      <c r="J688" s="944"/>
      <c r="K688" s="945"/>
      <c r="L688" s="831">
        <f t="shared" ref="L688:N688" ca="1" si="286">L689+L690</f>
        <v>13000</v>
      </c>
      <c r="M688" s="831">
        <f t="shared" si="286"/>
        <v>0</v>
      </c>
      <c r="N688" s="831">
        <f t="shared" si="286"/>
        <v>0</v>
      </c>
      <c r="O688" s="831">
        <f t="shared" ca="1" si="283"/>
        <v>0</v>
      </c>
      <c r="P688" s="831">
        <f t="shared" si="284"/>
        <v>0</v>
      </c>
      <c r="Q688" s="1244"/>
      <c r="R688" s="1244"/>
      <c r="S688" s="1244"/>
      <c r="T688" s="1244"/>
      <c r="U688" s="1244"/>
      <c r="V688" s="1244"/>
      <c r="W688" s="1244"/>
      <c r="X688" s="1244"/>
      <c r="Y688" s="1244"/>
      <c r="Z688" s="1244"/>
    </row>
    <row r="689" spans="1:26" ht="18.75" hidden="1">
      <c r="A689" s="1260"/>
      <c r="B689" s="1265"/>
      <c r="C689" s="1261"/>
      <c r="D689" s="1262"/>
      <c r="E689" s="1261" t="s">
        <v>184</v>
      </c>
      <c r="F689" s="1261"/>
      <c r="G689" s="1263"/>
      <c r="H689" s="165" t="s">
        <v>12</v>
      </c>
      <c r="I689" s="836"/>
      <c r="J689" s="836"/>
      <c r="K689" s="837"/>
      <c r="L689" s="837">
        <v>0</v>
      </c>
      <c r="M689" s="837">
        <v>0</v>
      </c>
      <c r="N689" s="837">
        <v>0</v>
      </c>
      <c r="O689" s="837"/>
      <c r="P689" s="837"/>
      <c r="Q689" s="1264"/>
      <c r="R689" s="1264"/>
      <c r="S689" s="1264"/>
      <c r="T689" s="1264"/>
      <c r="U689" s="1264"/>
      <c r="V689" s="1264"/>
      <c r="W689" s="1264"/>
      <c r="X689" s="1264"/>
      <c r="Y689" s="1264"/>
      <c r="Z689" s="1264"/>
    </row>
    <row r="690" spans="1:26" ht="18.75" hidden="1">
      <c r="A690" s="1260"/>
      <c r="B690" s="1265"/>
      <c r="C690" s="1261"/>
      <c r="D690" s="1262"/>
      <c r="E690" s="1261" t="s">
        <v>185</v>
      </c>
      <c r="F690" s="1261"/>
      <c r="G690" s="1263"/>
      <c r="H690" s="165" t="s">
        <v>12</v>
      </c>
      <c r="I690" s="836"/>
      <c r="J690" s="836"/>
      <c r="K690" s="837"/>
      <c r="L690" s="837">
        <f ca="1">IFERROR(__xludf.DUMMYFUNCTION("IMPORTRANGE(""https://docs.google.com/spreadsheets/d/1QqKyyYR6Q21VydFLVH3TRQUabQu_ym0Zz7PgGX0-kHA/edit?usp=sharing"",""แผน!HW20"")"),13000)</f>
        <v>13000</v>
      </c>
      <c r="M690" s="837">
        <v>0</v>
      </c>
      <c r="N690" s="837">
        <f>N691+N692+N693+N694</f>
        <v>0</v>
      </c>
      <c r="O690" s="837">
        <f ca="1">IF(L690&gt;0,N690*100/L690,0)</f>
        <v>0</v>
      </c>
      <c r="P690" s="837">
        <f>IF(M690&gt;0,N690*100/M690,0)</f>
        <v>0</v>
      </c>
      <c r="Q690" s="1264"/>
      <c r="R690" s="1264"/>
      <c r="S690" s="1264"/>
      <c r="T690" s="1264"/>
      <c r="U690" s="1264"/>
      <c r="V690" s="1264"/>
      <c r="W690" s="1264"/>
      <c r="X690" s="1264"/>
      <c r="Y690" s="1264"/>
      <c r="Z690" s="1264"/>
    </row>
    <row r="691" spans="1:26" ht="18.75">
      <c r="A691" s="1241"/>
      <c r="B691" s="1242"/>
      <c r="C691" s="1243"/>
      <c r="D691" s="1243"/>
      <c r="E691" s="1243"/>
      <c r="F691" s="1243" t="s">
        <v>186</v>
      </c>
      <c r="G691" s="963"/>
      <c r="H691" s="778" t="s">
        <v>12</v>
      </c>
      <c r="I691" s="830"/>
      <c r="J691" s="830"/>
      <c r="K691" s="831"/>
      <c r="L691" s="831"/>
      <c r="M691" s="831"/>
      <c r="N691" s="1031">
        <v>0</v>
      </c>
      <c r="O691" s="831"/>
      <c r="P691" s="831"/>
      <c r="Q691" s="1244"/>
      <c r="R691" s="1244"/>
      <c r="S691" s="1244"/>
      <c r="T691" s="1244"/>
      <c r="U691" s="1244"/>
      <c r="V691" s="1244"/>
      <c r="W691" s="1244"/>
      <c r="X691" s="1244"/>
      <c r="Y691" s="1244"/>
      <c r="Z691" s="1244"/>
    </row>
    <row r="692" spans="1:26" ht="18.75">
      <c r="A692" s="1241"/>
      <c r="B692" s="1242"/>
      <c r="C692" s="1243"/>
      <c r="D692" s="1243"/>
      <c r="E692" s="1243"/>
      <c r="F692" s="1243" t="s">
        <v>187</v>
      </c>
      <c r="G692" s="963"/>
      <c r="H692" s="778" t="s">
        <v>12</v>
      </c>
      <c r="I692" s="830"/>
      <c r="J692" s="830"/>
      <c r="K692" s="831"/>
      <c r="L692" s="831"/>
      <c r="M692" s="831"/>
      <c r="N692" s="1031">
        <v>0</v>
      </c>
      <c r="O692" s="831"/>
      <c r="P692" s="831"/>
      <c r="Q692" s="1244"/>
      <c r="R692" s="1244"/>
      <c r="S692" s="1244"/>
      <c r="T692" s="1244"/>
      <c r="U692" s="1244"/>
      <c r="V692" s="1244"/>
      <c r="W692" s="1244"/>
      <c r="X692" s="1244"/>
      <c r="Y692" s="1244"/>
      <c r="Z692" s="1244"/>
    </row>
    <row r="693" spans="1:26" ht="18.75">
      <c r="A693" s="1241"/>
      <c r="B693" s="1242"/>
      <c r="C693" s="1243"/>
      <c r="D693" s="1243"/>
      <c r="E693" s="1243"/>
      <c r="F693" s="1243" t="s">
        <v>188</v>
      </c>
      <c r="G693" s="963"/>
      <c r="H693" s="778" t="s">
        <v>12</v>
      </c>
      <c r="I693" s="830"/>
      <c r="J693" s="830"/>
      <c r="K693" s="831"/>
      <c r="L693" s="831"/>
      <c r="M693" s="831"/>
      <c r="N693" s="1031">
        <v>0</v>
      </c>
      <c r="O693" s="831"/>
      <c r="P693" s="831"/>
      <c r="Q693" s="1244"/>
      <c r="R693" s="1244"/>
      <c r="S693" s="1244"/>
      <c r="T693" s="1244"/>
      <c r="U693" s="1244"/>
      <c r="V693" s="1244"/>
      <c r="W693" s="1244"/>
      <c r="X693" s="1244"/>
      <c r="Y693" s="1244"/>
      <c r="Z693" s="1244"/>
    </row>
    <row r="694" spans="1:26" ht="18.75">
      <c r="A694" s="1241"/>
      <c r="B694" s="1242"/>
      <c r="C694" s="1243"/>
      <c r="D694" s="1243"/>
      <c r="E694" s="1243"/>
      <c r="F694" s="1243" t="s">
        <v>189</v>
      </c>
      <c r="G694" s="963"/>
      <c r="H694" s="778" t="s">
        <v>12</v>
      </c>
      <c r="I694" s="830"/>
      <c r="J694" s="830"/>
      <c r="K694" s="831"/>
      <c r="L694" s="831"/>
      <c r="M694" s="831"/>
      <c r="N694" s="1031">
        <v>0</v>
      </c>
      <c r="O694" s="831"/>
      <c r="P694" s="831"/>
      <c r="Q694" s="1244"/>
      <c r="R694" s="1244"/>
      <c r="S694" s="1244"/>
      <c r="T694" s="1244"/>
      <c r="U694" s="1244"/>
      <c r="V694" s="1244"/>
      <c r="W694" s="1244"/>
      <c r="X694" s="1244"/>
      <c r="Y694" s="1244"/>
      <c r="Z694" s="1244"/>
    </row>
    <row r="695" spans="1:26" ht="18.75">
      <c r="A695" s="1259"/>
      <c r="B695" s="1242"/>
      <c r="C695" s="1243"/>
      <c r="D695" s="1266" t="s">
        <v>21</v>
      </c>
      <c r="E695" s="1243"/>
      <c r="F695" s="1243"/>
      <c r="G695" s="963"/>
      <c r="H695" s="168" t="s">
        <v>12</v>
      </c>
      <c r="I695" s="944"/>
      <c r="J695" s="944"/>
      <c r="K695" s="945"/>
      <c r="L695" s="831">
        <f t="shared" ref="L695:N695" si="287">L696+L697</f>
        <v>0</v>
      </c>
      <c r="M695" s="831">
        <f t="shared" si="287"/>
        <v>0</v>
      </c>
      <c r="N695" s="831">
        <f t="shared" si="287"/>
        <v>0</v>
      </c>
      <c r="O695" s="831">
        <f t="shared" ref="O695:O697" si="288">IF(L695&gt;0,N695*100/L695,0)</f>
        <v>0</v>
      </c>
      <c r="P695" s="831">
        <f t="shared" ref="P695:P697" si="289">IF(M695&gt;0,N695*100/M695,0)</f>
        <v>0</v>
      </c>
      <c r="Q695" s="1244"/>
      <c r="R695" s="1244"/>
      <c r="S695" s="1244"/>
      <c r="T695" s="1244"/>
      <c r="U695" s="1244"/>
      <c r="V695" s="1244"/>
      <c r="W695" s="1244"/>
      <c r="X695" s="1244"/>
      <c r="Y695" s="1244"/>
      <c r="Z695" s="1244"/>
    </row>
    <row r="696" spans="1:26" ht="18.75" hidden="1">
      <c r="A696" s="1260"/>
      <c r="B696" s="1265"/>
      <c r="C696" s="1261"/>
      <c r="D696" s="1261"/>
      <c r="E696" s="1261" t="s">
        <v>18</v>
      </c>
      <c r="F696" s="1261"/>
      <c r="G696" s="1263"/>
      <c r="H696" s="165" t="s">
        <v>12</v>
      </c>
      <c r="I696" s="947"/>
      <c r="J696" s="947"/>
      <c r="K696" s="948"/>
      <c r="L696" s="837">
        <v>0</v>
      </c>
      <c r="M696" s="837">
        <v>0</v>
      </c>
      <c r="N696" s="837">
        <v>0</v>
      </c>
      <c r="O696" s="837">
        <f t="shared" si="288"/>
        <v>0</v>
      </c>
      <c r="P696" s="837">
        <f t="shared" si="289"/>
        <v>0</v>
      </c>
      <c r="Q696" s="1264"/>
      <c r="R696" s="1264"/>
      <c r="S696" s="1264"/>
      <c r="T696" s="1264"/>
      <c r="U696" s="1264"/>
      <c r="V696" s="1264"/>
      <c r="W696" s="1264"/>
      <c r="X696" s="1264"/>
      <c r="Y696" s="1264"/>
      <c r="Z696" s="1264"/>
    </row>
    <row r="697" spans="1:26" ht="18.75" hidden="1">
      <c r="A697" s="1260"/>
      <c r="B697" s="1265"/>
      <c r="C697" s="1261"/>
      <c r="D697" s="1261"/>
      <c r="E697" s="1261" t="s">
        <v>19</v>
      </c>
      <c r="F697" s="1261"/>
      <c r="G697" s="1263"/>
      <c r="H697" s="169" t="s">
        <v>12</v>
      </c>
      <c r="I697" s="947"/>
      <c r="J697" s="947"/>
      <c r="K697" s="948"/>
      <c r="L697" s="837">
        <v>0</v>
      </c>
      <c r="M697" s="837">
        <v>0</v>
      </c>
      <c r="N697" s="837">
        <v>0</v>
      </c>
      <c r="O697" s="837">
        <f t="shared" si="288"/>
        <v>0</v>
      </c>
      <c r="P697" s="837">
        <f t="shared" si="289"/>
        <v>0</v>
      </c>
      <c r="Q697" s="1264"/>
      <c r="R697" s="1264"/>
      <c r="S697" s="1264"/>
      <c r="T697" s="1264"/>
      <c r="U697" s="1264"/>
      <c r="V697" s="1264"/>
      <c r="W697" s="1264"/>
      <c r="X697" s="1264"/>
      <c r="Y697" s="1264"/>
      <c r="Z697" s="1264"/>
    </row>
    <row r="698" spans="1:26" ht="19.5">
      <c r="A698" s="1267"/>
      <c r="B698" s="1268"/>
      <c r="C698" s="1243" t="s">
        <v>16</v>
      </c>
      <c r="D698" s="1378" t="s">
        <v>38</v>
      </c>
      <c r="E698" s="1271"/>
      <c r="F698" s="1271"/>
      <c r="G698" s="1272"/>
      <c r="H698" s="954"/>
      <c r="I698" s="944"/>
      <c r="J698" s="944"/>
      <c r="K698" s="945"/>
      <c r="L698" s="945"/>
      <c r="M698" s="945"/>
      <c r="N698" s="945"/>
      <c r="O698" s="945"/>
      <c r="P698" s="945"/>
      <c r="Q698" s="1244"/>
      <c r="R698" s="1244"/>
      <c r="S698" s="1244"/>
      <c r="T698" s="1244"/>
      <c r="U698" s="1244"/>
      <c r="V698" s="1244"/>
      <c r="W698" s="1244"/>
      <c r="X698" s="1244"/>
      <c r="Y698" s="1244"/>
      <c r="Z698" s="1244"/>
    </row>
    <row r="699" spans="1:26" ht="18.75">
      <c r="A699" s="1368"/>
      <c r="B699" s="1243"/>
      <c r="C699" s="1243"/>
      <c r="D699" s="1243" t="s">
        <v>294</v>
      </c>
      <c r="E699" s="1243"/>
      <c r="F699" s="1243"/>
      <c r="G699" s="963"/>
      <c r="H699" s="730" t="s">
        <v>46</v>
      </c>
      <c r="I699" s="1379">
        <f ca="1">IFERROR(__xludf.DUMMYFUNCTION("IMPORTRANGE(""https://docs.google.com/spreadsheets/d/1QqKyyYR6Q21VydFLVH3TRQUabQu_ym0Zz7PgGX0-kHA/edit?usp=sharing"",""แผน!IC20"")"),0)</f>
        <v>0</v>
      </c>
      <c r="J699" s="830">
        <f ca="1">IFERROR(__xludf.DUMMYFUNCTION("IMPORTRANGE(""https://docs.google.com/spreadsheets/d/1XWAQStnk-4SwqDmLtmXYiTMKHgktTP8We1SCoS47DrQ/edit?usp=sharing"",""จัดที่ดิน!BB20"")"),0)</f>
        <v>0</v>
      </c>
      <c r="K699" s="831">
        <f t="shared" ref="K699:K701" ca="1" si="290">IF(I699&gt;0,J699*100/I699,0)</f>
        <v>0</v>
      </c>
      <c r="L699" s="831"/>
      <c r="M699" s="963"/>
      <c r="N699" s="1380"/>
      <c r="O699" s="831"/>
      <c r="P699" s="831"/>
      <c r="Q699" s="1244"/>
      <c r="R699" s="1244"/>
      <c r="S699" s="1244"/>
      <c r="T699" s="1244"/>
      <c r="U699" s="1244"/>
      <c r="V699" s="1244"/>
      <c r="W699" s="1244"/>
      <c r="X699" s="1244"/>
      <c r="Y699" s="1244"/>
      <c r="Z699" s="1244"/>
    </row>
    <row r="700" spans="1:26" ht="18.75">
      <c r="A700" s="1368"/>
      <c r="B700" s="1243"/>
      <c r="C700" s="1243"/>
      <c r="D700" s="1243" t="s">
        <v>295</v>
      </c>
      <c r="E700" s="1243"/>
      <c r="F700" s="1243"/>
      <c r="G700" s="963"/>
      <c r="H700" s="730" t="s">
        <v>35</v>
      </c>
      <c r="I700" s="1379">
        <f ca="1">IFERROR(__xludf.DUMMYFUNCTION("IMPORTRANGE(""https://docs.google.com/spreadsheets/d/1QqKyyYR6Q21VydFLVH3TRQUabQu_ym0Zz7PgGX0-kHA/edit?usp=sharing"",""แผน!ID20"")"),100)</f>
        <v>100</v>
      </c>
      <c r="J700" s="830">
        <f ca="1">IFERROR(__xludf.DUMMYFUNCTION("IMPORTRANGE(""https://docs.google.com/spreadsheets/d/1XWAQStnk-4SwqDmLtmXYiTMKHgktTP8We1SCoS47DrQ/edit?usp=sharing"",""จัดที่ดิน!BD20"")"),0)</f>
        <v>0</v>
      </c>
      <c r="K700" s="831">
        <f t="shared" ca="1" si="290"/>
        <v>0</v>
      </c>
      <c r="L700" s="831"/>
      <c r="M700" s="963"/>
      <c r="N700" s="1380"/>
      <c r="O700" s="831"/>
      <c r="P700" s="831"/>
      <c r="Q700" s="1244"/>
      <c r="R700" s="1244"/>
      <c r="S700" s="1244"/>
      <c r="T700" s="1244"/>
      <c r="U700" s="1244"/>
      <c r="V700" s="1244"/>
      <c r="W700" s="1244"/>
      <c r="X700" s="1244"/>
      <c r="Y700" s="1244"/>
      <c r="Z700" s="1244"/>
    </row>
    <row r="701" spans="1:26" ht="19.5">
      <c r="A701" s="1368"/>
      <c r="B701" s="1243"/>
      <c r="C701" s="1243"/>
      <c r="D701" s="1243" t="s">
        <v>296</v>
      </c>
      <c r="E701" s="1243"/>
      <c r="F701" s="1243"/>
      <c r="G701" s="963"/>
      <c r="H701" s="733" t="s">
        <v>46</v>
      </c>
      <c r="I701" s="1381">
        <f ca="1">IFERROR(__xludf.DUMMYFUNCTION("IMPORTRANGE(""https://docs.google.com/spreadsheets/d/1QqKyyYR6Q21VydFLVH3TRQUabQu_ym0Zz7PgGX0-kHA/edit?usp=sharing"",""แผน!IE20"")"),0)</f>
        <v>0</v>
      </c>
      <c r="J701" s="966">
        <f>J704+J707</f>
        <v>0</v>
      </c>
      <c r="K701" s="967">
        <f t="shared" ca="1" si="290"/>
        <v>0</v>
      </c>
      <c r="L701" s="831"/>
      <c r="M701" s="963"/>
      <c r="N701" s="1380"/>
      <c r="O701" s="831"/>
      <c r="P701" s="831"/>
      <c r="Q701" s="1244"/>
      <c r="R701" s="1244"/>
      <c r="S701" s="1244"/>
      <c r="T701" s="1244"/>
      <c r="U701" s="1244"/>
      <c r="V701" s="1244"/>
      <c r="W701" s="1244"/>
      <c r="X701" s="1244"/>
      <c r="Y701" s="1244"/>
      <c r="Z701" s="1244"/>
    </row>
    <row r="702" spans="1:26" ht="18.75">
      <c r="A702" s="1368"/>
      <c r="B702" s="1243"/>
      <c r="C702" s="1243"/>
      <c r="D702" s="1243"/>
      <c r="E702" s="1243" t="s">
        <v>297</v>
      </c>
      <c r="F702" s="1243"/>
      <c r="G702" s="963"/>
      <c r="H702" s="730" t="s">
        <v>35</v>
      </c>
      <c r="I702" s="1379"/>
      <c r="J702" s="959">
        <v>0</v>
      </c>
      <c r="K702" s="831"/>
      <c r="L702" s="831"/>
      <c r="M702" s="963"/>
      <c r="N702" s="1380"/>
      <c r="O702" s="831"/>
      <c r="P702" s="831"/>
      <c r="Q702" s="1244"/>
      <c r="R702" s="1244"/>
      <c r="S702" s="1244"/>
      <c r="T702" s="1244"/>
      <c r="U702" s="1244"/>
      <c r="V702" s="1244"/>
      <c r="W702" s="1244"/>
      <c r="X702" s="1244"/>
      <c r="Y702" s="1244"/>
      <c r="Z702" s="1244"/>
    </row>
    <row r="703" spans="1:26" ht="18.75">
      <c r="A703" s="1368"/>
      <c r="B703" s="1243"/>
      <c r="C703" s="1243"/>
      <c r="D703" s="1243"/>
      <c r="E703" s="1243"/>
      <c r="F703" s="1243"/>
      <c r="G703" s="963"/>
      <c r="H703" s="730" t="s">
        <v>34</v>
      </c>
      <c r="I703" s="1379"/>
      <c r="J703" s="959">
        <v>0</v>
      </c>
      <c r="K703" s="831"/>
      <c r="L703" s="831"/>
      <c r="M703" s="963"/>
      <c r="N703" s="1380"/>
      <c r="O703" s="831"/>
      <c r="P703" s="831"/>
      <c r="Q703" s="1244"/>
      <c r="R703" s="1244"/>
      <c r="S703" s="1244"/>
      <c r="T703" s="1244"/>
      <c r="U703" s="1244"/>
      <c r="V703" s="1244"/>
      <c r="W703" s="1244"/>
      <c r="X703" s="1244"/>
      <c r="Y703" s="1244"/>
      <c r="Z703" s="1244"/>
    </row>
    <row r="704" spans="1:26" ht="18.75">
      <c r="A704" s="1368"/>
      <c r="B704" s="1243"/>
      <c r="C704" s="1243"/>
      <c r="D704" s="1243"/>
      <c r="E704" s="1243"/>
      <c r="F704" s="1243"/>
      <c r="G704" s="963"/>
      <c r="H704" s="730" t="s">
        <v>46</v>
      </c>
      <c r="I704" s="1379">
        <f ca="1">IFERROR(__xludf.DUMMYFUNCTION("IMPORTRANGE(""https://docs.google.com/spreadsheets/d/1QqKyyYR6Q21VydFLVH3TRQUabQu_ym0Zz7PgGX0-kHA/edit?usp=sharing"",""แผน!IF20"")"),0)</f>
        <v>0</v>
      </c>
      <c r="J704" s="959">
        <v>0</v>
      </c>
      <c r="K704" s="831"/>
      <c r="L704" s="831"/>
      <c r="M704" s="963"/>
      <c r="N704" s="1380"/>
      <c r="O704" s="831"/>
      <c r="P704" s="831"/>
      <c r="Q704" s="1244"/>
      <c r="R704" s="1244"/>
      <c r="S704" s="1244"/>
      <c r="T704" s="1244"/>
      <c r="U704" s="1244"/>
      <c r="V704" s="1244"/>
      <c r="W704" s="1244"/>
      <c r="X704" s="1244"/>
      <c r="Y704" s="1244"/>
      <c r="Z704" s="1244"/>
    </row>
    <row r="705" spans="1:26" ht="18.75">
      <c r="A705" s="1368"/>
      <c r="B705" s="1243"/>
      <c r="C705" s="1243"/>
      <c r="D705" s="1243"/>
      <c r="E705" s="1243" t="s">
        <v>298</v>
      </c>
      <c r="F705" s="1243"/>
      <c r="G705" s="963"/>
      <c r="H705" s="730" t="s">
        <v>35</v>
      </c>
      <c r="I705" s="1379"/>
      <c r="J705" s="959">
        <v>0</v>
      </c>
      <c r="K705" s="831"/>
      <c r="L705" s="831"/>
      <c r="M705" s="963"/>
      <c r="N705" s="1380"/>
      <c r="O705" s="831"/>
      <c r="P705" s="831"/>
      <c r="Q705" s="1244"/>
      <c r="R705" s="1244"/>
      <c r="S705" s="1244"/>
      <c r="T705" s="1244"/>
      <c r="U705" s="1244"/>
      <c r="V705" s="1244"/>
      <c r="W705" s="1244"/>
      <c r="X705" s="1244"/>
      <c r="Y705" s="1244"/>
      <c r="Z705" s="1244"/>
    </row>
    <row r="706" spans="1:26" ht="18.75">
      <c r="A706" s="1368"/>
      <c r="B706" s="1243"/>
      <c r="C706" s="1243"/>
      <c r="D706" s="1243"/>
      <c r="E706" s="1243"/>
      <c r="F706" s="1243"/>
      <c r="G706" s="963"/>
      <c r="H706" s="730" t="s">
        <v>34</v>
      </c>
      <c r="I706" s="1379"/>
      <c r="J706" s="959">
        <v>0</v>
      </c>
      <c r="K706" s="831"/>
      <c r="L706" s="831"/>
      <c r="M706" s="963"/>
      <c r="N706" s="1380"/>
      <c r="O706" s="831"/>
      <c r="P706" s="831"/>
      <c r="Q706" s="1244"/>
      <c r="R706" s="1244"/>
      <c r="S706" s="1244"/>
      <c r="T706" s="1244"/>
      <c r="U706" s="1244"/>
      <c r="V706" s="1244"/>
      <c r="W706" s="1244"/>
      <c r="X706" s="1244"/>
      <c r="Y706" s="1244"/>
      <c r="Z706" s="1244"/>
    </row>
    <row r="707" spans="1:26" ht="18.75">
      <c r="A707" s="1368"/>
      <c r="B707" s="1243"/>
      <c r="C707" s="1243"/>
      <c r="D707" s="1243"/>
      <c r="E707" s="1243"/>
      <c r="F707" s="1243"/>
      <c r="G707" s="963"/>
      <c r="H707" s="730" t="s">
        <v>46</v>
      </c>
      <c r="I707" s="1379">
        <f ca="1">IFERROR(__xludf.DUMMYFUNCTION("IMPORTRANGE(""https://docs.google.com/spreadsheets/d/1QqKyyYR6Q21VydFLVH3TRQUabQu_ym0Zz7PgGX0-kHA/edit?usp=sharing"",""แผน!IG20"")"),0)</f>
        <v>0</v>
      </c>
      <c r="J707" s="959">
        <v>0</v>
      </c>
      <c r="K707" s="831"/>
      <c r="L707" s="831"/>
      <c r="M707" s="963"/>
      <c r="N707" s="1380"/>
      <c r="O707" s="831"/>
      <c r="P707" s="831"/>
      <c r="Q707" s="1244"/>
      <c r="R707" s="1244"/>
      <c r="S707" s="1244"/>
      <c r="T707" s="1244"/>
      <c r="U707" s="1244"/>
      <c r="V707" s="1244"/>
      <c r="W707" s="1244"/>
      <c r="X707" s="1244"/>
      <c r="Y707" s="1244"/>
      <c r="Z707" s="1244"/>
    </row>
    <row r="708" spans="1:26" ht="19.5">
      <c r="A708" s="1368"/>
      <c r="B708" s="1243"/>
      <c r="C708" s="1243"/>
      <c r="D708" s="1322" t="s">
        <v>299</v>
      </c>
      <c r="E708" s="1243"/>
      <c r="F708" s="1243"/>
      <c r="G708" s="963"/>
      <c r="H708" s="733" t="s">
        <v>46</v>
      </c>
      <c r="I708" s="1381">
        <f ca="1">IFERROR(__xludf.DUMMYFUNCTION("IMPORTRANGE(""https://docs.google.com/spreadsheets/d/1QqKyyYR6Q21VydFLVH3TRQUabQu_ym0Zz7PgGX0-kHA/edit?usp=sharing"",""แผน!IH20"")"),0)</f>
        <v>0</v>
      </c>
      <c r="J708" s="966">
        <f>J714+J717</f>
        <v>0</v>
      </c>
      <c r="K708" s="967">
        <f ca="1">IF(I708&gt;0,J708*100/I708,0)</f>
        <v>0</v>
      </c>
      <c r="L708" s="831"/>
      <c r="M708" s="963"/>
      <c r="N708" s="1380"/>
      <c r="O708" s="831"/>
      <c r="P708" s="831"/>
      <c r="Q708" s="1244"/>
      <c r="R708" s="1244"/>
      <c r="S708" s="1244"/>
      <c r="T708" s="1244"/>
      <c r="U708" s="1244"/>
      <c r="V708" s="1244"/>
      <c r="W708" s="1244"/>
      <c r="X708" s="1244"/>
      <c r="Y708" s="1244"/>
      <c r="Z708" s="1244"/>
    </row>
    <row r="709" spans="1:26" ht="18.75">
      <c r="A709" s="1368"/>
      <c r="B709" s="1243"/>
      <c r="C709" s="1243"/>
      <c r="D709" s="1243"/>
      <c r="E709" s="1243" t="s">
        <v>300</v>
      </c>
      <c r="F709" s="1243"/>
      <c r="G709" s="963"/>
      <c r="H709" s="730" t="s">
        <v>34</v>
      </c>
      <c r="I709" s="1379"/>
      <c r="J709" s="959">
        <v>0</v>
      </c>
      <c r="K709" s="831"/>
      <c r="L709" s="1380"/>
      <c r="M709" s="963"/>
      <c r="N709" s="1380"/>
      <c r="O709" s="831"/>
      <c r="P709" s="831"/>
      <c r="Q709" s="1244"/>
      <c r="R709" s="1244"/>
      <c r="S709" s="1244"/>
      <c r="T709" s="1244"/>
      <c r="U709" s="1244"/>
      <c r="V709" s="1244"/>
      <c r="W709" s="1244"/>
      <c r="X709" s="1244"/>
      <c r="Y709" s="1244"/>
      <c r="Z709" s="1244"/>
    </row>
    <row r="710" spans="1:26" ht="18.75">
      <c r="A710" s="1368"/>
      <c r="B710" s="1243"/>
      <c r="C710" s="1243"/>
      <c r="D710" s="1243"/>
      <c r="E710" s="1243"/>
      <c r="F710" s="1243"/>
      <c r="G710" s="963"/>
      <c r="H710" s="730" t="s">
        <v>46</v>
      </c>
      <c r="I710" s="1379"/>
      <c r="J710" s="959">
        <v>0</v>
      </c>
      <c r="K710" s="831"/>
      <c r="L710" s="1380"/>
      <c r="M710" s="963"/>
      <c r="N710" s="1380"/>
      <c r="O710" s="831"/>
      <c r="P710" s="831"/>
      <c r="Q710" s="1244"/>
      <c r="R710" s="1244"/>
      <c r="S710" s="1244"/>
      <c r="T710" s="1244"/>
      <c r="U710" s="1244"/>
      <c r="V710" s="1244"/>
      <c r="W710" s="1244"/>
      <c r="X710" s="1244"/>
      <c r="Y710" s="1244"/>
      <c r="Z710" s="1244"/>
    </row>
    <row r="711" spans="1:26" ht="18.75">
      <c r="A711" s="1368"/>
      <c r="B711" s="1243"/>
      <c r="C711" s="1243"/>
      <c r="D711" s="1243"/>
      <c r="E711" s="1243" t="s">
        <v>301</v>
      </c>
      <c r="F711" s="1243"/>
      <c r="G711" s="963"/>
      <c r="H711" s="954"/>
      <c r="I711" s="1379"/>
      <c r="J711" s="830"/>
      <c r="K711" s="831"/>
      <c r="L711" s="1380"/>
      <c r="M711" s="963"/>
      <c r="N711" s="1380"/>
      <c r="O711" s="831"/>
      <c r="P711" s="831"/>
      <c r="Q711" s="1244"/>
      <c r="R711" s="1244"/>
      <c r="S711" s="1244"/>
      <c r="T711" s="1244"/>
      <c r="U711" s="1244"/>
      <c r="V711" s="1244"/>
      <c r="W711" s="1244"/>
      <c r="X711" s="1244"/>
      <c r="Y711" s="1244"/>
      <c r="Z711" s="1244"/>
    </row>
    <row r="712" spans="1:26" ht="18.75">
      <c r="A712" s="1368"/>
      <c r="B712" s="1243"/>
      <c r="C712" s="1243"/>
      <c r="D712" s="1243"/>
      <c r="E712" s="1243"/>
      <c r="F712" s="1243" t="s">
        <v>302</v>
      </c>
      <c r="G712" s="963"/>
      <c r="H712" s="730" t="s">
        <v>35</v>
      </c>
      <c r="I712" s="1379"/>
      <c r="J712" s="959">
        <v>0</v>
      </c>
      <c r="K712" s="831"/>
      <c r="L712" s="1380"/>
      <c r="M712" s="963"/>
      <c r="N712" s="1380"/>
      <c r="O712" s="831"/>
      <c r="P712" s="831"/>
      <c r="Q712" s="1244"/>
      <c r="R712" s="1244"/>
      <c r="S712" s="1244"/>
      <c r="T712" s="1244"/>
      <c r="U712" s="1244"/>
      <c r="V712" s="1244"/>
      <c r="W712" s="1244"/>
      <c r="X712" s="1244"/>
      <c r="Y712" s="1244"/>
      <c r="Z712" s="1244"/>
    </row>
    <row r="713" spans="1:26" ht="18.75">
      <c r="A713" s="1368"/>
      <c r="B713" s="1243"/>
      <c r="C713" s="1243"/>
      <c r="D713" s="1243"/>
      <c r="E713" s="1243"/>
      <c r="F713" s="1243"/>
      <c r="G713" s="963"/>
      <c r="H713" s="730" t="s">
        <v>34</v>
      </c>
      <c r="I713" s="1379"/>
      <c r="J713" s="959">
        <v>0</v>
      </c>
      <c r="K713" s="831"/>
      <c r="L713" s="1380"/>
      <c r="M713" s="963"/>
      <c r="N713" s="1380"/>
      <c r="O713" s="831"/>
      <c r="P713" s="831"/>
      <c r="Q713" s="1244"/>
      <c r="R713" s="1244"/>
      <c r="S713" s="1244"/>
      <c r="T713" s="1244"/>
      <c r="U713" s="1244"/>
      <c r="V713" s="1244"/>
      <c r="W713" s="1244"/>
      <c r="X713" s="1244"/>
      <c r="Y713" s="1244"/>
      <c r="Z713" s="1244"/>
    </row>
    <row r="714" spans="1:26" ht="18.75">
      <c r="A714" s="1368"/>
      <c r="B714" s="1243"/>
      <c r="C714" s="1243"/>
      <c r="D714" s="1243"/>
      <c r="E714" s="1243"/>
      <c r="F714" s="1243"/>
      <c r="G714" s="963"/>
      <c r="H714" s="730" t="s">
        <v>46</v>
      </c>
      <c r="I714" s="1379"/>
      <c r="J714" s="959">
        <v>0</v>
      </c>
      <c r="K714" s="831"/>
      <c r="L714" s="1380"/>
      <c r="M714" s="963"/>
      <c r="N714" s="1380"/>
      <c r="O714" s="831"/>
      <c r="P714" s="831"/>
      <c r="Q714" s="1244"/>
      <c r="R714" s="1244"/>
      <c r="S714" s="1244"/>
      <c r="T714" s="1244"/>
      <c r="U714" s="1244"/>
      <c r="V714" s="1244"/>
      <c r="W714" s="1244"/>
      <c r="X714" s="1244"/>
      <c r="Y714" s="1244"/>
      <c r="Z714" s="1244"/>
    </row>
    <row r="715" spans="1:26" ht="18.75">
      <c r="A715" s="1368"/>
      <c r="B715" s="1243"/>
      <c r="C715" s="1243"/>
      <c r="D715" s="1243"/>
      <c r="E715" s="1243"/>
      <c r="F715" s="1243" t="s">
        <v>303</v>
      </c>
      <c r="G715" s="963"/>
      <c r="H715" s="730" t="s">
        <v>35</v>
      </c>
      <c r="I715" s="1379"/>
      <c r="J715" s="959">
        <v>0</v>
      </c>
      <c r="K715" s="831"/>
      <c r="L715" s="1380"/>
      <c r="M715" s="963"/>
      <c r="N715" s="1380"/>
      <c r="O715" s="831"/>
      <c r="P715" s="831"/>
      <c r="Q715" s="1244"/>
      <c r="R715" s="1244"/>
      <c r="S715" s="1244"/>
      <c r="T715" s="1244"/>
      <c r="U715" s="1244"/>
      <c r="V715" s="1244"/>
      <c r="W715" s="1244"/>
      <c r="X715" s="1244"/>
      <c r="Y715" s="1244"/>
      <c r="Z715" s="1244"/>
    </row>
    <row r="716" spans="1:26" ht="18.75">
      <c r="A716" s="1368"/>
      <c r="B716" s="1243"/>
      <c r="C716" s="1243"/>
      <c r="D716" s="1243"/>
      <c r="E716" s="1243"/>
      <c r="F716" s="1243"/>
      <c r="G716" s="963"/>
      <c r="H716" s="730" t="s">
        <v>34</v>
      </c>
      <c r="I716" s="1379"/>
      <c r="J716" s="959">
        <v>0</v>
      </c>
      <c r="K716" s="831"/>
      <c r="L716" s="1380"/>
      <c r="M716" s="963"/>
      <c r="N716" s="1380"/>
      <c r="O716" s="831"/>
      <c r="P716" s="831"/>
      <c r="Q716" s="1244"/>
      <c r="R716" s="1244"/>
      <c r="S716" s="1244"/>
      <c r="T716" s="1244"/>
      <c r="U716" s="1244"/>
      <c r="V716" s="1244"/>
      <c r="W716" s="1244"/>
      <c r="X716" s="1244"/>
      <c r="Y716" s="1244"/>
      <c r="Z716" s="1244"/>
    </row>
    <row r="717" spans="1:26" ht="18.75">
      <c r="A717" s="1368"/>
      <c r="B717" s="1243"/>
      <c r="C717" s="1243"/>
      <c r="D717" s="1243"/>
      <c r="E717" s="1243"/>
      <c r="F717" s="1243"/>
      <c r="G717" s="963"/>
      <c r="H717" s="730" t="s">
        <v>46</v>
      </c>
      <c r="I717" s="1379"/>
      <c r="J717" s="959">
        <v>0</v>
      </c>
      <c r="K717" s="831"/>
      <c r="L717" s="1380"/>
      <c r="M717" s="963"/>
      <c r="N717" s="1380"/>
      <c r="O717" s="831"/>
      <c r="P717" s="831"/>
      <c r="Q717" s="1244"/>
      <c r="R717" s="1244"/>
      <c r="S717" s="1244"/>
      <c r="T717" s="1244"/>
      <c r="U717" s="1244"/>
      <c r="V717" s="1244"/>
      <c r="W717" s="1244"/>
      <c r="X717" s="1244"/>
      <c r="Y717" s="1244"/>
      <c r="Z717" s="1244"/>
    </row>
    <row r="718" spans="1:26" ht="18.75">
      <c r="A718" s="1368"/>
      <c r="B718" s="1243"/>
      <c r="C718" s="1243"/>
      <c r="D718" s="1243" t="s">
        <v>304</v>
      </c>
      <c r="E718" s="1243"/>
      <c r="F718" s="1243"/>
      <c r="G718" s="963"/>
      <c r="H718" s="730" t="s">
        <v>35</v>
      </c>
      <c r="I718" s="1379"/>
      <c r="J718" s="830">
        <f ca="1">IFERROR(__xludf.DUMMYFUNCTION("IMPORTRANGE(""https://docs.google.com/spreadsheets/d/1XWAQStnk-4SwqDmLtmXYiTMKHgktTP8We1SCoS47DrQ/edit?usp=sharing"",""จัดที่ดิน!BF20"")"),0)</f>
        <v>0</v>
      </c>
      <c r="K718" s="831"/>
      <c r="L718" s="831"/>
      <c r="M718" s="963"/>
      <c r="N718" s="1380"/>
      <c r="O718" s="831"/>
      <c r="P718" s="831"/>
      <c r="Q718" s="1244"/>
      <c r="R718" s="1244"/>
      <c r="S718" s="1244"/>
      <c r="T718" s="1244"/>
      <c r="U718" s="1244"/>
      <c r="V718" s="1244"/>
      <c r="W718" s="1244"/>
      <c r="X718" s="1244"/>
      <c r="Y718" s="1244"/>
      <c r="Z718" s="1244"/>
    </row>
    <row r="719" spans="1:26" ht="18.75">
      <c r="A719" s="1368"/>
      <c r="B719" s="1243"/>
      <c r="C719" s="1243"/>
      <c r="D719" s="1243"/>
      <c r="E719" s="1243"/>
      <c r="F719" s="1243"/>
      <c r="G719" s="963"/>
      <c r="H719" s="730" t="s">
        <v>34</v>
      </c>
      <c r="I719" s="1379"/>
      <c r="J719" s="830">
        <f ca="1">IFERROR(__xludf.DUMMYFUNCTION("IMPORTRANGE(""https://docs.google.com/spreadsheets/d/1XWAQStnk-4SwqDmLtmXYiTMKHgktTP8We1SCoS47DrQ/edit?usp=sharing"",""จัดที่ดิน!BG20"")"),0)</f>
        <v>0</v>
      </c>
      <c r="K719" s="831"/>
      <c r="L719" s="1380"/>
      <c r="M719" s="963"/>
      <c r="N719" s="1380"/>
      <c r="O719" s="831"/>
      <c r="P719" s="831"/>
      <c r="Q719" s="1244"/>
      <c r="R719" s="1244"/>
      <c r="S719" s="1244"/>
      <c r="T719" s="1244"/>
      <c r="U719" s="1244"/>
      <c r="V719" s="1244"/>
      <c r="W719" s="1244"/>
      <c r="X719" s="1244"/>
      <c r="Y719" s="1244"/>
      <c r="Z719" s="1244"/>
    </row>
    <row r="720" spans="1:26" ht="18.75">
      <c r="A720" s="1368"/>
      <c r="B720" s="1243"/>
      <c r="C720" s="1243"/>
      <c r="D720" s="1243"/>
      <c r="E720" s="1243"/>
      <c r="F720" s="1243"/>
      <c r="G720" s="963"/>
      <c r="H720" s="730" t="s">
        <v>46</v>
      </c>
      <c r="I720" s="1379">
        <f ca="1">IFERROR(__xludf.DUMMYFUNCTION("IMPORTRANGE(""https://docs.google.com/spreadsheets/d/1QqKyyYR6Q21VydFLVH3TRQUabQu_ym0Zz7PgGX0-kHA/edit?usp=sharing"",""แผน!II20"")"),0)</f>
        <v>0</v>
      </c>
      <c r="J720" s="830">
        <f ca="1">IFERROR(__xludf.DUMMYFUNCTION("IMPORTRANGE(""https://docs.google.com/spreadsheets/d/1XWAQStnk-4SwqDmLtmXYiTMKHgktTP8We1SCoS47DrQ/edit?usp=sharing"",""จัดที่ดิน!BH20"")"),0)</f>
        <v>0</v>
      </c>
      <c r="K720" s="831">
        <f t="shared" ref="K720:K723" ca="1" si="291">IF(I720&gt;0,J720*100/I720,0)</f>
        <v>0</v>
      </c>
      <c r="L720" s="1380"/>
      <c r="M720" s="963"/>
      <c r="N720" s="1380"/>
      <c r="O720" s="831"/>
      <c r="P720" s="831"/>
      <c r="Q720" s="1244"/>
      <c r="R720" s="1244"/>
      <c r="S720" s="1244"/>
      <c r="T720" s="1244"/>
      <c r="U720" s="1244"/>
      <c r="V720" s="1244"/>
      <c r="W720" s="1244"/>
      <c r="X720" s="1244"/>
      <c r="Y720" s="1244"/>
      <c r="Z720" s="1244"/>
    </row>
    <row r="721" spans="1:26" ht="19.5">
      <c r="A721" s="1368"/>
      <c r="B721" s="1243"/>
      <c r="C721" s="1243"/>
      <c r="D721" s="1243" t="s">
        <v>305</v>
      </c>
      <c r="E721" s="1243"/>
      <c r="F721" s="1243"/>
      <c r="G721" s="963"/>
      <c r="H721" s="733" t="s">
        <v>35</v>
      </c>
      <c r="I721" s="1381">
        <f ca="1">IFERROR(__xludf.DUMMYFUNCTION("IMPORTRANGE(""https://docs.google.com/spreadsheets/d/1QqKyyYR6Q21VydFLVH3TRQUabQu_ym0Zz7PgGX0-kHA/edit?usp=sharing"",""แผน!IJ20"")"),0)</f>
        <v>0</v>
      </c>
      <c r="J721" s="966">
        <f ca="1">J723+J726</f>
        <v>0</v>
      </c>
      <c r="K721" s="967">
        <f t="shared" ca="1" si="291"/>
        <v>0</v>
      </c>
      <c r="L721" s="1380"/>
      <c r="M721" s="963"/>
      <c r="N721" s="1380"/>
      <c r="O721" s="831"/>
      <c r="P721" s="831"/>
      <c r="Q721" s="1244"/>
      <c r="R721" s="1244"/>
      <c r="S721" s="1244"/>
      <c r="T721" s="1244"/>
      <c r="U721" s="1244"/>
      <c r="V721" s="1244"/>
      <c r="W721" s="1244"/>
      <c r="X721" s="1244"/>
      <c r="Y721" s="1244"/>
      <c r="Z721" s="1244"/>
    </row>
    <row r="722" spans="1:26" ht="19.5">
      <c r="A722" s="1368"/>
      <c r="B722" s="1243"/>
      <c r="C722" s="1243"/>
      <c r="D722" s="1243"/>
      <c r="E722" s="1243"/>
      <c r="F722" s="1243"/>
      <c r="G722" s="963"/>
      <c r="H722" s="733" t="s">
        <v>46</v>
      </c>
      <c r="I722" s="1381">
        <f ca="1">IFERROR(__xludf.DUMMYFUNCTION("IMPORTRANGE(""https://docs.google.com/spreadsheets/d/1QqKyyYR6Q21VydFLVH3TRQUabQu_ym0Zz7PgGX0-kHA/edit?usp=sharing"",""แผน!IK20"")"),0)</f>
        <v>0</v>
      </c>
      <c r="J722" s="966">
        <f ca="1">J725+J728</f>
        <v>0</v>
      </c>
      <c r="K722" s="967">
        <f t="shared" ca="1" si="291"/>
        <v>0</v>
      </c>
      <c r="L722" s="831"/>
      <c r="M722" s="963"/>
      <c r="N722" s="1380"/>
      <c r="O722" s="831"/>
      <c r="P722" s="831"/>
      <c r="Q722" s="1244"/>
      <c r="R722" s="1244"/>
      <c r="S722" s="1244"/>
      <c r="T722" s="1244"/>
      <c r="U722" s="1244"/>
      <c r="V722" s="1244"/>
      <c r="W722" s="1244"/>
      <c r="X722" s="1244"/>
      <c r="Y722" s="1244"/>
      <c r="Z722" s="1244"/>
    </row>
    <row r="723" spans="1:26" ht="18.75">
      <c r="A723" s="1368"/>
      <c r="B723" s="1243"/>
      <c r="C723" s="1243"/>
      <c r="D723" s="1243"/>
      <c r="E723" s="1243" t="s">
        <v>306</v>
      </c>
      <c r="F723" s="1243"/>
      <c r="G723" s="963"/>
      <c r="H723" s="730" t="s">
        <v>35</v>
      </c>
      <c r="I723" s="1379">
        <f ca="1">IFERROR(__xludf.DUMMYFUNCTION("IMPORTRANGE(""https://docs.google.com/spreadsheets/d/1QqKyyYR6Q21VydFLVH3TRQUabQu_ym0Zz7PgGX0-kHA/edit?usp=sharing"",""แผน!IL20"")"),0)</f>
        <v>0</v>
      </c>
      <c r="J723" s="830">
        <f ca="1">IFERROR(__xludf.DUMMYFUNCTION("IMPORTRANGE(""https://docs.google.com/spreadsheets/d/1XWAQStnk-4SwqDmLtmXYiTMKHgktTP8We1SCoS47DrQ/edit?usp=sharing"",""จัดที่ดิน!BM20"")"),0)</f>
        <v>0</v>
      </c>
      <c r="K723" s="831">
        <f t="shared" ca="1" si="291"/>
        <v>0</v>
      </c>
      <c r="L723" s="831"/>
      <c r="M723" s="963"/>
      <c r="N723" s="1380"/>
      <c r="O723" s="831"/>
      <c r="P723" s="831"/>
      <c r="Q723" s="1244"/>
      <c r="R723" s="1244"/>
      <c r="S723" s="1244"/>
      <c r="T723" s="1244"/>
      <c r="U723" s="1244"/>
      <c r="V723" s="1244"/>
      <c r="W723" s="1244"/>
      <c r="X723" s="1244"/>
      <c r="Y723" s="1244"/>
      <c r="Z723" s="1244"/>
    </row>
    <row r="724" spans="1:26" ht="18.75">
      <c r="A724" s="1368"/>
      <c r="B724" s="1243"/>
      <c r="C724" s="1243"/>
      <c r="D724" s="1243"/>
      <c r="E724" s="1243"/>
      <c r="F724" s="1243"/>
      <c r="G724" s="963"/>
      <c r="H724" s="730" t="s">
        <v>34</v>
      </c>
      <c r="I724" s="1379"/>
      <c r="J724" s="830">
        <f ca="1">IFERROR(__xludf.DUMMYFUNCTION("IMPORTRANGE(""https://docs.google.com/spreadsheets/d/1XWAQStnk-4SwqDmLtmXYiTMKHgktTP8We1SCoS47DrQ/edit?usp=sharing"",""จัดที่ดิน!BN20"")"),0)</f>
        <v>0</v>
      </c>
      <c r="K724" s="831"/>
      <c r="L724" s="1380"/>
      <c r="M724" s="963"/>
      <c r="N724" s="1380"/>
      <c r="O724" s="831"/>
      <c r="P724" s="831"/>
      <c r="Q724" s="1244"/>
      <c r="R724" s="1244"/>
      <c r="S724" s="1244"/>
      <c r="T724" s="1244"/>
      <c r="U724" s="1244"/>
      <c r="V724" s="1244"/>
      <c r="W724" s="1244"/>
      <c r="X724" s="1244"/>
      <c r="Y724" s="1244"/>
      <c r="Z724" s="1244"/>
    </row>
    <row r="725" spans="1:26" ht="18.75">
      <c r="A725" s="1368"/>
      <c r="B725" s="1243"/>
      <c r="C725" s="1243"/>
      <c r="D725" s="1243"/>
      <c r="E725" s="1243"/>
      <c r="F725" s="1243"/>
      <c r="G725" s="963"/>
      <c r="H725" s="730" t="s">
        <v>46</v>
      </c>
      <c r="I725" s="1379">
        <f ca="1">IFERROR(__xludf.DUMMYFUNCTION("IMPORTRANGE(""https://docs.google.com/spreadsheets/d/1QqKyyYR6Q21VydFLVH3TRQUabQu_ym0Zz7PgGX0-kHA/edit?usp=sharing"",""แผน!IM20"")"),0)</f>
        <v>0</v>
      </c>
      <c r="J725" s="830">
        <f ca="1">IFERROR(__xludf.DUMMYFUNCTION("IMPORTRANGE(""https://docs.google.com/spreadsheets/d/1XWAQStnk-4SwqDmLtmXYiTMKHgktTP8We1SCoS47DrQ/edit?usp=sharing"",""จัดที่ดิน!BO20"")"),0)</f>
        <v>0</v>
      </c>
      <c r="K725" s="831">
        <f t="shared" ref="K725:K726" ca="1" si="292">IF(I725&gt;0,J725*100/I725,0)</f>
        <v>0</v>
      </c>
      <c r="L725" s="1380"/>
      <c r="M725" s="963"/>
      <c r="N725" s="1380"/>
      <c r="O725" s="831"/>
      <c r="P725" s="831"/>
      <c r="Q725" s="1244"/>
      <c r="R725" s="1244"/>
      <c r="S725" s="1244"/>
      <c r="T725" s="1244"/>
      <c r="U725" s="1244"/>
      <c r="V725" s="1244"/>
      <c r="W725" s="1244"/>
      <c r="X725" s="1244"/>
      <c r="Y725" s="1244"/>
      <c r="Z725" s="1244"/>
    </row>
    <row r="726" spans="1:26" ht="18.75">
      <c r="A726" s="1368"/>
      <c r="B726" s="1243"/>
      <c r="C726" s="1243"/>
      <c r="D726" s="1243"/>
      <c r="E726" s="1243" t="s">
        <v>307</v>
      </c>
      <c r="F726" s="1243"/>
      <c r="G726" s="963"/>
      <c r="H726" s="730" t="s">
        <v>35</v>
      </c>
      <c r="I726" s="1379">
        <f ca="1">IFERROR(__xludf.DUMMYFUNCTION("IMPORTRANGE(""https://docs.google.com/spreadsheets/d/1QqKyyYR6Q21VydFLVH3TRQUabQu_ym0Zz7PgGX0-kHA/edit?usp=sharing"",""แผน!IN20"")"),0)</f>
        <v>0</v>
      </c>
      <c r="J726" s="830">
        <f ca="1">IFERROR(__xludf.DUMMYFUNCTION("IMPORTRANGE(""https://docs.google.com/spreadsheets/d/1XWAQStnk-4SwqDmLtmXYiTMKHgktTP8We1SCoS47DrQ/edit?usp=sharing"",""จัดที่ดิน!BR20"")"),0)</f>
        <v>0</v>
      </c>
      <c r="K726" s="831">
        <f t="shared" ca="1" si="292"/>
        <v>0</v>
      </c>
      <c r="L726" s="831"/>
      <c r="M726" s="963"/>
      <c r="N726" s="1380"/>
      <c r="O726" s="831"/>
      <c r="P726" s="831"/>
      <c r="Q726" s="1244"/>
      <c r="R726" s="1244"/>
      <c r="S726" s="1244"/>
      <c r="T726" s="1244"/>
      <c r="U726" s="1244"/>
      <c r="V726" s="1244"/>
      <c r="W726" s="1244"/>
      <c r="X726" s="1244"/>
      <c r="Y726" s="1244"/>
      <c r="Z726" s="1244"/>
    </row>
    <row r="727" spans="1:26" ht="18.75">
      <c r="A727" s="1368"/>
      <c r="B727" s="1243"/>
      <c r="C727" s="1243"/>
      <c r="D727" s="1243"/>
      <c r="E727" s="1243"/>
      <c r="F727" s="1243"/>
      <c r="G727" s="963"/>
      <c r="H727" s="730" t="s">
        <v>34</v>
      </c>
      <c r="I727" s="1379"/>
      <c r="J727" s="830">
        <f ca="1">IFERROR(__xludf.DUMMYFUNCTION("IMPORTRANGE(""https://docs.google.com/spreadsheets/d/1XWAQStnk-4SwqDmLtmXYiTMKHgktTP8We1SCoS47DrQ/edit?usp=sharing"",""จัดที่ดิน!BS20"")"),0)</f>
        <v>0</v>
      </c>
      <c r="K727" s="831"/>
      <c r="L727" s="1380"/>
      <c r="M727" s="963"/>
      <c r="N727" s="1380"/>
      <c r="O727" s="831"/>
      <c r="P727" s="831"/>
      <c r="Q727" s="1244"/>
      <c r="R727" s="1244"/>
      <c r="S727" s="1244"/>
      <c r="T727" s="1244"/>
      <c r="U727" s="1244"/>
      <c r="V727" s="1244"/>
      <c r="W727" s="1244"/>
      <c r="X727" s="1244"/>
      <c r="Y727" s="1244"/>
      <c r="Z727" s="1244"/>
    </row>
    <row r="728" spans="1:26" ht="18.75">
      <c r="A728" s="1368"/>
      <c r="B728" s="1243"/>
      <c r="C728" s="1243"/>
      <c r="D728" s="1243"/>
      <c r="E728" s="1243"/>
      <c r="F728" s="1243"/>
      <c r="G728" s="963"/>
      <c r="H728" s="730" t="s">
        <v>46</v>
      </c>
      <c r="I728" s="1379">
        <f ca="1">IFERROR(__xludf.DUMMYFUNCTION("IMPORTRANGE(""https://docs.google.com/spreadsheets/d/1QqKyyYR6Q21VydFLVH3TRQUabQu_ym0Zz7PgGX0-kHA/edit?usp=sharing"",""แผน!IO20"")"),0)</f>
        <v>0</v>
      </c>
      <c r="J728" s="830">
        <f ca="1">IFERROR(__xludf.DUMMYFUNCTION("IMPORTRANGE(""https://docs.google.com/spreadsheets/d/1XWAQStnk-4SwqDmLtmXYiTMKHgktTP8We1SCoS47DrQ/edit?usp=sharing"",""จัดที่ดิน!BT20"")"),0)</f>
        <v>0</v>
      </c>
      <c r="K728" s="831">
        <f t="shared" ref="K728:K729" ca="1" si="293">IF(I728&gt;0,J728*100/I728,0)</f>
        <v>0</v>
      </c>
      <c r="L728" s="1380"/>
      <c r="M728" s="963"/>
      <c r="N728" s="1380"/>
      <c r="O728" s="831"/>
      <c r="P728" s="831"/>
      <c r="Q728" s="1244"/>
      <c r="R728" s="1244"/>
      <c r="S728" s="1244"/>
      <c r="T728" s="1244"/>
      <c r="U728" s="1244"/>
      <c r="V728" s="1244"/>
      <c r="W728" s="1244"/>
      <c r="X728" s="1244"/>
      <c r="Y728" s="1244"/>
      <c r="Z728" s="1244"/>
    </row>
    <row r="729" spans="1:26" ht="19.5">
      <c r="A729" s="1368"/>
      <c r="B729" s="1243"/>
      <c r="C729" s="1243"/>
      <c r="D729" s="1243" t="s">
        <v>308</v>
      </c>
      <c r="E729" s="1243"/>
      <c r="F729" s="1243"/>
      <c r="G729" s="963"/>
      <c r="H729" s="733" t="s">
        <v>46</v>
      </c>
      <c r="I729" s="1381">
        <f ca="1">IFERROR(__xludf.DUMMYFUNCTION("IMPORTRANGE(""https://docs.google.com/spreadsheets/d/1QqKyyYR6Q21VydFLVH3TRQUabQu_ym0Zz7PgGX0-kHA/edit?usp=sharing"",""แผน!IP20"")"),0)</f>
        <v>0</v>
      </c>
      <c r="J729" s="966">
        <f>J732+J735</f>
        <v>0</v>
      </c>
      <c r="K729" s="967">
        <f t="shared" ca="1" si="293"/>
        <v>0</v>
      </c>
      <c r="L729" s="831"/>
      <c r="M729" s="963"/>
      <c r="N729" s="1380"/>
      <c r="O729" s="831"/>
      <c r="P729" s="831"/>
      <c r="Q729" s="1244"/>
      <c r="R729" s="1244"/>
      <c r="S729" s="1244"/>
      <c r="T729" s="1244"/>
      <c r="U729" s="1244"/>
      <c r="V729" s="1244"/>
      <c r="W729" s="1244"/>
      <c r="X729" s="1244"/>
      <c r="Y729" s="1244"/>
      <c r="Z729" s="1244"/>
    </row>
    <row r="730" spans="1:26" ht="18.75">
      <c r="A730" s="1368"/>
      <c r="B730" s="1243"/>
      <c r="C730" s="1243"/>
      <c r="D730" s="1243"/>
      <c r="E730" s="1243" t="s">
        <v>309</v>
      </c>
      <c r="F730" s="1243"/>
      <c r="G730" s="963"/>
      <c r="H730" s="730" t="s">
        <v>35</v>
      </c>
      <c r="I730" s="1379"/>
      <c r="J730" s="959">
        <v>0</v>
      </c>
      <c r="K730" s="831"/>
      <c r="L730" s="1380"/>
      <c r="M730" s="831"/>
      <c r="N730" s="1380"/>
      <c r="O730" s="831"/>
      <c r="P730" s="831"/>
      <c r="Q730" s="1244"/>
      <c r="R730" s="1244"/>
      <c r="S730" s="1244"/>
      <c r="T730" s="1244"/>
      <c r="U730" s="1244"/>
      <c r="V730" s="1244"/>
      <c r="W730" s="1244"/>
      <c r="X730" s="1244"/>
      <c r="Y730" s="1244"/>
      <c r="Z730" s="1244"/>
    </row>
    <row r="731" spans="1:26" ht="18.75">
      <c r="A731" s="1368"/>
      <c r="B731" s="1243"/>
      <c r="C731" s="1243"/>
      <c r="D731" s="1243"/>
      <c r="E731" s="1243"/>
      <c r="F731" s="1243"/>
      <c r="G731" s="963"/>
      <c r="H731" s="730" t="s">
        <v>34</v>
      </c>
      <c r="I731" s="1379"/>
      <c r="J731" s="959">
        <v>0</v>
      </c>
      <c r="K731" s="831"/>
      <c r="L731" s="1380"/>
      <c r="M731" s="831"/>
      <c r="N731" s="1380"/>
      <c r="O731" s="831"/>
      <c r="P731" s="831"/>
      <c r="Q731" s="1244"/>
      <c r="R731" s="1244"/>
      <c r="S731" s="1244"/>
      <c r="T731" s="1244"/>
      <c r="U731" s="1244"/>
      <c r="V731" s="1244"/>
      <c r="W731" s="1244"/>
      <c r="X731" s="1244"/>
      <c r="Y731" s="1244"/>
      <c r="Z731" s="1244"/>
    </row>
    <row r="732" spans="1:26" ht="18.75">
      <c r="A732" s="1368"/>
      <c r="B732" s="1243"/>
      <c r="C732" s="1243"/>
      <c r="D732" s="1243"/>
      <c r="E732" s="1243"/>
      <c r="F732" s="1243"/>
      <c r="G732" s="963"/>
      <c r="H732" s="730" t="s">
        <v>46</v>
      </c>
      <c r="I732" s="1379"/>
      <c r="J732" s="959">
        <v>0</v>
      </c>
      <c r="K732" s="831"/>
      <c r="L732" s="1380"/>
      <c r="M732" s="831"/>
      <c r="N732" s="1380"/>
      <c r="O732" s="831"/>
      <c r="P732" s="831"/>
      <c r="Q732" s="1244"/>
      <c r="R732" s="1244"/>
      <c r="S732" s="1244"/>
      <c r="T732" s="1244"/>
      <c r="U732" s="1244"/>
      <c r="V732" s="1244"/>
      <c r="W732" s="1244"/>
      <c r="X732" s="1244"/>
      <c r="Y732" s="1244"/>
      <c r="Z732" s="1244"/>
    </row>
    <row r="733" spans="1:26" ht="18.75">
      <c r="A733" s="1368"/>
      <c r="B733" s="1243"/>
      <c r="C733" s="1243"/>
      <c r="D733" s="1243"/>
      <c r="E733" s="1243" t="s">
        <v>310</v>
      </c>
      <c r="F733" s="1243"/>
      <c r="G733" s="963"/>
      <c r="H733" s="730" t="s">
        <v>35</v>
      </c>
      <c r="I733" s="1379"/>
      <c r="J733" s="959">
        <v>0</v>
      </c>
      <c r="K733" s="831"/>
      <c r="L733" s="1380"/>
      <c r="M733" s="831"/>
      <c r="N733" s="1380"/>
      <c r="O733" s="831"/>
      <c r="P733" s="831"/>
      <c r="Q733" s="1244"/>
      <c r="R733" s="1244"/>
      <c r="S733" s="1244"/>
      <c r="T733" s="1244"/>
      <c r="U733" s="1244"/>
      <c r="V733" s="1244"/>
      <c r="W733" s="1244"/>
      <c r="X733" s="1244"/>
      <c r="Y733" s="1244"/>
      <c r="Z733" s="1244"/>
    </row>
    <row r="734" spans="1:26" ht="18.75">
      <c r="A734" s="1368"/>
      <c r="B734" s="1243"/>
      <c r="C734" s="1243"/>
      <c r="D734" s="1243"/>
      <c r="E734" s="1243"/>
      <c r="F734" s="1243"/>
      <c r="G734" s="963"/>
      <c r="H734" s="730" t="s">
        <v>34</v>
      </c>
      <c r="I734" s="1379"/>
      <c r="J734" s="959">
        <v>0</v>
      </c>
      <c r="K734" s="831"/>
      <c r="L734" s="1380"/>
      <c r="M734" s="831"/>
      <c r="N734" s="1380"/>
      <c r="O734" s="831"/>
      <c r="P734" s="831"/>
      <c r="Q734" s="1244"/>
      <c r="R734" s="1244"/>
      <c r="S734" s="1244"/>
      <c r="T734" s="1244"/>
      <c r="U734" s="1244"/>
      <c r="V734" s="1244"/>
      <c r="W734" s="1244"/>
      <c r="X734" s="1244"/>
      <c r="Y734" s="1244"/>
      <c r="Z734" s="1244"/>
    </row>
    <row r="735" spans="1:26" ht="19.5">
      <c r="A735" s="1382"/>
      <c r="B735" s="1383" t="s">
        <v>311</v>
      </c>
      <c r="C735" s="1116"/>
      <c r="D735" s="1116"/>
      <c r="E735" s="1116"/>
      <c r="F735" s="1116"/>
      <c r="G735" s="1361"/>
      <c r="H735" s="391" t="s">
        <v>46</v>
      </c>
      <c r="I735" s="1384"/>
      <c r="J735" s="1118">
        <v>0</v>
      </c>
      <c r="K735" s="1182"/>
      <c r="L735" s="1385"/>
      <c r="M735" s="1182"/>
      <c r="N735" s="1385"/>
      <c r="O735" s="1182"/>
      <c r="P735" s="1182"/>
      <c r="Q735" s="1244"/>
      <c r="R735" s="1244"/>
      <c r="S735" s="1244"/>
      <c r="T735" s="1244"/>
      <c r="U735" s="1244"/>
      <c r="V735" s="1244"/>
      <c r="W735" s="1244"/>
      <c r="X735" s="1244"/>
      <c r="Y735" s="1244"/>
      <c r="Z735" s="1244"/>
    </row>
    <row r="736" spans="1:26" ht="19.5" hidden="1">
      <c r="A736" s="740">
        <v>9</v>
      </c>
      <c r="B736" s="1386" t="s">
        <v>312</v>
      </c>
      <c r="C736" s="1387"/>
      <c r="D736" s="1387"/>
      <c r="E736" s="1387"/>
      <c r="F736" s="1387"/>
      <c r="G736" s="1388"/>
      <c r="H736" s="744" t="s">
        <v>46</v>
      </c>
      <c r="I736" s="1389"/>
      <c r="J736" s="1389">
        <f>J751</f>
        <v>0</v>
      </c>
      <c r="K736" s="1390">
        <f>IF(I736&gt;0,J736*100/I736,0)</f>
        <v>0</v>
      </c>
      <c r="L736" s="1391"/>
      <c r="M736" s="1391"/>
      <c r="N736" s="1391"/>
      <c r="O736" s="1391"/>
      <c r="P736" s="1391"/>
      <c r="Q736" s="1264"/>
      <c r="R736" s="1264"/>
      <c r="S736" s="1264"/>
      <c r="T736" s="1264"/>
      <c r="U736" s="1264"/>
      <c r="V736" s="1264"/>
      <c r="W736" s="1264"/>
      <c r="X736" s="1264"/>
      <c r="Y736" s="1264"/>
      <c r="Z736" s="1264"/>
    </row>
    <row r="737" spans="1:26" ht="19.5" hidden="1">
      <c r="A737" s="1260"/>
      <c r="B737" s="1261"/>
      <c r="C737" s="1261" t="s">
        <v>16</v>
      </c>
      <c r="D737" s="1508" t="s">
        <v>17</v>
      </c>
      <c r="E737" s="1485"/>
      <c r="F737" s="1485"/>
      <c r="G737" s="1263"/>
      <c r="H737" s="612" t="s">
        <v>12</v>
      </c>
      <c r="I737" s="836"/>
      <c r="J737" s="836"/>
      <c r="K737" s="837"/>
      <c r="L737" s="1292">
        <f t="shared" ref="L737:N737" si="294">L738+L739</f>
        <v>0</v>
      </c>
      <c r="M737" s="1292">
        <f t="shared" si="294"/>
        <v>0</v>
      </c>
      <c r="N737" s="1292">
        <f t="shared" si="294"/>
        <v>0</v>
      </c>
      <c r="O737" s="1292">
        <f t="shared" ref="O737:O742" si="295">IF(L737&gt;0,N737*100/L737,0)</f>
        <v>0</v>
      </c>
      <c r="P737" s="1292">
        <f t="shared" ref="P737:P742" si="296">IF(M737&gt;0,N737*100/M737,0)</f>
        <v>0</v>
      </c>
      <c r="Q737" s="1264"/>
      <c r="R737" s="1264"/>
      <c r="S737" s="1264"/>
      <c r="T737" s="1264"/>
      <c r="U737" s="1264"/>
      <c r="V737" s="1264"/>
      <c r="W737" s="1264"/>
      <c r="X737" s="1264"/>
      <c r="Y737" s="1264"/>
      <c r="Z737" s="1264"/>
    </row>
    <row r="738" spans="1:26" ht="18.75" hidden="1">
      <c r="A738" s="1260"/>
      <c r="B738" s="1261"/>
      <c r="C738" s="1261"/>
      <c r="D738" s="1262"/>
      <c r="E738" s="1261" t="s">
        <v>184</v>
      </c>
      <c r="F738" s="1261"/>
      <c r="G738" s="1263"/>
      <c r="H738" s="165" t="s">
        <v>12</v>
      </c>
      <c r="I738" s="836"/>
      <c r="J738" s="836"/>
      <c r="K738" s="837"/>
      <c r="L738" s="837">
        <f t="shared" ref="L738:N739" si="297">L741+L748</f>
        <v>0</v>
      </c>
      <c r="M738" s="837">
        <f t="shared" si="297"/>
        <v>0</v>
      </c>
      <c r="N738" s="837">
        <f t="shared" si="297"/>
        <v>0</v>
      </c>
      <c r="O738" s="837">
        <f t="shared" si="295"/>
        <v>0</v>
      </c>
      <c r="P738" s="837">
        <f t="shared" si="296"/>
        <v>0</v>
      </c>
      <c r="Q738" s="1264"/>
      <c r="R738" s="1264"/>
      <c r="S738" s="1264"/>
      <c r="T738" s="1264"/>
      <c r="U738" s="1264"/>
      <c r="V738" s="1264"/>
      <c r="W738" s="1264"/>
      <c r="X738" s="1264"/>
      <c r="Y738" s="1264"/>
      <c r="Z738" s="1264"/>
    </row>
    <row r="739" spans="1:26" ht="18.75" hidden="1">
      <c r="A739" s="1260"/>
      <c r="B739" s="1265"/>
      <c r="C739" s="1261"/>
      <c r="D739" s="1262"/>
      <c r="E739" s="1261" t="s">
        <v>185</v>
      </c>
      <c r="F739" s="1261"/>
      <c r="G739" s="1263"/>
      <c r="H739" s="165" t="s">
        <v>12</v>
      </c>
      <c r="I739" s="836"/>
      <c r="J739" s="836"/>
      <c r="K739" s="837"/>
      <c r="L739" s="837">
        <f t="shared" si="297"/>
        <v>0</v>
      </c>
      <c r="M739" s="837">
        <f t="shared" si="297"/>
        <v>0</v>
      </c>
      <c r="N739" s="837">
        <f t="shared" si="297"/>
        <v>0</v>
      </c>
      <c r="O739" s="837">
        <f t="shared" si="295"/>
        <v>0</v>
      </c>
      <c r="P739" s="837">
        <f t="shared" si="296"/>
        <v>0</v>
      </c>
      <c r="Q739" s="1264"/>
      <c r="R739" s="1264"/>
      <c r="S739" s="1264"/>
      <c r="T739" s="1264"/>
      <c r="U739" s="1264"/>
      <c r="V739" s="1264"/>
      <c r="W739" s="1264"/>
      <c r="X739" s="1264"/>
      <c r="Y739" s="1264"/>
      <c r="Z739" s="1264"/>
    </row>
    <row r="740" spans="1:26" ht="19.5" hidden="1">
      <c r="A740" s="1260"/>
      <c r="B740" s="1265"/>
      <c r="C740" s="1261"/>
      <c r="D740" s="1392" t="s">
        <v>20</v>
      </c>
      <c r="E740" s="1261"/>
      <c r="F740" s="1261"/>
      <c r="G740" s="1263"/>
      <c r="H740" s="612" t="s">
        <v>12</v>
      </c>
      <c r="I740" s="947"/>
      <c r="J740" s="947"/>
      <c r="K740" s="948"/>
      <c r="L740" s="1292">
        <f t="shared" ref="L740:N740" si="298">L741+L742</f>
        <v>0</v>
      </c>
      <c r="M740" s="1292">
        <f t="shared" si="298"/>
        <v>0</v>
      </c>
      <c r="N740" s="1292">
        <f t="shared" si="298"/>
        <v>0</v>
      </c>
      <c r="O740" s="1292">
        <f t="shared" si="295"/>
        <v>0</v>
      </c>
      <c r="P740" s="1292">
        <f t="shared" si="296"/>
        <v>0</v>
      </c>
      <c r="Q740" s="1264"/>
      <c r="R740" s="1264"/>
      <c r="S740" s="1264"/>
      <c r="T740" s="1264"/>
      <c r="U740" s="1264"/>
      <c r="V740" s="1264"/>
      <c r="W740" s="1264"/>
      <c r="X740" s="1264"/>
      <c r="Y740" s="1264"/>
      <c r="Z740" s="1264"/>
    </row>
    <row r="741" spans="1:26" ht="18.75" hidden="1">
      <c r="A741" s="1260"/>
      <c r="B741" s="1265"/>
      <c r="C741" s="1261"/>
      <c r="D741" s="1262"/>
      <c r="E741" s="1261" t="s">
        <v>184</v>
      </c>
      <c r="F741" s="1261"/>
      <c r="G741" s="1263"/>
      <c r="H741" s="165" t="s">
        <v>12</v>
      </c>
      <c r="I741" s="836"/>
      <c r="J741" s="836"/>
      <c r="K741" s="837"/>
      <c r="L741" s="837">
        <v>0</v>
      </c>
      <c r="M741" s="837">
        <v>0</v>
      </c>
      <c r="N741" s="837">
        <v>0</v>
      </c>
      <c r="O741" s="837">
        <f t="shared" si="295"/>
        <v>0</v>
      </c>
      <c r="P741" s="837">
        <f t="shared" si="296"/>
        <v>0</v>
      </c>
      <c r="Q741" s="1264"/>
      <c r="R741" s="1264"/>
      <c r="S741" s="1264"/>
      <c r="T741" s="1264"/>
      <c r="U741" s="1264"/>
      <c r="V741" s="1264"/>
      <c r="W741" s="1264"/>
      <c r="X741" s="1264"/>
      <c r="Y741" s="1264"/>
      <c r="Z741" s="1264"/>
    </row>
    <row r="742" spans="1:26" ht="18.75" hidden="1">
      <c r="A742" s="1260"/>
      <c r="B742" s="1265"/>
      <c r="C742" s="1261"/>
      <c r="D742" s="1262"/>
      <c r="E742" s="1261" t="s">
        <v>185</v>
      </c>
      <c r="F742" s="1261"/>
      <c r="G742" s="1263"/>
      <c r="H742" s="165" t="s">
        <v>12</v>
      </c>
      <c r="I742" s="836"/>
      <c r="J742" s="836"/>
      <c r="K742" s="837"/>
      <c r="L742" s="837">
        <v>0</v>
      </c>
      <c r="M742" s="837">
        <v>0</v>
      </c>
      <c r="N742" s="837">
        <f>N743+N744+N745+N746</f>
        <v>0</v>
      </c>
      <c r="O742" s="837">
        <f t="shared" si="295"/>
        <v>0</v>
      </c>
      <c r="P742" s="837">
        <f t="shared" si="296"/>
        <v>0</v>
      </c>
      <c r="Q742" s="1264"/>
      <c r="R742" s="1264"/>
      <c r="S742" s="1264"/>
      <c r="T742" s="1264"/>
      <c r="U742" s="1264"/>
      <c r="V742" s="1264"/>
      <c r="W742" s="1264"/>
      <c r="X742" s="1264"/>
      <c r="Y742" s="1264"/>
      <c r="Z742" s="1264"/>
    </row>
    <row r="743" spans="1:26" ht="18.75" hidden="1">
      <c r="A743" s="1294"/>
      <c r="B743" s="1265"/>
      <c r="C743" s="1261"/>
      <c r="D743" s="1261"/>
      <c r="E743" s="1261"/>
      <c r="F743" s="1261" t="s">
        <v>186</v>
      </c>
      <c r="G743" s="1263"/>
      <c r="H743" s="165" t="s">
        <v>12</v>
      </c>
      <c r="I743" s="836"/>
      <c r="J743" s="836"/>
      <c r="K743" s="837"/>
      <c r="L743" s="837"/>
      <c r="M743" s="837"/>
      <c r="N743" s="837"/>
      <c r="O743" s="837"/>
      <c r="P743" s="837"/>
      <c r="Q743" s="1264"/>
      <c r="R743" s="1264"/>
      <c r="S743" s="1264"/>
      <c r="T743" s="1264"/>
      <c r="U743" s="1264"/>
      <c r="V743" s="1264"/>
      <c r="W743" s="1264"/>
      <c r="X743" s="1264"/>
      <c r="Y743" s="1264"/>
      <c r="Z743" s="1264"/>
    </row>
    <row r="744" spans="1:26" ht="18.75" hidden="1">
      <c r="A744" s="1294"/>
      <c r="B744" s="1265"/>
      <c r="C744" s="1261"/>
      <c r="D744" s="1261"/>
      <c r="E744" s="1261"/>
      <c r="F744" s="1261" t="s">
        <v>187</v>
      </c>
      <c r="G744" s="1263"/>
      <c r="H744" s="165" t="s">
        <v>12</v>
      </c>
      <c r="I744" s="836"/>
      <c r="J744" s="836"/>
      <c r="K744" s="837"/>
      <c r="L744" s="837"/>
      <c r="M744" s="837"/>
      <c r="N744" s="837"/>
      <c r="O744" s="837"/>
      <c r="P744" s="837"/>
      <c r="Q744" s="1264"/>
      <c r="R744" s="1264"/>
      <c r="S744" s="1264"/>
      <c r="T744" s="1264"/>
      <c r="U744" s="1264"/>
      <c r="V744" s="1264"/>
      <c r="W744" s="1264"/>
      <c r="X744" s="1264"/>
      <c r="Y744" s="1264"/>
      <c r="Z744" s="1264"/>
    </row>
    <row r="745" spans="1:26" ht="18.75" hidden="1">
      <c r="A745" s="1294"/>
      <c r="B745" s="1265"/>
      <c r="C745" s="1261"/>
      <c r="D745" s="1261"/>
      <c r="E745" s="1261"/>
      <c r="F745" s="1261" t="s">
        <v>188</v>
      </c>
      <c r="G745" s="1263"/>
      <c r="H745" s="165" t="s">
        <v>12</v>
      </c>
      <c r="I745" s="836"/>
      <c r="J745" s="836"/>
      <c r="K745" s="837"/>
      <c r="L745" s="837"/>
      <c r="M745" s="837"/>
      <c r="N745" s="837"/>
      <c r="O745" s="837"/>
      <c r="P745" s="837"/>
      <c r="Q745" s="1264"/>
      <c r="R745" s="1264"/>
      <c r="S745" s="1264"/>
      <c r="T745" s="1264"/>
      <c r="U745" s="1264"/>
      <c r="V745" s="1264"/>
      <c r="W745" s="1264"/>
      <c r="X745" s="1264"/>
      <c r="Y745" s="1264"/>
      <c r="Z745" s="1264"/>
    </row>
    <row r="746" spans="1:26" ht="18.75" hidden="1">
      <c r="A746" s="1294"/>
      <c r="B746" s="1265"/>
      <c r="C746" s="1261"/>
      <c r="D746" s="1261"/>
      <c r="E746" s="1261"/>
      <c r="F746" s="1261" t="s">
        <v>189</v>
      </c>
      <c r="G746" s="1263"/>
      <c r="H746" s="165" t="s">
        <v>12</v>
      </c>
      <c r="I746" s="836"/>
      <c r="J746" s="836"/>
      <c r="K746" s="837"/>
      <c r="L746" s="837"/>
      <c r="M746" s="837"/>
      <c r="N746" s="837"/>
      <c r="O746" s="837"/>
      <c r="P746" s="837"/>
      <c r="Q746" s="1264"/>
      <c r="R746" s="1264"/>
      <c r="S746" s="1264"/>
      <c r="T746" s="1264"/>
      <c r="U746" s="1264"/>
      <c r="V746" s="1264"/>
      <c r="W746" s="1264"/>
      <c r="X746" s="1264"/>
      <c r="Y746" s="1264"/>
      <c r="Z746" s="1264"/>
    </row>
    <row r="747" spans="1:26" ht="19.5" hidden="1">
      <c r="A747" s="1260"/>
      <c r="B747" s="1265"/>
      <c r="C747" s="1261"/>
      <c r="D747" s="1392" t="s">
        <v>21</v>
      </c>
      <c r="E747" s="1261"/>
      <c r="F747" s="1261"/>
      <c r="G747" s="1263"/>
      <c r="H747" s="749" t="s">
        <v>12</v>
      </c>
      <c r="I747" s="947"/>
      <c r="J747" s="947"/>
      <c r="K747" s="948"/>
      <c r="L747" s="1292">
        <f t="shared" ref="L747:N747" si="299">L748+L749</f>
        <v>0</v>
      </c>
      <c r="M747" s="1292">
        <f t="shared" si="299"/>
        <v>0</v>
      </c>
      <c r="N747" s="1292">
        <f t="shared" si="299"/>
        <v>0</v>
      </c>
      <c r="O747" s="1292">
        <f t="shared" ref="O747:O749" si="300">IF(L747&gt;0,N747*100/L747,0)</f>
        <v>0</v>
      </c>
      <c r="P747" s="1292">
        <f t="shared" ref="P747:P749" si="301">IF(M747&gt;0,N747*100/M747,0)</f>
        <v>0</v>
      </c>
      <c r="Q747" s="1264"/>
      <c r="R747" s="1264"/>
      <c r="S747" s="1264"/>
      <c r="T747" s="1264"/>
      <c r="U747" s="1264"/>
      <c r="V747" s="1264"/>
      <c r="W747" s="1264"/>
      <c r="X747" s="1264"/>
      <c r="Y747" s="1264"/>
      <c r="Z747" s="1264"/>
    </row>
    <row r="748" spans="1:26" ht="18.75" hidden="1">
      <c r="A748" s="1260"/>
      <c r="B748" s="1265"/>
      <c r="C748" s="1261"/>
      <c r="D748" s="1261"/>
      <c r="E748" s="1261" t="s">
        <v>18</v>
      </c>
      <c r="F748" s="1261"/>
      <c r="G748" s="1263"/>
      <c r="H748" s="165" t="s">
        <v>12</v>
      </c>
      <c r="I748" s="947"/>
      <c r="J748" s="947"/>
      <c r="K748" s="948"/>
      <c r="L748" s="837">
        <v>0</v>
      </c>
      <c r="M748" s="837">
        <v>0</v>
      </c>
      <c r="N748" s="837">
        <v>0</v>
      </c>
      <c r="O748" s="837">
        <f t="shared" si="300"/>
        <v>0</v>
      </c>
      <c r="P748" s="837">
        <f t="shared" si="301"/>
        <v>0</v>
      </c>
      <c r="Q748" s="1264"/>
      <c r="R748" s="1264"/>
      <c r="S748" s="1264"/>
      <c r="T748" s="1264"/>
      <c r="U748" s="1264"/>
      <c r="V748" s="1264"/>
      <c r="W748" s="1264"/>
      <c r="X748" s="1264"/>
      <c r="Y748" s="1264"/>
      <c r="Z748" s="1264"/>
    </row>
    <row r="749" spans="1:26" ht="18.75" hidden="1">
      <c r="A749" s="1260"/>
      <c r="B749" s="1265"/>
      <c r="C749" s="1261"/>
      <c r="D749" s="1261"/>
      <c r="E749" s="1261" t="s">
        <v>19</v>
      </c>
      <c r="F749" s="1261"/>
      <c r="G749" s="1263"/>
      <c r="H749" s="169" t="s">
        <v>12</v>
      </c>
      <c r="I749" s="947"/>
      <c r="J749" s="947"/>
      <c r="K749" s="948"/>
      <c r="L749" s="837">
        <v>0</v>
      </c>
      <c r="M749" s="837">
        <v>0</v>
      </c>
      <c r="N749" s="837">
        <v>0</v>
      </c>
      <c r="O749" s="837">
        <f t="shared" si="300"/>
        <v>0</v>
      </c>
      <c r="P749" s="837">
        <f t="shared" si="301"/>
        <v>0</v>
      </c>
      <c r="Q749" s="1264"/>
      <c r="R749" s="1264"/>
      <c r="S749" s="1264"/>
      <c r="T749" s="1264"/>
      <c r="U749" s="1264"/>
      <c r="V749" s="1264"/>
      <c r="W749" s="1264"/>
      <c r="X749" s="1264"/>
      <c r="Y749" s="1264"/>
      <c r="Z749" s="1264"/>
    </row>
    <row r="750" spans="1:26" ht="19.5" hidden="1">
      <c r="A750" s="1273"/>
      <c r="B750" s="1274"/>
      <c r="C750" s="1261" t="s">
        <v>16</v>
      </c>
      <c r="D750" s="1393" t="s">
        <v>38</v>
      </c>
      <c r="E750" s="1296"/>
      <c r="F750" s="1296"/>
      <c r="G750" s="1297"/>
      <c r="H750" s="1060"/>
      <c r="I750" s="947"/>
      <c r="J750" s="947"/>
      <c r="K750" s="948"/>
      <c r="L750" s="948"/>
      <c r="M750" s="948"/>
      <c r="N750" s="948"/>
      <c r="O750" s="948"/>
      <c r="P750" s="948"/>
      <c r="Q750" s="1264"/>
      <c r="R750" s="1264"/>
      <c r="S750" s="1264"/>
      <c r="T750" s="1264"/>
      <c r="U750" s="1264"/>
      <c r="V750" s="1264"/>
      <c r="W750" s="1264"/>
      <c r="X750" s="1264"/>
      <c r="Y750" s="1264"/>
      <c r="Z750" s="1264"/>
    </row>
    <row r="751" spans="1:26" ht="18.75" hidden="1">
      <c r="A751" s="1294"/>
      <c r="B751" s="1265"/>
      <c r="C751" s="1261"/>
      <c r="D751" s="1261"/>
      <c r="E751" s="1261" t="s">
        <v>313</v>
      </c>
      <c r="F751" s="1261"/>
      <c r="G751" s="1263"/>
      <c r="H751" s="165" t="s">
        <v>46</v>
      </c>
      <c r="I751" s="836"/>
      <c r="J751" s="836"/>
      <c r="K751" s="837"/>
      <c r="L751" s="837"/>
      <c r="M751" s="837"/>
      <c r="N751" s="837"/>
      <c r="O751" s="837"/>
      <c r="P751" s="837"/>
      <c r="Q751" s="1264"/>
      <c r="R751" s="1264"/>
      <c r="S751" s="1264"/>
      <c r="T751" s="1264"/>
      <c r="U751" s="1264"/>
      <c r="V751" s="1264"/>
      <c r="W751" s="1264"/>
      <c r="X751" s="1264"/>
      <c r="Y751" s="1264"/>
      <c r="Z751" s="1264"/>
    </row>
    <row r="752" spans="1:26" ht="18.75" hidden="1">
      <c r="A752" s="1294"/>
      <c r="B752" s="1265"/>
      <c r="C752" s="1261"/>
      <c r="D752" s="1261"/>
      <c r="E752" s="1261"/>
      <c r="F752" s="1261"/>
      <c r="G752" s="1263"/>
      <c r="H752" s="165" t="s">
        <v>314</v>
      </c>
      <c r="I752" s="836"/>
      <c r="J752" s="836"/>
      <c r="K752" s="837"/>
      <c r="L752" s="837"/>
      <c r="M752" s="837"/>
      <c r="N752" s="837"/>
      <c r="O752" s="837"/>
      <c r="P752" s="837"/>
      <c r="Q752" s="1264"/>
      <c r="R752" s="1264"/>
      <c r="S752" s="1264"/>
      <c r="T752" s="1264"/>
      <c r="U752" s="1264"/>
      <c r="V752" s="1264"/>
      <c r="W752" s="1264"/>
      <c r="X752" s="1264"/>
      <c r="Y752" s="1264"/>
      <c r="Z752" s="1264"/>
    </row>
    <row r="753" spans="1:26" ht="19.5" hidden="1">
      <c r="A753" s="751">
        <v>10</v>
      </c>
      <c r="B753" s="1394" t="s">
        <v>315</v>
      </c>
      <c r="C753" s="1395"/>
      <c r="D753" s="1395"/>
      <c r="E753" s="1395"/>
      <c r="F753" s="1395"/>
      <c r="G753" s="1396"/>
      <c r="H753" s="755" t="s">
        <v>46</v>
      </c>
      <c r="I753" s="1397"/>
      <c r="J753" s="1397">
        <f>J768</f>
        <v>0</v>
      </c>
      <c r="K753" s="1398">
        <f>IF(I753&gt;0,J753*100/I753,0)</f>
        <v>0</v>
      </c>
      <c r="L753" s="1399"/>
      <c r="M753" s="1399"/>
      <c r="N753" s="1399"/>
      <c r="O753" s="1399"/>
      <c r="P753" s="1399"/>
      <c r="Q753" s="1264"/>
      <c r="R753" s="1264"/>
      <c r="S753" s="1264"/>
      <c r="T753" s="1264"/>
      <c r="U753" s="1264"/>
      <c r="V753" s="1264"/>
      <c r="W753" s="1264"/>
      <c r="X753" s="1264"/>
      <c r="Y753" s="1264"/>
      <c r="Z753" s="1264"/>
    </row>
    <row r="754" spans="1:26" ht="19.5" hidden="1">
      <c r="A754" s="1260"/>
      <c r="B754" s="1261"/>
      <c r="C754" s="1261" t="s">
        <v>16</v>
      </c>
      <c r="D754" s="1508" t="s">
        <v>17</v>
      </c>
      <c r="E754" s="1485"/>
      <c r="F754" s="1485"/>
      <c r="G754" s="1263"/>
      <c r="H754" s="612" t="s">
        <v>12</v>
      </c>
      <c r="I754" s="836"/>
      <c r="J754" s="836"/>
      <c r="K754" s="837"/>
      <c r="L754" s="1292">
        <f t="shared" ref="L754:N754" si="302">L755+L756</f>
        <v>0</v>
      </c>
      <c r="M754" s="1292">
        <f t="shared" si="302"/>
        <v>0</v>
      </c>
      <c r="N754" s="1292">
        <f t="shared" si="302"/>
        <v>0</v>
      </c>
      <c r="O754" s="1292">
        <f t="shared" ref="O754:O759" si="303">IF(L754&gt;0,N754*100/L754,0)</f>
        <v>0</v>
      </c>
      <c r="P754" s="1292">
        <f t="shared" ref="P754:P759" si="304">IF(M754&gt;0,N754*100/M754,0)</f>
        <v>0</v>
      </c>
      <c r="Q754" s="1264"/>
      <c r="R754" s="1264"/>
      <c r="S754" s="1264"/>
      <c r="T754" s="1264"/>
      <c r="U754" s="1264"/>
      <c r="V754" s="1264"/>
      <c r="W754" s="1264"/>
      <c r="X754" s="1264"/>
      <c r="Y754" s="1264"/>
      <c r="Z754" s="1264"/>
    </row>
    <row r="755" spans="1:26" ht="18.75" hidden="1">
      <c r="A755" s="1260"/>
      <c r="B755" s="1261"/>
      <c r="C755" s="1261"/>
      <c r="D755" s="1262"/>
      <c r="E755" s="1261" t="s">
        <v>184</v>
      </c>
      <c r="F755" s="1261"/>
      <c r="G755" s="1263"/>
      <c r="H755" s="165" t="s">
        <v>12</v>
      </c>
      <c r="I755" s="836"/>
      <c r="J755" s="836"/>
      <c r="K755" s="837"/>
      <c r="L755" s="837">
        <f t="shared" ref="L755:N756" si="305">L758+L765</f>
        <v>0</v>
      </c>
      <c r="M755" s="837">
        <f t="shared" si="305"/>
        <v>0</v>
      </c>
      <c r="N755" s="837">
        <f t="shared" si="305"/>
        <v>0</v>
      </c>
      <c r="O755" s="837">
        <f t="shared" si="303"/>
        <v>0</v>
      </c>
      <c r="P755" s="837">
        <f t="shared" si="304"/>
        <v>0</v>
      </c>
      <c r="Q755" s="1264"/>
      <c r="R755" s="1264"/>
      <c r="S755" s="1264"/>
      <c r="T755" s="1264"/>
      <c r="U755" s="1264"/>
      <c r="V755" s="1264"/>
      <c r="W755" s="1264"/>
      <c r="X755" s="1264"/>
      <c r="Y755" s="1264"/>
      <c r="Z755" s="1264"/>
    </row>
    <row r="756" spans="1:26" ht="18.75" hidden="1">
      <c r="A756" s="1260"/>
      <c r="B756" s="1265"/>
      <c r="C756" s="1261"/>
      <c r="D756" s="1262"/>
      <c r="E756" s="1261" t="s">
        <v>185</v>
      </c>
      <c r="F756" s="1261"/>
      <c r="G756" s="1263"/>
      <c r="H756" s="165" t="s">
        <v>12</v>
      </c>
      <c r="I756" s="836"/>
      <c r="J756" s="836"/>
      <c r="K756" s="837"/>
      <c r="L756" s="837">
        <f t="shared" si="305"/>
        <v>0</v>
      </c>
      <c r="M756" s="837">
        <f t="shared" si="305"/>
        <v>0</v>
      </c>
      <c r="N756" s="837">
        <f t="shared" si="305"/>
        <v>0</v>
      </c>
      <c r="O756" s="837">
        <f t="shared" si="303"/>
        <v>0</v>
      </c>
      <c r="P756" s="837">
        <f t="shared" si="304"/>
        <v>0</v>
      </c>
      <c r="Q756" s="1264"/>
      <c r="R756" s="1264"/>
      <c r="S756" s="1264"/>
      <c r="T756" s="1264"/>
      <c r="U756" s="1264"/>
      <c r="V756" s="1264"/>
      <c r="W756" s="1264"/>
      <c r="X756" s="1264"/>
      <c r="Y756" s="1264"/>
      <c r="Z756" s="1264"/>
    </row>
    <row r="757" spans="1:26" ht="19.5" hidden="1">
      <c r="A757" s="1260"/>
      <c r="B757" s="1265"/>
      <c r="C757" s="1261"/>
      <c r="D757" s="1392" t="s">
        <v>20</v>
      </c>
      <c r="E757" s="1261"/>
      <c r="F757" s="1261"/>
      <c r="G757" s="1263"/>
      <c r="H757" s="612" t="s">
        <v>12</v>
      </c>
      <c r="I757" s="947"/>
      <c r="J757" s="947"/>
      <c r="K757" s="948"/>
      <c r="L757" s="1292">
        <f t="shared" ref="L757:N757" si="306">L758+L759</f>
        <v>0</v>
      </c>
      <c r="M757" s="1292">
        <f t="shared" si="306"/>
        <v>0</v>
      </c>
      <c r="N757" s="1292">
        <f t="shared" si="306"/>
        <v>0</v>
      </c>
      <c r="O757" s="1292">
        <f t="shared" si="303"/>
        <v>0</v>
      </c>
      <c r="P757" s="1292">
        <f t="shared" si="304"/>
        <v>0</v>
      </c>
      <c r="Q757" s="1264"/>
      <c r="R757" s="1264"/>
      <c r="S757" s="1264"/>
      <c r="T757" s="1264"/>
      <c r="U757" s="1264"/>
      <c r="V757" s="1264"/>
      <c r="W757" s="1264"/>
      <c r="X757" s="1264"/>
      <c r="Y757" s="1264"/>
      <c r="Z757" s="1264"/>
    </row>
    <row r="758" spans="1:26" ht="18.75" hidden="1">
      <c r="A758" s="1260"/>
      <c r="B758" s="1265"/>
      <c r="C758" s="1261"/>
      <c r="D758" s="1262"/>
      <c r="E758" s="1261" t="s">
        <v>184</v>
      </c>
      <c r="F758" s="1261"/>
      <c r="G758" s="1263"/>
      <c r="H758" s="165" t="s">
        <v>12</v>
      </c>
      <c r="I758" s="836"/>
      <c r="J758" s="836"/>
      <c r="K758" s="837"/>
      <c r="L758" s="837">
        <v>0</v>
      </c>
      <c r="M758" s="837">
        <v>0</v>
      </c>
      <c r="N758" s="837">
        <v>0</v>
      </c>
      <c r="O758" s="837">
        <f t="shared" si="303"/>
        <v>0</v>
      </c>
      <c r="P758" s="837">
        <f t="shared" si="304"/>
        <v>0</v>
      </c>
      <c r="Q758" s="1264"/>
      <c r="R758" s="1264"/>
      <c r="S758" s="1264"/>
      <c r="T758" s="1264"/>
      <c r="U758" s="1264"/>
      <c r="V758" s="1264"/>
      <c r="W758" s="1264"/>
      <c r="X758" s="1264"/>
      <c r="Y758" s="1264"/>
      <c r="Z758" s="1264"/>
    </row>
    <row r="759" spans="1:26" ht="18.75" hidden="1">
      <c r="A759" s="1260"/>
      <c r="B759" s="1265"/>
      <c r="C759" s="1261"/>
      <c r="D759" s="1262"/>
      <c r="E759" s="1261" t="s">
        <v>185</v>
      </c>
      <c r="F759" s="1261"/>
      <c r="G759" s="1263"/>
      <c r="H759" s="165" t="s">
        <v>12</v>
      </c>
      <c r="I759" s="836"/>
      <c r="J759" s="836"/>
      <c r="K759" s="837"/>
      <c r="L759" s="837">
        <v>0</v>
      </c>
      <c r="M759" s="837">
        <v>0</v>
      </c>
      <c r="N759" s="837">
        <f>N760+N761+N762+N763</f>
        <v>0</v>
      </c>
      <c r="O759" s="837">
        <f t="shared" si="303"/>
        <v>0</v>
      </c>
      <c r="P759" s="837">
        <f t="shared" si="304"/>
        <v>0</v>
      </c>
      <c r="Q759" s="1264"/>
      <c r="R759" s="1264"/>
      <c r="S759" s="1264"/>
      <c r="T759" s="1264"/>
      <c r="U759" s="1264"/>
      <c r="V759" s="1264"/>
      <c r="W759" s="1264"/>
      <c r="X759" s="1264"/>
      <c r="Y759" s="1264"/>
      <c r="Z759" s="1264"/>
    </row>
    <row r="760" spans="1:26" ht="18.75" hidden="1">
      <c r="A760" s="1294"/>
      <c r="B760" s="1265"/>
      <c r="C760" s="1261"/>
      <c r="D760" s="1261"/>
      <c r="E760" s="1261"/>
      <c r="F760" s="1261" t="s">
        <v>186</v>
      </c>
      <c r="G760" s="1263"/>
      <c r="H760" s="165" t="s">
        <v>12</v>
      </c>
      <c r="I760" s="836"/>
      <c r="J760" s="836"/>
      <c r="K760" s="837"/>
      <c r="L760" s="837"/>
      <c r="M760" s="837"/>
      <c r="N760" s="837"/>
      <c r="O760" s="837"/>
      <c r="P760" s="837"/>
      <c r="Q760" s="1264"/>
      <c r="R760" s="1264"/>
      <c r="S760" s="1264"/>
      <c r="T760" s="1264"/>
      <c r="U760" s="1264"/>
      <c r="V760" s="1264"/>
      <c r="W760" s="1264"/>
      <c r="X760" s="1264"/>
      <c r="Y760" s="1264"/>
      <c r="Z760" s="1264"/>
    </row>
    <row r="761" spans="1:26" ht="18.75" hidden="1">
      <c r="A761" s="1294"/>
      <c r="B761" s="1265"/>
      <c r="C761" s="1261"/>
      <c r="D761" s="1261"/>
      <c r="E761" s="1261"/>
      <c r="F761" s="1261" t="s">
        <v>187</v>
      </c>
      <c r="G761" s="1263"/>
      <c r="H761" s="165" t="s">
        <v>12</v>
      </c>
      <c r="I761" s="836"/>
      <c r="J761" s="836"/>
      <c r="K761" s="837"/>
      <c r="L761" s="837"/>
      <c r="M761" s="837"/>
      <c r="N761" s="837"/>
      <c r="O761" s="837"/>
      <c r="P761" s="837"/>
      <c r="Q761" s="1264"/>
      <c r="R761" s="1264"/>
      <c r="S761" s="1264"/>
      <c r="T761" s="1264"/>
      <c r="U761" s="1264"/>
      <c r="V761" s="1264"/>
      <c r="W761" s="1264"/>
      <c r="X761" s="1264"/>
      <c r="Y761" s="1264"/>
      <c r="Z761" s="1264"/>
    </row>
    <row r="762" spans="1:26" ht="18.75" hidden="1">
      <c r="A762" s="1294"/>
      <c r="B762" s="1265"/>
      <c r="C762" s="1261"/>
      <c r="D762" s="1261"/>
      <c r="E762" s="1261"/>
      <c r="F762" s="1261" t="s">
        <v>188</v>
      </c>
      <c r="G762" s="1263"/>
      <c r="H762" s="165" t="s">
        <v>12</v>
      </c>
      <c r="I762" s="836"/>
      <c r="J762" s="836"/>
      <c r="K762" s="837"/>
      <c r="L762" s="837"/>
      <c r="M762" s="837"/>
      <c r="N762" s="837"/>
      <c r="O762" s="837"/>
      <c r="P762" s="837"/>
      <c r="Q762" s="1264"/>
      <c r="R762" s="1264"/>
      <c r="S762" s="1264"/>
      <c r="T762" s="1264"/>
      <c r="U762" s="1264"/>
      <c r="V762" s="1264"/>
      <c r="W762" s="1264"/>
      <c r="X762" s="1264"/>
      <c r="Y762" s="1264"/>
      <c r="Z762" s="1264"/>
    </row>
    <row r="763" spans="1:26" ht="18.75" hidden="1">
      <c r="A763" s="1294"/>
      <c r="B763" s="1265"/>
      <c r="C763" s="1261"/>
      <c r="D763" s="1261"/>
      <c r="E763" s="1261"/>
      <c r="F763" s="1261" t="s">
        <v>189</v>
      </c>
      <c r="G763" s="1263"/>
      <c r="H763" s="165" t="s">
        <v>12</v>
      </c>
      <c r="I763" s="836"/>
      <c r="J763" s="836"/>
      <c r="K763" s="837"/>
      <c r="L763" s="837"/>
      <c r="M763" s="837"/>
      <c r="N763" s="837"/>
      <c r="O763" s="837"/>
      <c r="P763" s="837"/>
      <c r="Q763" s="1264"/>
      <c r="R763" s="1264"/>
      <c r="S763" s="1264"/>
      <c r="T763" s="1264"/>
      <c r="U763" s="1264"/>
      <c r="V763" s="1264"/>
      <c r="W763" s="1264"/>
      <c r="X763" s="1264"/>
      <c r="Y763" s="1264"/>
      <c r="Z763" s="1264"/>
    </row>
    <row r="764" spans="1:26" ht="19.5" hidden="1">
      <c r="A764" s="1260"/>
      <c r="B764" s="1265"/>
      <c r="C764" s="1261"/>
      <c r="D764" s="1392" t="s">
        <v>21</v>
      </c>
      <c r="E764" s="1261"/>
      <c r="F764" s="1261"/>
      <c r="G764" s="1263"/>
      <c r="H764" s="749" t="s">
        <v>12</v>
      </c>
      <c r="I764" s="947"/>
      <c r="J764" s="947"/>
      <c r="K764" s="948"/>
      <c r="L764" s="1292">
        <f t="shared" ref="L764:N764" si="307">L765+L766</f>
        <v>0</v>
      </c>
      <c r="M764" s="1292">
        <f t="shared" si="307"/>
        <v>0</v>
      </c>
      <c r="N764" s="1292">
        <f t="shared" si="307"/>
        <v>0</v>
      </c>
      <c r="O764" s="1292">
        <f t="shared" ref="O764:O766" si="308">IF(L764&gt;0,N764*100/L764,0)</f>
        <v>0</v>
      </c>
      <c r="P764" s="1292">
        <f t="shared" ref="P764:P766" si="309">IF(M764&gt;0,N764*100/M764,0)</f>
        <v>0</v>
      </c>
      <c r="Q764" s="1264"/>
      <c r="R764" s="1264"/>
      <c r="S764" s="1264"/>
      <c r="T764" s="1264"/>
      <c r="U764" s="1264"/>
      <c r="V764" s="1264"/>
      <c r="W764" s="1264"/>
      <c r="X764" s="1264"/>
      <c r="Y764" s="1264"/>
      <c r="Z764" s="1264"/>
    </row>
    <row r="765" spans="1:26" ht="18.75" hidden="1">
      <c r="A765" s="1260"/>
      <c r="B765" s="1265"/>
      <c r="C765" s="1261"/>
      <c r="D765" s="1261"/>
      <c r="E765" s="1261" t="s">
        <v>18</v>
      </c>
      <c r="F765" s="1261"/>
      <c r="G765" s="1263"/>
      <c r="H765" s="165" t="s">
        <v>12</v>
      </c>
      <c r="I765" s="947"/>
      <c r="J765" s="947"/>
      <c r="K765" s="948"/>
      <c r="L765" s="837">
        <v>0</v>
      </c>
      <c r="M765" s="837">
        <v>0</v>
      </c>
      <c r="N765" s="837">
        <v>0</v>
      </c>
      <c r="O765" s="837">
        <f t="shared" si="308"/>
        <v>0</v>
      </c>
      <c r="P765" s="837">
        <f t="shared" si="309"/>
        <v>0</v>
      </c>
      <c r="Q765" s="1264"/>
      <c r="R765" s="1264"/>
      <c r="S765" s="1264"/>
      <c r="T765" s="1264"/>
      <c r="U765" s="1264"/>
      <c r="V765" s="1264"/>
      <c r="W765" s="1264"/>
      <c r="X765" s="1264"/>
      <c r="Y765" s="1264"/>
      <c r="Z765" s="1264"/>
    </row>
    <row r="766" spans="1:26" ht="18.75" hidden="1">
      <c r="A766" s="1260"/>
      <c r="B766" s="1265"/>
      <c r="C766" s="1261"/>
      <c r="D766" s="1261"/>
      <c r="E766" s="1261" t="s">
        <v>19</v>
      </c>
      <c r="F766" s="1261"/>
      <c r="G766" s="1263"/>
      <c r="H766" s="169" t="s">
        <v>12</v>
      </c>
      <c r="I766" s="947"/>
      <c r="J766" s="947"/>
      <c r="K766" s="948"/>
      <c r="L766" s="837">
        <v>0</v>
      </c>
      <c r="M766" s="837">
        <v>0</v>
      </c>
      <c r="N766" s="837">
        <v>0</v>
      </c>
      <c r="O766" s="837">
        <f t="shared" si="308"/>
        <v>0</v>
      </c>
      <c r="P766" s="837">
        <f t="shared" si="309"/>
        <v>0</v>
      </c>
      <c r="Q766" s="1264"/>
      <c r="R766" s="1264"/>
      <c r="S766" s="1264"/>
      <c r="T766" s="1264"/>
      <c r="U766" s="1264"/>
      <c r="V766" s="1264"/>
      <c r="W766" s="1264"/>
      <c r="X766" s="1264"/>
      <c r="Y766" s="1264"/>
      <c r="Z766" s="1264"/>
    </row>
    <row r="767" spans="1:26" ht="19.5" hidden="1">
      <c r="A767" s="1273"/>
      <c r="B767" s="1274"/>
      <c r="C767" s="1261" t="s">
        <v>16</v>
      </c>
      <c r="D767" s="1393" t="s">
        <v>38</v>
      </c>
      <c r="E767" s="1296"/>
      <c r="F767" s="1296"/>
      <c r="G767" s="1297"/>
      <c r="H767" s="1060"/>
      <c r="I767" s="947"/>
      <c r="J767" s="947"/>
      <c r="K767" s="948"/>
      <c r="L767" s="948"/>
      <c r="M767" s="948"/>
      <c r="N767" s="948"/>
      <c r="O767" s="948"/>
      <c r="P767" s="948"/>
      <c r="Q767" s="1264"/>
      <c r="R767" s="1264"/>
      <c r="S767" s="1264"/>
      <c r="T767" s="1264"/>
      <c r="U767" s="1264"/>
      <c r="V767" s="1264"/>
      <c r="W767" s="1264"/>
      <c r="X767" s="1264"/>
      <c r="Y767" s="1264"/>
      <c r="Z767" s="1264"/>
    </row>
    <row r="768" spans="1:26" ht="18.75" hidden="1">
      <c r="A768" s="1294"/>
      <c r="B768" s="1265"/>
      <c r="C768" s="1261"/>
      <c r="D768" s="1261"/>
      <c r="E768" s="1261" t="s">
        <v>316</v>
      </c>
      <c r="F768" s="1261"/>
      <c r="G768" s="1263"/>
      <c r="H768" s="165" t="s">
        <v>46</v>
      </c>
      <c r="I768" s="836"/>
      <c r="J768" s="836"/>
      <c r="K768" s="837"/>
      <c r="L768" s="837"/>
      <c r="M768" s="837"/>
      <c r="N768" s="837"/>
      <c r="O768" s="837"/>
      <c r="P768" s="837"/>
      <c r="Q768" s="1264"/>
      <c r="R768" s="1264"/>
      <c r="S768" s="1264"/>
      <c r="T768" s="1264"/>
      <c r="U768" s="1264"/>
      <c r="V768" s="1264"/>
      <c r="W768" s="1264"/>
      <c r="X768" s="1264"/>
      <c r="Y768" s="1264"/>
      <c r="Z768" s="1264"/>
    </row>
    <row r="769" spans="1:26" ht="19.5" hidden="1">
      <c r="A769" s="759">
        <v>11</v>
      </c>
      <c r="B769" s="1400" t="s">
        <v>317</v>
      </c>
      <c r="C769" s="1401"/>
      <c r="D769" s="1401"/>
      <c r="E769" s="1401"/>
      <c r="F769" s="1401"/>
      <c r="G769" s="1402"/>
      <c r="H769" s="763" t="s">
        <v>46</v>
      </c>
      <c r="I769" s="1403"/>
      <c r="J769" s="1403">
        <f>J784</f>
        <v>0</v>
      </c>
      <c r="K769" s="1404">
        <f>IF(I769&gt;0,J769*100/I769,0)</f>
        <v>0</v>
      </c>
      <c r="L769" s="1405"/>
      <c r="M769" s="1405"/>
      <c r="N769" s="1405"/>
      <c r="O769" s="1405"/>
      <c r="P769" s="1405"/>
      <c r="Q769" s="1264"/>
      <c r="R769" s="1264"/>
      <c r="S769" s="1264"/>
      <c r="T769" s="1264"/>
      <c r="U769" s="1264"/>
      <c r="V769" s="1264"/>
      <c r="W769" s="1264"/>
      <c r="X769" s="1264"/>
      <c r="Y769" s="1264"/>
      <c r="Z769" s="1264"/>
    </row>
    <row r="770" spans="1:26" ht="19.5" hidden="1">
      <c r="A770" s="1260"/>
      <c r="B770" s="1261"/>
      <c r="C770" s="1261" t="s">
        <v>16</v>
      </c>
      <c r="D770" s="1508" t="s">
        <v>17</v>
      </c>
      <c r="E770" s="1485"/>
      <c r="F770" s="1485"/>
      <c r="G770" s="1263"/>
      <c r="H770" s="612" t="s">
        <v>12</v>
      </c>
      <c r="I770" s="836"/>
      <c r="J770" s="836"/>
      <c r="K770" s="837"/>
      <c r="L770" s="1292">
        <f t="shared" ref="L770:N770" si="310">L771+L772</f>
        <v>0</v>
      </c>
      <c r="M770" s="1292">
        <f t="shared" si="310"/>
        <v>0</v>
      </c>
      <c r="N770" s="1292">
        <f t="shared" si="310"/>
        <v>0</v>
      </c>
      <c r="O770" s="1292">
        <f t="shared" ref="O770:O775" si="311">IF(L770&gt;0,N770*100/L770,0)</f>
        <v>0</v>
      </c>
      <c r="P770" s="1292">
        <f t="shared" ref="P770:P775" si="312">IF(M770&gt;0,N770*100/M770,0)</f>
        <v>0</v>
      </c>
      <c r="Q770" s="1264"/>
      <c r="R770" s="1264"/>
      <c r="S770" s="1264"/>
      <c r="T770" s="1264"/>
      <c r="U770" s="1264"/>
      <c r="V770" s="1264"/>
      <c r="W770" s="1264"/>
      <c r="X770" s="1264"/>
      <c r="Y770" s="1264"/>
      <c r="Z770" s="1264"/>
    </row>
    <row r="771" spans="1:26" ht="18.75" hidden="1">
      <c r="A771" s="1260"/>
      <c r="B771" s="1261"/>
      <c r="C771" s="1261"/>
      <c r="D771" s="1262"/>
      <c r="E771" s="1261" t="s">
        <v>184</v>
      </c>
      <c r="F771" s="1261"/>
      <c r="G771" s="1263"/>
      <c r="H771" s="165" t="s">
        <v>12</v>
      </c>
      <c r="I771" s="836"/>
      <c r="J771" s="836"/>
      <c r="K771" s="837"/>
      <c r="L771" s="837">
        <f t="shared" ref="L771:N772" si="313">L774+L781</f>
        <v>0</v>
      </c>
      <c r="M771" s="837">
        <f t="shared" si="313"/>
        <v>0</v>
      </c>
      <c r="N771" s="837">
        <f t="shared" si="313"/>
        <v>0</v>
      </c>
      <c r="O771" s="837">
        <f t="shared" si="311"/>
        <v>0</v>
      </c>
      <c r="P771" s="837">
        <f t="shared" si="312"/>
        <v>0</v>
      </c>
      <c r="Q771" s="1264"/>
      <c r="R771" s="1264"/>
      <c r="S771" s="1264"/>
      <c r="T771" s="1264"/>
      <c r="U771" s="1264"/>
      <c r="V771" s="1264"/>
      <c r="W771" s="1264"/>
      <c r="X771" s="1264"/>
      <c r="Y771" s="1264"/>
      <c r="Z771" s="1264"/>
    </row>
    <row r="772" spans="1:26" ht="18.75" hidden="1">
      <c r="A772" s="1260"/>
      <c r="B772" s="1265"/>
      <c r="C772" s="1261"/>
      <c r="D772" s="1262"/>
      <c r="E772" s="1261" t="s">
        <v>185</v>
      </c>
      <c r="F772" s="1261"/>
      <c r="G772" s="1263"/>
      <c r="H772" s="165" t="s">
        <v>12</v>
      </c>
      <c r="I772" s="836"/>
      <c r="J772" s="836"/>
      <c r="K772" s="837"/>
      <c r="L772" s="837">
        <f t="shared" si="313"/>
        <v>0</v>
      </c>
      <c r="M772" s="837">
        <f t="shared" si="313"/>
        <v>0</v>
      </c>
      <c r="N772" s="837">
        <f t="shared" si="313"/>
        <v>0</v>
      </c>
      <c r="O772" s="837">
        <f t="shared" si="311"/>
        <v>0</v>
      </c>
      <c r="P772" s="837">
        <f t="shared" si="312"/>
        <v>0</v>
      </c>
      <c r="Q772" s="1264"/>
      <c r="R772" s="1264"/>
      <c r="S772" s="1264"/>
      <c r="T772" s="1264"/>
      <c r="U772" s="1264"/>
      <c r="V772" s="1264"/>
      <c r="W772" s="1264"/>
      <c r="X772" s="1264"/>
      <c r="Y772" s="1264"/>
      <c r="Z772" s="1264"/>
    </row>
    <row r="773" spans="1:26" ht="19.5" hidden="1">
      <c r="A773" s="1260"/>
      <c r="B773" s="1265"/>
      <c r="C773" s="1261"/>
      <c r="D773" s="1392" t="s">
        <v>20</v>
      </c>
      <c r="E773" s="1261"/>
      <c r="F773" s="1261"/>
      <c r="G773" s="1263"/>
      <c r="H773" s="612" t="s">
        <v>12</v>
      </c>
      <c r="I773" s="947"/>
      <c r="J773" s="947"/>
      <c r="K773" s="948"/>
      <c r="L773" s="1292">
        <f t="shared" ref="L773:N773" si="314">L774+L775</f>
        <v>0</v>
      </c>
      <c r="M773" s="1292">
        <f t="shared" si="314"/>
        <v>0</v>
      </c>
      <c r="N773" s="1292">
        <f t="shared" si="314"/>
        <v>0</v>
      </c>
      <c r="O773" s="1292">
        <f t="shared" si="311"/>
        <v>0</v>
      </c>
      <c r="P773" s="1292">
        <f t="shared" si="312"/>
        <v>0</v>
      </c>
      <c r="Q773" s="1264"/>
      <c r="R773" s="1264"/>
      <c r="S773" s="1264"/>
      <c r="T773" s="1264"/>
      <c r="U773" s="1264"/>
      <c r="V773" s="1264"/>
      <c r="W773" s="1264"/>
      <c r="X773" s="1264"/>
      <c r="Y773" s="1264"/>
      <c r="Z773" s="1264"/>
    </row>
    <row r="774" spans="1:26" ht="18.75" hidden="1">
      <c r="A774" s="1260"/>
      <c r="B774" s="1265"/>
      <c r="C774" s="1261"/>
      <c r="D774" s="1262"/>
      <c r="E774" s="1261" t="s">
        <v>184</v>
      </c>
      <c r="F774" s="1261"/>
      <c r="G774" s="1263"/>
      <c r="H774" s="165" t="s">
        <v>12</v>
      </c>
      <c r="I774" s="836"/>
      <c r="J774" s="836"/>
      <c r="K774" s="837"/>
      <c r="L774" s="837">
        <v>0</v>
      </c>
      <c r="M774" s="837">
        <v>0</v>
      </c>
      <c r="N774" s="837">
        <v>0</v>
      </c>
      <c r="O774" s="837">
        <f t="shared" si="311"/>
        <v>0</v>
      </c>
      <c r="P774" s="837">
        <f t="shared" si="312"/>
        <v>0</v>
      </c>
      <c r="Q774" s="1264"/>
      <c r="R774" s="1264"/>
      <c r="S774" s="1264"/>
      <c r="T774" s="1264"/>
      <c r="U774" s="1264"/>
      <c r="V774" s="1264"/>
      <c r="W774" s="1264"/>
      <c r="X774" s="1264"/>
      <c r="Y774" s="1264"/>
      <c r="Z774" s="1264"/>
    </row>
    <row r="775" spans="1:26" ht="18.75" hidden="1">
      <c r="A775" s="1260"/>
      <c r="B775" s="1265"/>
      <c r="C775" s="1261"/>
      <c r="D775" s="1262"/>
      <c r="E775" s="1261" t="s">
        <v>185</v>
      </c>
      <c r="F775" s="1261"/>
      <c r="G775" s="1263"/>
      <c r="H775" s="165" t="s">
        <v>12</v>
      </c>
      <c r="I775" s="836"/>
      <c r="J775" s="836"/>
      <c r="K775" s="837"/>
      <c r="L775" s="837">
        <v>0</v>
      </c>
      <c r="M775" s="837">
        <v>0</v>
      </c>
      <c r="N775" s="837">
        <f>N776+N777+N778+N779</f>
        <v>0</v>
      </c>
      <c r="O775" s="837">
        <f t="shared" si="311"/>
        <v>0</v>
      </c>
      <c r="P775" s="837">
        <f t="shared" si="312"/>
        <v>0</v>
      </c>
      <c r="Q775" s="1264"/>
      <c r="R775" s="1264"/>
      <c r="S775" s="1264"/>
      <c r="T775" s="1264"/>
      <c r="U775" s="1264"/>
      <c r="V775" s="1264"/>
      <c r="W775" s="1264"/>
      <c r="X775" s="1264"/>
      <c r="Y775" s="1264"/>
      <c r="Z775" s="1264"/>
    </row>
    <row r="776" spans="1:26" ht="18.75" hidden="1">
      <c r="A776" s="1294"/>
      <c r="B776" s="1265"/>
      <c r="C776" s="1261"/>
      <c r="D776" s="1261"/>
      <c r="E776" s="1261"/>
      <c r="F776" s="1261" t="s">
        <v>186</v>
      </c>
      <c r="G776" s="1263"/>
      <c r="H776" s="165" t="s">
        <v>12</v>
      </c>
      <c r="I776" s="836"/>
      <c r="J776" s="836"/>
      <c r="K776" s="837"/>
      <c r="L776" s="837"/>
      <c r="M776" s="837"/>
      <c r="N776" s="837"/>
      <c r="O776" s="837"/>
      <c r="P776" s="837"/>
      <c r="Q776" s="1264"/>
      <c r="R776" s="1264"/>
      <c r="S776" s="1264"/>
      <c r="T776" s="1264"/>
      <c r="U776" s="1264"/>
      <c r="V776" s="1264"/>
      <c r="W776" s="1264"/>
      <c r="X776" s="1264"/>
      <c r="Y776" s="1264"/>
      <c r="Z776" s="1264"/>
    </row>
    <row r="777" spans="1:26" ht="18.75" hidden="1">
      <c r="A777" s="1294"/>
      <c r="B777" s="1265"/>
      <c r="C777" s="1261"/>
      <c r="D777" s="1261"/>
      <c r="E777" s="1261"/>
      <c r="F777" s="1261" t="s">
        <v>187</v>
      </c>
      <c r="G777" s="1263"/>
      <c r="H777" s="165" t="s">
        <v>12</v>
      </c>
      <c r="I777" s="836"/>
      <c r="J777" s="836"/>
      <c r="K777" s="837"/>
      <c r="L777" s="837"/>
      <c r="M777" s="837"/>
      <c r="N777" s="837"/>
      <c r="O777" s="837"/>
      <c r="P777" s="837"/>
      <c r="Q777" s="1264"/>
      <c r="R777" s="1264"/>
      <c r="S777" s="1264"/>
      <c r="T777" s="1264"/>
      <c r="U777" s="1264"/>
      <c r="V777" s="1264"/>
      <c r="W777" s="1264"/>
      <c r="X777" s="1264"/>
      <c r="Y777" s="1264"/>
      <c r="Z777" s="1264"/>
    </row>
    <row r="778" spans="1:26" ht="18.75" hidden="1">
      <c r="A778" s="1294"/>
      <c r="B778" s="1265"/>
      <c r="C778" s="1261"/>
      <c r="D778" s="1261"/>
      <c r="E778" s="1261"/>
      <c r="F778" s="1261" t="s">
        <v>188</v>
      </c>
      <c r="G778" s="1263"/>
      <c r="H778" s="165" t="s">
        <v>12</v>
      </c>
      <c r="I778" s="836"/>
      <c r="J778" s="836"/>
      <c r="K778" s="837"/>
      <c r="L778" s="837"/>
      <c r="M778" s="837"/>
      <c r="N778" s="837"/>
      <c r="O778" s="837"/>
      <c r="P778" s="837"/>
      <c r="Q778" s="1264"/>
      <c r="R778" s="1264"/>
      <c r="S778" s="1264"/>
      <c r="T778" s="1264"/>
      <c r="U778" s="1264"/>
      <c r="V778" s="1264"/>
      <c r="W778" s="1264"/>
      <c r="X778" s="1264"/>
      <c r="Y778" s="1264"/>
      <c r="Z778" s="1264"/>
    </row>
    <row r="779" spans="1:26" ht="18.75" hidden="1">
      <c r="A779" s="1294"/>
      <c r="B779" s="1265"/>
      <c r="C779" s="1261"/>
      <c r="D779" s="1261"/>
      <c r="E779" s="1261"/>
      <c r="F779" s="1261" t="s">
        <v>189</v>
      </c>
      <c r="G779" s="1263"/>
      <c r="H779" s="165" t="s">
        <v>12</v>
      </c>
      <c r="I779" s="836"/>
      <c r="J779" s="836"/>
      <c r="K779" s="837"/>
      <c r="L779" s="837"/>
      <c r="M779" s="837"/>
      <c r="N779" s="837"/>
      <c r="O779" s="837"/>
      <c r="P779" s="837"/>
      <c r="Q779" s="1264"/>
      <c r="R779" s="1264"/>
      <c r="S779" s="1264"/>
      <c r="T779" s="1264"/>
      <c r="U779" s="1264"/>
      <c r="V779" s="1264"/>
      <c r="W779" s="1264"/>
      <c r="X779" s="1264"/>
      <c r="Y779" s="1264"/>
      <c r="Z779" s="1264"/>
    </row>
    <row r="780" spans="1:26" ht="19.5" hidden="1">
      <c r="A780" s="1260"/>
      <c r="B780" s="1265"/>
      <c r="C780" s="1261"/>
      <c r="D780" s="1392" t="s">
        <v>21</v>
      </c>
      <c r="E780" s="1261"/>
      <c r="F780" s="1261"/>
      <c r="G780" s="1263"/>
      <c r="H780" s="749" t="s">
        <v>12</v>
      </c>
      <c r="I780" s="947"/>
      <c r="J780" s="947"/>
      <c r="K780" s="948"/>
      <c r="L780" s="1292">
        <f t="shared" ref="L780:N780" si="315">L781+L782</f>
        <v>0</v>
      </c>
      <c r="M780" s="1292">
        <f t="shared" si="315"/>
        <v>0</v>
      </c>
      <c r="N780" s="1292">
        <f t="shared" si="315"/>
        <v>0</v>
      </c>
      <c r="O780" s="1292">
        <f t="shared" ref="O780:O782" si="316">IF(L780&gt;0,N780*100/L780,0)</f>
        <v>0</v>
      </c>
      <c r="P780" s="1292">
        <f t="shared" ref="P780:P782" si="317">IF(M780&gt;0,N780*100/M780,0)</f>
        <v>0</v>
      </c>
      <c r="Q780" s="1264"/>
      <c r="R780" s="1264"/>
      <c r="S780" s="1264"/>
      <c r="T780" s="1264"/>
      <c r="U780" s="1264"/>
      <c r="V780" s="1264"/>
      <c r="W780" s="1264"/>
      <c r="X780" s="1264"/>
      <c r="Y780" s="1264"/>
      <c r="Z780" s="1264"/>
    </row>
    <row r="781" spans="1:26" ht="18.75" hidden="1">
      <c r="A781" s="1260"/>
      <c r="B781" s="1265"/>
      <c r="C781" s="1261"/>
      <c r="D781" s="1261"/>
      <c r="E781" s="1261" t="s">
        <v>18</v>
      </c>
      <c r="F781" s="1261"/>
      <c r="G781" s="1263"/>
      <c r="H781" s="165" t="s">
        <v>12</v>
      </c>
      <c r="I781" s="947"/>
      <c r="J781" s="947"/>
      <c r="K781" s="948"/>
      <c r="L781" s="837">
        <v>0</v>
      </c>
      <c r="M781" s="837">
        <v>0</v>
      </c>
      <c r="N781" s="837">
        <v>0</v>
      </c>
      <c r="O781" s="837">
        <f t="shared" si="316"/>
        <v>0</v>
      </c>
      <c r="P781" s="837">
        <f t="shared" si="317"/>
        <v>0</v>
      </c>
      <c r="Q781" s="1264"/>
      <c r="R781" s="1264"/>
      <c r="S781" s="1264"/>
      <c r="T781" s="1264"/>
      <c r="U781" s="1264"/>
      <c r="V781" s="1264"/>
      <c r="W781" s="1264"/>
      <c r="X781" s="1264"/>
      <c r="Y781" s="1264"/>
      <c r="Z781" s="1264"/>
    </row>
    <row r="782" spans="1:26" ht="18.75" hidden="1">
      <c r="A782" s="1260"/>
      <c r="B782" s="1265"/>
      <c r="C782" s="1261"/>
      <c r="D782" s="1261"/>
      <c r="E782" s="1261" t="s">
        <v>19</v>
      </c>
      <c r="F782" s="1261"/>
      <c r="G782" s="1263"/>
      <c r="H782" s="169" t="s">
        <v>12</v>
      </c>
      <c r="I782" s="947"/>
      <c r="J782" s="947"/>
      <c r="K782" s="948"/>
      <c r="L782" s="837">
        <v>0</v>
      </c>
      <c r="M782" s="837">
        <v>0</v>
      </c>
      <c r="N782" s="837">
        <v>0</v>
      </c>
      <c r="O782" s="837">
        <f t="shared" si="316"/>
        <v>0</v>
      </c>
      <c r="P782" s="837">
        <f t="shared" si="317"/>
        <v>0</v>
      </c>
      <c r="Q782" s="1264"/>
      <c r="R782" s="1264"/>
      <c r="S782" s="1264"/>
      <c r="T782" s="1264"/>
      <c r="U782" s="1264"/>
      <c r="V782" s="1264"/>
      <c r="W782" s="1264"/>
      <c r="X782" s="1264"/>
      <c r="Y782" s="1264"/>
      <c r="Z782" s="1264"/>
    </row>
    <row r="783" spans="1:26" ht="19.5" hidden="1">
      <c r="A783" s="1273"/>
      <c r="B783" s="1274"/>
      <c r="C783" s="1261" t="s">
        <v>16</v>
      </c>
      <c r="D783" s="1393" t="s">
        <v>38</v>
      </c>
      <c r="E783" s="1296"/>
      <c r="F783" s="1296"/>
      <c r="G783" s="1297"/>
      <c r="H783" s="1406"/>
      <c r="I783" s="947"/>
      <c r="J783" s="947"/>
      <c r="K783" s="948"/>
      <c r="L783" s="948"/>
      <c r="M783" s="948"/>
      <c r="N783" s="948"/>
      <c r="O783" s="948"/>
      <c r="P783" s="948"/>
      <c r="Q783" s="1264"/>
      <c r="R783" s="1264"/>
      <c r="S783" s="1264"/>
      <c r="T783" s="1264"/>
      <c r="U783" s="1264"/>
      <c r="V783" s="1264"/>
      <c r="W783" s="1264"/>
      <c r="X783" s="1264"/>
      <c r="Y783" s="1264"/>
      <c r="Z783" s="1264"/>
    </row>
    <row r="784" spans="1:26" ht="18.75" hidden="1">
      <c r="A784" s="1294"/>
      <c r="B784" s="1265"/>
      <c r="C784" s="1261"/>
      <c r="D784" s="1261"/>
      <c r="E784" s="1261" t="s">
        <v>318</v>
      </c>
      <c r="F784" s="1261"/>
      <c r="G784" s="1263"/>
      <c r="H784" s="165" t="s">
        <v>46</v>
      </c>
      <c r="I784" s="836"/>
      <c r="J784" s="836"/>
      <c r="K784" s="837"/>
      <c r="L784" s="837"/>
      <c r="M784" s="837"/>
      <c r="N784" s="837"/>
      <c r="O784" s="837"/>
      <c r="P784" s="837"/>
      <c r="Q784" s="1264"/>
      <c r="R784" s="1264"/>
      <c r="S784" s="1264"/>
      <c r="T784" s="1264"/>
      <c r="U784" s="1264"/>
      <c r="V784" s="1264"/>
      <c r="W784" s="1264"/>
      <c r="X784" s="1264"/>
      <c r="Y784" s="1264"/>
      <c r="Z784" s="1264"/>
    </row>
    <row r="785" spans="1:26" ht="19.5" hidden="1">
      <c r="A785" s="768">
        <v>12</v>
      </c>
      <c r="B785" s="1407" t="s">
        <v>319</v>
      </c>
      <c r="C785" s="1408"/>
      <c r="D785" s="1408"/>
      <c r="E785" s="1408"/>
      <c r="F785" s="1408"/>
      <c r="G785" s="1409"/>
      <c r="H785" s="772" t="s">
        <v>46</v>
      </c>
      <c r="I785" s="1436">
        <f t="shared" ref="I785:J785" ca="1" si="318">I800</f>
        <v>0</v>
      </c>
      <c r="J785" s="1410">
        <f t="shared" ca="1" si="318"/>
        <v>0</v>
      </c>
      <c r="K785" s="1411">
        <f ca="1">IF(I785&gt;0,J785*100/I785,0)</f>
        <v>0</v>
      </c>
      <c r="L785" s="1412"/>
      <c r="M785" s="1412"/>
      <c r="N785" s="1412"/>
      <c r="O785" s="1412"/>
      <c r="P785" s="1412"/>
      <c r="Q785" s="1244"/>
      <c r="R785" s="1244"/>
      <c r="S785" s="1244"/>
      <c r="T785" s="1244"/>
      <c r="U785" s="1244"/>
      <c r="V785" s="1244"/>
      <c r="W785" s="1244"/>
      <c r="X785" s="1244"/>
      <c r="Y785" s="1244"/>
      <c r="Z785" s="1244"/>
    </row>
    <row r="786" spans="1:26" ht="19.5" hidden="1">
      <c r="A786" s="1259"/>
      <c r="B786" s="1242"/>
      <c r="C786" s="1243" t="s">
        <v>16</v>
      </c>
      <c r="D786" s="1507" t="s">
        <v>17</v>
      </c>
      <c r="E786" s="1485"/>
      <c r="F786" s="1485"/>
      <c r="G786" s="963"/>
      <c r="H786" s="563" t="s">
        <v>12</v>
      </c>
      <c r="I786" s="830"/>
      <c r="J786" s="830"/>
      <c r="K786" s="831"/>
      <c r="L786" s="967">
        <f t="shared" ref="L786:N786" ca="1" si="319">L787+L788</f>
        <v>0</v>
      </c>
      <c r="M786" s="967">
        <f t="shared" si="319"/>
        <v>0</v>
      </c>
      <c r="N786" s="967">
        <f t="shared" si="319"/>
        <v>0</v>
      </c>
      <c r="O786" s="967">
        <f t="shared" ref="O786:O791" ca="1" si="320">IF(L786&gt;0,N786*100/L786,0)</f>
        <v>0</v>
      </c>
      <c r="P786" s="967">
        <f t="shared" ref="P786:P791" si="321">IF(M786&gt;0,N786*100/M786,0)</f>
        <v>0</v>
      </c>
      <c r="Q786" s="1244"/>
      <c r="R786" s="1244"/>
      <c r="S786" s="1244"/>
      <c r="T786" s="1244"/>
      <c r="U786" s="1244"/>
      <c r="V786" s="1244"/>
      <c r="W786" s="1244"/>
      <c r="X786" s="1244"/>
      <c r="Y786" s="1244"/>
      <c r="Z786" s="1244"/>
    </row>
    <row r="787" spans="1:26" ht="18.75" hidden="1">
      <c r="A787" s="1260"/>
      <c r="B787" s="1265"/>
      <c r="C787" s="1261"/>
      <c r="D787" s="1262"/>
      <c r="E787" s="1261" t="s">
        <v>184</v>
      </c>
      <c r="F787" s="1261"/>
      <c r="G787" s="1263"/>
      <c r="H787" s="165" t="s">
        <v>12</v>
      </c>
      <c r="I787" s="836"/>
      <c r="J787" s="836"/>
      <c r="K787" s="837"/>
      <c r="L787" s="837">
        <f t="shared" ref="L787:N788" si="322">L790+L797</f>
        <v>0</v>
      </c>
      <c r="M787" s="837">
        <f t="shared" si="322"/>
        <v>0</v>
      </c>
      <c r="N787" s="837">
        <f t="shared" si="322"/>
        <v>0</v>
      </c>
      <c r="O787" s="837">
        <f t="shared" si="320"/>
        <v>0</v>
      </c>
      <c r="P787" s="837">
        <f t="shared" si="321"/>
        <v>0</v>
      </c>
      <c r="Q787" s="1264"/>
      <c r="R787" s="1264"/>
      <c r="S787" s="1264"/>
      <c r="T787" s="1264"/>
      <c r="U787" s="1264"/>
      <c r="V787" s="1264"/>
      <c r="W787" s="1264"/>
      <c r="X787" s="1264"/>
      <c r="Y787" s="1264"/>
      <c r="Z787" s="1264"/>
    </row>
    <row r="788" spans="1:26" ht="18.75" hidden="1">
      <c r="A788" s="1260"/>
      <c r="B788" s="1265"/>
      <c r="C788" s="1265"/>
      <c r="D788" s="1274"/>
      <c r="E788" s="1261" t="s">
        <v>185</v>
      </c>
      <c r="F788" s="1261"/>
      <c r="G788" s="1263"/>
      <c r="H788" s="165" t="s">
        <v>12</v>
      </c>
      <c r="I788" s="836"/>
      <c r="J788" s="836"/>
      <c r="K788" s="837"/>
      <c r="L788" s="837">
        <f t="shared" ca="1" si="322"/>
        <v>0</v>
      </c>
      <c r="M788" s="837">
        <f t="shared" si="322"/>
        <v>0</v>
      </c>
      <c r="N788" s="837">
        <f t="shared" si="322"/>
        <v>0</v>
      </c>
      <c r="O788" s="837">
        <f t="shared" ca="1" si="320"/>
        <v>0</v>
      </c>
      <c r="P788" s="837">
        <f t="shared" si="321"/>
        <v>0</v>
      </c>
      <c r="Q788" s="1264"/>
      <c r="R788" s="1264"/>
      <c r="S788" s="1264"/>
      <c r="T788" s="1264"/>
      <c r="U788" s="1264"/>
      <c r="V788" s="1264"/>
      <c r="W788" s="1264"/>
      <c r="X788" s="1264"/>
      <c r="Y788" s="1264"/>
      <c r="Z788" s="1264"/>
    </row>
    <row r="789" spans="1:26" ht="18.75" hidden="1">
      <c r="A789" s="1259"/>
      <c r="B789" s="1242"/>
      <c r="C789" s="1242"/>
      <c r="D789" s="1266" t="s">
        <v>20</v>
      </c>
      <c r="E789" s="1243"/>
      <c r="F789" s="1243"/>
      <c r="G789" s="963"/>
      <c r="H789" s="778" t="s">
        <v>12</v>
      </c>
      <c r="I789" s="944"/>
      <c r="J789" s="944"/>
      <c r="K789" s="945"/>
      <c r="L789" s="831">
        <f t="shared" ref="L789:N789" ca="1" si="323">L790+L791</f>
        <v>0</v>
      </c>
      <c r="M789" s="831">
        <f t="shared" si="323"/>
        <v>0</v>
      </c>
      <c r="N789" s="831">
        <f t="shared" si="323"/>
        <v>0</v>
      </c>
      <c r="O789" s="831">
        <f t="shared" ca="1" si="320"/>
        <v>0</v>
      </c>
      <c r="P789" s="831">
        <f t="shared" si="321"/>
        <v>0</v>
      </c>
      <c r="Q789" s="1244"/>
      <c r="R789" s="1244"/>
      <c r="S789" s="1244"/>
      <c r="T789" s="1244"/>
      <c r="U789" s="1244"/>
      <c r="V789" s="1244"/>
      <c r="W789" s="1244"/>
      <c r="X789" s="1244"/>
      <c r="Y789" s="1244"/>
      <c r="Z789" s="1244"/>
    </row>
    <row r="790" spans="1:26" ht="18.75" hidden="1">
      <c r="A790" s="1260"/>
      <c r="B790" s="1265"/>
      <c r="C790" s="1265"/>
      <c r="D790" s="1274"/>
      <c r="E790" s="1261" t="s">
        <v>184</v>
      </c>
      <c r="F790" s="1261"/>
      <c r="G790" s="1263"/>
      <c r="H790" s="165" t="s">
        <v>12</v>
      </c>
      <c r="I790" s="836"/>
      <c r="J790" s="836"/>
      <c r="K790" s="837"/>
      <c r="L790" s="837">
        <v>0</v>
      </c>
      <c r="M790" s="837">
        <v>0</v>
      </c>
      <c r="N790" s="837">
        <v>0</v>
      </c>
      <c r="O790" s="837">
        <f t="shared" si="320"/>
        <v>0</v>
      </c>
      <c r="P790" s="837">
        <f t="shared" si="321"/>
        <v>0</v>
      </c>
      <c r="Q790" s="1264"/>
      <c r="R790" s="1264"/>
      <c r="S790" s="1264"/>
      <c r="T790" s="1264"/>
      <c r="U790" s="1264"/>
      <c r="V790" s="1264"/>
      <c r="W790" s="1264"/>
      <c r="X790" s="1264"/>
      <c r="Y790" s="1264"/>
      <c r="Z790" s="1264"/>
    </row>
    <row r="791" spans="1:26" ht="18.75" hidden="1">
      <c r="A791" s="1260"/>
      <c r="B791" s="1265"/>
      <c r="C791" s="1265"/>
      <c r="D791" s="1274"/>
      <c r="E791" s="1261" t="s">
        <v>185</v>
      </c>
      <c r="F791" s="1261"/>
      <c r="G791" s="1263"/>
      <c r="H791" s="165" t="s">
        <v>12</v>
      </c>
      <c r="I791" s="836"/>
      <c r="J791" s="836"/>
      <c r="K791" s="837"/>
      <c r="L791" s="837">
        <f ca="1">IFERROR(__xludf.DUMMYFUNCTION("IMPORTRANGE(""https://docs.google.com/spreadsheets/d/1QqKyyYR6Q21VydFLVH3TRQUabQu_ym0Zz7PgGX0-kHA/edit?usp=sharing"",""แผน!JJ20"")"),0)</f>
        <v>0</v>
      </c>
      <c r="M791" s="837">
        <v>0</v>
      </c>
      <c r="N791" s="837">
        <f>N792+N793+N794+N795</f>
        <v>0</v>
      </c>
      <c r="O791" s="837">
        <f t="shared" ca="1" si="320"/>
        <v>0</v>
      </c>
      <c r="P791" s="837">
        <f t="shared" si="321"/>
        <v>0</v>
      </c>
      <c r="Q791" s="1264"/>
      <c r="R791" s="1264"/>
      <c r="S791" s="1264"/>
      <c r="T791" s="1264"/>
      <c r="U791" s="1264"/>
      <c r="V791" s="1264"/>
      <c r="W791" s="1264"/>
      <c r="X791" s="1264"/>
      <c r="Y791" s="1264"/>
      <c r="Z791" s="1264"/>
    </row>
    <row r="792" spans="1:26" ht="18.75" hidden="1">
      <c r="A792" s="1241"/>
      <c r="B792" s="1242"/>
      <c r="C792" s="1243"/>
      <c r="D792" s="1243"/>
      <c r="E792" s="1243"/>
      <c r="F792" s="1243" t="s">
        <v>186</v>
      </c>
      <c r="G792" s="963"/>
      <c r="H792" s="778" t="s">
        <v>12</v>
      </c>
      <c r="I792" s="830"/>
      <c r="J792" s="830"/>
      <c r="K792" s="831"/>
      <c r="L792" s="831"/>
      <c r="M792" s="831"/>
      <c r="N792" s="1031">
        <v>0</v>
      </c>
      <c r="O792" s="831"/>
      <c r="P792" s="831"/>
      <c r="Q792" s="1244"/>
      <c r="R792" s="1244"/>
      <c r="S792" s="1244"/>
      <c r="T792" s="1244"/>
      <c r="U792" s="1244"/>
      <c r="V792" s="1244"/>
      <c r="W792" s="1244"/>
      <c r="X792" s="1244"/>
      <c r="Y792" s="1244"/>
      <c r="Z792" s="1244"/>
    </row>
    <row r="793" spans="1:26" ht="18.75" hidden="1">
      <c r="A793" s="1241"/>
      <c r="B793" s="1242"/>
      <c r="C793" s="1243"/>
      <c r="D793" s="1243"/>
      <c r="E793" s="1243"/>
      <c r="F793" s="1243" t="s">
        <v>187</v>
      </c>
      <c r="G793" s="963"/>
      <c r="H793" s="778" t="s">
        <v>12</v>
      </c>
      <c r="I793" s="830"/>
      <c r="J793" s="830"/>
      <c r="K793" s="831"/>
      <c r="L793" s="831"/>
      <c r="M793" s="831"/>
      <c r="N793" s="1031">
        <v>0</v>
      </c>
      <c r="O793" s="831"/>
      <c r="P793" s="831"/>
      <c r="Q793" s="1244"/>
      <c r="R793" s="1244"/>
      <c r="S793" s="1244"/>
      <c r="T793" s="1244"/>
      <c r="U793" s="1244"/>
      <c r="V793" s="1244"/>
      <c r="W793" s="1244"/>
      <c r="X793" s="1244"/>
      <c r="Y793" s="1244"/>
      <c r="Z793" s="1244"/>
    </row>
    <row r="794" spans="1:26" ht="18.75" hidden="1">
      <c r="A794" s="1241"/>
      <c r="B794" s="1242"/>
      <c r="C794" s="1243"/>
      <c r="D794" s="1243"/>
      <c r="E794" s="1243"/>
      <c r="F794" s="1243" t="s">
        <v>188</v>
      </c>
      <c r="G794" s="963"/>
      <c r="H794" s="778" t="s">
        <v>12</v>
      </c>
      <c r="I794" s="830"/>
      <c r="J794" s="830"/>
      <c r="K794" s="831"/>
      <c r="L794" s="831"/>
      <c r="M794" s="831"/>
      <c r="N794" s="1031">
        <v>0</v>
      </c>
      <c r="O794" s="831"/>
      <c r="P794" s="831"/>
      <c r="Q794" s="1244"/>
      <c r="R794" s="1244"/>
      <c r="S794" s="1244"/>
      <c r="T794" s="1244"/>
      <c r="U794" s="1244"/>
      <c r="V794" s="1244"/>
      <c r="W794" s="1244"/>
      <c r="X794" s="1244"/>
      <c r="Y794" s="1244"/>
      <c r="Z794" s="1244"/>
    </row>
    <row r="795" spans="1:26" ht="18.75" hidden="1">
      <c r="A795" s="1241"/>
      <c r="B795" s="1242"/>
      <c r="C795" s="1243"/>
      <c r="D795" s="1243"/>
      <c r="E795" s="1243"/>
      <c r="F795" s="1243" t="s">
        <v>189</v>
      </c>
      <c r="G795" s="963"/>
      <c r="H795" s="778" t="s">
        <v>12</v>
      </c>
      <c r="I795" s="830"/>
      <c r="J795" s="830"/>
      <c r="K795" s="831"/>
      <c r="L795" s="831"/>
      <c r="M795" s="831"/>
      <c r="N795" s="1031">
        <v>0</v>
      </c>
      <c r="O795" s="831"/>
      <c r="P795" s="831"/>
      <c r="Q795" s="1244"/>
      <c r="R795" s="1244"/>
      <c r="S795" s="1244"/>
      <c r="T795" s="1244"/>
      <c r="U795" s="1244"/>
      <c r="V795" s="1244"/>
      <c r="W795" s="1244"/>
      <c r="X795" s="1244"/>
      <c r="Y795" s="1244"/>
      <c r="Z795" s="1244"/>
    </row>
    <row r="796" spans="1:26" ht="18.75" hidden="1">
      <c r="A796" s="1259"/>
      <c r="B796" s="1242"/>
      <c r="C796" s="1243"/>
      <c r="D796" s="1266" t="s">
        <v>21</v>
      </c>
      <c r="E796" s="1243"/>
      <c r="F796" s="1243"/>
      <c r="G796" s="963"/>
      <c r="H796" s="168" t="s">
        <v>12</v>
      </c>
      <c r="I796" s="944"/>
      <c r="J796" s="944"/>
      <c r="K796" s="945"/>
      <c r="L796" s="831">
        <f t="shared" ref="L796:N796" si="324">L797+L798</f>
        <v>0</v>
      </c>
      <c r="M796" s="831">
        <f t="shared" si="324"/>
        <v>0</v>
      </c>
      <c r="N796" s="831">
        <f t="shared" si="324"/>
        <v>0</v>
      </c>
      <c r="O796" s="831">
        <f t="shared" ref="O796:O798" si="325">IF(L796&gt;0,N796*100/L796,0)</f>
        <v>0</v>
      </c>
      <c r="P796" s="831">
        <f t="shared" ref="P796:P798" si="326">IF(M796&gt;0,N796*100/M796,0)</f>
        <v>0</v>
      </c>
      <c r="Q796" s="1244"/>
      <c r="R796" s="1244"/>
      <c r="S796" s="1244"/>
      <c r="T796" s="1244"/>
      <c r="U796" s="1244"/>
      <c r="V796" s="1244"/>
      <c r="W796" s="1244"/>
      <c r="X796" s="1244"/>
      <c r="Y796" s="1244"/>
      <c r="Z796" s="1244"/>
    </row>
    <row r="797" spans="1:26" ht="18.75" hidden="1">
      <c r="A797" s="1260"/>
      <c r="B797" s="1265"/>
      <c r="C797" s="1261"/>
      <c r="D797" s="1261"/>
      <c r="E797" s="1261" t="s">
        <v>18</v>
      </c>
      <c r="F797" s="1261"/>
      <c r="G797" s="1263"/>
      <c r="H797" s="165" t="s">
        <v>12</v>
      </c>
      <c r="I797" s="947"/>
      <c r="J797" s="947"/>
      <c r="K797" s="948"/>
      <c r="L797" s="837">
        <v>0</v>
      </c>
      <c r="M797" s="837">
        <v>0</v>
      </c>
      <c r="N797" s="837">
        <v>0</v>
      </c>
      <c r="O797" s="837">
        <f t="shared" si="325"/>
        <v>0</v>
      </c>
      <c r="P797" s="837">
        <f t="shared" si="326"/>
        <v>0</v>
      </c>
      <c r="Q797" s="1264"/>
      <c r="R797" s="1264"/>
      <c r="S797" s="1264"/>
      <c r="T797" s="1264"/>
      <c r="U797" s="1264"/>
      <c r="V797" s="1264"/>
      <c r="W797" s="1264"/>
      <c r="X797" s="1264"/>
      <c r="Y797" s="1264"/>
      <c r="Z797" s="1264"/>
    </row>
    <row r="798" spans="1:26" ht="18.75" hidden="1">
      <c r="A798" s="1260"/>
      <c r="B798" s="1265"/>
      <c r="C798" s="1261"/>
      <c r="D798" s="1261"/>
      <c r="E798" s="1261" t="s">
        <v>19</v>
      </c>
      <c r="F798" s="1261"/>
      <c r="G798" s="1263"/>
      <c r="H798" s="169" t="s">
        <v>12</v>
      </c>
      <c r="I798" s="947"/>
      <c r="J798" s="947"/>
      <c r="K798" s="948"/>
      <c r="L798" s="837">
        <v>0</v>
      </c>
      <c r="M798" s="837">
        <v>0</v>
      </c>
      <c r="N798" s="837">
        <v>0</v>
      </c>
      <c r="O798" s="837">
        <f t="shared" si="325"/>
        <v>0</v>
      </c>
      <c r="P798" s="837">
        <f t="shared" si="326"/>
        <v>0</v>
      </c>
      <c r="Q798" s="1264"/>
      <c r="R798" s="1264"/>
      <c r="S798" s="1264"/>
      <c r="T798" s="1264"/>
      <c r="U798" s="1264"/>
      <c r="V798" s="1264"/>
      <c r="W798" s="1264"/>
      <c r="X798" s="1264"/>
      <c r="Y798" s="1264"/>
      <c r="Z798" s="1264"/>
    </row>
    <row r="799" spans="1:26" ht="19.5" hidden="1">
      <c r="A799" s="1267"/>
      <c r="B799" s="1268"/>
      <c r="C799" s="1243" t="s">
        <v>16</v>
      </c>
      <c r="D799" s="1378" t="s">
        <v>38</v>
      </c>
      <c r="E799" s="1271"/>
      <c r="F799" s="1271"/>
      <c r="G799" s="1272"/>
      <c r="H799" s="1413"/>
      <c r="I799" s="944"/>
      <c r="J799" s="944"/>
      <c r="K799" s="945"/>
      <c r="L799" s="945"/>
      <c r="M799" s="945"/>
      <c r="N799" s="945"/>
      <c r="O799" s="945"/>
      <c r="P799" s="945"/>
      <c r="Q799" s="1244"/>
      <c r="R799" s="1244"/>
      <c r="S799" s="1244"/>
      <c r="T799" s="1244"/>
      <c r="U799" s="1244"/>
      <c r="V799" s="1244"/>
      <c r="W799" s="1244"/>
      <c r="X799" s="1244"/>
      <c r="Y799" s="1244"/>
      <c r="Z799" s="1244"/>
    </row>
    <row r="800" spans="1:26" ht="18.75" hidden="1">
      <c r="A800" s="1267"/>
      <c r="B800" s="1268"/>
      <c r="C800" s="1268"/>
      <c r="D800" s="1268"/>
      <c r="E800" s="961"/>
      <c r="F800" s="961" t="s">
        <v>320</v>
      </c>
      <c r="G800" s="954"/>
      <c r="H800" s="777" t="s">
        <v>46</v>
      </c>
      <c r="I800" s="944">
        <f ca="1">IFERROR(__xludf.DUMMYFUNCTION("IMPORTRANGE(""https://docs.google.com/spreadsheets/d/1QqKyyYR6Q21VydFLVH3TRQUabQu_ym0Zz7PgGX0-kHA/edit?usp=sharing"",""แผน!JN20"")"),0)</f>
        <v>0</v>
      </c>
      <c r="J800" s="944">
        <f ca="1">IFERROR(__xludf.DUMMYFUNCTION("IMPORTRANGE(""https://docs.google.com/spreadsheets/d/1MaWodYyGHDf7siQLGxnXhG4mBNTNIuy296niS2xXulU/edit?usp=sharing"",""RTK!H20"")"),0)</f>
        <v>0</v>
      </c>
      <c r="K800" s="831">
        <f ca="1">IF(I800&gt;0,J800*100/I800,0)</f>
        <v>0</v>
      </c>
      <c r="L800" s="831"/>
      <c r="M800" s="831"/>
      <c r="N800" s="831"/>
      <c r="O800" s="945"/>
      <c r="P800" s="945"/>
      <c r="Q800" s="1244"/>
      <c r="R800" s="1244"/>
      <c r="S800" s="1244"/>
      <c r="T800" s="1244"/>
      <c r="U800" s="1244"/>
      <c r="V800" s="1244"/>
      <c r="W800" s="1244"/>
      <c r="X800" s="1244"/>
      <c r="Y800" s="1244"/>
      <c r="Z800" s="1244"/>
    </row>
    <row r="801" spans="1:26" ht="18.75" hidden="1">
      <c r="A801" s="1267"/>
      <c r="B801" s="1268"/>
      <c r="C801" s="1268"/>
      <c r="D801" s="1268"/>
      <c r="E801" s="961"/>
      <c r="F801" s="961"/>
      <c r="G801" s="954"/>
      <c r="H801" s="778" t="s">
        <v>34</v>
      </c>
      <c r="I801" s="944"/>
      <c r="J801" s="830">
        <f ca="1">IFERROR(__xludf.DUMMYFUNCTION("IMPORTRANGE(""https://docs.google.com/spreadsheets/d/1MaWodYyGHDf7siQLGxnXhG4mBNTNIuy296niS2xXulU/edit?usp=sharing"",""RTK!I20"")"),0)</f>
        <v>0</v>
      </c>
      <c r="K801" s="831"/>
      <c r="L801" s="831"/>
      <c r="M801" s="831"/>
      <c r="N801" s="831"/>
      <c r="O801" s="945"/>
      <c r="P801" s="945"/>
      <c r="Q801" s="1244"/>
      <c r="R801" s="1244"/>
      <c r="S801" s="1244"/>
      <c r="T801" s="1244"/>
      <c r="U801" s="1244"/>
      <c r="V801" s="1244"/>
      <c r="W801" s="1244"/>
      <c r="X801" s="1244"/>
      <c r="Y801" s="1244"/>
      <c r="Z801" s="1244"/>
    </row>
    <row r="802" spans="1:26" ht="18.75" hidden="1">
      <c r="A802" s="1273"/>
      <c r="B802" s="1274"/>
      <c r="C802" s="1274"/>
      <c r="D802" s="1274"/>
      <c r="E802" s="1262"/>
      <c r="F802" s="1262" t="s">
        <v>321</v>
      </c>
      <c r="G802" s="1060"/>
      <c r="H802" s="619" t="s">
        <v>46</v>
      </c>
      <c r="I802" s="947"/>
      <c r="J802" s="836"/>
      <c r="K802" s="948">
        <f>IF(I802&gt;0,J802*100/I802,0)</f>
        <v>0</v>
      </c>
      <c r="L802" s="948"/>
      <c r="M802" s="948"/>
      <c r="N802" s="948"/>
      <c r="O802" s="948"/>
      <c r="P802" s="948"/>
      <c r="Q802" s="1264"/>
      <c r="R802" s="1264"/>
      <c r="S802" s="1264"/>
      <c r="T802" s="1264"/>
      <c r="U802" s="1264"/>
      <c r="V802" s="1264"/>
      <c r="W802" s="1264"/>
      <c r="X802" s="1264"/>
      <c r="Y802" s="1264"/>
      <c r="Z802" s="1264"/>
    </row>
    <row r="803" spans="1:26" ht="18.75" hidden="1">
      <c r="A803" s="1273"/>
      <c r="B803" s="1274"/>
      <c r="C803" s="1274"/>
      <c r="D803" s="1274"/>
      <c r="E803" s="1262"/>
      <c r="F803" s="1262"/>
      <c r="G803" s="1060"/>
      <c r="H803" s="619" t="s">
        <v>34</v>
      </c>
      <c r="I803" s="947"/>
      <c r="J803" s="836"/>
      <c r="K803" s="948"/>
      <c r="L803" s="948"/>
      <c r="M803" s="948"/>
      <c r="N803" s="948"/>
      <c r="O803" s="948"/>
      <c r="P803" s="948"/>
      <c r="Q803" s="1264"/>
      <c r="R803" s="1264"/>
      <c r="S803" s="1264"/>
      <c r="T803" s="1264"/>
      <c r="U803" s="1264"/>
      <c r="V803" s="1264"/>
      <c r="W803" s="1264"/>
      <c r="X803" s="1264"/>
      <c r="Y803" s="1264"/>
      <c r="Z803" s="1264"/>
    </row>
    <row r="804" spans="1:26" ht="19.5" hidden="1">
      <c r="A804" s="759">
        <v>13</v>
      </c>
      <c r="B804" s="1400" t="s">
        <v>322</v>
      </c>
      <c r="C804" s="1401"/>
      <c r="D804" s="1419"/>
      <c r="E804" s="1401"/>
      <c r="F804" s="1401"/>
      <c r="G804" s="1402"/>
      <c r="H804" s="763" t="s">
        <v>46</v>
      </c>
      <c r="I804" s="1403"/>
      <c r="J804" s="1403">
        <f>J819</f>
        <v>0</v>
      </c>
      <c r="K804" s="1404">
        <f>IF(I804&gt;0,J804*100/I804,0)</f>
        <v>0</v>
      </c>
      <c r="L804" s="1405"/>
      <c r="M804" s="1405"/>
      <c r="N804" s="1405"/>
      <c r="O804" s="1405"/>
      <c r="P804" s="1405"/>
      <c r="Q804" s="1264"/>
      <c r="R804" s="1264"/>
      <c r="S804" s="1264"/>
      <c r="T804" s="1264"/>
      <c r="U804" s="1264"/>
      <c r="V804" s="1264"/>
      <c r="W804" s="1264"/>
      <c r="X804" s="1264"/>
      <c r="Y804" s="1264"/>
      <c r="Z804" s="1264"/>
    </row>
    <row r="805" spans="1:26" ht="19.5" hidden="1">
      <c r="A805" s="1260"/>
      <c r="B805" s="1261"/>
      <c r="C805" s="1261" t="s">
        <v>16</v>
      </c>
      <c r="D805" s="1508" t="s">
        <v>17</v>
      </c>
      <c r="E805" s="1485"/>
      <c r="F805" s="1485"/>
      <c r="G805" s="1263"/>
      <c r="H805" s="612" t="s">
        <v>12</v>
      </c>
      <c r="I805" s="836"/>
      <c r="J805" s="836"/>
      <c r="K805" s="837"/>
      <c r="L805" s="1292">
        <f t="shared" ref="L805:N805" si="327">L806+L807</f>
        <v>0</v>
      </c>
      <c r="M805" s="1292">
        <f t="shared" si="327"/>
        <v>0</v>
      </c>
      <c r="N805" s="1292">
        <f t="shared" si="327"/>
        <v>0</v>
      </c>
      <c r="O805" s="1292">
        <f t="shared" ref="O805:O810" si="328">IF(L805&gt;0,N805*100/L805,0)</f>
        <v>0</v>
      </c>
      <c r="P805" s="1292">
        <f t="shared" ref="P805:P810" si="329">IF(M805&gt;0,N805*100/M805,0)</f>
        <v>0</v>
      </c>
      <c r="Q805" s="1264"/>
      <c r="R805" s="1264"/>
      <c r="S805" s="1264"/>
      <c r="T805" s="1264"/>
      <c r="U805" s="1264"/>
      <c r="V805" s="1264"/>
      <c r="W805" s="1264"/>
      <c r="X805" s="1264"/>
      <c r="Y805" s="1264"/>
      <c r="Z805" s="1264"/>
    </row>
    <row r="806" spans="1:26" ht="18.75" hidden="1">
      <c r="A806" s="1260"/>
      <c r="B806" s="1261"/>
      <c r="C806" s="1261"/>
      <c r="D806" s="1274"/>
      <c r="E806" s="1261" t="s">
        <v>184</v>
      </c>
      <c r="F806" s="1261"/>
      <c r="G806" s="1263"/>
      <c r="H806" s="165" t="s">
        <v>12</v>
      </c>
      <c r="I806" s="836"/>
      <c r="J806" s="836"/>
      <c r="K806" s="837"/>
      <c r="L806" s="837">
        <f t="shared" ref="L806:N807" si="330">L809+L816</f>
        <v>0</v>
      </c>
      <c r="M806" s="837">
        <f t="shared" si="330"/>
        <v>0</v>
      </c>
      <c r="N806" s="837">
        <f t="shared" si="330"/>
        <v>0</v>
      </c>
      <c r="O806" s="837">
        <f t="shared" si="328"/>
        <v>0</v>
      </c>
      <c r="P806" s="837">
        <f t="shared" si="329"/>
        <v>0</v>
      </c>
      <c r="Q806" s="1264"/>
      <c r="R806" s="1264"/>
      <c r="S806" s="1264"/>
      <c r="T806" s="1264"/>
      <c r="U806" s="1264"/>
      <c r="V806" s="1264"/>
      <c r="W806" s="1264"/>
      <c r="X806" s="1264"/>
      <c r="Y806" s="1264"/>
      <c r="Z806" s="1264"/>
    </row>
    <row r="807" spans="1:26" ht="18.75" hidden="1">
      <c r="A807" s="1260"/>
      <c r="B807" s="1261"/>
      <c r="C807" s="1261"/>
      <c r="D807" s="1274"/>
      <c r="E807" s="1261" t="s">
        <v>185</v>
      </c>
      <c r="F807" s="1261"/>
      <c r="G807" s="1263"/>
      <c r="H807" s="165" t="s">
        <v>12</v>
      </c>
      <c r="I807" s="836"/>
      <c r="J807" s="836"/>
      <c r="K807" s="837"/>
      <c r="L807" s="837">
        <f t="shared" si="330"/>
        <v>0</v>
      </c>
      <c r="M807" s="837">
        <f t="shared" si="330"/>
        <v>0</v>
      </c>
      <c r="N807" s="837">
        <f t="shared" si="330"/>
        <v>0</v>
      </c>
      <c r="O807" s="837">
        <f t="shared" si="328"/>
        <v>0</v>
      </c>
      <c r="P807" s="837">
        <f t="shared" si="329"/>
        <v>0</v>
      </c>
      <c r="Q807" s="1264"/>
      <c r="R807" s="1264"/>
      <c r="S807" s="1264"/>
      <c r="T807" s="1264"/>
      <c r="U807" s="1264"/>
      <c r="V807" s="1264"/>
      <c r="W807" s="1264"/>
      <c r="X807" s="1264"/>
      <c r="Y807" s="1264"/>
      <c r="Z807" s="1264"/>
    </row>
    <row r="808" spans="1:26" ht="19.5" hidden="1">
      <c r="A808" s="1260"/>
      <c r="B808" s="1265"/>
      <c r="C808" s="1261"/>
      <c r="D808" s="1509" t="s">
        <v>20</v>
      </c>
      <c r="E808" s="1485"/>
      <c r="F808" s="1485"/>
      <c r="G808" s="1263"/>
      <c r="H808" s="612" t="s">
        <v>12</v>
      </c>
      <c r="I808" s="947"/>
      <c r="J808" s="947"/>
      <c r="K808" s="948"/>
      <c r="L808" s="1292">
        <f t="shared" ref="L808:N808" si="331">L809+L810</f>
        <v>0</v>
      </c>
      <c r="M808" s="1292">
        <f t="shared" si="331"/>
        <v>0</v>
      </c>
      <c r="N808" s="1292">
        <f t="shared" si="331"/>
        <v>0</v>
      </c>
      <c r="O808" s="1292">
        <f t="shared" si="328"/>
        <v>0</v>
      </c>
      <c r="P808" s="1292">
        <f t="shared" si="329"/>
        <v>0</v>
      </c>
      <c r="Q808" s="1264"/>
      <c r="R808" s="1264"/>
      <c r="S808" s="1264"/>
      <c r="T808" s="1264"/>
      <c r="U808" s="1264"/>
      <c r="V808" s="1264"/>
      <c r="W808" s="1264"/>
      <c r="X808" s="1264"/>
      <c r="Y808" s="1264"/>
      <c r="Z808" s="1264"/>
    </row>
    <row r="809" spans="1:26" ht="18.75" hidden="1">
      <c r="A809" s="1260"/>
      <c r="B809" s="1261"/>
      <c r="C809" s="1261"/>
      <c r="D809" s="1274"/>
      <c r="E809" s="1261" t="s">
        <v>184</v>
      </c>
      <c r="F809" s="1261"/>
      <c r="G809" s="1263"/>
      <c r="H809" s="165" t="s">
        <v>12</v>
      </c>
      <c r="I809" s="836"/>
      <c r="J809" s="836"/>
      <c r="K809" s="837"/>
      <c r="L809" s="837">
        <v>0</v>
      </c>
      <c r="M809" s="837">
        <v>0</v>
      </c>
      <c r="N809" s="837">
        <v>0</v>
      </c>
      <c r="O809" s="837">
        <f t="shared" si="328"/>
        <v>0</v>
      </c>
      <c r="P809" s="837">
        <f t="shared" si="329"/>
        <v>0</v>
      </c>
      <c r="Q809" s="1264"/>
      <c r="R809" s="1264"/>
      <c r="S809" s="1264"/>
      <c r="T809" s="1264"/>
      <c r="U809" s="1264"/>
      <c r="V809" s="1264"/>
      <c r="W809" s="1264"/>
      <c r="X809" s="1264"/>
      <c r="Y809" s="1264"/>
      <c r="Z809" s="1264"/>
    </row>
    <row r="810" spans="1:26" ht="18.75" hidden="1">
      <c r="A810" s="1260"/>
      <c r="B810" s="1261"/>
      <c r="C810" s="1261"/>
      <c r="D810" s="1274"/>
      <c r="E810" s="1261" t="s">
        <v>185</v>
      </c>
      <c r="F810" s="1261"/>
      <c r="G810" s="1263"/>
      <c r="H810" s="165" t="s">
        <v>12</v>
      </c>
      <c r="I810" s="836"/>
      <c r="J810" s="836"/>
      <c r="K810" s="837"/>
      <c r="L810" s="837">
        <v>0</v>
      </c>
      <c r="M810" s="837">
        <v>0</v>
      </c>
      <c r="N810" s="837">
        <f>N811+N812+N813+N814</f>
        <v>0</v>
      </c>
      <c r="O810" s="837">
        <f t="shared" si="328"/>
        <v>0</v>
      </c>
      <c r="P810" s="837">
        <f t="shared" si="329"/>
        <v>0</v>
      </c>
      <c r="Q810" s="1264"/>
      <c r="R810" s="1264"/>
      <c r="S810" s="1264"/>
      <c r="T810" s="1264"/>
      <c r="U810" s="1264"/>
      <c r="V810" s="1264"/>
      <c r="W810" s="1264"/>
      <c r="X810" s="1264"/>
      <c r="Y810" s="1264"/>
      <c r="Z810" s="1264"/>
    </row>
    <row r="811" spans="1:26" ht="18.75" hidden="1">
      <c r="A811" s="1294"/>
      <c r="B811" s="1265"/>
      <c r="C811" s="1261"/>
      <c r="D811" s="1265"/>
      <c r="E811" s="1261"/>
      <c r="F811" s="1261" t="s">
        <v>186</v>
      </c>
      <c r="G811" s="1263"/>
      <c r="H811" s="165" t="s">
        <v>12</v>
      </c>
      <c r="I811" s="836"/>
      <c r="J811" s="836"/>
      <c r="K811" s="837"/>
      <c r="L811" s="837"/>
      <c r="M811" s="837"/>
      <c r="N811" s="837"/>
      <c r="O811" s="837"/>
      <c r="P811" s="837"/>
      <c r="Q811" s="1264"/>
      <c r="R811" s="1264"/>
      <c r="S811" s="1264"/>
      <c r="T811" s="1264"/>
      <c r="U811" s="1264"/>
      <c r="V811" s="1264"/>
      <c r="W811" s="1264"/>
      <c r="X811" s="1264"/>
      <c r="Y811" s="1264"/>
      <c r="Z811" s="1264"/>
    </row>
    <row r="812" spans="1:26" ht="18.75" hidden="1">
      <c r="A812" s="1294"/>
      <c r="B812" s="1265"/>
      <c r="C812" s="1261"/>
      <c r="D812" s="1265"/>
      <c r="E812" s="1261"/>
      <c r="F812" s="1261" t="s">
        <v>187</v>
      </c>
      <c r="G812" s="1263"/>
      <c r="H812" s="165" t="s">
        <v>12</v>
      </c>
      <c r="I812" s="836"/>
      <c r="J812" s="836"/>
      <c r="K812" s="837"/>
      <c r="L812" s="837"/>
      <c r="M812" s="837"/>
      <c r="N812" s="837"/>
      <c r="O812" s="837"/>
      <c r="P812" s="837"/>
      <c r="Q812" s="1264"/>
      <c r="R812" s="1264"/>
      <c r="S812" s="1264"/>
      <c r="T812" s="1264"/>
      <c r="U812" s="1264"/>
      <c r="V812" s="1264"/>
      <c r="W812" s="1264"/>
      <c r="X812" s="1264"/>
      <c r="Y812" s="1264"/>
      <c r="Z812" s="1264"/>
    </row>
    <row r="813" spans="1:26" ht="18.75" hidden="1">
      <c r="A813" s="1294"/>
      <c r="B813" s="1265"/>
      <c r="C813" s="1261"/>
      <c r="D813" s="1265"/>
      <c r="E813" s="1261"/>
      <c r="F813" s="1261" t="s">
        <v>188</v>
      </c>
      <c r="G813" s="1263"/>
      <c r="H813" s="165" t="s">
        <v>12</v>
      </c>
      <c r="I813" s="836"/>
      <c r="J813" s="836"/>
      <c r="K813" s="837"/>
      <c r="L813" s="837"/>
      <c r="M813" s="837"/>
      <c r="N813" s="837"/>
      <c r="O813" s="837"/>
      <c r="P813" s="837"/>
      <c r="Q813" s="1264"/>
      <c r="R813" s="1264"/>
      <c r="S813" s="1264"/>
      <c r="T813" s="1264"/>
      <c r="U813" s="1264"/>
      <c r="V813" s="1264"/>
      <c r="W813" s="1264"/>
      <c r="X813" s="1264"/>
      <c r="Y813" s="1264"/>
      <c r="Z813" s="1264"/>
    </row>
    <row r="814" spans="1:26" ht="18.75" hidden="1">
      <c r="A814" s="1294"/>
      <c r="B814" s="1265"/>
      <c r="C814" s="1261"/>
      <c r="D814" s="1265"/>
      <c r="E814" s="1261"/>
      <c r="F814" s="1261" t="s">
        <v>189</v>
      </c>
      <c r="G814" s="1263"/>
      <c r="H814" s="165" t="s">
        <v>12</v>
      </c>
      <c r="I814" s="836"/>
      <c r="J814" s="836"/>
      <c r="K814" s="837"/>
      <c r="L814" s="837"/>
      <c r="M814" s="837"/>
      <c r="N814" s="837"/>
      <c r="O814" s="837"/>
      <c r="P814" s="837"/>
      <c r="Q814" s="1264"/>
      <c r="R814" s="1264"/>
      <c r="S814" s="1264"/>
      <c r="T814" s="1264"/>
      <c r="U814" s="1264"/>
      <c r="V814" s="1264"/>
      <c r="W814" s="1264"/>
      <c r="X814" s="1264"/>
      <c r="Y814" s="1264"/>
      <c r="Z814" s="1264"/>
    </row>
    <row r="815" spans="1:26" ht="19.5" hidden="1">
      <c r="A815" s="1260"/>
      <c r="B815" s="1265"/>
      <c r="C815" s="1261"/>
      <c r="D815" s="1509" t="s">
        <v>21</v>
      </c>
      <c r="E815" s="1485"/>
      <c r="F815" s="1485"/>
      <c r="G815" s="1263"/>
      <c r="H815" s="749" t="s">
        <v>12</v>
      </c>
      <c r="I815" s="947"/>
      <c r="J815" s="947"/>
      <c r="K815" s="948"/>
      <c r="L815" s="1292">
        <f t="shared" ref="L815:N815" si="332">L816+L817</f>
        <v>0</v>
      </c>
      <c r="M815" s="1292">
        <f t="shared" si="332"/>
        <v>0</v>
      </c>
      <c r="N815" s="1292">
        <f t="shared" si="332"/>
        <v>0</v>
      </c>
      <c r="O815" s="1292">
        <f t="shared" ref="O815:O817" si="333">IF(L815&gt;0,N815*100/L815,0)</f>
        <v>0</v>
      </c>
      <c r="P815" s="1292">
        <f t="shared" ref="P815:P817" si="334">IF(M815&gt;0,N815*100/M815,0)</f>
        <v>0</v>
      </c>
      <c r="Q815" s="1264"/>
      <c r="R815" s="1264"/>
      <c r="S815" s="1264"/>
      <c r="T815" s="1264"/>
      <c r="U815" s="1264"/>
      <c r="V815" s="1264"/>
      <c r="W815" s="1264"/>
      <c r="X815" s="1264"/>
      <c r="Y815" s="1264"/>
      <c r="Z815" s="1264"/>
    </row>
    <row r="816" spans="1:26" ht="18.75" hidden="1">
      <c r="A816" s="1260"/>
      <c r="B816" s="1265"/>
      <c r="C816" s="1261"/>
      <c r="D816" s="1265"/>
      <c r="E816" s="1261" t="s">
        <v>18</v>
      </c>
      <c r="F816" s="1261"/>
      <c r="G816" s="1263"/>
      <c r="H816" s="165" t="s">
        <v>12</v>
      </c>
      <c r="I816" s="947"/>
      <c r="J816" s="947"/>
      <c r="K816" s="948"/>
      <c r="L816" s="837">
        <v>0</v>
      </c>
      <c r="M816" s="837">
        <v>0</v>
      </c>
      <c r="N816" s="837">
        <v>0</v>
      </c>
      <c r="O816" s="837">
        <f t="shared" si="333"/>
        <v>0</v>
      </c>
      <c r="P816" s="837">
        <f t="shared" si="334"/>
        <v>0</v>
      </c>
      <c r="Q816" s="1264"/>
      <c r="R816" s="1264"/>
      <c r="S816" s="1264"/>
      <c r="T816" s="1264"/>
      <c r="U816" s="1264"/>
      <c r="V816" s="1264"/>
      <c r="W816" s="1264"/>
      <c r="X816" s="1264"/>
      <c r="Y816" s="1264"/>
      <c r="Z816" s="1264"/>
    </row>
    <row r="817" spans="1:26" ht="18.75" hidden="1">
      <c r="A817" s="1260"/>
      <c r="B817" s="1265"/>
      <c r="C817" s="1261"/>
      <c r="D817" s="1265"/>
      <c r="E817" s="1261" t="s">
        <v>19</v>
      </c>
      <c r="F817" s="1261"/>
      <c r="G817" s="1263"/>
      <c r="H817" s="169" t="s">
        <v>12</v>
      </c>
      <c r="I817" s="947"/>
      <c r="J817" s="947"/>
      <c r="K817" s="948"/>
      <c r="L817" s="837">
        <v>0</v>
      </c>
      <c r="M817" s="837">
        <v>0</v>
      </c>
      <c r="N817" s="837">
        <v>0</v>
      </c>
      <c r="O817" s="837">
        <f t="shared" si="333"/>
        <v>0</v>
      </c>
      <c r="P817" s="837">
        <f t="shared" si="334"/>
        <v>0</v>
      </c>
      <c r="Q817" s="1264"/>
      <c r="R817" s="1264"/>
      <c r="S817" s="1264"/>
      <c r="T817" s="1264"/>
      <c r="U817" s="1264"/>
      <c r="V817" s="1264"/>
      <c r="W817" s="1264"/>
      <c r="X817" s="1264"/>
      <c r="Y817" s="1264"/>
      <c r="Z817" s="1264"/>
    </row>
    <row r="818" spans="1:26" ht="19.5" hidden="1">
      <c r="A818" s="1273"/>
      <c r="B818" s="1274"/>
      <c r="C818" s="1261" t="s">
        <v>16</v>
      </c>
      <c r="D818" s="1420" t="s">
        <v>38</v>
      </c>
      <c r="E818" s="1296"/>
      <c r="F818" s="1296"/>
      <c r="G818" s="1297"/>
      <c r="H818" s="1060"/>
      <c r="I818" s="947"/>
      <c r="J818" s="947"/>
      <c r="K818" s="948"/>
      <c r="L818" s="948"/>
      <c r="M818" s="948"/>
      <c r="N818" s="948"/>
      <c r="O818" s="948"/>
      <c r="P818" s="948"/>
      <c r="Q818" s="1264"/>
      <c r="R818" s="1264"/>
      <c r="S818" s="1264"/>
      <c r="T818" s="1264"/>
      <c r="U818" s="1264"/>
      <c r="V818" s="1264"/>
      <c r="W818" s="1264"/>
      <c r="X818" s="1264"/>
      <c r="Y818" s="1264"/>
      <c r="Z818" s="1264"/>
    </row>
    <row r="819" spans="1:26" ht="19.5" hidden="1" thickBot="1">
      <c r="A819" s="1421"/>
      <c r="B819" s="1422"/>
      <c r="C819" s="1423"/>
      <c r="D819" s="1422"/>
      <c r="E819" s="1423" t="s">
        <v>323</v>
      </c>
      <c r="F819" s="1423"/>
      <c r="G819" s="1424"/>
      <c r="H819" s="792" t="s">
        <v>46</v>
      </c>
      <c r="I819" s="1425"/>
      <c r="J819" s="1425"/>
      <c r="K819" s="1426"/>
      <c r="L819" s="1426"/>
      <c r="M819" s="1426"/>
      <c r="N819" s="1426"/>
      <c r="O819" s="1426"/>
      <c r="P819" s="1426"/>
      <c r="Q819" s="1264"/>
      <c r="R819" s="1264"/>
      <c r="S819" s="1264"/>
      <c r="T819" s="1264"/>
      <c r="U819" s="1264"/>
      <c r="V819" s="1264"/>
      <c r="W819" s="1264"/>
      <c r="X819" s="1264"/>
      <c r="Y819" s="1264"/>
      <c r="Z819" s="1264"/>
    </row>
    <row r="820" spans="1:26" ht="19.5">
      <c r="A820" s="1427" t="s">
        <v>333</v>
      </c>
      <c r="B820" s="1428"/>
      <c r="C820" s="1428"/>
      <c r="D820" s="1429"/>
      <c r="E820" s="1428"/>
      <c r="F820" s="1428"/>
      <c r="G820" s="1430"/>
      <c r="H820" s="143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32"/>
      <c r="J820" s="1432"/>
      <c r="K820" s="1433"/>
      <c r="L820" s="1433"/>
      <c r="M820" s="1433"/>
      <c r="N820" s="1433"/>
      <c r="O820" s="1433"/>
      <c r="P820" s="1433"/>
      <c r="Q820" s="1244"/>
      <c r="R820" s="1244"/>
      <c r="S820" s="1244"/>
      <c r="T820" s="1244"/>
      <c r="U820" s="1244"/>
      <c r="V820" s="1244"/>
      <c r="W820" s="1244"/>
      <c r="X820" s="1244"/>
      <c r="Y820" s="1244"/>
      <c r="Z820" s="1244"/>
    </row>
    <row r="821" spans="1:26" ht="18.75">
      <c r="A821" s="1368"/>
      <c r="B821" s="1243" t="s">
        <v>325</v>
      </c>
      <c r="C821" s="1243"/>
      <c r="D821" s="1242"/>
      <c r="E821" s="1243"/>
      <c r="F821" s="1243"/>
      <c r="G821" s="963"/>
      <c r="H821" s="590" t="s">
        <v>12</v>
      </c>
      <c r="I821" s="830">
        <f ca="1">IFERROR(__xludf.DUMMYFUNCTION("IMPORTRANGE(""https://docs.google.com/spreadsheets/d/19vJNZY_5yjcGF2XGBMNZRCAIB0Kwfpjp8YEOfu-bneM/edit?usp=sharing"",""งานกองทุน!D20"")"),4251141.49)</f>
        <v>4251141.49</v>
      </c>
      <c r="J821" s="830">
        <f ca="1">IFERROR(__xludf.DUMMYFUNCTION("IMPORTRANGE(""https://docs.google.com/spreadsheets/d/19vJNZY_5yjcGF2XGBMNZRCAIB0Kwfpjp8YEOfu-bneM/edit?usp=sharing"",""งานกองทุน!F20"")"),2049177.4)</f>
        <v>2049177.4</v>
      </c>
      <c r="K821" s="831">
        <f t="shared" ref="K821:K828" ca="1" si="335">IF(I821&gt;0,J821*100/I821,0)</f>
        <v>48.202992180342598</v>
      </c>
      <c r="L821" s="831"/>
      <c r="M821" s="831"/>
      <c r="N821" s="831"/>
      <c r="O821" s="831"/>
      <c r="P821" s="831"/>
      <c r="Q821" s="1244"/>
      <c r="R821" s="1244"/>
      <c r="S821" s="1244"/>
      <c r="T821" s="1244"/>
      <c r="U821" s="1244"/>
      <c r="V821" s="1244"/>
      <c r="W821" s="1244"/>
      <c r="X821" s="1244"/>
      <c r="Y821" s="1244"/>
      <c r="Z821" s="1244"/>
    </row>
    <row r="822" spans="1:26" ht="18.75">
      <c r="A822" s="1368"/>
      <c r="B822" s="1243"/>
      <c r="C822" s="1243"/>
      <c r="D822" s="1242"/>
      <c r="E822" s="1243"/>
      <c r="F822" s="1243"/>
      <c r="G822" s="963"/>
      <c r="H822" s="590" t="s">
        <v>35</v>
      </c>
      <c r="I822" s="830">
        <f ca="1">IFERROR(__xludf.DUMMYFUNCTION("IMPORTRANGE(""https://docs.google.com/spreadsheets/d/19vJNZY_5yjcGF2XGBMNZRCAIB0Kwfpjp8YEOfu-bneM/edit?usp=sharing"",""งานกองทุน!C20"")"),408)</f>
        <v>408</v>
      </c>
      <c r="J822" s="830">
        <f ca="1">IFERROR(__xludf.DUMMYFUNCTION("IMPORTRANGE(""https://docs.google.com/spreadsheets/d/19vJNZY_5yjcGF2XGBMNZRCAIB0Kwfpjp8YEOfu-bneM/edit?usp=sharing"",""งานกองทุน!E20"")"),179)</f>
        <v>179</v>
      </c>
      <c r="K822" s="831">
        <f t="shared" ca="1" si="335"/>
        <v>43.872549019607845</v>
      </c>
      <c r="L822" s="831"/>
      <c r="M822" s="831"/>
      <c r="N822" s="831"/>
      <c r="O822" s="831"/>
      <c r="P822" s="831"/>
      <c r="Q822" s="1244"/>
      <c r="R822" s="1244"/>
      <c r="S822" s="1244"/>
      <c r="T822" s="1244"/>
      <c r="U822" s="1244"/>
      <c r="V822" s="1244"/>
      <c r="W822" s="1244"/>
      <c r="X822" s="1244"/>
      <c r="Y822" s="1244"/>
      <c r="Z822" s="1244"/>
    </row>
    <row r="823" spans="1:26" ht="18.75">
      <c r="A823" s="1368"/>
      <c r="B823" s="1243" t="s">
        <v>326</v>
      </c>
      <c r="C823" s="1243"/>
      <c r="D823" s="1242"/>
      <c r="E823" s="1243"/>
      <c r="F823" s="1243"/>
      <c r="G823" s="963"/>
      <c r="H823" s="590" t="s">
        <v>12</v>
      </c>
      <c r="I823" s="830">
        <f ca="1">IFERROR(__xludf.DUMMYFUNCTION("IMPORTRANGE(""https://docs.google.com/spreadsheets/d/19vJNZY_5yjcGF2XGBMNZRCAIB0Kwfpjp8YEOfu-bneM/edit?usp=sharing"",""งานกองทุน!I20"")"),24687178.04)</f>
        <v>24687178.039999999</v>
      </c>
      <c r="J823" s="830">
        <f ca="1">IFERROR(__xludf.DUMMYFUNCTION("IMPORTRANGE(""https://docs.google.com/spreadsheets/d/19vJNZY_5yjcGF2XGBMNZRCAIB0Kwfpjp8YEOfu-bneM/edit?usp=sharing"",""งานกองทุน!K20"")"),371629.39)</f>
        <v>371629.39</v>
      </c>
      <c r="K823" s="831">
        <f t="shared" ca="1" si="335"/>
        <v>1.50535386992332</v>
      </c>
      <c r="L823" s="831"/>
      <c r="M823" s="831"/>
      <c r="N823" s="831"/>
      <c r="O823" s="831"/>
      <c r="P823" s="831"/>
      <c r="Q823" s="1244"/>
      <c r="R823" s="1244"/>
      <c r="S823" s="1244"/>
      <c r="T823" s="1244"/>
      <c r="U823" s="1244"/>
      <c r="V823" s="1244"/>
      <c r="W823" s="1244"/>
      <c r="X823" s="1244"/>
      <c r="Y823" s="1244"/>
      <c r="Z823" s="1244"/>
    </row>
    <row r="824" spans="1:26" ht="18.75">
      <c r="A824" s="1368"/>
      <c r="B824" s="1243"/>
      <c r="C824" s="1243"/>
      <c r="D824" s="1242"/>
      <c r="E824" s="1243"/>
      <c r="F824" s="1243"/>
      <c r="G824" s="963"/>
      <c r="H824" s="590" t="s">
        <v>35</v>
      </c>
      <c r="I824" s="830">
        <f ca="1">IFERROR(__xludf.DUMMYFUNCTION("IMPORTRANGE(""https://docs.google.com/spreadsheets/d/19vJNZY_5yjcGF2XGBMNZRCAIB0Kwfpjp8YEOfu-bneM/edit?usp=sharing"",""งานกองทุน!H20"")"),411)</f>
        <v>411</v>
      </c>
      <c r="J824" s="830">
        <f ca="1">IFERROR(__xludf.DUMMYFUNCTION("IMPORTRANGE(""https://docs.google.com/spreadsheets/d/19vJNZY_5yjcGF2XGBMNZRCAIB0Kwfpjp8YEOfu-bneM/edit?usp=sharing"",""งานกองทุน!J20"")"),71)</f>
        <v>71</v>
      </c>
      <c r="K824" s="831">
        <f t="shared" ca="1" si="335"/>
        <v>17.274939172749392</v>
      </c>
      <c r="L824" s="831"/>
      <c r="M824" s="831"/>
      <c r="N824" s="831"/>
      <c r="O824" s="831"/>
      <c r="P824" s="831"/>
      <c r="Q824" s="1244"/>
      <c r="R824" s="1244"/>
      <c r="S824" s="1244"/>
      <c r="T824" s="1244"/>
      <c r="U824" s="1244"/>
      <c r="V824" s="1244"/>
      <c r="W824" s="1244"/>
      <c r="X824" s="1244"/>
      <c r="Y824" s="1244"/>
      <c r="Z824" s="1244"/>
    </row>
    <row r="825" spans="1:26" ht="18.75">
      <c r="A825" s="1368"/>
      <c r="B825" s="1243" t="s">
        <v>327</v>
      </c>
      <c r="C825" s="1243"/>
      <c r="D825" s="1242"/>
      <c r="E825" s="1243"/>
      <c r="F825" s="1243"/>
      <c r="G825" s="963"/>
      <c r="H825" s="590" t="s">
        <v>12</v>
      </c>
      <c r="I825" s="830">
        <f ca="1">IFERROR(__xludf.DUMMYFUNCTION("IMPORTRANGE(""https://docs.google.com/spreadsheets/d/19vJNZY_5yjcGF2XGBMNZRCAIB0Kwfpjp8YEOfu-bneM/edit?usp=sharing"",""งานกองทุน!N20"")"),64494.86)</f>
        <v>64494.86</v>
      </c>
      <c r="J825" s="830">
        <f ca="1">IFERROR(__xludf.DUMMYFUNCTION("IMPORTRANGE(""https://docs.google.com/spreadsheets/d/19vJNZY_5yjcGF2XGBMNZRCAIB0Kwfpjp8YEOfu-bneM/edit?usp=sharing"",""งานกองทุน!P20"")"),1498.88)</f>
        <v>1498.88</v>
      </c>
      <c r="K825" s="831">
        <f t="shared" ca="1" si="335"/>
        <v>2.3240301630238442</v>
      </c>
      <c r="L825" s="831"/>
      <c r="M825" s="831"/>
      <c r="N825" s="831"/>
      <c r="O825" s="831"/>
      <c r="P825" s="831"/>
      <c r="Q825" s="1244"/>
      <c r="R825" s="1244"/>
      <c r="S825" s="1244"/>
      <c r="T825" s="1244"/>
      <c r="U825" s="1244"/>
      <c r="V825" s="1244"/>
      <c r="W825" s="1244"/>
      <c r="X825" s="1244"/>
      <c r="Y825" s="1244"/>
      <c r="Z825" s="1244"/>
    </row>
    <row r="826" spans="1:26" ht="18.75">
      <c r="A826" s="1368"/>
      <c r="B826" s="1243"/>
      <c r="C826" s="1243"/>
      <c r="D826" s="1242"/>
      <c r="E826" s="1243"/>
      <c r="F826" s="1243"/>
      <c r="G826" s="963"/>
      <c r="H826" s="590" t="s">
        <v>35</v>
      </c>
      <c r="I826" s="830">
        <f ca="1">IFERROR(__xludf.DUMMYFUNCTION("IMPORTRANGE(""https://docs.google.com/spreadsheets/d/19vJNZY_5yjcGF2XGBMNZRCAIB0Kwfpjp8YEOfu-bneM/edit?usp=sharing"",""งานกองทุน!M20"")"),107)</f>
        <v>107</v>
      </c>
      <c r="J826" s="830">
        <f ca="1">IFERROR(__xludf.DUMMYFUNCTION("IMPORTRANGE(""https://docs.google.com/spreadsheets/d/19vJNZY_5yjcGF2XGBMNZRCAIB0Kwfpjp8YEOfu-bneM/edit?usp=sharing"",""งานกองทุน!O20"")"),2)</f>
        <v>2</v>
      </c>
      <c r="K826" s="831">
        <f t="shared" ca="1" si="335"/>
        <v>1.8691588785046729</v>
      </c>
      <c r="L826" s="831"/>
      <c r="M826" s="831"/>
      <c r="N826" s="831"/>
      <c r="O826" s="831"/>
      <c r="P826" s="831"/>
      <c r="Q826" s="1244"/>
      <c r="R826" s="1244"/>
      <c r="S826" s="1244"/>
      <c r="T826" s="1244"/>
      <c r="U826" s="1244"/>
      <c r="V826" s="1244"/>
      <c r="W826" s="1244"/>
      <c r="X826" s="1244"/>
      <c r="Y826" s="1244"/>
      <c r="Z826" s="1244"/>
    </row>
    <row r="827" spans="1:26" ht="18.75">
      <c r="A827" s="1368"/>
      <c r="B827" s="1243" t="s">
        <v>328</v>
      </c>
      <c r="C827" s="1243"/>
      <c r="D827" s="1242"/>
      <c r="E827" s="1243"/>
      <c r="F827" s="1243"/>
      <c r="G827" s="963"/>
      <c r="H827" s="590" t="s">
        <v>12</v>
      </c>
      <c r="I827" s="830">
        <f ca="1">IFERROR(__xludf.DUMMYFUNCTION("IMPORTRANGE(""https://docs.google.com/spreadsheets/d/19vJNZY_5yjcGF2XGBMNZRCAIB0Kwfpjp8YEOfu-bneM/edit?usp=sharing"",""งานกองทุน!S20"")"),5530000)</f>
        <v>5530000</v>
      </c>
      <c r="J827" s="830">
        <f ca="1">IFERROR(__xludf.DUMMYFUNCTION("IMPORTRANGE(""https://docs.google.com/spreadsheets/d/19vJNZY_5yjcGF2XGBMNZRCAIB0Kwfpjp8YEOfu-bneM/edit?usp=sharing"",""งานกองทุน!U20"")"),2160000)</f>
        <v>2160000</v>
      </c>
      <c r="K827" s="831">
        <f t="shared" ca="1" si="335"/>
        <v>39.059674502712475</v>
      </c>
      <c r="L827" s="831"/>
      <c r="M827" s="831"/>
      <c r="N827" s="831"/>
      <c r="O827" s="831"/>
      <c r="P827" s="831"/>
      <c r="Q827" s="1244"/>
      <c r="R827" s="1244"/>
      <c r="S827" s="1244"/>
      <c r="T827" s="1244"/>
      <c r="U827" s="1244"/>
      <c r="V827" s="1244"/>
      <c r="W827" s="1244"/>
      <c r="X827" s="1244"/>
      <c r="Y827" s="1244"/>
      <c r="Z827" s="1244"/>
    </row>
    <row r="828" spans="1:26" ht="18.75">
      <c r="A828" s="1369"/>
      <c r="B828" s="1371"/>
      <c r="C828" s="1371"/>
      <c r="D828" s="1370"/>
      <c r="E828" s="1371"/>
      <c r="F828" s="1371"/>
      <c r="G828" s="1434"/>
      <c r="H828" s="802" t="s">
        <v>35</v>
      </c>
      <c r="I828" s="1085">
        <f ca="1">IFERROR(__xludf.DUMMYFUNCTION("IMPORTRANGE(""https://docs.google.com/spreadsheets/d/19vJNZY_5yjcGF2XGBMNZRCAIB0Kwfpjp8YEOfu-bneM/edit?usp=sharing"",""งานกองทุน!R20"")"),221)</f>
        <v>221</v>
      </c>
      <c r="J828" s="1085">
        <f ca="1">IFERROR(__xludf.DUMMYFUNCTION("IMPORTRANGE(""https://docs.google.com/spreadsheets/d/19vJNZY_5yjcGF2XGBMNZRCAIB0Kwfpjp8YEOfu-bneM/edit?usp=sharing"",""งานกองทุน!T20"")"),50)</f>
        <v>50</v>
      </c>
      <c r="K828" s="1182">
        <f t="shared" ca="1" si="335"/>
        <v>22.624434389140273</v>
      </c>
      <c r="L828" s="1182"/>
      <c r="M828" s="1182"/>
      <c r="N828" s="1182"/>
      <c r="O828" s="1182"/>
      <c r="P828" s="1182"/>
      <c r="Q828" s="1244"/>
      <c r="R828" s="1244"/>
      <c r="S828" s="1244"/>
      <c r="T828" s="1244"/>
      <c r="U828" s="1244"/>
      <c r="V828" s="1244"/>
      <c r="W828" s="1244"/>
      <c r="X828" s="1244"/>
      <c r="Y828" s="1244"/>
      <c r="Z828" s="124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E4D4A-A84F-4575-85EB-F363C4DBB9A4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activeCell="Q24" sqref="Q24"/>
      <selection pane="bottomLeft" activeCell="A2" sqref="A2:P2"/>
    </sheetView>
  </sheetViews>
  <sheetFormatPr defaultColWidth="12.5703125" defaultRowHeight="15.75" customHeight="1"/>
  <cols>
    <col min="1" max="3" width="3.28515625" style="803" customWidth="1"/>
    <col min="4" max="6" width="5.85546875" style="803" customWidth="1"/>
    <col min="7" max="7" width="56.42578125" style="803" customWidth="1"/>
    <col min="8" max="8" width="9.42578125" style="803" customWidth="1"/>
    <col min="9" max="10" width="16.85546875" style="803" bestFit="1" customWidth="1"/>
    <col min="11" max="11" width="12.5703125" style="803" bestFit="1" customWidth="1"/>
    <col min="12" max="14" width="21.28515625" style="803" bestFit="1" customWidth="1"/>
    <col min="15" max="15" width="20.140625" style="803" bestFit="1" customWidth="1"/>
    <col min="16" max="16" width="22" style="803" bestFit="1" customWidth="1"/>
    <col min="17" max="16384" width="12.5703125" style="803"/>
  </cols>
  <sheetData>
    <row r="1" spans="1:26" ht="19.5">
      <c r="A1" s="1498" t="s">
        <v>0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</row>
    <row r="2" spans="1:26" ht="19.5">
      <c r="A2" s="1498" t="s">
        <v>344</v>
      </c>
      <c r="B2" s="1516"/>
      <c r="C2" s="1516"/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  <c r="O2" s="1516"/>
      <c r="P2" s="1516"/>
    </row>
    <row r="3" spans="1:26" ht="19.5">
      <c r="A3" s="1498" t="s">
        <v>329</v>
      </c>
      <c r="B3" s="1516"/>
      <c r="C3" s="1516"/>
      <c r="D3" s="1516"/>
      <c r="E3" s="1516"/>
      <c r="F3" s="1516"/>
      <c r="G3" s="1516"/>
      <c r="H3" s="1516"/>
      <c r="I3" s="1516"/>
      <c r="J3" s="1516"/>
      <c r="K3" s="1516"/>
      <c r="L3" s="1516"/>
      <c r="M3" s="1516"/>
      <c r="N3" s="1516"/>
      <c r="O3" s="1516"/>
      <c r="P3" s="1516"/>
    </row>
    <row r="4" spans="1:26" ht="12.75">
      <c r="A4" s="804"/>
      <c r="B4" s="804"/>
      <c r="C4" s="804"/>
      <c r="D4" s="804"/>
      <c r="E4" s="804"/>
      <c r="F4" s="804"/>
      <c r="G4" s="804"/>
      <c r="H4" s="804"/>
      <c r="I4" s="804"/>
      <c r="J4" s="805"/>
      <c r="K4" s="806"/>
      <c r="L4" s="805"/>
      <c r="M4" s="805"/>
      <c r="N4" s="805"/>
      <c r="O4" s="804"/>
      <c r="P4" s="804"/>
    </row>
    <row r="5" spans="1:26" ht="19.5">
      <c r="A5" s="1504" t="s">
        <v>2</v>
      </c>
      <c r="B5" s="1516"/>
      <c r="C5" s="1516"/>
      <c r="D5" s="1516"/>
      <c r="E5" s="1516"/>
      <c r="F5" s="1516"/>
      <c r="G5" s="1505"/>
      <c r="H5" s="1500" t="s">
        <v>3</v>
      </c>
      <c r="I5" s="1501" t="s">
        <v>4</v>
      </c>
      <c r="J5" s="1494"/>
      <c r="K5" s="1495"/>
      <c r="L5" s="1502" t="s">
        <v>5</v>
      </c>
      <c r="M5" s="1495"/>
      <c r="N5" s="1503" t="s">
        <v>6</v>
      </c>
      <c r="O5" s="1494"/>
      <c r="P5" s="1495"/>
    </row>
    <row r="6" spans="1:26" ht="19.5">
      <c r="A6" s="1506"/>
      <c r="B6" s="1494"/>
      <c r="C6" s="1494"/>
      <c r="D6" s="1494"/>
      <c r="E6" s="1494"/>
      <c r="F6" s="1494"/>
      <c r="G6" s="1495"/>
      <c r="H6" s="14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12" t="s">
        <v>15</v>
      </c>
      <c r="B7" s="1494"/>
      <c r="C7" s="1494"/>
      <c r="D7" s="1494"/>
      <c r="E7" s="1494"/>
      <c r="F7" s="1494"/>
      <c r="G7" s="1495"/>
      <c r="H7" s="807"/>
      <c r="I7" s="808"/>
      <c r="J7" s="808"/>
      <c r="K7" s="809"/>
      <c r="L7" s="809"/>
      <c r="M7" s="809"/>
      <c r="N7" s="809"/>
      <c r="O7" s="809"/>
      <c r="P7" s="809"/>
    </row>
    <row r="8" spans="1:26" ht="19.5">
      <c r="A8" s="810"/>
      <c r="B8" s="811"/>
      <c r="C8" s="812" t="s">
        <v>16</v>
      </c>
      <c r="D8" s="813" t="s">
        <v>17</v>
      </c>
      <c r="E8" s="811"/>
      <c r="F8" s="811"/>
      <c r="G8" s="814"/>
      <c r="H8" s="19" t="s">
        <v>12</v>
      </c>
      <c r="I8" s="815"/>
      <c r="J8" s="815"/>
      <c r="K8" s="816"/>
      <c r="L8" s="817">
        <f t="shared" ref="L8:N8" ca="1" si="0">L9+L10</f>
        <v>4534689</v>
      </c>
      <c r="M8" s="817">
        <f t="shared" ca="1" si="0"/>
        <v>2427897</v>
      </c>
      <c r="N8" s="817">
        <f t="shared" ca="1" si="0"/>
        <v>1627933.48</v>
      </c>
      <c r="O8" s="817">
        <f t="shared" ref="O8:O16" ca="1" si="1">IF(L8&gt;0,N8*100/L8,0)</f>
        <v>35.899561800158729</v>
      </c>
      <c r="P8" s="817">
        <f t="shared" ref="P8:P16" ca="1" si="2">IF(M8&gt;0,N8*100/M8,0)</f>
        <v>67.051175564696521</v>
      </c>
      <c r="Q8" s="818"/>
      <c r="R8" s="818"/>
      <c r="S8" s="818"/>
      <c r="T8" s="818"/>
      <c r="U8" s="818"/>
      <c r="V8" s="818"/>
      <c r="W8" s="818"/>
      <c r="X8" s="818"/>
      <c r="Y8" s="818"/>
      <c r="Z8" s="818"/>
    </row>
    <row r="9" spans="1:26" ht="18.75" hidden="1">
      <c r="A9" s="819"/>
      <c r="B9" s="820"/>
      <c r="C9" s="820"/>
      <c r="D9" s="820"/>
      <c r="E9" s="821" t="s">
        <v>18</v>
      </c>
      <c r="F9" s="820"/>
      <c r="G9" s="822"/>
      <c r="H9" s="28" t="s">
        <v>12</v>
      </c>
      <c r="I9" s="823"/>
      <c r="J9" s="823"/>
      <c r="K9" s="824"/>
      <c r="L9" s="824">
        <f t="shared" ref="L9:N10" si="3">L12+L15</f>
        <v>0</v>
      </c>
      <c r="M9" s="824">
        <f t="shared" si="3"/>
        <v>0</v>
      </c>
      <c r="N9" s="824">
        <f t="shared" si="3"/>
        <v>0</v>
      </c>
      <c r="O9" s="824">
        <f t="shared" si="1"/>
        <v>0</v>
      </c>
      <c r="P9" s="824">
        <f t="shared" si="2"/>
        <v>0</v>
      </c>
      <c r="Q9" s="825"/>
      <c r="R9" s="825"/>
      <c r="S9" s="825"/>
      <c r="T9" s="825"/>
      <c r="U9" s="825"/>
      <c r="V9" s="825"/>
      <c r="W9" s="825"/>
      <c r="X9" s="825"/>
      <c r="Y9" s="825"/>
      <c r="Z9" s="825"/>
    </row>
    <row r="10" spans="1:26" ht="18.75" hidden="1">
      <c r="A10" s="819"/>
      <c r="B10" s="820"/>
      <c r="C10" s="820"/>
      <c r="D10" s="820"/>
      <c r="E10" s="821" t="s">
        <v>19</v>
      </c>
      <c r="F10" s="820"/>
      <c r="G10" s="822"/>
      <c r="H10" s="28" t="s">
        <v>12</v>
      </c>
      <c r="I10" s="823"/>
      <c r="J10" s="823"/>
      <c r="K10" s="824"/>
      <c r="L10" s="824">
        <f t="shared" ca="1" si="3"/>
        <v>4534689</v>
      </c>
      <c r="M10" s="824">
        <f t="shared" ca="1" si="3"/>
        <v>2427897</v>
      </c>
      <c r="N10" s="824">
        <f t="shared" ca="1" si="3"/>
        <v>1627933.48</v>
      </c>
      <c r="O10" s="824">
        <f t="shared" ca="1" si="1"/>
        <v>35.899561800158729</v>
      </c>
      <c r="P10" s="824">
        <f t="shared" ca="1" si="2"/>
        <v>67.051175564696521</v>
      </c>
      <c r="Q10" s="825"/>
      <c r="R10" s="825"/>
      <c r="S10" s="825"/>
      <c r="T10" s="825"/>
      <c r="U10" s="825"/>
      <c r="V10" s="825"/>
      <c r="W10" s="825"/>
      <c r="X10" s="825"/>
      <c r="Y10" s="825"/>
      <c r="Z10" s="825"/>
    </row>
    <row r="11" spans="1:26" ht="18.75">
      <c r="A11" s="826"/>
      <c r="B11" s="827"/>
      <c r="C11" s="827"/>
      <c r="D11" s="828" t="s">
        <v>20</v>
      </c>
      <c r="E11" s="827"/>
      <c r="F11" s="827"/>
      <c r="G11" s="829"/>
      <c r="H11" s="590" t="s">
        <v>12</v>
      </c>
      <c r="I11" s="830"/>
      <c r="J11" s="830"/>
      <c r="K11" s="831"/>
      <c r="L11" s="831">
        <f t="shared" ref="L11:N11" ca="1" si="4">L12+L13</f>
        <v>4429089</v>
      </c>
      <c r="M11" s="831">
        <f t="shared" ca="1" si="4"/>
        <v>2322297</v>
      </c>
      <c r="N11" s="831">
        <f t="shared" ca="1" si="4"/>
        <v>1522333.48</v>
      </c>
      <c r="O11" s="831">
        <f t="shared" ca="1" si="1"/>
        <v>34.371255127183041</v>
      </c>
      <c r="P11" s="831">
        <f t="shared" ca="1" si="2"/>
        <v>65.552919372500583</v>
      </c>
      <c r="Q11" s="818"/>
      <c r="R11" s="818"/>
      <c r="S11" s="818"/>
      <c r="T11" s="818"/>
      <c r="U11" s="818"/>
      <c r="V11" s="818"/>
      <c r="W11" s="818"/>
      <c r="X11" s="818"/>
      <c r="Y11" s="818"/>
      <c r="Z11" s="818"/>
    </row>
    <row r="12" spans="1:26" ht="18.75" hidden="1">
      <c r="A12" s="832"/>
      <c r="B12" s="833"/>
      <c r="C12" s="833"/>
      <c r="D12" s="833"/>
      <c r="E12" s="834" t="s">
        <v>18</v>
      </c>
      <c r="F12" s="833"/>
      <c r="G12" s="835"/>
      <c r="H12" s="43" t="s">
        <v>12</v>
      </c>
      <c r="I12" s="836"/>
      <c r="J12" s="836"/>
      <c r="K12" s="837"/>
      <c r="L12" s="837">
        <f t="shared" ref="L12:N13" si="5">L22+L32</f>
        <v>0</v>
      </c>
      <c r="M12" s="837">
        <f t="shared" si="5"/>
        <v>0</v>
      </c>
      <c r="N12" s="837">
        <f t="shared" si="5"/>
        <v>0</v>
      </c>
      <c r="O12" s="837">
        <f t="shared" si="1"/>
        <v>0</v>
      </c>
      <c r="P12" s="837">
        <f t="shared" si="2"/>
        <v>0</v>
      </c>
      <c r="Q12" s="825"/>
      <c r="R12" s="825"/>
      <c r="S12" s="825"/>
      <c r="T12" s="825"/>
      <c r="U12" s="825"/>
      <c r="V12" s="825"/>
      <c r="W12" s="825"/>
      <c r="X12" s="825"/>
      <c r="Y12" s="825"/>
      <c r="Z12" s="825"/>
    </row>
    <row r="13" spans="1:26" ht="18.75" hidden="1">
      <c r="A13" s="832"/>
      <c r="B13" s="833"/>
      <c r="C13" s="833"/>
      <c r="D13" s="833"/>
      <c r="E13" s="834" t="s">
        <v>19</v>
      </c>
      <c r="F13" s="833"/>
      <c r="G13" s="835"/>
      <c r="H13" s="43" t="s">
        <v>12</v>
      </c>
      <c r="I13" s="836"/>
      <c r="J13" s="836"/>
      <c r="K13" s="837"/>
      <c r="L13" s="837">
        <f t="shared" ca="1" si="5"/>
        <v>4429089</v>
      </c>
      <c r="M13" s="837">
        <f t="shared" ca="1" si="5"/>
        <v>2322297</v>
      </c>
      <c r="N13" s="837">
        <f t="shared" ca="1" si="5"/>
        <v>1522333.48</v>
      </c>
      <c r="O13" s="837">
        <f t="shared" ca="1" si="1"/>
        <v>34.371255127183041</v>
      </c>
      <c r="P13" s="837">
        <f t="shared" ca="1" si="2"/>
        <v>65.552919372500583</v>
      </c>
      <c r="Q13" s="825"/>
      <c r="R13" s="825"/>
      <c r="S13" s="825"/>
      <c r="T13" s="825"/>
      <c r="U13" s="825"/>
      <c r="V13" s="825"/>
      <c r="W13" s="825"/>
      <c r="X13" s="825"/>
      <c r="Y13" s="825"/>
      <c r="Z13" s="825"/>
    </row>
    <row r="14" spans="1:26" ht="18.75">
      <c r="A14" s="826"/>
      <c r="B14" s="827"/>
      <c r="C14" s="827"/>
      <c r="D14" s="828" t="s">
        <v>21</v>
      </c>
      <c r="E14" s="827"/>
      <c r="F14" s="827"/>
      <c r="G14" s="829"/>
      <c r="H14" s="590" t="s">
        <v>12</v>
      </c>
      <c r="I14" s="830"/>
      <c r="J14" s="830"/>
      <c r="K14" s="831"/>
      <c r="L14" s="831">
        <f t="shared" ref="L14:N14" ca="1" si="6">L15+L16</f>
        <v>105600</v>
      </c>
      <c r="M14" s="831">
        <f t="shared" ca="1" si="6"/>
        <v>105600</v>
      </c>
      <c r="N14" s="831">
        <f t="shared" ca="1" si="6"/>
        <v>105600</v>
      </c>
      <c r="O14" s="831">
        <f t="shared" ca="1" si="1"/>
        <v>100</v>
      </c>
      <c r="P14" s="831">
        <f t="shared" ca="1" si="2"/>
        <v>100</v>
      </c>
      <c r="Q14" s="818"/>
      <c r="R14" s="818"/>
      <c r="S14" s="818"/>
      <c r="T14" s="818"/>
      <c r="U14" s="818"/>
      <c r="V14" s="818"/>
      <c r="W14" s="818"/>
      <c r="X14" s="818"/>
      <c r="Y14" s="818"/>
      <c r="Z14" s="818"/>
    </row>
    <row r="15" spans="1:26" ht="18.75" hidden="1">
      <c r="A15" s="832"/>
      <c r="B15" s="833"/>
      <c r="C15" s="833"/>
      <c r="D15" s="833"/>
      <c r="E15" s="834" t="s">
        <v>18</v>
      </c>
      <c r="F15" s="833"/>
      <c r="G15" s="835"/>
      <c r="H15" s="43" t="s">
        <v>12</v>
      </c>
      <c r="I15" s="836"/>
      <c r="J15" s="836"/>
      <c r="K15" s="837"/>
      <c r="L15" s="837">
        <f t="shared" ref="L15:N16" si="7">L25+L35</f>
        <v>0</v>
      </c>
      <c r="M15" s="837">
        <f t="shared" si="7"/>
        <v>0</v>
      </c>
      <c r="N15" s="837">
        <f t="shared" si="7"/>
        <v>0</v>
      </c>
      <c r="O15" s="837">
        <f t="shared" si="1"/>
        <v>0</v>
      </c>
      <c r="P15" s="837">
        <f t="shared" si="2"/>
        <v>0</v>
      </c>
      <c r="Q15" s="825"/>
      <c r="R15" s="825"/>
      <c r="S15" s="825"/>
      <c r="T15" s="825"/>
      <c r="U15" s="825"/>
      <c r="V15" s="825"/>
      <c r="W15" s="825"/>
      <c r="X15" s="825"/>
      <c r="Y15" s="825"/>
      <c r="Z15" s="825"/>
    </row>
    <row r="16" spans="1:26" ht="18.75" hidden="1">
      <c r="A16" s="838"/>
      <c r="B16" s="839"/>
      <c r="C16" s="839"/>
      <c r="D16" s="839"/>
      <c r="E16" s="840" t="s">
        <v>19</v>
      </c>
      <c r="F16" s="839"/>
      <c r="G16" s="841"/>
      <c r="H16" s="50" t="s">
        <v>12</v>
      </c>
      <c r="I16" s="842"/>
      <c r="J16" s="842"/>
      <c r="K16" s="843"/>
      <c r="L16" s="843">
        <f t="shared" ca="1" si="7"/>
        <v>105600</v>
      </c>
      <c r="M16" s="843">
        <f t="shared" ca="1" si="7"/>
        <v>105600</v>
      </c>
      <c r="N16" s="843">
        <f t="shared" ca="1" si="7"/>
        <v>105600</v>
      </c>
      <c r="O16" s="843">
        <f t="shared" ca="1" si="1"/>
        <v>100</v>
      </c>
      <c r="P16" s="843">
        <f t="shared" ca="1" si="2"/>
        <v>100</v>
      </c>
      <c r="Q16" s="825"/>
      <c r="R16" s="825"/>
      <c r="S16" s="825"/>
      <c r="T16" s="825"/>
      <c r="U16" s="825"/>
      <c r="V16" s="825"/>
      <c r="W16" s="825"/>
      <c r="X16" s="825"/>
      <c r="Y16" s="825"/>
      <c r="Z16" s="825"/>
    </row>
    <row r="17" spans="1:26" ht="19.5">
      <c r="A17" s="1512" t="s">
        <v>22</v>
      </c>
      <c r="B17" s="1494"/>
      <c r="C17" s="1494"/>
      <c r="D17" s="1494"/>
      <c r="E17" s="1494"/>
      <c r="F17" s="1494"/>
      <c r="G17" s="1495"/>
      <c r="H17" s="807"/>
      <c r="I17" s="808"/>
      <c r="J17" s="808"/>
      <c r="K17" s="809"/>
      <c r="L17" s="809"/>
      <c r="M17" s="809"/>
      <c r="N17" s="809"/>
      <c r="O17" s="809"/>
      <c r="P17" s="809"/>
    </row>
    <row r="18" spans="1:26" ht="19.5">
      <c r="A18" s="810"/>
      <c r="B18" s="811"/>
      <c r="C18" s="812" t="s">
        <v>16</v>
      </c>
      <c r="D18" s="813" t="s">
        <v>17</v>
      </c>
      <c r="E18" s="811"/>
      <c r="F18" s="811"/>
      <c r="G18" s="814"/>
      <c r="H18" s="19" t="s">
        <v>12</v>
      </c>
      <c r="I18" s="815"/>
      <c r="J18" s="815"/>
      <c r="K18" s="816"/>
      <c r="L18" s="817">
        <f t="shared" ref="L18:N18" ca="1" si="8">L19+L20</f>
        <v>2944145</v>
      </c>
      <c r="M18" s="817">
        <f t="shared" ca="1" si="8"/>
        <v>2427897</v>
      </c>
      <c r="N18" s="817">
        <f t="shared" ca="1" si="8"/>
        <v>1354207.46</v>
      </c>
      <c r="O18" s="817">
        <f t="shared" ref="O18:O26" ca="1" si="9">IF(L18&gt;0,N18*100/L18,0)</f>
        <v>45.996629242105939</v>
      </c>
      <c r="P18" s="817">
        <f t="shared" ref="P18:P26" ca="1" si="10">IF(M18&gt;0,N18*100/M18,0)</f>
        <v>55.776973240627591</v>
      </c>
      <c r="Q18" s="818"/>
      <c r="R18" s="818"/>
      <c r="S18" s="818"/>
      <c r="T18" s="818"/>
      <c r="U18" s="818"/>
      <c r="V18" s="818"/>
      <c r="W18" s="818"/>
      <c r="X18" s="818"/>
      <c r="Y18" s="818"/>
      <c r="Z18" s="818"/>
    </row>
    <row r="19" spans="1:26" ht="18.75" hidden="1">
      <c r="A19" s="819"/>
      <c r="B19" s="820"/>
      <c r="C19" s="820"/>
      <c r="D19" s="820"/>
      <c r="E19" s="821" t="s">
        <v>18</v>
      </c>
      <c r="F19" s="820"/>
      <c r="G19" s="822"/>
      <c r="H19" s="28" t="s">
        <v>12</v>
      </c>
      <c r="I19" s="823"/>
      <c r="J19" s="823"/>
      <c r="K19" s="824"/>
      <c r="L19" s="824">
        <f t="shared" ref="L19:N20" si="11">L22+L25</f>
        <v>0</v>
      </c>
      <c r="M19" s="824">
        <f t="shared" si="11"/>
        <v>0</v>
      </c>
      <c r="N19" s="824">
        <f t="shared" si="11"/>
        <v>0</v>
      </c>
      <c r="O19" s="824">
        <f t="shared" si="9"/>
        <v>0</v>
      </c>
      <c r="P19" s="824">
        <f t="shared" si="10"/>
        <v>0</v>
      </c>
      <c r="Q19" s="825"/>
      <c r="R19" s="825"/>
      <c r="S19" s="825"/>
      <c r="T19" s="825"/>
      <c r="U19" s="825"/>
      <c r="V19" s="825"/>
      <c r="W19" s="825"/>
      <c r="X19" s="825"/>
      <c r="Y19" s="825"/>
      <c r="Z19" s="825"/>
    </row>
    <row r="20" spans="1:26" ht="18.75" hidden="1">
      <c r="A20" s="819"/>
      <c r="B20" s="820"/>
      <c r="C20" s="820"/>
      <c r="D20" s="820"/>
      <c r="E20" s="821" t="s">
        <v>19</v>
      </c>
      <c r="F20" s="820"/>
      <c r="G20" s="822"/>
      <c r="H20" s="28" t="s">
        <v>12</v>
      </c>
      <c r="I20" s="823"/>
      <c r="J20" s="823"/>
      <c r="K20" s="824"/>
      <c r="L20" s="824">
        <f t="shared" ca="1" si="11"/>
        <v>2944145</v>
      </c>
      <c r="M20" s="824">
        <f t="shared" ca="1" si="11"/>
        <v>2427897</v>
      </c>
      <c r="N20" s="824">
        <f t="shared" ca="1" si="11"/>
        <v>1354207.46</v>
      </c>
      <c r="O20" s="824">
        <f t="shared" ca="1" si="9"/>
        <v>45.996629242105939</v>
      </c>
      <c r="P20" s="824">
        <f t="shared" ca="1" si="10"/>
        <v>55.776973240627591</v>
      </c>
      <c r="Q20" s="825"/>
      <c r="R20" s="825"/>
      <c r="S20" s="825"/>
      <c r="T20" s="825"/>
      <c r="U20" s="825"/>
      <c r="V20" s="825"/>
      <c r="W20" s="825"/>
      <c r="X20" s="825"/>
      <c r="Y20" s="825"/>
      <c r="Z20" s="825"/>
    </row>
    <row r="21" spans="1:26" ht="18.75">
      <c r="A21" s="826"/>
      <c r="B21" s="827"/>
      <c r="C21" s="827"/>
      <c r="D21" s="828" t="s">
        <v>20</v>
      </c>
      <c r="E21" s="827"/>
      <c r="F21" s="827"/>
      <c r="G21" s="829"/>
      <c r="H21" s="590" t="s">
        <v>12</v>
      </c>
      <c r="I21" s="830"/>
      <c r="J21" s="830"/>
      <c r="K21" s="831"/>
      <c r="L21" s="831">
        <f t="shared" ref="L21:N21" ca="1" si="12">L22+L23</f>
        <v>2838545</v>
      </c>
      <c r="M21" s="831">
        <f t="shared" ca="1" si="12"/>
        <v>2322297</v>
      </c>
      <c r="N21" s="831">
        <f t="shared" ca="1" si="12"/>
        <v>1248607.46</v>
      </c>
      <c r="O21" s="831">
        <f t="shared" ca="1" si="9"/>
        <v>43.987587302649771</v>
      </c>
      <c r="P21" s="831">
        <f t="shared" ca="1" si="10"/>
        <v>53.766054040460801</v>
      </c>
      <c r="Q21" s="818"/>
      <c r="R21" s="818"/>
      <c r="S21" s="818"/>
      <c r="T21" s="818"/>
      <c r="U21" s="818"/>
      <c r="V21" s="818"/>
      <c r="W21" s="818"/>
      <c r="X21" s="818"/>
      <c r="Y21" s="818"/>
      <c r="Z21" s="818"/>
    </row>
    <row r="22" spans="1:26" ht="18.75" hidden="1">
      <c r="A22" s="832"/>
      <c r="B22" s="833"/>
      <c r="C22" s="833"/>
      <c r="D22" s="833"/>
      <c r="E22" s="834" t="s">
        <v>18</v>
      </c>
      <c r="F22" s="833"/>
      <c r="G22" s="835"/>
      <c r="H22" s="43" t="s">
        <v>12</v>
      </c>
      <c r="I22" s="836"/>
      <c r="J22" s="836"/>
      <c r="K22" s="837"/>
      <c r="L22" s="837">
        <f t="shared" ref="L22:N23" si="13">L45+L57+L70+L92+L123+L136+L153+L185+L169+L265+L281+L302+L319+L332+L349+L393+L406</f>
        <v>0</v>
      </c>
      <c r="M22" s="837">
        <f t="shared" si="13"/>
        <v>0</v>
      </c>
      <c r="N22" s="837">
        <f t="shared" si="13"/>
        <v>0</v>
      </c>
      <c r="O22" s="837">
        <f t="shared" si="9"/>
        <v>0</v>
      </c>
      <c r="P22" s="837">
        <f t="shared" si="10"/>
        <v>0</v>
      </c>
      <c r="Q22" s="825"/>
      <c r="R22" s="825"/>
      <c r="S22" s="825"/>
      <c r="T22" s="825"/>
      <c r="U22" s="825"/>
      <c r="V22" s="825"/>
      <c r="W22" s="825"/>
      <c r="X22" s="825"/>
      <c r="Y22" s="825"/>
      <c r="Z22" s="825"/>
    </row>
    <row r="23" spans="1:26" ht="18.75" hidden="1">
      <c r="A23" s="832"/>
      <c r="B23" s="833"/>
      <c r="C23" s="833"/>
      <c r="D23" s="833"/>
      <c r="E23" s="834" t="s">
        <v>19</v>
      </c>
      <c r="F23" s="833"/>
      <c r="G23" s="835"/>
      <c r="H23" s="43" t="s">
        <v>12</v>
      </c>
      <c r="I23" s="836"/>
      <c r="J23" s="836"/>
      <c r="K23" s="837"/>
      <c r="L23" s="837">
        <f t="shared" ca="1" si="13"/>
        <v>2838545</v>
      </c>
      <c r="M23" s="837">
        <f t="shared" ca="1" si="13"/>
        <v>2322297</v>
      </c>
      <c r="N23" s="837">
        <f t="shared" ca="1" si="13"/>
        <v>1248607.46</v>
      </c>
      <c r="O23" s="837">
        <f t="shared" ca="1" si="9"/>
        <v>43.987587302649771</v>
      </c>
      <c r="P23" s="837">
        <f t="shared" ca="1" si="10"/>
        <v>53.766054040460801</v>
      </c>
      <c r="Q23" s="825"/>
      <c r="R23" s="825"/>
      <c r="S23" s="825"/>
      <c r="T23" s="825"/>
      <c r="U23" s="825"/>
      <c r="V23" s="825"/>
      <c r="W23" s="825"/>
      <c r="X23" s="825"/>
      <c r="Y23" s="825"/>
      <c r="Z23" s="825"/>
    </row>
    <row r="24" spans="1:26" ht="18.75">
      <c r="A24" s="826"/>
      <c r="B24" s="827"/>
      <c r="C24" s="827"/>
      <c r="D24" s="828" t="s">
        <v>21</v>
      </c>
      <c r="E24" s="827"/>
      <c r="F24" s="827"/>
      <c r="G24" s="829"/>
      <c r="H24" s="590" t="s">
        <v>12</v>
      </c>
      <c r="I24" s="830"/>
      <c r="J24" s="830"/>
      <c r="K24" s="831"/>
      <c r="L24" s="831">
        <f t="shared" ref="L24:N24" ca="1" si="14">L25+L26</f>
        <v>105600</v>
      </c>
      <c r="M24" s="831">
        <f t="shared" ca="1" si="14"/>
        <v>105600</v>
      </c>
      <c r="N24" s="831">
        <f t="shared" ca="1" si="14"/>
        <v>105600</v>
      </c>
      <c r="O24" s="831">
        <f t="shared" ca="1" si="9"/>
        <v>100</v>
      </c>
      <c r="P24" s="831">
        <f t="shared" ca="1" si="10"/>
        <v>100</v>
      </c>
      <c r="Q24" s="818"/>
      <c r="R24" s="818"/>
      <c r="S24" s="818"/>
      <c r="T24" s="818"/>
      <c r="U24" s="818"/>
      <c r="V24" s="818"/>
      <c r="W24" s="818"/>
      <c r="X24" s="818"/>
      <c r="Y24" s="818"/>
      <c r="Z24" s="818"/>
    </row>
    <row r="25" spans="1:26" ht="18.75" hidden="1">
      <c r="A25" s="832"/>
      <c r="B25" s="833"/>
      <c r="C25" s="833"/>
      <c r="D25" s="833"/>
      <c r="E25" s="834" t="s">
        <v>18</v>
      </c>
      <c r="F25" s="833"/>
      <c r="G25" s="835"/>
      <c r="H25" s="43" t="s">
        <v>12</v>
      </c>
      <c r="I25" s="836"/>
      <c r="J25" s="836"/>
      <c r="K25" s="837"/>
      <c r="L25" s="837">
        <f t="shared" ref="L25:N26" si="15">L48+L60+L73+L95+L126+L139+L156+L188+L172+L268+L284+L305+L322+L335+L352+L396+L409</f>
        <v>0</v>
      </c>
      <c r="M25" s="837">
        <f t="shared" si="15"/>
        <v>0</v>
      </c>
      <c r="N25" s="837">
        <f t="shared" si="15"/>
        <v>0</v>
      </c>
      <c r="O25" s="837">
        <f t="shared" si="9"/>
        <v>0</v>
      </c>
      <c r="P25" s="837">
        <f t="shared" si="10"/>
        <v>0</v>
      </c>
      <c r="Q25" s="825"/>
      <c r="R25" s="825"/>
      <c r="S25" s="825"/>
      <c r="T25" s="825"/>
      <c r="U25" s="825"/>
      <c r="V25" s="825"/>
      <c r="W25" s="825"/>
      <c r="X25" s="825"/>
      <c r="Y25" s="825"/>
      <c r="Z25" s="825"/>
    </row>
    <row r="26" spans="1:26" ht="18.75" hidden="1">
      <c r="A26" s="838"/>
      <c r="B26" s="839"/>
      <c r="C26" s="839"/>
      <c r="D26" s="839"/>
      <c r="E26" s="840" t="s">
        <v>19</v>
      </c>
      <c r="F26" s="839"/>
      <c r="G26" s="841"/>
      <c r="H26" s="50" t="s">
        <v>12</v>
      </c>
      <c r="I26" s="842"/>
      <c r="J26" s="842"/>
      <c r="K26" s="843"/>
      <c r="L26" s="843">
        <f t="shared" ca="1" si="15"/>
        <v>105600</v>
      </c>
      <c r="M26" s="843">
        <f t="shared" ca="1" si="15"/>
        <v>105600</v>
      </c>
      <c r="N26" s="843">
        <f t="shared" ca="1" si="15"/>
        <v>105600</v>
      </c>
      <c r="O26" s="843">
        <f t="shared" ca="1" si="9"/>
        <v>100</v>
      </c>
      <c r="P26" s="843">
        <f t="shared" ca="1" si="10"/>
        <v>100</v>
      </c>
      <c r="Q26" s="825"/>
      <c r="R26" s="825"/>
      <c r="S26" s="825"/>
      <c r="T26" s="825"/>
      <c r="U26" s="825"/>
      <c r="V26" s="825"/>
      <c r="W26" s="825"/>
      <c r="X26" s="825"/>
      <c r="Y26" s="825"/>
      <c r="Z26" s="825"/>
    </row>
    <row r="27" spans="1:26" ht="19.5">
      <c r="A27" s="1512" t="s">
        <v>23</v>
      </c>
      <c r="B27" s="1494"/>
      <c r="C27" s="1494"/>
      <c r="D27" s="1494"/>
      <c r="E27" s="1494"/>
      <c r="F27" s="1494"/>
      <c r="G27" s="1495"/>
      <c r="H27" s="807"/>
      <c r="I27" s="808"/>
      <c r="J27" s="808"/>
      <c r="K27" s="809"/>
      <c r="L27" s="809"/>
      <c r="M27" s="809"/>
      <c r="N27" s="809"/>
      <c r="O27" s="809"/>
      <c r="P27" s="809"/>
    </row>
    <row r="28" spans="1:26" ht="19.5">
      <c r="A28" s="810"/>
      <c r="B28" s="811"/>
      <c r="C28" s="812" t="s">
        <v>16</v>
      </c>
      <c r="D28" s="813" t="s">
        <v>17</v>
      </c>
      <c r="E28" s="811"/>
      <c r="F28" s="811"/>
      <c r="G28" s="814"/>
      <c r="H28" s="19" t="s">
        <v>12</v>
      </c>
      <c r="I28" s="815"/>
      <c r="J28" s="815"/>
      <c r="K28" s="816"/>
      <c r="L28" s="817">
        <f t="shared" ref="L28:N28" ca="1" si="16">L29+L30</f>
        <v>1590544</v>
      </c>
      <c r="M28" s="817">
        <f t="shared" si="16"/>
        <v>0</v>
      </c>
      <c r="N28" s="817">
        <f t="shared" si="16"/>
        <v>273726.02</v>
      </c>
      <c r="O28" s="817">
        <f t="shared" ref="O28:O37" ca="1" si="17">IF(L28&gt;0,N28*100/L28,0)</f>
        <v>17.209584896739731</v>
      </c>
      <c r="P28" s="817">
        <f t="shared" ref="P28:P37" si="18">IF(M28&gt;0,N28*100/M28,0)</f>
        <v>0</v>
      </c>
      <c r="Q28" s="818"/>
      <c r="R28" s="818"/>
      <c r="S28" s="818"/>
      <c r="T28" s="818"/>
      <c r="U28" s="818"/>
      <c r="V28" s="818"/>
      <c r="W28" s="818"/>
      <c r="X28" s="818"/>
      <c r="Y28" s="818"/>
      <c r="Z28" s="818"/>
    </row>
    <row r="29" spans="1:26" ht="18.75" hidden="1">
      <c r="A29" s="819"/>
      <c r="B29" s="820"/>
      <c r="C29" s="820"/>
      <c r="D29" s="820"/>
      <c r="E29" s="821" t="s">
        <v>18</v>
      </c>
      <c r="F29" s="820"/>
      <c r="G29" s="822"/>
      <c r="H29" s="28" t="s">
        <v>12</v>
      </c>
      <c r="I29" s="823"/>
      <c r="J29" s="823"/>
      <c r="K29" s="824"/>
      <c r="L29" s="824">
        <f t="shared" ref="L29:N30" si="19">L32+L35</f>
        <v>0</v>
      </c>
      <c r="M29" s="824">
        <f t="shared" si="19"/>
        <v>0</v>
      </c>
      <c r="N29" s="824">
        <f t="shared" si="19"/>
        <v>0</v>
      </c>
      <c r="O29" s="824">
        <f t="shared" si="17"/>
        <v>0</v>
      </c>
      <c r="P29" s="824">
        <f t="shared" si="18"/>
        <v>0</v>
      </c>
      <c r="Q29" s="825"/>
      <c r="R29" s="825"/>
      <c r="S29" s="825"/>
      <c r="T29" s="825"/>
      <c r="U29" s="825"/>
      <c r="V29" s="825"/>
      <c r="W29" s="825"/>
      <c r="X29" s="825"/>
      <c r="Y29" s="825"/>
      <c r="Z29" s="825"/>
    </row>
    <row r="30" spans="1:26" ht="18.75" hidden="1">
      <c r="A30" s="819"/>
      <c r="B30" s="820"/>
      <c r="C30" s="820"/>
      <c r="D30" s="820"/>
      <c r="E30" s="821" t="s">
        <v>19</v>
      </c>
      <c r="F30" s="820"/>
      <c r="G30" s="822"/>
      <c r="H30" s="28" t="s">
        <v>12</v>
      </c>
      <c r="I30" s="823"/>
      <c r="J30" s="823"/>
      <c r="K30" s="824"/>
      <c r="L30" s="824">
        <f t="shared" ca="1" si="19"/>
        <v>1590544</v>
      </c>
      <c r="M30" s="824">
        <f t="shared" si="19"/>
        <v>0</v>
      </c>
      <c r="N30" s="824">
        <f t="shared" si="19"/>
        <v>273726.02</v>
      </c>
      <c r="O30" s="824">
        <f t="shared" ca="1" si="17"/>
        <v>17.209584896739731</v>
      </c>
      <c r="P30" s="824">
        <f t="shared" si="18"/>
        <v>0</v>
      </c>
      <c r="Q30" s="825"/>
      <c r="R30" s="825"/>
      <c r="S30" s="825"/>
      <c r="T30" s="825"/>
      <c r="U30" s="825"/>
      <c r="V30" s="825"/>
      <c r="W30" s="825"/>
      <c r="X30" s="825"/>
      <c r="Y30" s="825"/>
      <c r="Z30" s="825"/>
    </row>
    <row r="31" spans="1:26" ht="18.75">
      <c r="A31" s="826"/>
      <c r="B31" s="827"/>
      <c r="C31" s="827"/>
      <c r="D31" s="828" t="s">
        <v>20</v>
      </c>
      <c r="E31" s="827"/>
      <c r="F31" s="827"/>
      <c r="G31" s="829"/>
      <c r="H31" s="590" t="s">
        <v>12</v>
      </c>
      <c r="I31" s="830"/>
      <c r="J31" s="830"/>
      <c r="K31" s="831"/>
      <c r="L31" s="831">
        <f t="shared" ref="L31:N31" ca="1" si="20">L32+L33</f>
        <v>1590544</v>
      </c>
      <c r="M31" s="831">
        <f t="shared" si="20"/>
        <v>0</v>
      </c>
      <c r="N31" s="831">
        <f t="shared" si="20"/>
        <v>273726.02</v>
      </c>
      <c r="O31" s="831">
        <f t="shared" ca="1" si="17"/>
        <v>17.209584896739731</v>
      </c>
      <c r="P31" s="831">
        <f t="shared" si="18"/>
        <v>0</v>
      </c>
      <c r="Q31" s="818"/>
      <c r="R31" s="818"/>
      <c r="S31" s="818"/>
      <c r="T31" s="818"/>
      <c r="U31" s="818"/>
      <c r="V31" s="818"/>
      <c r="W31" s="818"/>
      <c r="X31" s="818"/>
      <c r="Y31" s="818"/>
      <c r="Z31" s="818"/>
    </row>
    <row r="32" spans="1:26" ht="18.75" hidden="1">
      <c r="A32" s="832"/>
      <c r="B32" s="833"/>
      <c r="C32" s="833"/>
      <c r="D32" s="833"/>
      <c r="E32" s="834" t="s">
        <v>18</v>
      </c>
      <c r="F32" s="833"/>
      <c r="G32" s="835"/>
      <c r="H32" s="43" t="s">
        <v>12</v>
      </c>
      <c r="I32" s="836"/>
      <c r="J32" s="836"/>
      <c r="K32" s="837"/>
      <c r="L32" s="837">
        <f t="shared" ref="L32:N33" si="21">L423+L448+L471+L506+L527+L548+L633+L659+L689+L741+L758+L774+L790+L809</f>
        <v>0</v>
      </c>
      <c r="M32" s="837">
        <f t="shared" si="21"/>
        <v>0</v>
      </c>
      <c r="N32" s="837">
        <f t="shared" si="21"/>
        <v>0</v>
      </c>
      <c r="O32" s="837">
        <f t="shared" si="17"/>
        <v>0</v>
      </c>
      <c r="P32" s="837">
        <f t="shared" si="18"/>
        <v>0</v>
      </c>
      <c r="Q32" s="825"/>
      <c r="R32" s="825"/>
      <c r="S32" s="825"/>
      <c r="T32" s="825"/>
      <c r="U32" s="825"/>
      <c r="V32" s="825"/>
      <c r="W32" s="825"/>
      <c r="X32" s="825"/>
      <c r="Y32" s="825"/>
      <c r="Z32" s="825"/>
    </row>
    <row r="33" spans="1:26" ht="18.75" hidden="1">
      <c r="A33" s="832"/>
      <c r="B33" s="833"/>
      <c r="C33" s="833"/>
      <c r="D33" s="833"/>
      <c r="E33" s="834" t="s">
        <v>19</v>
      </c>
      <c r="F33" s="833"/>
      <c r="G33" s="835"/>
      <c r="H33" s="43" t="s">
        <v>12</v>
      </c>
      <c r="I33" s="836"/>
      <c r="J33" s="836"/>
      <c r="K33" s="837"/>
      <c r="L33" s="837">
        <f t="shared" ca="1" si="21"/>
        <v>1590544</v>
      </c>
      <c r="M33" s="837">
        <f t="shared" si="21"/>
        <v>0</v>
      </c>
      <c r="N33" s="837">
        <f t="shared" si="21"/>
        <v>273726.02</v>
      </c>
      <c r="O33" s="837">
        <f t="shared" ca="1" si="17"/>
        <v>17.209584896739731</v>
      </c>
      <c r="P33" s="837">
        <f t="shared" si="18"/>
        <v>0</v>
      </c>
      <c r="Q33" s="825"/>
      <c r="R33" s="825"/>
      <c r="S33" s="825"/>
      <c r="T33" s="825"/>
      <c r="U33" s="825"/>
      <c r="V33" s="825"/>
      <c r="W33" s="825"/>
      <c r="X33" s="825"/>
      <c r="Y33" s="825"/>
      <c r="Z33" s="825"/>
    </row>
    <row r="34" spans="1:26" ht="18.75">
      <c r="A34" s="826"/>
      <c r="B34" s="827"/>
      <c r="C34" s="827"/>
      <c r="D34" s="828" t="s">
        <v>21</v>
      </c>
      <c r="E34" s="827"/>
      <c r="F34" s="827"/>
      <c r="G34" s="829"/>
      <c r="H34" s="590" t="s">
        <v>12</v>
      </c>
      <c r="I34" s="830"/>
      <c r="J34" s="830"/>
      <c r="K34" s="831"/>
      <c r="L34" s="831">
        <f t="shared" ref="L34:N34" ca="1" si="22">L35+L36</f>
        <v>0</v>
      </c>
      <c r="M34" s="831">
        <f t="shared" si="22"/>
        <v>0</v>
      </c>
      <c r="N34" s="831">
        <f t="shared" si="22"/>
        <v>0</v>
      </c>
      <c r="O34" s="831">
        <f t="shared" ca="1" si="17"/>
        <v>0</v>
      </c>
      <c r="P34" s="831">
        <f t="shared" si="18"/>
        <v>0</v>
      </c>
      <c r="Q34" s="818"/>
      <c r="R34" s="818"/>
      <c r="S34" s="818"/>
      <c r="T34" s="818"/>
      <c r="U34" s="818"/>
      <c r="V34" s="818"/>
      <c r="W34" s="818"/>
      <c r="X34" s="818"/>
      <c r="Y34" s="818"/>
      <c r="Z34" s="818"/>
    </row>
    <row r="35" spans="1:26" ht="18.75" hidden="1">
      <c r="A35" s="832"/>
      <c r="B35" s="833"/>
      <c r="C35" s="833"/>
      <c r="D35" s="833"/>
      <c r="E35" s="834" t="s">
        <v>18</v>
      </c>
      <c r="F35" s="833"/>
      <c r="G35" s="835"/>
      <c r="H35" s="43" t="s">
        <v>12</v>
      </c>
      <c r="I35" s="836"/>
      <c r="J35" s="836"/>
      <c r="K35" s="837"/>
      <c r="L35" s="837">
        <f t="shared" ref="L35:N36" si="23">L430+L455+L478+L513+L534+L556+L640+L666+L696+L748+L765+L781+L797+L816</f>
        <v>0</v>
      </c>
      <c r="M35" s="837">
        <f t="shared" si="23"/>
        <v>0</v>
      </c>
      <c r="N35" s="837">
        <f t="shared" si="23"/>
        <v>0</v>
      </c>
      <c r="O35" s="837">
        <f t="shared" si="17"/>
        <v>0</v>
      </c>
      <c r="P35" s="837">
        <f t="shared" si="18"/>
        <v>0</v>
      </c>
      <c r="Q35" s="825"/>
      <c r="R35" s="825"/>
      <c r="S35" s="825"/>
      <c r="T35" s="825"/>
      <c r="U35" s="825"/>
      <c r="V35" s="825"/>
      <c r="W35" s="825"/>
      <c r="X35" s="825"/>
      <c r="Y35" s="825"/>
      <c r="Z35" s="825"/>
    </row>
    <row r="36" spans="1:26" ht="18.75" hidden="1">
      <c r="A36" s="838"/>
      <c r="B36" s="839"/>
      <c r="C36" s="839"/>
      <c r="D36" s="839"/>
      <c r="E36" s="840" t="s">
        <v>19</v>
      </c>
      <c r="F36" s="839"/>
      <c r="G36" s="841"/>
      <c r="H36" s="50" t="s">
        <v>12</v>
      </c>
      <c r="I36" s="842"/>
      <c r="J36" s="842"/>
      <c r="K36" s="843"/>
      <c r="L36" s="843">
        <f t="shared" ca="1" si="23"/>
        <v>0</v>
      </c>
      <c r="M36" s="843">
        <f t="shared" si="23"/>
        <v>0</v>
      </c>
      <c r="N36" s="843">
        <f t="shared" si="23"/>
        <v>0</v>
      </c>
      <c r="O36" s="843">
        <f t="shared" ca="1" si="17"/>
        <v>0</v>
      </c>
      <c r="P36" s="843">
        <f t="shared" si="18"/>
        <v>0</v>
      </c>
      <c r="Q36" s="825"/>
      <c r="R36" s="825"/>
      <c r="S36" s="825"/>
      <c r="T36" s="825"/>
      <c r="U36" s="825"/>
      <c r="V36" s="825"/>
      <c r="W36" s="825"/>
      <c r="X36" s="825"/>
      <c r="Y36" s="825"/>
      <c r="Z36" s="825"/>
    </row>
    <row r="37" spans="1:26" ht="19.5">
      <c r="A37" s="844" t="s">
        <v>24</v>
      </c>
      <c r="B37" s="845"/>
      <c r="C37" s="845"/>
      <c r="D37" s="845"/>
      <c r="E37" s="845"/>
      <c r="F37" s="845"/>
      <c r="G37" s="846"/>
      <c r="H37" s="847"/>
      <c r="I37" s="848"/>
      <c r="J37" s="848"/>
      <c r="K37" s="849"/>
      <c r="L37" s="850">
        <f t="shared" ref="L37:N37" ca="1" si="24">L41+L53+L66+L88+L119+L132+L149+L165+L181+L261+L277+L298+L315+L328+L345+L389+L402</f>
        <v>2944145</v>
      </c>
      <c r="M37" s="850">
        <f t="shared" ca="1" si="24"/>
        <v>2427897</v>
      </c>
      <c r="N37" s="850">
        <f t="shared" ca="1" si="24"/>
        <v>1354207.46</v>
      </c>
      <c r="O37" s="850">
        <f t="shared" ca="1" si="17"/>
        <v>45.996629242105939</v>
      </c>
      <c r="P37" s="850">
        <f t="shared" ca="1" si="18"/>
        <v>55.776973240627591</v>
      </c>
    </row>
    <row r="38" spans="1:26" ht="19.5">
      <c r="A38" s="851" t="s">
        <v>25</v>
      </c>
      <c r="B38" s="852"/>
      <c r="C38" s="852"/>
      <c r="D38" s="852"/>
      <c r="E38" s="852"/>
      <c r="F38" s="852"/>
      <c r="G38" s="853"/>
      <c r="H38" s="854"/>
      <c r="I38" s="855"/>
      <c r="J38" s="855"/>
      <c r="K38" s="856"/>
      <c r="L38" s="856"/>
      <c r="M38" s="856"/>
      <c r="N38" s="856"/>
      <c r="O38" s="856"/>
      <c r="P38" s="856"/>
    </row>
    <row r="39" spans="1:26" ht="19.5">
      <c r="A39" s="857"/>
      <c r="B39" s="858" t="s">
        <v>26</v>
      </c>
      <c r="C39" s="859"/>
      <c r="D39" s="859"/>
      <c r="E39" s="859"/>
      <c r="F39" s="859"/>
      <c r="G39" s="860"/>
      <c r="H39" s="861"/>
      <c r="I39" s="862"/>
      <c r="J39" s="862"/>
      <c r="K39" s="863"/>
      <c r="L39" s="863"/>
      <c r="M39" s="863"/>
      <c r="N39" s="863"/>
      <c r="O39" s="863"/>
      <c r="P39" s="863"/>
    </row>
    <row r="40" spans="1:26" ht="19.5">
      <c r="A40" s="864"/>
      <c r="B40" s="1513" t="s">
        <v>27</v>
      </c>
      <c r="C40" s="1485"/>
      <c r="D40" s="1485"/>
      <c r="E40" s="1485"/>
      <c r="F40" s="1485"/>
      <c r="G40" s="1491"/>
      <c r="H40" s="865"/>
      <c r="I40" s="866"/>
      <c r="J40" s="866"/>
      <c r="K40" s="867"/>
      <c r="L40" s="867"/>
      <c r="M40" s="867"/>
      <c r="N40" s="867"/>
      <c r="O40" s="867"/>
      <c r="P40" s="867"/>
    </row>
    <row r="41" spans="1:26" ht="19.5">
      <c r="A41" s="868"/>
      <c r="B41" s="869"/>
      <c r="C41" s="870" t="s">
        <v>16</v>
      </c>
      <c r="D41" s="871" t="s">
        <v>17</v>
      </c>
      <c r="E41" s="869"/>
      <c r="F41" s="869"/>
      <c r="G41" s="872"/>
      <c r="H41" s="82" t="s">
        <v>12</v>
      </c>
      <c r="I41" s="873"/>
      <c r="J41" s="873"/>
      <c r="K41" s="874"/>
      <c r="L41" s="875">
        <f t="shared" ref="L41:N41" ca="1" si="25">L42+L43</f>
        <v>564750</v>
      </c>
      <c r="M41" s="875">
        <f t="shared" ca="1" si="25"/>
        <v>573887</v>
      </c>
      <c r="N41" s="875">
        <f t="shared" ca="1" si="25"/>
        <v>238456.77</v>
      </c>
      <c r="O41" s="875">
        <f t="shared" ref="O41:O49" ca="1" si="26">IF(L41&gt;0,N41*100/L41,0)</f>
        <v>42.223420982735725</v>
      </c>
      <c r="P41" s="875">
        <f t="shared" ref="P41:P49" ca="1" si="27">IF(M41&gt;0,N41*100/M41,0)</f>
        <v>41.551171223603255</v>
      </c>
      <c r="Q41" s="818"/>
      <c r="R41" s="818"/>
      <c r="S41" s="818"/>
      <c r="T41" s="818"/>
      <c r="U41" s="818"/>
      <c r="V41" s="818"/>
      <c r="W41" s="818"/>
      <c r="X41" s="818"/>
      <c r="Y41" s="818"/>
      <c r="Z41" s="818"/>
    </row>
    <row r="42" spans="1:26" ht="18.75" hidden="1">
      <c r="A42" s="876"/>
      <c r="B42" s="877"/>
      <c r="C42" s="877"/>
      <c r="D42" s="877"/>
      <c r="E42" s="878" t="s">
        <v>18</v>
      </c>
      <c r="F42" s="877"/>
      <c r="G42" s="879"/>
      <c r="H42" s="90" t="s">
        <v>12</v>
      </c>
      <c r="I42" s="880"/>
      <c r="J42" s="880"/>
      <c r="K42" s="881"/>
      <c r="L42" s="881">
        <f t="shared" ref="L42:N43" si="28">L45+L48</f>
        <v>0</v>
      </c>
      <c r="M42" s="881">
        <f t="shared" si="28"/>
        <v>0</v>
      </c>
      <c r="N42" s="881">
        <f t="shared" si="28"/>
        <v>0</v>
      </c>
      <c r="O42" s="881">
        <f t="shared" si="26"/>
        <v>0</v>
      </c>
      <c r="P42" s="881">
        <f t="shared" si="27"/>
        <v>0</v>
      </c>
      <c r="Q42" s="825"/>
      <c r="R42" s="825"/>
      <c r="S42" s="825"/>
      <c r="T42" s="825"/>
      <c r="U42" s="825"/>
      <c r="V42" s="825"/>
      <c r="W42" s="825"/>
      <c r="X42" s="825"/>
      <c r="Y42" s="825"/>
      <c r="Z42" s="825"/>
    </row>
    <row r="43" spans="1:26" ht="18.75" hidden="1">
      <c r="A43" s="876"/>
      <c r="B43" s="877"/>
      <c r="C43" s="877"/>
      <c r="D43" s="877"/>
      <c r="E43" s="878" t="s">
        <v>19</v>
      </c>
      <c r="F43" s="877"/>
      <c r="G43" s="879"/>
      <c r="H43" s="90" t="s">
        <v>12</v>
      </c>
      <c r="I43" s="880"/>
      <c r="J43" s="880"/>
      <c r="K43" s="881"/>
      <c r="L43" s="881">
        <f t="shared" ca="1" si="28"/>
        <v>564750</v>
      </c>
      <c r="M43" s="881">
        <f t="shared" ca="1" si="28"/>
        <v>573887</v>
      </c>
      <c r="N43" s="881">
        <f t="shared" ca="1" si="28"/>
        <v>238456.77</v>
      </c>
      <c r="O43" s="881">
        <f t="shared" ca="1" si="26"/>
        <v>42.223420982735725</v>
      </c>
      <c r="P43" s="881">
        <f t="shared" ca="1" si="27"/>
        <v>41.551171223603255</v>
      </c>
      <c r="Q43" s="825"/>
      <c r="R43" s="825"/>
      <c r="S43" s="825"/>
      <c r="T43" s="825"/>
      <c r="U43" s="825"/>
      <c r="V43" s="825"/>
      <c r="W43" s="825"/>
      <c r="X43" s="825"/>
      <c r="Y43" s="825"/>
      <c r="Z43" s="825"/>
    </row>
    <row r="44" spans="1:26" ht="18.75">
      <c r="A44" s="826"/>
      <c r="B44" s="827"/>
      <c r="C44" s="827"/>
      <c r="D44" s="828" t="s">
        <v>20</v>
      </c>
      <c r="E44" s="827"/>
      <c r="F44" s="827"/>
      <c r="G44" s="829"/>
      <c r="H44" s="590" t="s">
        <v>12</v>
      </c>
      <c r="I44" s="830"/>
      <c r="J44" s="830"/>
      <c r="K44" s="831"/>
      <c r="L44" s="831">
        <f t="shared" ref="L44:N44" ca="1" si="29">L45+L46</f>
        <v>564750</v>
      </c>
      <c r="M44" s="831">
        <f t="shared" ca="1" si="29"/>
        <v>573887</v>
      </c>
      <c r="N44" s="831">
        <f t="shared" ca="1" si="29"/>
        <v>238456.77</v>
      </c>
      <c r="O44" s="831">
        <f t="shared" ca="1" si="26"/>
        <v>42.223420982735725</v>
      </c>
      <c r="P44" s="831">
        <f t="shared" ca="1" si="27"/>
        <v>41.551171223603255</v>
      </c>
      <c r="Q44" s="818"/>
      <c r="R44" s="818"/>
      <c r="S44" s="818"/>
      <c r="T44" s="818"/>
      <c r="U44" s="818"/>
      <c r="V44" s="818"/>
      <c r="W44" s="818"/>
      <c r="X44" s="818"/>
      <c r="Y44" s="818"/>
      <c r="Z44" s="818"/>
    </row>
    <row r="45" spans="1:26" ht="18.75" hidden="1">
      <c r="A45" s="832"/>
      <c r="B45" s="833"/>
      <c r="C45" s="833"/>
      <c r="D45" s="833"/>
      <c r="E45" s="834" t="s">
        <v>18</v>
      </c>
      <c r="F45" s="833"/>
      <c r="G45" s="835"/>
      <c r="H45" s="43" t="s">
        <v>12</v>
      </c>
      <c r="I45" s="836"/>
      <c r="J45" s="836"/>
      <c r="K45" s="837"/>
      <c r="L45" s="837">
        <v>0</v>
      </c>
      <c r="M45" s="837">
        <v>0</v>
      </c>
      <c r="N45" s="837">
        <v>0</v>
      </c>
      <c r="O45" s="837">
        <f t="shared" si="26"/>
        <v>0</v>
      </c>
      <c r="P45" s="837">
        <f t="shared" si="27"/>
        <v>0</v>
      </c>
      <c r="Q45" s="825"/>
      <c r="R45" s="825"/>
      <c r="S45" s="825"/>
      <c r="T45" s="825"/>
      <c r="U45" s="825"/>
      <c r="V45" s="825"/>
      <c r="W45" s="825"/>
      <c r="X45" s="825"/>
      <c r="Y45" s="825"/>
      <c r="Z45" s="825"/>
    </row>
    <row r="46" spans="1:26" ht="18.75" hidden="1">
      <c r="A46" s="832"/>
      <c r="B46" s="833"/>
      <c r="C46" s="833"/>
      <c r="D46" s="833"/>
      <c r="E46" s="834" t="s">
        <v>19</v>
      </c>
      <c r="F46" s="833"/>
      <c r="G46" s="835"/>
      <c r="H46" s="43" t="s">
        <v>12</v>
      </c>
      <c r="I46" s="836"/>
      <c r="J46" s="836"/>
      <c r="K46" s="837"/>
      <c r="L46" s="837">
        <f ca="1">IFERROR(__xludf.DUMMYFUNCTION("IMPORTRANGE(""https://docs.google.com/spreadsheets/d/1MeEWN-I1oV_STSDYn1IFDPWt_1FKiwhDph83XaGc0o0/edit?usp=sharing"",""งบพรบ!M21"")"),564750)</f>
        <v>564750</v>
      </c>
      <c r="M46" s="837">
        <f ca="1">IFERROR(__xludf.DUMMYFUNCTION("IMPORTRANGE(""https://docs.google.com/spreadsheets/d/1MeEWN-I1oV_STSDYn1IFDPWt_1FKiwhDph83XaGc0o0/edit?usp=sharing"",""งบพรบ!R21"")"),573887)</f>
        <v>573887</v>
      </c>
      <c r="N46" s="837">
        <f ca="1">IFERROR(__xludf.DUMMYFUNCTION("IMPORTRANGE(""https://docs.google.com/spreadsheets/d/1MeEWN-I1oV_STSDYn1IFDPWt_1FKiwhDph83XaGc0o0/edit?usp=sharing"",""งบพรบ!T21"")"),238456.77)</f>
        <v>238456.77</v>
      </c>
      <c r="O46" s="837">
        <f t="shared" ca="1" si="26"/>
        <v>42.223420982735725</v>
      </c>
      <c r="P46" s="837">
        <f t="shared" ca="1" si="27"/>
        <v>41.551171223603255</v>
      </c>
      <c r="Q46" s="825"/>
      <c r="R46" s="825"/>
      <c r="S46" s="825"/>
      <c r="T46" s="825"/>
      <c r="U46" s="825"/>
      <c r="V46" s="825"/>
      <c r="W46" s="825"/>
      <c r="X46" s="825"/>
      <c r="Y46" s="825"/>
      <c r="Z46" s="825"/>
    </row>
    <row r="47" spans="1:26" ht="18.75">
      <c r="A47" s="826"/>
      <c r="B47" s="827"/>
      <c r="C47" s="827"/>
      <c r="D47" s="828" t="s">
        <v>21</v>
      </c>
      <c r="E47" s="827"/>
      <c r="F47" s="827"/>
      <c r="G47" s="829"/>
      <c r="H47" s="590" t="s">
        <v>12</v>
      </c>
      <c r="I47" s="830"/>
      <c r="J47" s="830"/>
      <c r="K47" s="831"/>
      <c r="L47" s="831">
        <f t="shared" ref="L47:N47" ca="1" si="30">L48+L49</f>
        <v>0</v>
      </c>
      <c r="M47" s="831">
        <f t="shared" ca="1" si="30"/>
        <v>0</v>
      </c>
      <c r="N47" s="831">
        <f t="shared" ca="1" si="30"/>
        <v>0</v>
      </c>
      <c r="O47" s="831">
        <f t="shared" ca="1" si="26"/>
        <v>0</v>
      </c>
      <c r="P47" s="831">
        <f t="shared" ca="1" si="27"/>
        <v>0</v>
      </c>
      <c r="Q47" s="818"/>
      <c r="R47" s="818"/>
      <c r="S47" s="818"/>
      <c r="T47" s="818"/>
      <c r="U47" s="818"/>
      <c r="V47" s="818"/>
      <c r="W47" s="818"/>
      <c r="X47" s="818"/>
      <c r="Y47" s="818"/>
      <c r="Z47" s="818"/>
    </row>
    <row r="48" spans="1:26" ht="18.75" hidden="1">
      <c r="A48" s="832"/>
      <c r="B48" s="833"/>
      <c r="C48" s="833"/>
      <c r="D48" s="833"/>
      <c r="E48" s="834" t="s">
        <v>18</v>
      </c>
      <c r="F48" s="833"/>
      <c r="G48" s="835"/>
      <c r="H48" s="43" t="s">
        <v>12</v>
      </c>
      <c r="I48" s="836"/>
      <c r="J48" s="836"/>
      <c r="K48" s="837"/>
      <c r="L48" s="837">
        <v>0</v>
      </c>
      <c r="M48" s="837">
        <v>0</v>
      </c>
      <c r="N48" s="837">
        <v>0</v>
      </c>
      <c r="O48" s="837">
        <f t="shared" si="26"/>
        <v>0</v>
      </c>
      <c r="P48" s="837">
        <f t="shared" si="27"/>
        <v>0</v>
      </c>
      <c r="Q48" s="825"/>
      <c r="R48" s="825"/>
      <c r="S48" s="825"/>
      <c r="T48" s="825"/>
      <c r="U48" s="825"/>
      <c r="V48" s="825"/>
      <c r="W48" s="825"/>
      <c r="X48" s="825"/>
      <c r="Y48" s="825"/>
      <c r="Z48" s="825"/>
    </row>
    <row r="49" spans="1:26" ht="18.75" hidden="1">
      <c r="A49" s="838"/>
      <c r="B49" s="839"/>
      <c r="C49" s="839"/>
      <c r="D49" s="839"/>
      <c r="E49" s="840" t="s">
        <v>19</v>
      </c>
      <c r="F49" s="839"/>
      <c r="G49" s="841"/>
      <c r="H49" s="50" t="s">
        <v>12</v>
      </c>
      <c r="I49" s="842"/>
      <c r="J49" s="842"/>
      <c r="K49" s="843"/>
      <c r="L49" s="843">
        <f ca="1">IFERROR(__xludf.DUMMYFUNCTION("IMPORTRANGE(""https://docs.google.com/spreadsheets/d/1MeEWN-I1oV_STSDYn1IFDPWt_1FKiwhDph83XaGc0o0/edit?usp=sharing"",""งบพรบ!P21"")"),0)</f>
        <v>0</v>
      </c>
      <c r="M49" s="843">
        <f ca="1">IFERROR(__xludf.DUMMYFUNCTION("IMPORTRANGE(""https://docs.google.com/spreadsheets/d/1MeEWN-I1oV_STSDYn1IFDPWt_1FKiwhDph83XaGc0o0/edit?usp=sharing"",""งบพรบ!S21"")"),0)</f>
        <v>0</v>
      </c>
      <c r="N49" s="843">
        <f ca="1">IFERROR(__xludf.DUMMYFUNCTION("IMPORTRANGE(""https://docs.google.com/spreadsheets/d/1MeEWN-I1oV_STSDYn1IFDPWt_1FKiwhDph83XaGc0o0/edit?usp=sharing"",""งบพรบ!U21"")"),0)</f>
        <v>0</v>
      </c>
      <c r="O49" s="843">
        <f t="shared" ca="1" si="26"/>
        <v>0</v>
      </c>
      <c r="P49" s="843">
        <f t="shared" ca="1" si="27"/>
        <v>0</v>
      </c>
      <c r="Q49" s="825"/>
      <c r="R49" s="825"/>
      <c r="S49" s="825"/>
      <c r="T49" s="825"/>
      <c r="U49" s="825"/>
      <c r="V49" s="825"/>
      <c r="W49" s="825"/>
      <c r="X49" s="825"/>
      <c r="Y49" s="825"/>
      <c r="Z49" s="825"/>
    </row>
    <row r="50" spans="1:26" ht="19.5">
      <c r="A50" s="1514" t="s">
        <v>28</v>
      </c>
      <c r="B50" s="1494"/>
      <c r="C50" s="1494"/>
      <c r="D50" s="1494"/>
      <c r="E50" s="1494"/>
      <c r="F50" s="1494"/>
      <c r="G50" s="1495"/>
      <c r="H50" s="882"/>
      <c r="I50" s="883"/>
      <c r="J50" s="883"/>
      <c r="K50" s="884"/>
      <c r="L50" s="884"/>
      <c r="M50" s="884"/>
      <c r="N50" s="884"/>
      <c r="O50" s="884"/>
      <c r="P50" s="884"/>
    </row>
    <row r="51" spans="1:26" ht="19.5">
      <c r="A51" s="885"/>
      <c r="B51" s="1515" t="s">
        <v>29</v>
      </c>
      <c r="C51" s="1485"/>
      <c r="D51" s="1485"/>
      <c r="E51" s="1485"/>
      <c r="F51" s="1485"/>
      <c r="G51" s="1491"/>
      <c r="H51" s="886"/>
      <c r="I51" s="887"/>
      <c r="J51" s="887"/>
      <c r="K51" s="888"/>
      <c r="L51" s="888"/>
      <c r="M51" s="888"/>
      <c r="N51" s="888"/>
      <c r="O51" s="888"/>
      <c r="P51" s="888"/>
    </row>
    <row r="52" spans="1:26" ht="19.5">
      <c r="A52" s="889"/>
      <c r="B52" s="890" t="s">
        <v>30</v>
      </c>
      <c r="C52" s="891"/>
      <c r="D52" s="891"/>
      <c r="E52" s="891"/>
      <c r="F52" s="891"/>
      <c r="G52" s="892"/>
      <c r="H52" s="893"/>
      <c r="I52" s="894"/>
      <c r="J52" s="894"/>
      <c r="K52" s="895"/>
      <c r="L52" s="895"/>
      <c r="M52" s="895"/>
      <c r="N52" s="895"/>
      <c r="O52" s="895"/>
      <c r="P52" s="895"/>
    </row>
    <row r="53" spans="1:26" ht="19.5">
      <c r="A53" s="896"/>
      <c r="B53" s="897"/>
      <c r="C53" s="898" t="s">
        <v>16</v>
      </c>
      <c r="D53" s="899" t="s">
        <v>17</v>
      </c>
      <c r="E53" s="897"/>
      <c r="F53" s="897"/>
      <c r="G53" s="900"/>
      <c r="H53" s="113" t="s">
        <v>12</v>
      </c>
      <c r="I53" s="901"/>
      <c r="J53" s="901"/>
      <c r="K53" s="902"/>
      <c r="L53" s="903">
        <f t="shared" ref="L53:N53" ca="1" si="31">L54+L55</f>
        <v>660900</v>
      </c>
      <c r="M53" s="903">
        <f t="shared" ca="1" si="31"/>
        <v>495675</v>
      </c>
      <c r="N53" s="903">
        <f t="shared" ca="1" si="31"/>
        <v>388479.08</v>
      </c>
      <c r="O53" s="903">
        <f t="shared" ref="O53:O61" ca="1" si="32">IF(L53&gt;0,N53*100/L53,0)</f>
        <v>58.780311696171886</v>
      </c>
      <c r="P53" s="903">
        <f t="shared" ref="P53:P61" ca="1" si="33">IF(M53&gt;0,N53*100/M53,0)</f>
        <v>78.373748928229176</v>
      </c>
      <c r="Q53" s="818"/>
      <c r="R53" s="818"/>
      <c r="S53" s="818"/>
      <c r="T53" s="818"/>
      <c r="U53" s="818"/>
      <c r="V53" s="818"/>
      <c r="W53" s="818"/>
      <c r="X53" s="818"/>
      <c r="Y53" s="818"/>
      <c r="Z53" s="818"/>
    </row>
    <row r="54" spans="1:26" ht="18.75" hidden="1">
      <c r="A54" s="904"/>
      <c r="B54" s="905"/>
      <c r="C54" s="905"/>
      <c r="D54" s="905"/>
      <c r="E54" s="906" t="s">
        <v>18</v>
      </c>
      <c r="F54" s="905"/>
      <c r="G54" s="907"/>
      <c r="H54" s="121" t="s">
        <v>12</v>
      </c>
      <c r="I54" s="908"/>
      <c r="J54" s="908"/>
      <c r="K54" s="909"/>
      <c r="L54" s="909">
        <f t="shared" ref="L54:N55" si="34">L57+L60</f>
        <v>0</v>
      </c>
      <c r="M54" s="909">
        <f t="shared" si="34"/>
        <v>0</v>
      </c>
      <c r="N54" s="909">
        <f t="shared" si="34"/>
        <v>0</v>
      </c>
      <c r="O54" s="909">
        <f t="shared" si="32"/>
        <v>0</v>
      </c>
      <c r="P54" s="909">
        <f t="shared" si="33"/>
        <v>0</v>
      </c>
      <c r="Q54" s="825"/>
      <c r="R54" s="825"/>
      <c r="S54" s="825"/>
      <c r="T54" s="825"/>
      <c r="U54" s="825"/>
      <c r="V54" s="825"/>
      <c r="W54" s="825"/>
      <c r="X54" s="825"/>
      <c r="Y54" s="825"/>
      <c r="Z54" s="825"/>
    </row>
    <row r="55" spans="1:26" ht="18.75" hidden="1">
      <c r="A55" s="904"/>
      <c r="B55" s="905"/>
      <c r="C55" s="905"/>
      <c r="D55" s="905"/>
      <c r="E55" s="906" t="s">
        <v>19</v>
      </c>
      <c r="F55" s="905"/>
      <c r="G55" s="907"/>
      <c r="H55" s="121" t="s">
        <v>12</v>
      </c>
      <c r="I55" s="908"/>
      <c r="J55" s="908"/>
      <c r="K55" s="909"/>
      <c r="L55" s="909">
        <f t="shared" ca="1" si="34"/>
        <v>660900</v>
      </c>
      <c r="M55" s="909">
        <f t="shared" ca="1" si="34"/>
        <v>495675</v>
      </c>
      <c r="N55" s="909">
        <f t="shared" ca="1" si="34"/>
        <v>388479.08</v>
      </c>
      <c r="O55" s="909">
        <f t="shared" ca="1" si="32"/>
        <v>58.780311696171886</v>
      </c>
      <c r="P55" s="909">
        <f t="shared" ca="1" si="33"/>
        <v>78.373748928229176</v>
      </c>
      <c r="Q55" s="825"/>
      <c r="R55" s="825"/>
      <c r="S55" s="825"/>
      <c r="T55" s="825"/>
      <c r="U55" s="825"/>
      <c r="V55" s="825"/>
      <c r="W55" s="825"/>
      <c r="X55" s="825"/>
      <c r="Y55" s="825"/>
      <c r="Z55" s="825"/>
    </row>
    <row r="56" spans="1:26" ht="18.75">
      <c r="A56" s="826"/>
      <c r="B56" s="827"/>
      <c r="C56" s="827"/>
      <c r="D56" s="828" t="s">
        <v>20</v>
      </c>
      <c r="E56" s="827"/>
      <c r="F56" s="827"/>
      <c r="G56" s="829"/>
      <c r="H56" s="590" t="s">
        <v>12</v>
      </c>
      <c r="I56" s="830"/>
      <c r="J56" s="830"/>
      <c r="K56" s="831"/>
      <c r="L56" s="831">
        <f t="shared" ref="L56:N56" ca="1" si="35">L57+L58</f>
        <v>660900</v>
      </c>
      <c r="M56" s="831">
        <f t="shared" ca="1" si="35"/>
        <v>495675</v>
      </c>
      <c r="N56" s="831">
        <f t="shared" ca="1" si="35"/>
        <v>388479.08</v>
      </c>
      <c r="O56" s="831">
        <f t="shared" ca="1" si="32"/>
        <v>58.780311696171886</v>
      </c>
      <c r="P56" s="831">
        <f t="shared" ca="1" si="33"/>
        <v>78.373748928229176</v>
      </c>
      <c r="Q56" s="818"/>
      <c r="R56" s="818"/>
      <c r="S56" s="818"/>
      <c r="T56" s="818"/>
      <c r="U56" s="818"/>
      <c r="V56" s="818"/>
      <c r="W56" s="818"/>
      <c r="X56" s="818"/>
      <c r="Y56" s="818"/>
      <c r="Z56" s="818"/>
    </row>
    <row r="57" spans="1:26" ht="18.75" hidden="1">
      <c r="A57" s="832"/>
      <c r="B57" s="833"/>
      <c r="C57" s="833"/>
      <c r="D57" s="833"/>
      <c r="E57" s="834" t="s">
        <v>18</v>
      </c>
      <c r="F57" s="833"/>
      <c r="G57" s="835"/>
      <c r="H57" s="43" t="s">
        <v>12</v>
      </c>
      <c r="I57" s="836"/>
      <c r="J57" s="836"/>
      <c r="K57" s="837"/>
      <c r="L57" s="837">
        <v>0</v>
      </c>
      <c r="M57" s="837">
        <v>0</v>
      </c>
      <c r="N57" s="837">
        <v>0</v>
      </c>
      <c r="O57" s="837">
        <f t="shared" si="32"/>
        <v>0</v>
      </c>
      <c r="P57" s="837">
        <f t="shared" si="33"/>
        <v>0</v>
      </c>
      <c r="Q57" s="825"/>
      <c r="R57" s="825"/>
      <c r="S57" s="825"/>
      <c r="T57" s="825"/>
      <c r="U57" s="825"/>
      <c r="V57" s="825"/>
      <c r="W57" s="825"/>
      <c r="X57" s="825"/>
      <c r="Y57" s="825"/>
      <c r="Z57" s="825"/>
    </row>
    <row r="58" spans="1:26" ht="18.75" hidden="1">
      <c r="A58" s="832"/>
      <c r="B58" s="833"/>
      <c r="C58" s="833"/>
      <c r="D58" s="833"/>
      <c r="E58" s="834" t="s">
        <v>19</v>
      </c>
      <c r="F58" s="833"/>
      <c r="G58" s="835"/>
      <c r="H58" s="43" t="s">
        <v>12</v>
      </c>
      <c r="I58" s="836"/>
      <c r="J58" s="836"/>
      <c r="K58" s="837"/>
      <c r="L58" s="837">
        <f ca="1">IFERROR(__xludf.DUMMYFUNCTION("IMPORTRANGE(""https://docs.google.com/spreadsheets/d/1MeEWN-I1oV_STSDYn1IFDPWt_1FKiwhDph83XaGc0o0/edit?usp=sharing"",""งบพรบ!W21"")"),660900)</f>
        <v>660900</v>
      </c>
      <c r="M58" s="837">
        <f ca="1">IFERROR(__xludf.DUMMYFUNCTION("IMPORTRANGE(""https://docs.google.com/spreadsheets/d/1MeEWN-I1oV_STSDYn1IFDPWt_1FKiwhDph83XaGc0o0/edit?usp=sharing"",""งบพรบ!AB21"")"),495675)</f>
        <v>495675</v>
      </c>
      <c r="N58" s="837">
        <f ca="1">IFERROR(__xludf.DUMMYFUNCTION("IMPORTRANGE(""https://docs.google.com/spreadsheets/d/1MeEWN-I1oV_STSDYn1IFDPWt_1FKiwhDph83XaGc0o0/edit?usp=sharing"",""งบพรบ!AD21"")"),388479.08)</f>
        <v>388479.08</v>
      </c>
      <c r="O58" s="837">
        <f t="shared" ca="1" si="32"/>
        <v>58.780311696171886</v>
      </c>
      <c r="P58" s="837">
        <f t="shared" ca="1" si="33"/>
        <v>78.373748928229176</v>
      </c>
      <c r="Q58" s="825"/>
      <c r="R58" s="825"/>
      <c r="S58" s="825"/>
      <c r="T58" s="825"/>
      <c r="U58" s="825"/>
      <c r="V58" s="825"/>
      <c r="W58" s="825"/>
      <c r="X58" s="825"/>
      <c r="Y58" s="825"/>
      <c r="Z58" s="825"/>
    </row>
    <row r="59" spans="1:26" ht="18.75">
      <c r="A59" s="826"/>
      <c r="B59" s="827"/>
      <c r="C59" s="827"/>
      <c r="D59" s="828" t="s">
        <v>21</v>
      </c>
      <c r="E59" s="827"/>
      <c r="F59" s="827"/>
      <c r="G59" s="829"/>
      <c r="H59" s="590" t="s">
        <v>12</v>
      </c>
      <c r="I59" s="830"/>
      <c r="J59" s="830"/>
      <c r="K59" s="831"/>
      <c r="L59" s="831">
        <f t="shared" ref="L59:N59" ca="1" si="36">L60+L61</f>
        <v>0</v>
      </c>
      <c r="M59" s="831">
        <f t="shared" ca="1" si="36"/>
        <v>0</v>
      </c>
      <c r="N59" s="831">
        <f t="shared" ca="1" si="36"/>
        <v>0</v>
      </c>
      <c r="O59" s="831">
        <f t="shared" ca="1" si="32"/>
        <v>0</v>
      </c>
      <c r="P59" s="831">
        <f t="shared" ca="1" si="33"/>
        <v>0</v>
      </c>
      <c r="Q59" s="818"/>
      <c r="R59" s="818"/>
      <c r="S59" s="818"/>
      <c r="T59" s="818"/>
      <c r="U59" s="818"/>
      <c r="V59" s="818"/>
      <c r="W59" s="818"/>
      <c r="X59" s="818"/>
      <c r="Y59" s="818"/>
      <c r="Z59" s="818"/>
    </row>
    <row r="60" spans="1:26" ht="18.75" hidden="1">
      <c r="A60" s="832"/>
      <c r="B60" s="833"/>
      <c r="C60" s="833"/>
      <c r="D60" s="833"/>
      <c r="E60" s="834" t="s">
        <v>18</v>
      </c>
      <c r="F60" s="833"/>
      <c r="G60" s="835"/>
      <c r="H60" s="43" t="s">
        <v>12</v>
      </c>
      <c r="I60" s="836"/>
      <c r="J60" s="836"/>
      <c r="K60" s="837"/>
      <c r="L60" s="837">
        <v>0</v>
      </c>
      <c r="M60" s="837">
        <v>0</v>
      </c>
      <c r="N60" s="837">
        <v>0</v>
      </c>
      <c r="O60" s="837">
        <f t="shared" si="32"/>
        <v>0</v>
      </c>
      <c r="P60" s="837">
        <f t="shared" si="33"/>
        <v>0</v>
      </c>
      <c r="Q60" s="825"/>
      <c r="R60" s="825"/>
      <c r="S60" s="825"/>
      <c r="T60" s="825"/>
      <c r="U60" s="825"/>
      <c r="V60" s="825"/>
      <c r="W60" s="825"/>
      <c r="X60" s="825"/>
      <c r="Y60" s="825"/>
      <c r="Z60" s="825"/>
    </row>
    <row r="61" spans="1:26" ht="18.75" hidden="1">
      <c r="A61" s="838"/>
      <c r="B61" s="839"/>
      <c r="C61" s="839"/>
      <c r="D61" s="839"/>
      <c r="E61" s="840" t="s">
        <v>19</v>
      </c>
      <c r="F61" s="839"/>
      <c r="G61" s="841"/>
      <c r="H61" s="50" t="s">
        <v>12</v>
      </c>
      <c r="I61" s="842"/>
      <c r="J61" s="842"/>
      <c r="K61" s="843"/>
      <c r="L61" s="843">
        <f ca="1">IFERROR(__xludf.DUMMYFUNCTION("IMPORTRANGE(""https://docs.google.com/spreadsheets/d/1MeEWN-I1oV_STSDYn1IFDPWt_1FKiwhDph83XaGc0o0/edit?usp=sharing"",""งบพรบ!Z21"")"),0)</f>
        <v>0</v>
      </c>
      <c r="M61" s="843">
        <f ca="1">IFERROR(__xludf.DUMMYFUNCTION("IMPORTRANGE(""https://docs.google.com/spreadsheets/d/1MeEWN-I1oV_STSDYn1IFDPWt_1FKiwhDph83XaGc0o0/edit?usp=sharing"",""งบพรบ!AC21"")"),0)</f>
        <v>0</v>
      </c>
      <c r="N61" s="843">
        <f ca="1">IFERROR(__xludf.DUMMYFUNCTION("IMPORTRANGE(""https://docs.google.com/spreadsheets/d/1MeEWN-I1oV_STSDYn1IFDPWt_1FKiwhDph83XaGc0o0/edit?usp=sharing"",""งบพรบ!AE21"")"),0)</f>
        <v>0</v>
      </c>
      <c r="O61" s="843">
        <f t="shared" ca="1" si="32"/>
        <v>0</v>
      </c>
      <c r="P61" s="843">
        <f t="shared" ca="1" si="33"/>
        <v>0</v>
      </c>
      <c r="Q61" s="825"/>
      <c r="R61" s="825"/>
      <c r="S61" s="825"/>
      <c r="T61" s="825"/>
      <c r="U61" s="825"/>
      <c r="V61" s="825"/>
      <c r="W61" s="825"/>
      <c r="X61" s="825"/>
      <c r="Y61" s="825"/>
      <c r="Z61" s="825"/>
    </row>
    <row r="62" spans="1:26" ht="19.5">
      <c r="A62" s="910" t="s">
        <v>31</v>
      </c>
      <c r="B62" s="911"/>
      <c r="C62" s="911"/>
      <c r="D62" s="911"/>
      <c r="E62" s="912"/>
      <c r="F62" s="912"/>
      <c r="G62" s="913"/>
      <c r="H62" s="914"/>
      <c r="I62" s="915"/>
      <c r="J62" s="915"/>
      <c r="K62" s="916"/>
      <c r="L62" s="916"/>
      <c r="M62" s="916"/>
      <c r="N62" s="916"/>
      <c r="O62" s="916"/>
      <c r="P62" s="916"/>
    </row>
    <row r="63" spans="1:26" ht="19.5" hidden="1">
      <c r="A63" s="917" t="s">
        <v>32</v>
      </c>
      <c r="B63" s="918"/>
      <c r="C63" s="919"/>
      <c r="D63" s="918"/>
      <c r="E63" s="918"/>
      <c r="F63" s="918"/>
      <c r="G63" s="920"/>
      <c r="H63" s="921"/>
      <c r="I63" s="922"/>
      <c r="J63" s="922"/>
      <c r="K63" s="923"/>
      <c r="L63" s="923"/>
      <c r="M63" s="923"/>
      <c r="N63" s="923"/>
      <c r="O63" s="923"/>
      <c r="P63" s="923"/>
    </row>
    <row r="64" spans="1:26" ht="19.5" hidden="1">
      <c r="A64" s="924"/>
      <c r="B64" s="925" t="s">
        <v>33</v>
      </c>
      <c r="C64" s="926"/>
      <c r="D64" s="927"/>
      <c r="E64" s="926"/>
      <c r="F64" s="926"/>
      <c r="G64" s="928"/>
      <c r="H64" s="205" t="s">
        <v>34</v>
      </c>
      <c r="I64" s="929">
        <f t="shared" ref="I64:J65" ca="1" si="37">I76</f>
        <v>0</v>
      </c>
      <c r="J64" s="929">
        <f t="shared" si="37"/>
        <v>0</v>
      </c>
      <c r="K64" s="930">
        <f t="shared" ref="K64:K65" ca="1" si="38">IF(I64&gt;0,J64*100/I64,0)</f>
        <v>0</v>
      </c>
      <c r="L64" s="931"/>
      <c r="M64" s="931"/>
      <c r="N64" s="931"/>
      <c r="O64" s="931"/>
      <c r="P64" s="931"/>
    </row>
    <row r="65" spans="1:26" ht="19.5" hidden="1">
      <c r="A65" s="924"/>
      <c r="B65" s="926"/>
      <c r="C65" s="926"/>
      <c r="D65" s="927"/>
      <c r="E65" s="926"/>
      <c r="F65" s="926"/>
      <c r="G65" s="928"/>
      <c r="H65" s="205" t="s">
        <v>35</v>
      </c>
      <c r="I65" s="929">
        <f t="shared" ca="1" si="37"/>
        <v>0</v>
      </c>
      <c r="J65" s="929">
        <f t="shared" si="37"/>
        <v>0</v>
      </c>
      <c r="K65" s="930">
        <f t="shared" ca="1" si="38"/>
        <v>0</v>
      </c>
      <c r="L65" s="931"/>
      <c r="M65" s="931"/>
      <c r="N65" s="931"/>
      <c r="O65" s="931"/>
      <c r="P65" s="931"/>
    </row>
    <row r="66" spans="1:26" ht="19.5" hidden="1">
      <c r="A66" s="932"/>
      <c r="B66" s="933"/>
      <c r="C66" s="934" t="s">
        <v>16</v>
      </c>
      <c r="D66" s="935" t="s">
        <v>17</v>
      </c>
      <c r="E66" s="933"/>
      <c r="F66" s="933"/>
      <c r="G66" s="936"/>
      <c r="H66" s="152" t="s">
        <v>12</v>
      </c>
      <c r="I66" s="937"/>
      <c r="J66" s="937"/>
      <c r="K66" s="938"/>
      <c r="L66" s="939">
        <f t="shared" ref="L66:N66" ca="1" si="39">L67+L68</f>
        <v>0</v>
      </c>
      <c r="M66" s="939">
        <f t="shared" ca="1" si="39"/>
        <v>0</v>
      </c>
      <c r="N66" s="939">
        <f t="shared" ca="1" si="39"/>
        <v>0</v>
      </c>
      <c r="O66" s="939">
        <f t="shared" ref="O66:O74" ca="1" si="40">IF(L66&gt;0,N66*100/L66,0)</f>
        <v>0</v>
      </c>
      <c r="P66" s="939">
        <f t="shared" ref="P66:P74" ca="1" si="41">IF(M66&gt;0,N66*100/M66,0)</f>
        <v>0</v>
      </c>
      <c r="Q66" s="818"/>
      <c r="R66" s="818"/>
      <c r="S66" s="818"/>
      <c r="T66" s="818"/>
      <c r="U66" s="818"/>
      <c r="V66" s="818"/>
      <c r="W66" s="818"/>
      <c r="X66" s="818"/>
      <c r="Y66" s="818"/>
      <c r="Z66" s="818"/>
    </row>
    <row r="67" spans="1:26" ht="18.75" hidden="1">
      <c r="A67" s="940"/>
      <c r="B67" s="833"/>
      <c r="C67" s="833"/>
      <c r="D67" s="833"/>
      <c r="E67" s="834" t="s">
        <v>18</v>
      </c>
      <c r="F67" s="833"/>
      <c r="G67" s="941"/>
      <c r="H67" s="158" t="s">
        <v>12</v>
      </c>
      <c r="I67" s="836"/>
      <c r="J67" s="836"/>
      <c r="K67" s="837"/>
      <c r="L67" s="837">
        <f t="shared" ref="L67:N68" si="42">L70+L73</f>
        <v>0</v>
      </c>
      <c r="M67" s="837">
        <f t="shared" si="42"/>
        <v>0</v>
      </c>
      <c r="N67" s="837">
        <f t="shared" si="42"/>
        <v>0</v>
      </c>
      <c r="O67" s="837">
        <f t="shared" si="40"/>
        <v>0</v>
      </c>
      <c r="P67" s="837">
        <f t="shared" si="41"/>
        <v>0</v>
      </c>
      <c r="Q67" s="825"/>
      <c r="R67" s="825"/>
      <c r="S67" s="825"/>
      <c r="T67" s="825"/>
      <c r="U67" s="825"/>
      <c r="V67" s="825"/>
      <c r="W67" s="825"/>
      <c r="X67" s="825"/>
      <c r="Y67" s="825"/>
      <c r="Z67" s="825"/>
    </row>
    <row r="68" spans="1:26" ht="18.75" hidden="1">
      <c r="A68" s="940"/>
      <c r="B68" s="833"/>
      <c r="C68" s="833"/>
      <c r="D68" s="833"/>
      <c r="E68" s="834" t="s">
        <v>19</v>
      </c>
      <c r="F68" s="833"/>
      <c r="G68" s="941"/>
      <c r="H68" s="158" t="s">
        <v>12</v>
      </c>
      <c r="I68" s="836"/>
      <c r="J68" s="836"/>
      <c r="K68" s="837"/>
      <c r="L68" s="837">
        <f t="shared" ca="1" si="42"/>
        <v>0</v>
      </c>
      <c r="M68" s="837">
        <f t="shared" ca="1" si="42"/>
        <v>0</v>
      </c>
      <c r="N68" s="837">
        <f t="shared" ca="1" si="42"/>
        <v>0</v>
      </c>
      <c r="O68" s="837">
        <f t="shared" ca="1" si="40"/>
        <v>0</v>
      </c>
      <c r="P68" s="837">
        <f t="shared" ca="1" si="41"/>
        <v>0</v>
      </c>
      <c r="Q68" s="825"/>
      <c r="R68" s="825"/>
      <c r="S68" s="825"/>
      <c r="T68" s="825"/>
      <c r="U68" s="825"/>
      <c r="V68" s="825"/>
      <c r="W68" s="825"/>
      <c r="X68" s="825"/>
      <c r="Y68" s="825"/>
      <c r="Z68" s="825"/>
    </row>
    <row r="69" spans="1:26" ht="18.75" hidden="1">
      <c r="A69" s="942"/>
      <c r="B69" s="827"/>
      <c r="C69" s="943"/>
      <c r="D69" s="828" t="s">
        <v>20</v>
      </c>
      <c r="E69" s="827"/>
      <c r="F69" s="827"/>
      <c r="G69" s="829"/>
      <c r="H69" s="778" t="s">
        <v>12</v>
      </c>
      <c r="I69" s="944"/>
      <c r="J69" s="944"/>
      <c r="K69" s="945"/>
      <c r="L69" s="831">
        <f t="shared" ref="L69:N69" ca="1" si="43">L70+L71</f>
        <v>0</v>
      </c>
      <c r="M69" s="831">
        <f t="shared" ca="1" si="43"/>
        <v>0</v>
      </c>
      <c r="N69" s="831">
        <f t="shared" ca="1" si="43"/>
        <v>0</v>
      </c>
      <c r="O69" s="831">
        <f t="shared" ca="1" si="40"/>
        <v>0</v>
      </c>
      <c r="P69" s="831">
        <f t="shared" ca="1" si="41"/>
        <v>0</v>
      </c>
      <c r="Q69" s="818"/>
      <c r="R69" s="818"/>
      <c r="S69" s="818"/>
      <c r="T69" s="818"/>
      <c r="U69" s="818"/>
      <c r="V69" s="818"/>
      <c r="W69" s="818"/>
      <c r="X69" s="818"/>
      <c r="Y69" s="818"/>
      <c r="Z69" s="818"/>
    </row>
    <row r="70" spans="1:26" ht="19.5" hidden="1">
      <c r="A70" s="940"/>
      <c r="B70" s="833"/>
      <c r="C70" s="946"/>
      <c r="D70" s="833"/>
      <c r="E70" s="834" t="s">
        <v>36</v>
      </c>
      <c r="F70" s="833"/>
      <c r="G70" s="941"/>
      <c r="H70" s="165" t="s">
        <v>12</v>
      </c>
      <c r="I70" s="947"/>
      <c r="J70" s="947"/>
      <c r="K70" s="948"/>
      <c r="L70" s="837">
        <v>0</v>
      </c>
      <c r="M70" s="837">
        <v>0</v>
      </c>
      <c r="N70" s="837">
        <v>0</v>
      </c>
      <c r="O70" s="837">
        <f t="shared" si="40"/>
        <v>0</v>
      </c>
      <c r="P70" s="837">
        <f t="shared" si="41"/>
        <v>0</v>
      </c>
      <c r="Q70" s="825"/>
      <c r="R70" s="825"/>
      <c r="S70" s="825"/>
      <c r="T70" s="825"/>
      <c r="U70" s="825"/>
      <c r="V70" s="825"/>
      <c r="W70" s="825"/>
      <c r="X70" s="825"/>
      <c r="Y70" s="825"/>
      <c r="Z70" s="825"/>
    </row>
    <row r="71" spans="1:26" ht="19.5" hidden="1">
      <c r="A71" s="940"/>
      <c r="B71" s="833"/>
      <c r="C71" s="946"/>
      <c r="D71" s="833"/>
      <c r="E71" s="834" t="s">
        <v>37</v>
      </c>
      <c r="F71" s="833"/>
      <c r="G71" s="941"/>
      <c r="H71" s="165" t="s">
        <v>12</v>
      </c>
      <c r="I71" s="947"/>
      <c r="J71" s="947"/>
      <c r="K71" s="948"/>
      <c r="L71" s="837">
        <f ca="1">IFERROR(__xludf.DUMMYFUNCTION("IMPORTRANGE(""https://docs.google.com/spreadsheets/d/1MeEWN-I1oV_STSDYn1IFDPWt_1FKiwhDph83XaGc0o0/edit?usp=sharing"",""งบพรบ!AG21"")"),0)</f>
        <v>0</v>
      </c>
      <c r="M71" s="837">
        <f ca="1">IFERROR(__xludf.DUMMYFUNCTION("IMPORTRANGE(""https://docs.google.com/spreadsheets/d/1MeEWN-I1oV_STSDYn1IFDPWt_1FKiwhDph83XaGc0o0/edit?usp=sharing"",""งบพรบ!AL21"")"),0)</f>
        <v>0</v>
      </c>
      <c r="N71" s="837">
        <f ca="1">IFERROR(__xludf.DUMMYFUNCTION("IMPORTRANGE(""https://docs.google.com/spreadsheets/d/1MeEWN-I1oV_STSDYn1IFDPWt_1FKiwhDph83XaGc0o0/edit?usp=sharing"",""งบพรบ!AN21"")"),0)</f>
        <v>0</v>
      </c>
      <c r="O71" s="837">
        <f t="shared" ca="1" si="40"/>
        <v>0</v>
      </c>
      <c r="P71" s="837">
        <f t="shared" ca="1" si="41"/>
        <v>0</v>
      </c>
      <c r="Q71" s="825"/>
      <c r="R71" s="825"/>
      <c r="S71" s="825"/>
      <c r="T71" s="825"/>
      <c r="U71" s="825"/>
      <c r="V71" s="825"/>
      <c r="W71" s="825"/>
      <c r="X71" s="825"/>
      <c r="Y71" s="825"/>
      <c r="Z71" s="825"/>
    </row>
    <row r="72" spans="1:26" ht="18.75" hidden="1">
      <c r="A72" s="942"/>
      <c r="B72" s="827"/>
      <c r="C72" s="943"/>
      <c r="D72" s="828" t="s">
        <v>21</v>
      </c>
      <c r="E72" s="827"/>
      <c r="F72" s="827"/>
      <c r="G72" s="829"/>
      <c r="H72" s="168" t="s">
        <v>12</v>
      </c>
      <c r="I72" s="944"/>
      <c r="J72" s="944"/>
      <c r="K72" s="945"/>
      <c r="L72" s="831">
        <f t="shared" ref="L72:N72" ca="1" si="44">L73+L74</f>
        <v>0</v>
      </c>
      <c r="M72" s="831">
        <f t="shared" ca="1" si="44"/>
        <v>0</v>
      </c>
      <c r="N72" s="831">
        <f t="shared" ca="1" si="44"/>
        <v>0</v>
      </c>
      <c r="O72" s="831">
        <f t="shared" ca="1" si="40"/>
        <v>0</v>
      </c>
      <c r="P72" s="831">
        <f t="shared" ca="1" si="41"/>
        <v>0</v>
      </c>
      <c r="Q72" s="818"/>
      <c r="R72" s="818"/>
      <c r="S72" s="818"/>
      <c r="T72" s="818"/>
      <c r="U72" s="818"/>
      <c r="V72" s="818"/>
      <c r="W72" s="818"/>
      <c r="X72" s="818"/>
      <c r="Y72" s="818"/>
      <c r="Z72" s="818"/>
    </row>
    <row r="73" spans="1:26" ht="19.5" hidden="1">
      <c r="A73" s="940"/>
      <c r="B73" s="833"/>
      <c r="C73" s="946"/>
      <c r="D73" s="833"/>
      <c r="E73" s="834" t="s">
        <v>18</v>
      </c>
      <c r="F73" s="833"/>
      <c r="G73" s="941"/>
      <c r="H73" s="165" t="s">
        <v>12</v>
      </c>
      <c r="I73" s="947"/>
      <c r="J73" s="947"/>
      <c r="K73" s="948"/>
      <c r="L73" s="837">
        <v>0</v>
      </c>
      <c r="M73" s="837"/>
      <c r="N73" s="837"/>
      <c r="O73" s="837">
        <f t="shared" si="40"/>
        <v>0</v>
      </c>
      <c r="P73" s="837">
        <f t="shared" si="41"/>
        <v>0</v>
      </c>
      <c r="Q73" s="825"/>
      <c r="R73" s="825"/>
      <c r="S73" s="825"/>
      <c r="T73" s="825"/>
      <c r="U73" s="825"/>
      <c r="V73" s="825"/>
      <c r="W73" s="825"/>
      <c r="X73" s="825"/>
      <c r="Y73" s="825"/>
      <c r="Z73" s="825"/>
    </row>
    <row r="74" spans="1:26" ht="19.5" hidden="1">
      <c r="A74" s="940"/>
      <c r="B74" s="833"/>
      <c r="C74" s="946"/>
      <c r="D74" s="833"/>
      <c r="E74" s="834" t="s">
        <v>19</v>
      </c>
      <c r="F74" s="833"/>
      <c r="G74" s="941"/>
      <c r="H74" s="169" t="s">
        <v>12</v>
      </c>
      <c r="I74" s="947"/>
      <c r="J74" s="947"/>
      <c r="K74" s="948"/>
      <c r="L74" s="837">
        <f ca="1">IFERROR(__xludf.DUMMYFUNCTION("IMPORTRANGE(""https://docs.google.com/spreadsheets/d/1MeEWN-I1oV_STSDYn1IFDPWt_1FKiwhDph83XaGc0o0/edit?usp=sharing"",""งบพรบ!AJ21"")"),0)</f>
        <v>0</v>
      </c>
      <c r="M74" s="837">
        <f ca="1">IFERROR(__xludf.DUMMYFUNCTION("IMPORTRANGE(""https://docs.google.com/spreadsheets/d/1MeEWN-I1oV_STSDYn1IFDPWt_1FKiwhDph83XaGc0o0/edit?usp=sharing"",""งบพรบ!AM21"")"),0)</f>
        <v>0</v>
      </c>
      <c r="N74" s="837">
        <f ca="1">IFERROR(__xludf.DUMMYFUNCTION("IMPORTRANGE(""https://docs.google.com/spreadsheets/d/1MeEWN-I1oV_STSDYn1IFDPWt_1FKiwhDph83XaGc0o0/edit?usp=sharing"",""งบพรบ!AO21"")"),0)</f>
        <v>0</v>
      </c>
      <c r="O74" s="837">
        <f t="shared" ca="1" si="40"/>
        <v>0</v>
      </c>
      <c r="P74" s="837">
        <f t="shared" ca="1" si="41"/>
        <v>0</v>
      </c>
      <c r="Q74" s="825"/>
      <c r="R74" s="825"/>
      <c r="S74" s="825"/>
      <c r="T74" s="825"/>
      <c r="U74" s="825"/>
      <c r="V74" s="825"/>
      <c r="W74" s="825"/>
      <c r="X74" s="825"/>
      <c r="Y74" s="825"/>
      <c r="Z74" s="825"/>
    </row>
    <row r="75" spans="1:26" ht="19.5" hidden="1">
      <c r="A75" s="949"/>
      <c r="B75" s="950"/>
      <c r="C75" s="946" t="s">
        <v>16</v>
      </c>
      <c r="D75" s="951" t="s">
        <v>38</v>
      </c>
      <c r="E75" s="952"/>
      <c r="F75" s="952"/>
      <c r="G75" s="953"/>
      <c r="H75" s="954"/>
      <c r="I75" s="944"/>
      <c r="J75" s="944"/>
      <c r="K75" s="945"/>
      <c r="L75" s="945"/>
      <c r="M75" s="945"/>
      <c r="N75" s="945"/>
      <c r="O75" s="945"/>
      <c r="P75" s="945"/>
    </row>
    <row r="76" spans="1:26" ht="19.5" hidden="1">
      <c r="A76" s="949"/>
      <c r="B76" s="950"/>
      <c r="C76" s="950"/>
      <c r="D76" s="955" t="s">
        <v>39</v>
      </c>
      <c r="E76" s="956"/>
      <c r="F76" s="957"/>
      <c r="G76" s="958"/>
      <c r="H76" s="180" t="s">
        <v>34</v>
      </c>
      <c r="I76" s="830">
        <f t="shared" ref="I76:J77" ca="1" si="45">I78+I80+I82</f>
        <v>0</v>
      </c>
      <c r="J76" s="830">
        <f t="shared" si="45"/>
        <v>0</v>
      </c>
      <c r="K76" s="945">
        <f t="shared" ref="K76:K84" ca="1" si="46">IF(I76&gt;0,J76*100/I76,0)</f>
        <v>0</v>
      </c>
      <c r="L76" s="945"/>
      <c r="M76" s="945"/>
      <c r="N76" s="945"/>
      <c r="O76" s="945"/>
      <c r="P76" s="945"/>
    </row>
    <row r="77" spans="1:26" ht="19.5" hidden="1">
      <c r="A77" s="949"/>
      <c r="B77" s="950"/>
      <c r="C77" s="950"/>
      <c r="D77" s="950"/>
      <c r="E77" s="957"/>
      <c r="F77" s="957"/>
      <c r="G77" s="958"/>
      <c r="H77" s="180" t="s">
        <v>35</v>
      </c>
      <c r="I77" s="830">
        <f t="shared" ca="1" si="45"/>
        <v>0</v>
      </c>
      <c r="J77" s="830">
        <f t="shared" si="45"/>
        <v>0</v>
      </c>
      <c r="K77" s="945">
        <f t="shared" ca="1" si="46"/>
        <v>0</v>
      </c>
      <c r="L77" s="945"/>
      <c r="M77" s="945"/>
      <c r="N77" s="945"/>
      <c r="O77" s="945"/>
      <c r="P77" s="945"/>
    </row>
    <row r="78" spans="1:26" ht="18.75" hidden="1">
      <c r="A78" s="949"/>
      <c r="B78" s="950"/>
      <c r="C78" s="950"/>
      <c r="D78" s="950"/>
      <c r="E78" s="956" t="s">
        <v>40</v>
      </c>
      <c r="F78" s="956"/>
      <c r="G78" s="958"/>
      <c r="H78" s="730" t="s">
        <v>34</v>
      </c>
      <c r="I78" s="944">
        <f ca="1">IFERROR(__xludf.DUMMYFUNCTION("IMPORTRANGE(""https://docs.google.com/spreadsheets/d/1QqKyyYR6Q21VydFLVH3TRQUabQu_ym0Zz7PgGX0-kHA/edit?usp=sharing"",""แผน!H21"")"),0)</f>
        <v>0</v>
      </c>
      <c r="J78" s="959">
        <v>0</v>
      </c>
      <c r="K78" s="945">
        <f t="shared" ca="1" si="46"/>
        <v>0</v>
      </c>
      <c r="L78" s="945"/>
      <c r="M78" s="945"/>
      <c r="N78" s="945"/>
      <c r="O78" s="945"/>
      <c r="P78" s="945"/>
    </row>
    <row r="79" spans="1:26" ht="18.75" hidden="1">
      <c r="A79" s="949"/>
      <c r="B79" s="950"/>
      <c r="C79" s="950"/>
      <c r="D79" s="950"/>
      <c r="E79" s="957"/>
      <c r="F79" s="957"/>
      <c r="G79" s="958"/>
      <c r="H79" s="730" t="s">
        <v>35</v>
      </c>
      <c r="I79" s="944">
        <f ca="1">IFERROR(__xludf.DUMMYFUNCTION("IMPORTRANGE(""https://docs.google.com/spreadsheets/d/1QqKyyYR6Q21VydFLVH3TRQUabQu_ym0Zz7PgGX0-kHA/edit?usp=sharing"",""แผน!I21"")"),0)</f>
        <v>0</v>
      </c>
      <c r="J79" s="959">
        <v>0</v>
      </c>
      <c r="K79" s="945">
        <f t="shared" ca="1" si="46"/>
        <v>0</v>
      </c>
      <c r="L79" s="945"/>
      <c r="M79" s="945"/>
      <c r="N79" s="945"/>
      <c r="O79" s="945"/>
      <c r="P79" s="945"/>
    </row>
    <row r="80" spans="1:26" ht="18.75" hidden="1">
      <c r="A80" s="949"/>
      <c r="B80" s="950"/>
      <c r="C80" s="950"/>
      <c r="D80" s="950"/>
      <c r="E80" s="956" t="s">
        <v>41</v>
      </c>
      <c r="F80" s="956"/>
      <c r="G80" s="958"/>
      <c r="H80" s="730" t="s">
        <v>34</v>
      </c>
      <c r="I80" s="944">
        <f ca="1">IFERROR(__xludf.DUMMYFUNCTION("IMPORTRANGE(""https://docs.google.com/spreadsheets/d/1QqKyyYR6Q21VydFLVH3TRQUabQu_ym0Zz7PgGX0-kHA/edit?usp=sharing"",""แผน!F21"")"),0)</f>
        <v>0</v>
      </c>
      <c r="J80" s="959">
        <v>0</v>
      </c>
      <c r="K80" s="945">
        <f t="shared" ca="1" si="46"/>
        <v>0</v>
      </c>
      <c r="L80" s="945"/>
      <c r="M80" s="945"/>
      <c r="N80" s="945"/>
      <c r="O80" s="945"/>
      <c r="P80" s="945"/>
    </row>
    <row r="81" spans="1:26" ht="18.75" hidden="1">
      <c r="A81" s="949"/>
      <c r="B81" s="950"/>
      <c r="C81" s="950"/>
      <c r="D81" s="950"/>
      <c r="E81" s="957"/>
      <c r="F81" s="957"/>
      <c r="G81" s="958"/>
      <c r="H81" s="730" t="s">
        <v>35</v>
      </c>
      <c r="I81" s="944">
        <f ca="1">IFERROR(__xludf.DUMMYFUNCTION("IMPORTRANGE(""https://docs.google.com/spreadsheets/d/1QqKyyYR6Q21VydFLVH3TRQUabQu_ym0Zz7PgGX0-kHA/edit?usp=sharing"",""แผน!G21"")"),0)</f>
        <v>0</v>
      </c>
      <c r="J81" s="959">
        <v>0</v>
      </c>
      <c r="K81" s="945">
        <f t="shared" ca="1" si="46"/>
        <v>0</v>
      </c>
      <c r="L81" s="945"/>
      <c r="M81" s="945"/>
      <c r="N81" s="945"/>
      <c r="O81" s="945"/>
      <c r="P81" s="945"/>
    </row>
    <row r="82" spans="1:26" ht="18.75" hidden="1">
      <c r="A82" s="949"/>
      <c r="B82" s="950"/>
      <c r="C82" s="950"/>
      <c r="D82" s="950"/>
      <c r="E82" s="956" t="s">
        <v>42</v>
      </c>
      <c r="F82" s="956"/>
      <c r="G82" s="958"/>
      <c r="H82" s="730" t="s">
        <v>34</v>
      </c>
      <c r="I82" s="944">
        <f ca="1">IFERROR(__xludf.DUMMYFUNCTION("IMPORTRANGE(""https://docs.google.com/spreadsheets/d/1QqKyyYR6Q21VydFLVH3TRQUabQu_ym0Zz7PgGX0-kHA/edit?usp=sharing"",""แผน!D21"")"),0)</f>
        <v>0</v>
      </c>
      <c r="J82" s="959">
        <v>0</v>
      </c>
      <c r="K82" s="945">
        <f t="shared" ca="1" si="46"/>
        <v>0</v>
      </c>
      <c r="L82" s="945"/>
      <c r="M82" s="945"/>
      <c r="N82" s="945"/>
      <c r="O82" s="945"/>
      <c r="P82" s="945"/>
    </row>
    <row r="83" spans="1:26" ht="18.75" hidden="1">
      <c r="A83" s="949"/>
      <c r="B83" s="950"/>
      <c r="C83" s="950"/>
      <c r="D83" s="950"/>
      <c r="E83" s="957"/>
      <c r="F83" s="957"/>
      <c r="G83" s="958"/>
      <c r="H83" s="730" t="s">
        <v>35</v>
      </c>
      <c r="I83" s="944">
        <f ca="1">IFERROR(__xludf.DUMMYFUNCTION("IMPORTRANGE(""https://docs.google.com/spreadsheets/d/1QqKyyYR6Q21VydFLVH3TRQUabQu_ym0Zz7PgGX0-kHA/edit?usp=sharing"",""แผน!E21"")"),0)</f>
        <v>0</v>
      </c>
      <c r="J83" s="959">
        <v>0</v>
      </c>
      <c r="K83" s="945">
        <f t="shared" ca="1" si="46"/>
        <v>0</v>
      </c>
      <c r="L83" s="945"/>
      <c r="M83" s="945"/>
      <c r="N83" s="945"/>
      <c r="O83" s="945"/>
      <c r="P83" s="945"/>
    </row>
    <row r="84" spans="1:26" ht="18.75" hidden="1">
      <c r="A84" s="949"/>
      <c r="B84" s="950"/>
      <c r="C84" s="950"/>
      <c r="D84" s="955" t="s">
        <v>43</v>
      </c>
      <c r="E84" s="956"/>
      <c r="F84" s="957"/>
      <c r="G84" s="958"/>
      <c r="H84" s="777" t="s">
        <v>34</v>
      </c>
      <c r="I84" s="944">
        <f ca="1">IFERROR(__xludf.DUMMYFUNCTION("IMPORTRANGE(""https://docs.google.com/spreadsheets/d/1QqKyyYR6Q21VydFLVH3TRQUabQu_ym0Zz7PgGX0-kHA/edit?usp=sharing"",""แผน!J21"")"),0)</f>
        <v>0</v>
      </c>
      <c r="J84" s="959">
        <v>0</v>
      </c>
      <c r="K84" s="945">
        <f t="shared" ca="1" si="46"/>
        <v>0</v>
      </c>
      <c r="L84" s="945"/>
      <c r="M84" s="945"/>
      <c r="N84" s="945"/>
      <c r="O84" s="945"/>
      <c r="P84" s="945"/>
    </row>
    <row r="85" spans="1:26" ht="19.5">
      <c r="A85" s="917" t="s">
        <v>44</v>
      </c>
      <c r="B85" s="918"/>
      <c r="C85" s="919"/>
      <c r="D85" s="918"/>
      <c r="E85" s="918"/>
      <c r="F85" s="918"/>
      <c r="G85" s="920"/>
      <c r="H85" s="921"/>
      <c r="I85" s="922"/>
      <c r="J85" s="922"/>
      <c r="K85" s="923"/>
      <c r="L85" s="923"/>
      <c r="M85" s="923"/>
      <c r="N85" s="923"/>
      <c r="O85" s="923"/>
      <c r="P85" s="923"/>
    </row>
    <row r="86" spans="1:26" ht="19.5">
      <c r="A86" s="924"/>
      <c r="B86" s="925" t="s">
        <v>45</v>
      </c>
      <c r="C86" s="926"/>
      <c r="D86" s="927"/>
      <c r="E86" s="926"/>
      <c r="F86" s="926"/>
      <c r="G86" s="928"/>
      <c r="H86" s="205" t="s">
        <v>46</v>
      </c>
      <c r="I86" s="929">
        <f t="shared" ref="I86:J87" ca="1" si="47">I98</f>
        <v>30</v>
      </c>
      <c r="J86" s="929">
        <f t="shared" si="47"/>
        <v>30</v>
      </c>
      <c r="K86" s="930">
        <f t="shared" ref="K86:K87" ca="1" si="48">IF(I86&gt;0,J86*100/I86,0)</f>
        <v>100</v>
      </c>
      <c r="L86" s="931"/>
      <c r="M86" s="931"/>
      <c r="N86" s="931"/>
      <c r="O86" s="931"/>
      <c r="P86" s="931"/>
    </row>
    <row r="87" spans="1:26" ht="19.5">
      <c r="A87" s="924"/>
      <c r="B87" s="926"/>
      <c r="C87" s="926"/>
      <c r="D87" s="927"/>
      <c r="E87" s="926"/>
      <c r="F87" s="926"/>
      <c r="G87" s="928"/>
      <c r="H87" s="205" t="s">
        <v>35</v>
      </c>
      <c r="I87" s="929">
        <f t="shared" ca="1" si="47"/>
        <v>10</v>
      </c>
      <c r="J87" s="929">
        <f t="shared" si="47"/>
        <v>10</v>
      </c>
      <c r="K87" s="930">
        <f t="shared" ca="1" si="48"/>
        <v>100</v>
      </c>
      <c r="L87" s="931"/>
      <c r="M87" s="931"/>
      <c r="N87" s="931"/>
      <c r="O87" s="931"/>
      <c r="P87" s="931"/>
    </row>
    <row r="88" spans="1:26" ht="19.5">
      <c r="A88" s="932"/>
      <c r="B88" s="933"/>
      <c r="C88" s="934" t="s">
        <v>16</v>
      </c>
      <c r="D88" s="935" t="s">
        <v>17</v>
      </c>
      <c r="E88" s="933"/>
      <c r="F88" s="933"/>
      <c r="G88" s="936"/>
      <c r="H88" s="152" t="s">
        <v>12</v>
      </c>
      <c r="I88" s="937"/>
      <c r="J88" s="937"/>
      <c r="K88" s="938"/>
      <c r="L88" s="939">
        <f t="shared" ref="L88:N88" ca="1" si="49">L89+L90</f>
        <v>85840</v>
      </c>
      <c r="M88" s="939">
        <f t="shared" ca="1" si="49"/>
        <v>79140</v>
      </c>
      <c r="N88" s="939">
        <f t="shared" ca="1" si="49"/>
        <v>55304</v>
      </c>
      <c r="O88" s="939">
        <f t="shared" ref="O88:O96" ca="1" si="50">IF(L88&gt;0,N88*100/L88,0)</f>
        <v>64.426840633737186</v>
      </c>
      <c r="P88" s="939">
        <f t="shared" ref="P88:P96" ca="1" si="51">IF(M88&gt;0,N88*100/M88,0)</f>
        <v>69.88122314885014</v>
      </c>
      <c r="Q88" s="818"/>
      <c r="R88" s="818"/>
      <c r="S88" s="818"/>
      <c r="T88" s="818"/>
      <c r="U88" s="818"/>
      <c r="V88" s="818"/>
      <c r="W88" s="818"/>
      <c r="X88" s="818"/>
      <c r="Y88" s="818"/>
      <c r="Z88" s="818"/>
    </row>
    <row r="89" spans="1:26" ht="18.75" hidden="1">
      <c r="A89" s="940"/>
      <c r="B89" s="833"/>
      <c r="C89" s="833"/>
      <c r="D89" s="833"/>
      <c r="E89" s="834" t="s">
        <v>18</v>
      </c>
      <c r="F89" s="833"/>
      <c r="G89" s="941"/>
      <c r="H89" s="158" t="s">
        <v>12</v>
      </c>
      <c r="I89" s="836"/>
      <c r="J89" s="836"/>
      <c r="K89" s="837"/>
      <c r="L89" s="837">
        <f t="shared" ref="L89:N90" si="52">L92+L95</f>
        <v>0</v>
      </c>
      <c r="M89" s="837">
        <f t="shared" si="52"/>
        <v>0</v>
      </c>
      <c r="N89" s="837">
        <f t="shared" si="52"/>
        <v>0</v>
      </c>
      <c r="O89" s="837">
        <f t="shared" si="50"/>
        <v>0</v>
      </c>
      <c r="P89" s="837">
        <f t="shared" si="51"/>
        <v>0</v>
      </c>
      <c r="Q89" s="825"/>
      <c r="R89" s="825"/>
      <c r="S89" s="825"/>
      <c r="T89" s="825"/>
      <c r="U89" s="825"/>
      <c r="V89" s="825"/>
      <c r="W89" s="825"/>
      <c r="X89" s="825"/>
      <c r="Y89" s="825"/>
      <c r="Z89" s="825"/>
    </row>
    <row r="90" spans="1:26" ht="18.75" hidden="1">
      <c r="A90" s="940"/>
      <c r="B90" s="833"/>
      <c r="C90" s="833"/>
      <c r="D90" s="833"/>
      <c r="E90" s="834" t="s">
        <v>19</v>
      </c>
      <c r="F90" s="833"/>
      <c r="G90" s="941"/>
      <c r="H90" s="158" t="s">
        <v>12</v>
      </c>
      <c r="I90" s="836"/>
      <c r="J90" s="836"/>
      <c r="K90" s="837"/>
      <c r="L90" s="837">
        <f t="shared" ca="1" si="52"/>
        <v>85840</v>
      </c>
      <c r="M90" s="837">
        <f t="shared" ca="1" si="52"/>
        <v>79140</v>
      </c>
      <c r="N90" s="837">
        <f t="shared" ca="1" si="52"/>
        <v>55304</v>
      </c>
      <c r="O90" s="837">
        <f t="shared" ca="1" si="50"/>
        <v>64.426840633737186</v>
      </c>
      <c r="P90" s="837">
        <f t="shared" ca="1" si="51"/>
        <v>69.88122314885014</v>
      </c>
      <c r="Q90" s="825"/>
      <c r="R90" s="825"/>
      <c r="S90" s="825"/>
      <c r="T90" s="825"/>
      <c r="U90" s="825"/>
      <c r="V90" s="825"/>
      <c r="W90" s="825"/>
      <c r="X90" s="825"/>
      <c r="Y90" s="825"/>
      <c r="Z90" s="825"/>
    </row>
    <row r="91" spans="1:26" ht="18.75">
      <c r="A91" s="942"/>
      <c r="B91" s="827"/>
      <c r="C91" s="943"/>
      <c r="D91" s="828" t="s">
        <v>20</v>
      </c>
      <c r="E91" s="827"/>
      <c r="F91" s="827"/>
      <c r="G91" s="829"/>
      <c r="H91" s="778" t="s">
        <v>12</v>
      </c>
      <c r="I91" s="944"/>
      <c r="J91" s="944"/>
      <c r="K91" s="945"/>
      <c r="L91" s="831">
        <f t="shared" ref="L91:N91" ca="1" si="53">L92+L93</f>
        <v>85840</v>
      </c>
      <c r="M91" s="831">
        <f t="shared" ca="1" si="53"/>
        <v>79140</v>
      </c>
      <c r="N91" s="831">
        <f t="shared" ca="1" si="53"/>
        <v>55304</v>
      </c>
      <c r="O91" s="831">
        <f t="shared" ca="1" si="50"/>
        <v>64.426840633737186</v>
      </c>
      <c r="P91" s="831">
        <f t="shared" ca="1" si="51"/>
        <v>69.88122314885014</v>
      </c>
      <c r="Q91" s="818"/>
      <c r="R91" s="818"/>
      <c r="S91" s="818"/>
      <c r="T91" s="818"/>
      <c r="U91" s="818"/>
      <c r="V91" s="818"/>
      <c r="W91" s="818"/>
      <c r="X91" s="818"/>
      <c r="Y91" s="818"/>
      <c r="Z91" s="818"/>
    </row>
    <row r="92" spans="1:26" ht="19.5" hidden="1">
      <c r="A92" s="940"/>
      <c r="B92" s="833"/>
      <c r="C92" s="946"/>
      <c r="D92" s="833"/>
      <c r="E92" s="834" t="s">
        <v>36</v>
      </c>
      <c r="F92" s="833"/>
      <c r="G92" s="941"/>
      <c r="H92" s="165" t="s">
        <v>12</v>
      </c>
      <c r="I92" s="947"/>
      <c r="J92" s="947"/>
      <c r="K92" s="948"/>
      <c r="L92" s="837">
        <v>0</v>
      </c>
      <c r="M92" s="837">
        <v>0</v>
      </c>
      <c r="N92" s="837">
        <v>0</v>
      </c>
      <c r="O92" s="837">
        <f t="shared" si="50"/>
        <v>0</v>
      </c>
      <c r="P92" s="837">
        <f t="shared" si="51"/>
        <v>0</v>
      </c>
      <c r="Q92" s="825"/>
      <c r="R92" s="825"/>
      <c r="S92" s="825"/>
      <c r="T92" s="825"/>
      <c r="U92" s="825"/>
      <c r="V92" s="825"/>
      <c r="W92" s="825"/>
      <c r="X92" s="825"/>
      <c r="Y92" s="825"/>
      <c r="Z92" s="825"/>
    </row>
    <row r="93" spans="1:26" ht="19.5" hidden="1">
      <c r="A93" s="940"/>
      <c r="B93" s="833"/>
      <c r="C93" s="946"/>
      <c r="D93" s="833"/>
      <c r="E93" s="834" t="s">
        <v>37</v>
      </c>
      <c r="F93" s="833"/>
      <c r="G93" s="941"/>
      <c r="H93" s="165" t="s">
        <v>12</v>
      </c>
      <c r="I93" s="947"/>
      <c r="J93" s="947"/>
      <c r="K93" s="948"/>
      <c r="L93" s="837">
        <f ca="1">IFERROR(__xludf.DUMMYFUNCTION("IMPORTRANGE(""https://docs.google.com/spreadsheets/d/1MeEWN-I1oV_STSDYn1IFDPWt_1FKiwhDph83XaGc0o0/edit?usp=sharing"",""งบพรบ!AQ21"")"),85840)</f>
        <v>85840</v>
      </c>
      <c r="M93" s="837">
        <f ca="1">IFERROR(__xludf.DUMMYFUNCTION("IMPORTRANGE(""https://docs.google.com/spreadsheets/d/1MeEWN-I1oV_STSDYn1IFDPWt_1FKiwhDph83XaGc0o0/edit?usp=sharing"",""งบพรบ!AV21"")"),79140)</f>
        <v>79140</v>
      </c>
      <c r="N93" s="837">
        <f ca="1">IFERROR(__xludf.DUMMYFUNCTION("IMPORTRANGE(""https://docs.google.com/spreadsheets/d/1MeEWN-I1oV_STSDYn1IFDPWt_1FKiwhDph83XaGc0o0/edit?usp=sharing"",""งบพรบ!AX21"")"),55304)</f>
        <v>55304</v>
      </c>
      <c r="O93" s="837">
        <f t="shared" ca="1" si="50"/>
        <v>64.426840633737186</v>
      </c>
      <c r="P93" s="837">
        <f t="shared" ca="1" si="51"/>
        <v>69.88122314885014</v>
      </c>
      <c r="Q93" s="825"/>
      <c r="R93" s="825"/>
      <c r="S93" s="825"/>
      <c r="T93" s="825"/>
      <c r="U93" s="825"/>
      <c r="V93" s="825"/>
      <c r="W93" s="825"/>
      <c r="X93" s="825"/>
      <c r="Y93" s="825"/>
      <c r="Z93" s="825"/>
    </row>
    <row r="94" spans="1:26" ht="18.75">
      <c r="A94" s="942"/>
      <c r="B94" s="827"/>
      <c r="C94" s="943"/>
      <c r="D94" s="828" t="s">
        <v>21</v>
      </c>
      <c r="E94" s="827"/>
      <c r="F94" s="827"/>
      <c r="G94" s="829"/>
      <c r="H94" s="168" t="s">
        <v>12</v>
      </c>
      <c r="I94" s="944"/>
      <c r="J94" s="944"/>
      <c r="K94" s="945"/>
      <c r="L94" s="831">
        <f t="shared" ref="L94:N94" ca="1" si="54">L95+L96</f>
        <v>0</v>
      </c>
      <c r="M94" s="831">
        <f t="shared" ca="1" si="54"/>
        <v>0</v>
      </c>
      <c r="N94" s="831">
        <f t="shared" ca="1" si="54"/>
        <v>0</v>
      </c>
      <c r="O94" s="831">
        <f t="shared" ca="1" si="50"/>
        <v>0</v>
      </c>
      <c r="P94" s="831">
        <f t="shared" ca="1" si="51"/>
        <v>0</v>
      </c>
      <c r="Q94" s="818"/>
      <c r="R94" s="818"/>
      <c r="S94" s="818"/>
      <c r="T94" s="818"/>
      <c r="U94" s="818"/>
      <c r="V94" s="818"/>
      <c r="W94" s="818"/>
      <c r="X94" s="818"/>
      <c r="Y94" s="818"/>
      <c r="Z94" s="818"/>
    </row>
    <row r="95" spans="1:26" ht="19.5" hidden="1">
      <c r="A95" s="940"/>
      <c r="B95" s="833"/>
      <c r="C95" s="946"/>
      <c r="D95" s="833"/>
      <c r="E95" s="834" t="s">
        <v>18</v>
      </c>
      <c r="F95" s="833"/>
      <c r="G95" s="941"/>
      <c r="H95" s="165" t="s">
        <v>12</v>
      </c>
      <c r="I95" s="947"/>
      <c r="J95" s="947"/>
      <c r="K95" s="948"/>
      <c r="L95" s="837">
        <v>0</v>
      </c>
      <c r="M95" s="837">
        <v>0</v>
      </c>
      <c r="N95" s="837">
        <v>0</v>
      </c>
      <c r="O95" s="837">
        <f t="shared" si="50"/>
        <v>0</v>
      </c>
      <c r="P95" s="837">
        <f t="shared" si="51"/>
        <v>0</v>
      </c>
      <c r="Q95" s="825"/>
      <c r="R95" s="825"/>
      <c r="S95" s="825"/>
      <c r="T95" s="825"/>
      <c r="U95" s="825"/>
      <c r="V95" s="825"/>
      <c r="W95" s="825"/>
      <c r="X95" s="825"/>
      <c r="Y95" s="825"/>
      <c r="Z95" s="825"/>
    </row>
    <row r="96" spans="1:26" ht="19.5" hidden="1">
      <c r="A96" s="940"/>
      <c r="B96" s="833"/>
      <c r="C96" s="946"/>
      <c r="D96" s="833"/>
      <c r="E96" s="834" t="s">
        <v>19</v>
      </c>
      <c r="F96" s="833"/>
      <c r="G96" s="941"/>
      <c r="H96" s="169" t="s">
        <v>12</v>
      </c>
      <c r="I96" s="947"/>
      <c r="J96" s="947"/>
      <c r="K96" s="948"/>
      <c r="L96" s="837">
        <f ca="1">IFERROR(__xludf.DUMMYFUNCTION("IMPORTRANGE(""https://docs.google.com/spreadsheets/d/1MeEWN-I1oV_STSDYn1IFDPWt_1FKiwhDph83XaGc0o0/edit?usp=sharing"",""งบพรบ!AT21"")"),0)</f>
        <v>0</v>
      </c>
      <c r="M96" s="837">
        <f ca="1">IFERROR(__xludf.DUMMYFUNCTION("IMPORTRANGE(""https://docs.google.com/spreadsheets/d/1MeEWN-I1oV_STSDYn1IFDPWt_1FKiwhDph83XaGc0o0/edit?usp=sharing"",""งบพรบ!AW21"")"),0)</f>
        <v>0</v>
      </c>
      <c r="N96" s="837">
        <f ca="1">IFERROR(__xludf.DUMMYFUNCTION("IMPORTRANGE(""https://docs.google.com/spreadsheets/d/1MeEWN-I1oV_STSDYn1IFDPWt_1FKiwhDph83XaGc0o0/edit?usp=sharing"",""งบพรบ!AY21"")"),0)</f>
        <v>0</v>
      </c>
      <c r="O96" s="837">
        <f t="shared" ca="1" si="50"/>
        <v>0</v>
      </c>
      <c r="P96" s="837">
        <f t="shared" ca="1" si="51"/>
        <v>0</v>
      </c>
      <c r="Q96" s="825"/>
      <c r="R96" s="825"/>
      <c r="S96" s="825"/>
      <c r="T96" s="825"/>
      <c r="U96" s="825"/>
      <c r="V96" s="825"/>
      <c r="W96" s="825"/>
      <c r="X96" s="825"/>
      <c r="Y96" s="825"/>
      <c r="Z96" s="825"/>
    </row>
    <row r="97" spans="1:16" ht="19.5">
      <c r="A97" s="949"/>
      <c r="B97" s="950"/>
      <c r="C97" s="946" t="s">
        <v>16</v>
      </c>
      <c r="D97" s="951" t="s">
        <v>38</v>
      </c>
      <c r="E97" s="952"/>
      <c r="F97" s="952"/>
      <c r="G97" s="953"/>
      <c r="H97" s="954"/>
      <c r="I97" s="944"/>
      <c r="J97" s="830"/>
      <c r="K97" s="831"/>
      <c r="L97" s="831"/>
      <c r="M97" s="831"/>
      <c r="N97" s="831"/>
      <c r="O97" s="945"/>
      <c r="P97" s="945"/>
    </row>
    <row r="98" spans="1:16" ht="18.75">
      <c r="A98" s="949"/>
      <c r="B98" s="950"/>
      <c r="C98" s="950"/>
      <c r="D98" s="956" t="s">
        <v>47</v>
      </c>
      <c r="E98" s="956"/>
      <c r="F98" s="957"/>
      <c r="G98" s="958"/>
      <c r="H98" s="590" t="s">
        <v>46</v>
      </c>
      <c r="I98" s="830">
        <f ca="1">IFERROR(__xludf.DUMMYFUNCTION("IMPORTRANGE(""https://docs.google.com/spreadsheets/d/1QqKyyYR6Q21VydFLVH3TRQUabQu_ym0Zz7PgGX0-kHA/edit?usp=sharing"",""แผน!K21"")"),30)</f>
        <v>30</v>
      </c>
      <c r="J98" s="830">
        <f>J102</f>
        <v>30</v>
      </c>
      <c r="K98" s="831">
        <f t="shared" ref="K98:K100" ca="1" si="55">IF(I98&gt;0,J98*100/I98,0)</f>
        <v>100</v>
      </c>
      <c r="L98" s="831"/>
      <c r="M98" s="831"/>
      <c r="N98" s="831"/>
      <c r="O98" s="945"/>
      <c r="P98" s="945"/>
    </row>
    <row r="99" spans="1:16" ht="18.75">
      <c r="A99" s="949"/>
      <c r="B99" s="950"/>
      <c r="C99" s="950"/>
      <c r="D99" s="956" t="s">
        <v>48</v>
      </c>
      <c r="E99" s="956"/>
      <c r="F99" s="957"/>
      <c r="G99" s="958"/>
      <c r="H99" s="590" t="s">
        <v>35</v>
      </c>
      <c r="I99" s="830">
        <f ca="1">IFERROR(__xludf.DUMMYFUNCTION("IMPORTRANGE(""https://docs.google.com/spreadsheets/d/1QqKyyYR6Q21VydFLVH3TRQUabQu_ym0Zz7PgGX0-kHA/edit?usp=sharing"",""แผน!L21"")"),10)</f>
        <v>10</v>
      </c>
      <c r="J99" s="830">
        <f>J104</f>
        <v>10</v>
      </c>
      <c r="K99" s="831">
        <f t="shared" ca="1" si="55"/>
        <v>100</v>
      </c>
      <c r="L99" s="831"/>
      <c r="M99" s="831"/>
      <c r="N99" s="831"/>
      <c r="O99" s="945"/>
      <c r="P99" s="945"/>
    </row>
    <row r="100" spans="1:16" ht="18.75">
      <c r="A100" s="949"/>
      <c r="B100" s="950"/>
      <c r="C100" s="950"/>
      <c r="D100" s="950"/>
      <c r="E100" s="957"/>
      <c r="F100" s="957"/>
      <c r="G100" s="958"/>
      <c r="H100" s="590" t="s">
        <v>49</v>
      </c>
      <c r="I100" s="830">
        <f ca="1">IFERROR(__xludf.DUMMYFUNCTION("IMPORTRANGE(""https://docs.google.com/spreadsheets/d/1QqKyyYR6Q21VydFLVH3TRQUabQu_ym0Zz7PgGX0-kHA/edit?usp=sharing"",""แผน!M21"")"),2)</f>
        <v>2</v>
      </c>
      <c r="J100" s="830">
        <f>J107+J110</f>
        <v>1</v>
      </c>
      <c r="K100" s="831">
        <f t="shared" ca="1" si="55"/>
        <v>50</v>
      </c>
      <c r="L100" s="831"/>
      <c r="M100" s="831"/>
      <c r="N100" s="831"/>
      <c r="O100" s="945"/>
      <c r="P100" s="945"/>
    </row>
    <row r="101" spans="1:16" ht="19.5">
      <c r="A101" s="949"/>
      <c r="B101" s="950"/>
      <c r="C101" s="950"/>
      <c r="D101" s="957"/>
      <c r="E101" s="960" t="s">
        <v>50</v>
      </c>
      <c r="F101" s="957"/>
      <c r="G101" s="958"/>
      <c r="H101" s="590"/>
      <c r="I101" s="830"/>
      <c r="J101" s="830"/>
      <c r="K101" s="831"/>
      <c r="L101" s="831"/>
      <c r="M101" s="831"/>
      <c r="N101" s="831"/>
      <c r="O101" s="945"/>
      <c r="P101" s="945"/>
    </row>
    <row r="102" spans="1:16" ht="18.75">
      <c r="A102" s="949"/>
      <c r="B102" s="950"/>
      <c r="C102" s="950"/>
      <c r="D102" s="957"/>
      <c r="E102" s="961" t="s">
        <v>47</v>
      </c>
      <c r="F102" s="957"/>
      <c r="G102" s="958"/>
      <c r="H102" s="590" t="s">
        <v>46</v>
      </c>
      <c r="I102" s="830">
        <f ca="1">IFERROR(__xludf.DUMMYFUNCTION("IMPORTRANGE(""https://docs.google.com/spreadsheets/d/1QqKyyYR6Q21VydFLVH3TRQUabQu_ym0Zz7PgGX0-kHA/edit?usp=sharing"",""แผน!N21"")"),30)</f>
        <v>30</v>
      </c>
      <c r="J102" s="959">
        <v>30</v>
      </c>
      <c r="K102" s="831">
        <f t="shared" ref="K102:K104" ca="1" si="56">IF(I102&gt;0,J102*100/I102,0)</f>
        <v>100</v>
      </c>
      <c r="L102" s="831"/>
      <c r="M102" s="831"/>
      <c r="N102" s="831"/>
      <c r="O102" s="945"/>
      <c r="P102" s="945"/>
    </row>
    <row r="103" spans="1:16" ht="19.5">
      <c r="A103" s="949"/>
      <c r="B103" s="950"/>
      <c r="C103" s="950"/>
      <c r="D103" s="957"/>
      <c r="E103" s="956" t="s">
        <v>51</v>
      </c>
      <c r="F103" s="957"/>
      <c r="G103" s="958"/>
      <c r="H103" s="590" t="s">
        <v>35</v>
      </c>
      <c r="I103" s="830">
        <f ca="1">IFERROR(__xludf.DUMMYFUNCTION("IMPORTRANGE(""https://docs.google.com/spreadsheets/d/1QqKyyYR6Q21VydFLVH3TRQUabQu_ym0Zz7PgGX0-kHA/edit?usp=sharing"",""แผน!O21"")"),10)</f>
        <v>10</v>
      </c>
      <c r="J103" s="959">
        <v>10</v>
      </c>
      <c r="K103" s="831">
        <f t="shared" ca="1" si="56"/>
        <v>100</v>
      </c>
      <c r="L103" s="831"/>
      <c r="M103" s="831"/>
      <c r="N103" s="831"/>
      <c r="O103" s="945"/>
      <c r="P103" s="945"/>
    </row>
    <row r="104" spans="1:16" ht="18.75">
      <c r="A104" s="949"/>
      <c r="B104" s="950"/>
      <c r="C104" s="950"/>
      <c r="D104" s="957"/>
      <c r="E104" s="962" t="s">
        <v>52</v>
      </c>
      <c r="F104" s="957"/>
      <c r="G104" s="958"/>
      <c r="H104" s="590" t="s">
        <v>35</v>
      </c>
      <c r="I104" s="830">
        <f ca="1">IFERROR(__xludf.DUMMYFUNCTION("IMPORTRANGE(""https://docs.google.com/spreadsheets/d/1QqKyyYR6Q21VydFLVH3TRQUabQu_ym0Zz7PgGX0-kHA/edit?usp=sharing"",""แผน!O21"")"),10)</f>
        <v>10</v>
      </c>
      <c r="J104" s="959">
        <v>10</v>
      </c>
      <c r="K104" s="831">
        <f t="shared" ca="1" si="56"/>
        <v>100</v>
      </c>
      <c r="L104" s="831"/>
      <c r="M104" s="831"/>
      <c r="N104" s="831"/>
      <c r="O104" s="945"/>
      <c r="P104" s="945"/>
    </row>
    <row r="105" spans="1:16" ht="19.5">
      <c r="A105" s="949"/>
      <c r="B105" s="950"/>
      <c r="C105" s="950"/>
      <c r="D105" s="957"/>
      <c r="E105" s="960" t="s">
        <v>53</v>
      </c>
      <c r="F105" s="957"/>
      <c r="G105" s="958"/>
      <c r="H105" s="963"/>
      <c r="I105" s="830"/>
      <c r="J105" s="830"/>
      <c r="K105" s="831"/>
      <c r="L105" s="831"/>
      <c r="M105" s="831"/>
      <c r="N105" s="831"/>
      <c r="O105" s="945"/>
      <c r="P105" s="945"/>
    </row>
    <row r="106" spans="1:16" ht="19.5">
      <c r="A106" s="949"/>
      <c r="B106" s="950"/>
      <c r="C106" s="950"/>
      <c r="D106" s="957"/>
      <c r="E106" s="956" t="s">
        <v>54</v>
      </c>
      <c r="F106" s="957"/>
      <c r="G106" s="958"/>
      <c r="H106" s="590" t="s">
        <v>49</v>
      </c>
      <c r="I106" s="830">
        <f ca="1">IFERROR(__xludf.DUMMYFUNCTION("IMPORTRANGE(""https://docs.google.com/spreadsheets/d/1QqKyyYR6Q21VydFLVH3TRQUabQu_ym0Zz7PgGX0-kHA/edit?usp=sharing"",""แผน!P21"")"),1)</f>
        <v>1</v>
      </c>
      <c r="J106" s="959">
        <v>1</v>
      </c>
      <c r="K106" s="831">
        <f t="shared" ref="K106:K107" ca="1" si="57">IF(I106&gt;0,J106*100/I106,0)</f>
        <v>100</v>
      </c>
      <c r="L106" s="831"/>
      <c r="M106" s="831"/>
      <c r="N106" s="831"/>
      <c r="O106" s="945"/>
      <c r="P106" s="945"/>
    </row>
    <row r="107" spans="1:16" ht="18.75">
      <c r="A107" s="949"/>
      <c r="B107" s="950"/>
      <c r="C107" s="950"/>
      <c r="D107" s="957"/>
      <c r="E107" s="962" t="s">
        <v>55</v>
      </c>
      <c r="F107" s="957"/>
      <c r="G107" s="958"/>
      <c r="H107" s="590" t="s">
        <v>49</v>
      </c>
      <c r="I107" s="830">
        <f ca="1">IFERROR(__xludf.DUMMYFUNCTION("IMPORTRANGE(""https://docs.google.com/spreadsheets/d/1QqKyyYR6Q21VydFLVH3TRQUabQu_ym0Zz7PgGX0-kHA/edit?usp=sharing"",""แผน!P21"")"),1)</f>
        <v>1</v>
      </c>
      <c r="J107" s="959">
        <v>1</v>
      </c>
      <c r="K107" s="831">
        <f t="shared" ca="1" si="57"/>
        <v>100</v>
      </c>
      <c r="L107" s="831"/>
      <c r="M107" s="831"/>
      <c r="N107" s="831"/>
      <c r="O107" s="945"/>
      <c r="P107" s="945"/>
    </row>
    <row r="108" spans="1:16" ht="19.5">
      <c r="A108" s="949"/>
      <c r="B108" s="950"/>
      <c r="C108" s="950"/>
      <c r="D108" s="957"/>
      <c r="E108" s="960" t="s">
        <v>56</v>
      </c>
      <c r="F108" s="957"/>
      <c r="G108" s="958"/>
      <c r="H108" s="963"/>
      <c r="I108" s="830"/>
      <c r="J108" s="830"/>
      <c r="K108" s="831"/>
      <c r="L108" s="831"/>
      <c r="M108" s="831"/>
      <c r="N108" s="831"/>
      <c r="O108" s="945"/>
      <c r="P108" s="945"/>
    </row>
    <row r="109" spans="1:16" ht="19.5">
      <c r="A109" s="949"/>
      <c r="B109" s="950"/>
      <c r="C109" s="950"/>
      <c r="D109" s="957"/>
      <c r="E109" s="956" t="s">
        <v>57</v>
      </c>
      <c r="F109" s="957"/>
      <c r="G109" s="958"/>
      <c r="H109" s="590" t="s">
        <v>49</v>
      </c>
      <c r="I109" s="830">
        <f ca="1">IFERROR(__xludf.DUMMYFUNCTION("IMPORTRANGE(""https://docs.google.com/spreadsheets/d/1QqKyyYR6Q21VydFLVH3TRQUabQu_ym0Zz7PgGX0-kHA/edit?usp=sharing"",""แผน!Q21"")"),1)</f>
        <v>1</v>
      </c>
      <c r="J109" s="959">
        <v>0</v>
      </c>
      <c r="K109" s="831">
        <f t="shared" ref="K109:K116" ca="1" si="58">IF(I109&gt;0,J109*100/I109,0)</f>
        <v>0</v>
      </c>
      <c r="L109" s="831"/>
      <c r="M109" s="831"/>
      <c r="N109" s="831"/>
      <c r="O109" s="945"/>
      <c r="P109" s="945"/>
    </row>
    <row r="110" spans="1:16" ht="18.75">
      <c r="A110" s="949"/>
      <c r="B110" s="950"/>
      <c r="C110" s="950"/>
      <c r="D110" s="957"/>
      <c r="E110" s="964" t="s">
        <v>58</v>
      </c>
      <c r="F110" s="957"/>
      <c r="G110" s="958"/>
      <c r="H110" s="590" t="s">
        <v>49</v>
      </c>
      <c r="I110" s="830">
        <f ca="1">IFERROR(__xludf.DUMMYFUNCTION("IMPORTRANGE(""https://docs.google.com/spreadsheets/d/1QqKyyYR6Q21VydFLVH3TRQUabQu_ym0Zz7PgGX0-kHA/edit?usp=sharing"",""แผน!Q21"")"),1)</f>
        <v>1</v>
      </c>
      <c r="J110" s="959">
        <v>0</v>
      </c>
      <c r="K110" s="831">
        <f t="shared" ca="1" si="58"/>
        <v>0</v>
      </c>
      <c r="L110" s="831"/>
      <c r="M110" s="831"/>
      <c r="N110" s="831"/>
      <c r="O110" s="945"/>
      <c r="P110" s="945"/>
    </row>
    <row r="111" spans="1:16" ht="19.5">
      <c r="A111" s="949"/>
      <c r="B111" s="950"/>
      <c r="C111" s="950"/>
      <c r="D111" s="960" t="s">
        <v>59</v>
      </c>
      <c r="E111" s="960"/>
      <c r="F111" s="957"/>
      <c r="G111" s="958"/>
      <c r="H111" s="733" t="s">
        <v>35</v>
      </c>
      <c r="I111" s="965">
        <f ca="1">IFERROR(__xludf.DUMMYFUNCTION("IMPORTRANGE(""https://docs.google.com/spreadsheets/d/1QqKyyYR6Q21VydFLVH3TRQUabQu_ym0Zz7PgGX0-kHA/edit?usp=sharing"",""แผน!R21"")"),10)</f>
        <v>10</v>
      </c>
      <c r="J111" s="966">
        <f>J114</f>
        <v>0</v>
      </c>
      <c r="K111" s="967">
        <f t="shared" ca="1" si="58"/>
        <v>0</v>
      </c>
      <c r="L111" s="831"/>
      <c r="M111" s="831"/>
      <c r="N111" s="831"/>
      <c r="O111" s="945"/>
      <c r="P111" s="945"/>
    </row>
    <row r="112" spans="1:16" ht="19.5">
      <c r="A112" s="949"/>
      <c r="B112" s="950"/>
      <c r="C112" s="950"/>
      <c r="D112" s="950"/>
      <c r="E112" s="957"/>
      <c r="F112" s="957"/>
      <c r="G112" s="958"/>
      <c r="H112" s="196" t="s">
        <v>49</v>
      </c>
      <c r="I112" s="965">
        <f t="shared" ref="I112:J112" ca="1" si="59">I115+I116</f>
        <v>2</v>
      </c>
      <c r="J112" s="966">
        <f t="shared" si="59"/>
        <v>0</v>
      </c>
      <c r="K112" s="967">
        <f t="shared" ca="1" si="58"/>
        <v>0</v>
      </c>
      <c r="L112" s="831"/>
      <c r="M112" s="831"/>
      <c r="N112" s="831"/>
      <c r="O112" s="945"/>
      <c r="P112" s="945"/>
    </row>
    <row r="113" spans="1:26" ht="19.5">
      <c r="A113" s="949"/>
      <c r="B113" s="950"/>
      <c r="C113" s="950"/>
      <c r="D113" s="950"/>
      <c r="E113" s="968" t="s">
        <v>60</v>
      </c>
      <c r="F113" s="957"/>
      <c r="G113" s="958"/>
      <c r="H113" s="198" t="s">
        <v>35</v>
      </c>
      <c r="I113" s="944">
        <f ca="1">IFERROR(__xludf.DUMMYFUNCTION("IMPORTRANGE(""https://docs.google.com/spreadsheets/d/1QqKyyYR6Q21VydFLVH3TRQUabQu_ym0Zz7PgGX0-kHA/edit?usp=sharing"",""แผน!R21"")"),10)</f>
        <v>10</v>
      </c>
      <c r="J113" s="959">
        <v>0</v>
      </c>
      <c r="K113" s="831">
        <f t="shared" ca="1" si="58"/>
        <v>0</v>
      </c>
      <c r="L113" s="831"/>
      <c r="M113" s="831"/>
      <c r="N113" s="831"/>
      <c r="O113" s="945"/>
      <c r="P113" s="945"/>
    </row>
    <row r="114" spans="1:26" ht="19.5">
      <c r="A114" s="949"/>
      <c r="B114" s="950"/>
      <c r="C114" s="950"/>
      <c r="D114" s="950"/>
      <c r="E114" s="956" t="s">
        <v>61</v>
      </c>
      <c r="F114" s="957"/>
      <c r="G114" s="958"/>
      <c r="H114" s="199" t="s">
        <v>35</v>
      </c>
      <c r="I114" s="944">
        <f ca="1">IFERROR(__xludf.DUMMYFUNCTION("IMPORTRANGE(""https://docs.google.com/spreadsheets/d/1QqKyyYR6Q21VydFLVH3TRQUabQu_ym0Zz7PgGX0-kHA/edit?usp=sharing"",""แผน!R21"")"),10)</f>
        <v>10</v>
      </c>
      <c r="J114" s="959">
        <v>0</v>
      </c>
      <c r="K114" s="831">
        <f t="shared" ca="1" si="58"/>
        <v>0</v>
      </c>
      <c r="L114" s="831"/>
      <c r="M114" s="831"/>
      <c r="N114" s="831"/>
      <c r="O114" s="945"/>
      <c r="P114" s="945"/>
    </row>
    <row r="115" spans="1:26" ht="18.75">
      <c r="A115" s="949"/>
      <c r="B115" s="950"/>
      <c r="C115" s="950"/>
      <c r="D115" s="950"/>
      <c r="E115" s="956" t="s">
        <v>62</v>
      </c>
      <c r="F115" s="957"/>
      <c r="G115" s="958"/>
      <c r="H115" s="199" t="s">
        <v>49</v>
      </c>
      <c r="I115" s="944">
        <f ca="1">IFERROR(__xludf.DUMMYFUNCTION("IMPORTRANGE(""https://docs.google.com/spreadsheets/d/1QqKyyYR6Q21VydFLVH3TRQUabQu_ym0Zz7PgGX0-kHA/edit?usp=sharing"",""แผน!S21"")"),1)</f>
        <v>1</v>
      </c>
      <c r="J115" s="959">
        <v>0</v>
      </c>
      <c r="K115" s="831">
        <f t="shared" ca="1" si="58"/>
        <v>0</v>
      </c>
      <c r="L115" s="831"/>
      <c r="M115" s="831"/>
      <c r="N115" s="831"/>
      <c r="O115" s="945"/>
      <c r="P115" s="945"/>
    </row>
    <row r="116" spans="1:26" ht="18.75">
      <c r="A116" s="949"/>
      <c r="B116" s="950"/>
      <c r="C116" s="950"/>
      <c r="D116" s="950"/>
      <c r="E116" s="956" t="s">
        <v>63</v>
      </c>
      <c r="F116" s="957"/>
      <c r="G116" s="958"/>
      <c r="H116" s="199" t="s">
        <v>49</v>
      </c>
      <c r="I116" s="944">
        <f ca="1">IFERROR(__xludf.DUMMYFUNCTION("IMPORTRANGE(""https://docs.google.com/spreadsheets/d/1QqKyyYR6Q21VydFLVH3TRQUabQu_ym0Zz7PgGX0-kHA/edit?usp=sharing"",""แผน!T21"")"),1)</f>
        <v>1</v>
      </c>
      <c r="J116" s="959">
        <v>0</v>
      </c>
      <c r="K116" s="831">
        <f t="shared" ca="1" si="58"/>
        <v>0</v>
      </c>
      <c r="L116" s="831"/>
      <c r="M116" s="831"/>
      <c r="N116" s="831"/>
      <c r="O116" s="945"/>
      <c r="P116" s="945"/>
    </row>
    <row r="117" spans="1:26" ht="19.5" hidden="1">
      <c r="A117" s="917" t="s">
        <v>64</v>
      </c>
      <c r="B117" s="918"/>
      <c r="C117" s="969"/>
      <c r="D117" s="918"/>
      <c r="E117" s="918"/>
      <c r="F117" s="918"/>
      <c r="G117" s="918"/>
      <c r="H117" s="970"/>
      <c r="I117" s="971"/>
      <c r="J117" s="971"/>
      <c r="K117" s="972"/>
      <c r="L117" s="923"/>
      <c r="M117" s="923"/>
      <c r="N117" s="923"/>
      <c r="O117" s="923"/>
      <c r="P117" s="923"/>
    </row>
    <row r="118" spans="1:26" ht="19.5" hidden="1">
      <c r="A118" s="924"/>
      <c r="B118" s="925" t="s">
        <v>65</v>
      </c>
      <c r="C118" s="973"/>
      <c r="D118" s="927"/>
      <c r="E118" s="926"/>
      <c r="F118" s="926"/>
      <c r="G118" s="928"/>
      <c r="H118" s="205"/>
      <c r="I118" s="974"/>
      <c r="J118" s="974"/>
      <c r="K118" s="931"/>
      <c r="L118" s="931"/>
      <c r="M118" s="931"/>
      <c r="N118" s="931"/>
      <c r="O118" s="931"/>
      <c r="P118" s="931"/>
    </row>
    <row r="119" spans="1:26" ht="19.5" hidden="1">
      <c r="A119" s="932"/>
      <c r="B119" s="933"/>
      <c r="C119" s="934" t="s">
        <v>16</v>
      </c>
      <c r="D119" s="935" t="s">
        <v>17</v>
      </c>
      <c r="E119" s="933"/>
      <c r="F119" s="933"/>
      <c r="G119" s="936"/>
      <c r="H119" s="152" t="s">
        <v>12</v>
      </c>
      <c r="I119" s="937"/>
      <c r="J119" s="937"/>
      <c r="K119" s="938"/>
      <c r="L119" s="939">
        <f t="shared" ref="L119:N119" ca="1" si="60">L120+L121</f>
        <v>0</v>
      </c>
      <c r="M119" s="939">
        <f t="shared" ca="1" si="60"/>
        <v>0</v>
      </c>
      <c r="N119" s="939">
        <f t="shared" ca="1" si="60"/>
        <v>0</v>
      </c>
      <c r="O119" s="939">
        <f t="shared" ref="O119:O127" ca="1" si="61">IF(L119&gt;0,N119*100/L119,0)</f>
        <v>0</v>
      </c>
      <c r="P119" s="939">
        <f t="shared" ref="P119:P127" ca="1" si="62">IF(M119&gt;0,N119*100/M119,0)</f>
        <v>0</v>
      </c>
      <c r="Q119" s="818"/>
      <c r="R119" s="818"/>
      <c r="S119" s="818"/>
      <c r="T119" s="818"/>
      <c r="U119" s="818"/>
      <c r="V119" s="818"/>
      <c r="W119" s="818"/>
      <c r="X119" s="818"/>
      <c r="Y119" s="818"/>
      <c r="Z119" s="818"/>
    </row>
    <row r="120" spans="1:26" ht="18.75" hidden="1">
      <c r="A120" s="940"/>
      <c r="B120" s="833"/>
      <c r="C120" s="833"/>
      <c r="D120" s="833"/>
      <c r="E120" s="834" t="s">
        <v>18</v>
      </c>
      <c r="F120" s="833"/>
      <c r="G120" s="941"/>
      <c r="H120" s="158" t="s">
        <v>12</v>
      </c>
      <c r="I120" s="836"/>
      <c r="J120" s="836"/>
      <c r="K120" s="837"/>
      <c r="L120" s="837">
        <f t="shared" ref="L120:N121" si="63">L123+L126</f>
        <v>0</v>
      </c>
      <c r="M120" s="837">
        <f t="shared" si="63"/>
        <v>0</v>
      </c>
      <c r="N120" s="837">
        <f t="shared" si="63"/>
        <v>0</v>
      </c>
      <c r="O120" s="837">
        <f t="shared" si="61"/>
        <v>0</v>
      </c>
      <c r="P120" s="837">
        <f t="shared" si="62"/>
        <v>0</v>
      </c>
      <c r="Q120" s="825"/>
      <c r="R120" s="825"/>
      <c r="S120" s="825"/>
      <c r="T120" s="825"/>
      <c r="U120" s="825"/>
      <c r="V120" s="825"/>
      <c r="W120" s="825"/>
      <c r="X120" s="825"/>
      <c r="Y120" s="825"/>
      <c r="Z120" s="825"/>
    </row>
    <row r="121" spans="1:26" ht="18.75" hidden="1">
      <c r="A121" s="940"/>
      <c r="B121" s="833"/>
      <c r="C121" s="833"/>
      <c r="D121" s="833"/>
      <c r="E121" s="834" t="s">
        <v>19</v>
      </c>
      <c r="F121" s="833"/>
      <c r="G121" s="941"/>
      <c r="H121" s="158" t="s">
        <v>12</v>
      </c>
      <c r="I121" s="836"/>
      <c r="J121" s="836"/>
      <c r="K121" s="837"/>
      <c r="L121" s="837">
        <f t="shared" ca="1" si="63"/>
        <v>0</v>
      </c>
      <c r="M121" s="837">
        <f t="shared" ca="1" si="63"/>
        <v>0</v>
      </c>
      <c r="N121" s="837">
        <f t="shared" ca="1" si="63"/>
        <v>0</v>
      </c>
      <c r="O121" s="837">
        <f t="shared" ca="1" si="61"/>
        <v>0</v>
      </c>
      <c r="P121" s="837">
        <f t="shared" ca="1" si="62"/>
        <v>0</v>
      </c>
      <c r="Q121" s="825"/>
      <c r="R121" s="825"/>
      <c r="S121" s="825"/>
      <c r="T121" s="825"/>
      <c r="U121" s="825"/>
      <c r="V121" s="825"/>
      <c r="W121" s="825"/>
      <c r="X121" s="825"/>
      <c r="Y121" s="825"/>
      <c r="Z121" s="825"/>
    </row>
    <row r="122" spans="1:26" ht="18.75" hidden="1">
      <c r="A122" s="942"/>
      <c r="B122" s="827"/>
      <c r="C122" s="943"/>
      <c r="D122" s="828" t="s">
        <v>20</v>
      </c>
      <c r="E122" s="827"/>
      <c r="F122" s="827"/>
      <c r="G122" s="829"/>
      <c r="H122" s="778" t="s">
        <v>12</v>
      </c>
      <c r="I122" s="944"/>
      <c r="J122" s="944"/>
      <c r="K122" s="945"/>
      <c r="L122" s="831">
        <f t="shared" ref="L122:N122" ca="1" si="64">L123+L124</f>
        <v>0</v>
      </c>
      <c r="M122" s="831">
        <f t="shared" ca="1" si="64"/>
        <v>0</v>
      </c>
      <c r="N122" s="831">
        <f t="shared" ca="1" si="64"/>
        <v>0</v>
      </c>
      <c r="O122" s="831">
        <f t="shared" ca="1" si="61"/>
        <v>0</v>
      </c>
      <c r="P122" s="831">
        <f t="shared" ca="1" si="62"/>
        <v>0</v>
      </c>
      <c r="Q122" s="818"/>
      <c r="R122" s="818"/>
      <c r="S122" s="818"/>
      <c r="T122" s="818"/>
      <c r="U122" s="818"/>
      <c r="V122" s="818"/>
      <c r="W122" s="818"/>
      <c r="X122" s="818"/>
      <c r="Y122" s="818"/>
      <c r="Z122" s="818"/>
    </row>
    <row r="123" spans="1:26" ht="18.75" hidden="1">
      <c r="A123" s="940"/>
      <c r="B123" s="833"/>
      <c r="C123" s="834"/>
      <c r="D123" s="833"/>
      <c r="E123" s="834" t="s">
        <v>36</v>
      </c>
      <c r="F123" s="833"/>
      <c r="G123" s="941"/>
      <c r="H123" s="165" t="s">
        <v>12</v>
      </c>
      <c r="I123" s="947"/>
      <c r="J123" s="947"/>
      <c r="K123" s="948"/>
      <c r="L123" s="837">
        <v>0</v>
      </c>
      <c r="M123" s="837">
        <v>0</v>
      </c>
      <c r="N123" s="837">
        <v>0</v>
      </c>
      <c r="O123" s="837">
        <f t="shared" si="61"/>
        <v>0</v>
      </c>
      <c r="P123" s="837">
        <f t="shared" si="62"/>
        <v>0</v>
      </c>
      <c r="Q123" s="825"/>
      <c r="R123" s="825"/>
      <c r="S123" s="825"/>
      <c r="T123" s="825"/>
      <c r="U123" s="825"/>
      <c r="V123" s="825"/>
      <c r="W123" s="825"/>
      <c r="X123" s="825"/>
      <c r="Y123" s="825"/>
      <c r="Z123" s="825"/>
    </row>
    <row r="124" spans="1:26" ht="18.75" hidden="1">
      <c r="A124" s="940"/>
      <c r="B124" s="833"/>
      <c r="C124" s="834"/>
      <c r="D124" s="833"/>
      <c r="E124" s="834" t="s">
        <v>37</v>
      </c>
      <c r="F124" s="833"/>
      <c r="G124" s="941"/>
      <c r="H124" s="165" t="s">
        <v>12</v>
      </c>
      <c r="I124" s="947"/>
      <c r="J124" s="947"/>
      <c r="K124" s="948"/>
      <c r="L124" s="837">
        <f ca="1">IFERROR(__xludf.DUMMYFUNCTION("IMPORTRANGE(""https://docs.google.com/spreadsheets/d/1MeEWN-I1oV_STSDYn1IFDPWt_1FKiwhDph83XaGc0o0/edit?usp=sharing"",""งบพรบ!BA21"")"),0)</f>
        <v>0</v>
      </c>
      <c r="M124" s="837">
        <f ca="1">IFERROR(__xludf.DUMMYFUNCTION("IMPORTRANGE(""https://docs.google.com/spreadsheets/d/1MeEWN-I1oV_STSDYn1IFDPWt_1FKiwhDph83XaGc0o0/edit?usp=sharing"",""งบพรบ!BF21"")"),0)</f>
        <v>0</v>
      </c>
      <c r="N124" s="837">
        <f ca="1">IFERROR(__xludf.DUMMYFUNCTION("IMPORTRANGE(""https://docs.google.com/spreadsheets/d/1MeEWN-I1oV_STSDYn1IFDPWt_1FKiwhDph83XaGc0o0/edit?usp=sharing"",""งบพรบ!BH21"")"),0)</f>
        <v>0</v>
      </c>
      <c r="O124" s="837">
        <f t="shared" ca="1" si="61"/>
        <v>0</v>
      </c>
      <c r="P124" s="837">
        <f t="shared" ca="1" si="62"/>
        <v>0</v>
      </c>
      <c r="Q124" s="825"/>
      <c r="R124" s="825"/>
      <c r="S124" s="825"/>
      <c r="T124" s="825"/>
      <c r="U124" s="825"/>
      <c r="V124" s="825"/>
      <c r="W124" s="825"/>
      <c r="X124" s="825"/>
      <c r="Y124" s="825"/>
      <c r="Z124" s="825"/>
    </row>
    <row r="125" spans="1:26" ht="18.75" hidden="1">
      <c r="A125" s="942"/>
      <c r="B125" s="827"/>
      <c r="C125" s="943"/>
      <c r="D125" s="828" t="s">
        <v>21</v>
      </c>
      <c r="E125" s="827"/>
      <c r="F125" s="827"/>
      <c r="G125" s="829"/>
      <c r="H125" s="168" t="s">
        <v>12</v>
      </c>
      <c r="I125" s="944"/>
      <c r="J125" s="944"/>
      <c r="K125" s="945"/>
      <c r="L125" s="831">
        <f t="shared" ref="L125:N125" ca="1" si="65">L126+L127</f>
        <v>0</v>
      </c>
      <c r="M125" s="831">
        <f t="shared" ca="1" si="65"/>
        <v>0</v>
      </c>
      <c r="N125" s="831">
        <f t="shared" ca="1" si="65"/>
        <v>0</v>
      </c>
      <c r="O125" s="831">
        <f t="shared" ca="1" si="61"/>
        <v>0</v>
      </c>
      <c r="P125" s="831">
        <f t="shared" ca="1" si="62"/>
        <v>0</v>
      </c>
      <c r="Q125" s="818"/>
      <c r="R125" s="818"/>
      <c r="S125" s="818"/>
      <c r="T125" s="818"/>
      <c r="U125" s="818"/>
      <c r="V125" s="818"/>
      <c r="W125" s="818"/>
      <c r="X125" s="818"/>
      <c r="Y125" s="818"/>
      <c r="Z125" s="818"/>
    </row>
    <row r="126" spans="1:26" ht="19.5" hidden="1">
      <c r="A126" s="940"/>
      <c r="B126" s="833"/>
      <c r="C126" s="946"/>
      <c r="D126" s="833"/>
      <c r="E126" s="834" t="s">
        <v>18</v>
      </c>
      <c r="F126" s="833"/>
      <c r="G126" s="941"/>
      <c r="H126" s="165" t="s">
        <v>12</v>
      </c>
      <c r="I126" s="947"/>
      <c r="J126" s="947"/>
      <c r="K126" s="948"/>
      <c r="L126" s="837">
        <v>0</v>
      </c>
      <c r="M126" s="837">
        <v>0</v>
      </c>
      <c r="N126" s="837">
        <v>0</v>
      </c>
      <c r="O126" s="837">
        <f t="shared" si="61"/>
        <v>0</v>
      </c>
      <c r="P126" s="837">
        <f t="shared" si="62"/>
        <v>0</v>
      </c>
      <c r="Q126" s="825"/>
      <c r="R126" s="825"/>
      <c r="S126" s="825"/>
      <c r="T126" s="825"/>
      <c r="U126" s="825"/>
      <c r="V126" s="825"/>
      <c r="W126" s="825"/>
      <c r="X126" s="825"/>
      <c r="Y126" s="825"/>
      <c r="Z126" s="825"/>
    </row>
    <row r="127" spans="1:26" ht="19.5" hidden="1">
      <c r="A127" s="940"/>
      <c r="B127" s="833"/>
      <c r="C127" s="946"/>
      <c r="D127" s="833"/>
      <c r="E127" s="834" t="s">
        <v>19</v>
      </c>
      <c r="F127" s="833"/>
      <c r="G127" s="941"/>
      <c r="H127" s="169" t="s">
        <v>12</v>
      </c>
      <c r="I127" s="947"/>
      <c r="J127" s="947"/>
      <c r="K127" s="948"/>
      <c r="L127" s="837">
        <f ca="1">IFERROR(__xludf.DUMMYFUNCTION("IMPORTRANGE(""https://docs.google.com/spreadsheets/d/1MeEWN-I1oV_STSDYn1IFDPWt_1FKiwhDph83XaGc0o0/edit?usp=sharing"",""งบพรบ!BD21"")"),0)</f>
        <v>0</v>
      </c>
      <c r="M127" s="837">
        <f ca="1">IFERROR(__xludf.DUMMYFUNCTION("IMPORTRANGE(""https://docs.google.com/spreadsheets/d/1MeEWN-I1oV_STSDYn1IFDPWt_1FKiwhDph83XaGc0o0/edit?usp=sharing"",""งบพรบ!BG21"")"),0)</f>
        <v>0</v>
      </c>
      <c r="N127" s="837">
        <f ca="1">IFERROR(__xludf.DUMMYFUNCTION("IMPORTRANGE(""https://docs.google.com/spreadsheets/d/1MeEWN-I1oV_STSDYn1IFDPWt_1FKiwhDph83XaGc0o0/edit?usp=sharing"",""งบพรบ!BI21"")"),0)</f>
        <v>0</v>
      </c>
      <c r="O127" s="837">
        <f t="shared" ca="1" si="61"/>
        <v>0</v>
      </c>
      <c r="P127" s="837">
        <f t="shared" ca="1" si="62"/>
        <v>0</v>
      </c>
      <c r="Q127" s="825"/>
      <c r="R127" s="825"/>
      <c r="S127" s="825"/>
      <c r="T127" s="825"/>
      <c r="U127" s="825"/>
      <c r="V127" s="825"/>
      <c r="W127" s="825"/>
      <c r="X127" s="825"/>
      <c r="Y127" s="825"/>
      <c r="Z127" s="825"/>
    </row>
    <row r="128" spans="1:26" ht="19.5" hidden="1">
      <c r="A128" s="917" t="s">
        <v>67</v>
      </c>
      <c r="B128" s="918"/>
      <c r="C128" s="969"/>
      <c r="D128" s="918"/>
      <c r="E128" s="918"/>
      <c r="F128" s="918"/>
      <c r="G128" s="918"/>
      <c r="H128" s="970"/>
      <c r="I128" s="971"/>
      <c r="J128" s="971"/>
      <c r="K128" s="972"/>
      <c r="L128" s="923"/>
      <c r="M128" s="923"/>
      <c r="N128" s="923"/>
      <c r="O128" s="923"/>
      <c r="P128" s="923"/>
    </row>
    <row r="129" spans="1:26" ht="19.5" hidden="1">
      <c r="A129" s="924"/>
      <c r="B129" s="925" t="s">
        <v>68</v>
      </c>
      <c r="C129" s="973"/>
      <c r="D129" s="927"/>
      <c r="E129" s="926"/>
      <c r="F129" s="926"/>
      <c r="G129" s="926"/>
      <c r="H129" s="207"/>
      <c r="I129" s="974"/>
      <c r="J129" s="974"/>
      <c r="K129" s="931"/>
      <c r="L129" s="931"/>
      <c r="M129" s="931"/>
      <c r="N129" s="931"/>
      <c r="O129" s="931"/>
      <c r="P129" s="931"/>
    </row>
    <row r="130" spans="1:26" ht="19.5" hidden="1">
      <c r="A130" s="924"/>
      <c r="B130" s="925"/>
      <c r="C130" s="975" t="s">
        <v>69</v>
      </c>
      <c r="D130" s="927"/>
      <c r="E130" s="926"/>
      <c r="F130" s="926"/>
      <c r="G130" s="928"/>
      <c r="H130" s="205" t="s">
        <v>66</v>
      </c>
      <c r="I130" s="929">
        <f t="shared" ref="I130:J130" ca="1" si="66">I146</f>
        <v>0</v>
      </c>
      <c r="J130" s="929">
        <f t="shared" si="66"/>
        <v>0</v>
      </c>
      <c r="K130" s="930">
        <f t="shared" ref="K130:K131" ca="1" si="67">IF(I130&gt;0,J130*100/I130,0)</f>
        <v>0</v>
      </c>
      <c r="L130" s="931"/>
      <c r="M130" s="931"/>
      <c r="N130" s="931"/>
      <c r="O130" s="931"/>
      <c r="P130" s="931"/>
    </row>
    <row r="131" spans="1:26" ht="19.5" hidden="1">
      <c r="A131" s="924"/>
      <c r="B131" s="925"/>
      <c r="C131" s="975" t="s">
        <v>70</v>
      </c>
      <c r="D131" s="927"/>
      <c r="E131" s="926"/>
      <c r="F131" s="926"/>
      <c r="G131" s="928"/>
      <c r="H131" s="205" t="s">
        <v>35</v>
      </c>
      <c r="I131" s="929">
        <f t="shared" ref="I131:J131" ca="1" si="68">I143</f>
        <v>0</v>
      </c>
      <c r="J131" s="929">
        <f t="shared" ca="1" si="68"/>
        <v>0</v>
      </c>
      <c r="K131" s="930">
        <f t="shared" ca="1" si="67"/>
        <v>0</v>
      </c>
      <c r="L131" s="931"/>
      <c r="M131" s="931"/>
      <c r="N131" s="931"/>
      <c r="O131" s="931"/>
      <c r="P131" s="931"/>
    </row>
    <row r="132" spans="1:26" ht="19.5" hidden="1">
      <c r="A132" s="932"/>
      <c r="B132" s="933"/>
      <c r="C132" s="934" t="s">
        <v>16</v>
      </c>
      <c r="D132" s="935" t="s">
        <v>17</v>
      </c>
      <c r="E132" s="933"/>
      <c r="F132" s="933"/>
      <c r="G132" s="936"/>
      <c r="H132" s="152" t="s">
        <v>12</v>
      </c>
      <c r="I132" s="937"/>
      <c r="J132" s="937"/>
      <c r="K132" s="938"/>
      <c r="L132" s="939">
        <f t="shared" ref="L132:N132" ca="1" si="69">L133+L134</f>
        <v>0</v>
      </c>
      <c r="M132" s="939">
        <f t="shared" ca="1" si="69"/>
        <v>0</v>
      </c>
      <c r="N132" s="939">
        <f t="shared" ca="1" si="69"/>
        <v>0</v>
      </c>
      <c r="O132" s="939">
        <f t="shared" ref="O132:O140" ca="1" si="70">IF(L132&gt;0,N132*100/L132,0)</f>
        <v>0</v>
      </c>
      <c r="P132" s="939">
        <f t="shared" ref="P132:P140" ca="1" si="71">IF(M132&gt;0,N132*100/M132,0)</f>
        <v>0</v>
      </c>
      <c r="Q132" s="818"/>
      <c r="R132" s="818"/>
      <c r="S132" s="818"/>
      <c r="T132" s="818"/>
      <c r="U132" s="818"/>
      <c r="V132" s="818"/>
      <c r="W132" s="818"/>
      <c r="X132" s="818"/>
      <c r="Y132" s="818"/>
      <c r="Z132" s="818"/>
    </row>
    <row r="133" spans="1:26" ht="18.75" hidden="1">
      <c r="A133" s="940"/>
      <c r="B133" s="833"/>
      <c r="C133" s="833"/>
      <c r="D133" s="833"/>
      <c r="E133" s="834" t="s">
        <v>18</v>
      </c>
      <c r="F133" s="833"/>
      <c r="G133" s="941"/>
      <c r="H133" s="158" t="s">
        <v>12</v>
      </c>
      <c r="I133" s="836"/>
      <c r="J133" s="836"/>
      <c r="K133" s="837"/>
      <c r="L133" s="837">
        <f t="shared" ref="L133:N134" si="72">L136+L139</f>
        <v>0</v>
      </c>
      <c r="M133" s="837">
        <f t="shared" si="72"/>
        <v>0</v>
      </c>
      <c r="N133" s="837">
        <f t="shared" si="72"/>
        <v>0</v>
      </c>
      <c r="O133" s="837">
        <f t="shared" si="70"/>
        <v>0</v>
      </c>
      <c r="P133" s="837">
        <f t="shared" si="71"/>
        <v>0</v>
      </c>
      <c r="Q133" s="825"/>
      <c r="R133" s="825"/>
      <c r="S133" s="825"/>
      <c r="T133" s="825"/>
      <c r="U133" s="825"/>
      <c r="V133" s="825"/>
      <c r="W133" s="825"/>
      <c r="X133" s="825"/>
      <c r="Y133" s="825"/>
      <c r="Z133" s="825"/>
    </row>
    <row r="134" spans="1:26" ht="18.75" hidden="1">
      <c r="A134" s="940"/>
      <c r="B134" s="833"/>
      <c r="C134" s="833"/>
      <c r="D134" s="833"/>
      <c r="E134" s="834" t="s">
        <v>19</v>
      </c>
      <c r="F134" s="833"/>
      <c r="G134" s="941"/>
      <c r="H134" s="158" t="s">
        <v>12</v>
      </c>
      <c r="I134" s="836"/>
      <c r="J134" s="836"/>
      <c r="K134" s="837"/>
      <c r="L134" s="837">
        <f t="shared" ca="1" si="72"/>
        <v>0</v>
      </c>
      <c r="M134" s="837">
        <f t="shared" ca="1" si="72"/>
        <v>0</v>
      </c>
      <c r="N134" s="837">
        <f t="shared" ca="1" si="72"/>
        <v>0</v>
      </c>
      <c r="O134" s="837">
        <f t="shared" ca="1" si="70"/>
        <v>0</v>
      </c>
      <c r="P134" s="837">
        <f t="shared" ca="1" si="71"/>
        <v>0</v>
      </c>
      <c r="Q134" s="825"/>
      <c r="R134" s="825"/>
      <c r="S134" s="825"/>
      <c r="T134" s="825"/>
      <c r="U134" s="825"/>
      <c r="V134" s="825"/>
      <c r="W134" s="825"/>
      <c r="X134" s="825"/>
      <c r="Y134" s="825"/>
      <c r="Z134" s="825"/>
    </row>
    <row r="135" spans="1:26" ht="18.75" hidden="1">
      <c r="A135" s="942"/>
      <c r="B135" s="827"/>
      <c r="C135" s="943"/>
      <c r="D135" s="828" t="s">
        <v>20</v>
      </c>
      <c r="E135" s="827"/>
      <c r="F135" s="827"/>
      <c r="G135" s="829"/>
      <c r="H135" s="778" t="s">
        <v>12</v>
      </c>
      <c r="I135" s="944"/>
      <c r="J135" s="944"/>
      <c r="K135" s="945"/>
      <c r="L135" s="831">
        <f t="shared" ref="L135:N135" ca="1" si="73">L136+L137</f>
        <v>0</v>
      </c>
      <c r="M135" s="831">
        <f t="shared" ca="1" si="73"/>
        <v>0</v>
      </c>
      <c r="N135" s="831">
        <f t="shared" ca="1" si="73"/>
        <v>0</v>
      </c>
      <c r="O135" s="831">
        <f t="shared" ca="1" si="70"/>
        <v>0</v>
      </c>
      <c r="P135" s="831">
        <f t="shared" ca="1" si="71"/>
        <v>0</v>
      </c>
      <c r="Q135" s="818"/>
      <c r="R135" s="818"/>
      <c r="S135" s="818"/>
      <c r="T135" s="818"/>
      <c r="U135" s="818"/>
      <c r="V135" s="818"/>
      <c r="W135" s="818"/>
      <c r="X135" s="818"/>
      <c r="Y135" s="818"/>
      <c r="Z135" s="818"/>
    </row>
    <row r="136" spans="1:26" ht="19.5" hidden="1">
      <c r="A136" s="940"/>
      <c r="B136" s="833"/>
      <c r="C136" s="946"/>
      <c r="D136" s="833"/>
      <c r="E136" s="834" t="s">
        <v>36</v>
      </c>
      <c r="F136" s="833"/>
      <c r="G136" s="941"/>
      <c r="H136" s="165" t="s">
        <v>12</v>
      </c>
      <c r="I136" s="947"/>
      <c r="J136" s="947"/>
      <c r="K136" s="948"/>
      <c r="L136" s="837">
        <v>0</v>
      </c>
      <c r="M136" s="837">
        <v>0</v>
      </c>
      <c r="N136" s="837">
        <v>0</v>
      </c>
      <c r="O136" s="837">
        <f t="shared" si="70"/>
        <v>0</v>
      </c>
      <c r="P136" s="837">
        <f t="shared" si="71"/>
        <v>0</v>
      </c>
      <c r="Q136" s="825"/>
      <c r="R136" s="825"/>
      <c r="S136" s="825"/>
      <c r="T136" s="825"/>
      <c r="U136" s="825"/>
      <c r="V136" s="825"/>
      <c r="W136" s="825"/>
      <c r="X136" s="825"/>
      <c r="Y136" s="825"/>
      <c r="Z136" s="825"/>
    </row>
    <row r="137" spans="1:26" ht="19.5" hidden="1">
      <c r="A137" s="940"/>
      <c r="B137" s="833"/>
      <c r="C137" s="946"/>
      <c r="D137" s="833"/>
      <c r="E137" s="834" t="s">
        <v>37</v>
      </c>
      <c r="F137" s="833"/>
      <c r="G137" s="941"/>
      <c r="H137" s="165" t="s">
        <v>12</v>
      </c>
      <c r="I137" s="947"/>
      <c r="J137" s="947"/>
      <c r="K137" s="948"/>
      <c r="L137" s="837">
        <f ca="1">IFERROR(__xludf.DUMMYFUNCTION("IMPORTRANGE(""https://docs.google.com/spreadsheets/d/1MeEWN-I1oV_STSDYn1IFDPWt_1FKiwhDph83XaGc0o0/edit?usp=sharing"",""งบพรบ!BK21"")"),0)</f>
        <v>0</v>
      </c>
      <c r="M137" s="837">
        <f ca="1">IFERROR(__xludf.DUMMYFUNCTION("IMPORTRANGE(""https://docs.google.com/spreadsheets/d/1MeEWN-I1oV_STSDYn1IFDPWt_1FKiwhDph83XaGc0o0/edit?usp=sharing"",""งบพรบ!BP21"")"),0)</f>
        <v>0</v>
      </c>
      <c r="N137" s="837">
        <f ca="1">IFERROR(__xludf.DUMMYFUNCTION("IMPORTRANGE(""https://docs.google.com/spreadsheets/d/1MeEWN-I1oV_STSDYn1IFDPWt_1FKiwhDph83XaGc0o0/edit?usp=sharing"",""งบพรบ!BR21"")"),0)</f>
        <v>0</v>
      </c>
      <c r="O137" s="837">
        <f t="shared" ca="1" si="70"/>
        <v>0</v>
      </c>
      <c r="P137" s="837">
        <f t="shared" ca="1" si="71"/>
        <v>0</v>
      </c>
      <c r="Q137" s="825"/>
      <c r="R137" s="825"/>
      <c r="S137" s="825"/>
      <c r="T137" s="825"/>
      <c r="U137" s="825"/>
      <c r="V137" s="825"/>
      <c r="W137" s="825"/>
      <c r="X137" s="825"/>
      <c r="Y137" s="825"/>
      <c r="Z137" s="825"/>
    </row>
    <row r="138" spans="1:26" ht="18.75" hidden="1">
      <c r="A138" s="942"/>
      <c r="B138" s="827"/>
      <c r="C138" s="943"/>
      <c r="D138" s="828" t="s">
        <v>21</v>
      </c>
      <c r="E138" s="827"/>
      <c r="F138" s="827"/>
      <c r="G138" s="829"/>
      <c r="H138" s="168" t="s">
        <v>12</v>
      </c>
      <c r="I138" s="944"/>
      <c r="J138" s="944"/>
      <c r="K138" s="945"/>
      <c r="L138" s="831">
        <f t="shared" ref="L138:N138" ca="1" si="74">L139+L140</f>
        <v>0</v>
      </c>
      <c r="M138" s="831">
        <f t="shared" ca="1" si="74"/>
        <v>0</v>
      </c>
      <c r="N138" s="831">
        <f t="shared" ca="1" si="74"/>
        <v>0</v>
      </c>
      <c r="O138" s="831">
        <f t="shared" ca="1" si="70"/>
        <v>0</v>
      </c>
      <c r="P138" s="831">
        <f t="shared" ca="1" si="71"/>
        <v>0</v>
      </c>
      <c r="Q138" s="818"/>
      <c r="R138" s="818"/>
      <c r="S138" s="818"/>
      <c r="T138" s="818"/>
      <c r="U138" s="818"/>
      <c r="V138" s="818"/>
      <c r="W138" s="818"/>
      <c r="X138" s="818"/>
      <c r="Y138" s="818"/>
      <c r="Z138" s="818"/>
    </row>
    <row r="139" spans="1:26" ht="19.5" hidden="1">
      <c r="A139" s="940"/>
      <c r="B139" s="833"/>
      <c r="C139" s="946"/>
      <c r="D139" s="833"/>
      <c r="E139" s="834" t="s">
        <v>18</v>
      </c>
      <c r="F139" s="833"/>
      <c r="G139" s="941"/>
      <c r="H139" s="165" t="s">
        <v>12</v>
      </c>
      <c r="I139" s="947"/>
      <c r="J139" s="947"/>
      <c r="K139" s="948"/>
      <c r="L139" s="837">
        <v>0</v>
      </c>
      <c r="M139" s="837">
        <v>0</v>
      </c>
      <c r="N139" s="837">
        <v>0</v>
      </c>
      <c r="O139" s="837">
        <f t="shared" si="70"/>
        <v>0</v>
      </c>
      <c r="P139" s="837">
        <f t="shared" si="71"/>
        <v>0</v>
      </c>
      <c r="Q139" s="825"/>
      <c r="R139" s="825"/>
      <c r="S139" s="825"/>
      <c r="T139" s="825"/>
      <c r="U139" s="825"/>
      <c r="V139" s="825"/>
      <c r="W139" s="825"/>
      <c r="X139" s="825"/>
      <c r="Y139" s="825"/>
      <c r="Z139" s="825"/>
    </row>
    <row r="140" spans="1:26" ht="19.5" hidden="1">
      <c r="A140" s="940"/>
      <c r="B140" s="833"/>
      <c r="C140" s="946"/>
      <c r="D140" s="833"/>
      <c r="E140" s="834" t="s">
        <v>19</v>
      </c>
      <c r="F140" s="833"/>
      <c r="G140" s="941"/>
      <c r="H140" s="169" t="s">
        <v>12</v>
      </c>
      <c r="I140" s="947"/>
      <c r="J140" s="947"/>
      <c r="K140" s="948"/>
      <c r="L140" s="837">
        <f ca="1">IFERROR(__xludf.DUMMYFUNCTION("IMPORTRANGE(""https://docs.google.com/spreadsheets/d/1MeEWN-I1oV_STSDYn1IFDPWt_1FKiwhDph83XaGc0o0/edit?usp=sharing"",""งบพรบ!BN21"")"),0)</f>
        <v>0</v>
      </c>
      <c r="M140" s="837">
        <f ca="1">IFERROR(__xludf.DUMMYFUNCTION("IMPORTRANGE(""https://docs.google.com/spreadsheets/d/1MeEWN-I1oV_STSDYn1IFDPWt_1FKiwhDph83XaGc0o0/edit?usp=sharing"",""งบพรบ!BQ21"")"),0)</f>
        <v>0</v>
      </c>
      <c r="N140" s="837">
        <f ca="1">IFERROR(__xludf.DUMMYFUNCTION("IMPORTRANGE(""https://docs.google.com/spreadsheets/d/1MeEWN-I1oV_STSDYn1IFDPWt_1FKiwhDph83XaGc0o0/edit?usp=sharing"",""งบพรบ!BS21"")"),0)</f>
        <v>0</v>
      </c>
      <c r="O140" s="837">
        <f t="shared" ca="1" si="70"/>
        <v>0</v>
      </c>
      <c r="P140" s="837">
        <f t="shared" ca="1" si="71"/>
        <v>0</v>
      </c>
      <c r="Q140" s="825"/>
      <c r="R140" s="825"/>
      <c r="S140" s="825"/>
      <c r="T140" s="825"/>
      <c r="U140" s="825"/>
      <c r="V140" s="825"/>
      <c r="W140" s="825"/>
      <c r="X140" s="825"/>
      <c r="Y140" s="825"/>
      <c r="Z140" s="825"/>
    </row>
    <row r="141" spans="1:26" ht="19.5" hidden="1">
      <c r="A141" s="949"/>
      <c r="B141" s="950"/>
      <c r="C141" s="934" t="s">
        <v>16</v>
      </c>
      <c r="D141" s="951" t="s">
        <v>38</v>
      </c>
      <c r="E141" s="952"/>
      <c r="F141" s="952"/>
      <c r="G141" s="953"/>
      <c r="H141" s="168"/>
      <c r="I141" s="830"/>
      <c r="J141" s="830"/>
      <c r="K141" s="831"/>
      <c r="L141" s="831"/>
      <c r="M141" s="831"/>
      <c r="N141" s="831"/>
      <c r="O141" s="831"/>
      <c r="P141" s="831"/>
    </row>
    <row r="142" spans="1:26" ht="19.5" hidden="1">
      <c r="A142" s="942"/>
      <c r="B142" s="827"/>
      <c r="C142" s="976"/>
      <c r="D142" s="943" t="s">
        <v>71</v>
      </c>
      <c r="E142" s="828"/>
      <c r="F142" s="827"/>
      <c r="G142" s="977"/>
      <c r="H142" s="168"/>
      <c r="I142" s="830"/>
      <c r="J142" s="959">
        <v>0</v>
      </c>
      <c r="K142" s="831"/>
      <c r="L142" s="831"/>
      <c r="M142" s="831"/>
      <c r="N142" s="831"/>
      <c r="O142" s="831"/>
      <c r="P142" s="831"/>
    </row>
    <row r="143" spans="1:26" ht="19.5" hidden="1">
      <c r="A143" s="942"/>
      <c r="B143" s="827"/>
      <c r="C143" s="976"/>
      <c r="D143" s="943" t="s">
        <v>72</v>
      </c>
      <c r="E143" s="828"/>
      <c r="F143" s="827"/>
      <c r="G143" s="977"/>
      <c r="H143" s="168" t="s">
        <v>35</v>
      </c>
      <c r="I143" s="830">
        <f ca="1">I145</f>
        <v>0</v>
      </c>
      <c r="J143" s="830">
        <f ca="1">IF(AND(J144&gt;=I144,J145&gt;=I145),J145,0)</f>
        <v>0</v>
      </c>
      <c r="K143" s="831">
        <f t="shared" ref="K143:K146" ca="1" si="75">IF(I143&gt;0,J143*100/I143,0)</f>
        <v>0</v>
      </c>
      <c r="L143" s="831"/>
      <c r="M143" s="831"/>
      <c r="N143" s="831"/>
      <c r="O143" s="831"/>
      <c r="P143" s="831"/>
    </row>
    <row r="144" spans="1:26" ht="19.5" hidden="1">
      <c r="A144" s="942"/>
      <c r="B144" s="827"/>
      <c r="C144" s="976"/>
      <c r="D144" s="957"/>
      <c r="E144" s="943" t="s">
        <v>73</v>
      </c>
      <c r="F144" s="827"/>
      <c r="G144" s="977"/>
      <c r="H144" s="168" t="s">
        <v>35</v>
      </c>
      <c r="I144" s="830">
        <f ca="1">IFERROR(__xludf.DUMMYFUNCTION("IMPORTRANGE(""https://docs.google.com/spreadsheets/d/1QqKyyYR6Q21VydFLVH3TRQUabQu_ym0Zz7PgGX0-kHA/edit?usp=sharing"",""แผน!U21"")"),0)</f>
        <v>0</v>
      </c>
      <c r="J144" s="959">
        <v>0</v>
      </c>
      <c r="K144" s="831">
        <f t="shared" ca="1" si="75"/>
        <v>0</v>
      </c>
      <c r="L144" s="831"/>
      <c r="M144" s="831"/>
      <c r="N144" s="831"/>
      <c r="O144" s="831"/>
      <c r="P144" s="831"/>
    </row>
    <row r="145" spans="1:26" ht="19.5" hidden="1">
      <c r="A145" s="942"/>
      <c r="B145" s="827"/>
      <c r="C145" s="976"/>
      <c r="D145" s="957"/>
      <c r="E145" s="943" t="s">
        <v>74</v>
      </c>
      <c r="F145" s="827"/>
      <c r="G145" s="977"/>
      <c r="H145" s="168" t="s">
        <v>35</v>
      </c>
      <c r="I145" s="830">
        <f ca="1">IFERROR(__xludf.DUMMYFUNCTION("IMPORTRANGE(""https://docs.google.com/spreadsheets/d/1QqKyyYR6Q21VydFLVH3TRQUabQu_ym0Zz7PgGX0-kHA/edit?usp=sharing"",""แผน!V21"")"),0)</f>
        <v>0</v>
      </c>
      <c r="J145" s="959">
        <v>0</v>
      </c>
      <c r="K145" s="831">
        <f t="shared" ca="1" si="75"/>
        <v>0</v>
      </c>
      <c r="L145" s="831"/>
      <c r="M145" s="831"/>
      <c r="N145" s="831"/>
      <c r="O145" s="831"/>
      <c r="P145" s="831"/>
    </row>
    <row r="146" spans="1:26" ht="19.5" hidden="1">
      <c r="A146" s="942"/>
      <c r="B146" s="827"/>
      <c r="C146" s="976"/>
      <c r="D146" s="943" t="s">
        <v>75</v>
      </c>
      <c r="E146" s="828"/>
      <c r="F146" s="827"/>
      <c r="G146" s="977"/>
      <c r="H146" s="168" t="s">
        <v>66</v>
      </c>
      <c r="I146" s="830">
        <f ca="1">IFERROR(__xludf.DUMMYFUNCTION("IMPORTRANGE(""https://docs.google.com/spreadsheets/d/1QqKyyYR6Q21VydFLVH3TRQUabQu_ym0Zz7PgGX0-kHA/edit?usp=sharing"",""แผน!W21"")"),0)</f>
        <v>0</v>
      </c>
      <c r="J146" s="959">
        <v>0</v>
      </c>
      <c r="K146" s="831">
        <f t="shared" ca="1" si="75"/>
        <v>0</v>
      </c>
      <c r="L146" s="831"/>
      <c r="M146" s="831"/>
      <c r="N146" s="831"/>
      <c r="O146" s="831"/>
      <c r="P146" s="831"/>
    </row>
    <row r="147" spans="1:26" ht="19.5" hidden="1">
      <c r="A147" s="917" t="s">
        <v>76</v>
      </c>
      <c r="B147" s="918"/>
      <c r="C147" s="969"/>
      <c r="D147" s="918"/>
      <c r="E147" s="918"/>
      <c r="F147" s="918"/>
      <c r="G147" s="918"/>
      <c r="H147" s="970"/>
      <c r="I147" s="971"/>
      <c r="J147" s="971"/>
      <c r="K147" s="972"/>
      <c r="L147" s="923"/>
      <c r="M147" s="923"/>
      <c r="N147" s="923"/>
      <c r="O147" s="923"/>
      <c r="P147" s="923"/>
    </row>
    <row r="148" spans="1:26" ht="19.5" hidden="1">
      <c r="A148" s="978"/>
      <c r="B148" s="925" t="s">
        <v>77</v>
      </c>
      <c r="C148" s="925"/>
      <c r="D148" s="925"/>
      <c r="E148" s="979"/>
      <c r="F148" s="980"/>
      <c r="G148" s="981"/>
      <c r="H148" s="221" t="s">
        <v>35</v>
      </c>
      <c r="I148" s="929">
        <f t="shared" ref="I148:J148" ca="1" si="76">I159</f>
        <v>0</v>
      </c>
      <c r="J148" s="929">
        <f t="shared" si="76"/>
        <v>0</v>
      </c>
      <c r="K148" s="930">
        <f ca="1">IF(I148&gt;0,J148*100/I148,0)</f>
        <v>0</v>
      </c>
      <c r="L148" s="930"/>
      <c r="M148" s="930"/>
      <c r="N148" s="930"/>
      <c r="O148" s="930"/>
      <c r="P148" s="930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32"/>
      <c r="B149" s="933"/>
      <c r="C149" s="934" t="s">
        <v>16</v>
      </c>
      <c r="D149" s="935" t="s">
        <v>17</v>
      </c>
      <c r="E149" s="933"/>
      <c r="F149" s="933"/>
      <c r="G149" s="936"/>
      <c r="H149" s="152" t="s">
        <v>12</v>
      </c>
      <c r="I149" s="937"/>
      <c r="J149" s="937"/>
      <c r="K149" s="938"/>
      <c r="L149" s="939">
        <f t="shared" ref="L149:N149" ca="1" si="77">L150+L151</f>
        <v>0</v>
      </c>
      <c r="M149" s="939">
        <f t="shared" ca="1" si="77"/>
        <v>1600</v>
      </c>
      <c r="N149" s="939">
        <f t="shared" ca="1" si="77"/>
        <v>1600</v>
      </c>
      <c r="O149" s="939">
        <f t="shared" ref="O149:O157" ca="1" si="78">IF(L149&gt;0,N149*100/L149,0)</f>
        <v>0</v>
      </c>
      <c r="P149" s="939">
        <f t="shared" ref="P149:P157" ca="1" si="79">IF(M149&gt;0,N149*100/M149,0)</f>
        <v>100</v>
      </c>
      <c r="Q149" s="818"/>
      <c r="R149" s="818"/>
      <c r="S149" s="818"/>
      <c r="T149" s="818"/>
      <c r="U149" s="818"/>
      <c r="V149" s="818"/>
      <c r="W149" s="818"/>
      <c r="X149" s="818"/>
      <c r="Y149" s="818"/>
      <c r="Z149" s="818"/>
    </row>
    <row r="150" spans="1:26" ht="18.75" hidden="1">
      <c r="A150" s="940"/>
      <c r="B150" s="833"/>
      <c r="C150" s="833"/>
      <c r="D150" s="833"/>
      <c r="E150" s="834" t="s">
        <v>18</v>
      </c>
      <c r="F150" s="833"/>
      <c r="G150" s="941"/>
      <c r="H150" s="158" t="s">
        <v>12</v>
      </c>
      <c r="I150" s="836"/>
      <c r="J150" s="836"/>
      <c r="K150" s="837"/>
      <c r="L150" s="837">
        <f t="shared" ref="L150:N151" si="80">L153+L156</f>
        <v>0</v>
      </c>
      <c r="M150" s="837">
        <f t="shared" si="80"/>
        <v>0</v>
      </c>
      <c r="N150" s="837">
        <f t="shared" si="80"/>
        <v>0</v>
      </c>
      <c r="O150" s="837">
        <f t="shared" si="78"/>
        <v>0</v>
      </c>
      <c r="P150" s="837">
        <f t="shared" si="79"/>
        <v>0</v>
      </c>
      <c r="Q150" s="825"/>
      <c r="R150" s="825"/>
      <c r="S150" s="825"/>
      <c r="T150" s="825"/>
      <c r="U150" s="825"/>
      <c r="V150" s="825"/>
      <c r="W150" s="825"/>
      <c r="X150" s="825"/>
      <c r="Y150" s="825"/>
      <c r="Z150" s="825"/>
    </row>
    <row r="151" spans="1:26" ht="18.75" hidden="1">
      <c r="A151" s="940"/>
      <c r="B151" s="833"/>
      <c r="C151" s="833"/>
      <c r="D151" s="833"/>
      <c r="E151" s="834" t="s">
        <v>19</v>
      </c>
      <c r="F151" s="833"/>
      <c r="G151" s="941"/>
      <c r="H151" s="158" t="s">
        <v>12</v>
      </c>
      <c r="I151" s="836"/>
      <c r="J151" s="836"/>
      <c r="K151" s="837"/>
      <c r="L151" s="837">
        <f t="shared" ca="1" si="80"/>
        <v>0</v>
      </c>
      <c r="M151" s="837">
        <f t="shared" ca="1" si="80"/>
        <v>1600</v>
      </c>
      <c r="N151" s="837">
        <f t="shared" ca="1" si="80"/>
        <v>1600</v>
      </c>
      <c r="O151" s="837">
        <f t="shared" ca="1" si="78"/>
        <v>0</v>
      </c>
      <c r="P151" s="837">
        <f t="shared" ca="1" si="79"/>
        <v>100</v>
      </c>
      <c r="Q151" s="825"/>
      <c r="R151" s="825"/>
      <c r="S151" s="825"/>
      <c r="T151" s="825"/>
      <c r="U151" s="825"/>
      <c r="V151" s="825"/>
      <c r="W151" s="825"/>
      <c r="X151" s="825"/>
      <c r="Y151" s="825"/>
      <c r="Z151" s="825"/>
    </row>
    <row r="152" spans="1:26" ht="18.75" hidden="1">
      <c r="A152" s="942"/>
      <c r="B152" s="827"/>
      <c r="C152" s="943"/>
      <c r="D152" s="828" t="s">
        <v>20</v>
      </c>
      <c r="E152" s="827"/>
      <c r="F152" s="827"/>
      <c r="G152" s="829"/>
      <c r="H152" s="778" t="s">
        <v>12</v>
      </c>
      <c r="I152" s="944"/>
      <c r="J152" s="944"/>
      <c r="K152" s="945"/>
      <c r="L152" s="831">
        <f t="shared" ref="L152:N152" ca="1" si="81">L153+L154</f>
        <v>0</v>
      </c>
      <c r="M152" s="831">
        <f t="shared" ca="1" si="81"/>
        <v>1600</v>
      </c>
      <c r="N152" s="831">
        <f t="shared" ca="1" si="81"/>
        <v>1600</v>
      </c>
      <c r="O152" s="831">
        <f t="shared" ca="1" si="78"/>
        <v>0</v>
      </c>
      <c r="P152" s="831">
        <f t="shared" ca="1" si="79"/>
        <v>100</v>
      </c>
      <c r="Q152" s="818"/>
      <c r="R152" s="818"/>
      <c r="S152" s="818"/>
      <c r="T152" s="818"/>
      <c r="U152" s="818"/>
      <c r="V152" s="818"/>
      <c r="W152" s="818"/>
      <c r="X152" s="818"/>
      <c r="Y152" s="818"/>
      <c r="Z152" s="818"/>
    </row>
    <row r="153" spans="1:26" ht="19.5" hidden="1">
      <c r="A153" s="940"/>
      <c r="B153" s="833"/>
      <c r="C153" s="946"/>
      <c r="D153" s="833"/>
      <c r="E153" s="834" t="s">
        <v>36</v>
      </c>
      <c r="F153" s="833"/>
      <c r="G153" s="941"/>
      <c r="H153" s="165" t="s">
        <v>12</v>
      </c>
      <c r="I153" s="947"/>
      <c r="J153" s="947"/>
      <c r="K153" s="948"/>
      <c r="L153" s="837">
        <v>0</v>
      </c>
      <c r="M153" s="837">
        <v>0</v>
      </c>
      <c r="N153" s="837">
        <v>0</v>
      </c>
      <c r="O153" s="837">
        <f t="shared" si="78"/>
        <v>0</v>
      </c>
      <c r="P153" s="837">
        <f t="shared" si="79"/>
        <v>0</v>
      </c>
      <c r="Q153" s="825"/>
      <c r="R153" s="825"/>
      <c r="S153" s="825"/>
      <c r="T153" s="825"/>
      <c r="U153" s="825"/>
      <c r="V153" s="825"/>
      <c r="W153" s="825"/>
      <c r="X153" s="825"/>
      <c r="Y153" s="825"/>
      <c r="Z153" s="825"/>
    </row>
    <row r="154" spans="1:26" ht="19.5" hidden="1">
      <c r="A154" s="940"/>
      <c r="B154" s="833"/>
      <c r="C154" s="946"/>
      <c r="D154" s="833"/>
      <c r="E154" s="834" t="s">
        <v>37</v>
      </c>
      <c r="F154" s="833"/>
      <c r="G154" s="941"/>
      <c r="H154" s="165" t="s">
        <v>12</v>
      </c>
      <c r="I154" s="947"/>
      <c r="J154" s="947"/>
      <c r="K154" s="948"/>
      <c r="L154" s="837">
        <f ca="1">IFERROR(__xludf.DUMMYFUNCTION("IMPORTRANGE(""https://docs.google.com/spreadsheets/d/1MeEWN-I1oV_STSDYn1IFDPWt_1FKiwhDph83XaGc0o0/edit?usp=sharing"",""งบพรบ!BU21"")"),0)</f>
        <v>0</v>
      </c>
      <c r="M154" s="837">
        <f ca="1">IFERROR(__xludf.DUMMYFUNCTION("IMPORTRANGE(""https://docs.google.com/spreadsheets/d/1MeEWN-I1oV_STSDYn1IFDPWt_1FKiwhDph83XaGc0o0/edit?usp=sharing"",""งบพรบ!BZ21"")"),1600)</f>
        <v>1600</v>
      </c>
      <c r="N154" s="837">
        <f ca="1">IFERROR(__xludf.DUMMYFUNCTION("IMPORTRANGE(""https://docs.google.com/spreadsheets/d/1MeEWN-I1oV_STSDYn1IFDPWt_1FKiwhDph83XaGc0o0/edit?usp=sharing"",""งบพรบ!CB21"")"),1600)</f>
        <v>1600</v>
      </c>
      <c r="O154" s="837">
        <f t="shared" ca="1" si="78"/>
        <v>0</v>
      </c>
      <c r="P154" s="837">
        <f t="shared" ca="1" si="79"/>
        <v>100</v>
      </c>
      <c r="Q154" s="825"/>
      <c r="R154" s="825"/>
      <c r="S154" s="825"/>
      <c r="T154" s="825"/>
      <c r="U154" s="825"/>
      <c r="V154" s="825"/>
      <c r="W154" s="825"/>
      <c r="X154" s="825"/>
      <c r="Y154" s="825"/>
      <c r="Z154" s="825"/>
    </row>
    <row r="155" spans="1:26" ht="18.75" hidden="1">
      <c r="A155" s="942"/>
      <c r="B155" s="827"/>
      <c r="C155" s="943"/>
      <c r="D155" s="828" t="s">
        <v>21</v>
      </c>
      <c r="E155" s="827"/>
      <c r="F155" s="827"/>
      <c r="G155" s="829"/>
      <c r="H155" s="168" t="s">
        <v>12</v>
      </c>
      <c r="I155" s="944"/>
      <c r="J155" s="944"/>
      <c r="K155" s="945"/>
      <c r="L155" s="831">
        <f t="shared" ref="L155:N155" ca="1" si="82">L156+L157</f>
        <v>0</v>
      </c>
      <c r="M155" s="831">
        <f t="shared" ca="1" si="82"/>
        <v>0</v>
      </c>
      <c r="N155" s="831">
        <f t="shared" ca="1" si="82"/>
        <v>0</v>
      </c>
      <c r="O155" s="831">
        <f t="shared" ca="1" si="78"/>
        <v>0</v>
      </c>
      <c r="P155" s="831">
        <f t="shared" ca="1" si="79"/>
        <v>0</v>
      </c>
      <c r="Q155" s="818"/>
      <c r="R155" s="818"/>
      <c r="S155" s="818"/>
      <c r="T155" s="818"/>
      <c r="U155" s="818"/>
      <c r="V155" s="818"/>
      <c r="W155" s="818"/>
      <c r="X155" s="818"/>
      <c r="Y155" s="818"/>
      <c r="Z155" s="818"/>
    </row>
    <row r="156" spans="1:26" ht="19.5" hidden="1">
      <c r="A156" s="940"/>
      <c r="B156" s="833"/>
      <c r="C156" s="946"/>
      <c r="D156" s="833"/>
      <c r="E156" s="834" t="s">
        <v>18</v>
      </c>
      <c r="F156" s="833"/>
      <c r="G156" s="941"/>
      <c r="H156" s="165" t="s">
        <v>12</v>
      </c>
      <c r="I156" s="947"/>
      <c r="J156" s="947"/>
      <c r="K156" s="948"/>
      <c r="L156" s="837">
        <v>0</v>
      </c>
      <c r="M156" s="837">
        <v>0</v>
      </c>
      <c r="N156" s="837">
        <v>0</v>
      </c>
      <c r="O156" s="837">
        <f t="shared" si="78"/>
        <v>0</v>
      </c>
      <c r="P156" s="837">
        <f t="shared" si="79"/>
        <v>0</v>
      </c>
      <c r="Q156" s="825"/>
      <c r="R156" s="825"/>
      <c r="S156" s="825"/>
      <c r="T156" s="825"/>
      <c r="U156" s="825"/>
      <c r="V156" s="825"/>
      <c r="W156" s="825"/>
      <c r="X156" s="825"/>
      <c r="Y156" s="825"/>
      <c r="Z156" s="825"/>
    </row>
    <row r="157" spans="1:26" ht="19.5" hidden="1">
      <c r="A157" s="940"/>
      <c r="B157" s="833"/>
      <c r="C157" s="946"/>
      <c r="D157" s="833"/>
      <c r="E157" s="834" t="s">
        <v>19</v>
      </c>
      <c r="F157" s="833"/>
      <c r="G157" s="941"/>
      <c r="H157" s="169" t="s">
        <v>12</v>
      </c>
      <c r="I157" s="947"/>
      <c r="J157" s="947"/>
      <c r="K157" s="948"/>
      <c r="L157" s="837">
        <f ca="1">IFERROR(__xludf.DUMMYFUNCTION("IMPORTRANGE(""https://docs.google.com/spreadsheets/d/1MeEWN-I1oV_STSDYn1IFDPWt_1FKiwhDph83XaGc0o0/edit?usp=sharing"",""งบพรบ!BX21"")"),0)</f>
        <v>0</v>
      </c>
      <c r="M157" s="837">
        <f ca="1">IFERROR(__xludf.DUMMYFUNCTION("IMPORTRANGE(""https://docs.google.com/spreadsheets/d/1MeEWN-I1oV_STSDYn1IFDPWt_1FKiwhDph83XaGc0o0/edit?usp=sharing"",""งบพรบ!CA21"")"),0)</f>
        <v>0</v>
      </c>
      <c r="N157" s="837">
        <f ca="1">IFERROR(__xludf.DUMMYFUNCTION("IMPORTRANGE(""https://docs.google.com/spreadsheets/d/1MeEWN-I1oV_STSDYn1IFDPWt_1FKiwhDph83XaGc0o0/edit?usp=sharing"",""งบพรบ!CC21"")"),0)</f>
        <v>0</v>
      </c>
      <c r="O157" s="837">
        <f t="shared" ca="1" si="78"/>
        <v>0</v>
      </c>
      <c r="P157" s="837">
        <f t="shared" ca="1" si="79"/>
        <v>0</v>
      </c>
      <c r="Q157" s="825"/>
      <c r="R157" s="825"/>
      <c r="S157" s="825"/>
      <c r="T157" s="825"/>
      <c r="U157" s="825"/>
      <c r="V157" s="825"/>
      <c r="W157" s="825"/>
      <c r="X157" s="825"/>
      <c r="Y157" s="825"/>
      <c r="Z157" s="825"/>
    </row>
    <row r="158" spans="1:26" ht="19.5" hidden="1">
      <c r="A158" s="949"/>
      <c r="B158" s="950"/>
      <c r="C158" s="946" t="s">
        <v>16</v>
      </c>
      <c r="D158" s="951" t="s">
        <v>38</v>
      </c>
      <c r="E158" s="952"/>
      <c r="F158" s="952"/>
      <c r="G158" s="953"/>
      <c r="H158" s="168"/>
      <c r="I158" s="830"/>
      <c r="J158" s="830"/>
      <c r="K158" s="831"/>
      <c r="L158" s="831"/>
      <c r="M158" s="831"/>
      <c r="N158" s="831"/>
      <c r="O158" s="831"/>
      <c r="P158" s="831"/>
    </row>
    <row r="159" spans="1:26" ht="19.5" hidden="1">
      <c r="A159" s="942"/>
      <c r="B159" s="827"/>
      <c r="C159" s="976"/>
      <c r="D159" s="943" t="s">
        <v>78</v>
      </c>
      <c r="E159" s="828"/>
      <c r="F159" s="827"/>
      <c r="G159" s="977"/>
      <c r="H159" s="168" t="s">
        <v>35</v>
      </c>
      <c r="I159" s="830">
        <f ca="1">IFERROR(__xludf.DUMMYFUNCTION("IMPORTRANGE(""https://docs.google.com/spreadsheets/d/1QqKyyYR6Q21VydFLVH3TRQUabQu_ym0Zz7PgGX0-kHA/edit?usp=sharing"",""แผน!X21"")"),0)</f>
        <v>0</v>
      </c>
      <c r="J159" s="959">
        <v>0</v>
      </c>
      <c r="K159" s="831">
        <f ca="1">IF(I159&gt;0,J159*100/I159,0)</f>
        <v>0</v>
      </c>
      <c r="L159" s="831"/>
      <c r="M159" s="831"/>
      <c r="N159" s="831"/>
      <c r="O159" s="831"/>
      <c r="P159" s="831"/>
    </row>
    <row r="160" spans="1:26" ht="19.5" hidden="1">
      <c r="A160" s="940"/>
      <c r="B160" s="833"/>
      <c r="C160" s="946"/>
      <c r="D160" s="834" t="s">
        <v>79</v>
      </c>
      <c r="E160" s="982"/>
      <c r="F160" s="833"/>
      <c r="G160" s="941"/>
      <c r="H160" s="169" t="s">
        <v>35</v>
      </c>
      <c r="I160" s="836"/>
      <c r="J160" s="836"/>
      <c r="K160" s="837"/>
      <c r="L160" s="837"/>
      <c r="M160" s="837"/>
      <c r="N160" s="837"/>
      <c r="O160" s="837"/>
      <c r="P160" s="83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983"/>
      <c r="B161" s="984"/>
      <c r="C161" s="985"/>
      <c r="D161" s="986" t="s">
        <v>80</v>
      </c>
      <c r="E161" s="987"/>
      <c r="F161" s="984"/>
      <c r="G161" s="988"/>
      <c r="H161" s="232" t="s">
        <v>35</v>
      </c>
      <c r="I161" s="989"/>
      <c r="J161" s="989"/>
      <c r="K161" s="990"/>
      <c r="L161" s="990"/>
      <c r="M161" s="990"/>
      <c r="N161" s="990"/>
      <c r="O161" s="990"/>
      <c r="P161" s="990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991" t="s">
        <v>81</v>
      </c>
      <c r="B162" s="992"/>
      <c r="C162" s="992"/>
      <c r="D162" s="992"/>
      <c r="E162" s="993"/>
      <c r="F162" s="993"/>
      <c r="G162" s="994"/>
      <c r="H162" s="995"/>
      <c r="I162" s="996"/>
      <c r="J162" s="996"/>
      <c r="K162" s="997"/>
      <c r="L162" s="997"/>
      <c r="M162" s="997"/>
      <c r="N162" s="997"/>
      <c r="O162" s="997"/>
      <c r="P162" s="997"/>
    </row>
    <row r="163" spans="1:26" ht="19.5">
      <c r="A163" s="998" t="s">
        <v>82</v>
      </c>
      <c r="B163" s="999"/>
      <c r="C163" s="999"/>
      <c r="D163" s="1000"/>
      <c r="E163" s="1000"/>
      <c r="F163" s="1000"/>
      <c r="G163" s="1001"/>
      <c r="H163" s="1002"/>
      <c r="I163" s="1003"/>
      <c r="J163" s="1003"/>
      <c r="K163" s="1004"/>
      <c r="L163" s="1004"/>
      <c r="M163" s="1004"/>
      <c r="N163" s="1004"/>
      <c r="O163" s="1004"/>
      <c r="P163" s="1004"/>
    </row>
    <row r="164" spans="1:26" ht="19.5">
      <c r="A164" s="1005"/>
      <c r="B164" s="1006" t="s">
        <v>83</v>
      </c>
      <c r="C164" s="1007"/>
      <c r="D164" s="952"/>
      <c r="E164" s="952"/>
      <c r="F164" s="952"/>
      <c r="G164" s="953"/>
      <c r="H164" s="252" t="s">
        <v>35</v>
      </c>
      <c r="I164" s="1008">
        <f t="shared" ref="I164:J164" ca="1" si="83">I174+I177</f>
        <v>11</v>
      </c>
      <c r="J164" s="1008">
        <f t="shared" si="83"/>
        <v>11</v>
      </c>
      <c r="K164" s="1009">
        <f ca="1">IF(I164&gt;0,J164*100/I164,0)</f>
        <v>100</v>
      </c>
      <c r="L164" s="1010"/>
      <c r="M164" s="1010"/>
      <c r="N164" s="1010"/>
      <c r="O164" s="1010"/>
      <c r="P164" s="1010"/>
    </row>
    <row r="165" spans="1:26" ht="19.5">
      <c r="A165" s="932"/>
      <c r="B165" s="933"/>
      <c r="C165" s="934" t="s">
        <v>16</v>
      </c>
      <c r="D165" s="935" t="s">
        <v>17</v>
      </c>
      <c r="E165" s="933"/>
      <c r="F165" s="933"/>
      <c r="G165" s="936"/>
      <c r="H165" s="152" t="s">
        <v>12</v>
      </c>
      <c r="I165" s="937"/>
      <c r="J165" s="937"/>
      <c r="K165" s="938"/>
      <c r="L165" s="939">
        <f t="shared" ref="L165:N165" ca="1" si="84">L166+L167</f>
        <v>22055</v>
      </c>
      <c r="M165" s="939">
        <f t="shared" ca="1" si="84"/>
        <v>33635</v>
      </c>
      <c r="N165" s="939">
        <f t="shared" ca="1" si="84"/>
        <v>30576</v>
      </c>
      <c r="O165" s="939">
        <f t="shared" ref="O165:O173" ca="1" si="85">IF(L165&gt;0,N165*100/L165,0)</f>
        <v>138.6352301065518</v>
      </c>
      <c r="P165" s="939">
        <f t="shared" ref="P165:P173" ca="1" si="86">IF(M165&gt;0,N165*100/M165,0)</f>
        <v>90.905306971904267</v>
      </c>
      <c r="Q165" s="818"/>
      <c r="R165" s="818"/>
      <c r="S165" s="818"/>
      <c r="T165" s="818"/>
      <c r="U165" s="818"/>
      <c r="V165" s="818"/>
      <c r="W165" s="818"/>
      <c r="X165" s="818"/>
      <c r="Y165" s="818"/>
      <c r="Z165" s="818"/>
    </row>
    <row r="166" spans="1:26" ht="18.75" hidden="1">
      <c r="A166" s="940"/>
      <c r="B166" s="833"/>
      <c r="C166" s="833"/>
      <c r="D166" s="833"/>
      <c r="E166" s="834" t="s">
        <v>18</v>
      </c>
      <c r="F166" s="833"/>
      <c r="G166" s="941"/>
      <c r="H166" s="158" t="s">
        <v>12</v>
      </c>
      <c r="I166" s="836"/>
      <c r="J166" s="836"/>
      <c r="K166" s="837"/>
      <c r="L166" s="837">
        <f t="shared" ref="L166:N167" si="87">L169+L172</f>
        <v>0</v>
      </c>
      <c r="M166" s="837">
        <f t="shared" si="87"/>
        <v>0</v>
      </c>
      <c r="N166" s="837">
        <f t="shared" si="87"/>
        <v>0</v>
      </c>
      <c r="O166" s="837">
        <f t="shared" si="85"/>
        <v>0</v>
      </c>
      <c r="P166" s="837">
        <f t="shared" si="86"/>
        <v>0</v>
      </c>
      <c r="Q166" s="825"/>
      <c r="R166" s="825"/>
      <c r="S166" s="825"/>
      <c r="T166" s="825"/>
      <c r="U166" s="825"/>
      <c r="V166" s="825"/>
      <c r="W166" s="825"/>
      <c r="X166" s="825"/>
      <c r="Y166" s="825"/>
      <c r="Z166" s="825"/>
    </row>
    <row r="167" spans="1:26" ht="18.75" hidden="1">
      <c r="A167" s="940"/>
      <c r="B167" s="833"/>
      <c r="C167" s="833"/>
      <c r="D167" s="833"/>
      <c r="E167" s="834" t="s">
        <v>19</v>
      </c>
      <c r="F167" s="833"/>
      <c r="G167" s="941"/>
      <c r="H167" s="158" t="s">
        <v>12</v>
      </c>
      <c r="I167" s="836"/>
      <c r="J167" s="836"/>
      <c r="K167" s="837"/>
      <c r="L167" s="837">
        <f t="shared" ca="1" si="87"/>
        <v>22055</v>
      </c>
      <c r="M167" s="837">
        <f t="shared" ca="1" si="87"/>
        <v>33635</v>
      </c>
      <c r="N167" s="837">
        <f t="shared" ca="1" si="87"/>
        <v>30576</v>
      </c>
      <c r="O167" s="837">
        <f t="shared" ca="1" si="85"/>
        <v>138.6352301065518</v>
      </c>
      <c r="P167" s="837">
        <f t="shared" ca="1" si="86"/>
        <v>90.905306971904267</v>
      </c>
      <c r="Q167" s="825"/>
      <c r="R167" s="825"/>
      <c r="S167" s="825"/>
      <c r="T167" s="825"/>
      <c r="U167" s="825"/>
      <c r="V167" s="825"/>
      <c r="W167" s="825"/>
      <c r="X167" s="825"/>
      <c r="Y167" s="825"/>
      <c r="Z167" s="825"/>
    </row>
    <row r="168" spans="1:26" ht="18.75">
      <c r="A168" s="942"/>
      <c r="B168" s="827"/>
      <c r="C168" s="943"/>
      <c r="D168" s="828" t="s">
        <v>20</v>
      </c>
      <c r="E168" s="827"/>
      <c r="F168" s="827"/>
      <c r="G168" s="829"/>
      <c r="H168" s="778" t="s">
        <v>12</v>
      </c>
      <c r="I168" s="944"/>
      <c r="J168" s="944"/>
      <c r="K168" s="945"/>
      <c r="L168" s="831">
        <f t="shared" ref="L168:N168" ca="1" si="88">L169+L170</f>
        <v>22055</v>
      </c>
      <c r="M168" s="831">
        <f t="shared" ca="1" si="88"/>
        <v>33635</v>
      </c>
      <c r="N168" s="831">
        <f t="shared" ca="1" si="88"/>
        <v>30576</v>
      </c>
      <c r="O168" s="831">
        <f t="shared" ca="1" si="85"/>
        <v>138.6352301065518</v>
      </c>
      <c r="P168" s="831">
        <f t="shared" ca="1" si="86"/>
        <v>90.905306971904267</v>
      </c>
      <c r="Q168" s="818"/>
      <c r="R168" s="818"/>
      <c r="S168" s="818"/>
      <c r="T168" s="818"/>
      <c r="U168" s="818"/>
      <c r="V168" s="818"/>
      <c r="W168" s="818"/>
      <c r="X168" s="818"/>
      <c r="Y168" s="818"/>
      <c r="Z168" s="818"/>
    </row>
    <row r="169" spans="1:26" ht="19.5" hidden="1">
      <c r="A169" s="940"/>
      <c r="B169" s="833"/>
      <c r="C169" s="946"/>
      <c r="D169" s="833"/>
      <c r="E169" s="834" t="s">
        <v>36</v>
      </c>
      <c r="F169" s="833"/>
      <c r="G169" s="941"/>
      <c r="H169" s="165" t="s">
        <v>12</v>
      </c>
      <c r="I169" s="947"/>
      <c r="J169" s="947"/>
      <c r="K169" s="948"/>
      <c r="L169" s="837">
        <v>0</v>
      </c>
      <c r="M169" s="837">
        <v>0</v>
      </c>
      <c r="N169" s="837">
        <v>0</v>
      </c>
      <c r="O169" s="837">
        <f t="shared" si="85"/>
        <v>0</v>
      </c>
      <c r="P169" s="837">
        <f t="shared" si="86"/>
        <v>0</v>
      </c>
      <c r="Q169" s="825"/>
      <c r="R169" s="825"/>
      <c r="S169" s="825"/>
      <c r="T169" s="825"/>
      <c r="U169" s="825"/>
      <c r="V169" s="825"/>
      <c r="W169" s="825"/>
      <c r="X169" s="825"/>
      <c r="Y169" s="825"/>
      <c r="Z169" s="825"/>
    </row>
    <row r="170" spans="1:26" ht="19.5" hidden="1">
      <c r="A170" s="940"/>
      <c r="B170" s="833"/>
      <c r="C170" s="946"/>
      <c r="D170" s="833"/>
      <c r="E170" s="834" t="s">
        <v>37</v>
      </c>
      <c r="F170" s="833"/>
      <c r="G170" s="941"/>
      <c r="H170" s="165" t="s">
        <v>12</v>
      </c>
      <c r="I170" s="947"/>
      <c r="J170" s="947"/>
      <c r="K170" s="948"/>
      <c r="L170" s="837">
        <f ca="1">IFERROR(__xludf.DUMMYFUNCTION("IMPORTRANGE(""https://docs.google.com/spreadsheets/d/1MeEWN-I1oV_STSDYn1IFDPWt_1FKiwhDph83XaGc0o0/edit?usp=sharing"",""งบพรบ!CE21"")"),22055)</f>
        <v>22055</v>
      </c>
      <c r="M170" s="837">
        <f ca="1">IFERROR(__xludf.DUMMYFUNCTION("IMPORTRANGE(""https://docs.google.com/spreadsheets/d/1MeEWN-I1oV_STSDYn1IFDPWt_1FKiwhDph83XaGc0o0/edit?usp=sharing"",""งบพรบ!CJ21"")"),33635)</f>
        <v>33635</v>
      </c>
      <c r="N170" s="837">
        <f ca="1">IFERROR(__xludf.DUMMYFUNCTION("IMPORTRANGE(""https://docs.google.com/spreadsheets/d/1MeEWN-I1oV_STSDYn1IFDPWt_1FKiwhDph83XaGc0o0/edit?usp=sharing"",""งบพรบ!CL21"")"),30576)</f>
        <v>30576</v>
      </c>
      <c r="O170" s="837">
        <f t="shared" ca="1" si="85"/>
        <v>138.6352301065518</v>
      </c>
      <c r="P170" s="837">
        <f t="shared" ca="1" si="86"/>
        <v>90.905306971904267</v>
      </c>
      <c r="Q170" s="825"/>
      <c r="R170" s="825"/>
      <c r="S170" s="825"/>
      <c r="T170" s="825"/>
      <c r="U170" s="825"/>
      <c r="V170" s="825"/>
      <c r="W170" s="825"/>
      <c r="X170" s="825"/>
      <c r="Y170" s="825"/>
      <c r="Z170" s="825"/>
    </row>
    <row r="171" spans="1:26" ht="18.75">
      <c r="A171" s="942"/>
      <c r="B171" s="827"/>
      <c r="C171" s="943"/>
      <c r="D171" s="828" t="s">
        <v>21</v>
      </c>
      <c r="E171" s="827"/>
      <c r="F171" s="827"/>
      <c r="G171" s="829"/>
      <c r="H171" s="168" t="s">
        <v>12</v>
      </c>
      <c r="I171" s="944"/>
      <c r="J171" s="944"/>
      <c r="K171" s="945"/>
      <c r="L171" s="831">
        <f t="shared" ref="L171:N171" ca="1" si="89">L172+L173</f>
        <v>0</v>
      </c>
      <c r="M171" s="831">
        <f t="shared" ca="1" si="89"/>
        <v>0</v>
      </c>
      <c r="N171" s="831">
        <f t="shared" ca="1" si="89"/>
        <v>0</v>
      </c>
      <c r="O171" s="831">
        <f t="shared" ca="1" si="85"/>
        <v>0</v>
      </c>
      <c r="P171" s="831">
        <f t="shared" ca="1" si="86"/>
        <v>0</v>
      </c>
      <c r="Q171" s="818"/>
      <c r="R171" s="818"/>
      <c r="S171" s="818"/>
      <c r="T171" s="818"/>
      <c r="U171" s="818"/>
      <c r="V171" s="818"/>
      <c r="W171" s="818"/>
      <c r="X171" s="818"/>
      <c r="Y171" s="818"/>
      <c r="Z171" s="818"/>
    </row>
    <row r="172" spans="1:26" ht="19.5" hidden="1">
      <c r="A172" s="940"/>
      <c r="B172" s="833"/>
      <c r="C172" s="946"/>
      <c r="D172" s="833"/>
      <c r="E172" s="834" t="s">
        <v>18</v>
      </c>
      <c r="F172" s="833"/>
      <c r="G172" s="941"/>
      <c r="H172" s="165" t="s">
        <v>12</v>
      </c>
      <c r="I172" s="947"/>
      <c r="J172" s="947"/>
      <c r="K172" s="948"/>
      <c r="L172" s="837">
        <v>0</v>
      </c>
      <c r="M172" s="837">
        <v>0</v>
      </c>
      <c r="N172" s="837">
        <v>0</v>
      </c>
      <c r="O172" s="837">
        <f t="shared" si="85"/>
        <v>0</v>
      </c>
      <c r="P172" s="837">
        <f t="shared" si="86"/>
        <v>0</v>
      </c>
      <c r="Q172" s="825"/>
      <c r="R172" s="825"/>
      <c r="S172" s="825"/>
      <c r="T172" s="825"/>
      <c r="U172" s="825"/>
      <c r="V172" s="825"/>
      <c r="W172" s="825"/>
      <c r="X172" s="825"/>
      <c r="Y172" s="825"/>
      <c r="Z172" s="825"/>
    </row>
    <row r="173" spans="1:26" ht="19.5" hidden="1">
      <c r="A173" s="940"/>
      <c r="B173" s="833"/>
      <c r="C173" s="946"/>
      <c r="D173" s="833"/>
      <c r="E173" s="834" t="s">
        <v>19</v>
      </c>
      <c r="F173" s="833"/>
      <c r="G173" s="941"/>
      <c r="H173" s="169" t="s">
        <v>12</v>
      </c>
      <c r="I173" s="947"/>
      <c r="J173" s="947"/>
      <c r="K173" s="948"/>
      <c r="L173" s="837">
        <f ca="1">IFERROR(__xludf.DUMMYFUNCTION("IMPORTRANGE(""https://docs.google.com/spreadsheets/d/1MeEWN-I1oV_STSDYn1IFDPWt_1FKiwhDph83XaGc0o0/edit?usp=sharing"",""งบพรบ!CH21"")"),0)</f>
        <v>0</v>
      </c>
      <c r="M173" s="837">
        <f ca="1">IFERROR(__xludf.DUMMYFUNCTION("IMPORTRANGE(""https://docs.google.com/spreadsheets/d/1MeEWN-I1oV_STSDYn1IFDPWt_1FKiwhDph83XaGc0o0/edit?usp=sharing"",""งบพรบ!CK21"")"),0)</f>
        <v>0</v>
      </c>
      <c r="N173" s="837">
        <f ca="1">IFERROR(__xludf.DUMMYFUNCTION("IMPORTRANGE(""https://docs.google.com/spreadsheets/d/1MeEWN-I1oV_STSDYn1IFDPWt_1FKiwhDph83XaGc0o0/edit?usp=sharing"",""งบพรบ!CM21"")"),0)</f>
        <v>0</v>
      </c>
      <c r="O173" s="837">
        <f t="shared" ca="1" si="85"/>
        <v>0</v>
      </c>
      <c r="P173" s="837">
        <f t="shared" ca="1" si="86"/>
        <v>0</v>
      </c>
      <c r="Q173" s="825"/>
      <c r="R173" s="825"/>
      <c r="S173" s="825"/>
      <c r="T173" s="825"/>
      <c r="U173" s="825"/>
      <c r="V173" s="825"/>
      <c r="W173" s="825"/>
      <c r="X173" s="825"/>
      <c r="Y173" s="825"/>
      <c r="Z173" s="825"/>
    </row>
    <row r="174" spans="1:26" ht="19.5">
      <c r="A174" s="1011"/>
      <c r="B174" s="1012"/>
      <c r="C174" s="1013" t="s">
        <v>84</v>
      </c>
      <c r="D174" s="1012"/>
      <c r="E174" s="1012"/>
      <c r="F174" s="1012"/>
      <c r="G174" s="1014"/>
      <c r="H174" s="260" t="s">
        <v>35</v>
      </c>
      <c r="I174" s="1015">
        <f t="shared" ref="I174:J174" ca="1" si="90">I176</f>
        <v>11</v>
      </c>
      <c r="J174" s="1015">
        <f t="shared" si="90"/>
        <v>11</v>
      </c>
      <c r="K174" s="1016">
        <f ca="1">IF(I174&gt;0,J174*100/I174,0)</f>
        <v>100</v>
      </c>
      <c r="L174" s="1016"/>
      <c r="M174" s="1016"/>
      <c r="N174" s="1016"/>
      <c r="O174" s="1016"/>
      <c r="P174" s="1016"/>
    </row>
    <row r="175" spans="1:26" ht="19.5">
      <c r="A175" s="949"/>
      <c r="B175" s="950"/>
      <c r="C175" s="946" t="s">
        <v>16</v>
      </c>
      <c r="D175" s="951" t="s">
        <v>38</v>
      </c>
      <c r="E175" s="952"/>
      <c r="F175" s="952"/>
      <c r="G175" s="953"/>
      <c r="H175" s="954"/>
      <c r="I175" s="944"/>
      <c r="J175" s="944"/>
      <c r="K175" s="945"/>
      <c r="L175" s="945"/>
      <c r="M175" s="945"/>
      <c r="N175" s="945"/>
      <c r="O175" s="945"/>
      <c r="P175" s="945"/>
    </row>
    <row r="176" spans="1:26" ht="18.75">
      <c r="A176" s="949"/>
      <c r="B176" s="950"/>
      <c r="C176" s="950"/>
      <c r="D176" s="1017" t="s">
        <v>85</v>
      </c>
      <c r="E176" s="957"/>
      <c r="F176" s="957"/>
      <c r="G176" s="958"/>
      <c r="H176" s="590" t="s">
        <v>35</v>
      </c>
      <c r="I176" s="830">
        <f ca="1">IFERROR(__xludf.DUMMYFUNCTION("IMPORTRANGE(""https://docs.google.com/spreadsheets/d/1QqKyyYR6Q21VydFLVH3TRQUabQu_ym0Zz7PgGX0-kHA/edit?usp=sharing"",""แผน!Y21"")"),11)</f>
        <v>11</v>
      </c>
      <c r="J176" s="959">
        <v>11</v>
      </c>
      <c r="K176" s="945">
        <f ca="1">IF(I176&gt;0,J176*100/I176,0)</f>
        <v>100</v>
      </c>
      <c r="L176" s="945"/>
      <c r="M176" s="945"/>
      <c r="N176" s="945"/>
      <c r="O176" s="945"/>
      <c r="P176" s="945"/>
    </row>
    <row r="177" spans="1:26" ht="19.5" hidden="1">
      <c r="A177" s="1011"/>
      <c r="B177" s="1018"/>
      <c r="C177" s="1019" t="s">
        <v>86</v>
      </c>
      <c r="D177" s="1018"/>
      <c r="E177" s="1012"/>
      <c r="F177" s="1012"/>
      <c r="G177" s="1014"/>
      <c r="H177" s="266" t="s">
        <v>35</v>
      </c>
      <c r="I177" s="1015"/>
      <c r="J177" s="1015">
        <f>J179</f>
        <v>0</v>
      </c>
      <c r="K177" s="1016"/>
      <c r="L177" s="1016"/>
      <c r="M177" s="1016"/>
      <c r="N177" s="1016"/>
      <c r="O177" s="1016"/>
      <c r="P177" s="1016"/>
    </row>
    <row r="178" spans="1:26" ht="19.5" hidden="1">
      <c r="A178" s="949"/>
      <c r="B178" s="950"/>
      <c r="C178" s="946" t="s">
        <v>16</v>
      </c>
      <c r="D178" s="1020" t="s">
        <v>38</v>
      </c>
      <c r="E178" s="952"/>
      <c r="F178" s="952"/>
      <c r="G178" s="953"/>
      <c r="H178" s="954"/>
      <c r="I178" s="944"/>
      <c r="J178" s="944"/>
      <c r="K178" s="945"/>
      <c r="L178" s="945"/>
      <c r="M178" s="945"/>
      <c r="N178" s="945"/>
      <c r="O178" s="945"/>
      <c r="P178" s="945"/>
    </row>
    <row r="179" spans="1:26" ht="18.75" hidden="1">
      <c r="A179" s="949"/>
      <c r="B179" s="950"/>
      <c r="C179" s="950"/>
      <c r="D179" s="1021" t="s">
        <v>87</v>
      </c>
      <c r="E179" s="957"/>
      <c r="F179" s="1022"/>
      <c r="G179" s="958"/>
      <c r="H179" s="43" t="s">
        <v>35</v>
      </c>
      <c r="I179" s="830"/>
      <c r="J179" s="830"/>
      <c r="K179" s="945"/>
      <c r="L179" s="945"/>
      <c r="M179" s="945"/>
      <c r="N179" s="945"/>
      <c r="O179" s="945"/>
      <c r="P179" s="945"/>
    </row>
    <row r="180" spans="1:26" ht="19.5">
      <c r="A180" s="1005"/>
      <c r="B180" s="1006" t="s">
        <v>88</v>
      </c>
      <c r="C180" s="1007"/>
      <c r="D180" s="952"/>
      <c r="E180" s="952"/>
      <c r="F180" s="952"/>
      <c r="G180" s="953"/>
      <c r="H180" s="252" t="s">
        <v>35</v>
      </c>
      <c r="I180" s="1008">
        <f t="shared" ref="I180:J180" ca="1" si="91">I225+I226</f>
        <v>0</v>
      </c>
      <c r="J180" s="1008">
        <f t="shared" si="91"/>
        <v>0</v>
      </c>
      <c r="K180" s="1009">
        <f ca="1">IF(I180&gt;0,J180*100/I180,0)</f>
        <v>0</v>
      </c>
      <c r="L180" s="1010"/>
      <c r="M180" s="1010"/>
      <c r="N180" s="1010"/>
      <c r="O180" s="1010"/>
      <c r="P180" s="1010"/>
    </row>
    <row r="181" spans="1:26" ht="19.5">
      <c r="A181" s="932"/>
      <c r="B181" s="933"/>
      <c r="C181" s="934" t="s">
        <v>16</v>
      </c>
      <c r="D181" s="935" t="s">
        <v>17</v>
      </c>
      <c r="E181" s="933"/>
      <c r="F181" s="933"/>
      <c r="G181" s="936"/>
      <c r="H181" s="152" t="s">
        <v>12</v>
      </c>
      <c r="I181" s="937"/>
      <c r="J181" s="937"/>
      <c r="K181" s="938"/>
      <c r="L181" s="939">
        <f t="shared" ref="L181:N181" ca="1" si="92">L182+L183</f>
        <v>53000</v>
      </c>
      <c r="M181" s="939">
        <f t="shared" ca="1" si="92"/>
        <v>46500</v>
      </c>
      <c r="N181" s="939">
        <f t="shared" ca="1" si="92"/>
        <v>28168</v>
      </c>
      <c r="O181" s="939">
        <f t="shared" ref="O181:O189" ca="1" si="93">IF(L181&gt;0,N181*100/L181,0)</f>
        <v>53.147169811320758</v>
      </c>
      <c r="P181" s="939">
        <f t="shared" ref="P181:P189" ca="1" si="94">IF(M181&gt;0,N181*100/M181,0)</f>
        <v>60.576344086021507</v>
      </c>
      <c r="Q181" s="818"/>
      <c r="R181" s="818"/>
      <c r="S181" s="818"/>
      <c r="T181" s="818"/>
      <c r="U181" s="818"/>
      <c r="V181" s="818"/>
      <c r="W181" s="818"/>
      <c r="X181" s="818"/>
      <c r="Y181" s="818"/>
      <c r="Z181" s="818"/>
    </row>
    <row r="182" spans="1:26" ht="18.75" hidden="1">
      <c r="A182" s="940"/>
      <c r="B182" s="833"/>
      <c r="C182" s="833"/>
      <c r="D182" s="833"/>
      <c r="E182" s="834" t="s">
        <v>18</v>
      </c>
      <c r="F182" s="833"/>
      <c r="G182" s="941"/>
      <c r="H182" s="158" t="s">
        <v>12</v>
      </c>
      <c r="I182" s="836"/>
      <c r="J182" s="836"/>
      <c r="K182" s="837"/>
      <c r="L182" s="837">
        <f t="shared" ref="L182:N183" si="95">L185+L188</f>
        <v>0</v>
      </c>
      <c r="M182" s="837">
        <f t="shared" si="95"/>
        <v>0</v>
      </c>
      <c r="N182" s="837">
        <f t="shared" si="95"/>
        <v>0</v>
      </c>
      <c r="O182" s="837">
        <f t="shared" si="93"/>
        <v>0</v>
      </c>
      <c r="P182" s="837">
        <f t="shared" si="94"/>
        <v>0</v>
      </c>
      <c r="Q182" s="825"/>
      <c r="R182" s="825"/>
      <c r="S182" s="825"/>
      <c r="T182" s="825"/>
      <c r="U182" s="825"/>
      <c r="V182" s="825"/>
      <c r="W182" s="825"/>
      <c r="X182" s="825"/>
      <c r="Y182" s="825"/>
      <c r="Z182" s="825"/>
    </row>
    <row r="183" spans="1:26" ht="18.75" hidden="1">
      <c r="A183" s="940"/>
      <c r="B183" s="833"/>
      <c r="C183" s="833"/>
      <c r="D183" s="833"/>
      <c r="E183" s="834" t="s">
        <v>19</v>
      </c>
      <c r="F183" s="833"/>
      <c r="G183" s="941"/>
      <c r="H183" s="158" t="s">
        <v>12</v>
      </c>
      <c r="I183" s="836"/>
      <c r="J183" s="836"/>
      <c r="K183" s="837"/>
      <c r="L183" s="837">
        <f t="shared" ca="1" si="95"/>
        <v>53000</v>
      </c>
      <c r="M183" s="837">
        <f t="shared" ca="1" si="95"/>
        <v>46500</v>
      </c>
      <c r="N183" s="837">
        <f t="shared" ca="1" si="95"/>
        <v>28168</v>
      </c>
      <c r="O183" s="837">
        <f t="shared" ca="1" si="93"/>
        <v>53.147169811320758</v>
      </c>
      <c r="P183" s="837">
        <f t="shared" ca="1" si="94"/>
        <v>60.576344086021507</v>
      </c>
      <c r="Q183" s="825"/>
      <c r="R183" s="825"/>
      <c r="S183" s="825"/>
      <c r="T183" s="825"/>
      <c r="U183" s="825"/>
      <c r="V183" s="825"/>
      <c r="W183" s="825"/>
      <c r="X183" s="825"/>
      <c r="Y183" s="825"/>
      <c r="Z183" s="825"/>
    </row>
    <row r="184" spans="1:26" ht="18.75">
      <c r="A184" s="942"/>
      <c r="B184" s="827"/>
      <c r="C184" s="943"/>
      <c r="D184" s="828" t="s">
        <v>20</v>
      </c>
      <c r="E184" s="827"/>
      <c r="F184" s="827"/>
      <c r="G184" s="829"/>
      <c r="H184" s="778" t="s">
        <v>12</v>
      </c>
      <c r="I184" s="944"/>
      <c r="J184" s="944"/>
      <c r="K184" s="945"/>
      <c r="L184" s="831">
        <f t="shared" ref="L184:N184" ca="1" si="96">L185+L186</f>
        <v>53000</v>
      </c>
      <c r="M184" s="831">
        <f t="shared" ca="1" si="96"/>
        <v>46500</v>
      </c>
      <c r="N184" s="831">
        <f t="shared" ca="1" si="96"/>
        <v>28168</v>
      </c>
      <c r="O184" s="831">
        <f t="shared" ca="1" si="93"/>
        <v>53.147169811320758</v>
      </c>
      <c r="P184" s="831">
        <f t="shared" ca="1" si="94"/>
        <v>60.576344086021507</v>
      </c>
      <c r="Q184" s="818"/>
      <c r="R184" s="818"/>
      <c r="S184" s="818"/>
      <c r="T184" s="818"/>
      <c r="U184" s="818"/>
      <c r="V184" s="818"/>
      <c r="W184" s="818"/>
      <c r="X184" s="818"/>
      <c r="Y184" s="818"/>
      <c r="Z184" s="818"/>
    </row>
    <row r="185" spans="1:26" ht="19.5" hidden="1">
      <c r="A185" s="940"/>
      <c r="B185" s="833"/>
      <c r="C185" s="946"/>
      <c r="D185" s="833"/>
      <c r="E185" s="834" t="s">
        <v>36</v>
      </c>
      <c r="F185" s="833"/>
      <c r="G185" s="941"/>
      <c r="H185" s="165" t="s">
        <v>12</v>
      </c>
      <c r="I185" s="947"/>
      <c r="J185" s="947"/>
      <c r="K185" s="948"/>
      <c r="L185" s="837">
        <v>0</v>
      </c>
      <c r="M185" s="837">
        <v>0</v>
      </c>
      <c r="N185" s="837">
        <v>0</v>
      </c>
      <c r="O185" s="837">
        <f t="shared" si="93"/>
        <v>0</v>
      </c>
      <c r="P185" s="837">
        <f t="shared" si="94"/>
        <v>0</v>
      </c>
      <c r="Q185" s="825"/>
      <c r="R185" s="825"/>
      <c r="S185" s="825"/>
      <c r="T185" s="825"/>
      <c r="U185" s="825"/>
      <c r="V185" s="825"/>
      <c r="W185" s="825"/>
      <c r="X185" s="825"/>
      <c r="Y185" s="825"/>
      <c r="Z185" s="825"/>
    </row>
    <row r="186" spans="1:26" ht="19.5" hidden="1">
      <c r="A186" s="940"/>
      <c r="B186" s="833"/>
      <c r="C186" s="946"/>
      <c r="D186" s="833"/>
      <c r="E186" s="834" t="s">
        <v>37</v>
      </c>
      <c r="F186" s="833"/>
      <c r="G186" s="941"/>
      <c r="H186" s="165" t="s">
        <v>12</v>
      </c>
      <c r="I186" s="947"/>
      <c r="J186" s="947"/>
      <c r="K186" s="948"/>
      <c r="L186" s="837">
        <f ca="1">IFERROR(__xludf.DUMMYFUNCTION("IMPORTRANGE(""https://docs.google.com/spreadsheets/d/1MeEWN-I1oV_STSDYn1IFDPWt_1FKiwhDph83XaGc0o0/edit?usp=sharing"",""งบพรบ!CO21"")"),53000)</f>
        <v>53000</v>
      </c>
      <c r="M186" s="837">
        <f ca="1">IFERROR(__xludf.DUMMYFUNCTION("IMPORTRANGE(""https://docs.google.com/spreadsheets/d/1MeEWN-I1oV_STSDYn1IFDPWt_1FKiwhDph83XaGc0o0/edit?usp=sharing"",""งบพรบ!CT21"")"),46500)</f>
        <v>46500</v>
      </c>
      <c r="N186" s="837">
        <f ca="1">IFERROR(__xludf.DUMMYFUNCTION("IMPORTRANGE(""https://docs.google.com/spreadsheets/d/1MeEWN-I1oV_STSDYn1IFDPWt_1FKiwhDph83XaGc0o0/edit?usp=sharing"",""งบพรบ!CV21"")"),28168)</f>
        <v>28168</v>
      </c>
      <c r="O186" s="837">
        <f t="shared" ca="1" si="93"/>
        <v>53.147169811320758</v>
      </c>
      <c r="P186" s="837">
        <f t="shared" ca="1" si="94"/>
        <v>60.576344086021507</v>
      </c>
      <c r="Q186" s="825"/>
      <c r="R186" s="825"/>
      <c r="S186" s="825"/>
      <c r="T186" s="825"/>
      <c r="U186" s="825"/>
      <c r="V186" s="825"/>
      <c r="W186" s="825"/>
      <c r="X186" s="825"/>
      <c r="Y186" s="825"/>
      <c r="Z186" s="825"/>
    </row>
    <row r="187" spans="1:26" ht="18.75">
      <c r="A187" s="942"/>
      <c r="B187" s="827"/>
      <c r="C187" s="943"/>
      <c r="D187" s="828" t="s">
        <v>21</v>
      </c>
      <c r="E187" s="827"/>
      <c r="F187" s="827"/>
      <c r="G187" s="829"/>
      <c r="H187" s="168" t="s">
        <v>12</v>
      </c>
      <c r="I187" s="944"/>
      <c r="J187" s="944"/>
      <c r="K187" s="945"/>
      <c r="L187" s="831">
        <f t="shared" ref="L187:N187" ca="1" si="97">L188+L189</f>
        <v>0</v>
      </c>
      <c r="M187" s="831">
        <f t="shared" ca="1" si="97"/>
        <v>0</v>
      </c>
      <c r="N187" s="831">
        <f t="shared" ca="1" si="97"/>
        <v>0</v>
      </c>
      <c r="O187" s="831">
        <f t="shared" ca="1" si="93"/>
        <v>0</v>
      </c>
      <c r="P187" s="831">
        <f t="shared" ca="1" si="94"/>
        <v>0</v>
      </c>
      <c r="Q187" s="818"/>
      <c r="R187" s="818"/>
      <c r="S187" s="818"/>
      <c r="T187" s="818"/>
      <c r="U187" s="818"/>
      <c r="V187" s="818"/>
      <c r="W187" s="818"/>
      <c r="X187" s="818"/>
      <c r="Y187" s="818"/>
      <c r="Z187" s="818"/>
    </row>
    <row r="188" spans="1:26" ht="19.5" hidden="1">
      <c r="A188" s="940"/>
      <c r="B188" s="833"/>
      <c r="C188" s="946"/>
      <c r="D188" s="833"/>
      <c r="E188" s="834" t="s">
        <v>18</v>
      </c>
      <c r="F188" s="833"/>
      <c r="G188" s="941"/>
      <c r="H188" s="165" t="s">
        <v>12</v>
      </c>
      <c r="I188" s="947"/>
      <c r="J188" s="947"/>
      <c r="K188" s="948"/>
      <c r="L188" s="837">
        <v>0</v>
      </c>
      <c r="M188" s="837">
        <v>0</v>
      </c>
      <c r="N188" s="837">
        <v>0</v>
      </c>
      <c r="O188" s="837">
        <f t="shared" si="93"/>
        <v>0</v>
      </c>
      <c r="P188" s="837">
        <f t="shared" si="94"/>
        <v>0</v>
      </c>
      <c r="Q188" s="825"/>
      <c r="R188" s="825"/>
      <c r="S188" s="825"/>
      <c r="T188" s="825"/>
      <c r="U188" s="825"/>
      <c r="V188" s="825"/>
      <c r="W188" s="825"/>
      <c r="X188" s="825"/>
      <c r="Y188" s="825"/>
      <c r="Z188" s="825"/>
    </row>
    <row r="189" spans="1:26" ht="19.5" hidden="1">
      <c r="A189" s="940"/>
      <c r="B189" s="833"/>
      <c r="C189" s="946"/>
      <c r="D189" s="833"/>
      <c r="E189" s="834" t="s">
        <v>19</v>
      </c>
      <c r="F189" s="833"/>
      <c r="G189" s="941"/>
      <c r="H189" s="169" t="s">
        <v>12</v>
      </c>
      <c r="I189" s="947"/>
      <c r="J189" s="947"/>
      <c r="K189" s="948"/>
      <c r="L189" s="837">
        <f ca="1">IFERROR(__xludf.DUMMYFUNCTION("IMPORTRANGE(""https://docs.google.com/spreadsheets/d/1MeEWN-I1oV_STSDYn1IFDPWt_1FKiwhDph83XaGc0o0/edit?usp=sharing"",""งบพรบ!CR21"")"),0)</f>
        <v>0</v>
      </c>
      <c r="M189" s="837">
        <f ca="1">IFERROR(__xludf.DUMMYFUNCTION("IMPORTRANGE(""https://docs.google.com/spreadsheets/d/1MeEWN-I1oV_STSDYn1IFDPWt_1FKiwhDph83XaGc0o0/edit?usp=sharing"",""งบพรบ!CU21"")"),0)</f>
        <v>0</v>
      </c>
      <c r="N189" s="837">
        <f ca="1">IFERROR(__xludf.DUMMYFUNCTION("IMPORTRANGE(""https://docs.google.com/spreadsheets/d/1MeEWN-I1oV_STSDYn1IFDPWt_1FKiwhDph83XaGc0o0/edit?usp=sharing"",""งบพรบ!CW21"")"),0)</f>
        <v>0</v>
      </c>
      <c r="O189" s="837">
        <f t="shared" ca="1" si="93"/>
        <v>0</v>
      </c>
      <c r="P189" s="837">
        <f t="shared" ca="1" si="94"/>
        <v>0</v>
      </c>
      <c r="Q189" s="825"/>
      <c r="R189" s="825"/>
      <c r="S189" s="825"/>
      <c r="T189" s="825"/>
      <c r="U189" s="825"/>
      <c r="V189" s="825"/>
      <c r="W189" s="825"/>
      <c r="X189" s="825"/>
      <c r="Y189" s="825"/>
      <c r="Z189" s="825"/>
    </row>
    <row r="190" spans="1:26" ht="19.5">
      <c r="A190" s="1011"/>
      <c r="B190" s="1018"/>
      <c r="C190" s="1023" t="s">
        <v>89</v>
      </c>
      <c r="D190" s="1012"/>
      <c r="E190" s="1012"/>
      <c r="F190" s="1012"/>
      <c r="G190" s="1014"/>
      <c r="H190" s="260" t="s">
        <v>90</v>
      </c>
      <c r="I190" s="1024">
        <f t="shared" ref="I190:J190" ca="1" si="98">I193</f>
        <v>4</v>
      </c>
      <c r="J190" s="1024">
        <f t="shared" si="98"/>
        <v>2</v>
      </c>
      <c r="K190" s="1025">
        <f ca="1">IF(I190&gt;0,J190*100/I190,0)</f>
        <v>50</v>
      </c>
      <c r="L190" s="1016"/>
      <c r="M190" s="1016"/>
      <c r="N190" s="1016"/>
      <c r="O190" s="1016"/>
      <c r="P190" s="1016"/>
    </row>
    <row r="191" spans="1:26" ht="19.5">
      <c r="A191" s="932"/>
      <c r="B191" s="933"/>
      <c r="C191" s="934" t="s">
        <v>16</v>
      </c>
      <c r="D191" s="1026" t="s">
        <v>17</v>
      </c>
      <c r="E191" s="933"/>
      <c r="F191" s="933"/>
      <c r="G191" s="936"/>
      <c r="H191" s="275" t="s">
        <v>12</v>
      </c>
      <c r="I191" s="937"/>
      <c r="J191" s="937"/>
      <c r="K191" s="938"/>
      <c r="L191" s="939">
        <f ca="1">IFERROR(__xludf.DUMMYFUNCTION("IMPORTRANGE(""https://docs.google.com/spreadsheets/d/1QqKyyYR6Q21VydFLVH3TRQUabQu_ym0Zz7PgGX0-kHA/edit?usp=sharing"",""แผน!Z21"")"),6000)</f>
        <v>6000</v>
      </c>
      <c r="M191" s="939"/>
      <c r="N191" s="1027">
        <v>3000</v>
      </c>
      <c r="O191" s="939">
        <f ca="1">IF(L191&gt;0,N191*100/L191,0)</f>
        <v>50</v>
      </c>
      <c r="P191" s="939">
        <f>IF(M191&gt;0,N191*100/M191,0)</f>
        <v>0</v>
      </c>
      <c r="Q191" s="818"/>
      <c r="R191" s="818"/>
      <c r="S191" s="818"/>
      <c r="T191" s="818"/>
      <c r="U191" s="818"/>
      <c r="V191" s="818"/>
      <c r="W191" s="818"/>
      <c r="X191" s="818"/>
      <c r="Y191" s="818"/>
      <c r="Z191" s="818"/>
    </row>
    <row r="192" spans="1:26" ht="19.5">
      <c r="A192" s="949"/>
      <c r="B192" s="950"/>
      <c r="C192" s="976" t="s">
        <v>16</v>
      </c>
      <c r="D192" s="951" t="s">
        <v>38</v>
      </c>
      <c r="E192" s="952"/>
      <c r="F192" s="952"/>
      <c r="G192" s="953"/>
      <c r="H192" s="954"/>
      <c r="I192" s="830"/>
      <c r="J192" s="830"/>
      <c r="K192" s="831"/>
      <c r="L192" s="831"/>
      <c r="M192" s="831"/>
      <c r="N192" s="831"/>
      <c r="O192" s="831"/>
      <c r="P192" s="831"/>
      <c r="Q192" s="818"/>
      <c r="R192" s="818"/>
      <c r="S192" s="818"/>
      <c r="T192" s="818"/>
      <c r="U192" s="818"/>
      <c r="V192" s="818"/>
      <c r="W192" s="818"/>
      <c r="X192" s="818"/>
      <c r="Y192" s="818"/>
      <c r="Z192" s="818"/>
    </row>
    <row r="193" spans="1:26" ht="18.75">
      <c r="A193" s="949"/>
      <c r="B193" s="950"/>
      <c r="C193" s="950"/>
      <c r="D193" s="956" t="s">
        <v>91</v>
      </c>
      <c r="E193" s="957"/>
      <c r="F193" s="957"/>
      <c r="G193" s="958"/>
      <c r="H193" s="730" t="s">
        <v>90</v>
      </c>
      <c r="I193" s="830">
        <f ca="1">IFERROR(__xludf.DUMMYFUNCTION("IMPORTRANGE(""https://docs.google.com/spreadsheets/d/1QqKyyYR6Q21VydFLVH3TRQUabQu_ym0Zz7PgGX0-kHA/edit?usp=sharing"",""แผน!AC21"")"),4)</f>
        <v>4</v>
      </c>
      <c r="J193" s="959">
        <v>2</v>
      </c>
      <c r="K193" s="831">
        <f ca="1">IF(I193&gt;0,J193*100/I193,0)</f>
        <v>50</v>
      </c>
      <c r="L193" s="831"/>
      <c r="M193" s="831"/>
      <c r="N193" s="831"/>
      <c r="O193" s="831"/>
      <c r="P193" s="831"/>
      <c r="Q193" s="818"/>
      <c r="R193" s="818"/>
      <c r="S193" s="818"/>
      <c r="T193" s="818"/>
      <c r="U193" s="818"/>
      <c r="V193" s="818"/>
      <c r="W193" s="818"/>
      <c r="X193" s="818"/>
      <c r="Y193" s="818"/>
      <c r="Z193" s="818"/>
    </row>
    <row r="194" spans="1:26" ht="18.75">
      <c r="A194" s="949"/>
      <c r="B194" s="950"/>
      <c r="C194" s="950"/>
      <c r="D194" s="956" t="s">
        <v>92</v>
      </c>
      <c r="E194" s="957"/>
      <c r="F194" s="957"/>
      <c r="G194" s="958"/>
      <c r="H194" s="277" t="s">
        <v>35</v>
      </c>
      <c r="I194" s="830"/>
      <c r="J194" s="830">
        <f>J195+J196</f>
        <v>53</v>
      </c>
      <c r="K194" s="831"/>
      <c r="L194" s="831"/>
      <c r="M194" s="831"/>
      <c r="N194" s="831"/>
      <c r="O194" s="831"/>
      <c r="P194" s="831"/>
      <c r="Q194" s="818"/>
      <c r="R194" s="818"/>
      <c r="S194" s="818"/>
      <c r="T194" s="818"/>
      <c r="U194" s="818"/>
      <c r="V194" s="818"/>
      <c r="W194" s="818"/>
      <c r="X194" s="818"/>
      <c r="Y194" s="818"/>
      <c r="Z194" s="818"/>
    </row>
    <row r="195" spans="1:26" ht="18.75">
      <c r="A195" s="949"/>
      <c r="B195" s="950"/>
      <c r="C195" s="950"/>
      <c r="D195" s="950"/>
      <c r="E195" s="956" t="s">
        <v>93</v>
      </c>
      <c r="F195" s="957"/>
      <c r="G195" s="958"/>
      <c r="H195" s="277" t="s">
        <v>35</v>
      </c>
      <c r="I195" s="830"/>
      <c r="J195" s="959">
        <v>53</v>
      </c>
      <c r="K195" s="831"/>
      <c r="L195" s="831"/>
      <c r="M195" s="831"/>
      <c r="N195" s="831"/>
      <c r="O195" s="831"/>
      <c r="P195" s="831"/>
      <c r="Q195" s="818"/>
      <c r="R195" s="818"/>
      <c r="S195" s="818"/>
      <c r="T195" s="818"/>
      <c r="U195" s="818"/>
      <c r="V195" s="818"/>
      <c r="W195" s="818"/>
      <c r="X195" s="818"/>
      <c r="Y195" s="818"/>
      <c r="Z195" s="818"/>
    </row>
    <row r="196" spans="1:26" ht="18.75">
      <c r="A196" s="949"/>
      <c r="B196" s="950"/>
      <c r="C196" s="950"/>
      <c r="D196" s="950"/>
      <c r="E196" s="956" t="s">
        <v>94</v>
      </c>
      <c r="F196" s="957"/>
      <c r="G196" s="958"/>
      <c r="H196" s="277" t="s">
        <v>35</v>
      </c>
      <c r="I196" s="830"/>
      <c r="J196" s="959">
        <v>0</v>
      </c>
      <c r="K196" s="831"/>
      <c r="L196" s="831"/>
      <c r="M196" s="831"/>
      <c r="N196" s="831"/>
      <c r="O196" s="831"/>
      <c r="P196" s="831"/>
      <c r="Q196" s="818"/>
      <c r="R196" s="818"/>
      <c r="S196" s="818"/>
      <c r="T196" s="818"/>
      <c r="U196" s="818"/>
      <c r="V196" s="818"/>
      <c r="W196" s="818"/>
      <c r="X196" s="818"/>
      <c r="Y196" s="818"/>
      <c r="Z196" s="818"/>
    </row>
    <row r="197" spans="1:26" ht="19.5">
      <c r="A197" s="1011"/>
      <c r="B197" s="1018"/>
      <c r="C197" s="1023" t="s">
        <v>95</v>
      </c>
      <c r="D197" s="1012"/>
      <c r="E197" s="1012"/>
      <c r="F197" s="1012"/>
      <c r="G197" s="1014"/>
      <c r="H197" s="278" t="s">
        <v>96</v>
      </c>
      <c r="I197" s="1024">
        <f t="shared" ref="I197:J197" ca="1" si="99">I204</f>
        <v>3</v>
      </c>
      <c r="J197" s="1024">
        <f t="shared" si="99"/>
        <v>3</v>
      </c>
      <c r="K197" s="1025">
        <f ca="1">IF(I197&gt;0,J197*100/I197,0)</f>
        <v>100</v>
      </c>
      <c r="L197" s="1016"/>
      <c r="M197" s="1016"/>
      <c r="N197" s="1016"/>
      <c r="O197" s="1016"/>
      <c r="P197" s="1016"/>
    </row>
    <row r="198" spans="1:26" ht="19.5">
      <c r="A198" s="932"/>
      <c r="B198" s="933"/>
      <c r="C198" s="934" t="s">
        <v>16</v>
      </c>
      <c r="D198" s="1026" t="s">
        <v>17</v>
      </c>
      <c r="E198" s="933"/>
      <c r="F198" s="933"/>
      <c r="G198" s="936"/>
      <c r="H198" s="275" t="s">
        <v>12</v>
      </c>
      <c r="I198" s="1028"/>
      <c r="J198" s="1028"/>
      <c r="K198" s="1029"/>
      <c r="L198" s="939">
        <f ca="1">L199+L200+L201+L202</f>
        <v>39000</v>
      </c>
      <c r="M198" s="939"/>
      <c r="N198" s="939">
        <f>N199+N200+N201+N202</f>
        <v>23928</v>
      </c>
      <c r="O198" s="939">
        <f ca="1">IF(L198&gt;0,N198*100/L198,0)</f>
        <v>61.353846153846156</v>
      </c>
      <c r="P198" s="939">
        <f>IF(M198&gt;0,N198*100/M198,0)</f>
        <v>0</v>
      </c>
      <c r="Q198" s="818"/>
      <c r="R198" s="818"/>
      <c r="S198" s="818"/>
      <c r="T198" s="818"/>
      <c r="U198" s="818"/>
      <c r="V198" s="818"/>
      <c r="W198" s="818"/>
      <c r="X198" s="818"/>
      <c r="Y198" s="818"/>
      <c r="Z198" s="818"/>
    </row>
    <row r="199" spans="1:26" ht="18.75">
      <c r="A199" s="942"/>
      <c r="B199" s="1030"/>
      <c r="C199" s="827"/>
      <c r="D199" s="943" t="s">
        <v>97</v>
      </c>
      <c r="E199" s="827"/>
      <c r="F199" s="827"/>
      <c r="G199" s="829"/>
      <c r="H199" s="778" t="s">
        <v>12</v>
      </c>
      <c r="I199" s="944"/>
      <c r="J199" s="944"/>
      <c r="K199" s="945"/>
      <c r="L199" s="831">
        <f ca="1">IFERROR(__xludf.DUMMYFUNCTION("IMPORTRANGE(""https://docs.google.com/spreadsheets/d/1QqKyyYR6Q21VydFLVH3TRQUabQu_ym0Zz7PgGX0-kHA/edit?usp=sharing"",""แผน!AE21"")"),3000)</f>
        <v>3000</v>
      </c>
      <c r="M199" s="831"/>
      <c r="N199" s="1031">
        <v>0</v>
      </c>
      <c r="O199" s="831"/>
      <c r="P199" s="831"/>
      <c r="Q199" s="818"/>
      <c r="R199" s="818"/>
      <c r="S199" s="818"/>
      <c r="T199" s="818"/>
      <c r="U199" s="818"/>
      <c r="V199" s="818"/>
      <c r="W199" s="818"/>
      <c r="X199" s="818"/>
      <c r="Y199" s="818"/>
      <c r="Z199" s="818"/>
    </row>
    <row r="200" spans="1:26" ht="19.5">
      <c r="A200" s="1032"/>
      <c r="B200" s="1030"/>
      <c r="C200" s="976"/>
      <c r="D200" s="943" t="s">
        <v>98</v>
      </c>
      <c r="E200" s="827"/>
      <c r="F200" s="827"/>
      <c r="G200" s="829"/>
      <c r="H200" s="590" t="s">
        <v>12</v>
      </c>
      <c r="I200" s="830"/>
      <c r="J200" s="830"/>
      <c r="K200" s="831"/>
      <c r="L200" s="831">
        <f ca="1">IFERROR(__xludf.DUMMYFUNCTION("IMPORTRANGE(""https://docs.google.com/spreadsheets/d/1QqKyyYR6Q21VydFLVH3TRQUabQu_ym0Zz7PgGX0-kHA/edit?usp=sharing"",""แผน!AF21"")"),24000)</f>
        <v>24000</v>
      </c>
      <c r="M200" s="831"/>
      <c r="N200" s="1031">
        <v>23928</v>
      </c>
      <c r="O200" s="831"/>
      <c r="P200" s="831"/>
      <c r="Q200" s="1033"/>
      <c r="R200" s="1033"/>
      <c r="S200" s="1033"/>
      <c r="T200" s="1033"/>
      <c r="U200" s="1033"/>
      <c r="V200" s="1033"/>
      <c r="W200" s="1033"/>
      <c r="X200" s="1033"/>
      <c r="Y200" s="1033"/>
      <c r="Z200" s="1033"/>
    </row>
    <row r="201" spans="1:26" ht="19.5">
      <c r="A201" s="1032"/>
      <c r="B201" s="1030"/>
      <c r="C201" s="976"/>
      <c r="D201" s="943" t="s">
        <v>99</v>
      </c>
      <c r="E201" s="827"/>
      <c r="F201" s="827"/>
      <c r="G201" s="829"/>
      <c r="H201" s="590" t="s">
        <v>12</v>
      </c>
      <c r="I201" s="830"/>
      <c r="J201" s="830"/>
      <c r="K201" s="831"/>
      <c r="L201" s="831">
        <f ca="1">IFERROR(__xludf.DUMMYFUNCTION("IMPORTRANGE(""https://docs.google.com/spreadsheets/d/1QqKyyYR6Q21VydFLVH3TRQUabQu_ym0Zz7PgGX0-kHA/edit?usp=sharing"",""แผน!AG21"")"),12000)</f>
        <v>12000</v>
      </c>
      <c r="M201" s="831"/>
      <c r="N201" s="1031">
        <v>0</v>
      </c>
      <c r="O201" s="831"/>
      <c r="P201" s="831"/>
      <c r="Q201" s="1033"/>
      <c r="R201" s="1033"/>
      <c r="S201" s="1033"/>
      <c r="T201" s="1033"/>
      <c r="U201" s="1033"/>
      <c r="V201" s="1033"/>
      <c r="W201" s="1033"/>
      <c r="X201" s="1033"/>
      <c r="Y201" s="1033"/>
      <c r="Z201" s="1033"/>
    </row>
    <row r="202" spans="1:26" ht="19.5">
      <c r="A202" s="1032"/>
      <c r="B202" s="1030"/>
      <c r="C202" s="976"/>
      <c r="D202" s="943" t="s">
        <v>100</v>
      </c>
      <c r="E202" s="827"/>
      <c r="F202" s="827"/>
      <c r="G202" s="829"/>
      <c r="H202" s="590" t="s">
        <v>12</v>
      </c>
      <c r="I202" s="830"/>
      <c r="J202" s="830"/>
      <c r="K202" s="831"/>
      <c r="L202" s="831">
        <f ca="1">IFERROR(__xludf.DUMMYFUNCTION("IMPORTRANGE(""https://docs.google.com/spreadsheets/d/1QqKyyYR6Q21VydFLVH3TRQUabQu_ym0Zz7PgGX0-kHA/edit?usp=sharing"",""แผน!AH21"")"),0)</f>
        <v>0</v>
      </c>
      <c r="M202" s="831"/>
      <c r="N202" s="1031">
        <v>0</v>
      </c>
      <c r="O202" s="831"/>
      <c r="P202" s="831"/>
      <c r="Q202" s="1033"/>
      <c r="R202" s="1033"/>
      <c r="S202" s="1033"/>
      <c r="T202" s="1033"/>
      <c r="U202" s="1033"/>
      <c r="V202" s="1033"/>
      <c r="W202" s="1033"/>
      <c r="X202" s="1033"/>
      <c r="Y202" s="1033"/>
      <c r="Z202" s="1033"/>
    </row>
    <row r="203" spans="1:26" ht="19.5">
      <c r="A203" s="949"/>
      <c r="B203" s="950"/>
      <c r="C203" s="976" t="s">
        <v>16</v>
      </c>
      <c r="D203" s="951" t="s">
        <v>38</v>
      </c>
      <c r="E203" s="952"/>
      <c r="F203" s="952"/>
      <c r="G203" s="953"/>
      <c r="H203" s="954"/>
      <c r="I203" s="944"/>
      <c r="J203" s="944"/>
      <c r="K203" s="945"/>
      <c r="L203" s="945"/>
      <c r="M203" s="945"/>
      <c r="N203" s="945"/>
      <c r="O203" s="945"/>
      <c r="P203" s="945"/>
      <c r="Q203" s="818"/>
      <c r="R203" s="818"/>
      <c r="S203" s="818"/>
      <c r="T203" s="818"/>
      <c r="U203" s="818"/>
      <c r="V203" s="818"/>
      <c r="W203" s="818"/>
      <c r="X203" s="818"/>
      <c r="Y203" s="818"/>
      <c r="Z203" s="818"/>
    </row>
    <row r="204" spans="1:26" ht="18.75">
      <c r="A204" s="949"/>
      <c r="B204" s="950"/>
      <c r="C204" s="950"/>
      <c r="D204" s="955" t="s">
        <v>101</v>
      </c>
      <c r="E204" s="957"/>
      <c r="F204" s="957"/>
      <c r="G204" s="958"/>
      <c r="H204" s="954" t="s">
        <v>96</v>
      </c>
      <c r="I204" s="830">
        <f ca="1">IFERROR(__xludf.DUMMYFUNCTION("IMPORTRANGE(""https://docs.google.com/spreadsheets/d/1QqKyyYR6Q21VydFLVH3TRQUabQu_ym0Zz7PgGX0-kHA/edit?usp=sharing"",""แผน!AI21"")"),3)</f>
        <v>3</v>
      </c>
      <c r="J204" s="959">
        <v>3</v>
      </c>
      <c r="K204" s="945">
        <f ca="1">IF(I204&gt;0,J204*100/I204,0)</f>
        <v>100</v>
      </c>
      <c r="L204" s="831"/>
      <c r="M204" s="831"/>
      <c r="N204" s="831"/>
      <c r="O204" s="831"/>
      <c r="P204" s="831"/>
      <c r="Q204" s="818"/>
      <c r="R204" s="818"/>
      <c r="S204" s="818"/>
      <c r="T204" s="818"/>
      <c r="U204" s="818"/>
      <c r="V204" s="818"/>
      <c r="W204" s="818"/>
      <c r="X204" s="818"/>
      <c r="Y204" s="818"/>
      <c r="Z204" s="818"/>
    </row>
    <row r="205" spans="1:26" ht="18.75">
      <c r="A205" s="949"/>
      <c r="B205" s="950"/>
      <c r="C205" s="950"/>
      <c r="D205" s="956" t="s">
        <v>59</v>
      </c>
      <c r="E205" s="957"/>
      <c r="F205" s="957"/>
      <c r="G205" s="958"/>
      <c r="H205" s="954"/>
      <c r="I205" s="830"/>
      <c r="J205" s="830"/>
      <c r="K205" s="945"/>
      <c r="L205" s="831"/>
      <c r="M205" s="831"/>
      <c r="N205" s="831"/>
      <c r="O205" s="831"/>
      <c r="P205" s="831"/>
      <c r="Q205" s="818"/>
      <c r="R205" s="818"/>
      <c r="S205" s="818"/>
      <c r="T205" s="818"/>
      <c r="U205" s="818"/>
      <c r="V205" s="818"/>
      <c r="W205" s="818"/>
      <c r="X205" s="818"/>
      <c r="Y205" s="818"/>
      <c r="Z205" s="818"/>
    </row>
    <row r="206" spans="1:26" ht="18.75">
      <c r="A206" s="949"/>
      <c r="B206" s="950"/>
      <c r="C206" s="950"/>
      <c r="D206" s="957"/>
      <c r="E206" s="968" t="s">
        <v>102</v>
      </c>
      <c r="F206" s="1034"/>
      <c r="G206" s="1035"/>
      <c r="H206" s="1036" t="s">
        <v>96</v>
      </c>
      <c r="I206" s="830">
        <v>3</v>
      </c>
      <c r="J206" s="959">
        <v>0</v>
      </c>
      <c r="K206" s="945">
        <f t="shared" ref="K206:K208" si="100">IF(I206&gt;0,J206*100/I206,0)</f>
        <v>0</v>
      </c>
      <c r="L206" s="831"/>
      <c r="M206" s="831"/>
      <c r="N206" s="831"/>
      <c r="O206" s="831"/>
      <c r="P206" s="831"/>
      <c r="Q206" s="818"/>
      <c r="R206" s="818"/>
      <c r="S206" s="818"/>
      <c r="T206" s="818"/>
      <c r="U206" s="818"/>
      <c r="V206" s="818"/>
      <c r="W206" s="818"/>
      <c r="X206" s="818"/>
      <c r="Y206" s="818"/>
      <c r="Z206" s="818"/>
    </row>
    <row r="207" spans="1:26" ht="18.75">
      <c r="A207" s="949"/>
      <c r="B207" s="950"/>
      <c r="C207" s="950"/>
      <c r="D207" s="956"/>
      <c r="E207" s="956" t="s">
        <v>103</v>
      </c>
      <c r="F207" s="957"/>
      <c r="G207" s="957"/>
      <c r="H207" s="290" t="s">
        <v>104</v>
      </c>
      <c r="I207" s="830">
        <v>0</v>
      </c>
      <c r="J207" s="959">
        <v>0</v>
      </c>
      <c r="K207" s="945">
        <f t="shared" si="100"/>
        <v>0</v>
      </c>
      <c r="L207" s="831"/>
      <c r="M207" s="831"/>
      <c r="N207" s="831"/>
      <c r="O207" s="831"/>
      <c r="P207" s="831"/>
      <c r="Q207" s="818"/>
      <c r="R207" s="818"/>
      <c r="S207" s="818"/>
      <c r="T207" s="818"/>
      <c r="U207" s="818"/>
      <c r="V207" s="818"/>
      <c r="W207" s="818"/>
      <c r="X207" s="818"/>
      <c r="Y207" s="818"/>
      <c r="Z207" s="818"/>
    </row>
    <row r="208" spans="1:26" ht="19.5" hidden="1">
      <c r="A208" s="1011"/>
      <c r="B208" s="1018"/>
      <c r="C208" s="1023" t="s">
        <v>105</v>
      </c>
      <c r="D208" s="1012"/>
      <c r="E208" s="1012"/>
      <c r="F208" s="1037"/>
      <c r="G208" s="1014"/>
      <c r="H208" s="278" t="s">
        <v>96</v>
      </c>
      <c r="I208" s="1024">
        <f t="shared" ref="I208:J208" ca="1" si="101">I215</f>
        <v>0</v>
      </c>
      <c r="J208" s="1024">
        <f t="shared" si="101"/>
        <v>0</v>
      </c>
      <c r="K208" s="1025">
        <f t="shared" ca="1" si="100"/>
        <v>0</v>
      </c>
      <c r="L208" s="1016"/>
      <c r="M208" s="1016"/>
      <c r="N208" s="1016"/>
      <c r="O208" s="1016"/>
      <c r="P208" s="1016"/>
    </row>
    <row r="209" spans="1:26" ht="19.5" hidden="1">
      <c r="A209" s="932"/>
      <c r="B209" s="933"/>
      <c r="C209" s="934" t="s">
        <v>16</v>
      </c>
      <c r="D209" s="1026" t="s">
        <v>17</v>
      </c>
      <c r="E209" s="933"/>
      <c r="F209" s="933"/>
      <c r="G209" s="936"/>
      <c r="H209" s="275" t="s">
        <v>12</v>
      </c>
      <c r="I209" s="1028"/>
      <c r="J209" s="1028"/>
      <c r="K209" s="1029"/>
      <c r="L209" s="939">
        <f ca="1">L210+L211+L212</f>
        <v>0</v>
      </c>
      <c r="M209" s="939"/>
      <c r="N209" s="939">
        <f>N210+N211+N212</f>
        <v>0</v>
      </c>
      <c r="O209" s="939">
        <f ca="1">IF(L209&gt;0,N209*100/L209,0)</f>
        <v>0</v>
      </c>
      <c r="P209" s="939">
        <f>IF(M209&gt;0,N209*100/M209,0)</f>
        <v>0</v>
      </c>
      <c r="Q209" s="818"/>
      <c r="R209" s="818"/>
      <c r="S209" s="818"/>
      <c r="T209" s="818"/>
      <c r="U209" s="818"/>
      <c r="V209" s="818"/>
      <c r="W209" s="818"/>
      <c r="X209" s="818"/>
      <c r="Y209" s="818"/>
      <c r="Z209" s="818"/>
    </row>
    <row r="210" spans="1:26" ht="18.75" hidden="1">
      <c r="A210" s="942"/>
      <c r="B210" s="1030"/>
      <c r="C210" s="827"/>
      <c r="D210" s="943" t="s">
        <v>97</v>
      </c>
      <c r="E210" s="827"/>
      <c r="F210" s="827"/>
      <c r="G210" s="829"/>
      <c r="H210" s="778" t="s">
        <v>12</v>
      </c>
      <c r="I210" s="944"/>
      <c r="J210" s="944"/>
      <c r="K210" s="945"/>
      <c r="L210" s="831">
        <f ca="1">IFERROR(__xludf.DUMMYFUNCTION("IMPORTRANGE(""https://docs.google.com/spreadsheets/d/1QqKyyYR6Q21VydFLVH3TRQUabQu_ym0Zz7PgGX0-kHA/edit?usp=sharing"",""แผน!AK21"")"),0)</f>
        <v>0</v>
      </c>
      <c r="M210" s="831"/>
      <c r="N210" s="1031">
        <v>0</v>
      </c>
      <c r="O210" s="831"/>
      <c r="P210" s="831"/>
      <c r="Q210" s="818"/>
      <c r="R210" s="818"/>
      <c r="S210" s="818"/>
      <c r="T210" s="818"/>
      <c r="U210" s="818"/>
      <c r="V210" s="818"/>
      <c r="W210" s="818"/>
      <c r="X210" s="818"/>
      <c r="Y210" s="818"/>
      <c r="Z210" s="818"/>
    </row>
    <row r="211" spans="1:26" ht="19.5" hidden="1">
      <c r="A211" s="1032"/>
      <c r="B211" s="1030"/>
      <c r="C211" s="1038"/>
      <c r="D211" s="943" t="s">
        <v>99</v>
      </c>
      <c r="E211" s="827"/>
      <c r="F211" s="827"/>
      <c r="G211" s="829"/>
      <c r="H211" s="778" t="s">
        <v>12</v>
      </c>
      <c r="I211" s="830"/>
      <c r="J211" s="830"/>
      <c r="K211" s="831"/>
      <c r="L211" s="831">
        <f ca="1">IFERROR(__xludf.DUMMYFUNCTION("IMPORTRANGE(""https://docs.google.com/spreadsheets/d/1QqKyyYR6Q21VydFLVH3TRQUabQu_ym0Zz7PgGX0-kHA/edit?usp=sharing"",""แผน!AL21"")"),0)</f>
        <v>0</v>
      </c>
      <c r="M211" s="831"/>
      <c r="N211" s="1031">
        <v>0</v>
      </c>
      <c r="O211" s="831"/>
      <c r="P211" s="831"/>
      <c r="Q211" s="1033"/>
      <c r="R211" s="1033"/>
      <c r="S211" s="1033"/>
      <c r="T211" s="1033"/>
      <c r="U211" s="1033"/>
      <c r="V211" s="1033"/>
      <c r="W211" s="1033"/>
      <c r="X211" s="1033"/>
      <c r="Y211" s="1033"/>
      <c r="Z211" s="1033"/>
    </row>
    <row r="212" spans="1:26" ht="19.5" hidden="1">
      <c r="A212" s="1032"/>
      <c r="B212" s="1030"/>
      <c r="C212" s="1038"/>
      <c r="D212" s="943" t="s">
        <v>98</v>
      </c>
      <c r="E212" s="827"/>
      <c r="F212" s="827"/>
      <c r="G212" s="829"/>
      <c r="H212" s="778" t="s">
        <v>12</v>
      </c>
      <c r="I212" s="830"/>
      <c r="J212" s="830"/>
      <c r="K212" s="831"/>
      <c r="L212" s="831">
        <f ca="1">IFERROR(__xludf.DUMMYFUNCTION("IMPORTRANGE(""https://docs.google.com/spreadsheets/d/1QqKyyYR6Q21VydFLVH3TRQUabQu_ym0Zz7PgGX0-kHA/edit?usp=sharing"",""แผน!AM21"")"),0)</f>
        <v>0</v>
      </c>
      <c r="M212" s="831"/>
      <c r="N212" s="1031">
        <v>0</v>
      </c>
      <c r="O212" s="831"/>
      <c r="P212" s="831"/>
      <c r="Q212" s="1033"/>
      <c r="R212" s="1033"/>
      <c r="S212" s="1033"/>
      <c r="T212" s="1033"/>
      <c r="U212" s="1033"/>
      <c r="V212" s="1033"/>
      <c r="W212" s="1033"/>
      <c r="X212" s="1033"/>
      <c r="Y212" s="1033"/>
      <c r="Z212" s="1033"/>
    </row>
    <row r="213" spans="1:26" ht="19.5" hidden="1">
      <c r="A213" s="949"/>
      <c r="B213" s="950"/>
      <c r="C213" s="1038" t="s">
        <v>16</v>
      </c>
      <c r="D213" s="951" t="s">
        <v>38</v>
      </c>
      <c r="E213" s="952"/>
      <c r="F213" s="952"/>
      <c r="G213" s="953"/>
      <c r="H213" s="954"/>
      <c r="I213" s="944"/>
      <c r="J213" s="830"/>
      <c r="K213" s="831"/>
      <c r="L213" s="831"/>
      <c r="M213" s="831"/>
      <c r="N213" s="831"/>
      <c r="O213" s="945"/>
      <c r="P213" s="945"/>
      <c r="Q213" s="818"/>
      <c r="R213" s="818"/>
      <c r="S213" s="818"/>
      <c r="T213" s="818"/>
      <c r="U213" s="818"/>
      <c r="V213" s="818"/>
      <c r="W213" s="818"/>
      <c r="X213" s="818"/>
      <c r="Y213" s="818"/>
      <c r="Z213" s="818"/>
    </row>
    <row r="214" spans="1:26" ht="18.75" hidden="1">
      <c r="A214" s="949"/>
      <c r="B214" s="950"/>
      <c r="C214" s="950"/>
      <c r="D214" s="955" t="s">
        <v>106</v>
      </c>
      <c r="E214" s="957"/>
      <c r="F214" s="957"/>
      <c r="G214" s="958"/>
      <c r="H214" s="954" t="s">
        <v>96</v>
      </c>
      <c r="I214" s="830">
        <f ca="1">IFERROR(__xludf.DUMMYFUNCTION("IMPORTRANGE(""https://docs.google.com/spreadsheets/d/1QqKyyYR6Q21VydFLVH3TRQUabQu_ym0Zz7PgGX0-kHA/edit?usp=sharing"",""แผน!AN21"")"),0)</f>
        <v>0</v>
      </c>
      <c r="J214" s="959">
        <v>0</v>
      </c>
      <c r="K214" s="831">
        <f t="shared" ref="K214:K216" ca="1" si="102">IF(I214&gt;0,J214*100/I214,0)</f>
        <v>0</v>
      </c>
      <c r="L214" s="831"/>
      <c r="M214" s="831"/>
      <c r="N214" s="831"/>
      <c r="O214" s="831"/>
      <c r="P214" s="831"/>
      <c r="Q214" s="818"/>
      <c r="R214" s="818"/>
      <c r="S214" s="818"/>
      <c r="T214" s="818"/>
      <c r="U214" s="818"/>
      <c r="V214" s="818"/>
      <c r="W214" s="818"/>
      <c r="X214" s="818"/>
      <c r="Y214" s="818"/>
      <c r="Z214" s="818"/>
    </row>
    <row r="215" spans="1:26" ht="18.75" hidden="1">
      <c r="A215" s="949"/>
      <c r="B215" s="950"/>
      <c r="C215" s="950"/>
      <c r="D215" s="955" t="s">
        <v>107</v>
      </c>
      <c r="E215" s="957"/>
      <c r="F215" s="957"/>
      <c r="G215" s="958"/>
      <c r="H215" s="954" t="s">
        <v>96</v>
      </c>
      <c r="I215" s="830">
        <f ca="1">IFERROR(__xludf.DUMMYFUNCTION("IMPORTRANGE(""https://docs.google.com/spreadsheets/d/1QqKyyYR6Q21VydFLVH3TRQUabQu_ym0Zz7PgGX0-kHA/edit?usp=sharing"",""แผน!AN21"")"),0)</f>
        <v>0</v>
      </c>
      <c r="J215" s="959">
        <v>0</v>
      </c>
      <c r="K215" s="831">
        <f t="shared" ca="1" si="102"/>
        <v>0</v>
      </c>
      <c r="L215" s="831"/>
      <c r="M215" s="831"/>
      <c r="N215" s="831"/>
      <c r="O215" s="831"/>
      <c r="P215" s="831"/>
      <c r="Q215" s="818"/>
      <c r="R215" s="818"/>
      <c r="S215" s="818"/>
      <c r="T215" s="818"/>
      <c r="U215" s="818"/>
      <c r="V215" s="818"/>
      <c r="W215" s="818"/>
      <c r="X215" s="818"/>
      <c r="Y215" s="818"/>
      <c r="Z215" s="818"/>
    </row>
    <row r="216" spans="1:26" ht="19.5">
      <c r="A216" s="1011"/>
      <c r="B216" s="1018"/>
      <c r="C216" s="1023" t="s">
        <v>108</v>
      </c>
      <c r="D216" s="1012"/>
      <c r="E216" s="1012"/>
      <c r="F216" s="1037"/>
      <c r="G216" s="1014"/>
      <c r="H216" s="260" t="s">
        <v>109</v>
      </c>
      <c r="I216" s="1024">
        <f t="shared" ref="I216:J216" ca="1" si="103">I224</f>
        <v>20000</v>
      </c>
      <c r="J216" s="1024">
        <f t="shared" si="103"/>
        <v>0</v>
      </c>
      <c r="K216" s="1025">
        <f t="shared" ca="1" si="102"/>
        <v>0</v>
      </c>
      <c r="L216" s="1016"/>
      <c r="M216" s="1016"/>
      <c r="N216" s="1016"/>
      <c r="O216" s="1016"/>
      <c r="P216" s="1016"/>
    </row>
    <row r="217" spans="1:26" ht="19.5">
      <c r="A217" s="932"/>
      <c r="B217" s="933"/>
      <c r="C217" s="934" t="s">
        <v>16</v>
      </c>
      <c r="D217" s="1026" t="s">
        <v>17</v>
      </c>
      <c r="E217" s="933"/>
      <c r="F217" s="933"/>
      <c r="G217" s="936"/>
      <c r="H217" s="275" t="s">
        <v>12</v>
      </c>
      <c r="I217" s="1028"/>
      <c r="J217" s="1028"/>
      <c r="K217" s="1029"/>
      <c r="L217" s="939">
        <f ca="1">L218+L219+L220</f>
        <v>8000</v>
      </c>
      <c r="M217" s="939"/>
      <c r="N217" s="939">
        <f>N218+N219+N220</f>
        <v>0</v>
      </c>
      <c r="O217" s="939">
        <f ca="1">IF(L217&gt;0,N217*100/L217,0)</f>
        <v>0</v>
      </c>
      <c r="P217" s="939">
        <f>IF(M217&gt;0,N217*100/M217,0)</f>
        <v>0</v>
      </c>
      <c r="Q217" s="818"/>
      <c r="R217" s="818"/>
      <c r="S217" s="818"/>
      <c r="T217" s="818"/>
      <c r="U217" s="818"/>
      <c r="V217" s="818"/>
      <c r="W217" s="818"/>
      <c r="X217" s="818"/>
      <c r="Y217" s="818"/>
      <c r="Z217" s="818"/>
    </row>
    <row r="218" spans="1:26" ht="18.75">
      <c r="A218" s="942"/>
      <c r="B218" s="1030"/>
      <c r="C218" s="827"/>
      <c r="D218" s="943" t="s">
        <v>97</v>
      </c>
      <c r="E218" s="827"/>
      <c r="F218" s="827"/>
      <c r="G218" s="829"/>
      <c r="H218" s="778" t="s">
        <v>12</v>
      </c>
      <c r="I218" s="944"/>
      <c r="J218" s="944"/>
      <c r="K218" s="945"/>
      <c r="L218" s="831">
        <f ca="1">IFERROR(__xludf.DUMMYFUNCTION("IMPORTRANGE(""https://docs.google.com/spreadsheets/d/1QqKyyYR6Q21VydFLVH3TRQUabQu_ym0Zz7PgGX0-kHA/edit?usp=sharing"",""แผน!AP21"")"),3000)</f>
        <v>3000</v>
      </c>
      <c r="M218" s="831"/>
      <c r="N218" s="1031">
        <v>0</v>
      </c>
      <c r="O218" s="831"/>
      <c r="P218" s="831"/>
      <c r="Q218" s="818"/>
      <c r="R218" s="818"/>
      <c r="S218" s="818"/>
      <c r="T218" s="818"/>
      <c r="U218" s="818"/>
      <c r="V218" s="818"/>
      <c r="W218" s="818"/>
      <c r="X218" s="818"/>
      <c r="Y218" s="818"/>
      <c r="Z218" s="818"/>
    </row>
    <row r="219" spans="1:26" ht="19.5">
      <c r="A219" s="1032"/>
      <c r="B219" s="1030"/>
      <c r="C219" s="1038"/>
      <c r="D219" s="943" t="s">
        <v>110</v>
      </c>
      <c r="E219" s="827"/>
      <c r="F219" s="827"/>
      <c r="G219" s="829"/>
      <c r="H219" s="778" t="s">
        <v>12</v>
      </c>
      <c r="I219" s="830"/>
      <c r="J219" s="830"/>
      <c r="K219" s="831"/>
      <c r="L219" s="831">
        <f ca="1">IFERROR(__xludf.DUMMYFUNCTION("IMPORTRANGE(""https://docs.google.com/spreadsheets/d/1QqKyyYR6Q21VydFLVH3TRQUabQu_ym0Zz7PgGX0-kHA/edit?usp=sharing"",""แผน!AQ21"")"),5000)</f>
        <v>5000</v>
      </c>
      <c r="M219" s="831"/>
      <c r="N219" s="1031">
        <v>0</v>
      </c>
      <c r="O219" s="831"/>
      <c r="P219" s="831"/>
      <c r="Q219" s="1033"/>
      <c r="R219" s="1033"/>
      <c r="S219" s="1033"/>
      <c r="T219" s="1033"/>
      <c r="U219" s="1033"/>
      <c r="V219" s="1033"/>
      <c r="W219" s="1033"/>
      <c r="X219" s="1033"/>
      <c r="Y219" s="1033"/>
      <c r="Z219" s="1033"/>
    </row>
    <row r="220" spans="1:26" ht="19.5">
      <c r="A220" s="1032"/>
      <c r="B220" s="1030"/>
      <c r="C220" s="1038"/>
      <c r="D220" s="943" t="s">
        <v>98</v>
      </c>
      <c r="E220" s="827"/>
      <c r="F220" s="827"/>
      <c r="G220" s="829"/>
      <c r="H220" s="778" t="s">
        <v>12</v>
      </c>
      <c r="I220" s="830"/>
      <c r="J220" s="830"/>
      <c r="K220" s="831"/>
      <c r="L220" s="831">
        <f ca="1">IFERROR(__xludf.DUMMYFUNCTION("IMPORTRANGE(""https://docs.google.com/spreadsheets/d/1QqKyyYR6Q21VydFLVH3TRQUabQu_ym0Zz7PgGX0-kHA/edit?usp=sharing"",""แผน!AR21"")"),0)</f>
        <v>0</v>
      </c>
      <c r="M220" s="831"/>
      <c r="N220" s="1031">
        <v>0</v>
      </c>
      <c r="O220" s="831"/>
      <c r="P220" s="831"/>
      <c r="Q220" s="1033"/>
      <c r="R220" s="1033"/>
      <c r="S220" s="1033"/>
      <c r="T220" s="1033"/>
      <c r="U220" s="1033"/>
      <c r="V220" s="1033"/>
      <c r="W220" s="1033"/>
      <c r="X220" s="1033"/>
      <c r="Y220" s="1033"/>
      <c r="Z220" s="1033"/>
    </row>
    <row r="221" spans="1:26" ht="19.5">
      <c r="A221" s="949"/>
      <c r="B221" s="950"/>
      <c r="C221" s="1038" t="s">
        <v>16</v>
      </c>
      <c r="D221" s="951" t="s">
        <v>38</v>
      </c>
      <c r="E221" s="952"/>
      <c r="F221" s="952"/>
      <c r="G221" s="953"/>
      <c r="H221" s="954"/>
      <c r="I221" s="944"/>
      <c r="J221" s="944"/>
      <c r="K221" s="945"/>
      <c r="L221" s="945"/>
      <c r="M221" s="945"/>
      <c r="N221" s="945"/>
      <c r="O221" s="945"/>
      <c r="P221" s="945"/>
      <c r="Q221" s="818"/>
      <c r="R221" s="818"/>
      <c r="S221" s="818"/>
      <c r="T221" s="818"/>
      <c r="U221" s="818"/>
      <c r="V221" s="818"/>
      <c r="W221" s="818"/>
      <c r="X221" s="818"/>
      <c r="Y221" s="818"/>
      <c r="Z221" s="818"/>
    </row>
    <row r="222" spans="1:26" ht="18.75">
      <c r="A222" s="949"/>
      <c r="B222" s="950"/>
      <c r="C222" s="950"/>
      <c r="D222" s="943" t="s">
        <v>111</v>
      </c>
      <c r="E222" s="957"/>
      <c r="F222" s="957"/>
      <c r="G222" s="958"/>
      <c r="H222" s="954"/>
      <c r="I222" s="830"/>
      <c r="J222" s="830"/>
      <c r="K222" s="945"/>
      <c r="L222" s="945"/>
      <c r="M222" s="945"/>
      <c r="N222" s="945"/>
      <c r="O222" s="945"/>
      <c r="P222" s="945"/>
      <c r="Q222" s="818"/>
      <c r="R222" s="818"/>
      <c r="S222" s="818"/>
      <c r="T222" s="818"/>
      <c r="U222" s="818"/>
      <c r="V222" s="818"/>
      <c r="W222" s="818"/>
      <c r="X222" s="818"/>
      <c r="Y222" s="818"/>
      <c r="Z222" s="818"/>
    </row>
    <row r="223" spans="1:26" ht="18.75">
      <c r="A223" s="949"/>
      <c r="B223" s="950"/>
      <c r="C223" s="950"/>
      <c r="D223" s="950"/>
      <c r="E223" s="955" t="s">
        <v>112</v>
      </c>
      <c r="F223" s="957"/>
      <c r="G223" s="958"/>
      <c r="H223" s="730" t="s">
        <v>109</v>
      </c>
      <c r="I223" s="830">
        <f ca="1">IFERROR(__xludf.DUMMYFUNCTION("IMPORTRANGE(""https://docs.google.com/spreadsheets/d/1QqKyyYR6Q21VydFLVH3TRQUabQu_ym0Zz7PgGX0-kHA/edit?usp=sharing"",""แผน!AT21"")"),20000)</f>
        <v>20000</v>
      </c>
      <c r="J223" s="959">
        <v>0</v>
      </c>
      <c r="K223" s="945">
        <f t="shared" ref="K223:K226" ca="1" si="104">IF(I223&gt;0,J223*100/I223,0)</f>
        <v>0</v>
      </c>
      <c r="L223" s="945"/>
      <c r="M223" s="945"/>
      <c r="N223" s="945"/>
      <c r="O223" s="945"/>
      <c r="P223" s="945"/>
      <c r="Q223" s="818"/>
      <c r="R223" s="818"/>
      <c r="S223" s="818"/>
      <c r="T223" s="818"/>
      <c r="U223" s="818"/>
      <c r="V223" s="818"/>
      <c r="W223" s="818"/>
      <c r="X223" s="818"/>
      <c r="Y223" s="818"/>
      <c r="Z223" s="818"/>
    </row>
    <row r="224" spans="1:26" ht="18.75">
      <c r="A224" s="949"/>
      <c r="B224" s="950"/>
      <c r="C224" s="950"/>
      <c r="D224" s="950"/>
      <c r="E224" s="955" t="s">
        <v>113</v>
      </c>
      <c r="F224" s="957"/>
      <c r="G224" s="958"/>
      <c r="H224" s="730" t="s">
        <v>109</v>
      </c>
      <c r="I224" s="830">
        <f ca="1">IFERROR(__xludf.DUMMYFUNCTION("IMPORTRANGE(""https://docs.google.com/spreadsheets/d/1QqKyyYR6Q21VydFLVH3TRQUabQu_ym0Zz7PgGX0-kHA/edit?usp=sharing"",""แผน!AT21"")"),20000)</f>
        <v>20000</v>
      </c>
      <c r="J224" s="959">
        <v>0</v>
      </c>
      <c r="K224" s="945">
        <f t="shared" ca="1" si="104"/>
        <v>0</v>
      </c>
      <c r="L224" s="831"/>
      <c r="M224" s="831"/>
      <c r="N224" s="831"/>
      <c r="O224" s="831"/>
      <c r="P224" s="831"/>
      <c r="Q224" s="818"/>
      <c r="R224" s="818"/>
      <c r="S224" s="818"/>
      <c r="T224" s="818"/>
      <c r="U224" s="818"/>
      <c r="V224" s="818"/>
      <c r="W224" s="818"/>
      <c r="X224" s="818"/>
      <c r="Y224" s="818"/>
      <c r="Z224" s="818"/>
    </row>
    <row r="225" spans="1:26" ht="18.75">
      <c r="A225" s="949"/>
      <c r="B225" s="950"/>
      <c r="C225" s="950"/>
      <c r="D225" s="943" t="s">
        <v>114</v>
      </c>
      <c r="E225" s="957"/>
      <c r="F225" s="957"/>
      <c r="G225" s="958"/>
      <c r="H225" s="730" t="s">
        <v>35</v>
      </c>
      <c r="I225" s="830">
        <f ca="1">IFERROR(__xludf.DUMMYFUNCTION("IMPORTRANGE(""https://docs.google.com/spreadsheets/d/1QqKyyYR6Q21VydFLVH3TRQUabQu_ym0Zz7PgGX0-kHA/edit?usp=sharing"",""แผน!AS21"")"),0)</f>
        <v>0</v>
      </c>
      <c r="J225" s="959">
        <v>0</v>
      </c>
      <c r="K225" s="945">
        <f t="shared" ca="1" si="104"/>
        <v>0</v>
      </c>
      <c r="L225" s="831"/>
      <c r="M225" s="831"/>
      <c r="N225" s="831"/>
      <c r="O225" s="831"/>
      <c r="P225" s="831"/>
      <c r="Q225" s="818"/>
      <c r="R225" s="818"/>
      <c r="S225" s="818"/>
      <c r="T225" s="818"/>
      <c r="U225" s="818"/>
      <c r="V225" s="818"/>
      <c r="W225" s="818"/>
      <c r="X225" s="818"/>
      <c r="Y225" s="818"/>
      <c r="Z225" s="818"/>
    </row>
    <row r="226" spans="1:26" ht="19.5" hidden="1">
      <c r="A226" s="1011"/>
      <c r="B226" s="1018"/>
      <c r="C226" s="1039" t="s">
        <v>115</v>
      </c>
      <c r="D226" s="1012"/>
      <c r="E226" s="1012"/>
      <c r="F226" s="1012"/>
      <c r="G226" s="1014"/>
      <c r="H226" s="266" t="s">
        <v>35</v>
      </c>
      <c r="I226" s="1040">
        <f t="shared" ref="I226:J226" ca="1" si="105">I237+I248</f>
        <v>0</v>
      </c>
      <c r="J226" s="1040">
        <f t="shared" si="105"/>
        <v>0</v>
      </c>
      <c r="K226" s="1041">
        <f t="shared" ca="1" si="104"/>
        <v>0</v>
      </c>
      <c r="L226" s="1016"/>
      <c r="M226" s="1016"/>
      <c r="N226" s="1016"/>
      <c r="O226" s="1016"/>
      <c r="P226" s="1016"/>
    </row>
    <row r="227" spans="1:26" ht="19.5" hidden="1">
      <c r="A227" s="1042"/>
      <c r="B227" s="1043"/>
      <c r="C227" s="1044" t="s">
        <v>16</v>
      </c>
      <c r="D227" s="1045" t="s">
        <v>17</v>
      </c>
      <c r="E227" s="1043"/>
      <c r="F227" s="1043"/>
      <c r="G227" s="1046"/>
      <c r="H227" s="1047" t="s">
        <v>12</v>
      </c>
      <c r="I227" s="1048"/>
      <c r="J227" s="1048"/>
      <c r="K227" s="1049"/>
      <c r="L227" s="1050">
        <f t="shared" ref="L227:L231" ca="1" si="106">L238+L249</f>
        <v>0</v>
      </c>
      <c r="M227" s="1050"/>
      <c r="N227" s="1050">
        <f t="shared" ref="N227:N231" si="107">N238+N249</f>
        <v>0</v>
      </c>
      <c r="O227" s="1051"/>
      <c r="P227" s="1051"/>
      <c r="Q227" s="825"/>
      <c r="R227" s="825"/>
      <c r="S227" s="825"/>
      <c r="T227" s="825"/>
      <c r="U227" s="825"/>
      <c r="V227" s="825"/>
      <c r="W227" s="825"/>
      <c r="X227" s="825"/>
      <c r="Y227" s="825"/>
      <c r="Z227" s="825"/>
    </row>
    <row r="228" spans="1:26" ht="18.75" hidden="1">
      <c r="A228" s="940"/>
      <c r="B228" s="1052"/>
      <c r="C228" s="833"/>
      <c r="D228" s="834" t="s">
        <v>97</v>
      </c>
      <c r="E228" s="833"/>
      <c r="F228" s="833"/>
      <c r="G228" s="835"/>
      <c r="H228" s="165" t="s">
        <v>12</v>
      </c>
      <c r="I228" s="947"/>
      <c r="J228" s="947"/>
      <c r="K228" s="948"/>
      <c r="L228" s="837">
        <f t="shared" ca="1" si="106"/>
        <v>0</v>
      </c>
      <c r="M228" s="837"/>
      <c r="N228" s="837">
        <f t="shared" si="107"/>
        <v>0</v>
      </c>
      <c r="O228" s="837"/>
      <c r="P228" s="837"/>
      <c r="Q228" s="825"/>
      <c r="R228" s="825"/>
      <c r="S228" s="825"/>
      <c r="T228" s="825"/>
      <c r="U228" s="825"/>
      <c r="V228" s="825"/>
      <c r="W228" s="825"/>
      <c r="X228" s="825"/>
      <c r="Y228" s="825"/>
      <c r="Z228" s="825"/>
    </row>
    <row r="229" spans="1:26" ht="19.5" hidden="1">
      <c r="A229" s="1053"/>
      <c r="B229" s="1052"/>
      <c r="C229" s="1054"/>
      <c r="D229" s="834" t="s">
        <v>98</v>
      </c>
      <c r="E229" s="833"/>
      <c r="F229" s="833"/>
      <c r="G229" s="835"/>
      <c r="H229" s="165" t="s">
        <v>12</v>
      </c>
      <c r="I229" s="836"/>
      <c r="J229" s="836"/>
      <c r="K229" s="837"/>
      <c r="L229" s="837">
        <f t="shared" ca="1" si="106"/>
        <v>0</v>
      </c>
      <c r="M229" s="837"/>
      <c r="N229" s="837">
        <f t="shared" si="107"/>
        <v>0</v>
      </c>
      <c r="O229" s="837"/>
      <c r="P229" s="837"/>
      <c r="Q229" s="1055"/>
      <c r="R229" s="1055"/>
      <c r="S229" s="1055"/>
      <c r="T229" s="1055"/>
      <c r="U229" s="1055"/>
      <c r="V229" s="1055"/>
      <c r="W229" s="1055"/>
      <c r="X229" s="1055"/>
      <c r="Y229" s="1055"/>
      <c r="Z229" s="1055"/>
    </row>
    <row r="230" spans="1:26" ht="19.5" hidden="1">
      <c r="A230" s="1053"/>
      <c r="B230" s="1052"/>
      <c r="C230" s="1054"/>
      <c r="D230" s="834" t="s">
        <v>116</v>
      </c>
      <c r="E230" s="833"/>
      <c r="F230" s="833"/>
      <c r="G230" s="835"/>
      <c r="H230" s="165" t="s">
        <v>12</v>
      </c>
      <c r="I230" s="836"/>
      <c r="J230" s="836"/>
      <c r="K230" s="837"/>
      <c r="L230" s="837">
        <f t="shared" ca="1" si="106"/>
        <v>0</v>
      </c>
      <c r="M230" s="837"/>
      <c r="N230" s="837">
        <f t="shared" si="107"/>
        <v>0</v>
      </c>
      <c r="O230" s="837"/>
      <c r="P230" s="837"/>
      <c r="Q230" s="1055"/>
      <c r="R230" s="1055"/>
      <c r="S230" s="1055"/>
      <c r="T230" s="1055"/>
      <c r="U230" s="1055"/>
      <c r="V230" s="1055"/>
      <c r="W230" s="1055"/>
      <c r="X230" s="1055"/>
      <c r="Y230" s="1055"/>
      <c r="Z230" s="1055"/>
    </row>
    <row r="231" spans="1:26" ht="19.5" hidden="1">
      <c r="A231" s="1053"/>
      <c r="B231" s="1052"/>
      <c r="C231" s="1054"/>
      <c r="D231" s="834" t="s">
        <v>100</v>
      </c>
      <c r="E231" s="833"/>
      <c r="F231" s="833"/>
      <c r="G231" s="835"/>
      <c r="H231" s="165" t="s">
        <v>12</v>
      </c>
      <c r="I231" s="836"/>
      <c r="J231" s="836"/>
      <c r="K231" s="837"/>
      <c r="L231" s="837">
        <f t="shared" ca="1" si="106"/>
        <v>0</v>
      </c>
      <c r="M231" s="837"/>
      <c r="N231" s="837">
        <f t="shared" si="107"/>
        <v>0</v>
      </c>
      <c r="O231" s="837"/>
      <c r="P231" s="837"/>
      <c r="Q231" s="1055"/>
      <c r="R231" s="1055"/>
      <c r="S231" s="1055"/>
      <c r="T231" s="1055"/>
      <c r="U231" s="1055"/>
      <c r="V231" s="1055"/>
      <c r="W231" s="1055"/>
      <c r="X231" s="1055"/>
      <c r="Y231" s="1055"/>
      <c r="Z231" s="1055"/>
    </row>
    <row r="232" spans="1:26" ht="19.5" hidden="1">
      <c r="A232" s="1056"/>
      <c r="B232" s="1057"/>
      <c r="C232" s="1054" t="s">
        <v>16</v>
      </c>
      <c r="D232" s="1020" t="s">
        <v>38</v>
      </c>
      <c r="E232" s="1058"/>
      <c r="F232" s="1058"/>
      <c r="G232" s="1059"/>
      <c r="H232" s="1060"/>
      <c r="I232" s="947"/>
      <c r="J232" s="836"/>
      <c r="K232" s="837"/>
      <c r="L232" s="837"/>
      <c r="M232" s="837"/>
      <c r="N232" s="837"/>
      <c r="O232" s="948"/>
      <c r="P232" s="948"/>
      <c r="Q232" s="825"/>
      <c r="R232" s="825"/>
      <c r="S232" s="825"/>
      <c r="T232" s="825"/>
      <c r="U232" s="825"/>
      <c r="V232" s="825"/>
      <c r="W232" s="825"/>
      <c r="X232" s="825"/>
      <c r="Y232" s="825"/>
      <c r="Z232" s="825"/>
    </row>
    <row r="233" spans="1:26" ht="18.75" hidden="1">
      <c r="A233" s="1056"/>
      <c r="B233" s="1057"/>
      <c r="C233" s="1057"/>
      <c r="D233" s="1022" t="s">
        <v>117</v>
      </c>
      <c r="E233" s="1061"/>
      <c r="F233" s="1061"/>
      <c r="G233" s="1062"/>
      <c r="H233" s="583" t="s">
        <v>35</v>
      </c>
      <c r="I233" s="836">
        <f t="shared" ref="I233:J233" ca="1" si="108">I244+I255</f>
        <v>0</v>
      </c>
      <c r="J233" s="836">
        <f t="shared" si="108"/>
        <v>0</v>
      </c>
      <c r="K233" s="837">
        <f ca="1">IF(I233&gt;0,J233*100/I233,0)</f>
        <v>0</v>
      </c>
      <c r="L233" s="837"/>
      <c r="M233" s="837"/>
      <c r="N233" s="837"/>
      <c r="O233" s="837"/>
      <c r="P233" s="837"/>
      <c r="Q233" s="825"/>
      <c r="R233" s="825"/>
      <c r="S233" s="825"/>
      <c r="T233" s="825"/>
      <c r="U233" s="825"/>
      <c r="V233" s="825"/>
      <c r="W233" s="825"/>
      <c r="X233" s="825"/>
      <c r="Y233" s="825"/>
      <c r="Z233" s="825"/>
    </row>
    <row r="234" spans="1:26" ht="18.75" hidden="1">
      <c r="A234" s="1056"/>
      <c r="B234" s="1057"/>
      <c r="C234" s="1057"/>
      <c r="D234" s="1063" t="s">
        <v>43</v>
      </c>
      <c r="E234" s="1061"/>
      <c r="F234" s="1061"/>
      <c r="G234" s="1062"/>
      <c r="H234" s="583"/>
      <c r="I234" s="836"/>
      <c r="J234" s="836"/>
      <c r="K234" s="837"/>
      <c r="L234" s="837"/>
      <c r="M234" s="837"/>
      <c r="N234" s="837"/>
      <c r="O234" s="948"/>
      <c r="P234" s="948"/>
      <c r="Q234" s="825"/>
      <c r="R234" s="825"/>
      <c r="S234" s="825"/>
      <c r="T234" s="825"/>
      <c r="U234" s="825"/>
      <c r="V234" s="825"/>
      <c r="W234" s="825"/>
      <c r="X234" s="825"/>
      <c r="Y234" s="825"/>
      <c r="Z234" s="825"/>
    </row>
    <row r="235" spans="1:26" ht="18.75" hidden="1">
      <c r="A235" s="1056"/>
      <c r="B235" s="1057"/>
      <c r="C235" s="1057"/>
      <c r="D235" s="1057"/>
      <c r="E235" s="1021" t="s">
        <v>118</v>
      </c>
      <c r="F235" s="1061"/>
      <c r="G235" s="1062"/>
      <c r="H235" s="583" t="s">
        <v>35</v>
      </c>
      <c r="I235" s="836">
        <f t="shared" ref="I235:J236" si="109">I246+I257</f>
        <v>0</v>
      </c>
      <c r="J235" s="836">
        <f t="shared" si="109"/>
        <v>0</v>
      </c>
      <c r="K235" s="837">
        <f t="shared" ref="K235:K237" si="110">IF(I235&gt;0,J235*100/I235,0)</f>
        <v>0</v>
      </c>
      <c r="L235" s="837"/>
      <c r="M235" s="837"/>
      <c r="N235" s="837"/>
      <c r="O235" s="837"/>
      <c r="P235" s="837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</row>
    <row r="236" spans="1:26" ht="18.75" hidden="1">
      <c r="A236" s="1056"/>
      <c r="B236" s="1057"/>
      <c r="C236" s="1057"/>
      <c r="D236" s="1057"/>
      <c r="E236" s="1021" t="s">
        <v>119</v>
      </c>
      <c r="F236" s="1061"/>
      <c r="G236" s="1062"/>
      <c r="H236" s="583" t="s">
        <v>66</v>
      </c>
      <c r="I236" s="836">
        <f t="shared" si="109"/>
        <v>0</v>
      </c>
      <c r="J236" s="836">
        <f t="shared" si="109"/>
        <v>0</v>
      </c>
      <c r="K236" s="837">
        <f t="shared" si="110"/>
        <v>0</v>
      </c>
      <c r="L236" s="837"/>
      <c r="M236" s="837"/>
      <c r="N236" s="837"/>
      <c r="O236" s="837"/>
      <c r="P236" s="837"/>
      <c r="Q236" s="825"/>
      <c r="R236" s="825"/>
      <c r="S236" s="825"/>
      <c r="T236" s="825"/>
      <c r="U236" s="825"/>
      <c r="V236" s="825"/>
      <c r="W236" s="825"/>
      <c r="X236" s="825"/>
      <c r="Y236" s="825"/>
      <c r="Z236" s="825"/>
    </row>
    <row r="237" spans="1:26" ht="19.5" hidden="1">
      <c r="A237" s="1011"/>
      <c r="B237" s="1018"/>
      <c r="C237" s="1023" t="s">
        <v>331</v>
      </c>
      <c r="D237" s="1012"/>
      <c r="E237" s="1012"/>
      <c r="F237" s="1012"/>
      <c r="G237" s="1014"/>
      <c r="H237" s="260" t="s">
        <v>35</v>
      </c>
      <c r="I237" s="1024">
        <f t="shared" ref="I237:J237" ca="1" si="111">I244</f>
        <v>0</v>
      </c>
      <c r="J237" s="1024">
        <f t="shared" si="111"/>
        <v>0</v>
      </c>
      <c r="K237" s="1025">
        <f t="shared" ca="1" si="110"/>
        <v>0</v>
      </c>
      <c r="L237" s="1016"/>
      <c r="M237" s="1016"/>
      <c r="N237" s="1016"/>
      <c r="O237" s="1016"/>
      <c r="P237" s="1016"/>
    </row>
    <row r="238" spans="1:26" ht="19.5" hidden="1">
      <c r="A238" s="932"/>
      <c r="B238" s="933"/>
      <c r="C238" s="934" t="s">
        <v>16</v>
      </c>
      <c r="D238" s="935" t="s">
        <v>17</v>
      </c>
      <c r="E238" s="933"/>
      <c r="F238" s="933"/>
      <c r="G238" s="936"/>
      <c r="H238" s="275" t="s">
        <v>12</v>
      </c>
      <c r="I238" s="1028"/>
      <c r="J238" s="1028"/>
      <c r="K238" s="1029"/>
      <c r="L238" s="939">
        <f ca="1">L239+L240+L241+L242</f>
        <v>0</v>
      </c>
      <c r="M238" s="939"/>
      <c r="N238" s="939">
        <f>N239+N240+N241+N242</f>
        <v>0</v>
      </c>
      <c r="O238" s="939">
        <f ca="1">IF(L238&gt;0,N238*100/L238,0)</f>
        <v>0</v>
      </c>
      <c r="P238" s="939">
        <f>IF(M238&gt;0,N238*100/M238,0)</f>
        <v>0</v>
      </c>
      <c r="Q238" s="818"/>
      <c r="R238" s="818"/>
      <c r="S238" s="818"/>
      <c r="T238" s="818"/>
      <c r="U238" s="818"/>
      <c r="V238" s="818"/>
      <c r="W238" s="818"/>
      <c r="X238" s="818"/>
      <c r="Y238" s="818"/>
      <c r="Z238" s="818"/>
    </row>
    <row r="239" spans="1:26" ht="18.75" hidden="1">
      <c r="A239" s="1064"/>
      <c r="B239" s="1065"/>
      <c r="C239" s="1066"/>
      <c r="D239" s="1067" t="s">
        <v>97</v>
      </c>
      <c r="E239" s="1066"/>
      <c r="F239" s="1066"/>
      <c r="G239" s="1068"/>
      <c r="H239" s="319" t="s">
        <v>12</v>
      </c>
      <c r="I239" s="1069"/>
      <c r="J239" s="1069"/>
      <c r="K239" s="1070"/>
      <c r="L239" s="1071">
        <f ca="1">IFERROR(__xludf.DUMMYFUNCTION("IMPORTRANGE(""https://docs.google.com/spreadsheets/d/1QqKyyYR6Q21VydFLVH3TRQUabQu_ym0Zz7PgGX0-kHA/edit?usp=sharing"",""แผน!AV21"")"),0)</f>
        <v>0</v>
      </c>
      <c r="M239" s="1071"/>
      <c r="N239" s="1072">
        <v>0</v>
      </c>
      <c r="O239" s="1071"/>
      <c r="P239" s="1071"/>
      <c r="Q239" s="1073"/>
      <c r="R239" s="1073"/>
      <c r="S239" s="1073"/>
      <c r="T239" s="1073"/>
      <c r="U239" s="1073"/>
      <c r="V239" s="1073"/>
      <c r="W239" s="1073"/>
      <c r="X239" s="1073"/>
      <c r="Y239" s="1073"/>
      <c r="Z239" s="1073"/>
    </row>
    <row r="240" spans="1:26" ht="19.5" hidden="1">
      <c r="A240" s="1074"/>
      <c r="B240" s="1065"/>
      <c r="C240" s="1075"/>
      <c r="D240" s="1067" t="s">
        <v>98</v>
      </c>
      <c r="E240" s="1066"/>
      <c r="F240" s="1066"/>
      <c r="G240" s="1068"/>
      <c r="H240" s="319" t="s">
        <v>12</v>
      </c>
      <c r="I240" s="1076"/>
      <c r="J240" s="1076"/>
      <c r="K240" s="1071"/>
      <c r="L240" s="1071">
        <f ca="1">IFERROR(__xludf.DUMMYFUNCTION("IMPORTRANGE(""https://docs.google.com/spreadsheets/d/1QqKyyYR6Q21VydFLVH3TRQUabQu_ym0Zz7PgGX0-kHA/edit?usp=sharing"",""แผน!AW21"")"),0)</f>
        <v>0</v>
      </c>
      <c r="M240" s="1071"/>
      <c r="N240" s="1072">
        <v>0</v>
      </c>
      <c r="O240" s="1071"/>
      <c r="P240" s="1071"/>
      <c r="Q240" s="1077"/>
      <c r="R240" s="1077"/>
      <c r="S240" s="1077"/>
      <c r="T240" s="1077"/>
      <c r="U240" s="1077"/>
      <c r="V240" s="1077"/>
      <c r="W240" s="1077"/>
      <c r="X240" s="1077"/>
      <c r="Y240" s="1077"/>
      <c r="Z240" s="1077"/>
    </row>
    <row r="241" spans="1:26" ht="19.5" hidden="1">
      <c r="A241" s="1074"/>
      <c r="B241" s="1065"/>
      <c r="C241" s="1075"/>
      <c r="D241" s="1067" t="s">
        <v>116</v>
      </c>
      <c r="E241" s="1066"/>
      <c r="F241" s="1066"/>
      <c r="G241" s="1068"/>
      <c r="H241" s="319" t="s">
        <v>12</v>
      </c>
      <c r="I241" s="1076"/>
      <c r="J241" s="1076"/>
      <c r="K241" s="1071"/>
      <c r="L241" s="1071">
        <f ca="1">IFERROR(__xludf.DUMMYFUNCTION("IMPORTRANGE(""https://docs.google.com/spreadsheets/d/1QqKyyYR6Q21VydFLVH3TRQUabQu_ym0Zz7PgGX0-kHA/edit?usp=sharing"",""แผน!AX21"")"),0)</f>
        <v>0</v>
      </c>
      <c r="M241" s="1071"/>
      <c r="N241" s="1072">
        <v>0</v>
      </c>
      <c r="O241" s="1071"/>
      <c r="P241" s="1071"/>
      <c r="Q241" s="1077"/>
      <c r="R241" s="1077"/>
      <c r="S241" s="1077"/>
      <c r="T241" s="1077"/>
      <c r="U241" s="1077"/>
      <c r="V241" s="1077"/>
      <c r="W241" s="1077"/>
      <c r="X241" s="1077"/>
      <c r="Y241" s="1077"/>
      <c r="Z241" s="1077"/>
    </row>
    <row r="242" spans="1:26" ht="19.5" hidden="1">
      <c r="A242" s="1074"/>
      <c r="B242" s="1065"/>
      <c r="C242" s="1075"/>
      <c r="D242" s="1067" t="s">
        <v>100</v>
      </c>
      <c r="E242" s="1066"/>
      <c r="F242" s="1066"/>
      <c r="G242" s="1068"/>
      <c r="H242" s="319" t="s">
        <v>12</v>
      </c>
      <c r="I242" s="1076"/>
      <c r="J242" s="1076"/>
      <c r="K242" s="1071"/>
      <c r="L242" s="1071">
        <f ca="1">IFERROR(__xludf.DUMMYFUNCTION("IMPORTRANGE(""https://docs.google.com/spreadsheets/d/1QqKyyYR6Q21VydFLVH3TRQUabQu_ym0Zz7PgGX0-kHA/edit?usp=sharing"",""แผน!AY21"")"),0)</f>
        <v>0</v>
      </c>
      <c r="M242" s="1071"/>
      <c r="N242" s="1072">
        <v>0</v>
      </c>
      <c r="O242" s="1071"/>
      <c r="P242" s="1071"/>
      <c r="Q242" s="1077"/>
      <c r="R242" s="1077"/>
      <c r="S242" s="1077"/>
      <c r="T242" s="1077"/>
      <c r="U242" s="1077"/>
      <c r="V242" s="1077"/>
      <c r="W242" s="1077"/>
      <c r="X242" s="1077"/>
      <c r="Y242" s="1077"/>
      <c r="Z242" s="1077"/>
    </row>
    <row r="243" spans="1:26" ht="19.5" hidden="1">
      <c r="A243" s="949"/>
      <c r="B243" s="950"/>
      <c r="C243" s="1038" t="s">
        <v>16</v>
      </c>
      <c r="D243" s="951" t="s">
        <v>38</v>
      </c>
      <c r="E243" s="952"/>
      <c r="F243" s="952"/>
      <c r="G243" s="953"/>
      <c r="H243" s="954"/>
      <c r="I243" s="944"/>
      <c r="J243" s="830"/>
      <c r="K243" s="831"/>
      <c r="L243" s="831"/>
      <c r="M243" s="831"/>
      <c r="N243" s="831"/>
      <c r="O243" s="945"/>
      <c r="P243" s="945"/>
      <c r="Q243" s="818"/>
      <c r="R243" s="818"/>
      <c r="S243" s="818"/>
      <c r="T243" s="818"/>
      <c r="U243" s="818"/>
      <c r="V243" s="818"/>
      <c r="W243" s="818"/>
      <c r="X243" s="818"/>
      <c r="Y243" s="818"/>
      <c r="Z243" s="818"/>
    </row>
    <row r="244" spans="1:26" ht="18.75" hidden="1">
      <c r="A244" s="949"/>
      <c r="B244" s="950"/>
      <c r="C244" s="950"/>
      <c r="D244" s="956" t="s">
        <v>117</v>
      </c>
      <c r="E244" s="957"/>
      <c r="F244" s="957"/>
      <c r="G244" s="958"/>
      <c r="H244" s="730" t="s">
        <v>35</v>
      </c>
      <c r="I244" s="830">
        <f ca="1">IFERROR(__xludf.DUMMYFUNCTION("IMPORTRANGE(""https://docs.google.com/spreadsheets/d/1QqKyyYR6Q21VydFLVH3TRQUabQu_ym0Zz7PgGX0-kHA/edit?usp=sharing"",""แผน!BE21"")"),0)</f>
        <v>0</v>
      </c>
      <c r="J244" s="959">
        <v>0</v>
      </c>
      <c r="K244" s="831">
        <f ca="1">IF(I244&gt;0,J244*100/I244,0)</f>
        <v>0</v>
      </c>
      <c r="L244" s="831"/>
      <c r="M244" s="831"/>
      <c r="N244" s="831"/>
      <c r="O244" s="831"/>
      <c r="P244" s="831"/>
      <c r="Q244" s="818"/>
      <c r="R244" s="818"/>
      <c r="S244" s="818"/>
      <c r="T244" s="818"/>
      <c r="U244" s="818"/>
      <c r="V244" s="818"/>
      <c r="W244" s="818"/>
      <c r="X244" s="818"/>
      <c r="Y244" s="818"/>
      <c r="Z244" s="818"/>
    </row>
    <row r="245" spans="1:26" ht="18.75" hidden="1">
      <c r="A245" s="949"/>
      <c r="B245" s="950"/>
      <c r="C245" s="950"/>
      <c r="D245" s="1078" t="s">
        <v>43</v>
      </c>
      <c r="E245" s="957"/>
      <c r="F245" s="957"/>
      <c r="G245" s="958"/>
      <c r="H245" s="730"/>
      <c r="I245" s="830"/>
      <c r="J245" s="830"/>
      <c r="K245" s="831"/>
      <c r="L245" s="831"/>
      <c r="M245" s="831"/>
      <c r="N245" s="831"/>
      <c r="O245" s="945"/>
      <c r="P245" s="945"/>
      <c r="Q245" s="818"/>
      <c r="R245" s="818"/>
      <c r="S245" s="818"/>
      <c r="T245" s="818"/>
      <c r="U245" s="818"/>
      <c r="V245" s="818"/>
      <c r="W245" s="818"/>
      <c r="X245" s="818"/>
      <c r="Y245" s="818"/>
      <c r="Z245" s="818"/>
    </row>
    <row r="246" spans="1:26" ht="18.75" hidden="1">
      <c r="A246" s="949"/>
      <c r="B246" s="950"/>
      <c r="C246" s="950"/>
      <c r="D246" s="950"/>
      <c r="E246" s="955" t="s">
        <v>118</v>
      </c>
      <c r="F246" s="957"/>
      <c r="G246" s="958"/>
      <c r="H246" s="730" t="s">
        <v>35</v>
      </c>
      <c r="I246" s="830"/>
      <c r="J246" s="959">
        <v>0</v>
      </c>
      <c r="K246" s="831">
        <f t="shared" ref="K246:K248" si="112">IF(I246&gt;0,J246*100/I246,0)</f>
        <v>0</v>
      </c>
      <c r="L246" s="831"/>
      <c r="M246" s="831"/>
      <c r="N246" s="831"/>
      <c r="O246" s="831"/>
      <c r="P246" s="831"/>
      <c r="Q246" s="818"/>
      <c r="R246" s="818"/>
      <c r="S246" s="818"/>
      <c r="T246" s="818"/>
      <c r="U246" s="818"/>
      <c r="V246" s="818"/>
      <c r="W246" s="818"/>
      <c r="X246" s="818"/>
      <c r="Y246" s="818"/>
      <c r="Z246" s="818"/>
    </row>
    <row r="247" spans="1:26" ht="18.75" hidden="1">
      <c r="A247" s="949"/>
      <c r="B247" s="950"/>
      <c r="C247" s="950"/>
      <c r="D247" s="950"/>
      <c r="E247" s="955" t="s">
        <v>119</v>
      </c>
      <c r="F247" s="957"/>
      <c r="G247" s="958"/>
      <c r="H247" s="730" t="s">
        <v>66</v>
      </c>
      <c r="I247" s="830"/>
      <c r="J247" s="959">
        <v>0</v>
      </c>
      <c r="K247" s="831">
        <f t="shared" si="112"/>
        <v>0</v>
      </c>
      <c r="L247" s="831"/>
      <c r="M247" s="831"/>
      <c r="N247" s="831"/>
      <c r="O247" s="831"/>
      <c r="P247" s="831"/>
      <c r="Q247" s="818"/>
      <c r="R247" s="818"/>
      <c r="S247" s="818"/>
      <c r="T247" s="818"/>
      <c r="U247" s="818"/>
      <c r="V247" s="818"/>
      <c r="W247" s="818"/>
      <c r="X247" s="818"/>
      <c r="Y247" s="818"/>
      <c r="Z247" s="818"/>
    </row>
    <row r="248" spans="1:26" ht="19.5" hidden="1">
      <c r="A248" s="1011"/>
      <c r="B248" s="1018"/>
      <c r="C248" s="1023" t="s">
        <v>332</v>
      </c>
      <c r="D248" s="1012"/>
      <c r="E248" s="1012"/>
      <c r="F248" s="1012"/>
      <c r="G248" s="1014"/>
      <c r="H248" s="260" t="s">
        <v>35</v>
      </c>
      <c r="I248" s="1024">
        <f t="shared" ref="I248:J248" ca="1" si="113">I255</f>
        <v>0</v>
      </c>
      <c r="J248" s="1024">
        <f t="shared" si="113"/>
        <v>0</v>
      </c>
      <c r="K248" s="1025">
        <f t="shared" ca="1" si="112"/>
        <v>0</v>
      </c>
      <c r="L248" s="1016"/>
      <c r="M248" s="1016"/>
      <c r="N248" s="1016"/>
      <c r="O248" s="1016"/>
      <c r="P248" s="1016"/>
    </row>
    <row r="249" spans="1:26" ht="19.5" hidden="1">
      <c r="A249" s="932"/>
      <c r="B249" s="933"/>
      <c r="C249" s="934" t="s">
        <v>16</v>
      </c>
      <c r="D249" s="1026" t="s">
        <v>17</v>
      </c>
      <c r="E249" s="933"/>
      <c r="F249" s="933"/>
      <c r="G249" s="936"/>
      <c r="H249" s="275" t="s">
        <v>12</v>
      </c>
      <c r="I249" s="1028"/>
      <c r="J249" s="1028"/>
      <c r="K249" s="1029"/>
      <c r="L249" s="939">
        <f ca="1">L250+L251+L252+L253</f>
        <v>0</v>
      </c>
      <c r="M249" s="939"/>
      <c r="N249" s="939">
        <f>N250+N251+N252+N253</f>
        <v>0</v>
      </c>
      <c r="O249" s="939">
        <f ca="1">IF(L249&gt;0,N249*100/L249,0)</f>
        <v>0</v>
      </c>
      <c r="P249" s="939">
        <f>IF(M249&gt;0,N249*100/M249,0)</f>
        <v>0</v>
      </c>
      <c r="Q249" s="818"/>
      <c r="R249" s="818"/>
      <c r="S249" s="818"/>
      <c r="T249" s="818"/>
      <c r="U249" s="818"/>
      <c r="V249" s="818"/>
      <c r="W249" s="818"/>
      <c r="X249" s="818"/>
      <c r="Y249" s="818"/>
      <c r="Z249" s="818"/>
    </row>
    <row r="250" spans="1:26" ht="18.75" hidden="1">
      <c r="A250" s="1064"/>
      <c r="B250" s="1065"/>
      <c r="C250" s="1066"/>
      <c r="D250" s="1067" t="s">
        <v>97</v>
      </c>
      <c r="E250" s="1066"/>
      <c r="F250" s="1066"/>
      <c r="G250" s="1068"/>
      <c r="H250" s="319" t="s">
        <v>12</v>
      </c>
      <c r="I250" s="1069"/>
      <c r="J250" s="1069"/>
      <c r="K250" s="1070"/>
      <c r="L250" s="1071">
        <f ca="1">IFERROR(__xludf.DUMMYFUNCTION("IMPORTRANGE(""https://docs.google.com/spreadsheets/d/1QqKyyYR6Q21VydFLVH3TRQUabQu_ym0Zz7PgGX0-kHA/edit?usp=sharing"",""แผน!AZ21"")"),0)</f>
        <v>0</v>
      </c>
      <c r="M250" s="1071"/>
      <c r="N250" s="1072">
        <v>0</v>
      </c>
      <c r="O250" s="1071"/>
      <c r="P250" s="1071"/>
      <c r="Q250" s="1073"/>
      <c r="R250" s="1073"/>
      <c r="S250" s="1073"/>
      <c r="T250" s="1073"/>
      <c r="U250" s="1073"/>
      <c r="V250" s="1073"/>
      <c r="W250" s="1073"/>
      <c r="X250" s="1073"/>
      <c r="Y250" s="1073"/>
      <c r="Z250" s="1073"/>
    </row>
    <row r="251" spans="1:26" ht="19.5" hidden="1">
      <c r="A251" s="1074"/>
      <c r="B251" s="1065"/>
      <c r="C251" s="1075"/>
      <c r="D251" s="1067" t="s">
        <v>98</v>
      </c>
      <c r="E251" s="1066"/>
      <c r="F251" s="1066"/>
      <c r="G251" s="1068"/>
      <c r="H251" s="319" t="s">
        <v>12</v>
      </c>
      <c r="I251" s="1076"/>
      <c r="J251" s="1076"/>
      <c r="K251" s="1071"/>
      <c r="L251" s="1071">
        <f ca="1">IFERROR(__xludf.DUMMYFUNCTION("IMPORTRANGE(""https://docs.google.com/spreadsheets/d/1QqKyyYR6Q21VydFLVH3TRQUabQu_ym0Zz7PgGX0-kHA/edit?usp=sharing"",""แผน!BA21"")"),0)</f>
        <v>0</v>
      </c>
      <c r="M251" s="1071"/>
      <c r="N251" s="1072">
        <v>0</v>
      </c>
      <c r="O251" s="1071"/>
      <c r="P251" s="1071"/>
      <c r="Q251" s="1077"/>
      <c r="R251" s="1077"/>
      <c r="S251" s="1077"/>
      <c r="T251" s="1077"/>
      <c r="U251" s="1077"/>
      <c r="V251" s="1077"/>
      <c r="W251" s="1077"/>
      <c r="X251" s="1077"/>
      <c r="Y251" s="1077"/>
      <c r="Z251" s="1077"/>
    </row>
    <row r="252" spans="1:26" ht="19.5" hidden="1">
      <c r="A252" s="1074"/>
      <c r="B252" s="1065"/>
      <c r="C252" s="1075"/>
      <c r="D252" s="1067" t="s">
        <v>116</v>
      </c>
      <c r="E252" s="1066"/>
      <c r="F252" s="1066"/>
      <c r="G252" s="1068"/>
      <c r="H252" s="319" t="s">
        <v>12</v>
      </c>
      <c r="I252" s="1076"/>
      <c r="J252" s="1076"/>
      <c r="K252" s="1071"/>
      <c r="L252" s="1071">
        <f ca="1">IFERROR(__xludf.DUMMYFUNCTION("IMPORTRANGE(""https://docs.google.com/spreadsheets/d/1QqKyyYR6Q21VydFLVH3TRQUabQu_ym0Zz7PgGX0-kHA/edit?usp=sharing"",""แผน!BB21"")"),0)</f>
        <v>0</v>
      </c>
      <c r="M252" s="1071"/>
      <c r="N252" s="1072">
        <v>0</v>
      </c>
      <c r="O252" s="1071"/>
      <c r="P252" s="1071"/>
      <c r="Q252" s="1077"/>
      <c r="R252" s="1077"/>
      <c r="S252" s="1077"/>
      <c r="T252" s="1077"/>
      <c r="U252" s="1077"/>
      <c r="V252" s="1077"/>
      <c r="W252" s="1077"/>
      <c r="X252" s="1077"/>
      <c r="Y252" s="1077"/>
      <c r="Z252" s="1077"/>
    </row>
    <row r="253" spans="1:26" ht="19.5" hidden="1">
      <c r="A253" s="1074"/>
      <c r="B253" s="1065"/>
      <c r="C253" s="1075"/>
      <c r="D253" s="1067" t="s">
        <v>100</v>
      </c>
      <c r="E253" s="1066"/>
      <c r="F253" s="1066"/>
      <c r="G253" s="1068"/>
      <c r="H253" s="319" t="s">
        <v>12</v>
      </c>
      <c r="I253" s="1076"/>
      <c r="J253" s="1076"/>
      <c r="K253" s="1071"/>
      <c r="L253" s="1071">
        <f ca="1">IFERROR(__xludf.DUMMYFUNCTION("IMPORTRANGE(""https://docs.google.com/spreadsheets/d/1QqKyyYR6Q21VydFLVH3TRQUabQu_ym0Zz7PgGX0-kHA/edit?usp=sharing"",""แผน!BC21"")"),0)</f>
        <v>0</v>
      </c>
      <c r="M253" s="1071"/>
      <c r="N253" s="1072">
        <v>0</v>
      </c>
      <c r="O253" s="1071"/>
      <c r="P253" s="1071"/>
      <c r="Q253" s="1077"/>
      <c r="R253" s="1077"/>
      <c r="S253" s="1077"/>
      <c r="T253" s="1077"/>
      <c r="U253" s="1077"/>
      <c r="V253" s="1077"/>
      <c r="W253" s="1077"/>
      <c r="X253" s="1077"/>
      <c r="Y253" s="1077"/>
      <c r="Z253" s="1077"/>
    </row>
    <row r="254" spans="1:26" ht="19.5" hidden="1">
      <c r="A254" s="949"/>
      <c r="B254" s="950"/>
      <c r="C254" s="1038" t="s">
        <v>16</v>
      </c>
      <c r="D254" s="951" t="s">
        <v>38</v>
      </c>
      <c r="E254" s="952"/>
      <c r="F254" s="952"/>
      <c r="G254" s="953"/>
      <c r="H254" s="954"/>
      <c r="I254" s="944"/>
      <c r="J254" s="830"/>
      <c r="K254" s="831"/>
      <c r="L254" s="831"/>
      <c r="M254" s="831"/>
      <c r="N254" s="831"/>
      <c r="O254" s="945"/>
      <c r="P254" s="945"/>
      <c r="Q254" s="818"/>
      <c r="R254" s="818"/>
      <c r="S254" s="818"/>
      <c r="T254" s="818"/>
      <c r="U254" s="818"/>
      <c r="V254" s="818"/>
      <c r="W254" s="818"/>
      <c r="X254" s="818"/>
      <c r="Y254" s="818"/>
      <c r="Z254" s="818"/>
    </row>
    <row r="255" spans="1:26" ht="18.75" hidden="1">
      <c r="A255" s="949"/>
      <c r="B255" s="950"/>
      <c r="C255" s="950"/>
      <c r="D255" s="956" t="s">
        <v>117</v>
      </c>
      <c r="E255" s="957"/>
      <c r="F255" s="957"/>
      <c r="G255" s="958"/>
      <c r="H255" s="730" t="s">
        <v>35</v>
      </c>
      <c r="I255" s="830">
        <f ca="1">IFERROR(__xludf.DUMMYFUNCTION("IMPORTRANGE(""https://docs.google.com/spreadsheets/d/1QqKyyYR6Q21VydFLVH3TRQUabQu_ym0Zz7PgGX0-kHA/edit?usp=sharing"",""แผน!BF21"")"),0)</f>
        <v>0</v>
      </c>
      <c r="J255" s="959">
        <v>0</v>
      </c>
      <c r="K255" s="831">
        <f ca="1">IF(I255&gt;0,J255*100/I255,0)</f>
        <v>0</v>
      </c>
      <c r="L255" s="831"/>
      <c r="M255" s="831"/>
      <c r="N255" s="831"/>
      <c r="O255" s="831"/>
      <c r="P255" s="831"/>
      <c r="Q255" s="818"/>
      <c r="R255" s="818"/>
      <c r="S255" s="818"/>
      <c r="T255" s="818"/>
      <c r="U255" s="818"/>
      <c r="V255" s="818"/>
      <c r="W255" s="818"/>
      <c r="X255" s="818"/>
      <c r="Y255" s="818"/>
      <c r="Z255" s="818"/>
    </row>
    <row r="256" spans="1:26" ht="18.75" hidden="1">
      <c r="A256" s="949"/>
      <c r="B256" s="950"/>
      <c r="C256" s="950"/>
      <c r="D256" s="1078" t="s">
        <v>43</v>
      </c>
      <c r="E256" s="957"/>
      <c r="F256" s="957"/>
      <c r="G256" s="958"/>
      <c r="H256" s="730"/>
      <c r="I256" s="830"/>
      <c r="J256" s="830"/>
      <c r="K256" s="831"/>
      <c r="L256" s="831"/>
      <c r="M256" s="831"/>
      <c r="N256" s="831"/>
      <c r="O256" s="945"/>
      <c r="P256" s="945"/>
      <c r="Q256" s="818"/>
      <c r="R256" s="818"/>
      <c r="S256" s="818"/>
      <c r="T256" s="818"/>
      <c r="U256" s="818"/>
      <c r="V256" s="818"/>
      <c r="W256" s="818"/>
      <c r="X256" s="818"/>
      <c r="Y256" s="818"/>
      <c r="Z256" s="818"/>
    </row>
    <row r="257" spans="1:26" ht="18.75" hidden="1">
      <c r="A257" s="949"/>
      <c r="B257" s="950"/>
      <c r="C257" s="950"/>
      <c r="D257" s="950"/>
      <c r="E257" s="955" t="s">
        <v>118</v>
      </c>
      <c r="F257" s="957"/>
      <c r="G257" s="958"/>
      <c r="H257" s="730" t="s">
        <v>35</v>
      </c>
      <c r="I257" s="830"/>
      <c r="J257" s="959">
        <v>0</v>
      </c>
      <c r="K257" s="831">
        <f t="shared" ref="K257:K258" si="114">IF(I257&gt;0,J257*100/I257,0)</f>
        <v>0</v>
      </c>
      <c r="L257" s="831"/>
      <c r="M257" s="831"/>
      <c r="N257" s="831"/>
      <c r="O257" s="831"/>
      <c r="P257" s="831"/>
      <c r="Q257" s="818"/>
      <c r="R257" s="818"/>
      <c r="S257" s="818"/>
      <c r="T257" s="818"/>
      <c r="U257" s="818"/>
      <c r="V257" s="818"/>
      <c r="W257" s="818"/>
      <c r="X257" s="818"/>
      <c r="Y257" s="818"/>
      <c r="Z257" s="818"/>
    </row>
    <row r="258" spans="1:26" ht="18.75" hidden="1">
      <c r="A258" s="949"/>
      <c r="B258" s="950"/>
      <c r="C258" s="950"/>
      <c r="D258" s="950"/>
      <c r="E258" s="955" t="s">
        <v>119</v>
      </c>
      <c r="F258" s="957"/>
      <c r="G258" s="958"/>
      <c r="H258" s="730" t="s">
        <v>66</v>
      </c>
      <c r="I258" s="830"/>
      <c r="J258" s="959">
        <v>0</v>
      </c>
      <c r="K258" s="831">
        <f t="shared" si="114"/>
        <v>0</v>
      </c>
      <c r="L258" s="831"/>
      <c r="M258" s="831"/>
      <c r="N258" s="831"/>
      <c r="O258" s="831"/>
      <c r="P258" s="831"/>
      <c r="Q258" s="818"/>
      <c r="R258" s="818"/>
      <c r="S258" s="818"/>
      <c r="T258" s="818"/>
      <c r="U258" s="818"/>
      <c r="V258" s="818"/>
      <c r="W258" s="818"/>
      <c r="X258" s="818"/>
      <c r="Y258" s="818"/>
      <c r="Z258" s="818"/>
    </row>
    <row r="259" spans="1:26" ht="19.5">
      <c r="A259" s="998" t="s">
        <v>122</v>
      </c>
      <c r="B259" s="999"/>
      <c r="C259" s="999"/>
      <c r="D259" s="1000"/>
      <c r="E259" s="1000"/>
      <c r="F259" s="1000"/>
      <c r="G259" s="1001"/>
      <c r="H259" s="1002"/>
      <c r="I259" s="1003"/>
      <c r="J259" s="1003"/>
      <c r="K259" s="1004"/>
      <c r="L259" s="1004"/>
      <c r="M259" s="1004"/>
      <c r="N259" s="1004"/>
      <c r="O259" s="1004"/>
      <c r="P259" s="1004"/>
    </row>
    <row r="260" spans="1:26" ht="19.5">
      <c r="A260" s="1005"/>
      <c r="B260" s="1006" t="s">
        <v>123</v>
      </c>
      <c r="C260" s="1007"/>
      <c r="D260" s="952"/>
      <c r="E260" s="952"/>
      <c r="F260" s="952"/>
      <c r="G260" s="953"/>
      <c r="H260" s="252" t="s">
        <v>35</v>
      </c>
      <c r="I260" s="1008">
        <f t="shared" ref="I260:J260" ca="1" si="115">I271</f>
        <v>22</v>
      </c>
      <c r="J260" s="1008">
        <f t="shared" si="115"/>
        <v>22</v>
      </c>
      <c r="K260" s="1009">
        <f ca="1">IF(I260&gt;0,J260*100/I260,0)</f>
        <v>100</v>
      </c>
      <c r="L260" s="1010"/>
      <c r="M260" s="1010"/>
      <c r="N260" s="1010"/>
      <c r="O260" s="1010"/>
      <c r="P260" s="1010"/>
    </row>
    <row r="261" spans="1:26" ht="19.5">
      <c r="A261" s="932"/>
      <c r="B261" s="933"/>
      <c r="C261" s="934" t="s">
        <v>16</v>
      </c>
      <c r="D261" s="935" t="s">
        <v>17</v>
      </c>
      <c r="E261" s="933"/>
      <c r="F261" s="933"/>
      <c r="G261" s="936"/>
      <c r="H261" s="152" t="s">
        <v>12</v>
      </c>
      <c r="I261" s="937"/>
      <c r="J261" s="937"/>
      <c r="K261" s="938"/>
      <c r="L261" s="939">
        <f t="shared" ref="L261:N261" ca="1" si="116">L262+L263</f>
        <v>312900</v>
      </c>
      <c r="M261" s="939">
        <f t="shared" ca="1" si="116"/>
        <v>231900</v>
      </c>
      <c r="N261" s="939">
        <f t="shared" ca="1" si="116"/>
        <v>125646.68</v>
      </c>
      <c r="O261" s="939">
        <f t="shared" ref="O261:O269" ca="1" si="117">IF(L261&gt;0,N261*100/L261,0)</f>
        <v>40.155538510706293</v>
      </c>
      <c r="P261" s="939">
        <f t="shared" ref="P261:P269" ca="1" si="118">IF(M261&gt;0,N261*100/M261,0)</f>
        <v>54.18140577835274</v>
      </c>
      <c r="Q261" s="818"/>
      <c r="R261" s="818"/>
      <c r="S261" s="818"/>
      <c r="T261" s="818"/>
      <c r="U261" s="818"/>
      <c r="V261" s="818"/>
      <c r="W261" s="818"/>
      <c r="X261" s="818"/>
      <c r="Y261" s="818"/>
      <c r="Z261" s="818"/>
    </row>
    <row r="262" spans="1:26" ht="18.75" hidden="1">
      <c r="A262" s="940"/>
      <c r="B262" s="833"/>
      <c r="C262" s="833"/>
      <c r="D262" s="833"/>
      <c r="E262" s="834" t="s">
        <v>18</v>
      </c>
      <c r="F262" s="833"/>
      <c r="G262" s="941"/>
      <c r="H262" s="158" t="s">
        <v>12</v>
      </c>
      <c r="I262" s="836"/>
      <c r="J262" s="836"/>
      <c r="K262" s="837"/>
      <c r="L262" s="837">
        <f t="shared" ref="L262:N263" si="119">L265+L268</f>
        <v>0</v>
      </c>
      <c r="M262" s="837">
        <f t="shared" si="119"/>
        <v>0</v>
      </c>
      <c r="N262" s="837">
        <f t="shared" si="119"/>
        <v>0</v>
      </c>
      <c r="O262" s="837">
        <f t="shared" si="117"/>
        <v>0</v>
      </c>
      <c r="P262" s="837">
        <f t="shared" si="118"/>
        <v>0</v>
      </c>
      <c r="Q262" s="825"/>
      <c r="R262" s="825"/>
      <c r="S262" s="825"/>
      <c r="T262" s="825"/>
      <c r="U262" s="825"/>
      <c r="V262" s="825"/>
      <c r="W262" s="825"/>
      <c r="X262" s="825"/>
      <c r="Y262" s="825"/>
      <c r="Z262" s="825"/>
    </row>
    <row r="263" spans="1:26" ht="18.75" hidden="1">
      <c r="A263" s="940"/>
      <c r="B263" s="833"/>
      <c r="C263" s="833"/>
      <c r="D263" s="833"/>
      <c r="E263" s="834" t="s">
        <v>19</v>
      </c>
      <c r="F263" s="833"/>
      <c r="G263" s="941"/>
      <c r="H263" s="158" t="s">
        <v>12</v>
      </c>
      <c r="I263" s="836"/>
      <c r="J263" s="836"/>
      <c r="K263" s="837"/>
      <c r="L263" s="837">
        <f t="shared" ca="1" si="119"/>
        <v>312900</v>
      </c>
      <c r="M263" s="837">
        <f t="shared" ca="1" si="119"/>
        <v>231900</v>
      </c>
      <c r="N263" s="837">
        <f t="shared" ca="1" si="119"/>
        <v>125646.68</v>
      </c>
      <c r="O263" s="837">
        <f t="shared" ca="1" si="117"/>
        <v>40.155538510706293</v>
      </c>
      <c r="P263" s="837">
        <f t="shared" ca="1" si="118"/>
        <v>54.18140577835274</v>
      </c>
      <c r="Q263" s="825"/>
      <c r="R263" s="825"/>
      <c r="S263" s="825"/>
      <c r="T263" s="825"/>
      <c r="U263" s="825"/>
      <c r="V263" s="825"/>
      <c r="W263" s="825"/>
      <c r="X263" s="825"/>
      <c r="Y263" s="825"/>
      <c r="Z263" s="825"/>
    </row>
    <row r="264" spans="1:26" ht="18.75">
      <c r="A264" s="942"/>
      <c r="B264" s="827"/>
      <c r="C264" s="943"/>
      <c r="D264" s="828" t="s">
        <v>20</v>
      </c>
      <c r="E264" s="827"/>
      <c r="F264" s="827"/>
      <c r="G264" s="829"/>
      <c r="H264" s="778" t="s">
        <v>12</v>
      </c>
      <c r="I264" s="944"/>
      <c r="J264" s="944"/>
      <c r="K264" s="945"/>
      <c r="L264" s="831">
        <f t="shared" ref="L264:N264" ca="1" si="120">L265+L266</f>
        <v>312900</v>
      </c>
      <c r="M264" s="831">
        <f t="shared" ca="1" si="120"/>
        <v>231900</v>
      </c>
      <c r="N264" s="831">
        <f t="shared" ca="1" si="120"/>
        <v>125646.68</v>
      </c>
      <c r="O264" s="831">
        <f t="shared" ca="1" si="117"/>
        <v>40.155538510706293</v>
      </c>
      <c r="P264" s="831">
        <f t="shared" ca="1" si="118"/>
        <v>54.18140577835274</v>
      </c>
      <c r="Q264" s="818"/>
      <c r="R264" s="818"/>
      <c r="S264" s="818"/>
      <c r="T264" s="818"/>
      <c r="U264" s="818"/>
      <c r="V264" s="818"/>
      <c r="W264" s="818"/>
      <c r="X264" s="818"/>
      <c r="Y264" s="818"/>
      <c r="Z264" s="818"/>
    </row>
    <row r="265" spans="1:26" ht="19.5" hidden="1">
      <c r="A265" s="940"/>
      <c r="B265" s="833"/>
      <c r="C265" s="946"/>
      <c r="D265" s="833"/>
      <c r="E265" s="834" t="s">
        <v>36</v>
      </c>
      <c r="F265" s="833"/>
      <c r="G265" s="941"/>
      <c r="H265" s="165" t="s">
        <v>12</v>
      </c>
      <c r="I265" s="947"/>
      <c r="J265" s="947"/>
      <c r="K265" s="948"/>
      <c r="L265" s="837">
        <v>0</v>
      </c>
      <c r="M265" s="837">
        <v>0</v>
      </c>
      <c r="N265" s="837">
        <v>0</v>
      </c>
      <c r="O265" s="837">
        <f t="shared" si="117"/>
        <v>0</v>
      </c>
      <c r="P265" s="837">
        <f t="shared" si="118"/>
        <v>0</v>
      </c>
      <c r="Q265" s="825"/>
      <c r="R265" s="825"/>
      <c r="S265" s="825"/>
      <c r="T265" s="825"/>
      <c r="U265" s="825"/>
      <c r="V265" s="825"/>
      <c r="W265" s="825"/>
      <c r="X265" s="825"/>
      <c r="Y265" s="825"/>
      <c r="Z265" s="825"/>
    </row>
    <row r="266" spans="1:26" ht="19.5" hidden="1">
      <c r="A266" s="940"/>
      <c r="B266" s="833"/>
      <c r="C266" s="946"/>
      <c r="D266" s="833"/>
      <c r="E266" s="834" t="s">
        <v>37</v>
      </c>
      <c r="F266" s="833"/>
      <c r="G266" s="941"/>
      <c r="H266" s="165" t="s">
        <v>12</v>
      </c>
      <c r="I266" s="947"/>
      <c r="J266" s="947"/>
      <c r="K266" s="948"/>
      <c r="L266" s="837">
        <f ca="1">IFERROR(__xludf.DUMMYFUNCTION("IMPORTRANGE(""https://docs.google.com/spreadsheets/d/1MeEWN-I1oV_STSDYn1IFDPWt_1FKiwhDph83XaGc0o0/edit?usp=sharing"",""งบพรบ!CY21"")"),312900)</f>
        <v>312900</v>
      </c>
      <c r="M266" s="837">
        <f ca="1">IFERROR(__xludf.DUMMYFUNCTION("IMPORTRANGE(""https://docs.google.com/spreadsheets/d/1MeEWN-I1oV_STSDYn1IFDPWt_1FKiwhDph83XaGc0o0/edit?usp=sharing"",""งบพรบ!DD21"")"),231900)</f>
        <v>231900</v>
      </c>
      <c r="N266" s="837">
        <f ca="1">IFERROR(__xludf.DUMMYFUNCTION("IMPORTRANGE(""https://docs.google.com/spreadsheets/d/1MeEWN-I1oV_STSDYn1IFDPWt_1FKiwhDph83XaGc0o0/edit?usp=sharing"",""งบพรบ!DF21"")"),125646.68)</f>
        <v>125646.68</v>
      </c>
      <c r="O266" s="837">
        <f t="shared" ca="1" si="117"/>
        <v>40.155538510706293</v>
      </c>
      <c r="P266" s="837">
        <f t="shared" ca="1" si="118"/>
        <v>54.18140577835274</v>
      </c>
      <c r="Q266" s="825"/>
      <c r="R266" s="825"/>
      <c r="S266" s="825"/>
      <c r="T266" s="825"/>
      <c r="U266" s="825"/>
      <c r="V266" s="825"/>
      <c r="W266" s="825"/>
      <c r="X266" s="825"/>
      <c r="Y266" s="825"/>
      <c r="Z266" s="825"/>
    </row>
    <row r="267" spans="1:26" ht="18.75">
      <c r="A267" s="942"/>
      <c r="B267" s="827"/>
      <c r="C267" s="943"/>
      <c r="D267" s="828" t="s">
        <v>21</v>
      </c>
      <c r="E267" s="827"/>
      <c r="F267" s="827"/>
      <c r="G267" s="829"/>
      <c r="H267" s="168" t="s">
        <v>12</v>
      </c>
      <c r="I267" s="944"/>
      <c r="J267" s="944"/>
      <c r="K267" s="945"/>
      <c r="L267" s="831">
        <f t="shared" ref="L267:N267" ca="1" si="121">L268+L269</f>
        <v>0</v>
      </c>
      <c r="M267" s="831">
        <f t="shared" ca="1" si="121"/>
        <v>0</v>
      </c>
      <c r="N267" s="831">
        <f t="shared" ca="1" si="121"/>
        <v>0</v>
      </c>
      <c r="O267" s="831">
        <f t="shared" ca="1" si="117"/>
        <v>0</v>
      </c>
      <c r="P267" s="831">
        <f t="shared" ca="1" si="118"/>
        <v>0</v>
      </c>
      <c r="Q267" s="818"/>
      <c r="R267" s="818"/>
      <c r="S267" s="818"/>
      <c r="T267" s="818"/>
      <c r="U267" s="818"/>
      <c r="V267" s="818"/>
      <c r="W267" s="818"/>
      <c r="X267" s="818"/>
      <c r="Y267" s="818"/>
      <c r="Z267" s="818"/>
    </row>
    <row r="268" spans="1:26" ht="19.5" hidden="1">
      <c r="A268" s="940"/>
      <c r="B268" s="833"/>
      <c r="C268" s="946"/>
      <c r="D268" s="833"/>
      <c r="E268" s="834" t="s">
        <v>18</v>
      </c>
      <c r="F268" s="833"/>
      <c r="G268" s="941"/>
      <c r="H268" s="165" t="s">
        <v>12</v>
      </c>
      <c r="I268" s="947"/>
      <c r="J268" s="947"/>
      <c r="K268" s="948"/>
      <c r="L268" s="837">
        <v>0</v>
      </c>
      <c r="M268" s="837">
        <v>0</v>
      </c>
      <c r="N268" s="837">
        <v>0</v>
      </c>
      <c r="O268" s="837">
        <f t="shared" si="117"/>
        <v>0</v>
      </c>
      <c r="P268" s="837">
        <f t="shared" si="118"/>
        <v>0</v>
      </c>
      <c r="Q268" s="825"/>
      <c r="R268" s="825"/>
      <c r="S268" s="825"/>
      <c r="T268" s="825"/>
      <c r="U268" s="825"/>
      <c r="V268" s="825"/>
      <c r="W268" s="825"/>
      <c r="X268" s="825"/>
      <c r="Y268" s="825"/>
      <c r="Z268" s="825"/>
    </row>
    <row r="269" spans="1:26" ht="19.5" hidden="1">
      <c r="A269" s="940"/>
      <c r="B269" s="833"/>
      <c r="C269" s="946"/>
      <c r="D269" s="833"/>
      <c r="E269" s="834" t="s">
        <v>19</v>
      </c>
      <c r="F269" s="833"/>
      <c r="G269" s="941"/>
      <c r="H269" s="169" t="s">
        <v>12</v>
      </c>
      <c r="I269" s="947"/>
      <c r="J269" s="947"/>
      <c r="K269" s="948"/>
      <c r="L269" s="837">
        <f ca="1">IFERROR(__xludf.DUMMYFUNCTION("IMPORTRANGE(""https://docs.google.com/spreadsheets/d/1MeEWN-I1oV_STSDYn1IFDPWt_1FKiwhDph83XaGc0o0/edit?usp=sharing"",""งบพรบ!DB21"")"),0)</f>
        <v>0</v>
      </c>
      <c r="M269" s="837">
        <f ca="1">IFERROR(__xludf.DUMMYFUNCTION("IMPORTRANGE(""https://docs.google.com/spreadsheets/d/1MeEWN-I1oV_STSDYn1IFDPWt_1FKiwhDph83XaGc0o0/edit?usp=sharing"",""งบพรบ!DE21"")"),0)</f>
        <v>0</v>
      </c>
      <c r="N269" s="837">
        <f ca="1">IFERROR(__xludf.DUMMYFUNCTION("IMPORTRANGE(""https://docs.google.com/spreadsheets/d/1MeEWN-I1oV_STSDYn1IFDPWt_1FKiwhDph83XaGc0o0/edit?usp=sharing"",""งบพรบ!DG21"")"),0)</f>
        <v>0</v>
      </c>
      <c r="O269" s="837">
        <f t="shared" ca="1" si="117"/>
        <v>0</v>
      </c>
      <c r="P269" s="837">
        <f t="shared" ca="1" si="118"/>
        <v>0</v>
      </c>
      <c r="Q269" s="825"/>
      <c r="R269" s="825"/>
      <c r="S269" s="825"/>
      <c r="T269" s="825"/>
      <c r="U269" s="825"/>
      <c r="V269" s="825"/>
      <c r="W269" s="825"/>
      <c r="X269" s="825"/>
      <c r="Y269" s="825"/>
      <c r="Z269" s="825"/>
    </row>
    <row r="270" spans="1:26" ht="19.5">
      <c r="A270" s="949"/>
      <c r="B270" s="950"/>
      <c r="C270" s="943" t="s">
        <v>16</v>
      </c>
      <c r="D270" s="951" t="s">
        <v>38</v>
      </c>
      <c r="E270" s="952"/>
      <c r="F270" s="952"/>
      <c r="G270" s="953"/>
      <c r="H270" s="954"/>
      <c r="I270" s="944"/>
      <c r="J270" s="944"/>
      <c r="K270" s="945"/>
      <c r="L270" s="945"/>
      <c r="M270" s="945"/>
      <c r="N270" s="945"/>
      <c r="O270" s="945"/>
      <c r="P270" s="945"/>
    </row>
    <row r="271" spans="1:26" ht="18.75">
      <c r="A271" s="949"/>
      <c r="B271" s="950"/>
      <c r="C271" s="950"/>
      <c r="D271" s="1079" t="s">
        <v>124</v>
      </c>
      <c r="E271" s="957"/>
      <c r="F271" s="1022"/>
      <c r="G271" s="958"/>
      <c r="H271" s="346" t="s">
        <v>35</v>
      </c>
      <c r="I271" s="830">
        <f ca="1">IFERROR(__xludf.DUMMYFUNCTION("IMPORTRANGE(""https://docs.google.com/spreadsheets/d/1QqKyyYR6Q21VydFLVH3TRQUabQu_ym0Zz7PgGX0-kHA/edit?usp=sharing"",""แผน!EA21"")"),22)</f>
        <v>22</v>
      </c>
      <c r="J271" s="959">
        <v>22</v>
      </c>
      <c r="K271" s="945">
        <f ca="1">IF(I271&gt;0,J271*100/I271,0)</f>
        <v>100</v>
      </c>
      <c r="L271" s="945"/>
      <c r="M271" s="945"/>
      <c r="N271" s="945"/>
      <c r="O271" s="945"/>
      <c r="P271" s="945"/>
    </row>
    <row r="272" spans="1:26" ht="18.75" hidden="1">
      <c r="A272" s="1080"/>
      <c r="B272" s="1081"/>
      <c r="C272" s="1081"/>
      <c r="D272" s="1082" t="s">
        <v>125</v>
      </c>
      <c r="E272" s="1083"/>
      <c r="F272" s="1083"/>
      <c r="G272" s="1084"/>
      <c r="H272" s="50" t="s">
        <v>35</v>
      </c>
      <c r="I272" s="1085">
        <v>0</v>
      </c>
      <c r="J272" s="1085">
        <v>0</v>
      </c>
      <c r="K272" s="1086">
        <v>0</v>
      </c>
      <c r="L272" s="1086"/>
      <c r="M272" s="1086"/>
      <c r="N272" s="1086"/>
      <c r="O272" s="1086"/>
      <c r="P272" s="1086"/>
    </row>
    <row r="273" spans="1:26" ht="19.5">
      <c r="A273" s="1087" t="s">
        <v>126</v>
      </c>
      <c r="B273" s="1088"/>
      <c r="C273" s="1088"/>
      <c r="D273" s="1088"/>
      <c r="E273" s="1089"/>
      <c r="F273" s="1089"/>
      <c r="G273" s="1090"/>
      <c r="H273" s="1091"/>
      <c r="I273" s="1092"/>
      <c r="J273" s="1092"/>
      <c r="K273" s="1093"/>
      <c r="L273" s="1093"/>
      <c r="M273" s="1093"/>
      <c r="N273" s="1093"/>
      <c r="O273" s="1093"/>
      <c r="P273" s="1093"/>
    </row>
    <row r="274" spans="1:26" ht="19.5">
      <c r="A274" s="1094" t="s">
        <v>127</v>
      </c>
      <c r="B274" s="1095"/>
      <c r="C274" s="1096"/>
      <c r="D274" s="1095"/>
      <c r="E274" s="1095"/>
      <c r="F274" s="1095"/>
      <c r="G274" s="1095"/>
      <c r="H274" s="1097"/>
      <c r="I274" s="1098"/>
      <c r="J274" s="1099"/>
      <c r="K274" s="1100"/>
      <c r="L274" s="1100"/>
      <c r="M274" s="1100"/>
      <c r="N274" s="1100"/>
      <c r="O274" s="1100"/>
      <c r="P274" s="1100"/>
    </row>
    <row r="275" spans="1:26" ht="19.5">
      <c r="A275" s="1101"/>
      <c r="B275" s="1102" t="s">
        <v>128</v>
      </c>
      <c r="C275" s="1103"/>
      <c r="D275" s="1104"/>
      <c r="E275" s="1103"/>
      <c r="F275" s="1103"/>
      <c r="G275" s="1105"/>
      <c r="H275" s="374" t="s">
        <v>35</v>
      </c>
      <c r="I275" s="1106">
        <f t="shared" ref="I275:J275" ca="1" si="122">I288</f>
        <v>10</v>
      </c>
      <c r="J275" s="1106">
        <f t="shared" ca="1" si="122"/>
        <v>0</v>
      </c>
      <c r="K275" s="1107">
        <f t="shared" ref="K275:K276" ca="1" si="123">IF(I275&gt;0,J275*100/I275,0)</f>
        <v>0</v>
      </c>
      <c r="L275" s="1108"/>
      <c r="M275" s="1108"/>
      <c r="N275" s="1108"/>
      <c r="O275" s="1108"/>
      <c r="P275" s="1108"/>
    </row>
    <row r="276" spans="1:26" ht="19.5">
      <c r="A276" s="1101"/>
      <c r="B276" s="1102"/>
      <c r="C276" s="1103"/>
      <c r="D276" s="1104"/>
      <c r="E276" s="1103"/>
      <c r="F276" s="1103"/>
      <c r="G276" s="1105"/>
      <c r="H276" s="374" t="s">
        <v>46</v>
      </c>
      <c r="I276" s="1435">
        <f t="shared" ref="I276:J276" ca="1" si="124">I287</f>
        <v>100</v>
      </c>
      <c r="J276" s="1435">
        <f t="shared" si="124"/>
        <v>100</v>
      </c>
      <c r="K276" s="1108">
        <f t="shared" ca="1" si="123"/>
        <v>100</v>
      </c>
      <c r="L276" s="1108"/>
      <c r="M276" s="1108"/>
      <c r="N276" s="1108"/>
      <c r="O276" s="1108"/>
      <c r="P276" s="1108"/>
    </row>
    <row r="277" spans="1:26" ht="19.5">
      <c r="A277" s="932"/>
      <c r="B277" s="933"/>
      <c r="C277" s="934" t="s">
        <v>16</v>
      </c>
      <c r="D277" s="935" t="s">
        <v>17</v>
      </c>
      <c r="E277" s="933"/>
      <c r="F277" s="933"/>
      <c r="G277" s="936"/>
      <c r="H277" s="152" t="s">
        <v>12</v>
      </c>
      <c r="I277" s="937"/>
      <c r="J277" s="937"/>
      <c r="K277" s="938"/>
      <c r="L277" s="939">
        <f t="shared" ref="L277:N277" ca="1" si="125">L278+L279</f>
        <v>189110</v>
      </c>
      <c r="M277" s="939">
        <f t="shared" ca="1" si="125"/>
        <v>152060</v>
      </c>
      <c r="N277" s="939">
        <f t="shared" ca="1" si="125"/>
        <v>103074.1</v>
      </c>
      <c r="O277" s="939">
        <f t="shared" ref="O277:O285" ca="1" si="126">IF(L277&gt;0,N277*100/L277,0)</f>
        <v>54.504838453809953</v>
      </c>
      <c r="P277" s="939">
        <f t="shared" ref="P277:P285" ca="1" si="127">IF(M277&gt;0,N277*100/M277,0)</f>
        <v>67.785150598447984</v>
      </c>
      <c r="Q277" s="818"/>
      <c r="R277" s="818"/>
      <c r="S277" s="818"/>
      <c r="T277" s="818"/>
      <c r="U277" s="818"/>
      <c r="V277" s="818"/>
      <c r="W277" s="818"/>
      <c r="X277" s="818"/>
      <c r="Y277" s="818"/>
      <c r="Z277" s="818"/>
    </row>
    <row r="278" spans="1:26" ht="18.75" hidden="1">
      <c r="A278" s="940"/>
      <c r="B278" s="833"/>
      <c r="C278" s="833"/>
      <c r="D278" s="833"/>
      <c r="E278" s="834" t="s">
        <v>18</v>
      </c>
      <c r="F278" s="833"/>
      <c r="G278" s="941"/>
      <c r="H278" s="158" t="s">
        <v>12</v>
      </c>
      <c r="I278" s="836"/>
      <c r="J278" s="836"/>
      <c r="K278" s="837"/>
      <c r="L278" s="837">
        <f t="shared" ref="L278:N279" si="128">L281+L284</f>
        <v>0</v>
      </c>
      <c r="M278" s="837">
        <f t="shared" si="128"/>
        <v>0</v>
      </c>
      <c r="N278" s="837">
        <f t="shared" si="128"/>
        <v>0</v>
      </c>
      <c r="O278" s="837">
        <f t="shared" si="126"/>
        <v>0</v>
      </c>
      <c r="P278" s="837">
        <f t="shared" si="127"/>
        <v>0</v>
      </c>
      <c r="Q278" s="825"/>
      <c r="R278" s="825"/>
      <c r="S278" s="825"/>
      <c r="T278" s="825"/>
      <c r="U278" s="825"/>
      <c r="V278" s="825"/>
      <c r="W278" s="825"/>
      <c r="X278" s="825"/>
      <c r="Y278" s="825"/>
      <c r="Z278" s="825"/>
    </row>
    <row r="279" spans="1:26" ht="18.75" hidden="1">
      <c r="A279" s="940"/>
      <c r="B279" s="833"/>
      <c r="C279" s="833"/>
      <c r="D279" s="833"/>
      <c r="E279" s="834" t="s">
        <v>19</v>
      </c>
      <c r="F279" s="833"/>
      <c r="G279" s="941"/>
      <c r="H279" s="158" t="s">
        <v>12</v>
      </c>
      <c r="I279" s="836"/>
      <c r="J279" s="836"/>
      <c r="K279" s="837"/>
      <c r="L279" s="837">
        <f t="shared" ca="1" si="128"/>
        <v>189110</v>
      </c>
      <c r="M279" s="837">
        <f t="shared" ca="1" si="128"/>
        <v>152060</v>
      </c>
      <c r="N279" s="837">
        <f t="shared" ca="1" si="128"/>
        <v>103074.1</v>
      </c>
      <c r="O279" s="837">
        <f t="shared" ca="1" si="126"/>
        <v>54.504838453809953</v>
      </c>
      <c r="P279" s="837">
        <f t="shared" ca="1" si="127"/>
        <v>67.785150598447984</v>
      </c>
      <c r="Q279" s="825"/>
      <c r="R279" s="825"/>
      <c r="S279" s="825"/>
      <c r="T279" s="825"/>
      <c r="U279" s="825"/>
      <c r="V279" s="825"/>
      <c r="W279" s="825"/>
      <c r="X279" s="825"/>
      <c r="Y279" s="825"/>
      <c r="Z279" s="825"/>
    </row>
    <row r="280" spans="1:26" ht="18.75">
      <c r="A280" s="942"/>
      <c r="B280" s="827"/>
      <c r="C280" s="943"/>
      <c r="D280" s="828" t="s">
        <v>20</v>
      </c>
      <c r="E280" s="827"/>
      <c r="F280" s="827"/>
      <c r="G280" s="829"/>
      <c r="H280" s="778" t="s">
        <v>12</v>
      </c>
      <c r="I280" s="944"/>
      <c r="J280" s="944"/>
      <c r="K280" s="945"/>
      <c r="L280" s="831">
        <f t="shared" ref="L280:N280" ca="1" si="129">L281+L282</f>
        <v>189110</v>
      </c>
      <c r="M280" s="831">
        <f t="shared" ca="1" si="129"/>
        <v>152060</v>
      </c>
      <c r="N280" s="831">
        <f t="shared" ca="1" si="129"/>
        <v>103074.1</v>
      </c>
      <c r="O280" s="831">
        <f t="shared" ca="1" si="126"/>
        <v>54.504838453809953</v>
      </c>
      <c r="P280" s="831">
        <f t="shared" ca="1" si="127"/>
        <v>67.785150598447984</v>
      </c>
      <c r="Q280" s="818"/>
      <c r="R280" s="818"/>
      <c r="S280" s="818"/>
      <c r="T280" s="818"/>
      <c r="U280" s="818"/>
      <c r="V280" s="818"/>
      <c r="W280" s="818"/>
      <c r="X280" s="818"/>
      <c r="Y280" s="818"/>
      <c r="Z280" s="818"/>
    </row>
    <row r="281" spans="1:26" ht="19.5" hidden="1">
      <c r="A281" s="940"/>
      <c r="B281" s="833"/>
      <c r="C281" s="946"/>
      <c r="D281" s="833"/>
      <c r="E281" s="834" t="s">
        <v>36</v>
      </c>
      <c r="F281" s="833"/>
      <c r="G281" s="941"/>
      <c r="H281" s="165" t="s">
        <v>12</v>
      </c>
      <c r="I281" s="947"/>
      <c r="J281" s="947"/>
      <c r="K281" s="948"/>
      <c r="L281" s="837">
        <v>0</v>
      </c>
      <c r="M281" s="837">
        <v>0</v>
      </c>
      <c r="N281" s="837">
        <v>0</v>
      </c>
      <c r="O281" s="837">
        <f t="shared" si="126"/>
        <v>0</v>
      </c>
      <c r="P281" s="837">
        <f t="shared" si="127"/>
        <v>0</v>
      </c>
      <c r="Q281" s="825"/>
      <c r="R281" s="825"/>
      <c r="S281" s="825"/>
      <c r="T281" s="825"/>
      <c r="U281" s="825"/>
      <c r="V281" s="825"/>
      <c r="W281" s="825"/>
      <c r="X281" s="825"/>
      <c r="Y281" s="825"/>
      <c r="Z281" s="825"/>
    </row>
    <row r="282" spans="1:26" ht="19.5" hidden="1">
      <c r="A282" s="940"/>
      <c r="B282" s="833"/>
      <c r="C282" s="946"/>
      <c r="D282" s="833"/>
      <c r="E282" s="834" t="s">
        <v>37</v>
      </c>
      <c r="F282" s="833"/>
      <c r="G282" s="941"/>
      <c r="H282" s="165" t="s">
        <v>12</v>
      </c>
      <c r="I282" s="947"/>
      <c r="J282" s="947"/>
      <c r="K282" s="948"/>
      <c r="L282" s="837">
        <f ca="1">IFERROR(__xludf.DUMMYFUNCTION("IMPORTRANGE(""https://docs.google.com/spreadsheets/d/1MeEWN-I1oV_STSDYn1IFDPWt_1FKiwhDph83XaGc0o0/edit?usp=sharing"",""งบพรบ!DI21"")"),189110)</f>
        <v>189110</v>
      </c>
      <c r="M282" s="837">
        <f ca="1">IFERROR(__xludf.DUMMYFUNCTION("IMPORTRANGE(""https://docs.google.com/spreadsheets/d/1MeEWN-I1oV_STSDYn1IFDPWt_1FKiwhDph83XaGc0o0/edit?usp=sharing"",""งบพรบ!DN21"")"),152060)</f>
        <v>152060</v>
      </c>
      <c r="N282" s="837">
        <f ca="1">IFERROR(__xludf.DUMMYFUNCTION("IMPORTRANGE(""https://docs.google.com/spreadsheets/d/1MeEWN-I1oV_STSDYn1IFDPWt_1FKiwhDph83XaGc0o0/edit?usp=sharing"",""งบพรบ!DP21"")"),103074.1)</f>
        <v>103074.1</v>
      </c>
      <c r="O282" s="837">
        <f t="shared" ca="1" si="126"/>
        <v>54.504838453809953</v>
      </c>
      <c r="P282" s="837">
        <f t="shared" ca="1" si="127"/>
        <v>67.785150598447984</v>
      </c>
      <c r="Q282" s="825"/>
      <c r="R282" s="825"/>
      <c r="S282" s="825"/>
      <c r="T282" s="825"/>
      <c r="U282" s="825"/>
      <c r="V282" s="825"/>
      <c r="W282" s="825"/>
      <c r="X282" s="825"/>
      <c r="Y282" s="825"/>
      <c r="Z282" s="825"/>
    </row>
    <row r="283" spans="1:26" ht="18.75">
      <c r="A283" s="942"/>
      <c r="B283" s="827"/>
      <c r="C283" s="943"/>
      <c r="D283" s="828" t="s">
        <v>21</v>
      </c>
      <c r="E283" s="827"/>
      <c r="F283" s="827"/>
      <c r="G283" s="829"/>
      <c r="H283" s="168" t="s">
        <v>12</v>
      </c>
      <c r="I283" s="944"/>
      <c r="J283" s="944"/>
      <c r="K283" s="945"/>
      <c r="L283" s="831">
        <f t="shared" ref="L283:N283" ca="1" si="130">L284+L285</f>
        <v>0</v>
      </c>
      <c r="M283" s="831">
        <f t="shared" ca="1" si="130"/>
        <v>0</v>
      </c>
      <c r="N283" s="831">
        <f t="shared" ca="1" si="130"/>
        <v>0</v>
      </c>
      <c r="O283" s="831">
        <f t="shared" ca="1" si="126"/>
        <v>0</v>
      </c>
      <c r="P283" s="831">
        <f t="shared" ca="1" si="127"/>
        <v>0</v>
      </c>
      <c r="Q283" s="818"/>
      <c r="R283" s="818"/>
      <c r="S283" s="818"/>
      <c r="T283" s="818"/>
      <c r="U283" s="818"/>
      <c r="V283" s="818"/>
      <c r="W283" s="818"/>
      <c r="X283" s="818"/>
      <c r="Y283" s="818"/>
      <c r="Z283" s="818"/>
    </row>
    <row r="284" spans="1:26" ht="19.5" hidden="1">
      <c r="A284" s="940"/>
      <c r="B284" s="833"/>
      <c r="C284" s="946"/>
      <c r="D284" s="833"/>
      <c r="E284" s="834" t="s">
        <v>18</v>
      </c>
      <c r="F284" s="833"/>
      <c r="G284" s="941"/>
      <c r="H284" s="165" t="s">
        <v>12</v>
      </c>
      <c r="I284" s="947"/>
      <c r="J284" s="947"/>
      <c r="K284" s="948"/>
      <c r="L284" s="837">
        <v>0</v>
      </c>
      <c r="M284" s="837">
        <v>0</v>
      </c>
      <c r="N284" s="837">
        <v>0</v>
      </c>
      <c r="O284" s="837">
        <f t="shared" si="126"/>
        <v>0</v>
      </c>
      <c r="P284" s="837">
        <f t="shared" si="127"/>
        <v>0</v>
      </c>
      <c r="Q284" s="825"/>
      <c r="R284" s="825"/>
      <c r="S284" s="825"/>
      <c r="T284" s="825"/>
      <c r="U284" s="825"/>
      <c r="V284" s="825"/>
      <c r="W284" s="825"/>
      <c r="X284" s="825"/>
      <c r="Y284" s="825"/>
      <c r="Z284" s="825"/>
    </row>
    <row r="285" spans="1:26" ht="19.5" hidden="1">
      <c r="A285" s="940"/>
      <c r="B285" s="833"/>
      <c r="C285" s="946"/>
      <c r="D285" s="833"/>
      <c r="E285" s="834" t="s">
        <v>19</v>
      </c>
      <c r="F285" s="833"/>
      <c r="G285" s="941"/>
      <c r="H285" s="169" t="s">
        <v>12</v>
      </c>
      <c r="I285" s="947"/>
      <c r="J285" s="947"/>
      <c r="K285" s="948"/>
      <c r="L285" s="837">
        <f ca="1">IFERROR(__xludf.DUMMYFUNCTION("IMPORTRANGE(""https://docs.google.com/spreadsheets/d/1MeEWN-I1oV_STSDYn1IFDPWt_1FKiwhDph83XaGc0o0/edit?usp=sharing"",""งบพรบ!DL21"")"),0)</f>
        <v>0</v>
      </c>
      <c r="M285" s="837">
        <f ca="1">IFERROR(__xludf.DUMMYFUNCTION("IMPORTRANGE(""https://docs.google.com/spreadsheets/d/1MeEWN-I1oV_STSDYn1IFDPWt_1FKiwhDph83XaGc0o0/edit?usp=sharing"",""งบพรบ!DO21"")"),0)</f>
        <v>0</v>
      </c>
      <c r="N285" s="837">
        <f ca="1">IFERROR(__xludf.DUMMYFUNCTION("IMPORTRANGE(""https://docs.google.com/spreadsheets/d/1MeEWN-I1oV_STSDYn1IFDPWt_1FKiwhDph83XaGc0o0/edit?usp=sharing"",""งบพรบ!DQ21"")"),0)</f>
        <v>0</v>
      </c>
      <c r="O285" s="837">
        <f t="shared" ca="1" si="126"/>
        <v>0</v>
      </c>
      <c r="P285" s="837">
        <f t="shared" ca="1" si="127"/>
        <v>0</v>
      </c>
      <c r="Q285" s="825"/>
      <c r="R285" s="825"/>
      <c r="S285" s="825"/>
      <c r="T285" s="825"/>
      <c r="U285" s="825"/>
      <c r="V285" s="825"/>
      <c r="W285" s="825"/>
      <c r="X285" s="825"/>
      <c r="Y285" s="825"/>
      <c r="Z285" s="825"/>
    </row>
    <row r="286" spans="1:26" ht="19.5">
      <c r="A286" s="949"/>
      <c r="B286" s="950"/>
      <c r="C286" s="946" t="s">
        <v>16</v>
      </c>
      <c r="D286" s="951" t="s">
        <v>38</v>
      </c>
      <c r="E286" s="952"/>
      <c r="F286" s="952"/>
      <c r="G286" s="953"/>
      <c r="H286" s="954"/>
      <c r="I286" s="944"/>
      <c r="J286" s="944"/>
      <c r="K286" s="945"/>
      <c r="L286" s="945"/>
      <c r="M286" s="945"/>
      <c r="N286" s="945"/>
      <c r="O286" s="945"/>
      <c r="P286" s="945"/>
    </row>
    <row r="287" spans="1:26" ht="18.75">
      <c r="A287" s="949"/>
      <c r="B287" s="950"/>
      <c r="C287" s="950"/>
      <c r="D287" s="961" t="s">
        <v>129</v>
      </c>
      <c r="E287" s="950"/>
      <c r="F287" s="957"/>
      <c r="G287" s="958"/>
      <c r="H287" s="777" t="s">
        <v>46</v>
      </c>
      <c r="I287" s="830">
        <f ca="1">IFERROR(__xludf.DUMMYFUNCTION("IMPORTRANGE(""https://docs.google.com/spreadsheets/d/1QqKyyYR6Q21VydFLVH3TRQUabQu_ym0Zz7PgGX0-kHA/edit?usp=sharing"",""แผน!EC21"")"),100)</f>
        <v>100</v>
      </c>
      <c r="J287" s="959">
        <v>100</v>
      </c>
      <c r="K287" s="945">
        <f t="shared" ref="K287:K288" ca="1" si="131">IF(I287&gt;0,J287*100/I287,0)</f>
        <v>100</v>
      </c>
      <c r="L287" s="945"/>
      <c r="M287" s="945"/>
      <c r="N287" s="945"/>
      <c r="O287" s="945"/>
      <c r="P287" s="945"/>
    </row>
    <row r="288" spans="1:26" ht="19.5">
      <c r="A288" s="949"/>
      <c r="B288" s="950"/>
      <c r="C288" s="950"/>
      <c r="D288" s="961" t="s">
        <v>130</v>
      </c>
      <c r="E288" s="950"/>
      <c r="F288" s="957"/>
      <c r="G288" s="958"/>
      <c r="H288" s="180" t="s">
        <v>35</v>
      </c>
      <c r="I288" s="966">
        <f ca="1">IFERROR(__xludf.DUMMYFUNCTION("IMPORTRANGE(""https://docs.google.com/spreadsheets/d/1QqKyyYR6Q21VydFLVH3TRQUabQu_ym0Zz7PgGX0-kHA/edit?usp=sharing"",""แผน!EB21"")"),10)</f>
        <v>10</v>
      </c>
      <c r="J288" s="966">
        <f ca="1">IF(AND(J291&gt;=I288,J294&gt;=I288),J294,0)</f>
        <v>0</v>
      </c>
      <c r="K288" s="1109">
        <f t="shared" ca="1" si="131"/>
        <v>0</v>
      </c>
      <c r="L288" s="945"/>
      <c r="M288" s="945"/>
      <c r="N288" s="945"/>
      <c r="O288" s="945"/>
      <c r="P288" s="945"/>
    </row>
    <row r="289" spans="1:26" ht="19.5">
      <c r="A289" s="949"/>
      <c r="B289" s="950"/>
      <c r="C289" s="950"/>
      <c r="D289" s="1110"/>
      <c r="E289" s="1111" t="s">
        <v>131</v>
      </c>
      <c r="F289" s="957"/>
      <c r="G289" s="958"/>
      <c r="H289" s="730"/>
      <c r="I289" s="944"/>
      <c r="J289" s="830"/>
      <c r="K289" s="945"/>
      <c r="L289" s="945"/>
      <c r="M289" s="945"/>
      <c r="N289" s="945"/>
      <c r="O289" s="945"/>
      <c r="P289" s="945"/>
    </row>
    <row r="290" spans="1:26" ht="19.5">
      <c r="A290" s="949"/>
      <c r="B290" s="950"/>
      <c r="C290" s="950"/>
      <c r="D290" s="1110"/>
      <c r="E290" s="961" t="s">
        <v>132</v>
      </c>
      <c r="F290" s="957"/>
      <c r="G290" s="958"/>
      <c r="H290" s="730" t="s">
        <v>35</v>
      </c>
      <c r="I290" s="944">
        <f ca="1">IFERROR(__xludf.DUMMYFUNCTION("IMPORTRANGE(""https://docs.google.com/spreadsheets/d/1QqKyyYR6Q21VydFLVH3TRQUabQu_ym0Zz7PgGX0-kHA/edit?usp=sharing"",""แผน!EB21"")"),10)</f>
        <v>10</v>
      </c>
      <c r="J290" s="959">
        <v>10</v>
      </c>
      <c r="K290" s="945">
        <f t="shared" ref="K290:K291" ca="1" si="132">IF(I290&gt;0,J290*100/I290,0)</f>
        <v>100</v>
      </c>
      <c r="L290" s="945"/>
      <c r="M290" s="945"/>
      <c r="N290" s="945"/>
      <c r="O290" s="945"/>
      <c r="P290" s="945"/>
    </row>
    <row r="291" spans="1:26" ht="19.5">
      <c r="A291" s="949"/>
      <c r="B291" s="950"/>
      <c r="C291" s="950"/>
      <c r="D291" s="957"/>
      <c r="E291" s="961" t="s">
        <v>133</v>
      </c>
      <c r="F291" s="957"/>
      <c r="G291" s="958"/>
      <c r="H291" s="730" t="s">
        <v>35</v>
      </c>
      <c r="I291" s="944">
        <f ca="1">IFERROR(__xludf.DUMMYFUNCTION("IMPORTRANGE(""https://docs.google.com/spreadsheets/d/1QqKyyYR6Q21VydFLVH3TRQUabQu_ym0Zz7PgGX0-kHA/edit?usp=sharing"",""แผน!EB21"")"),10)</f>
        <v>10</v>
      </c>
      <c r="J291" s="959">
        <v>10</v>
      </c>
      <c r="K291" s="945">
        <f t="shared" ca="1" si="132"/>
        <v>100</v>
      </c>
      <c r="L291" s="945"/>
      <c r="M291" s="945"/>
      <c r="N291" s="945"/>
      <c r="O291" s="945"/>
      <c r="P291" s="945"/>
    </row>
    <row r="292" spans="1:26" ht="19.5">
      <c r="A292" s="1112"/>
      <c r="B292" s="1113"/>
      <c r="C292" s="1113"/>
      <c r="D292" s="1114"/>
      <c r="E292" s="1115" t="s">
        <v>134</v>
      </c>
      <c r="F292" s="1034"/>
      <c r="G292" s="1035"/>
      <c r="H292" s="387"/>
      <c r="I292" s="1028"/>
      <c r="J292" s="937"/>
      <c r="K292" s="1029"/>
      <c r="L292" s="1029"/>
      <c r="M292" s="1029"/>
      <c r="N292" s="1029"/>
      <c r="O292" s="1029"/>
      <c r="P292" s="1029"/>
    </row>
    <row r="293" spans="1:26" ht="19.5">
      <c r="A293" s="949"/>
      <c r="B293" s="950"/>
      <c r="C293" s="950"/>
      <c r="D293" s="1110"/>
      <c r="E293" s="961" t="s">
        <v>132</v>
      </c>
      <c r="F293" s="957"/>
      <c r="G293" s="958"/>
      <c r="H293" s="730" t="s">
        <v>35</v>
      </c>
      <c r="I293" s="944">
        <f ca="1">IFERROR(__xludf.DUMMYFUNCTION("IMPORTRANGE(""https://docs.google.com/spreadsheets/d/1QqKyyYR6Q21VydFLVH3TRQUabQu_ym0Zz7PgGX0-kHA/edit?usp=sharing"",""แผน!EB21"")"),10)</f>
        <v>10</v>
      </c>
      <c r="J293" s="959"/>
      <c r="K293" s="945">
        <f t="shared" ref="K293:K294" ca="1" si="133">IF(I293&gt;0,J293*100/I293,0)</f>
        <v>0</v>
      </c>
      <c r="L293" s="945"/>
      <c r="M293" s="945"/>
      <c r="N293" s="945"/>
      <c r="O293" s="945"/>
      <c r="P293" s="945"/>
    </row>
    <row r="294" spans="1:26" ht="19.5">
      <c r="A294" s="1080"/>
      <c r="B294" s="1081"/>
      <c r="C294" s="1081"/>
      <c r="D294" s="1083"/>
      <c r="E294" s="1116" t="s">
        <v>136</v>
      </c>
      <c r="F294" s="1083"/>
      <c r="G294" s="1084"/>
      <c r="H294" s="391" t="s">
        <v>35</v>
      </c>
      <c r="I294" s="1117">
        <f ca="1">IFERROR(__xludf.DUMMYFUNCTION("IMPORTRANGE(""https://docs.google.com/spreadsheets/d/1QqKyyYR6Q21VydFLVH3TRQUabQu_ym0Zz7PgGX0-kHA/edit?usp=sharing"",""แผน!EB21"")"),10)</f>
        <v>10</v>
      </c>
      <c r="J294" s="1118"/>
      <c r="K294" s="1086">
        <f t="shared" ca="1" si="133"/>
        <v>0</v>
      </c>
      <c r="L294" s="1086"/>
      <c r="M294" s="1086"/>
      <c r="N294" s="1086"/>
      <c r="O294" s="1086"/>
      <c r="P294" s="1086"/>
    </row>
    <row r="295" spans="1:26" ht="19.5">
      <c r="A295" s="1119" t="s">
        <v>137</v>
      </c>
      <c r="B295" s="1120"/>
      <c r="C295" s="1120"/>
      <c r="D295" s="1120"/>
      <c r="E295" s="1121"/>
      <c r="F295" s="1121"/>
      <c r="G295" s="1122"/>
      <c r="H295" s="1123"/>
      <c r="I295" s="1124"/>
      <c r="J295" s="1124"/>
      <c r="K295" s="1125"/>
      <c r="L295" s="1125"/>
      <c r="M295" s="1125"/>
      <c r="N295" s="1125"/>
      <c r="O295" s="1125"/>
      <c r="P295" s="1125"/>
    </row>
    <row r="296" spans="1:26" ht="19.5" hidden="1">
      <c r="A296" s="1126" t="s">
        <v>138</v>
      </c>
      <c r="B296" s="1127"/>
      <c r="C296" s="1127"/>
      <c r="D296" s="1128"/>
      <c r="E296" s="1128"/>
      <c r="F296" s="1128"/>
      <c r="G296" s="1129"/>
      <c r="H296" s="1130"/>
      <c r="I296" s="1131"/>
      <c r="J296" s="1131"/>
      <c r="K296" s="1132"/>
      <c r="L296" s="1132"/>
      <c r="M296" s="1132"/>
      <c r="N296" s="1132"/>
      <c r="O296" s="1132"/>
      <c r="P296" s="1132"/>
    </row>
    <row r="297" spans="1:26" ht="19.5" hidden="1">
      <c r="A297" s="1133"/>
      <c r="B297" s="1134" t="s">
        <v>139</v>
      </c>
      <c r="C297" s="1135"/>
      <c r="D297" s="1135"/>
      <c r="E297" s="1135"/>
      <c r="F297" s="1135"/>
      <c r="G297" s="1136"/>
      <c r="H297" s="412" t="s">
        <v>35</v>
      </c>
      <c r="I297" s="1137">
        <f t="shared" ref="I297:J297" ca="1" si="134">I309</f>
        <v>0</v>
      </c>
      <c r="J297" s="1137">
        <f t="shared" si="134"/>
        <v>0</v>
      </c>
      <c r="K297" s="1138">
        <f ca="1">IF(I297&gt;0,J297*100/I297,0)</f>
        <v>0</v>
      </c>
      <c r="L297" s="1139"/>
      <c r="M297" s="1139"/>
      <c r="N297" s="1139"/>
      <c r="O297" s="1139"/>
      <c r="P297" s="1139"/>
    </row>
    <row r="298" spans="1:26" ht="19.5" hidden="1">
      <c r="A298" s="932"/>
      <c r="B298" s="933"/>
      <c r="C298" s="934" t="s">
        <v>16</v>
      </c>
      <c r="D298" s="935" t="s">
        <v>17</v>
      </c>
      <c r="E298" s="933"/>
      <c r="F298" s="933"/>
      <c r="G298" s="936"/>
      <c r="H298" s="152" t="s">
        <v>12</v>
      </c>
      <c r="I298" s="937"/>
      <c r="J298" s="937"/>
      <c r="K298" s="938"/>
      <c r="L298" s="939">
        <f t="shared" ref="L298:N298" ca="1" si="135">L299+L300</f>
        <v>0</v>
      </c>
      <c r="M298" s="939">
        <f t="shared" ca="1" si="135"/>
        <v>0</v>
      </c>
      <c r="N298" s="939">
        <f t="shared" ca="1" si="135"/>
        <v>0</v>
      </c>
      <c r="O298" s="939">
        <f t="shared" ref="O298:O306" ca="1" si="136">IF(L298&gt;0,N298*100/L298,0)</f>
        <v>0</v>
      </c>
      <c r="P298" s="939">
        <f t="shared" ref="P298:P306" ca="1" si="137">IF(M298&gt;0,N298*100/M298,0)</f>
        <v>0</v>
      </c>
      <c r="Q298" s="818"/>
      <c r="R298" s="818"/>
      <c r="S298" s="818"/>
      <c r="T298" s="818"/>
      <c r="U298" s="818"/>
      <c r="V298" s="818"/>
      <c r="W298" s="818"/>
      <c r="X298" s="818"/>
      <c r="Y298" s="818"/>
      <c r="Z298" s="818"/>
    </row>
    <row r="299" spans="1:26" ht="18.75" hidden="1">
      <c r="A299" s="940"/>
      <c r="B299" s="833"/>
      <c r="C299" s="833"/>
      <c r="D299" s="833"/>
      <c r="E299" s="834" t="s">
        <v>18</v>
      </c>
      <c r="F299" s="833"/>
      <c r="G299" s="941"/>
      <c r="H299" s="158" t="s">
        <v>12</v>
      </c>
      <c r="I299" s="836"/>
      <c r="J299" s="836"/>
      <c r="K299" s="837"/>
      <c r="L299" s="837">
        <f t="shared" ref="L299:N300" si="138">L302+L305</f>
        <v>0</v>
      </c>
      <c r="M299" s="837">
        <f t="shared" si="138"/>
        <v>0</v>
      </c>
      <c r="N299" s="837">
        <f t="shared" si="138"/>
        <v>0</v>
      </c>
      <c r="O299" s="837">
        <f t="shared" si="136"/>
        <v>0</v>
      </c>
      <c r="P299" s="837">
        <f t="shared" si="137"/>
        <v>0</v>
      </c>
      <c r="Q299" s="825"/>
      <c r="R299" s="825"/>
      <c r="S299" s="825"/>
      <c r="T299" s="825"/>
      <c r="U299" s="825"/>
      <c r="V299" s="825"/>
      <c r="W299" s="825"/>
      <c r="X299" s="825"/>
      <c r="Y299" s="825"/>
      <c r="Z299" s="825"/>
    </row>
    <row r="300" spans="1:26" ht="18.75" hidden="1">
      <c r="A300" s="940"/>
      <c r="B300" s="833"/>
      <c r="C300" s="833"/>
      <c r="D300" s="833"/>
      <c r="E300" s="834" t="s">
        <v>19</v>
      </c>
      <c r="F300" s="833"/>
      <c r="G300" s="941"/>
      <c r="H300" s="158" t="s">
        <v>12</v>
      </c>
      <c r="I300" s="836"/>
      <c r="J300" s="836"/>
      <c r="K300" s="837"/>
      <c r="L300" s="837">
        <f t="shared" ca="1" si="138"/>
        <v>0</v>
      </c>
      <c r="M300" s="837">
        <f t="shared" ca="1" si="138"/>
        <v>0</v>
      </c>
      <c r="N300" s="837">
        <f t="shared" ca="1" si="138"/>
        <v>0</v>
      </c>
      <c r="O300" s="837">
        <f t="shared" ca="1" si="136"/>
        <v>0</v>
      </c>
      <c r="P300" s="837">
        <f t="shared" ca="1" si="137"/>
        <v>0</v>
      </c>
      <c r="Q300" s="825"/>
      <c r="R300" s="825"/>
      <c r="S300" s="825"/>
      <c r="T300" s="825"/>
      <c r="U300" s="825"/>
      <c r="V300" s="825"/>
      <c r="W300" s="825"/>
      <c r="X300" s="825"/>
      <c r="Y300" s="825"/>
      <c r="Z300" s="825"/>
    </row>
    <row r="301" spans="1:26" ht="18.75" hidden="1">
      <c r="A301" s="942"/>
      <c r="B301" s="827"/>
      <c r="C301" s="943"/>
      <c r="D301" s="828" t="s">
        <v>20</v>
      </c>
      <c r="E301" s="827"/>
      <c r="F301" s="827"/>
      <c r="G301" s="829"/>
      <c r="H301" s="778" t="s">
        <v>12</v>
      </c>
      <c r="I301" s="944"/>
      <c r="J301" s="944"/>
      <c r="K301" s="945"/>
      <c r="L301" s="831">
        <f t="shared" ref="L301:N301" ca="1" si="139">L302+L303</f>
        <v>0</v>
      </c>
      <c r="M301" s="831">
        <f t="shared" ca="1" si="139"/>
        <v>0</v>
      </c>
      <c r="N301" s="831">
        <f t="shared" ca="1" si="139"/>
        <v>0</v>
      </c>
      <c r="O301" s="831">
        <f t="shared" ca="1" si="136"/>
        <v>0</v>
      </c>
      <c r="P301" s="831">
        <f t="shared" ca="1" si="137"/>
        <v>0</v>
      </c>
      <c r="Q301" s="818"/>
      <c r="R301" s="818"/>
      <c r="S301" s="818"/>
      <c r="T301" s="818"/>
      <c r="U301" s="818"/>
      <c r="V301" s="818"/>
      <c r="W301" s="818"/>
      <c r="X301" s="818"/>
      <c r="Y301" s="818"/>
      <c r="Z301" s="818"/>
    </row>
    <row r="302" spans="1:26" ht="19.5" hidden="1">
      <c r="A302" s="940"/>
      <c r="B302" s="833"/>
      <c r="C302" s="946"/>
      <c r="D302" s="833"/>
      <c r="E302" s="834" t="s">
        <v>36</v>
      </c>
      <c r="F302" s="833"/>
      <c r="G302" s="941"/>
      <c r="H302" s="165" t="s">
        <v>12</v>
      </c>
      <c r="I302" s="947"/>
      <c r="J302" s="947"/>
      <c r="K302" s="948"/>
      <c r="L302" s="837">
        <v>0</v>
      </c>
      <c r="M302" s="837">
        <v>0</v>
      </c>
      <c r="N302" s="837">
        <v>0</v>
      </c>
      <c r="O302" s="837">
        <f t="shared" si="136"/>
        <v>0</v>
      </c>
      <c r="P302" s="837">
        <f t="shared" si="137"/>
        <v>0</v>
      </c>
      <c r="Q302" s="825"/>
      <c r="R302" s="825"/>
      <c r="S302" s="825"/>
      <c r="T302" s="825"/>
      <c r="U302" s="825"/>
      <c r="V302" s="825"/>
      <c r="W302" s="825"/>
      <c r="X302" s="825"/>
      <c r="Y302" s="825"/>
      <c r="Z302" s="825"/>
    </row>
    <row r="303" spans="1:26" ht="19.5" hidden="1">
      <c r="A303" s="940"/>
      <c r="B303" s="833"/>
      <c r="C303" s="946"/>
      <c r="D303" s="833"/>
      <c r="E303" s="834" t="s">
        <v>37</v>
      </c>
      <c r="F303" s="833"/>
      <c r="G303" s="941"/>
      <c r="H303" s="165" t="s">
        <v>12</v>
      </c>
      <c r="I303" s="947"/>
      <c r="J303" s="947"/>
      <c r="K303" s="948"/>
      <c r="L303" s="837">
        <f ca="1">IFERROR(__xludf.DUMMYFUNCTION("IMPORTRANGE(""https://docs.google.com/spreadsheets/d/1MeEWN-I1oV_STSDYn1IFDPWt_1FKiwhDph83XaGc0o0/edit?usp=sharing"",""งบพรบ!DS21"")"),0)</f>
        <v>0</v>
      </c>
      <c r="M303" s="837">
        <f ca="1">IFERROR(__xludf.DUMMYFUNCTION("IMPORTRANGE(""https://docs.google.com/spreadsheets/d/1MeEWN-I1oV_STSDYn1IFDPWt_1FKiwhDph83XaGc0o0/edit?usp=sharing"",""งบพรบ!DX21"")"),0)</f>
        <v>0</v>
      </c>
      <c r="N303" s="837">
        <f ca="1">IFERROR(__xludf.DUMMYFUNCTION("IMPORTRANGE(""https://docs.google.com/spreadsheets/d/1MeEWN-I1oV_STSDYn1IFDPWt_1FKiwhDph83XaGc0o0/edit?usp=sharing"",""งบพรบ!DZ21"")"),0)</f>
        <v>0</v>
      </c>
      <c r="O303" s="837">
        <f t="shared" ca="1" si="136"/>
        <v>0</v>
      </c>
      <c r="P303" s="837">
        <f t="shared" ca="1" si="137"/>
        <v>0</v>
      </c>
      <c r="Q303" s="825"/>
      <c r="R303" s="825"/>
      <c r="S303" s="825"/>
      <c r="T303" s="825"/>
      <c r="U303" s="825"/>
      <c r="V303" s="825"/>
      <c r="W303" s="825"/>
      <c r="X303" s="825"/>
      <c r="Y303" s="825"/>
      <c r="Z303" s="825"/>
    </row>
    <row r="304" spans="1:26" ht="18.75" hidden="1">
      <c r="A304" s="942"/>
      <c r="B304" s="827"/>
      <c r="C304" s="943"/>
      <c r="D304" s="828" t="s">
        <v>21</v>
      </c>
      <c r="E304" s="827"/>
      <c r="F304" s="827"/>
      <c r="G304" s="829"/>
      <c r="H304" s="168" t="s">
        <v>12</v>
      </c>
      <c r="I304" s="944"/>
      <c r="J304" s="944"/>
      <c r="K304" s="945"/>
      <c r="L304" s="831">
        <f t="shared" ref="L304:N304" ca="1" si="140">L305+L306</f>
        <v>0</v>
      </c>
      <c r="M304" s="831">
        <f t="shared" ca="1" si="140"/>
        <v>0</v>
      </c>
      <c r="N304" s="831">
        <f t="shared" ca="1" si="140"/>
        <v>0</v>
      </c>
      <c r="O304" s="831">
        <f t="shared" ca="1" si="136"/>
        <v>0</v>
      </c>
      <c r="P304" s="831">
        <f t="shared" ca="1" si="137"/>
        <v>0</v>
      </c>
      <c r="Q304" s="818"/>
      <c r="R304" s="818"/>
      <c r="S304" s="818"/>
      <c r="T304" s="818"/>
      <c r="U304" s="818"/>
      <c r="V304" s="818"/>
      <c r="W304" s="818"/>
      <c r="X304" s="818"/>
      <c r="Y304" s="818"/>
      <c r="Z304" s="818"/>
    </row>
    <row r="305" spans="1:26" ht="19.5" hidden="1">
      <c r="A305" s="940"/>
      <c r="B305" s="833"/>
      <c r="C305" s="946"/>
      <c r="D305" s="833"/>
      <c r="E305" s="834" t="s">
        <v>18</v>
      </c>
      <c r="F305" s="833"/>
      <c r="G305" s="941"/>
      <c r="H305" s="165" t="s">
        <v>12</v>
      </c>
      <c r="I305" s="947"/>
      <c r="J305" s="947"/>
      <c r="K305" s="948"/>
      <c r="L305" s="837">
        <v>0</v>
      </c>
      <c r="M305" s="837">
        <v>0</v>
      </c>
      <c r="N305" s="837">
        <v>0</v>
      </c>
      <c r="O305" s="837">
        <f t="shared" si="136"/>
        <v>0</v>
      </c>
      <c r="P305" s="837">
        <f t="shared" si="137"/>
        <v>0</v>
      </c>
      <c r="Q305" s="825"/>
      <c r="R305" s="825"/>
      <c r="S305" s="825"/>
      <c r="T305" s="825"/>
      <c r="U305" s="825"/>
      <c r="V305" s="825"/>
      <c r="W305" s="825"/>
      <c r="X305" s="825"/>
      <c r="Y305" s="825"/>
      <c r="Z305" s="825"/>
    </row>
    <row r="306" spans="1:26" ht="19.5" hidden="1">
      <c r="A306" s="940"/>
      <c r="B306" s="833"/>
      <c r="C306" s="946"/>
      <c r="D306" s="833"/>
      <c r="E306" s="834" t="s">
        <v>19</v>
      </c>
      <c r="F306" s="833"/>
      <c r="G306" s="941"/>
      <c r="H306" s="169" t="s">
        <v>12</v>
      </c>
      <c r="I306" s="947"/>
      <c r="J306" s="947"/>
      <c r="K306" s="948"/>
      <c r="L306" s="837">
        <f ca="1">IFERROR(__xludf.DUMMYFUNCTION("IMPORTRANGE(""https://docs.google.com/spreadsheets/d/1MeEWN-I1oV_STSDYn1IFDPWt_1FKiwhDph83XaGc0o0/edit?usp=sharing"",""งบพรบ!DV21"")"),0)</f>
        <v>0</v>
      </c>
      <c r="M306" s="837">
        <f ca="1">IFERROR(__xludf.DUMMYFUNCTION("IMPORTRANGE(""https://docs.google.com/spreadsheets/d/1MeEWN-I1oV_STSDYn1IFDPWt_1FKiwhDph83XaGc0o0/edit?usp=sharing"",""งบพรบ!DY21"")"),0)</f>
        <v>0</v>
      </c>
      <c r="N306" s="837">
        <f ca="1">IFERROR(__xludf.DUMMYFUNCTION("IMPORTRANGE(""https://docs.google.com/spreadsheets/d/1MeEWN-I1oV_STSDYn1IFDPWt_1FKiwhDph83XaGc0o0/edit?usp=sharing"",""งบพรบ!EA21"")"),0)</f>
        <v>0</v>
      </c>
      <c r="O306" s="837">
        <f t="shared" ca="1" si="136"/>
        <v>0</v>
      </c>
      <c r="P306" s="837">
        <f t="shared" ca="1" si="137"/>
        <v>0</v>
      </c>
      <c r="Q306" s="825"/>
      <c r="R306" s="825"/>
      <c r="S306" s="825"/>
      <c r="T306" s="825"/>
      <c r="U306" s="825"/>
      <c r="V306" s="825"/>
      <c r="W306" s="825"/>
      <c r="X306" s="825"/>
      <c r="Y306" s="825"/>
      <c r="Z306" s="825"/>
    </row>
    <row r="307" spans="1:26" ht="19.5" hidden="1">
      <c r="A307" s="949"/>
      <c r="B307" s="950"/>
      <c r="C307" s="946" t="s">
        <v>16</v>
      </c>
      <c r="D307" s="951" t="s">
        <v>38</v>
      </c>
      <c r="E307" s="952"/>
      <c r="F307" s="952"/>
      <c r="G307" s="953"/>
      <c r="H307" s="954"/>
      <c r="I307" s="830"/>
      <c r="J307" s="830"/>
      <c r="K307" s="831"/>
      <c r="L307" s="831"/>
      <c r="M307" s="831"/>
      <c r="N307" s="831"/>
      <c r="O307" s="831"/>
      <c r="P307" s="831"/>
    </row>
    <row r="308" spans="1:26" ht="18.75" hidden="1">
      <c r="A308" s="949"/>
      <c r="B308" s="950"/>
      <c r="C308" s="950"/>
      <c r="D308" s="956" t="s">
        <v>140</v>
      </c>
      <c r="E308" s="956"/>
      <c r="F308" s="956"/>
      <c r="G308" s="958"/>
      <c r="H308" s="730"/>
      <c r="I308" s="830"/>
      <c r="J308" s="959">
        <v>0</v>
      </c>
      <c r="K308" s="831"/>
      <c r="L308" s="831"/>
      <c r="M308" s="831"/>
      <c r="N308" s="831"/>
      <c r="O308" s="831"/>
      <c r="P308" s="831"/>
    </row>
    <row r="309" spans="1:26" ht="18.75" hidden="1">
      <c r="A309" s="949"/>
      <c r="B309" s="950"/>
      <c r="C309" s="950"/>
      <c r="D309" s="956" t="s">
        <v>141</v>
      </c>
      <c r="E309" s="956"/>
      <c r="F309" s="956"/>
      <c r="G309" s="958"/>
      <c r="H309" s="730" t="s">
        <v>35</v>
      </c>
      <c r="I309" s="830">
        <f ca="1">IFERROR(__xludf.DUMMYFUNCTION("IMPORTRANGE(""https://docs.google.com/spreadsheets/d/1QqKyyYR6Q21VydFLVH3TRQUabQu_ym0Zz7PgGX0-kHA/edit?usp=sharing"",""แผน!ED21"")"),0)</f>
        <v>0</v>
      </c>
      <c r="J309" s="959">
        <v>0</v>
      </c>
      <c r="K309" s="831">
        <f t="shared" ref="K309:K312" ca="1" si="141">IF(I309&gt;0,J309*100/I309,0)</f>
        <v>0</v>
      </c>
      <c r="L309" s="831"/>
      <c r="M309" s="831"/>
      <c r="N309" s="831"/>
      <c r="O309" s="831"/>
      <c r="P309" s="831"/>
    </row>
    <row r="310" spans="1:26" ht="18.75" hidden="1">
      <c r="A310" s="949"/>
      <c r="B310" s="950"/>
      <c r="C310" s="950"/>
      <c r="D310" s="956" t="s">
        <v>142</v>
      </c>
      <c r="E310" s="956"/>
      <c r="F310" s="956"/>
      <c r="G310" s="958"/>
      <c r="H310" s="730" t="s">
        <v>35</v>
      </c>
      <c r="I310" s="830">
        <f ca="1">IFERROR(__xludf.DUMMYFUNCTION("IMPORTRANGE(""https://docs.google.com/spreadsheets/d/1QqKyyYR6Q21VydFLVH3TRQUabQu_ym0Zz7PgGX0-kHA/edit?usp=sharing"",""แผน!ED21"")"),0)</f>
        <v>0</v>
      </c>
      <c r="J310" s="959">
        <v>0</v>
      </c>
      <c r="K310" s="831">
        <f t="shared" ca="1" si="141"/>
        <v>0</v>
      </c>
      <c r="L310" s="831"/>
      <c r="M310" s="831"/>
      <c r="N310" s="831"/>
      <c r="O310" s="831"/>
      <c r="P310" s="831"/>
    </row>
    <row r="311" spans="1:26" ht="18.75" hidden="1">
      <c r="A311" s="949"/>
      <c r="B311" s="950"/>
      <c r="C311" s="950"/>
      <c r="D311" s="956" t="s">
        <v>59</v>
      </c>
      <c r="E311" s="956"/>
      <c r="F311" s="956"/>
      <c r="G311" s="958"/>
      <c r="H311" s="730" t="s">
        <v>35</v>
      </c>
      <c r="I311" s="830">
        <f ca="1">IFERROR(__xludf.DUMMYFUNCTION("IMPORTRANGE(""https://docs.google.com/spreadsheets/d/1QqKyyYR6Q21VydFLVH3TRQUabQu_ym0Zz7PgGX0-kHA/edit?usp=sharing"",""แผน!ED21"")"),0)</f>
        <v>0</v>
      </c>
      <c r="J311" s="959">
        <v>0</v>
      </c>
      <c r="K311" s="831">
        <f t="shared" ca="1" si="141"/>
        <v>0</v>
      </c>
      <c r="L311" s="831"/>
      <c r="M311" s="831"/>
      <c r="N311" s="831"/>
      <c r="O311" s="831"/>
      <c r="P311" s="831"/>
    </row>
    <row r="312" spans="1:26" ht="18.75" hidden="1">
      <c r="A312" s="949"/>
      <c r="B312" s="950"/>
      <c r="C312" s="950"/>
      <c r="D312" s="956" t="s">
        <v>143</v>
      </c>
      <c r="E312" s="956"/>
      <c r="F312" s="956"/>
      <c r="G312" s="958"/>
      <c r="H312" s="730" t="s">
        <v>35</v>
      </c>
      <c r="I312" s="830">
        <f ca="1">IFERROR(__xludf.DUMMYFUNCTION("IMPORTRANGE(""https://docs.google.com/spreadsheets/d/1QqKyyYR6Q21VydFLVH3TRQUabQu_ym0Zz7PgGX0-kHA/edit?usp=sharing"",""แผน!EE21"")"),0)</f>
        <v>0</v>
      </c>
      <c r="J312" s="959">
        <v>0</v>
      </c>
      <c r="K312" s="831">
        <f t="shared" ca="1" si="141"/>
        <v>0</v>
      </c>
      <c r="L312" s="831"/>
      <c r="M312" s="831"/>
      <c r="N312" s="831"/>
      <c r="O312" s="831"/>
      <c r="P312" s="831"/>
    </row>
    <row r="313" spans="1:26" ht="19.5" hidden="1">
      <c r="A313" s="1126" t="s">
        <v>144</v>
      </c>
      <c r="B313" s="1127"/>
      <c r="C313" s="1127"/>
      <c r="D313" s="1128"/>
      <c r="E313" s="1127"/>
      <c r="F313" s="1127"/>
      <c r="G313" s="1127"/>
      <c r="H313" s="1140"/>
      <c r="I313" s="1131"/>
      <c r="J313" s="1131"/>
      <c r="K313" s="1132"/>
      <c r="L313" s="1132"/>
      <c r="M313" s="1132"/>
      <c r="N313" s="1132"/>
      <c r="O313" s="1132"/>
      <c r="P313" s="1132"/>
    </row>
    <row r="314" spans="1:26" ht="19.5" hidden="1">
      <c r="A314" s="1141"/>
      <c r="B314" s="1134" t="s">
        <v>145</v>
      </c>
      <c r="C314" s="1142"/>
      <c r="D314" s="1143"/>
      <c r="E314" s="1135"/>
      <c r="F314" s="1135"/>
      <c r="G314" s="1136"/>
      <c r="H314" s="412" t="s">
        <v>146</v>
      </c>
      <c r="I314" s="1137">
        <f t="shared" ref="I314:J314" ca="1" si="142">I325</f>
        <v>0</v>
      </c>
      <c r="J314" s="1137">
        <f t="shared" si="142"/>
        <v>0</v>
      </c>
      <c r="K314" s="1138">
        <f ca="1">IF(I314&gt;0,J314*100/I314,0)</f>
        <v>0</v>
      </c>
      <c r="L314" s="1139"/>
      <c r="M314" s="1139"/>
      <c r="N314" s="1139"/>
      <c r="O314" s="1139"/>
      <c r="P314" s="1139"/>
    </row>
    <row r="315" spans="1:26" ht="19.5" hidden="1">
      <c r="A315" s="932"/>
      <c r="B315" s="933"/>
      <c r="C315" s="934" t="s">
        <v>16</v>
      </c>
      <c r="D315" s="935" t="s">
        <v>17</v>
      </c>
      <c r="E315" s="933"/>
      <c r="F315" s="933"/>
      <c r="G315" s="936"/>
      <c r="H315" s="152" t="s">
        <v>12</v>
      </c>
      <c r="I315" s="937"/>
      <c r="J315" s="937"/>
      <c r="K315" s="938"/>
      <c r="L315" s="939">
        <f t="shared" ref="L315:N315" ca="1" si="143">L316+L317</f>
        <v>0</v>
      </c>
      <c r="M315" s="939">
        <f t="shared" ca="1" si="143"/>
        <v>0</v>
      </c>
      <c r="N315" s="939">
        <f t="shared" ca="1" si="143"/>
        <v>0</v>
      </c>
      <c r="O315" s="939">
        <f t="shared" ref="O315:O323" ca="1" si="144">IF(L315&gt;0,N315*100/L315,0)</f>
        <v>0</v>
      </c>
      <c r="P315" s="939">
        <f t="shared" ref="P315:P323" ca="1" si="145">IF(M315&gt;0,N315*100/M315,0)</f>
        <v>0</v>
      </c>
      <c r="Q315" s="818"/>
      <c r="R315" s="818"/>
      <c r="S315" s="818"/>
      <c r="T315" s="818"/>
      <c r="U315" s="818"/>
      <c r="V315" s="818"/>
      <c r="W315" s="818"/>
      <c r="X315" s="818"/>
      <c r="Y315" s="818"/>
      <c r="Z315" s="818"/>
    </row>
    <row r="316" spans="1:26" ht="18.75" hidden="1">
      <c r="A316" s="940"/>
      <c r="B316" s="833"/>
      <c r="C316" s="833"/>
      <c r="D316" s="833"/>
      <c r="E316" s="834" t="s">
        <v>18</v>
      </c>
      <c r="F316" s="833"/>
      <c r="G316" s="941"/>
      <c r="H316" s="158" t="s">
        <v>12</v>
      </c>
      <c r="I316" s="836"/>
      <c r="J316" s="836"/>
      <c r="K316" s="837"/>
      <c r="L316" s="837">
        <f t="shared" ref="L316:N317" si="146">L319+L322</f>
        <v>0</v>
      </c>
      <c r="M316" s="837">
        <f t="shared" si="146"/>
        <v>0</v>
      </c>
      <c r="N316" s="837">
        <f t="shared" si="146"/>
        <v>0</v>
      </c>
      <c r="O316" s="837">
        <f t="shared" si="144"/>
        <v>0</v>
      </c>
      <c r="P316" s="837">
        <f t="shared" si="145"/>
        <v>0</v>
      </c>
      <c r="Q316" s="825"/>
      <c r="R316" s="825"/>
      <c r="S316" s="825"/>
      <c r="T316" s="825"/>
      <c r="U316" s="825"/>
      <c r="V316" s="825"/>
      <c r="W316" s="825"/>
      <c r="X316" s="825"/>
      <c r="Y316" s="825"/>
      <c r="Z316" s="825"/>
    </row>
    <row r="317" spans="1:26" ht="18.75" hidden="1">
      <c r="A317" s="940"/>
      <c r="B317" s="833"/>
      <c r="C317" s="833"/>
      <c r="D317" s="833"/>
      <c r="E317" s="834" t="s">
        <v>19</v>
      </c>
      <c r="F317" s="833"/>
      <c r="G317" s="941"/>
      <c r="H317" s="158" t="s">
        <v>12</v>
      </c>
      <c r="I317" s="836"/>
      <c r="J317" s="836"/>
      <c r="K317" s="837"/>
      <c r="L317" s="837">
        <f t="shared" ca="1" si="146"/>
        <v>0</v>
      </c>
      <c r="M317" s="837">
        <f t="shared" ca="1" si="146"/>
        <v>0</v>
      </c>
      <c r="N317" s="837">
        <f t="shared" ca="1" si="146"/>
        <v>0</v>
      </c>
      <c r="O317" s="837">
        <f t="shared" ca="1" si="144"/>
        <v>0</v>
      </c>
      <c r="P317" s="837">
        <f t="shared" ca="1" si="145"/>
        <v>0</v>
      </c>
      <c r="Q317" s="825"/>
      <c r="R317" s="825"/>
      <c r="S317" s="825"/>
      <c r="T317" s="825"/>
      <c r="U317" s="825"/>
      <c r="V317" s="825"/>
      <c r="W317" s="825"/>
      <c r="X317" s="825"/>
      <c r="Y317" s="825"/>
      <c r="Z317" s="825"/>
    </row>
    <row r="318" spans="1:26" ht="18.75" hidden="1">
      <c r="A318" s="942"/>
      <c r="B318" s="827"/>
      <c r="C318" s="943"/>
      <c r="D318" s="828" t="s">
        <v>20</v>
      </c>
      <c r="E318" s="827"/>
      <c r="F318" s="827"/>
      <c r="G318" s="829"/>
      <c r="H318" s="778" t="s">
        <v>12</v>
      </c>
      <c r="I318" s="944"/>
      <c r="J318" s="944"/>
      <c r="K318" s="945"/>
      <c r="L318" s="831">
        <f t="shared" ref="L318:N318" ca="1" si="147">L319+L320</f>
        <v>0</v>
      </c>
      <c r="M318" s="831">
        <f t="shared" ca="1" si="147"/>
        <v>0</v>
      </c>
      <c r="N318" s="831">
        <f t="shared" ca="1" si="147"/>
        <v>0</v>
      </c>
      <c r="O318" s="831">
        <f t="shared" ca="1" si="144"/>
        <v>0</v>
      </c>
      <c r="P318" s="831">
        <f t="shared" ca="1" si="145"/>
        <v>0</v>
      </c>
      <c r="Q318" s="818"/>
      <c r="R318" s="818"/>
      <c r="S318" s="818"/>
      <c r="T318" s="818"/>
      <c r="U318" s="818"/>
      <c r="V318" s="818"/>
      <c r="W318" s="818"/>
      <c r="X318" s="818"/>
      <c r="Y318" s="818"/>
      <c r="Z318" s="818"/>
    </row>
    <row r="319" spans="1:26" ht="19.5" hidden="1">
      <c r="A319" s="940"/>
      <c r="B319" s="833"/>
      <c r="C319" s="946"/>
      <c r="D319" s="833"/>
      <c r="E319" s="834" t="s">
        <v>36</v>
      </c>
      <c r="F319" s="833"/>
      <c r="G319" s="941"/>
      <c r="H319" s="165" t="s">
        <v>12</v>
      </c>
      <c r="I319" s="947"/>
      <c r="J319" s="947"/>
      <c r="K319" s="948"/>
      <c r="L319" s="837">
        <v>0</v>
      </c>
      <c r="M319" s="837">
        <v>0</v>
      </c>
      <c r="N319" s="837">
        <v>0</v>
      </c>
      <c r="O319" s="837">
        <f t="shared" si="144"/>
        <v>0</v>
      </c>
      <c r="P319" s="837">
        <f t="shared" si="145"/>
        <v>0</v>
      </c>
      <c r="Q319" s="825"/>
      <c r="R319" s="825"/>
      <c r="S319" s="825"/>
      <c r="T319" s="825"/>
      <c r="U319" s="825"/>
      <c r="V319" s="825"/>
      <c r="W319" s="825"/>
      <c r="X319" s="825"/>
      <c r="Y319" s="825"/>
      <c r="Z319" s="825"/>
    </row>
    <row r="320" spans="1:26" ht="19.5" hidden="1">
      <c r="A320" s="940"/>
      <c r="B320" s="833"/>
      <c r="C320" s="946"/>
      <c r="D320" s="833"/>
      <c r="E320" s="834" t="s">
        <v>37</v>
      </c>
      <c r="F320" s="833"/>
      <c r="G320" s="941"/>
      <c r="H320" s="165" t="s">
        <v>12</v>
      </c>
      <c r="I320" s="947"/>
      <c r="J320" s="947"/>
      <c r="K320" s="948"/>
      <c r="L320" s="837">
        <f ca="1">IFERROR(__xludf.DUMMYFUNCTION("IMPORTRANGE(""https://docs.google.com/spreadsheets/d/1MeEWN-I1oV_STSDYn1IFDPWt_1FKiwhDph83XaGc0o0/edit?usp=sharing"",""งบพรบ!EC21"")"),0)</f>
        <v>0</v>
      </c>
      <c r="M320" s="837">
        <f ca="1">IFERROR(__xludf.DUMMYFUNCTION("IMPORTRANGE(""https://docs.google.com/spreadsheets/d/1MeEWN-I1oV_STSDYn1IFDPWt_1FKiwhDph83XaGc0o0/edit?usp=sharing"",""งบพรบ!EH21"")"),0)</f>
        <v>0</v>
      </c>
      <c r="N320" s="837">
        <f ca="1">IFERROR(__xludf.DUMMYFUNCTION("IMPORTRANGE(""https://docs.google.com/spreadsheets/d/1MeEWN-I1oV_STSDYn1IFDPWt_1FKiwhDph83XaGc0o0/edit?usp=sharing"",""งบพรบ!EJ21"")"),0)</f>
        <v>0</v>
      </c>
      <c r="O320" s="837">
        <f t="shared" ca="1" si="144"/>
        <v>0</v>
      </c>
      <c r="P320" s="837">
        <f t="shared" ca="1" si="145"/>
        <v>0</v>
      </c>
      <c r="Q320" s="825"/>
      <c r="R320" s="825"/>
      <c r="S320" s="825"/>
      <c r="T320" s="825"/>
      <c r="U320" s="825"/>
      <c r="V320" s="825"/>
      <c r="W320" s="825"/>
      <c r="X320" s="825"/>
      <c r="Y320" s="825"/>
      <c r="Z320" s="825"/>
    </row>
    <row r="321" spans="1:26" ht="18.75" hidden="1">
      <c r="A321" s="942"/>
      <c r="B321" s="827"/>
      <c r="C321" s="943"/>
      <c r="D321" s="828" t="s">
        <v>21</v>
      </c>
      <c r="E321" s="827"/>
      <c r="F321" s="827"/>
      <c r="G321" s="829"/>
      <c r="H321" s="168" t="s">
        <v>12</v>
      </c>
      <c r="I321" s="944"/>
      <c r="J321" s="944"/>
      <c r="K321" s="945"/>
      <c r="L321" s="831">
        <f t="shared" ref="L321:N321" ca="1" si="148">L322+L323</f>
        <v>0</v>
      </c>
      <c r="M321" s="831">
        <f t="shared" ca="1" si="148"/>
        <v>0</v>
      </c>
      <c r="N321" s="831">
        <f t="shared" ca="1" si="148"/>
        <v>0</v>
      </c>
      <c r="O321" s="831">
        <f t="shared" ca="1" si="144"/>
        <v>0</v>
      </c>
      <c r="P321" s="831">
        <f t="shared" ca="1" si="145"/>
        <v>0</v>
      </c>
      <c r="Q321" s="818"/>
      <c r="R321" s="818"/>
      <c r="S321" s="818"/>
      <c r="T321" s="818"/>
      <c r="U321" s="818"/>
      <c r="V321" s="818"/>
      <c r="W321" s="818"/>
      <c r="X321" s="818"/>
      <c r="Y321" s="818"/>
      <c r="Z321" s="818"/>
    </row>
    <row r="322" spans="1:26" ht="19.5" hidden="1">
      <c r="A322" s="940"/>
      <c r="B322" s="833"/>
      <c r="C322" s="946"/>
      <c r="D322" s="833"/>
      <c r="E322" s="834" t="s">
        <v>18</v>
      </c>
      <c r="F322" s="833"/>
      <c r="G322" s="941"/>
      <c r="H322" s="165" t="s">
        <v>12</v>
      </c>
      <c r="I322" s="947"/>
      <c r="J322" s="947"/>
      <c r="K322" s="948"/>
      <c r="L322" s="837">
        <v>0</v>
      </c>
      <c r="M322" s="837">
        <v>0</v>
      </c>
      <c r="N322" s="837">
        <v>0</v>
      </c>
      <c r="O322" s="837">
        <f t="shared" si="144"/>
        <v>0</v>
      </c>
      <c r="P322" s="837">
        <f t="shared" si="145"/>
        <v>0</v>
      </c>
      <c r="Q322" s="825"/>
      <c r="R322" s="825"/>
      <c r="S322" s="825"/>
      <c r="T322" s="825"/>
      <c r="U322" s="825"/>
      <c r="V322" s="825"/>
      <c r="W322" s="825"/>
      <c r="X322" s="825"/>
      <c r="Y322" s="825"/>
      <c r="Z322" s="825"/>
    </row>
    <row r="323" spans="1:26" ht="19.5" hidden="1">
      <c r="A323" s="940"/>
      <c r="B323" s="833"/>
      <c r="C323" s="946"/>
      <c r="D323" s="833"/>
      <c r="E323" s="834" t="s">
        <v>19</v>
      </c>
      <c r="F323" s="833"/>
      <c r="G323" s="941"/>
      <c r="H323" s="169" t="s">
        <v>12</v>
      </c>
      <c r="I323" s="947"/>
      <c r="J323" s="947"/>
      <c r="K323" s="948"/>
      <c r="L323" s="837">
        <f ca="1">IFERROR(__xludf.DUMMYFUNCTION("IMPORTRANGE(""https://docs.google.com/spreadsheets/d/1MeEWN-I1oV_STSDYn1IFDPWt_1FKiwhDph83XaGc0o0/edit?usp=sharing"",""งบพรบ!EF21"")"),0)</f>
        <v>0</v>
      </c>
      <c r="M323" s="837">
        <f ca="1">IFERROR(__xludf.DUMMYFUNCTION("IMPORTRANGE(""https://docs.google.com/spreadsheets/d/1MeEWN-I1oV_STSDYn1IFDPWt_1FKiwhDph83XaGc0o0/edit?usp=sharing"",""งบพรบ!EI21"")"),0)</f>
        <v>0</v>
      </c>
      <c r="N323" s="837">
        <f ca="1">IFERROR(__xludf.DUMMYFUNCTION("IMPORTRANGE(""https://docs.google.com/spreadsheets/d/1MeEWN-I1oV_STSDYn1IFDPWt_1FKiwhDph83XaGc0o0/edit?usp=sharing"",""งบพรบ!EK21"")"),0)</f>
        <v>0</v>
      </c>
      <c r="O323" s="837">
        <f t="shared" ca="1" si="144"/>
        <v>0</v>
      </c>
      <c r="P323" s="837">
        <f t="shared" ca="1" si="145"/>
        <v>0</v>
      </c>
      <c r="Q323" s="825"/>
      <c r="R323" s="825"/>
      <c r="S323" s="825"/>
      <c r="T323" s="825"/>
      <c r="U323" s="825"/>
      <c r="V323" s="825"/>
      <c r="W323" s="825"/>
      <c r="X323" s="825"/>
      <c r="Y323" s="825"/>
      <c r="Z323" s="825"/>
    </row>
    <row r="324" spans="1:26" ht="19.5" hidden="1">
      <c r="A324" s="949"/>
      <c r="B324" s="950"/>
      <c r="C324" s="946" t="s">
        <v>16</v>
      </c>
      <c r="D324" s="951" t="s">
        <v>38</v>
      </c>
      <c r="E324" s="952"/>
      <c r="F324" s="952"/>
      <c r="G324" s="953"/>
      <c r="H324" s="954"/>
      <c r="I324" s="944"/>
      <c r="J324" s="830"/>
      <c r="K324" s="831"/>
      <c r="L324" s="831"/>
      <c r="M324" s="831"/>
      <c r="N324" s="831"/>
      <c r="O324" s="945"/>
      <c r="P324" s="945"/>
    </row>
    <row r="325" spans="1:26" ht="18.75" hidden="1">
      <c r="A325" s="949"/>
      <c r="B325" s="950"/>
      <c r="C325" s="950"/>
      <c r="D325" s="955" t="s">
        <v>147</v>
      </c>
      <c r="E325" s="957"/>
      <c r="F325" s="956"/>
      <c r="G325" s="958"/>
      <c r="H325" s="590" t="s">
        <v>146</v>
      </c>
      <c r="I325" s="830">
        <f ca="1">IFERROR(__xludf.DUMMYFUNCTION("IMPORTRANGE(""https://docs.google.com/spreadsheets/d/1QqKyyYR6Q21VydFLVH3TRQUabQu_ym0Zz7PgGX0-kHA/edit?usp=sharing"",""แผน!EF21"")"),0)</f>
        <v>0</v>
      </c>
      <c r="J325" s="959">
        <v>0</v>
      </c>
      <c r="K325" s="831">
        <f ca="1">IF(I325&gt;0,J325*100/I325,0)</f>
        <v>0</v>
      </c>
      <c r="L325" s="831"/>
      <c r="M325" s="831"/>
      <c r="N325" s="831"/>
      <c r="O325" s="945"/>
      <c r="P325" s="945"/>
    </row>
    <row r="326" spans="1:26" ht="19.5">
      <c r="A326" s="1126" t="s">
        <v>148</v>
      </c>
      <c r="B326" s="1127"/>
      <c r="C326" s="1127"/>
      <c r="D326" s="1128"/>
      <c r="E326" s="1127"/>
      <c r="F326" s="1127"/>
      <c r="G326" s="1127"/>
      <c r="H326" s="1140"/>
      <c r="I326" s="1131"/>
      <c r="J326" s="1131"/>
      <c r="K326" s="1132"/>
      <c r="L326" s="1132"/>
      <c r="M326" s="1132"/>
      <c r="N326" s="1132"/>
      <c r="O326" s="1132"/>
      <c r="P326" s="1132"/>
    </row>
    <row r="327" spans="1:26" ht="19.5">
      <c r="A327" s="1133"/>
      <c r="B327" s="1134" t="s">
        <v>149</v>
      </c>
      <c r="C327" s="1143"/>
      <c r="D327" s="1135"/>
      <c r="E327" s="1135"/>
      <c r="F327" s="1135"/>
      <c r="G327" s="1136"/>
      <c r="H327" s="412" t="s">
        <v>35</v>
      </c>
      <c r="I327" s="1137">
        <f ca="1">IFERROR(__xludf.DUMMYFUNCTION("IMPORTRANGE(""https://docs.google.com/spreadsheets/d/1QqKyyYR6Q21VydFLVH3TRQUabQu_ym0Zz7PgGX0-kHA/edit?usp=sharing"",""แผน!EG21"")"),1000)</f>
        <v>1000</v>
      </c>
      <c r="J327" s="1137">
        <f ca="1">J338+J341+J342+J343</f>
        <v>609</v>
      </c>
      <c r="K327" s="1138">
        <f ca="1">IF(I327&gt;0,J327*100/I327,0)</f>
        <v>60.9</v>
      </c>
      <c r="L327" s="1139"/>
      <c r="M327" s="1139"/>
      <c r="N327" s="1139"/>
      <c r="O327" s="1139"/>
      <c r="P327" s="1139"/>
    </row>
    <row r="328" spans="1:26" ht="19.5">
      <c r="A328" s="932"/>
      <c r="B328" s="933"/>
      <c r="C328" s="934" t="s">
        <v>16</v>
      </c>
      <c r="D328" s="935" t="s">
        <v>17</v>
      </c>
      <c r="E328" s="933"/>
      <c r="F328" s="933"/>
      <c r="G328" s="936"/>
      <c r="H328" s="152" t="s">
        <v>12</v>
      </c>
      <c r="I328" s="937"/>
      <c r="J328" s="937"/>
      <c r="K328" s="938"/>
      <c r="L328" s="939">
        <f t="shared" ref="L328:N328" ca="1" si="149">L329+L330</f>
        <v>161000</v>
      </c>
      <c r="M328" s="939">
        <f t="shared" ca="1" si="149"/>
        <v>123250</v>
      </c>
      <c r="N328" s="939">
        <f t="shared" ca="1" si="149"/>
        <v>52046</v>
      </c>
      <c r="O328" s="939">
        <f t="shared" ref="O328:O336" ca="1" si="150">IF(L328&gt;0,N328*100/L328,0)</f>
        <v>32.32670807453416</v>
      </c>
      <c r="P328" s="939">
        <f t="shared" ref="P328:P336" ca="1" si="151">IF(M328&gt;0,N328*100/M328,0)</f>
        <v>42.22799188640974</v>
      </c>
      <c r="Q328" s="818"/>
      <c r="R328" s="818"/>
      <c r="S328" s="818"/>
      <c r="T328" s="818"/>
      <c r="U328" s="818"/>
      <c r="V328" s="818"/>
      <c r="W328" s="818"/>
      <c r="X328" s="818"/>
      <c r="Y328" s="818"/>
      <c r="Z328" s="818"/>
    </row>
    <row r="329" spans="1:26" ht="18.75" hidden="1">
      <c r="A329" s="940"/>
      <c r="B329" s="833"/>
      <c r="C329" s="833"/>
      <c r="D329" s="833"/>
      <c r="E329" s="834" t="s">
        <v>18</v>
      </c>
      <c r="F329" s="833"/>
      <c r="G329" s="941"/>
      <c r="H329" s="158" t="s">
        <v>12</v>
      </c>
      <c r="I329" s="836"/>
      <c r="J329" s="836"/>
      <c r="K329" s="837"/>
      <c r="L329" s="837">
        <f t="shared" ref="L329:N330" si="152">L332+L335</f>
        <v>0</v>
      </c>
      <c r="M329" s="837">
        <f t="shared" si="152"/>
        <v>0</v>
      </c>
      <c r="N329" s="837">
        <f t="shared" si="152"/>
        <v>0</v>
      </c>
      <c r="O329" s="837">
        <f t="shared" si="150"/>
        <v>0</v>
      </c>
      <c r="P329" s="837">
        <f t="shared" si="151"/>
        <v>0</v>
      </c>
      <c r="Q329" s="825"/>
      <c r="R329" s="825"/>
      <c r="S329" s="825"/>
      <c r="T329" s="825"/>
      <c r="U329" s="825"/>
      <c r="V329" s="825"/>
      <c r="W329" s="825"/>
      <c r="X329" s="825"/>
      <c r="Y329" s="825"/>
      <c r="Z329" s="825"/>
    </row>
    <row r="330" spans="1:26" ht="18.75" hidden="1">
      <c r="A330" s="940"/>
      <c r="B330" s="833"/>
      <c r="C330" s="833"/>
      <c r="D330" s="833"/>
      <c r="E330" s="834" t="s">
        <v>19</v>
      </c>
      <c r="F330" s="833"/>
      <c r="G330" s="941"/>
      <c r="H330" s="158" t="s">
        <v>12</v>
      </c>
      <c r="I330" s="836"/>
      <c r="J330" s="836"/>
      <c r="K330" s="837"/>
      <c r="L330" s="837">
        <f t="shared" ca="1" si="152"/>
        <v>161000</v>
      </c>
      <c r="M330" s="837">
        <f t="shared" ca="1" si="152"/>
        <v>123250</v>
      </c>
      <c r="N330" s="837">
        <f t="shared" ca="1" si="152"/>
        <v>52046</v>
      </c>
      <c r="O330" s="837">
        <f t="shared" ca="1" si="150"/>
        <v>32.32670807453416</v>
      </c>
      <c r="P330" s="837">
        <f t="shared" ca="1" si="151"/>
        <v>42.22799188640974</v>
      </c>
      <c r="Q330" s="825"/>
      <c r="R330" s="825"/>
      <c r="S330" s="825"/>
      <c r="T330" s="825"/>
      <c r="U330" s="825"/>
      <c r="V330" s="825"/>
      <c r="W330" s="825"/>
      <c r="X330" s="825"/>
      <c r="Y330" s="825"/>
      <c r="Z330" s="825"/>
    </row>
    <row r="331" spans="1:26" ht="18.75">
      <c r="A331" s="942"/>
      <c r="B331" s="827"/>
      <c r="C331" s="943"/>
      <c r="D331" s="828" t="s">
        <v>20</v>
      </c>
      <c r="E331" s="827"/>
      <c r="F331" s="827"/>
      <c r="G331" s="829"/>
      <c r="H331" s="778" t="s">
        <v>12</v>
      </c>
      <c r="I331" s="944"/>
      <c r="J331" s="944"/>
      <c r="K331" s="945"/>
      <c r="L331" s="831">
        <f t="shared" ref="L331:N331" ca="1" si="153">L332+L333</f>
        <v>161000</v>
      </c>
      <c r="M331" s="831">
        <f t="shared" ca="1" si="153"/>
        <v>123250</v>
      </c>
      <c r="N331" s="831">
        <f t="shared" ca="1" si="153"/>
        <v>52046</v>
      </c>
      <c r="O331" s="831">
        <f t="shared" ca="1" si="150"/>
        <v>32.32670807453416</v>
      </c>
      <c r="P331" s="831">
        <f t="shared" ca="1" si="151"/>
        <v>42.22799188640974</v>
      </c>
      <c r="Q331" s="818"/>
      <c r="R331" s="818"/>
      <c r="S331" s="818"/>
      <c r="T331" s="818"/>
      <c r="U331" s="818"/>
      <c r="V331" s="818"/>
      <c r="W331" s="818"/>
      <c r="X331" s="818"/>
      <c r="Y331" s="818"/>
      <c r="Z331" s="818"/>
    </row>
    <row r="332" spans="1:26" ht="19.5" hidden="1">
      <c r="A332" s="940"/>
      <c r="B332" s="833"/>
      <c r="C332" s="946"/>
      <c r="D332" s="833"/>
      <c r="E332" s="834" t="s">
        <v>36</v>
      </c>
      <c r="F332" s="833"/>
      <c r="G332" s="941"/>
      <c r="H332" s="165" t="s">
        <v>12</v>
      </c>
      <c r="I332" s="947"/>
      <c r="J332" s="947"/>
      <c r="K332" s="948"/>
      <c r="L332" s="837">
        <v>0</v>
      </c>
      <c r="M332" s="837">
        <v>0</v>
      </c>
      <c r="N332" s="837">
        <v>0</v>
      </c>
      <c r="O332" s="837">
        <f t="shared" si="150"/>
        <v>0</v>
      </c>
      <c r="P332" s="837">
        <f t="shared" si="151"/>
        <v>0</v>
      </c>
      <c r="Q332" s="825"/>
      <c r="R332" s="825"/>
      <c r="S332" s="825"/>
      <c r="T332" s="825"/>
      <c r="U332" s="825"/>
      <c r="V332" s="825"/>
      <c r="W332" s="825"/>
      <c r="X332" s="825"/>
      <c r="Y332" s="825"/>
      <c r="Z332" s="825"/>
    </row>
    <row r="333" spans="1:26" ht="19.5" hidden="1">
      <c r="A333" s="940"/>
      <c r="B333" s="833"/>
      <c r="C333" s="946"/>
      <c r="D333" s="833"/>
      <c r="E333" s="834" t="s">
        <v>37</v>
      </c>
      <c r="F333" s="833"/>
      <c r="G333" s="941"/>
      <c r="H333" s="165" t="s">
        <v>12</v>
      </c>
      <c r="I333" s="947"/>
      <c r="J333" s="947"/>
      <c r="K333" s="948"/>
      <c r="L333" s="837">
        <f ca="1">IFERROR(__xludf.DUMMYFUNCTION("IMPORTRANGE(""https://docs.google.com/spreadsheets/d/1MeEWN-I1oV_STSDYn1IFDPWt_1FKiwhDph83XaGc0o0/edit?usp=sharing"",""งบพรบ!EM21"")"),161000)</f>
        <v>161000</v>
      </c>
      <c r="M333" s="837">
        <f ca="1">IFERROR(__xludf.DUMMYFUNCTION("IMPORTRANGE(""https://docs.google.com/spreadsheets/d/1MeEWN-I1oV_STSDYn1IFDPWt_1FKiwhDph83XaGc0o0/edit?usp=sharing"",""งบพรบ!ER21"")"),123250)</f>
        <v>123250</v>
      </c>
      <c r="N333" s="837">
        <f ca="1">IFERROR(__xludf.DUMMYFUNCTION("IMPORTRANGE(""https://docs.google.com/spreadsheets/d/1MeEWN-I1oV_STSDYn1IFDPWt_1FKiwhDph83XaGc0o0/edit?usp=sharing"",""งบพรบ!ET21"")"),52046)</f>
        <v>52046</v>
      </c>
      <c r="O333" s="837">
        <f t="shared" ca="1" si="150"/>
        <v>32.32670807453416</v>
      </c>
      <c r="P333" s="837">
        <f t="shared" ca="1" si="151"/>
        <v>42.22799188640974</v>
      </c>
      <c r="Q333" s="825"/>
      <c r="R333" s="825"/>
      <c r="S333" s="825"/>
      <c r="T333" s="825"/>
      <c r="U333" s="825"/>
      <c r="V333" s="825"/>
      <c r="W333" s="825"/>
      <c r="X333" s="825"/>
      <c r="Y333" s="825"/>
      <c r="Z333" s="825"/>
    </row>
    <row r="334" spans="1:26" ht="18.75">
      <c r="A334" s="942"/>
      <c r="B334" s="827"/>
      <c r="C334" s="943"/>
      <c r="D334" s="828" t="s">
        <v>21</v>
      </c>
      <c r="E334" s="827"/>
      <c r="F334" s="827"/>
      <c r="G334" s="829"/>
      <c r="H334" s="168" t="s">
        <v>12</v>
      </c>
      <c r="I334" s="944"/>
      <c r="J334" s="944"/>
      <c r="K334" s="945"/>
      <c r="L334" s="831">
        <f t="shared" ref="L334:N334" ca="1" si="154">L335+L336</f>
        <v>0</v>
      </c>
      <c r="M334" s="831">
        <f t="shared" ca="1" si="154"/>
        <v>0</v>
      </c>
      <c r="N334" s="831">
        <f t="shared" ca="1" si="154"/>
        <v>0</v>
      </c>
      <c r="O334" s="831">
        <f t="shared" ca="1" si="150"/>
        <v>0</v>
      </c>
      <c r="P334" s="831">
        <f t="shared" ca="1" si="151"/>
        <v>0</v>
      </c>
      <c r="Q334" s="818"/>
      <c r="R334" s="818"/>
      <c r="S334" s="818"/>
      <c r="T334" s="818"/>
      <c r="U334" s="818"/>
      <c r="V334" s="818"/>
      <c r="W334" s="818"/>
      <c r="X334" s="818"/>
      <c r="Y334" s="818"/>
      <c r="Z334" s="818"/>
    </row>
    <row r="335" spans="1:26" ht="19.5" hidden="1">
      <c r="A335" s="940"/>
      <c r="B335" s="833"/>
      <c r="C335" s="946"/>
      <c r="D335" s="833"/>
      <c r="E335" s="834" t="s">
        <v>18</v>
      </c>
      <c r="F335" s="833"/>
      <c r="G335" s="941"/>
      <c r="H335" s="165" t="s">
        <v>12</v>
      </c>
      <c r="I335" s="947"/>
      <c r="J335" s="947"/>
      <c r="K335" s="948"/>
      <c r="L335" s="837">
        <v>0</v>
      </c>
      <c r="M335" s="837">
        <v>0</v>
      </c>
      <c r="N335" s="837">
        <v>0</v>
      </c>
      <c r="O335" s="837">
        <f t="shared" si="150"/>
        <v>0</v>
      </c>
      <c r="P335" s="837">
        <f t="shared" si="151"/>
        <v>0</v>
      </c>
      <c r="Q335" s="825"/>
      <c r="R335" s="825"/>
      <c r="S335" s="825"/>
      <c r="T335" s="825"/>
      <c r="U335" s="825"/>
      <c r="V335" s="825"/>
      <c r="W335" s="825"/>
      <c r="X335" s="825"/>
      <c r="Y335" s="825"/>
      <c r="Z335" s="825"/>
    </row>
    <row r="336" spans="1:26" ht="19.5" hidden="1">
      <c r="A336" s="940"/>
      <c r="B336" s="833"/>
      <c r="C336" s="946"/>
      <c r="D336" s="833"/>
      <c r="E336" s="834" t="s">
        <v>19</v>
      </c>
      <c r="F336" s="833"/>
      <c r="G336" s="941"/>
      <c r="H336" s="169" t="s">
        <v>12</v>
      </c>
      <c r="I336" s="947"/>
      <c r="J336" s="947"/>
      <c r="K336" s="948"/>
      <c r="L336" s="837">
        <f ca="1">IFERROR(__xludf.DUMMYFUNCTION("IMPORTRANGE(""https://docs.google.com/spreadsheets/d/1MeEWN-I1oV_STSDYn1IFDPWt_1FKiwhDph83XaGc0o0/edit?usp=sharing"",""งบพรบ!EP21"")"),0)</f>
        <v>0</v>
      </c>
      <c r="M336" s="837">
        <f ca="1">IFERROR(__xludf.DUMMYFUNCTION("IMPORTRANGE(""https://docs.google.com/spreadsheets/d/1MeEWN-I1oV_STSDYn1IFDPWt_1FKiwhDph83XaGc0o0/edit?usp=sharing"",""งบพรบ!ES21"")"),0)</f>
        <v>0</v>
      </c>
      <c r="N336" s="837">
        <f ca="1">IFERROR(__xludf.DUMMYFUNCTION("IMPORTRANGE(""https://docs.google.com/spreadsheets/d/1MeEWN-I1oV_STSDYn1IFDPWt_1FKiwhDph83XaGc0o0/edit?usp=sharing"",""งบพรบ!EU21"")"),0)</f>
        <v>0</v>
      </c>
      <c r="O336" s="837">
        <f t="shared" ca="1" si="150"/>
        <v>0</v>
      </c>
      <c r="P336" s="837">
        <f t="shared" ca="1" si="151"/>
        <v>0</v>
      </c>
      <c r="Q336" s="825"/>
      <c r="R336" s="825"/>
      <c r="S336" s="825"/>
      <c r="T336" s="825"/>
      <c r="U336" s="825"/>
      <c r="V336" s="825"/>
      <c r="W336" s="825"/>
      <c r="X336" s="825"/>
      <c r="Y336" s="825"/>
      <c r="Z336" s="825"/>
    </row>
    <row r="337" spans="1:26" ht="19.5">
      <c r="A337" s="949"/>
      <c r="B337" s="950"/>
      <c r="C337" s="946" t="s">
        <v>16</v>
      </c>
      <c r="D337" s="951" t="s">
        <v>38</v>
      </c>
      <c r="E337" s="952"/>
      <c r="F337" s="952"/>
      <c r="G337" s="953"/>
      <c r="H337" s="954"/>
      <c r="I337" s="944"/>
      <c r="J337" s="830"/>
      <c r="K337" s="831"/>
      <c r="L337" s="831"/>
      <c r="M337" s="831"/>
      <c r="N337" s="831"/>
      <c r="O337" s="945"/>
      <c r="P337" s="945"/>
    </row>
    <row r="338" spans="1:26" ht="18.75">
      <c r="A338" s="1032"/>
      <c r="B338" s="827"/>
      <c r="C338" s="1030"/>
      <c r="D338" s="956" t="s">
        <v>150</v>
      </c>
      <c r="E338" s="950"/>
      <c r="F338" s="827"/>
      <c r="G338" s="829"/>
      <c r="H338" s="277" t="s">
        <v>35</v>
      </c>
      <c r="I338" s="830">
        <f ca="1">IFERROR(__xludf.DUMMYFUNCTION("IMPORTRANGE(""https://docs.google.com/spreadsheets/d/1QqKyyYR6Q21VydFLVH3TRQUabQu_ym0Zz7PgGX0-kHA/edit?usp=sharing"",""แผน!EG21"")"),1000)</f>
        <v>1000</v>
      </c>
      <c r="J338" s="830">
        <f ca="1">IFERROR(__xludf.DUMMYFUNCTION("IMPORTRANGE(""https://docs.google.com/spreadsheets/d/1kVcqe37tkHyjCSG3S0O1AXqVkqjo8mSIZil3BcpIysc/edit?usp=sharing"",""ศูนย์!D21"")"),579)</f>
        <v>579</v>
      </c>
      <c r="K338" s="831">
        <f ca="1">IF(I338&gt;0,J338*100/I338,0)</f>
        <v>57.9</v>
      </c>
      <c r="L338" s="831"/>
      <c r="M338" s="831"/>
      <c r="N338" s="831"/>
      <c r="O338" s="831"/>
      <c r="P338" s="831"/>
    </row>
    <row r="339" spans="1:26" ht="18.75">
      <c r="A339" s="1032"/>
      <c r="B339" s="827"/>
      <c r="C339" s="1030"/>
      <c r="D339" s="956" t="s">
        <v>151</v>
      </c>
      <c r="E339" s="950"/>
      <c r="F339" s="827"/>
      <c r="G339" s="829"/>
      <c r="H339" s="277"/>
      <c r="I339" s="830"/>
      <c r="J339" s="830"/>
      <c r="K339" s="831"/>
      <c r="L339" s="831"/>
      <c r="M339" s="831"/>
      <c r="N339" s="831"/>
      <c r="O339" s="831"/>
      <c r="P339" s="831"/>
    </row>
    <row r="340" spans="1:26" ht="18.75">
      <c r="A340" s="1032"/>
      <c r="B340" s="827"/>
      <c r="C340" s="1030"/>
      <c r="D340" s="957"/>
      <c r="E340" s="956" t="s">
        <v>152</v>
      </c>
      <c r="F340" s="827"/>
      <c r="G340" s="829"/>
      <c r="H340" s="277" t="s">
        <v>153</v>
      </c>
      <c r="I340" s="830">
        <f ca="1">IFERROR(__xludf.DUMMYFUNCTION("IMPORTRANGE(""https://docs.google.com/spreadsheets/d/1QqKyyYR6Q21VydFLVH3TRQUabQu_ym0Zz7PgGX0-kHA/edit?usp=sharing"",""แผน!EH21"")"),4)</f>
        <v>4</v>
      </c>
      <c r="J340" s="830">
        <f ca="1">IFERROR(__xludf.DUMMYFUNCTION("IMPORTRANGE(""https://docs.google.com/spreadsheets/d/1kVcqe37tkHyjCSG3S0O1AXqVkqjo8mSIZil3BcpIysc/edit?usp=sharing"",""ศูนย์!E21"")"),1)</f>
        <v>1</v>
      </c>
      <c r="K340" s="831">
        <f ca="1">IF(I340&gt;0,J340*100/I340,0)</f>
        <v>25</v>
      </c>
      <c r="L340" s="831"/>
      <c r="M340" s="831"/>
      <c r="N340" s="831"/>
      <c r="O340" s="831"/>
      <c r="P340" s="831"/>
    </row>
    <row r="341" spans="1:26" ht="18.75">
      <c r="A341" s="1032"/>
      <c r="B341" s="827"/>
      <c r="C341" s="1030"/>
      <c r="D341" s="957"/>
      <c r="E341" s="956" t="s">
        <v>154</v>
      </c>
      <c r="F341" s="827"/>
      <c r="G341" s="829"/>
      <c r="H341" s="277" t="s">
        <v>35</v>
      </c>
      <c r="I341" s="830"/>
      <c r="J341" s="830">
        <f ca="1">IFERROR(__xludf.DUMMYFUNCTION("IMPORTRANGE(""https://docs.google.com/spreadsheets/d/1kVcqe37tkHyjCSG3S0O1AXqVkqjo8mSIZil3BcpIysc/edit?usp=sharing"",""ศูนย์!F21"")"),30)</f>
        <v>30</v>
      </c>
      <c r="K341" s="831"/>
      <c r="L341" s="831"/>
      <c r="M341" s="831"/>
      <c r="N341" s="831"/>
      <c r="O341" s="831"/>
      <c r="P341" s="831"/>
    </row>
    <row r="342" spans="1:26" ht="18.75">
      <c r="A342" s="1032"/>
      <c r="B342" s="827"/>
      <c r="C342" s="1030"/>
      <c r="D342" s="956" t="s">
        <v>155</v>
      </c>
      <c r="E342" s="957"/>
      <c r="F342" s="957"/>
      <c r="G342" s="829"/>
      <c r="H342" s="277" t="s">
        <v>35</v>
      </c>
      <c r="I342" s="830"/>
      <c r="J342" s="830">
        <f ca="1">IFERROR(__xludf.DUMMYFUNCTION("IMPORTRANGE(""https://docs.google.com/spreadsheets/d/1kVcqe37tkHyjCSG3S0O1AXqVkqjo8mSIZil3BcpIysc/edit?usp=sharing"",""ศูนย์!G21"")"),0)</f>
        <v>0</v>
      </c>
      <c r="K342" s="831"/>
      <c r="L342" s="831"/>
      <c r="M342" s="831"/>
      <c r="N342" s="831"/>
      <c r="O342" s="831"/>
      <c r="P342" s="831"/>
    </row>
    <row r="343" spans="1:26" ht="18.75">
      <c r="A343" s="1032"/>
      <c r="B343" s="827"/>
      <c r="C343" s="1030"/>
      <c r="D343" s="956" t="s">
        <v>156</v>
      </c>
      <c r="E343" s="957"/>
      <c r="F343" s="957"/>
      <c r="G343" s="829"/>
      <c r="H343" s="277" t="s">
        <v>35</v>
      </c>
      <c r="I343" s="830"/>
      <c r="J343" s="830">
        <f ca="1">IFERROR(__xludf.DUMMYFUNCTION("IMPORTRANGE(""https://docs.google.com/spreadsheets/d/1kVcqe37tkHyjCSG3S0O1AXqVkqjo8mSIZil3BcpIysc/edit?usp=sharing"",""ศูนย์!H21"")"),0)</f>
        <v>0</v>
      </c>
      <c r="K343" s="831"/>
      <c r="L343" s="831"/>
      <c r="M343" s="831"/>
      <c r="N343" s="831"/>
      <c r="O343" s="831"/>
      <c r="P343" s="831"/>
    </row>
    <row r="344" spans="1:26" ht="19.5">
      <c r="A344" s="1133"/>
      <c r="B344" s="1134" t="s">
        <v>157</v>
      </c>
      <c r="C344" s="1143"/>
      <c r="D344" s="1135"/>
      <c r="E344" s="1135"/>
      <c r="F344" s="1135"/>
      <c r="G344" s="1136"/>
      <c r="H344" s="412"/>
      <c r="I344" s="1144"/>
      <c r="J344" s="1144"/>
      <c r="K344" s="1139"/>
      <c r="L344" s="1139"/>
      <c r="M344" s="1139"/>
      <c r="N344" s="1139"/>
      <c r="O344" s="1139"/>
      <c r="P344" s="1139"/>
    </row>
    <row r="345" spans="1:26" ht="19.5">
      <c r="A345" s="932"/>
      <c r="B345" s="933"/>
      <c r="C345" s="934" t="s">
        <v>16</v>
      </c>
      <c r="D345" s="935" t="s">
        <v>17</v>
      </c>
      <c r="E345" s="933"/>
      <c r="F345" s="933"/>
      <c r="G345" s="936"/>
      <c r="H345" s="152" t="s">
        <v>12</v>
      </c>
      <c r="I345" s="937"/>
      <c r="J345" s="937"/>
      <c r="K345" s="938"/>
      <c r="L345" s="939">
        <f t="shared" ref="L345:N345" ca="1" si="155">L346+L347</f>
        <v>894590</v>
      </c>
      <c r="M345" s="939">
        <f t="shared" ca="1" si="155"/>
        <v>690250</v>
      </c>
      <c r="N345" s="939">
        <f t="shared" ca="1" si="155"/>
        <v>330856.82999999996</v>
      </c>
      <c r="O345" s="939">
        <f t="shared" ref="O345:O353" ca="1" si="156">IF(L345&gt;0,N345*100/L345,0)</f>
        <v>36.984186051710836</v>
      </c>
      <c r="P345" s="939">
        <f t="shared" ref="P345:P353" ca="1" si="157">IF(M345&gt;0,N345*100/M345,0)</f>
        <v>47.932898225280688</v>
      </c>
      <c r="Q345" s="818"/>
      <c r="R345" s="818"/>
      <c r="S345" s="818"/>
      <c r="T345" s="818"/>
      <c r="U345" s="818"/>
      <c r="V345" s="818"/>
      <c r="W345" s="818"/>
      <c r="X345" s="818"/>
      <c r="Y345" s="818"/>
      <c r="Z345" s="818"/>
    </row>
    <row r="346" spans="1:26" ht="18.75" hidden="1">
      <c r="A346" s="940"/>
      <c r="B346" s="833"/>
      <c r="C346" s="833"/>
      <c r="D346" s="833"/>
      <c r="E346" s="834" t="s">
        <v>18</v>
      </c>
      <c r="F346" s="833"/>
      <c r="G346" s="941"/>
      <c r="H346" s="158" t="s">
        <v>12</v>
      </c>
      <c r="I346" s="836"/>
      <c r="J346" s="836"/>
      <c r="K346" s="837"/>
      <c r="L346" s="837">
        <f t="shared" ref="L346:N347" si="158">L349+L352</f>
        <v>0</v>
      </c>
      <c r="M346" s="837">
        <f t="shared" si="158"/>
        <v>0</v>
      </c>
      <c r="N346" s="837">
        <f t="shared" si="158"/>
        <v>0</v>
      </c>
      <c r="O346" s="837">
        <f t="shared" si="156"/>
        <v>0</v>
      </c>
      <c r="P346" s="837">
        <f t="shared" si="157"/>
        <v>0</v>
      </c>
      <c r="Q346" s="825"/>
      <c r="R346" s="825"/>
      <c r="S346" s="825"/>
      <c r="T346" s="825"/>
      <c r="U346" s="825"/>
      <c r="V346" s="825"/>
      <c r="W346" s="825"/>
      <c r="X346" s="825"/>
      <c r="Y346" s="825"/>
      <c r="Z346" s="825"/>
    </row>
    <row r="347" spans="1:26" ht="18.75" hidden="1">
      <c r="A347" s="940"/>
      <c r="B347" s="833"/>
      <c r="C347" s="833"/>
      <c r="D347" s="833"/>
      <c r="E347" s="834" t="s">
        <v>19</v>
      </c>
      <c r="F347" s="833"/>
      <c r="G347" s="941"/>
      <c r="H347" s="158" t="s">
        <v>12</v>
      </c>
      <c r="I347" s="836"/>
      <c r="J347" s="836"/>
      <c r="K347" s="837"/>
      <c r="L347" s="837">
        <f t="shared" ca="1" si="158"/>
        <v>894590</v>
      </c>
      <c r="M347" s="837">
        <f t="shared" ca="1" si="158"/>
        <v>690250</v>
      </c>
      <c r="N347" s="837">
        <f t="shared" ca="1" si="158"/>
        <v>330856.82999999996</v>
      </c>
      <c r="O347" s="837">
        <f t="shared" ca="1" si="156"/>
        <v>36.984186051710836</v>
      </c>
      <c r="P347" s="837">
        <f t="shared" ca="1" si="157"/>
        <v>47.932898225280688</v>
      </c>
      <c r="Q347" s="825"/>
      <c r="R347" s="825"/>
      <c r="S347" s="825"/>
      <c r="T347" s="825"/>
      <c r="U347" s="825"/>
      <c r="V347" s="825"/>
      <c r="W347" s="825"/>
      <c r="X347" s="825"/>
      <c r="Y347" s="825"/>
      <c r="Z347" s="825"/>
    </row>
    <row r="348" spans="1:26" ht="18.75">
      <c r="A348" s="942"/>
      <c r="B348" s="827"/>
      <c r="C348" s="943"/>
      <c r="D348" s="828" t="s">
        <v>20</v>
      </c>
      <c r="E348" s="827"/>
      <c r="F348" s="827"/>
      <c r="G348" s="829"/>
      <c r="H348" s="778" t="s">
        <v>12</v>
      </c>
      <c r="I348" s="944"/>
      <c r="J348" s="944"/>
      <c r="K348" s="945"/>
      <c r="L348" s="831">
        <f t="shared" ref="L348:N348" ca="1" si="159">L349+L350</f>
        <v>788990</v>
      </c>
      <c r="M348" s="831">
        <f t="shared" ca="1" si="159"/>
        <v>584650</v>
      </c>
      <c r="N348" s="831">
        <f t="shared" ca="1" si="159"/>
        <v>225256.83</v>
      </c>
      <c r="O348" s="831">
        <f t="shared" ca="1" si="156"/>
        <v>28.550023447698958</v>
      </c>
      <c r="P348" s="831">
        <f t="shared" ca="1" si="157"/>
        <v>38.528492260326693</v>
      </c>
      <c r="Q348" s="818"/>
      <c r="R348" s="818"/>
      <c r="S348" s="818"/>
      <c r="T348" s="818"/>
      <c r="U348" s="818"/>
      <c r="V348" s="818"/>
      <c r="W348" s="818"/>
      <c r="X348" s="818"/>
      <c r="Y348" s="818"/>
      <c r="Z348" s="818"/>
    </row>
    <row r="349" spans="1:26" ht="19.5" hidden="1">
      <c r="A349" s="940"/>
      <c r="B349" s="833"/>
      <c r="C349" s="946"/>
      <c r="D349" s="833"/>
      <c r="E349" s="834" t="s">
        <v>36</v>
      </c>
      <c r="F349" s="833"/>
      <c r="G349" s="941"/>
      <c r="H349" s="165" t="s">
        <v>12</v>
      </c>
      <c r="I349" s="947"/>
      <c r="J349" s="947"/>
      <c r="K349" s="948"/>
      <c r="L349" s="837">
        <v>0</v>
      </c>
      <c r="M349" s="837">
        <v>0</v>
      </c>
      <c r="N349" s="837">
        <v>0</v>
      </c>
      <c r="O349" s="837">
        <f t="shared" si="156"/>
        <v>0</v>
      </c>
      <c r="P349" s="837">
        <f t="shared" si="157"/>
        <v>0</v>
      </c>
      <c r="Q349" s="825"/>
      <c r="R349" s="825"/>
      <c r="S349" s="825"/>
      <c r="T349" s="825"/>
      <c r="U349" s="825"/>
      <c r="V349" s="825"/>
      <c r="W349" s="825"/>
      <c r="X349" s="825"/>
      <c r="Y349" s="825"/>
      <c r="Z349" s="825"/>
    </row>
    <row r="350" spans="1:26" ht="19.5" hidden="1">
      <c r="A350" s="940"/>
      <c r="B350" s="833"/>
      <c r="C350" s="946"/>
      <c r="D350" s="833"/>
      <c r="E350" s="834" t="s">
        <v>37</v>
      </c>
      <c r="F350" s="833"/>
      <c r="G350" s="941"/>
      <c r="H350" s="165" t="s">
        <v>12</v>
      </c>
      <c r="I350" s="947"/>
      <c r="J350" s="947"/>
      <c r="K350" s="948"/>
      <c r="L350" s="837">
        <f ca="1">IFERROR(__xludf.DUMMYFUNCTION("IMPORTRANGE(""https://docs.google.com/spreadsheets/d/1MeEWN-I1oV_STSDYn1IFDPWt_1FKiwhDph83XaGc0o0/edit?usp=sharing"",""งบพรบ!EW21"")"),788990)</f>
        <v>788990</v>
      </c>
      <c r="M350" s="837">
        <f ca="1">IFERROR(__xludf.DUMMYFUNCTION("IMPORTRANGE(""https://docs.google.com/spreadsheets/d/1MeEWN-I1oV_STSDYn1IFDPWt_1FKiwhDph83XaGc0o0/edit?usp=sharing"",""งบพรบ!FB21"")"),584650)</f>
        <v>584650</v>
      </c>
      <c r="N350" s="837">
        <f ca="1">IFERROR(__xludf.DUMMYFUNCTION("IMPORTRANGE(""https://docs.google.com/spreadsheets/d/1MeEWN-I1oV_STSDYn1IFDPWt_1FKiwhDph83XaGc0o0/edit?usp=sharing"",""งบพรบ!FD21"")"),225256.83)</f>
        <v>225256.83</v>
      </c>
      <c r="O350" s="837">
        <f t="shared" ca="1" si="156"/>
        <v>28.550023447698958</v>
      </c>
      <c r="P350" s="837">
        <f t="shared" ca="1" si="157"/>
        <v>38.528492260326693</v>
      </c>
      <c r="Q350" s="825"/>
      <c r="R350" s="825"/>
      <c r="S350" s="825"/>
      <c r="T350" s="825"/>
      <c r="U350" s="825"/>
      <c r="V350" s="825"/>
      <c r="W350" s="825"/>
      <c r="X350" s="825"/>
      <c r="Y350" s="825"/>
      <c r="Z350" s="825"/>
    </row>
    <row r="351" spans="1:26" ht="18.75">
      <c r="A351" s="942"/>
      <c r="B351" s="827"/>
      <c r="C351" s="943"/>
      <c r="D351" s="828" t="s">
        <v>21</v>
      </c>
      <c r="E351" s="827"/>
      <c r="F351" s="827"/>
      <c r="G351" s="829"/>
      <c r="H351" s="168" t="s">
        <v>12</v>
      </c>
      <c r="I351" s="944"/>
      <c r="J351" s="944"/>
      <c r="K351" s="945"/>
      <c r="L351" s="831">
        <f t="shared" ref="L351:N351" ca="1" si="160">L352+L353</f>
        <v>105600</v>
      </c>
      <c r="M351" s="831">
        <f t="shared" ca="1" si="160"/>
        <v>105600</v>
      </c>
      <c r="N351" s="831">
        <f t="shared" ca="1" si="160"/>
        <v>105600</v>
      </c>
      <c r="O351" s="831">
        <f t="shared" ca="1" si="156"/>
        <v>100</v>
      </c>
      <c r="P351" s="831">
        <f t="shared" ca="1" si="157"/>
        <v>100</v>
      </c>
      <c r="Q351" s="818"/>
      <c r="R351" s="818"/>
      <c r="S351" s="818"/>
      <c r="T351" s="818"/>
      <c r="U351" s="818"/>
      <c r="V351" s="818"/>
      <c r="W351" s="818"/>
      <c r="X351" s="818"/>
      <c r="Y351" s="818"/>
      <c r="Z351" s="818"/>
    </row>
    <row r="352" spans="1:26" ht="19.5" hidden="1">
      <c r="A352" s="940"/>
      <c r="B352" s="833"/>
      <c r="C352" s="946"/>
      <c r="D352" s="833"/>
      <c r="E352" s="834" t="s">
        <v>18</v>
      </c>
      <c r="F352" s="833"/>
      <c r="G352" s="941"/>
      <c r="H352" s="165" t="s">
        <v>12</v>
      </c>
      <c r="I352" s="947"/>
      <c r="J352" s="947"/>
      <c r="K352" s="948"/>
      <c r="L352" s="837">
        <v>0</v>
      </c>
      <c r="M352" s="837">
        <v>0</v>
      </c>
      <c r="N352" s="837">
        <v>0</v>
      </c>
      <c r="O352" s="837">
        <f t="shared" si="156"/>
        <v>0</v>
      </c>
      <c r="P352" s="837">
        <f t="shared" si="157"/>
        <v>0</v>
      </c>
      <c r="Q352" s="825"/>
      <c r="R352" s="825"/>
      <c r="S352" s="825"/>
      <c r="T352" s="825"/>
      <c r="U352" s="825"/>
      <c r="V352" s="825"/>
      <c r="W352" s="825"/>
      <c r="X352" s="825"/>
      <c r="Y352" s="825"/>
      <c r="Z352" s="825"/>
    </row>
    <row r="353" spans="1:26" ht="19.5" hidden="1">
      <c r="A353" s="940"/>
      <c r="B353" s="833"/>
      <c r="C353" s="946"/>
      <c r="D353" s="833"/>
      <c r="E353" s="834" t="s">
        <v>19</v>
      </c>
      <c r="F353" s="833"/>
      <c r="G353" s="941"/>
      <c r="H353" s="169" t="s">
        <v>12</v>
      </c>
      <c r="I353" s="947"/>
      <c r="J353" s="947"/>
      <c r="K353" s="948"/>
      <c r="L353" s="837">
        <f ca="1">IFERROR(__xludf.DUMMYFUNCTION("IMPORTRANGE(""https://docs.google.com/spreadsheets/d/1MeEWN-I1oV_STSDYn1IFDPWt_1FKiwhDph83XaGc0o0/edit?usp=sharing"",""งบพรบ!EZ21"")"),105600)</f>
        <v>105600</v>
      </c>
      <c r="M353" s="837">
        <f ca="1">IFERROR(__xludf.DUMMYFUNCTION("IMPORTRANGE(""https://docs.google.com/spreadsheets/d/1MeEWN-I1oV_STSDYn1IFDPWt_1FKiwhDph83XaGc0o0/edit?usp=sharing"",""งบพรบ!FC21"")"),105600)</f>
        <v>105600</v>
      </c>
      <c r="N353" s="837">
        <f ca="1">IFERROR(__xludf.DUMMYFUNCTION("IMPORTRANGE(""https://docs.google.com/spreadsheets/d/1MeEWN-I1oV_STSDYn1IFDPWt_1FKiwhDph83XaGc0o0/edit?usp=sharing"",""งบพรบ!FE21"")"),105600)</f>
        <v>105600</v>
      </c>
      <c r="O353" s="837">
        <f t="shared" ca="1" si="156"/>
        <v>100</v>
      </c>
      <c r="P353" s="837">
        <f t="shared" ca="1" si="157"/>
        <v>100</v>
      </c>
      <c r="Q353" s="825"/>
      <c r="R353" s="825"/>
      <c r="S353" s="825"/>
      <c r="T353" s="825"/>
      <c r="U353" s="825"/>
      <c r="V353" s="825"/>
      <c r="W353" s="825"/>
      <c r="X353" s="825"/>
      <c r="Y353" s="825"/>
      <c r="Z353" s="825"/>
    </row>
    <row r="354" spans="1:26" ht="19.5">
      <c r="A354" s="1011"/>
      <c r="B354" s="1018"/>
      <c r="C354" s="1012"/>
      <c r="D354" s="1145" t="s">
        <v>158</v>
      </c>
      <c r="E354" s="1012"/>
      <c r="F354" s="1012"/>
      <c r="G354" s="1014"/>
      <c r="H354" s="1146"/>
      <c r="I354" s="1015"/>
      <c r="J354" s="1015"/>
      <c r="K354" s="1016"/>
      <c r="L354" s="1016"/>
      <c r="M354" s="1016"/>
      <c r="N354" s="1016"/>
      <c r="O354" s="1016"/>
      <c r="P354" s="1016"/>
    </row>
    <row r="355" spans="1:26" ht="19.5">
      <c r="A355" s="1147"/>
      <c r="B355" s="1148"/>
      <c r="C355" s="1149"/>
      <c r="D355" s="1150" t="s">
        <v>159</v>
      </c>
      <c r="E355" s="1151"/>
      <c r="F355" s="1151"/>
      <c r="G355" s="1152"/>
      <c r="H355" s="431" t="s">
        <v>35</v>
      </c>
      <c r="I355" s="1153">
        <f ca="1">IFERROR(__xludf.DUMMYFUNCTION("IMPORTRANGE(""https://docs.google.com/spreadsheets/d/1QqKyyYR6Q21VydFLVH3TRQUabQu_ym0Zz7PgGX0-kHA/edit?usp=sharing"",""แผน!EP21"")"),125)</f>
        <v>125</v>
      </c>
      <c r="J355" s="1153">
        <f ca="1">J362</f>
        <v>6</v>
      </c>
      <c r="K355" s="1154">
        <f ca="1">IF(I355&gt;0,J355*100/I355,0)</f>
        <v>4.8</v>
      </c>
      <c r="L355" s="1155"/>
      <c r="M355" s="1155"/>
      <c r="N355" s="1155"/>
      <c r="O355" s="1155"/>
      <c r="P355" s="1155"/>
    </row>
    <row r="356" spans="1:26" ht="19.5">
      <c r="A356" s="1147"/>
      <c r="B356" s="1148"/>
      <c r="C356" s="1149"/>
      <c r="D356" s="1156" t="s">
        <v>160</v>
      </c>
      <c r="E356" s="1151"/>
      <c r="F356" s="1151"/>
      <c r="G356" s="1152"/>
      <c r="H356" s="1157"/>
      <c r="I356" s="1158"/>
      <c r="J356" s="1158"/>
      <c r="K356" s="1155"/>
      <c r="L356" s="1155"/>
      <c r="M356" s="1155"/>
      <c r="N356" s="1155"/>
      <c r="O356" s="1155"/>
      <c r="P356" s="1155"/>
    </row>
    <row r="357" spans="1:26" ht="19.5">
      <c r="A357" s="949"/>
      <c r="B357" s="950"/>
      <c r="C357" s="946" t="s">
        <v>16</v>
      </c>
      <c r="D357" s="951" t="s">
        <v>38</v>
      </c>
      <c r="E357" s="952"/>
      <c r="F357" s="952"/>
      <c r="G357" s="953"/>
      <c r="H357" s="954"/>
      <c r="I357" s="830"/>
      <c r="J357" s="830"/>
      <c r="K357" s="831"/>
      <c r="L357" s="945"/>
      <c r="M357" s="945"/>
      <c r="N357" s="945"/>
      <c r="O357" s="945"/>
      <c r="P357" s="945"/>
    </row>
    <row r="358" spans="1:26" ht="18.75">
      <c r="A358" s="949"/>
      <c r="B358" s="957"/>
      <c r="C358" s="950"/>
      <c r="D358" s="957"/>
      <c r="E358" s="955" t="s">
        <v>161</v>
      </c>
      <c r="F358" s="957"/>
      <c r="G358" s="958"/>
      <c r="H358" s="777" t="s">
        <v>35</v>
      </c>
      <c r="I358" s="830">
        <v>0</v>
      </c>
      <c r="J358" s="830">
        <f ca="1">IFERROR(__xludf.DUMMYFUNCTION("IMPORTRANGE(""https://docs.google.com/spreadsheets/d/1XWAQStnk-4SwqDmLtmXYiTMKHgktTP8We1SCoS47DrQ/edit?usp=sharing"",""จัดที่ดิน!W21"")"),69)</f>
        <v>69</v>
      </c>
      <c r="K358" s="831">
        <f t="shared" ref="K358:K365" si="161">IF(I358&gt;0,J358*100/I358,0)</f>
        <v>0</v>
      </c>
      <c r="L358" s="945"/>
      <c r="M358" s="945"/>
      <c r="N358" s="945"/>
      <c r="O358" s="945"/>
      <c r="P358" s="945"/>
    </row>
    <row r="359" spans="1:26" ht="18.75">
      <c r="A359" s="949"/>
      <c r="B359" s="957"/>
      <c r="C359" s="950"/>
      <c r="D359" s="957"/>
      <c r="E359" s="957"/>
      <c r="F359" s="957"/>
      <c r="G359" s="958"/>
      <c r="H359" s="777" t="s">
        <v>46</v>
      </c>
      <c r="I359" s="830">
        <f ca="1">IFERROR(__xludf.DUMMYFUNCTION("IMPORTRANGE(""https://docs.google.com/spreadsheets/d/1QqKyyYR6Q21VydFLVH3TRQUabQu_ym0Zz7PgGX0-kHA/edit?usp=sharing"",""แผน!EO21"")"),1250)</f>
        <v>1250</v>
      </c>
      <c r="J359" s="830">
        <f ca="1">IFERROR(__xludf.DUMMYFUNCTION("IMPORTRANGE(""https://docs.google.com/spreadsheets/d/1XWAQStnk-4SwqDmLtmXYiTMKHgktTP8We1SCoS47DrQ/edit?usp=sharing"",""จัดที่ดิน!X21"")"),398.56)</f>
        <v>398.56</v>
      </c>
      <c r="K359" s="831">
        <f t="shared" ca="1" si="161"/>
        <v>31.884799999999998</v>
      </c>
      <c r="L359" s="945"/>
      <c r="M359" s="945"/>
      <c r="N359" s="945"/>
      <c r="O359" s="945"/>
      <c r="P359" s="945"/>
    </row>
    <row r="360" spans="1:26" ht="18.75">
      <c r="A360" s="949"/>
      <c r="B360" s="957"/>
      <c r="C360" s="950"/>
      <c r="D360" s="957"/>
      <c r="E360" s="955" t="s">
        <v>162</v>
      </c>
      <c r="F360" s="957"/>
      <c r="G360" s="958"/>
      <c r="H360" s="730" t="s">
        <v>35</v>
      </c>
      <c r="I360" s="830">
        <f ca="1">IFERROR(__xludf.DUMMYFUNCTION("IMPORTRANGE(""https://docs.google.com/spreadsheets/d/1QqKyyYR6Q21VydFLVH3TRQUabQu_ym0Zz7PgGX0-kHA/edit?usp=sharing"",""แผน!EP21"")"),125)</f>
        <v>125</v>
      </c>
      <c r="J360" s="830">
        <f ca="1">IFERROR(__xludf.DUMMYFUNCTION("IMPORTRANGE(""https://docs.google.com/spreadsheets/d/1XWAQStnk-4SwqDmLtmXYiTMKHgktTP8We1SCoS47DrQ/edit?usp=sharing"",""จัดที่ดิน!Y21"")"),60)</f>
        <v>60</v>
      </c>
      <c r="K360" s="831">
        <f t="shared" ca="1" si="161"/>
        <v>48</v>
      </c>
      <c r="L360" s="945"/>
      <c r="M360" s="945"/>
      <c r="N360" s="945"/>
      <c r="O360" s="945"/>
      <c r="P360" s="945"/>
    </row>
    <row r="361" spans="1:26" ht="18.75">
      <c r="A361" s="949"/>
      <c r="B361" s="957"/>
      <c r="C361" s="950"/>
      <c r="D361" s="957"/>
      <c r="E361" s="957"/>
      <c r="F361" s="957"/>
      <c r="G361" s="958"/>
      <c r="H361" s="730" t="s">
        <v>46</v>
      </c>
      <c r="I361" s="830">
        <v>0</v>
      </c>
      <c r="J361" s="830">
        <f ca="1">IFERROR(__xludf.DUMMYFUNCTION("IMPORTRANGE(""https://docs.google.com/spreadsheets/d/1XWAQStnk-4SwqDmLtmXYiTMKHgktTP8We1SCoS47DrQ/edit?usp=sharing"",""จัดที่ดิน!Z21"")"),381.5)</f>
        <v>381.5</v>
      </c>
      <c r="K361" s="831">
        <f t="shared" si="161"/>
        <v>0</v>
      </c>
      <c r="L361" s="945"/>
      <c r="M361" s="945"/>
      <c r="N361" s="945"/>
      <c r="O361" s="945"/>
      <c r="P361" s="945"/>
    </row>
    <row r="362" spans="1:26" ht="18.75">
      <c r="A362" s="949"/>
      <c r="B362" s="957"/>
      <c r="C362" s="950"/>
      <c r="D362" s="957"/>
      <c r="E362" s="955" t="s">
        <v>163</v>
      </c>
      <c r="F362" s="957"/>
      <c r="G362" s="958"/>
      <c r="H362" s="730" t="s">
        <v>35</v>
      </c>
      <c r="I362" s="830">
        <f ca="1">IFERROR(__xludf.DUMMYFUNCTION("IMPORTRANGE(""https://docs.google.com/spreadsheets/d/1QqKyyYR6Q21VydFLVH3TRQUabQu_ym0Zz7PgGX0-kHA/edit?usp=sharing"",""แผน!EP21"")"),125)</f>
        <v>125</v>
      </c>
      <c r="J362" s="830">
        <f ca="1">IFERROR(__xludf.DUMMYFUNCTION("IMPORTRANGE(""https://docs.google.com/spreadsheets/d/1XWAQStnk-4SwqDmLtmXYiTMKHgktTP8We1SCoS47DrQ/edit?usp=sharing"",""จัดที่ดิน!AA21"")"),6)</f>
        <v>6</v>
      </c>
      <c r="K362" s="831">
        <f t="shared" ca="1" si="161"/>
        <v>4.8</v>
      </c>
      <c r="L362" s="945"/>
      <c r="M362" s="945"/>
      <c r="N362" s="945"/>
      <c r="O362" s="945"/>
      <c r="P362" s="945"/>
    </row>
    <row r="363" spans="1:26" ht="18.75">
      <c r="A363" s="1159" t="s">
        <v>164</v>
      </c>
      <c r="B363" s="957"/>
      <c r="C363" s="950"/>
      <c r="D363" s="957"/>
      <c r="E363" s="956"/>
      <c r="F363" s="957"/>
      <c r="G363" s="958"/>
      <c r="H363" s="730" t="s">
        <v>46</v>
      </c>
      <c r="I363" s="830">
        <v>0</v>
      </c>
      <c r="J363" s="830">
        <f ca="1">IFERROR(__xludf.DUMMYFUNCTION("IMPORTRANGE(""https://docs.google.com/spreadsheets/d/1XWAQStnk-4SwqDmLtmXYiTMKHgktTP8We1SCoS47DrQ/edit?usp=sharing"",""จัดที่ดิน!AB21"")"),41.89)</f>
        <v>41.89</v>
      </c>
      <c r="K363" s="831">
        <f t="shared" si="161"/>
        <v>0</v>
      </c>
      <c r="L363" s="945"/>
      <c r="M363" s="945"/>
      <c r="N363" s="945"/>
      <c r="O363" s="945"/>
      <c r="P363" s="945"/>
    </row>
    <row r="364" spans="1:26" ht="19.5">
      <c r="A364" s="1160"/>
      <c r="B364" s="1161"/>
      <c r="C364" s="1162"/>
      <c r="D364" s="1163" t="s">
        <v>165</v>
      </c>
      <c r="E364" s="1164"/>
      <c r="F364" s="1164"/>
      <c r="G364" s="1165"/>
      <c r="H364" s="446" t="s">
        <v>35</v>
      </c>
      <c r="I364" s="1166">
        <f t="shared" ref="I364:J364" ca="1" si="162">I365+I374</f>
        <v>425</v>
      </c>
      <c r="J364" s="1166">
        <f t="shared" ca="1" si="162"/>
        <v>105</v>
      </c>
      <c r="K364" s="1167">
        <f t="shared" ca="1" si="161"/>
        <v>24.705882352941178</v>
      </c>
      <c r="L364" s="1168"/>
      <c r="M364" s="1168"/>
      <c r="N364" s="1168"/>
      <c r="O364" s="1168"/>
      <c r="P364" s="1168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69"/>
      <c r="B365" s="1170"/>
      <c r="C365" s="1171"/>
      <c r="D365" s="1171" t="s">
        <v>166</v>
      </c>
      <c r="E365" s="1172"/>
      <c r="F365" s="1172"/>
      <c r="G365" s="1173"/>
      <c r="H365" s="457" t="s">
        <v>35</v>
      </c>
      <c r="I365" s="1174">
        <f ca="1">IFERROR(__xludf.DUMMYFUNCTION("IMPORTRANGE(""https://docs.google.com/spreadsheets/d/1QqKyyYR6Q21VydFLVH3TRQUabQu_ym0Zz7PgGX0-kHA/edit?usp=sharing"",""แผน!EJ21"")"),5)</f>
        <v>5</v>
      </c>
      <c r="J365" s="1174">
        <f ca="1">J372</f>
        <v>0</v>
      </c>
      <c r="K365" s="1175">
        <f t="shared" ca="1" si="161"/>
        <v>0</v>
      </c>
      <c r="L365" s="1176"/>
      <c r="M365" s="1176"/>
      <c r="N365" s="1176"/>
      <c r="O365" s="1176"/>
      <c r="P365" s="1176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69"/>
      <c r="B366" s="1170"/>
      <c r="C366" s="1171"/>
      <c r="D366" s="1177" t="s">
        <v>167</v>
      </c>
      <c r="E366" s="1172"/>
      <c r="F366" s="1172"/>
      <c r="G366" s="1173"/>
      <c r="H366" s="1178"/>
      <c r="I366" s="1179"/>
      <c r="J366" s="1179"/>
      <c r="K366" s="1176"/>
      <c r="L366" s="1176"/>
      <c r="M366" s="1176"/>
      <c r="N366" s="1176"/>
      <c r="O366" s="1176"/>
      <c r="P366" s="1176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49"/>
      <c r="B367" s="950"/>
      <c r="C367" s="946" t="s">
        <v>16</v>
      </c>
      <c r="D367" s="951" t="s">
        <v>38</v>
      </c>
      <c r="E367" s="952"/>
      <c r="F367" s="952"/>
      <c r="G367" s="953"/>
      <c r="H367" s="954"/>
      <c r="I367" s="830"/>
      <c r="J367" s="830"/>
      <c r="K367" s="831"/>
      <c r="L367" s="945"/>
      <c r="M367" s="945"/>
      <c r="N367" s="945"/>
      <c r="O367" s="945"/>
      <c r="P367" s="945"/>
    </row>
    <row r="368" spans="1:26" ht="18.75">
      <c r="A368" s="949"/>
      <c r="B368" s="957"/>
      <c r="C368" s="950"/>
      <c r="D368" s="957"/>
      <c r="E368" s="955" t="s">
        <v>161</v>
      </c>
      <c r="F368" s="957"/>
      <c r="G368" s="958"/>
      <c r="H368" s="777" t="s">
        <v>35</v>
      </c>
      <c r="I368" s="830">
        <v>0</v>
      </c>
      <c r="J368" s="830">
        <f ca="1">IFERROR(__xludf.DUMMYFUNCTION("IMPORTRANGE(""https://docs.google.com/spreadsheets/d/1XWAQStnk-4SwqDmLtmXYiTMKHgktTP8We1SCoS47DrQ/edit?usp=sharing"",""จัดที่ดิน!E21"")"),12)</f>
        <v>12</v>
      </c>
      <c r="K368" s="831">
        <f t="shared" ref="K368:K374" si="163">IF(I368&gt;0,J368*100/I368,0)</f>
        <v>0</v>
      </c>
      <c r="L368" s="945"/>
      <c r="M368" s="945"/>
      <c r="N368" s="945"/>
      <c r="O368" s="945"/>
      <c r="P368" s="945"/>
    </row>
    <row r="369" spans="1:26" ht="18.75">
      <c r="A369" s="949"/>
      <c r="B369" s="957"/>
      <c r="C369" s="950"/>
      <c r="D369" s="957"/>
      <c r="E369" s="957"/>
      <c r="F369" s="957"/>
      <c r="G369" s="958"/>
      <c r="H369" s="777" t="s">
        <v>46</v>
      </c>
      <c r="I369" s="830">
        <f ca="1">IFERROR(__xludf.DUMMYFUNCTION("IMPORTRANGE(""https://docs.google.com/spreadsheets/d/1QqKyyYR6Q21VydFLVH3TRQUabQu_ym0Zz7PgGX0-kHA/edit?usp=sharing"",""แผน!EI21"")"),50)</f>
        <v>50</v>
      </c>
      <c r="J369" s="830">
        <f ca="1">IFERROR(__xludf.DUMMYFUNCTION("IMPORTRANGE(""https://docs.google.com/spreadsheets/d/1XWAQStnk-4SwqDmLtmXYiTMKHgktTP8We1SCoS47DrQ/edit?usp=sharing"",""จัดที่ดิน!F21"")"),23.75)</f>
        <v>23.75</v>
      </c>
      <c r="K369" s="831">
        <f t="shared" ca="1" si="163"/>
        <v>47.5</v>
      </c>
      <c r="L369" s="945"/>
      <c r="M369" s="945"/>
      <c r="N369" s="945"/>
      <c r="O369" s="945"/>
      <c r="P369" s="945"/>
    </row>
    <row r="370" spans="1:26" ht="18.75">
      <c r="A370" s="949"/>
      <c r="B370" s="957"/>
      <c r="C370" s="950"/>
      <c r="D370" s="957"/>
      <c r="E370" s="955" t="s">
        <v>162</v>
      </c>
      <c r="F370" s="957"/>
      <c r="G370" s="958"/>
      <c r="H370" s="730" t="s">
        <v>35</v>
      </c>
      <c r="I370" s="830">
        <f ca="1">IFERROR(__xludf.DUMMYFUNCTION("IMPORTRANGE(""https://docs.google.com/spreadsheets/d/1QqKyyYR6Q21VydFLVH3TRQUabQu_ym0Zz7PgGX0-kHA/edit?usp=sharing"",""แผน!EJ21"")"),5)</f>
        <v>5</v>
      </c>
      <c r="J370" s="830">
        <f ca="1">IFERROR(__xludf.DUMMYFUNCTION("IMPORTRANGE(""https://docs.google.com/spreadsheets/d/1XWAQStnk-4SwqDmLtmXYiTMKHgktTP8We1SCoS47DrQ/edit?usp=sharing"",""จัดที่ดิน!G21"")"),3)</f>
        <v>3</v>
      </c>
      <c r="K370" s="831">
        <f t="shared" ca="1" si="163"/>
        <v>60</v>
      </c>
      <c r="L370" s="945"/>
      <c r="M370" s="945"/>
      <c r="N370" s="945"/>
      <c r="O370" s="945"/>
      <c r="P370" s="945"/>
    </row>
    <row r="371" spans="1:26" ht="18.75">
      <c r="A371" s="949"/>
      <c r="B371" s="957"/>
      <c r="C371" s="950"/>
      <c r="D371" s="957"/>
      <c r="E371" s="957"/>
      <c r="F371" s="957"/>
      <c r="G371" s="958"/>
      <c r="H371" s="730" t="s">
        <v>46</v>
      </c>
      <c r="I371" s="830">
        <v>0</v>
      </c>
      <c r="J371" s="830">
        <f ca="1">IFERROR(__xludf.DUMMYFUNCTION("IMPORTRANGE(""https://docs.google.com/spreadsheets/d/1XWAQStnk-4SwqDmLtmXYiTMKHgktTP8We1SCoS47DrQ/edit?usp=sharing"",""จัดที่ดิน!H21"")"),6.69)</f>
        <v>6.69</v>
      </c>
      <c r="K371" s="831">
        <f t="shared" si="163"/>
        <v>0</v>
      </c>
      <c r="L371" s="945"/>
      <c r="M371" s="945"/>
      <c r="N371" s="945"/>
      <c r="O371" s="945"/>
      <c r="P371" s="945"/>
    </row>
    <row r="372" spans="1:26" ht="18.75">
      <c r="A372" s="949"/>
      <c r="B372" s="957"/>
      <c r="C372" s="950"/>
      <c r="D372" s="957"/>
      <c r="E372" s="955" t="s">
        <v>163</v>
      </c>
      <c r="F372" s="957"/>
      <c r="G372" s="958"/>
      <c r="H372" s="730" t="s">
        <v>35</v>
      </c>
      <c r="I372" s="830">
        <f ca="1">IFERROR(__xludf.DUMMYFUNCTION("IMPORTRANGE(""https://docs.google.com/spreadsheets/d/1QqKyyYR6Q21VydFLVH3TRQUabQu_ym0Zz7PgGX0-kHA/edit?usp=sharing"",""แผน!EJ21"")"),5)</f>
        <v>5</v>
      </c>
      <c r="J372" s="830">
        <f ca="1">IFERROR(__xludf.DUMMYFUNCTION("IMPORTRANGE(""https://docs.google.com/spreadsheets/d/1XWAQStnk-4SwqDmLtmXYiTMKHgktTP8We1SCoS47DrQ/edit?usp=sharing"",""จัดที่ดิน!I21"")"),0)</f>
        <v>0</v>
      </c>
      <c r="K372" s="831">
        <f t="shared" ca="1" si="163"/>
        <v>0</v>
      </c>
      <c r="L372" s="945"/>
      <c r="M372" s="945"/>
      <c r="N372" s="945"/>
      <c r="O372" s="945"/>
      <c r="P372" s="945"/>
    </row>
    <row r="373" spans="1:26" ht="18.75">
      <c r="A373" s="1159" t="s">
        <v>164</v>
      </c>
      <c r="B373" s="957"/>
      <c r="C373" s="950"/>
      <c r="D373" s="957"/>
      <c r="E373" s="956"/>
      <c r="F373" s="957"/>
      <c r="G373" s="958"/>
      <c r="H373" s="730" t="s">
        <v>46</v>
      </c>
      <c r="I373" s="830">
        <v>0</v>
      </c>
      <c r="J373" s="830">
        <f ca="1">IFERROR(__xludf.DUMMYFUNCTION("IMPORTRANGE(""https://docs.google.com/spreadsheets/d/1XWAQStnk-4SwqDmLtmXYiTMKHgktTP8We1SCoS47DrQ/edit?usp=sharing"",""จัดที่ดิน!J21"")"),0)</f>
        <v>0</v>
      </c>
      <c r="K373" s="831">
        <f t="shared" si="163"/>
        <v>0</v>
      </c>
      <c r="L373" s="945"/>
      <c r="M373" s="945"/>
      <c r="N373" s="945"/>
      <c r="O373" s="945"/>
      <c r="P373" s="945"/>
    </row>
    <row r="374" spans="1:26" ht="19.5">
      <c r="A374" s="1169"/>
      <c r="B374" s="1170"/>
      <c r="C374" s="1171"/>
      <c r="D374" s="1171" t="s">
        <v>168</v>
      </c>
      <c r="E374" s="1172"/>
      <c r="F374" s="1172"/>
      <c r="G374" s="1173"/>
      <c r="H374" s="457" t="s">
        <v>35</v>
      </c>
      <c r="I374" s="1180">
        <f ca="1">IFERROR(__xludf.DUMMYFUNCTION("IMPORTRANGE(""https://docs.google.com/spreadsheets/d/1QqKyyYR6Q21VydFLVH3TRQUabQu_ym0Zz7PgGX0-kHA/edit?usp=sharing"",""แผน!EU21"")"),420)</f>
        <v>420</v>
      </c>
      <c r="J374" s="1174">
        <f ca="1">J381</f>
        <v>105</v>
      </c>
      <c r="K374" s="1175">
        <f t="shared" ca="1" si="163"/>
        <v>25</v>
      </c>
      <c r="L374" s="1176"/>
      <c r="M374" s="1176"/>
      <c r="N374" s="1176"/>
      <c r="O374" s="1176"/>
      <c r="P374" s="1176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69"/>
      <c r="B375" s="1170"/>
      <c r="C375" s="1171"/>
      <c r="D375" s="1177" t="s">
        <v>169</v>
      </c>
      <c r="E375" s="1172"/>
      <c r="F375" s="1172"/>
      <c r="G375" s="1173"/>
      <c r="H375" s="1178"/>
      <c r="I375" s="1179"/>
      <c r="J375" s="1179"/>
      <c r="K375" s="1176"/>
      <c r="L375" s="1176"/>
      <c r="M375" s="1176"/>
      <c r="N375" s="1176"/>
      <c r="O375" s="1176"/>
      <c r="P375" s="1176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49"/>
      <c r="B376" s="950"/>
      <c r="C376" s="946" t="s">
        <v>16</v>
      </c>
      <c r="D376" s="951" t="s">
        <v>38</v>
      </c>
      <c r="E376" s="952"/>
      <c r="F376" s="952"/>
      <c r="G376" s="953"/>
      <c r="H376" s="954"/>
      <c r="I376" s="830"/>
      <c r="J376" s="830"/>
      <c r="K376" s="831"/>
      <c r="L376" s="945"/>
      <c r="M376" s="945"/>
      <c r="N376" s="945"/>
      <c r="O376" s="945"/>
      <c r="P376" s="945"/>
    </row>
    <row r="377" spans="1:26" ht="18.75">
      <c r="A377" s="949"/>
      <c r="B377" s="957"/>
      <c r="C377" s="950"/>
      <c r="D377" s="957"/>
      <c r="E377" s="955" t="s">
        <v>161</v>
      </c>
      <c r="F377" s="957"/>
      <c r="G377" s="958"/>
      <c r="H377" s="777" t="s">
        <v>35</v>
      </c>
      <c r="I377" s="830">
        <v>0</v>
      </c>
      <c r="J377" s="830">
        <f ca="1">IFERROR(__xludf.DUMMYFUNCTION("IMPORTRANGE(""https://docs.google.com/spreadsheets/d/1XWAQStnk-4SwqDmLtmXYiTMKHgktTP8We1SCoS47DrQ/edit?usp=sharing"",""จัดที่ดิน!AH21"")"),57)</f>
        <v>57</v>
      </c>
      <c r="K377" s="831">
        <f t="shared" ref="K377:K382" si="164">IF(I377&gt;0,J377*100/I377,0)</f>
        <v>0</v>
      </c>
      <c r="L377" s="945"/>
      <c r="M377" s="945"/>
      <c r="N377" s="945"/>
      <c r="O377" s="945"/>
      <c r="P377" s="945"/>
    </row>
    <row r="378" spans="1:26" ht="18.75">
      <c r="A378" s="949"/>
      <c r="B378" s="957"/>
      <c r="C378" s="950"/>
      <c r="D378" s="957"/>
      <c r="E378" s="957"/>
      <c r="F378" s="957"/>
      <c r="G378" s="958"/>
      <c r="H378" s="777" t="s">
        <v>46</v>
      </c>
      <c r="I378" s="830">
        <f ca="1">IFERROR(__xludf.DUMMYFUNCTION("IMPORTRANGE(""https://docs.google.com/spreadsheets/d/1QqKyyYR6Q21VydFLVH3TRQUabQu_ym0Zz7PgGX0-kHA/edit?usp=sharing"",""แผน!ET21"")"),1200)</f>
        <v>1200</v>
      </c>
      <c r="J378" s="830">
        <f ca="1">IFERROR(__xludf.DUMMYFUNCTION("IMPORTRANGE(""https://docs.google.com/spreadsheets/d/1XWAQStnk-4SwqDmLtmXYiTMKHgktTP8We1SCoS47DrQ/edit?usp=sharing"",""จัดที่ดิน!AI21"")"),374.81)</f>
        <v>374.81</v>
      </c>
      <c r="K378" s="831">
        <f t="shared" ca="1" si="164"/>
        <v>31.234166666666667</v>
      </c>
      <c r="L378" s="945"/>
      <c r="M378" s="945"/>
      <c r="N378" s="945"/>
      <c r="O378" s="945"/>
      <c r="P378" s="945"/>
    </row>
    <row r="379" spans="1:26" ht="18.75">
      <c r="A379" s="949"/>
      <c r="B379" s="957"/>
      <c r="C379" s="950"/>
      <c r="D379" s="957"/>
      <c r="E379" s="955" t="s">
        <v>162</v>
      </c>
      <c r="F379" s="957"/>
      <c r="G379" s="958"/>
      <c r="H379" s="730" t="s">
        <v>35</v>
      </c>
      <c r="I379" s="830">
        <f ca="1">IFERROR(__xludf.DUMMYFUNCTION("IMPORTRANGE(""https://docs.google.com/spreadsheets/d/1QqKyyYR6Q21VydFLVH3TRQUabQu_ym0Zz7PgGX0-kHA/edit?usp=sharing"",""แผน!EU21"")"),420)</f>
        <v>420</v>
      </c>
      <c r="J379" s="830">
        <f ca="1">IFERROR(__xludf.DUMMYFUNCTION("IMPORTRANGE(""https://docs.google.com/spreadsheets/d/1XWAQStnk-4SwqDmLtmXYiTMKHgktTP8We1SCoS47DrQ/edit?usp=sharing"",""จัดที่ดิน!AJ21"")"),157)</f>
        <v>157</v>
      </c>
      <c r="K379" s="831">
        <f t="shared" ca="1" si="164"/>
        <v>37.38095238095238</v>
      </c>
      <c r="L379" s="945"/>
      <c r="M379" s="945"/>
      <c r="N379" s="945"/>
      <c r="O379" s="945"/>
      <c r="P379" s="945"/>
    </row>
    <row r="380" spans="1:26" ht="18.75">
      <c r="A380" s="949"/>
      <c r="B380" s="957"/>
      <c r="C380" s="950"/>
      <c r="D380" s="957"/>
      <c r="E380" s="957"/>
      <c r="F380" s="957"/>
      <c r="G380" s="958"/>
      <c r="H380" s="730" t="s">
        <v>46</v>
      </c>
      <c r="I380" s="830">
        <v>0</v>
      </c>
      <c r="J380" s="830">
        <f ca="1">IFERROR(__xludf.DUMMYFUNCTION("IMPORTRANGE(""https://docs.google.com/spreadsheets/d/1XWAQStnk-4SwqDmLtmXYiTMKHgktTP8We1SCoS47DrQ/edit?usp=sharing"",""จัดที่ดิน!AK21"")"),2060.27)</f>
        <v>2060.27</v>
      </c>
      <c r="K380" s="831">
        <f t="shared" si="164"/>
        <v>0</v>
      </c>
      <c r="L380" s="945"/>
      <c r="M380" s="945"/>
      <c r="N380" s="945"/>
      <c r="O380" s="945"/>
      <c r="P380" s="945"/>
    </row>
    <row r="381" spans="1:26" ht="18.75">
      <c r="A381" s="949"/>
      <c r="B381" s="957"/>
      <c r="C381" s="950"/>
      <c r="D381" s="957"/>
      <c r="E381" s="955" t="s">
        <v>163</v>
      </c>
      <c r="F381" s="957"/>
      <c r="G381" s="958"/>
      <c r="H381" s="730" t="s">
        <v>35</v>
      </c>
      <c r="I381" s="830">
        <f ca="1">IFERROR(__xludf.DUMMYFUNCTION("IMPORTRANGE(""https://docs.google.com/spreadsheets/d/1QqKyyYR6Q21VydFLVH3TRQUabQu_ym0Zz7PgGX0-kHA/edit?usp=sharing"",""แผน!EU21"")"),420)</f>
        <v>420</v>
      </c>
      <c r="J381" s="830">
        <f ca="1">IFERROR(__xludf.DUMMYFUNCTION("IMPORTRANGE(""https://docs.google.com/spreadsheets/d/1XWAQStnk-4SwqDmLtmXYiTMKHgktTP8We1SCoS47DrQ/edit?usp=sharing"",""จัดที่ดิน!AL21"")"),105)</f>
        <v>105</v>
      </c>
      <c r="K381" s="831">
        <f t="shared" ca="1" si="164"/>
        <v>25</v>
      </c>
      <c r="L381" s="945"/>
      <c r="M381" s="945"/>
      <c r="N381" s="945"/>
      <c r="O381" s="945"/>
      <c r="P381" s="945"/>
    </row>
    <row r="382" spans="1:26" ht="18.75">
      <c r="A382" s="1159" t="s">
        <v>164</v>
      </c>
      <c r="B382" s="957"/>
      <c r="C382" s="950"/>
      <c r="D382" s="957"/>
      <c r="E382" s="956"/>
      <c r="F382" s="957"/>
      <c r="G382" s="958"/>
      <c r="H382" s="730" t="s">
        <v>46</v>
      </c>
      <c r="I382" s="830">
        <v>0</v>
      </c>
      <c r="J382" s="830">
        <f ca="1">IFERROR(__xludf.DUMMYFUNCTION("IMPORTRANGE(""https://docs.google.com/spreadsheets/d/1XWAQStnk-4SwqDmLtmXYiTMKHgktTP8We1SCoS47DrQ/edit?usp=sharing"",""จัดที่ดิน!AM21"")"),1710.21)</f>
        <v>1710.21</v>
      </c>
      <c r="K382" s="831">
        <f t="shared" si="164"/>
        <v>0</v>
      </c>
      <c r="L382" s="945"/>
      <c r="M382" s="945"/>
      <c r="N382" s="945"/>
      <c r="O382" s="945"/>
      <c r="P382" s="945"/>
    </row>
    <row r="383" spans="1:26" ht="19.5">
      <c r="A383" s="1011"/>
      <c r="B383" s="1018"/>
      <c r="C383" s="1012"/>
      <c r="D383" s="1145" t="s">
        <v>170</v>
      </c>
      <c r="E383" s="1012"/>
      <c r="F383" s="1012"/>
      <c r="G383" s="1014"/>
      <c r="H383" s="1146"/>
      <c r="I383" s="1015"/>
      <c r="J383" s="1015"/>
      <c r="K383" s="1016"/>
      <c r="L383" s="1016"/>
      <c r="M383" s="1016"/>
      <c r="N383" s="1016"/>
      <c r="O383" s="1016"/>
      <c r="P383" s="1016"/>
    </row>
    <row r="384" spans="1:26" ht="19.5">
      <c r="A384" s="949"/>
      <c r="B384" s="950"/>
      <c r="C384" s="827" t="s">
        <v>16</v>
      </c>
      <c r="D384" s="951" t="s">
        <v>38</v>
      </c>
      <c r="E384" s="952"/>
      <c r="F384" s="952"/>
      <c r="G384" s="953"/>
      <c r="H384" s="954"/>
      <c r="I384" s="830"/>
      <c r="J384" s="830"/>
      <c r="K384" s="831"/>
      <c r="L384" s="945"/>
      <c r="M384" s="945"/>
      <c r="N384" s="945"/>
      <c r="O384" s="945"/>
      <c r="P384" s="945"/>
    </row>
    <row r="385" spans="1:26" ht="18.75">
      <c r="A385" s="1080"/>
      <c r="B385" s="1083"/>
      <c r="C385" s="1081"/>
      <c r="D385" s="1083"/>
      <c r="E385" s="1181" t="s">
        <v>163</v>
      </c>
      <c r="F385" s="1083"/>
      <c r="G385" s="1084"/>
      <c r="H385" s="468" t="s">
        <v>35</v>
      </c>
      <c r="I385" s="1085">
        <f ca="1">IFERROR(__xludf.DUMMYFUNCTION("IMPORTRANGE(""https://docs.google.com/spreadsheets/d/1QqKyyYR6Q21VydFLVH3TRQUabQu_ym0Zz7PgGX0-kHA/edit?usp=sharing"",""แผน!EW21"")"),30)</f>
        <v>30</v>
      </c>
      <c r="J385" s="1085">
        <f ca="1">IFERROR(__xludf.DUMMYFUNCTION("IMPORTRANGE(""https://docs.google.com/spreadsheets/d/1XWAQStnk-4SwqDmLtmXYiTMKHgktTP8We1SCoS47DrQ/edit?usp=sharing"",""จัดที่ดิน!AP21"")"),8)</f>
        <v>8</v>
      </c>
      <c r="K385" s="1182">
        <f ca="1">IF(I385&gt;0,J385*100/I385,0)</f>
        <v>26.666666666666668</v>
      </c>
      <c r="L385" s="1086"/>
      <c r="M385" s="1086"/>
      <c r="N385" s="1086"/>
      <c r="O385" s="1086"/>
      <c r="P385" s="1086"/>
    </row>
    <row r="386" spans="1:26" ht="19.5" hidden="1">
      <c r="A386" s="1183" t="s">
        <v>171</v>
      </c>
      <c r="B386" s="1184"/>
      <c r="C386" s="1184"/>
      <c r="D386" s="1184"/>
      <c r="E386" s="1185"/>
      <c r="F386" s="1185"/>
      <c r="G386" s="1186"/>
      <c r="H386" s="1187"/>
      <c r="I386" s="1188"/>
      <c r="J386" s="1188"/>
      <c r="K386" s="1189"/>
      <c r="L386" s="1189"/>
      <c r="M386" s="1189"/>
      <c r="N386" s="1189"/>
      <c r="O386" s="1189"/>
      <c r="P386" s="1189"/>
    </row>
    <row r="387" spans="1:26" ht="19.5" hidden="1">
      <c r="A387" s="1190" t="s">
        <v>172</v>
      </c>
      <c r="B387" s="1191"/>
      <c r="C387" s="1191"/>
      <c r="D387" s="1192"/>
      <c r="E387" s="1191"/>
      <c r="F387" s="1191"/>
      <c r="G387" s="1191"/>
      <c r="H387" s="1193"/>
      <c r="I387" s="1194"/>
      <c r="J387" s="1194"/>
      <c r="K387" s="1195"/>
      <c r="L387" s="1195"/>
      <c r="M387" s="1195"/>
      <c r="N387" s="1195"/>
      <c r="O387" s="1195"/>
      <c r="P387" s="1195"/>
    </row>
    <row r="388" spans="1:26" ht="19.5" hidden="1">
      <c r="A388" s="1196"/>
      <c r="B388" s="1197" t="s">
        <v>173</v>
      </c>
      <c r="C388" s="1198"/>
      <c r="D388" s="1199"/>
      <c r="E388" s="1199"/>
      <c r="F388" s="1199"/>
      <c r="G388" s="1200"/>
      <c r="H388" s="489" t="s">
        <v>66</v>
      </c>
      <c r="I388" s="1201">
        <f t="shared" ref="I388:J388" si="165">I400</f>
        <v>0</v>
      </c>
      <c r="J388" s="1201">
        <f t="shared" si="165"/>
        <v>0</v>
      </c>
      <c r="K388" s="1202">
        <f>IF(I388&gt;0,J388*100/I388,0)</f>
        <v>0</v>
      </c>
      <c r="L388" s="1203"/>
      <c r="M388" s="1203"/>
      <c r="N388" s="1203"/>
      <c r="O388" s="1203"/>
      <c r="P388" s="1203"/>
    </row>
    <row r="389" spans="1:26" ht="19.5" hidden="1">
      <c r="A389" s="932"/>
      <c r="B389" s="933"/>
      <c r="C389" s="934" t="s">
        <v>16</v>
      </c>
      <c r="D389" s="935" t="s">
        <v>17</v>
      </c>
      <c r="E389" s="933"/>
      <c r="F389" s="933"/>
      <c r="G389" s="936"/>
      <c r="H389" s="152" t="s">
        <v>12</v>
      </c>
      <c r="I389" s="937"/>
      <c r="J389" s="937"/>
      <c r="K389" s="938"/>
      <c r="L389" s="939">
        <f t="shared" ref="L389:N389" ca="1" si="166">L390+L391</f>
        <v>0</v>
      </c>
      <c r="M389" s="939">
        <f t="shared" ca="1" si="166"/>
        <v>0</v>
      </c>
      <c r="N389" s="939">
        <f t="shared" ca="1" si="166"/>
        <v>0</v>
      </c>
      <c r="O389" s="939">
        <f t="shared" ref="O389:O397" ca="1" si="167">IF(L389&gt;0,N389*100/L389,0)</f>
        <v>0</v>
      </c>
      <c r="P389" s="939">
        <f t="shared" ref="P389:P397" ca="1" si="168">IF(M389&gt;0,N389*100/M389,0)</f>
        <v>0</v>
      </c>
      <c r="Q389" s="818"/>
      <c r="R389" s="818"/>
      <c r="S389" s="818"/>
      <c r="T389" s="818"/>
      <c r="U389" s="818"/>
      <c r="V389" s="818"/>
      <c r="W389" s="818"/>
      <c r="X389" s="818"/>
      <c r="Y389" s="818"/>
      <c r="Z389" s="818"/>
    </row>
    <row r="390" spans="1:26" ht="18.75" hidden="1">
      <c r="A390" s="940"/>
      <c r="B390" s="833"/>
      <c r="C390" s="833"/>
      <c r="D390" s="833"/>
      <c r="E390" s="834" t="s">
        <v>18</v>
      </c>
      <c r="F390" s="833"/>
      <c r="G390" s="941"/>
      <c r="H390" s="158" t="s">
        <v>12</v>
      </c>
      <c r="I390" s="836"/>
      <c r="J390" s="836"/>
      <c r="K390" s="837"/>
      <c r="L390" s="837">
        <f t="shared" ref="L390:N391" si="169">L393+L396</f>
        <v>0</v>
      </c>
      <c r="M390" s="837">
        <f t="shared" si="169"/>
        <v>0</v>
      </c>
      <c r="N390" s="837">
        <f t="shared" si="169"/>
        <v>0</v>
      </c>
      <c r="O390" s="837">
        <f t="shared" si="167"/>
        <v>0</v>
      </c>
      <c r="P390" s="837">
        <f t="shared" si="168"/>
        <v>0</v>
      </c>
      <c r="Q390" s="825"/>
      <c r="R390" s="825"/>
      <c r="S390" s="825"/>
      <c r="T390" s="825"/>
      <c r="U390" s="825"/>
      <c r="V390" s="825"/>
      <c r="W390" s="825"/>
      <c r="X390" s="825"/>
      <c r="Y390" s="825"/>
      <c r="Z390" s="825"/>
    </row>
    <row r="391" spans="1:26" ht="18.75" hidden="1">
      <c r="A391" s="940"/>
      <c r="B391" s="833"/>
      <c r="C391" s="833"/>
      <c r="D391" s="833"/>
      <c r="E391" s="834" t="s">
        <v>19</v>
      </c>
      <c r="F391" s="833"/>
      <c r="G391" s="941"/>
      <c r="H391" s="158" t="s">
        <v>12</v>
      </c>
      <c r="I391" s="836"/>
      <c r="J391" s="836"/>
      <c r="K391" s="837"/>
      <c r="L391" s="837">
        <f t="shared" ca="1" si="169"/>
        <v>0</v>
      </c>
      <c r="M391" s="837">
        <f t="shared" ca="1" si="169"/>
        <v>0</v>
      </c>
      <c r="N391" s="837">
        <f t="shared" ca="1" si="169"/>
        <v>0</v>
      </c>
      <c r="O391" s="837">
        <f t="shared" ca="1" si="167"/>
        <v>0</v>
      </c>
      <c r="P391" s="837">
        <f t="shared" ca="1" si="168"/>
        <v>0</v>
      </c>
      <c r="Q391" s="825"/>
      <c r="R391" s="825"/>
      <c r="S391" s="825"/>
      <c r="T391" s="825"/>
      <c r="U391" s="825"/>
      <c r="V391" s="825"/>
      <c r="W391" s="825"/>
      <c r="X391" s="825"/>
      <c r="Y391" s="825"/>
      <c r="Z391" s="825"/>
    </row>
    <row r="392" spans="1:26" ht="18.75" hidden="1">
      <c r="A392" s="942"/>
      <c r="B392" s="827"/>
      <c r="C392" s="943"/>
      <c r="D392" s="828" t="s">
        <v>20</v>
      </c>
      <c r="E392" s="827"/>
      <c r="F392" s="827"/>
      <c r="G392" s="829"/>
      <c r="H392" s="778" t="s">
        <v>12</v>
      </c>
      <c r="I392" s="944"/>
      <c r="J392" s="944"/>
      <c r="K392" s="945"/>
      <c r="L392" s="831">
        <f t="shared" ref="L392:N392" ca="1" si="170">L393+L394</f>
        <v>0</v>
      </c>
      <c r="M392" s="831">
        <f t="shared" ca="1" si="170"/>
        <v>0</v>
      </c>
      <c r="N392" s="831">
        <f t="shared" ca="1" si="170"/>
        <v>0</v>
      </c>
      <c r="O392" s="831">
        <f t="shared" ca="1" si="167"/>
        <v>0</v>
      </c>
      <c r="P392" s="831">
        <f t="shared" ca="1" si="168"/>
        <v>0</v>
      </c>
      <c r="Q392" s="818"/>
      <c r="R392" s="818"/>
      <c r="S392" s="818"/>
      <c r="T392" s="818"/>
      <c r="U392" s="818"/>
      <c r="V392" s="818"/>
      <c r="W392" s="818"/>
      <c r="X392" s="818"/>
      <c r="Y392" s="818"/>
      <c r="Z392" s="818"/>
    </row>
    <row r="393" spans="1:26" ht="19.5" hidden="1">
      <c r="A393" s="940"/>
      <c r="B393" s="833"/>
      <c r="C393" s="946"/>
      <c r="D393" s="833"/>
      <c r="E393" s="834" t="s">
        <v>36</v>
      </c>
      <c r="F393" s="833"/>
      <c r="G393" s="941"/>
      <c r="H393" s="165" t="s">
        <v>12</v>
      </c>
      <c r="I393" s="947"/>
      <c r="J393" s="947"/>
      <c r="K393" s="948"/>
      <c r="L393" s="837">
        <v>0</v>
      </c>
      <c r="M393" s="837">
        <v>0</v>
      </c>
      <c r="N393" s="837">
        <v>0</v>
      </c>
      <c r="O393" s="837">
        <f t="shared" si="167"/>
        <v>0</v>
      </c>
      <c r="P393" s="837">
        <f t="shared" si="168"/>
        <v>0</v>
      </c>
      <c r="Q393" s="825"/>
      <c r="R393" s="825"/>
      <c r="S393" s="825"/>
      <c r="T393" s="825"/>
      <c r="U393" s="825"/>
      <c r="V393" s="825"/>
      <c r="W393" s="825"/>
      <c r="X393" s="825"/>
      <c r="Y393" s="825"/>
      <c r="Z393" s="825"/>
    </row>
    <row r="394" spans="1:26" ht="19.5" hidden="1">
      <c r="A394" s="940"/>
      <c r="B394" s="833"/>
      <c r="C394" s="946"/>
      <c r="D394" s="833"/>
      <c r="E394" s="834" t="s">
        <v>37</v>
      </c>
      <c r="F394" s="833"/>
      <c r="G394" s="941"/>
      <c r="H394" s="165" t="s">
        <v>12</v>
      </c>
      <c r="I394" s="947"/>
      <c r="J394" s="947"/>
      <c r="K394" s="948"/>
      <c r="L394" s="837">
        <f ca="1">IFERROR(__xludf.DUMMYFUNCTION("IMPORTRANGE(""https://docs.google.com/spreadsheets/d/1MeEWN-I1oV_STSDYn1IFDPWt_1FKiwhDph83XaGc0o0/edit?usp=sharing"",""งบพรบ!FG21"")"),0)</f>
        <v>0</v>
      </c>
      <c r="M394" s="837">
        <f ca="1">IFERROR(__xludf.DUMMYFUNCTION("IMPORTRANGE(""https://docs.google.com/spreadsheets/d/1MeEWN-I1oV_STSDYn1IFDPWt_1FKiwhDph83XaGc0o0/edit?usp=sharing"",""งบพรบ!FL21"")"),0)</f>
        <v>0</v>
      </c>
      <c r="N394" s="837">
        <f ca="1">IFERROR(__xludf.DUMMYFUNCTION("IMPORTRANGE(""https://docs.google.com/spreadsheets/d/1MeEWN-I1oV_STSDYn1IFDPWt_1FKiwhDph83XaGc0o0/edit?usp=sharing"",""งบพรบ!FN21"")"),0)</f>
        <v>0</v>
      </c>
      <c r="O394" s="837">
        <f t="shared" ca="1" si="167"/>
        <v>0</v>
      </c>
      <c r="P394" s="837">
        <f t="shared" ca="1" si="168"/>
        <v>0</v>
      </c>
      <c r="Q394" s="825"/>
      <c r="R394" s="825"/>
      <c r="S394" s="825"/>
      <c r="T394" s="825"/>
      <c r="U394" s="825"/>
      <c r="V394" s="825"/>
      <c r="W394" s="825"/>
      <c r="X394" s="825"/>
      <c r="Y394" s="825"/>
      <c r="Z394" s="825"/>
    </row>
    <row r="395" spans="1:26" ht="18.75" hidden="1">
      <c r="A395" s="942"/>
      <c r="B395" s="827"/>
      <c r="C395" s="943"/>
      <c r="D395" s="828" t="s">
        <v>21</v>
      </c>
      <c r="E395" s="827"/>
      <c r="F395" s="827"/>
      <c r="G395" s="829"/>
      <c r="H395" s="168" t="s">
        <v>12</v>
      </c>
      <c r="I395" s="944"/>
      <c r="J395" s="944"/>
      <c r="K395" s="945"/>
      <c r="L395" s="831">
        <f t="shared" ref="L395:N395" ca="1" si="171">L396+L397</f>
        <v>0</v>
      </c>
      <c r="M395" s="831">
        <f t="shared" ca="1" si="171"/>
        <v>0</v>
      </c>
      <c r="N395" s="831">
        <f t="shared" ca="1" si="171"/>
        <v>0</v>
      </c>
      <c r="O395" s="831">
        <f t="shared" ca="1" si="167"/>
        <v>0</v>
      </c>
      <c r="P395" s="831">
        <f t="shared" ca="1" si="168"/>
        <v>0</v>
      </c>
      <c r="Q395" s="818"/>
      <c r="R395" s="818"/>
      <c r="S395" s="818"/>
      <c r="T395" s="818"/>
      <c r="U395" s="818"/>
      <c r="V395" s="818"/>
      <c r="W395" s="818"/>
      <c r="X395" s="818"/>
      <c r="Y395" s="818"/>
      <c r="Z395" s="818"/>
    </row>
    <row r="396" spans="1:26" ht="19.5" hidden="1">
      <c r="A396" s="940"/>
      <c r="B396" s="833"/>
      <c r="C396" s="946"/>
      <c r="D396" s="833"/>
      <c r="E396" s="834" t="s">
        <v>18</v>
      </c>
      <c r="F396" s="833"/>
      <c r="G396" s="941"/>
      <c r="H396" s="165" t="s">
        <v>12</v>
      </c>
      <c r="I396" s="947"/>
      <c r="J396" s="947"/>
      <c r="K396" s="948"/>
      <c r="L396" s="837">
        <v>0</v>
      </c>
      <c r="M396" s="837">
        <v>0</v>
      </c>
      <c r="N396" s="837">
        <v>0</v>
      </c>
      <c r="O396" s="837">
        <f t="shared" si="167"/>
        <v>0</v>
      </c>
      <c r="P396" s="837">
        <f t="shared" si="168"/>
        <v>0</v>
      </c>
      <c r="Q396" s="825"/>
      <c r="R396" s="825"/>
      <c r="S396" s="825"/>
      <c r="T396" s="825"/>
      <c r="U396" s="825"/>
      <c r="V396" s="825"/>
      <c r="W396" s="825"/>
      <c r="X396" s="825"/>
      <c r="Y396" s="825"/>
      <c r="Z396" s="825"/>
    </row>
    <row r="397" spans="1:26" ht="19.5" hidden="1">
      <c r="A397" s="940"/>
      <c r="B397" s="833"/>
      <c r="C397" s="946"/>
      <c r="D397" s="833"/>
      <c r="E397" s="834" t="s">
        <v>19</v>
      </c>
      <c r="F397" s="833"/>
      <c r="G397" s="941"/>
      <c r="H397" s="169" t="s">
        <v>12</v>
      </c>
      <c r="I397" s="947"/>
      <c r="J397" s="947"/>
      <c r="K397" s="948"/>
      <c r="L397" s="837">
        <f ca="1">IFERROR(__xludf.DUMMYFUNCTION("IMPORTRANGE(""https://docs.google.com/spreadsheets/d/1MeEWN-I1oV_STSDYn1IFDPWt_1FKiwhDph83XaGc0o0/edit?usp=sharing"",""งบพรบ!FJ21"")"),0)</f>
        <v>0</v>
      </c>
      <c r="M397" s="837">
        <f ca="1">IFERROR(__xludf.DUMMYFUNCTION("IMPORTRANGE(""https://docs.google.com/spreadsheets/d/1MeEWN-I1oV_STSDYn1IFDPWt_1FKiwhDph83XaGc0o0/edit?usp=sharing"",""งบพรบ!FM21"")"),0)</f>
        <v>0</v>
      </c>
      <c r="N397" s="837">
        <f ca="1">IFERROR(__xludf.DUMMYFUNCTION("IMPORTRANGE(""https://docs.google.com/spreadsheets/d/1MeEWN-I1oV_STSDYn1IFDPWt_1FKiwhDph83XaGc0o0/edit?usp=sharing"",""งบพรบ!FO21"")"),0)</f>
        <v>0</v>
      </c>
      <c r="O397" s="837">
        <f t="shared" ca="1" si="167"/>
        <v>0</v>
      </c>
      <c r="P397" s="837">
        <f t="shared" ca="1" si="168"/>
        <v>0</v>
      </c>
      <c r="Q397" s="825"/>
      <c r="R397" s="825"/>
      <c r="S397" s="825"/>
      <c r="T397" s="825"/>
      <c r="U397" s="825"/>
      <c r="V397" s="825"/>
      <c r="W397" s="825"/>
      <c r="X397" s="825"/>
      <c r="Y397" s="825"/>
      <c r="Z397" s="825"/>
    </row>
    <row r="398" spans="1:26" ht="19.5" hidden="1">
      <c r="A398" s="949"/>
      <c r="B398" s="950"/>
      <c r="C398" s="946" t="s">
        <v>16</v>
      </c>
      <c r="D398" s="951" t="s">
        <v>38</v>
      </c>
      <c r="E398" s="952"/>
      <c r="F398" s="952"/>
      <c r="G398" s="953"/>
      <c r="H398" s="954"/>
      <c r="I398" s="944"/>
      <c r="J398" s="830"/>
      <c r="K398" s="831"/>
      <c r="L398" s="831"/>
      <c r="M398" s="831"/>
      <c r="N398" s="831"/>
      <c r="O398" s="945"/>
      <c r="P398" s="945"/>
    </row>
    <row r="399" spans="1:26" ht="18.75" hidden="1">
      <c r="A399" s="1204"/>
      <c r="B399" s="933"/>
      <c r="C399" s="1205"/>
      <c r="D399" s="968" t="s">
        <v>174</v>
      </c>
      <c r="E399" s="1113"/>
      <c r="F399" s="933"/>
      <c r="G399" s="936"/>
      <c r="H399" s="496" t="s">
        <v>9</v>
      </c>
      <c r="I399" s="830">
        <v>0</v>
      </c>
      <c r="J399" s="959">
        <v>0</v>
      </c>
      <c r="K399" s="831">
        <f t="shared" ref="K399:K401" si="172">IF(I399&gt;0,J399*100/I399,0)</f>
        <v>0</v>
      </c>
      <c r="L399" s="1206"/>
      <c r="M399" s="1206"/>
      <c r="N399" s="1206"/>
      <c r="O399" s="1206"/>
      <c r="P399" s="1206"/>
      <c r="Q399" s="818"/>
      <c r="R399" s="818"/>
      <c r="S399" s="818"/>
      <c r="T399" s="818"/>
      <c r="U399" s="818"/>
      <c r="V399" s="818"/>
      <c r="W399" s="818"/>
      <c r="X399" s="818"/>
      <c r="Y399" s="818"/>
      <c r="Z399" s="818"/>
    </row>
    <row r="400" spans="1:26" ht="18.75" hidden="1">
      <c r="A400" s="1032"/>
      <c r="B400" s="827"/>
      <c r="C400" s="1030"/>
      <c r="D400" s="956" t="s">
        <v>175</v>
      </c>
      <c r="E400" s="950"/>
      <c r="F400" s="827"/>
      <c r="G400" s="829"/>
      <c r="H400" s="277" t="s">
        <v>66</v>
      </c>
      <c r="I400" s="830">
        <v>0</v>
      </c>
      <c r="J400" s="959">
        <v>0</v>
      </c>
      <c r="K400" s="831">
        <f t="shared" si="172"/>
        <v>0</v>
      </c>
      <c r="L400" s="831"/>
      <c r="M400" s="831"/>
      <c r="N400" s="831"/>
      <c r="O400" s="831"/>
      <c r="P400" s="831"/>
    </row>
    <row r="401" spans="1:26" ht="19.5" hidden="1">
      <c r="A401" s="1196"/>
      <c r="B401" s="1197" t="s">
        <v>176</v>
      </c>
      <c r="C401" s="1198"/>
      <c r="D401" s="1199"/>
      <c r="E401" s="1199"/>
      <c r="F401" s="1199"/>
      <c r="G401" s="1200"/>
      <c r="H401" s="489" t="s">
        <v>66</v>
      </c>
      <c r="I401" s="1201">
        <f t="shared" ref="I401:J401" si="173">I412</f>
        <v>0</v>
      </c>
      <c r="J401" s="1201">
        <f t="shared" si="173"/>
        <v>0</v>
      </c>
      <c r="K401" s="1202">
        <f t="shared" si="172"/>
        <v>0</v>
      </c>
      <c r="L401" s="1203"/>
      <c r="M401" s="1203"/>
      <c r="N401" s="1203"/>
      <c r="O401" s="1203"/>
      <c r="P401" s="1203"/>
    </row>
    <row r="402" spans="1:26" ht="19.5" hidden="1">
      <c r="A402" s="932"/>
      <c r="B402" s="933"/>
      <c r="C402" s="934" t="s">
        <v>16</v>
      </c>
      <c r="D402" s="935" t="s">
        <v>17</v>
      </c>
      <c r="E402" s="933"/>
      <c r="F402" s="933"/>
      <c r="G402" s="936"/>
      <c r="H402" s="152" t="s">
        <v>12</v>
      </c>
      <c r="I402" s="937"/>
      <c r="J402" s="937"/>
      <c r="K402" s="938"/>
      <c r="L402" s="939">
        <f t="shared" ref="L402:N402" ca="1" si="174">L403+L404</f>
        <v>0</v>
      </c>
      <c r="M402" s="939">
        <f t="shared" ca="1" si="174"/>
        <v>0</v>
      </c>
      <c r="N402" s="939">
        <f t="shared" ca="1" si="174"/>
        <v>0</v>
      </c>
      <c r="O402" s="939">
        <f t="shared" ref="O402:O410" ca="1" si="175">IF(L402&gt;0,N402*100/L402,0)</f>
        <v>0</v>
      </c>
      <c r="P402" s="939">
        <f t="shared" ref="P402:P410" ca="1" si="176">IF(M402&gt;0,N402*100/M402,0)</f>
        <v>0</v>
      </c>
      <c r="Q402" s="818"/>
      <c r="R402" s="818"/>
      <c r="S402" s="818"/>
      <c r="T402" s="818"/>
      <c r="U402" s="818"/>
      <c r="V402" s="818"/>
      <c r="W402" s="818"/>
      <c r="X402" s="818"/>
      <c r="Y402" s="818"/>
      <c r="Z402" s="818"/>
    </row>
    <row r="403" spans="1:26" ht="18.75" hidden="1">
      <c r="A403" s="940"/>
      <c r="B403" s="833"/>
      <c r="C403" s="833"/>
      <c r="D403" s="833"/>
      <c r="E403" s="834" t="s">
        <v>18</v>
      </c>
      <c r="F403" s="833"/>
      <c r="G403" s="941"/>
      <c r="H403" s="158" t="s">
        <v>12</v>
      </c>
      <c r="I403" s="836"/>
      <c r="J403" s="836"/>
      <c r="K403" s="837"/>
      <c r="L403" s="837">
        <f t="shared" ref="L403:N404" si="177">L406+L409</f>
        <v>0</v>
      </c>
      <c r="M403" s="837">
        <f t="shared" si="177"/>
        <v>0</v>
      </c>
      <c r="N403" s="837">
        <f t="shared" si="177"/>
        <v>0</v>
      </c>
      <c r="O403" s="837">
        <f t="shared" si="175"/>
        <v>0</v>
      </c>
      <c r="P403" s="837">
        <f t="shared" si="176"/>
        <v>0</v>
      </c>
      <c r="Q403" s="825"/>
      <c r="R403" s="825"/>
      <c r="S403" s="825"/>
      <c r="T403" s="825"/>
      <c r="U403" s="825"/>
      <c r="V403" s="825"/>
      <c r="W403" s="825"/>
      <c r="X403" s="825"/>
      <c r="Y403" s="825"/>
      <c r="Z403" s="825"/>
    </row>
    <row r="404" spans="1:26" ht="18.75" hidden="1">
      <c r="A404" s="940"/>
      <c r="B404" s="833"/>
      <c r="C404" s="833"/>
      <c r="D404" s="833"/>
      <c r="E404" s="834" t="s">
        <v>19</v>
      </c>
      <c r="F404" s="833"/>
      <c r="G404" s="941"/>
      <c r="H404" s="158" t="s">
        <v>12</v>
      </c>
      <c r="I404" s="836"/>
      <c r="J404" s="836"/>
      <c r="K404" s="837"/>
      <c r="L404" s="837">
        <f t="shared" ca="1" si="177"/>
        <v>0</v>
      </c>
      <c r="M404" s="837">
        <f t="shared" ca="1" si="177"/>
        <v>0</v>
      </c>
      <c r="N404" s="837">
        <f t="shared" ca="1" si="177"/>
        <v>0</v>
      </c>
      <c r="O404" s="837">
        <f t="shared" ca="1" si="175"/>
        <v>0</v>
      </c>
      <c r="P404" s="837">
        <f t="shared" ca="1" si="176"/>
        <v>0</v>
      </c>
      <c r="Q404" s="825"/>
      <c r="R404" s="825"/>
      <c r="S404" s="825"/>
      <c r="T404" s="825"/>
      <c r="U404" s="825"/>
      <c r="V404" s="825"/>
      <c r="W404" s="825"/>
      <c r="X404" s="825"/>
      <c r="Y404" s="825"/>
      <c r="Z404" s="825"/>
    </row>
    <row r="405" spans="1:26" ht="18.75" hidden="1">
      <c r="A405" s="942"/>
      <c r="B405" s="827"/>
      <c r="C405" s="943"/>
      <c r="D405" s="828" t="s">
        <v>20</v>
      </c>
      <c r="E405" s="827"/>
      <c r="F405" s="827"/>
      <c r="G405" s="829"/>
      <c r="H405" s="778" t="s">
        <v>12</v>
      </c>
      <c r="I405" s="944"/>
      <c r="J405" s="944"/>
      <c r="K405" s="945"/>
      <c r="L405" s="831">
        <f t="shared" ref="L405:N405" ca="1" si="178">L406+L407</f>
        <v>0</v>
      </c>
      <c r="M405" s="831">
        <f t="shared" ca="1" si="178"/>
        <v>0</v>
      </c>
      <c r="N405" s="831">
        <f t="shared" ca="1" si="178"/>
        <v>0</v>
      </c>
      <c r="O405" s="831">
        <f t="shared" ca="1" si="175"/>
        <v>0</v>
      </c>
      <c r="P405" s="831">
        <f t="shared" ca="1" si="176"/>
        <v>0</v>
      </c>
      <c r="Q405" s="818"/>
      <c r="R405" s="818"/>
      <c r="S405" s="818"/>
      <c r="T405" s="818"/>
      <c r="U405" s="818"/>
      <c r="V405" s="818"/>
      <c r="W405" s="818"/>
      <c r="X405" s="818"/>
      <c r="Y405" s="818"/>
      <c r="Z405" s="818"/>
    </row>
    <row r="406" spans="1:26" ht="19.5" hidden="1">
      <c r="A406" s="940"/>
      <c r="B406" s="833"/>
      <c r="C406" s="946"/>
      <c r="D406" s="833"/>
      <c r="E406" s="834" t="s">
        <v>36</v>
      </c>
      <c r="F406" s="833"/>
      <c r="G406" s="941"/>
      <c r="H406" s="165" t="s">
        <v>12</v>
      </c>
      <c r="I406" s="947"/>
      <c r="J406" s="947"/>
      <c r="K406" s="948"/>
      <c r="L406" s="837">
        <v>0</v>
      </c>
      <c r="M406" s="837">
        <v>0</v>
      </c>
      <c r="N406" s="837">
        <v>0</v>
      </c>
      <c r="O406" s="837">
        <f t="shared" si="175"/>
        <v>0</v>
      </c>
      <c r="P406" s="837">
        <f t="shared" si="176"/>
        <v>0</v>
      </c>
      <c r="Q406" s="825"/>
      <c r="R406" s="825"/>
      <c r="S406" s="825"/>
      <c r="T406" s="825"/>
      <c r="U406" s="825"/>
      <c r="V406" s="825"/>
      <c r="W406" s="825"/>
      <c r="X406" s="825"/>
      <c r="Y406" s="825"/>
      <c r="Z406" s="825"/>
    </row>
    <row r="407" spans="1:26" ht="19.5" hidden="1">
      <c r="A407" s="940"/>
      <c r="B407" s="833"/>
      <c r="C407" s="946"/>
      <c r="D407" s="833"/>
      <c r="E407" s="834" t="s">
        <v>37</v>
      </c>
      <c r="F407" s="833"/>
      <c r="G407" s="941"/>
      <c r="H407" s="165" t="s">
        <v>12</v>
      </c>
      <c r="I407" s="947"/>
      <c r="J407" s="947"/>
      <c r="K407" s="948"/>
      <c r="L407" s="837">
        <f ca="1">IFERROR(__xludf.DUMMYFUNCTION("IMPORTRANGE(""https://docs.google.com/spreadsheets/d/1MeEWN-I1oV_STSDYn1IFDPWt_1FKiwhDph83XaGc0o0/edit?usp=sharing"",""งบพรบ!FQ21"")"),0)</f>
        <v>0</v>
      </c>
      <c r="M407" s="837">
        <f ca="1">IFERROR(__xludf.DUMMYFUNCTION("IMPORTRANGE(""https://docs.google.com/spreadsheets/d/1MeEWN-I1oV_STSDYn1IFDPWt_1FKiwhDph83XaGc0o0/edit?usp=sharing"",""งบพรบ!FV21"")"),0)</f>
        <v>0</v>
      </c>
      <c r="N407" s="837">
        <f ca="1">IFERROR(__xludf.DUMMYFUNCTION("IMPORTRANGE(""https://docs.google.com/spreadsheets/d/1MeEWN-I1oV_STSDYn1IFDPWt_1FKiwhDph83XaGc0o0/edit?usp=sharing"",""งบพรบ!FX21"")"),0)</f>
        <v>0</v>
      </c>
      <c r="O407" s="837">
        <f t="shared" ca="1" si="175"/>
        <v>0</v>
      </c>
      <c r="P407" s="837">
        <f t="shared" ca="1" si="176"/>
        <v>0</v>
      </c>
      <c r="Q407" s="825"/>
      <c r="R407" s="825"/>
      <c r="S407" s="825"/>
      <c r="T407" s="825"/>
      <c r="U407" s="825"/>
      <c r="V407" s="825"/>
      <c r="W407" s="825"/>
      <c r="X407" s="825"/>
      <c r="Y407" s="825"/>
      <c r="Z407" s="825"/>
    </row>
    <row r="408" spans="1:26" ht="18.75" hidden="1">
      <c r="A408" s="942"/>
      <c r="B408" s="827"/>
      <c r="C408" s="943"/>
      <c r="D408" s="828" t="s">
        <v>21</v>
      </c>
      <c r="E408" s="827"/>
      <c r="F408" s="827"/>
      <c r="G408" s="829"/>
      <c r="H408" s="168" t="s">
        <v>12</v>
      </c>
      <c r="I408" s="944"/>
      <c r="J408" s="944"/>
      <c r="K408" s="945"/>
      <c r="L408" s="831">
        <f t="shared" ref="L408:N408" ca="1" si="179">L409+L410</f>
        <v>0</v>
      </c>
      <c r="M408" s="831">
        <f t="shared" ca="1" si="179"/>
        <v>0</v>
      </c>
      <c r="N408" s="831">
        <f t="shared" ca="1" si="179"/>
        <v>0</v>
      </c>
      <c r="O408" s="831">
        <f t="shared" ca="1" si="175"/>
        <v>0</v>
      </c>
      <c r="P408" s="831">
        <f t="shared" ca="1" si="176"/>
        <v>0</v>
      </c>
      <c r="Q408" s="818"/>
      <c r="R408" s="818"/>
      <c r="S408" s="818"/>
      <c r="T408" s="818"/>
      <c r="U408" s="818"/>
      <c r="V408" s="818"/>
      <c r="W408" s="818"/>
      <c r="X408" s="818"/>
      <c r="Y408" s="818"/>
      <c r="Z408" s="818"/>
    </row>
    <row r="409" spans="1:26" ht="19.5" hidden="1">
      <c r="A409" s="940"/>
      <c r="B409" s="833"/>
      <c r="C409" s="946"/>
      <c r="D409" s="833"/>
      <c r="E409" s="834" t="s">
        <v>18</v>
      </c>
      <c r="F409" s="833"/>
      <c r="G409" s="941"/>
      <c r="H409" s="165" t="s">
        <v>12</v>
      </c>
      <c r="I409" s="947"/>
      <c r="J409" s="947"/>
      <c r="K409" s="948"/>
      <c r="L409" s="837">
        <v>0</v>
      </c>
      <c r="M409" s="837">
        <v>0</v>
      </c>
      <c r="N409" s="837">
        <v>0</v>
      </c>
      <c r="O409" s="837">
        <f t="shared" si="175"/>
        <v>0</v>
      </c>
      <c r="P409" s="837">
        <f t="shared" si="176"/>
        <v>0</v>
      </c>
      <c r="Q409" s="825"/>
      <c r="R409" s="825"/>
      <c r="S409" s="825"/>
      <c r="T409" s="825"/>
      <c r="U409" s="825"/>
      <c r="V409" s="825"/>
      <c r="W409" s="825"/>
      <c r="X409" s="825"/>
      <c r="Y409" s="825"/>
      <c r="Z409" s="825"/>
    </row>
    <row r="410" spans="1:26" ht="19.5" hidden="1">
      <c r="A410" s="940"/>
      <c r="B410" s="833"/>
      <c r="C410" s="946"/>
      <c r="D410" s="833"/>
      <c r="E410" s="834" t="s">
        <v>19</v>
      </c>
      <c r="F410" s="833"/>
      <c r="G410" s="941"/>
      <c r="H410" s="169" t="s">
        <v>12</v>
      </c>
      <c r="I410" s="947"/>
      <c r="J410" s="947"/>
      <c r="K410" s="948"/>
      <c r="L410" s="837">
        <f ca="1">IFERROR(__xludf.DUMMYFUNCTION("IMPORTRANGE(""https://docs.google.com/spreadsheets/d/1MeEWN-I1oV_STSDYn1IFDPWt_1FKiwhDph83XaGc0o0/edit?usp=sharing"",""งบพรบ!FT21"")"),0)</f>
        <v>0</v>
      </c>
      <c r="M410" s="837">
        <f ca="1">IFERROR(__xludf.DUMMYFUNCTION("IMPORTRANGE(""https://docs.google.com/spreadsheets/d/1MeEWN-I1oV_STSDYn1IFDPWt_1FKiwhDph83XaGc0o0/edit?usp=sharing"",""งบพรบ!FW21"")"),0)</f>
        <v>0</v>
      </c>
      <c r="N410" s="837">
        <f ca="1">IFERROR(__xludf.DUMMYFUNCTION("IMPORTRANGE(""https://docs.google.com/spreadsheets/d/1MeEWN-I1oV_STSDYn1IFDPWt_1FKiwhDph83XaGc0o0/edit?usp=sharing"",""งบพรบ!FY21"")"),0)</f>
        <v>0</v>
      </c>
      <c r="O410" s="837">
        <f t="shared" ca="1" si="175"/>
        <v>0</v>
      </c>
      <c r="P410" s="837">
        <f t="shared" ca="1" si="176"/>
        <v>0</v>
      </c>
      <c r="Q410" s="825"/>
      <c r="R410" s="825"/>
      <c r="S410" s="825"/>
      <c r="T410" s="825"/>
      <c r="U410" s="825"/>
      <c r="V410" s="825"/>
      <c r="W410" s="825"/>
      <c r="X410" s="825"/>
      <c r="Y410" s="825"/>
      <c r="Z410" s="825"/>
    </row>
    <row r="411" spans="1:26" ht="19.5" hidden="1">
      <c r="A411" s="949"/>
      <c r="B411" s="950"/>
      <c r="C411" s="946" t="s">
        <v>16</v>
      </c>
      <c r="D411" s="1207" t="s">
        <v>38</v>
      </c>
      <c r="E411" s="1208"/>
      <c r="F411" s="1208"/>
      <c r="G411" s="1209"/>
      <c r="H411" s="954"/>
      <c r="I411" s="830"/>
      <c r="J411" s="830"/>
      <c r="K411" s="831"/>
      <c r="L411" s="945"/>
      <c r="M411" s="945"/>
      <c r="N411" s="945"/>
      <c r="O411" s="945"/>
      <c r="P411" s="945"/>
    </row>
    <row r="412" spans="1:26" ht="18.75" hidden="1">
      <c r="A412" s="949"/>
      <c r="B412" s="957"/>
      <c r="C412" s="957"/>
      <c r="D412" s="956" t="s">
        <v>177</v>
      </c>
      <c r="E412" s="957"/>
      <c r="F412" s="957"/>
      <c r="G412" s="958"/>
      <c r="H412" s="501" t="s">
        <v>66</v>
      </c>
      <c r="I412" s="830">
        <v>0</v>
      </c>
      <c r="J412" s="959">
        <v>0</v>
      </c>
      <c r="K412" s="831">
        <f t="shared" ref="K412:K413" si="180">IF(I412&gt;0,J412*100/I412,0)</f>
        <v>0</v>
      </c>
      <c r="L412" s="945"/>
      <c r="M412" s="945"/>
      <c r="N412" s="945"/>
      <c r="O412" s="945"/>
      <c r="P412" s="945"/>
    </row>
    <row r="413" spans="1:26" ht="19.5" hidden="1" thickBot="1">
      <c r="A413" s="1210"/>
      <c r="B413" s="1211"/>
      <c r="C413" s="1211"/>
      <c r="D413" s="1212" t="s">
        <v>178</v>
      </c>
      <c r="E413" s="1211"/>
      <c r="F413" s="1211"/>
      <c r="G413" s="1213"/>
      <c r="H413" s="506" t="s">
        <v>179</v>
      </c>
      <c r="I413" s="1214">
        <v>0</v>
      </c>
      <c r="J413" s="1215">
        <v>0</v>
      </c>
      <c r="K413" s="1216">
        <f t="shared" si="180"/>
        <v>0</v>
      </c>
      <c r="L413" s="1217"/>
      <c r="M413" s="1217"/>
      <c r="N413" s="1217"/>
      <c r="O413" s="1217"/>
      <c r="P413" s="1217"/>
    </row>
    <row r="414" spans="1:26" ht="19.5">
      <c r="A414" s="1218" t="s">
        <v>180</v>
      </c>
      <c r="B414" s="1219"/>
      <c r="C414" s="1219"/>
      <c r="D414" s="1219"/>
      <c r="E414" s="1219"/>
      <c r="F414" s="1219"/>
      <c r="G414" s="1220"/>
      <c r="H414" s="1221"/>
      <c r="I414" s="1222"/>
      <c r="J414" s="1222"/>
      <c r="K414" s="1223"/>
      <c r="L414" s="1224">
        <f t="shared" ref="L414:N414" ca="1" si="181">L419+L444+L467+L502+L523+L544+L629+L655+L685+L737+L754+L770+L786+L805</f>
        <v>1590544</v>
      </c>
      <c r="M414" s="1224">
        <f t="shared" si="181"/>
        <v>0</v>
      </c>
      <c r="N414" s="1224">
        <f t="shared" si="181"/>
        <v>273726.02</v>
      </c>
      <c r="O414" s="1224">
        <f ca="1">IF(L414&gt;0,N414*100/L414,0)</f>
        <v>17.209584896739731</v>
      </c>
      <c r="P414" s="1224">
        <f>IF(M414&gt;0,N414*100/M414,0)</f>
        <v>0</v>
      </c>
    </row>
    <row r="415" spans="1:26" ht="19.5">
      <c r="A415" s="1225" t="s">
        <v>181</v>
      </c>
      <c r="B415" s="1226"/>
      <c r="C415" s="1226"/>
      <c r="D415" s="1226"/>
      <c r="E415" s="1226"/>
      <c r="F415" s="1226"/>
      <c r="G415" s="1226"/>
      <c r="H415" s="1227"/>
      <c r="I415" s="1228"/>
      <c r="J415" s="1228"/>
      <c r="K415" s="1229"/>
      <c r="L415" s="1230"/>
      <c r="M415" s="1230"/>
      <c r="N415" s="1230"/>
      <c r="O415" s="1230"/>
      <c r="P415" s="1230"/>
    </row>
    <row r="416" spans="1:26" ht="19.5">
      <c r="A416" s="1225" t="s">
        <v>182</v>
      </c>
      <c r="B416" s="1226"/>
      <c r="C416" s="1226"/>
      <c r="D416" s="1226"/>
      <c r="E416" s="1226"/>
      <c r="F416" s="1226"/>
      <c r="G416" s="1231"/>
      <c r="H416" s="1232"/>
      <c r="I416" s="1233"/>
      <c r="J416" s="1233"/>
      <c r="K416" s="1230"/>
      <c r="L416" s="1230"/>
      <c r="M416" s="1230"/>
      <c r="N416" s="1230"/>
      <c r="O416" s="1230"/>
      <c r="P416" s="1230"/>
    </row>
    <row r="417" spans="1:26" ht="39">
      <c r="A417" s="527">
        <v>1</v>
      </c>
      <c r="B417" s="1234" t="s">
        <v>183</v>
      </c>
      <c r="C417" s="1234"/>
      <c r="D417" s="1235"/>
      <c r="E417" s="1235"/>
      <c r="F417" s="1235"/>
      <c r="G417" s="1236"/>
      <c r="H417" s="532" t="s">
        <v>35</v>
      </c>
      <c r="I417" s="1237">
        <f t="shared" ref="I417:J418" ca="1" si="182">I433</f>
        <v>20</v>
      </c>
      <c r="J417" s="1237">
        <f t="shared" ca="1" si="182"/>
        <v>20</v>
      </c>
      <c r="K417" s="1238">
        <f t="shared" ref="K417:K418" ca="1" si="183">IF(I417&gt;0,J417*100/I417,0)</f>
        <v>100</v>
      </c>
      <c r="L417" s="1239"/>
      <c r="M417" s="1239"/>
      <c r="N417" s="1239"/>
      <c r="O417" s="1239"/>
      <c r="P417" s="1239"/>
    </row>
    <row r="418" spans="1:26" ht="19.5">
      <c r="A418" s="1240"/>
      <c r="B418" s="527"/>
      <c r="C418" s="1234"/>
      <c r="D418" s="1235"/>
      <c r="E418" s="1235"/>
      <c r="F418" s="1235"/>
      <c r="G418" s="1236"/>
      <c r="H418" s="532" t="s">
        <v>49</v>
      </c>
      <c r="I418" s="1237">
        <f t="shared" ca="1" si="182"/>
        <v>1</v>
      </c>
      <c r="J418" s="1237">
        <f t="shared" si="182"/>
        <v>1</v>
      </c>
      <c r="K418" s="1238">
        <f t="shared" ca="1" si="183"/>
        <v>100</v>
      </c>
      <c r="L418" s="1239"/>
      <c r="M418" s="1239"/>
      <c r="N418" s="1239"/>
      <c r="O418" s="1239"/>
      <c r="P418" s="1239"/>
    </row>
    <row r="419" spans="1:26" ht="19.5">
      <c r="A419" s="932"/>
      <c r="B419" s="933"/>
      <c r="C419" s="933" t="s">
        <v>16</v>
      </c>
      <c r="D419" s="1510" t="s">
        <v>17</v>
      </c>
      <c r="E419" s="1487"/>
      <c r="F419" s="1487"/>
      <c r="G419" s="936"/>
      <c r="H419" s="275" t="s">
        <v>12</v>
      </c>
      <c r="I419" s="937"/>
      <c r="J419" s="937"/>
      <c r="K419" s="938"/>
      <c r="L419" s="939">
        <f t="shared" ref="L419:N419" ca="1" si="184">L420+L421</f>
        <v>78660</v>
      </c>
      <c r="M419" s="939">
        <f t="shared" si="184"/>
        <v>0</v>
      </c>
      <c r="N419" s="939">
        <f t="shared" si="184"/>
        <v>0</v>
      </c>
      <c r="O419" s="939">
        <f t="shared" ref="O419:O424" ca="1" si="185">IF(L419&gt;0,N419*100/L419,0)</f>
        <v>0</v>
      </c>
      <c r="P419" s="939">
        <f t="shared" ref="P419:P424" si="186">IF(M419&gt;0,N419*100/M419,0)</f>
        <v>0</v>
      </c>
      <c r="Q419" s="818"/>
      <c r="R419" s="818"/>
      <c r="S419" s="818"/>
      <c r="T419" s="818"/>
      <c r="U419" s="818"/>
      <c r="V419" s="818"/>
      <c r="W419" s="818"/>
      <c r="X419" s="818"/>
      <c r="Y419" s="818"/>
      <c r="Z419" s="818"/>
    </row>
    <row r="420" spans="1:26" ht="18.75" hidden="1">
      <c r="A420" s="940"/>
      <c r="B420" s="833"/>
      <c r="C420" s="833"/>
      <c r="D420" s="1061"/>
      <c r="E420" s="834" t="s">
        <v>184</v>
      </c>
      <c r="F420" s="833"/>
      <c r="G420" s="941"/>
      <c r="H420" s="165" t="s">
        <v>12</v>
      </c>
      <c r="I420" s="836"/>
      <c r="J420" s="836"/>
      <c r="K420" s="837"/>
      <c r="L420" s="837">
        <f t="shared" ref="L420:N421" si="187">L423+L430</f>
        <v>0</v>
      </c>
      <c r="M420" s="837">
        <f t="shared" si="187"/>
        <v>0</v>
      </c>
      <c r="N420" s="837">
        <f t="shared" si="187"/>
        <v>0</v>
      </c>
      <c r="O420" s="837">
        <f t="shared" si="185"/>
        <v>0</v>
      </c>
      <c r="P420" s="837">
        <f t="shared" si="186"/>
        <v>0</v>
      </c>
      <c r="Q420" s="825"/>
      <c r="R420" s="825"/>
      <c r="S420" s="825"/>
      <c r="T420" s="825"/>
      <c r="U420" s="825"/>
      <c r="V420" s="825"/>
      <c r="W420" s="825"/>
      <c r="X420" s="825"/>
      <c r="Y420" s="825"/>
      <c r="Z420" s="825"/>
    </row>
    <row r="421" spans="1:26" ht="18.75" hidden="1">
      <c r="A421" s="940"/>
      <c r="B421" s="833"/>
      <c r="C421" s="833"/>
      <c r="D421" s="1061"/>
      <c r="E421" s="834" t="s">
        <v>185</v>
      </c>
      <c r="F421" s="833"/>
      <c r="G421" s="941"/>
      <c r="H421" s="165" t="s">
        <v>12</v>
      </c>
      <c r="I421" s="836"/>
      <c r="J421" s="836"/>
      <c r="K421" s="837"/>
      <c r="L421" s="837">
        <f t="shared" ca="1" si="187"/>
        <v>78660</v>
      </c>
      <c r="M421" s="837">
        <f t="shared" si="187"/>
        <v>0</v>
      </c>
      <c r="N421" s="837">
        <f t="shared" si="187"/>
        <v>0</v>
      </c>
      <c r="O421" s="837">
        <f t="shared" ca="1" si="185"/>
        <v>0</v>
      </c>
      <c r="P421" s="837">
        <f t="shared" si="186"/>
        <v>0</v>
      </c>
      <c r="Q421" s="825"/>
      <c r="R421" s="825"/>
      <c r="S421" s="825"/>
      <c r="T421" s="825"/>
      <c r="U421" s="825"/>
      <c r="V421" s="825"/>
      <c r="W421" s="825"/>
      <c r="X421" s="825"/>
      <c r="Y421" s="825"/>
      <c r="Z421" s="825"/>
    </row>
    <row r="422" spans="1:26" ht="18.75">
      <c r="A422" s="942"/>
      <c r="B422" s="1030"/>
      <c r="C422" s="827"/>
      <c r="D422" s="828" t="s">
        <v>20</v>
      </c>
      <c r="E422" s="827"/>
      <c r="F422" s="827"/>
      <c r="G422" s="829"/>
      <c r="H422" s="778" t="s">
        <v>12</v>
      </c>
      <c r="I422" s="944"/>
      <c r="J422" s="944"/>
      <c r="K422" s="945"/>
      <c r="L422" s="831">
        <f t="shared" ref="L422:N422" ca="1" si="188">L423+L424</f>
        <v>78660</v>
      </c>
      <c r="M422" s="831">
        <f t="shared" si="188"/>
        <v>0</v>
      </c>
      <c r="N422" s="831">
        <f t="shared" si="188"/>
        <v>0</v>
      </c>
      <c r="O422" s="831">
        <f t="shared" ca="1" si="185"/>
        <v>0</v>
      </c>
      <c r="P422" s="831">
        <f t="shared" si="186"/>
        <v>0</v>
      </c>
      <c r="Q422" s="818"/>
      <c r="R422" s="818"/>
      <c r="S422" s="818"/>
      <c r="T422" s="818"/>
      <c r="U422" s="818"/>
      <c r="V422" s="818"/>
      <c r="W422" s="818"/>
      <c r="X422" s="818"/>
      <c r="Y422" s="818"/>
      <c r="Z422" s="818"/>
    </row>
    <row r="423" spans="1:26" ht="18.75" hidden="1">
      <c r="A423" s="940"/>
      <c r="B423" s="833"/>
      <c r="C423" s="833"/>
      <c r="D423" s="1061"/>
      <c r="E423" s="834" t="s">
        <v>184</v>
      </c>
      <c r="F423" s="833"/>
      <c r="G423" s="941"/>
      <c r="H423" s="165" t="s">
        <v>12</v>
      </c>
      <c r="I423" s="836"/>
      <c r="J423" s="836"/>
      <c r="K423" s="837"/>
      <c r="L423" s="837">
        <v>0</v>
      </c>
      <c r="M423" s="837">
        <v>0</v>
      </c>
      <c r="N423" s="837">
        <v>0</v>
      </c>
      <c r="O423" s="837">
        <f t="shared" si="185"/>
        <v>0</v>
      </c>
      <c r="P423" s="837">
        <f t="shared" si="186"/>
        <v>0</v>
      </c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</row>
    <row r="424" spans="1:26" ht="18.75" hidden="1">
      <c r="A424" s="940"/>
      <c r="B424" s="833"/>
      <c r="C424" s="833"/>
      <c r="D424" s="1061"/>
      <c r="E424" s="834" t="s">
        <v>185</v>
      </c>
      <c r="F424" s="833"/>
      <c r="G424" s="941"/>
      <c r="H424" s="165" t="s">
        <v>12</v>
      </c>
      <c r="I424" s="836"/>
      <c r="J424" s="836"/>
      <c r="K424" s="837"/>
      <c r="L424" s="837">
        <f ca="1">IFERROR(__xludf.DUMMYFUNCTION("IMPORTRANGE(""https://docs.google.com/spreadsheets/d/1QqKyyYR6Q21VydFLVH3TRQUabQu_ym0Zz7PgGX0-kHA/edit?usp=sharing"",""แผน!EY21"")"),78660)</f>
        <v>78660</v>
      </c>
      <c r="M424" s="837">
        <v>0</v>
      </c>
      <c r="N424" s="837">
        <f>N425+N426+N427+N428</f>
        <v>0</v>
      </c>
      <c r="O424" s="837">
        <f t="shared" ca="1" si="185"/>
        <v>0</v>
      </c>
      <c r="P424" s="837">
        <f t="shared" si="186"/>
        <v>0</v>
      </c>
      <c r="Q424" s="825"/>
      <c r="R424" s="825"/>
      <c r="S424" s="825"/>
      <c r="T424" s="825"/>
      <c r="U424" s="825"/>
      <c r="V424" s="825"/>
      <c r="W424" s="825"/>
      <c r="X424" s="825"/>
      <c r="Y424" s="825"/>
      <c r="Z424" s="825"/>
    </row>
    <row r="425" spans="1:26" ht="18.75">
      <c r="A425" s="1241"/>
      <c r="B425" s="1242"/>
      <c r="C425" s="1243"/>
      <c r="D425" s="1243"/>
      <c r="E425" s="1243"/>
      <c r="F425" s="1243" t="s">
        <v>186</v>
      </c>
      <c r="G425" s="963"/>
      <c r="H425" s="778" t="s">
        <v>12</v>
      </c>
      <c r="I425" s="830"/>
      <c r="J425" s="830"/>
      <c r="K425" s="831"/>
      <c r="L425" s="831"/>
      <c r="M425" s="831"/>
      <c r="N425" s="1031">
        <v>0</v>
      </c>
      <c r="O425" s="831"/>
      <c r="P425" s="831"/>
      <c r="Q425" s="1244"/>
      <c r="R425" s="1244"/>
      <c r="S425" s="1244"/>
      <c r="T425" s="1244"/>
      <c r="U425" s="1244"/>
      <c r="V425" s="1244"/>
      <c r="W425" s="1244"/>
      <c r="X425" s="1244"/>
      <c r="Y425" s="1244"/>
      <c r="Z425" s="1244"/>
    </row>
    <row r="426" spans="1:26" ht="18.75">
      <c r="A426" s="1241"/>
      <c r="B426" s="1242"/>
      <c r="C426" s="1243"/>
      <c r="D426" s="1243"/>
      <c r="E426" s="1243"/>
      <c r="F426" s="1243" t="s">
        <v>187</v>
      </c>
      <c r="G426" s="963"/>
      <c r="H426" s="778" t="s">
        <v>12</v>
      </c>
      <c r="I426" s="830"/>
      <c r="J426" s="830"/>
      <c r="K426" s="831"/>
      <c r="L426" s="831"/>
      <c r="M426" s="831"/>
      <c r="N426" s="1031">
        <v>0</v>
      </c>
      <c r="O426" s="831"/>
      <c r="P426" s="831"/>
      <c r="Q426" s="1244"/>
      <c r="R426" s="1244"/>
      <c r="S426" s="1244"/>
      <c r="T426" s="1244"/>
      <c r="U426" s="1244"/>
      <c r="V426" s="1244"/>
      <c r="W426" s="1244"/>
      <c r="X426" s="1244"/>
      <c r="Y426" s="1244"/>
      <c r="Z426" s="1244"/>
    </row>
    <row r="427" spans="1:26" ht="18.75">
      <c r="A427" s="1241"/>
      <c r="B427" s="1242"/>
      <c r="C427" s="1243"/>
      <c r="D427" s="1243"/>
      <c r="E427" s="1243"/>
      <c r="F427" s="1243" t="s">
        <v>188</v>
      </c>
      <c r="G427" s="963"/>
      <c r="H427" s="778" t="s">
        <v>12</v>
      </c>
      <c r="I427" s="830"/>
      <c r="J427" s="830"/>
      <c r="K427" s="831"/>
      <c r="L427" s="831"/>
      <c r="M427" s="831"/>
      <c r="N427" s="1031">
        <v>0</v>
      </c>
      <c r="O427" s="831"/>
      <c r="P427" s="831"/>
      <c r="Q427" s="1244"/>
      <c r="R427" s="1244"/>
      <c r="S427" s="1244"/>
      <c r="T427" s="1244"/>
      <c r="U427" s="1244"/>
      <c r="V427" s="1244"/>
      <c r="W427" s="1244"/>
      <c r="X427" s="1244"/>
      <c r="Y427" s="1244"/>
      <c r="Z427" s="1244"/>
    </row>
    <row r="428" spans="1:26" ht="18.75">
      <c r="A428" s="1032"/>
      <c r="B428" s="1030"/>
      <c r="C428" s="827"/>
      <c r="D428" s="827"/>
      <c r="E428" s="827"/>
      <c r="F428" s="943" t="s">
        <v>189</v>
      </c>
      <c r="G428" s="977"/>
      <c r="H428" s="778" t="s">
        <v>12</v>
      </c>
      <c r="I428" s="830"/>
      <c r="J428" s="830"/>
      <c r="K428" s="831"/>
      <c r="L428" s="831"/>
      <c r="M428" s="831"/>
      <c r="N428" s="1031">
        <v>0</v>
      </c>
      <c r="O428" s="831"/>
      <c r="P428" s="831"/>
      <c r="Q428" s="818"/>
      <c r="R428" s="818"/>
      <c r="S428" s="818"/>
      <c r="T428" s="818"/>
      <c r="U428" s="818"/>
      <c r="V428" s="818"/>
      <c r="W428" s="818"/>
      <c r="X428" s="818"/>
      <c r="Y428" s="818"/>
      <c r="Z428" s="818"/>
    </row>
    <row r="429" spans="1:26" ht="18.75">
      <c r="A429" s="942"/>
      <c r="B429" s="1030"/>
      <c r="C429" s="827"/>
      <c r="D429" s="828" t="s">
        <v>21</v>
      </c>
      <c r="E429" s="827"/>
      <c r="F429" s="827"/>
      <c r="G429" s="829"/>
      <c r="H429" s="168" t="s">
        <v>12</v>
      </c>
      <c r="I429" s="944"/>
      <c r="J429" s="944"/>
      <c r="K429" s="945"/>
      <c r="L429" s="831">
        <f t="shared" ref="L429:N429" ca="1" si="189">L430+L431</f>
        <v>0</v>
      </c>
      <c r="M429" s="831">
        <f t="shared" si="189"/>
        <v>0</v>
      </c>
      <c r="N429" s="831">
        <f t="shared" si="189"/>
        <v>0</v>
      </c>
      <c r="O429" s="831">
        <f t="shared" ref="O429:O431" ca="1" si="190">IF(L429&gt;0,N429*100/L429,0)</f>
        <v>0</v>
      </c>
      <c r="P429" s="831">
        <f t="shared" ref="P429:P431" si="191">IF(M429&gt;0,N429*100/M429,0)</f>
        <v>0</v>
      </c>
      <c r="Q429" s="818"/>
      <c r="R429" s="818"/>
      <c r="S429" s="818"/>
      <c r="T429" s="818"/>
      <c r="U429" s="818"/>
      <c r="V429" s="818"/>
      <c r="W429" s="818"/>
      <c r="X429" s="818"/>
      <c r="Y429" s="818"/>
      <c r="Z429" s="818"/>
    </row>
    <row r="430" spans="1:26" ht="18.75" hidden="1">
      <c r="A430" s="940"/>
      <c r="B430" s="1052"/>
      <c r="C430" s="833"/>
      <c r="D430" s="833"/>
      <c r="E430" s="834" t="s">
        <v>18</v>
      </c>
      <c r="F430" s="833"/>
      <c r="G430" s="835"/>
      <c r="H430" s="165" t="s">
        <v>12</v>
      </c>
      <c r="I430" s="947"/>
      <c r="J430" s="947"/>
      <c r="K430" s="948"/>
      <c r="L430" s="837">
        <v>0</v>
      </c>
      <c r="M430" s="837">
        <v>0</v>
      </c>
      <c r="N430" s="837">
        <v>0</v>
      </c>
      <c r="O430" s="837">
        <f t="shared" si="190"/>
        <v>0</v>
      </c>
      <c r="P430" s="837">
        <f t="shared" si="191"/>
        <v>0</v>
      </c>
      <c r="Q430" s="825"/>
      <c r="R430" s="825"/>
      <c r="S430" s="825"/>
      <c r="T430" s="825"/>
      <c r="U430" s="825"/>
      <c r="V430" s="825"/>
      <c r="W430" s="825"/>
      <c r="X430" s="825"/>
      <c r="Y430" s="825"/>
      <c r="Z430" s="825"/>
    </row>
    <row r="431" spans="1:26" ht="18.75" hidden="1">
      <c r="A431" s="940"/>
      <c r="B431" s="1052"/>
      <c r="C431" s="833"/>
      <c r="D431" s="833"/>
      <c r="E431" s="834" t="s">
        <v>19</v>
      </c>
      <c r="F431" s="833"/>
      <c r="G431" s="835"/>
      <c r="H431" s="169" t="s">
        <v>12</v>
      </c>
      <c r="I431" s="947"/>
      <c r="J431" s="947"/>
      <c r="K431" s="948"/>
      <c r="L431" s="837">
        <f ca="1">IFERROR(__xludf.DUMMYFUNCTION("IMPORTRANGE(""https://docs.google.com/spreadsheets/d/1QqKyyYR6Q21VydFLVH3TRQUabQu_ym0Zz7PgGX0-kHA/edit?usp=sharing"",""แผน!FB21"")"),0)</f>
        <v>0</v>
      </c>
      <c r="M431" s="837">
        <v>0</v>
      </c>
      <c r="N431" s="837">
        <v>0</v>
      </c>
      <c r="O431" s="837">
        <f t="shared" ca="1" si="190"/>
        <v>0</v>
      </c>
      <c r="P431" s="837">
        <f t="shared" si="191"/>
        <v>0</v>
      </c>
      <c r="Q431" s="825"/>
      <c r="R431" s="825"/>
      <c r="S431" s="825"/>
      <c r="T431" s="825"/>
      <c r="U431" s="825"/>
      <c r="V431" s="825"/>
      <c r="W431" s="825"/>
      <c r="X431" s="825"/>
      <c r="Y431" s="825"/>
      <c r="Z431" s="825"/>
    </row>
    <row r="432" spans="1:26" ht="19.5">
      <c r="A432" s="1112"/>
      <c r="B432" s="1113"/>
      <c r="C432" s="933" t="s">
        <v>16</v>
      </c>
      <c r="D432" s="1245" t="s">
        <v>38</v>
      </c>
      <c r="E432" s="1246"/>
      <c r="F432" s="1246"/>
      <c r="G432" s="1247"/>
      <c r="H432" s="1248"/>
      <c r="I432" s="937"/>
      <c r="J432" s="937"/>
      <c r="K432" s="938"/>
      <c r="L432" s="938"/>
      <c r="M432" s="938"/>
      <c r="N432" s="938"/>
      <c r="O432" s="938"/>
      <c r="P432" s="938"/>
      <c r="Q432" s="818"/>
      <c r="R432" s="818"/>
      <c r="S432" s="818"/>
      <c r="T432" s="818"/>
      <c r="U432" s="818"/>
      <c r="V432" s="818"/>
      <c r="W432" s="818"/>
      <c r="X432" s="818"/>
      <c r="Y432" s="818"/>
      <c r="Z432" s="818"/>
    </row>
    <row r="433" spans="1:26" ht="19.5">
      <c r="A433" s="949"/>
      <c r="B433" s="950"/>
      <c r="C433" s="950"/>
      <c r="D433" s="960" t="s">
        <v>190</v>
      </c>
      <c r="E433" s="957"/>
      <c r="F433" s="957"/>
      <c r="G433" s="958"/>
      <c r="H433" s="196" t="s">
        <v>35</v>
      </c>
      <c r="I433" s="966">
        <f ca="1">I435</f>
        <v>20</v>
      </c>
      <c r="J433" s="966">
        <f ca="1">IF(AND(J435=I435,J437=I437,J439=I439),I437+I439,IF(AND(J435=I437,J437=I437),I437,IF(AND(J435=I439,J439=I439),I439,0)))</f>
        <v>20</v>
      </c>
      <c r="K433" s="967">
        <f t="shared" ref="K433:K435" ca="1" si="192">IF(I433&gt;0,J433*100/I433,0)</f>
        <v>100</v>
      </c>
      <c r="L433" s="831"/>
      <c r="M433" s="831"/>
      <c r="N433" s="831"/>
      <c r="O433" s="831"/>
      <c r="P433" s="831"/>
      <c r="Q433" s="818"/>
      <c r="R433" s="818"/>
      <c r="S433" s="818"/>
      <c r="T433" s="818"/>
      <c r="U433" s="818"/>
      <c r="V433" s="818"/>
      <c r="W433" s="818"/>
      <c r="X433" s="818"/>
      <c r="Y433" s="818"/>
      <c r="Z433" s="818"/>
    </row>
    <row r="434" spans="1:26" ht="19.5">
      <c r="A434" s="949"/>
      <c r="B434" s="950"/>
      <c r="C434" s="950"/>
      <c r="D434" s="960" t="s">
        <v>191</v>
      </c>
      <c r="E434" s="957"/>
      <c r="F434" s="957"/>
      <c r="G434" s="958"/>
      <c r="H434" s="196" t="s">
        <v>49</v>
      </c>
      <c r="I434" s="966">
        <f t="shared" ref="I434:J434" ca="1" si="193">I438+I440</f>
        <v>1</v>
      </c>
      <c r="J434" s="966">
        <f t="shared" si="193"/>
        <v>1</v>
      </c>
      <c r="K434" s="967">
        <f t="shared" ca="1" si="192"/>
        <v>100</v>
      </c>
      <c r="L434" s="831"/>
      <c r="M434" s="831"/>
      <c r="N434" s="831"/>
      <c r="O434" s="831"/>
      <c r="P434" s="831"/>
      <c r="Q434" s="818"/>
      <c r="R434" s="818"/>
      <c r="S434" s="818"/>
      <c r="T434" s="818"/>
      <c r="U434" s="818"/>
      <c r="V434" s="818"/>
      <c r="W434" s="818"/>
      <c r="X434" s="818"/>
      <c r="Y434" s="818"/>
      <c r="Z434" s="818"/>
    </row>
    <row r="435" spans="1:26" ht="18.75">
      <c r="A435" s="949"/>
      <c r="B435" s="950"/>
      <c r="C435" s="950"/>
      <c r="D435" s="956" t="s">
        <v>192</v>
      </c>
      <c r="E435" s="957"/>
      <c r="F435" s="957"/>
      <c r="G435" s="958"/>
      <c r="H435" s="590" t="s">
        <v>35</v>
      </c>
      <c r="I435" s="548">
        <f ca="1">IFERROR(__xludf.DUMMYFUNCTION("IMPORTRANGE(""https://docs.google.com/spreadsheets/d/1QqKyyYR6Q21VydFLVH3TRQUabQu_ym0Zz7PgGX0-kHA/edit?usp=sharing"",""แผน!FC21"")"),20)</f>
        <v>20</v>
      </c>
      <c r="J435" s="549">
        <v>20</v>
      </c>
      <c r="K435" s="831">
        <f t="shared" ca="1" si="192"/>
        <v>100</v>
      </c>
      <c r="L435" s="831"/>
      <c r="M435" s="831"/>
      <c r="N435" s="831"/>
      <c r="O435" s="831"/>
      <c r="P435" s="831"/>
      <c r="Q435" s="818"/>
      <c r="R435" s="818"/>
      <c r="S435" s="818"/>
      <c r="T435" s="818"/>
      <c r="U435" s="818"/>
      <c r="V435" s="818"/>
      <c r="W435" s="818"/>
      <c r="X435" s="818"/>
      <c r="Y435" s="818"/>
      <c r="Z435" s="818"/>
    </row>
    <row r="436" spans="1:26" ht="18.75">
      <c r="A436" s="949"/>
      <c r="B436" s="950"/>
      <c r="C436" s="950"/>
      <c r="D436" s="956" t="s">
        <v>193</v>
      </c>
      <c r="E436" s="957"/>
      <c r="F436" s="957"/>
      <c r="G436" s="958"/>
      <c r="H436" s="590"/>
      <c r="I436" s="830"/>
      <c r="J436" s="830"/>
      <c r="K436" s="831"/>
      <c r="L436" s="831"/>
      <c r="M436" s="831"/>
      <c r="N436" s="831"/>
      <c r="O436" s="831"/>
      <c r="P436" s="831"/>
      <c r="Q436" s="818"/>
      <c r="R436" s="818"/>
      <c r="S436" s="818"/>
      <c r="T436" s="818"/>
      <c r="U436" s="818"/>
      <c r="V436" s="818"/>
      <c r="W436" s="818"/>
      <c r="X436" s="818"/>
      <c r="Y436" s="818"/>
      <c r="Z436" s="818"/>
    </row>
    <row r="437" spans="1:26" ht="18.75">
      <c r="A437" s="949"/>
      <c r="B437" s="950"/>
      <c r="C437" s="950"/>
      <c r="D437" s="956" t="s">
        <v>194</v>
      </c>
      <c r="E437" s="957"/>
      <c r="F437" s="957"/>
      <c r="G437" s="958"/>
      <c r="H437" s="590" t="s">
        <v>35</v>
      </c>
      <c r="I437" s="548">
        <f ca="1">IFERROR(__xludf.DUMMYFUNCTION("IMPORTRANGE(""https://docs.google.com/spreadsheets/d/1QqKyyYR6Q21VydFLVH3TRQUabQu_ym0Zz7PgGX0-kHA/edit?usp=sharing"",""แผน!FD21"")"),0)</f>
        <v>0</v>
      </c>
      <c r="J437" s="549">
        <v>0</v>
      </c>
      <c r="K437" s="831">
        <f t="shared" ref="K437:K443" ca="1" si="194">IF(I437&gt;0,J437*100/I437,0)</f>
        <v>0</v>
      </c>
      <c r="L437" s="831"/>
      <c r="M437" s="831"/>
      <c r="N437" s="831"/>
      <c r="O437" s="831"/>
      <c r="P437" s="831"/>
      <c r="Q437" s="818"/>
      <c r="R437" s="818"/>
      <c r="S437" s="818"/>
      <c r="T437" s="818"/>
      <c r="U437" s="818"/>
      <c r="V437" s="818"/>
      <c r="W437" s="818"/>
      <c r="X437" s="818"/>
      <c r="Y437" s="818"/>
      <c r="Z437" s="818"/>
    </row>
    <row r="438" spans="1:26" ht="18.75">
      <c r="A438" s="949"/>
      <c r="B438" s="950"/>
      <c r="C438" s="950"/>
      <c r="D438" s="956" t="s">
        <v>195</v>
      </c>
      <c r="E438" s="957"/>
      <c r="F438" s="957"/>
      <c r="G438" s="958"/>
      <c r="H438" s="590" t="s">
        <v>49</v>
      </c>
      <c r="I438" s="830">
        <f ca="1">IFERROR(__xludf.DUMMYFUNCTION("IMPORTRANGE(""https://docs.google.com/spreadsheets/d/1QqKyyYR6Q21VydFLVH3TRQUabQu_ym0Zz7PgGX0-kHA/edit?usp=sharing"",""แผน!FE21"")"),0)</f>
        <v>0</v>
      </c>
      <c r="J438" s="959">
        <v>0</v>
      </c>
      <c r="K438" s="831">
        <f t="shared" ca="1" si="194"/>
        <v>0</v>
      </c>
      <c r="L438" s="831"/>
      <c r="M438" s="831"/>
      <c r="N438" s="831"/>
      <c r="O438" s="831"/>
      <c r="P438" s="831"/>
      <c r="Q438" s="818"/>
      <c r="R438" s="818"/>
      <c r="S438" s="818"/>
      <c r="T438" s="818"/>
      <c r="U438" s="818"/>
      <c r="V438" s="818"/>
      <c r="W438" s="818"/>
      <c r="X438" s="818"/>
      <c r="Y438" s="818"/>
      <c r="Z438" s="818"/>
    </row>
    <row r="439" spans="1:26" ht="18.75">
      <c r="A439" s="949"/>
      <c r="B439" s="950"/>
      <c r="C439" s="950"/>
      <c r="D439" s="956" t="s">
        <v>196</v>
      </c>
      <c r="E439" s="957"/>
      <c r="F439" s="957"/>
      <c r="G439" s="958"/>
      <c r="H439" s="590" t="s">
        <v>35</v>
      </c>
      <c r="I439" s="548">
        <f ca="1">IFERROR(__xludf.DUMMYFUNCTION("IMPORTRANGE(""https://docs.google.com/spreadsheets/d/1QqKyyYR6Q21VydFLVH3TRQUabQu_ym0Zz7PgGX0-kHA/edit?usp=sharing"",""แผน!FF21"")"),20)</f>
        <v>20</v>
      </c>
      <c r="J439" s="549">
        <v>20</v>
      </c>
      <c r="K439" s="831">
        <f t="shared" ca="1" si="194"/>
        <v>100</v>
      </c>
      <c r="L439" s="831"/>
      <c r="M439" s="831"/>
      <c r="N439" s="831"/>
      <c r="O439" s="831"/>
      <c r="P439" s="831"/>
      <c r="Q439" s="818"/>
      <c r="R439" s="818"/>
      <c r="S439" s="818"/>
      <c r="T439" s="818"/>
      <c r="U439" s="818"/>
      <c r="V439" s="818"/>
      <c r="W439" s="818"/>
      <c r="X439" s="818"/>
      <c r="Y439" s="818"/>
      <c r="Z439" s="818"/>
    </row>
    <row r="440" spans="1:26" ht="18.75">
      <c r="A440" s="949"/>
      <c r="B440" s="950"/>
      <c r="C440" s="950"/>
      <c r="D440" s="956" t="s">
        <v>197</v>
      </c>
      <c r="E440" s="957"/>
      <c r="F440" s="957"/>
      <c r="G440" s="958"/>
      <c r="H440" s="590" t="s">
        <v>49</v>
      </c>
      <c r="I440" s="830">
        <f ca="1">IFERROR(__xludf.DUMMYFUNCTION("IMPORTRANGE(""https://docs.google.com/spreadsheets/d/1QqKyyYR6Q21VydFLVH3TRQUabQu_ym0Zz7PgGX0-kHA/edit?usp=sharing"",""แผน!FG21"")"),1)</f>
        <v>1</v>
      </c>
      <c r="J440" s="959">
        <v>1</v>
      </c>
      <c r="K440" s="831">
        <f t="shared" ca="1" si="194"/>
        <v>100</v>
      </c>
      <c r="L440" s="831"/>
      <c r="M440" s="831"/>
      <c r="N440" s="831"/>
      <c r="O440" s="831"/>
      <c r="P440" s="831"/>
      <c r="Q440" s="818"/>
      <c r="R440" s="818"/>
      <c r="S440" s="818"/>
      <c r="T440" s="818"/>
      <c r="U440" s="818"/>
      <c r="V440" s="818"/>
      <c r="W440" s="818"/>
      <c r="X440" s="818"/>
      <c r="Y440" s="818"/>
      <c r="Z440" s="818"/>
    </row>
    <row r="441" spans="1:26" ht="18.75" hidden="1">
      <c r="A441" s="949"/>
      <c r="B441" s="950"/>
      <c r="C441" s="950"/>
      <c r="D441" s="956" t="s">
        <v>198</v>
      </c>
      <c r="E441" s="957"/>
      <c r="F441" s="957"/>
      <c r="G441" s="958"/>
      <c r="H441" s="590" t="s">
        <v>35</v>
      </c>
      <c r="I441" s="830">
        <f ca="1">IFERROR(__xludf.DUMMYFUNCTION("IMPORTRANGE(""https://docs.google.com/spreadsheets/d/1QqKyyYR6Q21VydFLVH3TRQUabQu_ym0Zz7PgGX0-kHA/edit?usp=sharing"",""แผน!FH21"")"),0)</f>
        <v>0</v>
      </c>
      <c r="J441" s="830">
        <v>0</v>
      </c>
      <c r="K441" s="831">
        <f t="shared" ca="1" si="194"/>
        <v>0</v>
      </c>
      <c r="L441" s="831"/>
      <c r="M441" s="831"/>
      <c r="N441" s="831"/>
      <c r="O441" s="831"/>
      <c r="P441" s="831"/>
      <c r="Q441" s="818"/>
      <c r="R441" s="818"/>
      <c r="S441" s="818"/>
      <c r="T441" s="818"/>
      <c r="U441" s="818"/>
      <c r="V441" s="818"/>
      <c r="W441" s="818"/>
      <c r="X441" s="818"/>
      <c r="Y441" s="818"/>
      <c r="Z441" s="818"/>
    </row>
    <row r="442" spans="1:26" ht="19.5">
      <c r="A442" s="550">
        <v>2</v>
      </c>
      <c r="B442" s="1249" t="s">
        <v>199</v>
      </c>
      <c r="C442" s="1250"/>
      <c r="D442" s="1250"/>
      <c r="E442" s="1250"/>
      <c r="F442" s="1250"/>
      <c r="G442" s="1251"/>
      <c r="H442" s="554" t="s">
        <v>35</v>
      </c>
      <c r="I442" s="1252">
        <f t="shared" ref="I442:J442" ca="1" si="195">I460</f>
        <v>55</v>
      </c>
      <c r="J442" s="1252">
        <f t="shared" si="195"/>
        <v>0</v>
      </c>
      <c r="K442" s="1253">
        <f t="shared" ca="1" si="194"/>
        <v>0</v>
      </c>
      <c r="L442" s="1254"/>
      <c r="M442" s="1254"/>
      <c r="N442" s="1254"/>
      <c r="O442" s="1254"/>
      <c r="P442" s="1254"/>
      <c r="Q442" s="1244"/>
      <c r="R442" s="1244"/>
      <c r="S442" s="1244"/>
      <c r="T442" s="1244"/>
      <c r="U442" s="1244"/>
      <c r="V442" s="1244"/>
      <c r="W442" s="1244"/>
      <c r="X442" s="1244"/>
      <c r="Y442" s="1244"/>
      <c r="Z442" s="1244"/>
    </row>
    <row r="443" spans="1:26" ht="19.5">
      <c r="A443" s="1255"/>
      <c r="B443" s="1256"/>
      <c r="C443" s="1257"/>
      <c r="D443" s="1257"/>
      <c r="E443" s="1257"/>
      <c r="F443" s="1257"/>
      <c r="G443" s="1258"/>
      <c r="H443" s="532" t="s">
        <v>46</v>
      </c>
      <c r="I443" s="1237">
        <f t="shared" ref="I443:J443" ca="1" si="196">I462</f>
        <v>110</v>
      </c>
      <c r="J443" s="1237">
        <f t="shared" si="196"/>
        <v>0</v>
      </c>
      <c r="K443" s="1238">
        <f t="shared" ca="1" si="194"/>
        <v>0</v>
      </c>
      <c r="L443" s="1239"/>
      <c r="M443" s="1239"/>
      <c r="N443" s="1239"/>
      <c r="O443" s="1239"/>
      <c r="P443" s="1239"/>
      <c r="Q443" s="1244"/>
      <c r="R443" s="1244"/>
      <c r="S443" s="1244"/>
      <c r="T443" s="1244"/>
      <c r="U443" s="1244"/>
      <c r="V443" s="1244"/>
      <c r="W443" s="1244"/>
      <c r="X443" s="1244"/>
      <c r="Y443" s="1244"/>
      <c r="Z443" s="1244"/>
    </row>
    <row r="444" spans="1:26" ht="19.5">
      <c r="A444" s="1259"/>
      <c r="B444" s="1243"/>
      <c r="C444" s="1243" t="s">
        <v>16</v>
      </c>
      <c r="D444" s="1507" t="s">
        <v>17</v>
      </c>
      <c r="E444" s="1485"/>
      <c r="F444" s="1485"/>
      <c r="G444" s="963"/>
      <c r="H444" s="563" t="s">
        <v>12</v>
      </c>
      <c r="I444" s="830"/>
      <c r="J444" s="830"/>
      <c r="K444" s="831"/>
      <c r="L444" s="967">
        <f t="shared" ref="L444:N444" ca="1" si="197">L445+L446</f>
        <v>382500</v>
      </c>
      <c r="M444" s="967">
        <f t="shared" si="197"/>
        <v>0</v>
      </c>
      <c r="N444" s="967">
        <f t="shared" si="197"/>
        <v>38100.019999999997</v>
      </c>
      <c r="O444" s="967">
        <f t="shared" ref="O444:O449" ca="1" si="198">IF(L444&gt;0,N444*100/L444,0)</f>
        <v>9.9607895424836581</v>
      </c>
      <c r="P444" s="967">
        <f t="shared" ref="P444:P449" si="199">IF(M444&gt;0,N444*100/M444,0)</f>
        <v>0</v>
      </c>
      <c r="Q444" s="1244"/>
      <c r="R444" s="1244"/>
      <c r="S444" s="1244"/>
      <c r="T444" s="1244"/>
      <c r="U444" s="1244"/>
      <c r="V444" s="1244"/>
      <c r="W444" s="1244"/>
      <c r="X444" s="1244"/>
      <c r="Y444" s="1244"/>
      <c r="Z444" s="1244"/>
    </row>
    <row r="445" spans="1:26" ht="18.75" hidden="1">
      <c r="A445" s="1260"/>
      <c r="B445" s="1261"/>
      <c r="C445" s="1261"/>
      <c r="D445" s="1262"/>
      <c r="E445" s="1261" t="s">
        <v>184</v>
      </c>
      <c r="F445" s="1261"/>
      <c r="G445" s="1263"/>
      <c r="H445" s="165" t="s">
        <v>12</v>
      </c>
      <c r="I445" s="836"/>
      <c r="J445" s="836"/>
      <c r="K445" s="837"/>
      <c r="L445" s="837">
        <f t="shared" ref="L445:N446" si="200">L448+L455</f>
        <v>0</v>
      </c>
      <c r="M445" s="837">
        <f t="shared" si="200"/>
        <v>0</v>
      </c>
      <c r="N445" s="837">
        <f t="shared" si="200"/>
        <v>0</v>
      </c>
      <c r="O445" s="837">
        <f t="shared" si="198"/>
        <v>0</v>
      </c>
      <c r="P445" s="837">
        <f t="shared" si="199"/>
        <v>0</v>
      </c>
      <c r="Q445" s="1264"/>
      <c r="R445" s="1264"/>
      <c r="S445" s="1264"/>
      <c r="T445" s="1264"/>
      <c r="U445" s="1264"/>
      <c r="V445" s="1264"/>
      <c r="W445" s="1264"/>
      <c r="X445" s="1264"/>
      <c r="Y445" s="1264"/>
      <c r="Z445" s="1264"/>
    </row>
    <row r="446" spans="1:26" ht="18.75" hidden="1">
      <c r="A446" s="1260"/>
      <c r="B446" s="1265"/>
      <c r="C446" s="1261"/>
      <c r="D446" s="1262"/>
      <c r="E446" s="1261" t="s">
        <v>185</v>
      </c>
      <c r="F446" s="1261"/>
      <c r="G446" s="1263"/>
      <c r="H446" s="165" t="s">
        <v>12</v>
      </c>
      <c r="I446" s="836"/>
      <c r="J446" s="836"/>
      <c r="K446" s="837"/>
      <c r="L446" s="837">
        <f t="shared" ca="1" si="200"/>
        <v>382500</v>
      </c>
      <c r="M446" s="837">
        <f t="shared" si="200"/>
        <v>0</v>
      </c>
      <c r="N446" s="837">
        <f t="shared" si="200"/>
        <v>38100.019999999997</v>
      </c>
      <c r="O446" s="837">
        <f t="shared" ca="1" si="198"/>
        <v>9.9607895424836581</v>
      </c>
      <c r="P446" s="837">
        <f t="shared" si="199"/>
        <v>0</v>
      </c>
      <c r="Q446" s="1264"/>
      <c r="R446" s="1264"/>
      <c r="S446" s="1264"/>
      <c r="T446" s="1264"/>
      <c r="U446" s="1264"/>
      <c r="V446" s="1264"/>
      <c r="W446" s="1264"/>
      <c r="X446" s="1264"/>
      <c r="Y446" s="1264"/>
      <c r="Z446" s="1264"/>
    </row>
    <row r="447" spans="1:26" ht="18.75">
      <c r="A447" s="1259"/>
      <c r="B447" s="1242"/>
      <c r="C447" s="1243"/>
      <c r="D447" s="1266" t="s">
        <v>20</v>
      </c>
      <c r="E447" s="1243"/>
      <c r="F447" s="1243"/>
      <c r="G447" s="963"/>
      <c r="H447" s="778" t="s">
        <v>12</v>
      </c>
      <c r="I447" s="944"/>
      <c r="J447" s="944"/>
      <c r="K447" s="945"/>
      <c r="L447" s="831">
        <f t="shared" ref="L447:N447" ca="1" si="201">L448+L449</f>
        <v>382500</v>
      </c>
      <c r="M447" s="831">
        <f t="shared" si="201"/>
        <v>0</v>
      </c>
      <c r="N447" s="831">
        <f t="shared" si="201"/>
        <v>38100.019999999997</v>
      </c>
      <c r="O447" s="831">
        <f t="shared" ca="1" si="198"/>
        <v>9.9607895424836581</v>
      </c>
      <c r="P447" s="831">
        <f t="shared" si="199"/>
        <v>0</v>
      </c>
      <c r="Q447" s="1244"/>
      <c r="R447" s="1244"/>
      <c r="S447" s="1244"/>
      <c r="T447" s="1244"/>
      <c r="U447" s="1244"/>
      <c r="V447" s="1244"/>
      <c r="W447" s="1244"/>
      <c r="X447" s="1244"/>
      <c r="Y447" s="1244"/>
      <c r="Z447" s="1244"/>
    </row>
    <row r="448" spans="1:26" ht="18.75" hidden="1">
      <c r="A448" s="1260"/>
      <c r="B448" s="1265"/>
      <c r="C448" s="1261"/>
      <c r="D448" s="1262"/>
      <c r="E448" s="1261" t="s">
        <v>184</v>
      </c>
      <c r="F448" s="1261"/>
      <c r="G448" s="1263"/>
      <c r="H448" s="165" t="s">
        <v>12</v>
      </c>
      <c r="I448" s="836"/>
      <c r="J448" s="836"/>
      <c r="K448" s="837"/>
      <c r="L448" s="837">
        <v>0</v>
      </c>
      <c r="M448" s="837">
        <v>0</v>
      </c>
      <c r="N448" s="837">
        <v>0</v>
      </c>
      <c r="O448" s="837">
        <f t="shared" si="198"/>
        <v>0</v>
      </c>
      <c r="P448" s="837">
        <f t="shared" si="199"/>
        <v>0</v>
      </c>
      <c r="Q448" s="1264"/>
      <c r="R448" s="1264"/>
      <c r="S448" s="1264"/>
      <c r="T448" s="1264"/>
      <c r="U448" s="1264"/>
      <c r="V448" s="1264"/>
      <c r="W448" s="1264"/>
      <c r="X448" s="1264"/>
      <c r="Y448" s="1264"/>
      <c r="Z448" s="1264"/>
    </row>
    <row r="449" spans="1:26" ht="18.75" hidden="1">
      <c r="A449" s="1260"/>
      <c r="B449" s="1265"/>
      <c r="C449" s="1261"/>
      <c r="D449" s="1262"/>
      <c r="E449" s="1261" t="s">
        <v>185</v>
      </c>
      <c r="F449" s="1261"/>
      <c r="G449" s="1263"/>
      <c r="H449" s="165" t="s">
        <v>12</v>
      </c>
      <c r="I449" s="836"/>
      <c r="J449" s="836"/>
      <c r="K449" s="837"/>
      <c r="L449" s="837">
        <f ca="1">IFERROR(__xludf.DUMMYFUNCTION("IMPORTRANGE(""https://docs.google.com/spreadsheets/d/1QqKyyYR6Q21VydFLVH3TRQUabQu_ym0Zz7PgGX0-kHA/edit?usp=sharing"",""แผน!FJ21"")"),382500)</f>
        <v>382500</v>
      </c>
      <c r="M449" s="837">
        <v>0</v>
      </c>
      <c r="N449" s="837">
        <f>N450+N451+N452+N453</f>
        <v>38100.019999999997</v>
      </c>
      <c r="O449" s="837">
        <f t="shared" ca="1" si="198"/>
        <v>9.9607895424836581</v>
      </c>
      <c r="P449" s="837">
        <f t="shared" si="199"/>
        <v>0</v>
      </c>
      <c r="Q449" s="1264"/>
      <c r="R449" s="1264"/>
      <c r="S449" s="1264"/>
      <c r="T449" s="1264"/>
      <c r="U449" s="1264"/>
      <c r="V449" s="1264"/>
      <c r="W449" s="1264"/>
      <c r="X449" s="1264"/>
      <c r="Y449" s="1264"/>
      <c r="Z449" s="1264"/>
    </row>
    <row r="450" spans="1:26" ht="18.75">
      <c r="A450" s="1241"/>
      <c r="B450" s="1242"/>
      <c r="C450" s="1243"/>
      <c r="D450" s="1243"/>
      <c r="E450" s="1243"/>
      <c r="F450" s="1243" t="s">
        <v>186</v>
      </c>
      <c r="G450" s="963"/>
      <c r="H450" s="778" t="s">
        <v>12</v>
      </c>
      <c r="I450" s="830"/>
      <c r="J450" s="830"/>
      <c r="K450" s="831"/>
      <c r="L450" s="831"/>
      <c r="M450" s="831"/>
      <c r="N450" s="1031">
        <v>0</v>
      </c>
      <c r="O450" s="831"/>
      <c r="P450" s="831"/>
      <c r="Q450" s="1244"/>
      <c r="R450" s="1244"/>
      <c r="S450" s="1244"/>
      <c r="T450" s="1244"/>
      <c r="U450" s="1244"/>
      <c r="V450" s="1244"/>
      <c r="W450" s="1244"/>
      <c r="X450" s="1244"/>
      <c r="Y450" s="1244"/>
      <c r="Z450" s="1244"/>
    </row>
    <row r="451" spans="1:26" ht="18.75">
      <c r="A451" s="1241"/>
      <c r="B451" s="1242"/>
      <c r="C451" s="1243"/>
      <c r="D451" s="1243"/>
      <c r="E451" s="1243"/>
      <c r="F451" s="1243" t="s">
        <v>187</v>
      </c>
      <c r="G451" s="963"/>
      <c r="H451" s="778" t="s">
        <v>12</v>
      </c>
      <c r="I451" s="830"/>
      <c r="J451" s="830"/>
      <c r="K451" s="831"/>
      <c r="L451" s="831"/>
      <c r="M451" s="831"/>
      <c r="N451" s="1031">
        <v>0</v>
      </c>
      <c r="O451" s="831"/>
      <c r="P451" s="831"/>
      <c r="Q451" s="1244"/>
      <c r="R451" s="1244"/>
      <c r="S451" s="1244"/>
      <c r="T451" s="1244"/>
      <c r="U451" s="1244"/>
      <c r="V451" s="1244"/>
      <c r="W451" s="1244"/>
      <c r="X451" s="1244"/>
      <c r="Y451" s="1244"/>
      <c r="Z451" s="1244"/>
    </row>
    <row r="452" spans="1:26" ht="18.75">
      <c r="A452" s="1241"/>
      <c r="B452" s="1242"/>
      <c r="C452" s="1242"/>
      <c r="D452" s="1242"/>
      <c r="E452" s="1242"/>
      <c r="F452" s="1243" t="s">
        <v>188</v>
      </c>
      <c r="G452" s="963"/>
      <c r="H452" s="778" t="s">
        <v>12</v>
      </c>
      <c r="I452" s="830"/>
      <c r="J452" s="830"/>
      <c r="K452" s="831"/>
      <c r="L452" s="831"/>
      <c r="M452" s="831"/>
      <c r="N452" s="1031">
        <v>38100.019999999997</v>
      </c>
      <c r="O452" s="831"/>
      <c r="P452" s="831"/>
      <c r="Q452" s="1244"/>
      <c r="R452" s="1244"/>
      <c r="S452" s="1244"/>
      <c r="T452" s="1244"/>
      <c r="U452" s="1244"/>
      <c r="V452" s="1244"/>
      <c r="W452" s="1244"/>
      <c r="X452" s="1244"/>
      <c r="Y452" s="1244"/>
      <c r="Z452" s="1244"/>
    </row>
    <row r="453" spans="1:26" ht="18.75">
      <c r="A453" s="1241"/>
      <c r="B453" s="1242"/>
      <c r="C453" s="1242"/>
      <c r="D453" s="1242"/>
      <c r="E453" s="1242"/>
      <c r="F453" s="1243" t="s">
        <v>189</v>
      </c>
      <c r="G453" s="963"/>
      <c r="H453" s="778" t="s">
        <v>12</v>
      </c>
      <c r="I453" s="830"/>
      <c r="J453" s="830"/>
      <c r="K453" s="831"/>
      <c r="L453" s="831"/>
      <c r="M453" s="831"/>
      <c r="N453" s="1031">
        <v>0</v>
      </c>
      <c r="O453" s="831"/>
      <c r="P453" s="831"/>
      <c r="Q453" s="1244"/>
      <c r="R453" s="1244"/>
      <c r="S453" s="1244"/>
      <c r="T453" s="1244"/>
      <c r="U453" s="1244"/>
      <c r="V453" s="1244"/>
      <c r="W453" s="1244"/>
      <c r="X453" s="1244"/>
      <c r="Y453" s="1244"/>
      <c r="Z453" s="1244"/>
    </row>
    <row r="454" spans="1:26" ht="18.75">
      <c r="A454" s="1259"/>
      <c r="B454" s="1242"/>
      <c r="C454" s="1242"/>
      <c r="D454" s="1266" t="s">
        <v>21</v>
      </c>
      <c r="E454" s="1242"/>
      <c r="F454" s="1243"/>
      <c r="G454" s="963"/>
      <c r="H454" s="168" t="s">
        <v>12</v>
      </c>
      <c r="I454" s="944"/>
      <c r="J454" s="944"/>
      <c r="K454" s="945"/>
      <c r="L454" s="831">
        <f t="shared" ref="L454:N454" ca="1" si="202">L455+L456</f>
        <v>0</v>
      </c>
      <c r="M454" s="831">
        <f t="shared" si="202"/>
        <v>0</v>
      </c>
      <c r="N454" s="831">
        <f t="shared" si="202"/>
        <v>0</v>
      </c>
      <c r="O454" s="831">
        <f t="shared" ref="O454:O456" ca="1" si="203">IF(L454&gt;0,N454*100/L454,0)</f>
        <v>0</v>
      </c>
      <c r="P454" s="831">
        <f t="shared" ref="P454:P456" si="204">IF(M454&gt;0,N454*100/M454,0)</f>
        <v>0</v>
      </c>
      <c r="Q454" s="1244"/>
      <c r="R454" s="1244"/>
      <c r="S454" s="1244"/>
      <c r="T454" s="1244"/>
      <c r="U454" s="1244"/>
      <c r="V454" s="1244"/>
      <c r="W454" s="1244"/>
      <c r="X454" s="1244"/>
      <c r="Y454" s="1244"/>
      <c r="Z454" s="1244"/>
    </row>
    <row r="455" spans="1:26" ht="18.75" hidden="1">
      <c r="A455" s="1260"/>
      <c r="B455" s="1265"/>
      <c r="C455" s="1265"/>
      <c r="D455" s="1265"/>
      <c r="E455" s="1265" t="s">
        <v>18</v>
      </c>
      <c r="F455" s="1261"/>
      <c r="G455" s="1263"/>
      <c r="H455" s="165" t="s">
        <v>12</v>
      </c>
      <c r="I455" s="947"/>
      <c r="J455" s="947"/>
      <c r="K455" s="948"/>
      <c r="L455" s="837">
        <v>0</v>
      </c>
      <c r="M455" s="837">
        <v>0</v>
      </c>
      <c r="N455" s="837">
        <v>0</v>
      </c>
      <c r="O455" s="837">
        <f t="shared" si="203"/>
        <v>0</v>
      </c>
      <c r="P455" s="837">
        <f t="shared" si="204"/>
        <v>0</v>
      </c>
      <c r="Q455" s="1264"/>
      <c r="R455" s="1264"/>
      <c r="S455" s="1264"/>
      <c r="T455" s="1264"/>
      <c r="U455" s="1264"/>
      <c r="V455" s="1264"/>
      <c r="W455" s="1264"/>
      <c r="X455" s="1264"/>
      <c r="Y455" s="1264"/>
      <c r="Z455" s="1264"/>
    </row>
    <row r="456" spans="1:26" ht="18.75" hidden="1">
      <c r="A456" s="1260"/>
      <c r="B456" s="1265"/>
      <c r="C456" s="1265"/>
      <c r="D456" s="1265"/>
      <c r="E456" s="1265" t="s">
        <v>19</v>
      </c>
      <c r="F456" s="1261"/>
      <c r="G456" s="1263"/>
      <c r="H456" s="169" t="s">
        <v>12</v>
      </c>
      <c r="I456" s="947"/>
      <c r="J456" s="947"/>
      <c r="K456" s="948"/>
      <c r="L456" s="837">
        <f ca="1">IFERROR(__xludf.DUMMYFUNCTION("IMPORTRANGE(""https://docs.google.com/spreadsheets/d/1QqKyyYR6Q21VydFLVH3TRQUabQu_ym0Zz7PgGX0-kHA/edit?usp=sharing"",""แผน!FM21"")"),0)</f>
        <v>0</v>
      </c>
      <c r="M456" s="837">
        <v>0</v>
      </c>
      <c r="N456" s="837">
        <v>0</v>
      </c>
      <c r="O456" s="837">
        <f t="shared" ca="1" si="203"/>
        <v>0</v>
      </c>
      <c r="P456" s="837">
        <f t="shared" si="204"/>
        <v>0</v>
      </c>
      <c r="Q456" s="1264"/>
      <c r="R456" s="1264"/>
      <c r="S456" s="1264"/>
      <c r="T456" s="1264"/>
      <c r="U456" s="1264"/>
      <c r="V456" s="1264"/>
      <c r="W456" s="1264"/>
      <c r="X456" s="1264"/>
      <c r="Y456" s="1264"/>
      <c r="Z456" s="1264"/>
    </row>
    <row r="457" spans="1:26" ht="19.5">
      <c r="A457" s="1267"/>
      <c r="B457" s="1268"/>
      <c r="C457" s="1242" t="s">
        <v>16</v>
      </c>
      <c r="D457" s="1269" t="s">
        <v>38</v>
      </c>
      <c r="E457" s="1270"/>
      <c r="F457" s="1271"/>
      <c r="G457" s="1272"/>
      <c r="H457" s="954"/>
      <c r="I457" s="830"/>
      <c r="J457" s="830"/>
      <c r="K457" s="831"/>
      <c r="L457" s="831"/>
      <c r="M457" s="831"/>
      <c r="N457" s="831"/>
      <c r="O457" s="831"/>
      <c r="P457" s="831"/>
      <c r="Q457" s="1244"/>
      <c r="R457" s="1244"/>
      <c r="S457" s="1244"/>
      <c r="T457" s="1244"/>
      <c r="U457" s="1244"/>
      <c r="V457" s="1244"/>
      <c r="W457" s="1244"/>
      <c r="X457" s="1244"/>
      <c r="Y457" s="1244"/>
      <c r="Z457" s="1244"/>
    </row>
    <row r="458" spans="1:26" ht="18.75" hidden="1">
      <c r="A458" s="1273"/>
      <c r="B458" s="1274"/>
      <c r="C458" s="1274"/>
      <c r="D458" s="1274" t="s">
        <v>200</v>
      </c>
      <c r="E458" s="1274"/>
      <c r="F458" s="1262"/>
      <c r="G458" s="1060"/>
      <c r="H458" s="583" t="s">
        <v>35</v>
      </c>
      <c r="I458" s="836">
        <v>0</v>
      </c>
      <c r="J458" s="836">
        <v>0</v>
      </c>
      <c r="K458" s="837">
        <f>IF(I458&gt;0,J458*100/I458,0)</f>
        <v>0</v>
      </c>
      <c r="L458" s="837"/>
      <c r="M458" s="837"/>
      <c r="N458" s="837"/>
      <c r="O458" s="837"/>
      <c r="P458" s="837"/>
      <c r="Q458" s="1264"/>
      <c r="R458" s="1264"/>
      <c r="S458" s="1264"/>
      <c r="T458" s="1264"/>
      <c r="U458" s="1264"/>
      <c r="V458" s="1264"/>
      <c r="W458" s="1264"/>
      <c r="X458" s="1264"/>
      <c r="Y458" s="1264"/>
      <c r="Z458" s="1264"/>
    </row>
    <row r="459" spans="1:26" ht="18.75" hidden="1">
      <c r="A459" s="1273"/>
      <c r="B459" s="1274"/>
      <c r="C459" s="1274"/>
      <c r="D459" s="1274" t="s">
        <v>201</v>
      </c>
      <c r="E459" s="1274"/>
      <c r="F459" s="1262"/>
      <c r="G459" s="1060"/>
      <c r="H459" s="583"/>
      <c r="I459" s="836"/>
      <c r="J459" s="836"/>
      <c r="K459" s="837"/>
      <c r="L459" s="837"/>
      <c r="M459" s="837"/>
      <c r="N459" s="837"/>
      <c r="O459" s="837"/>
      <c r="P459" s="837"/>
      <c r="Q459" s="1264"/>
      <c r="R459" s="1264"/>
      <c r="S459" s="1264"/>
      <c r="T459" s="1264"/>
      <c r="U459" s="1264"/>
      <c r="V459" s="1264"/>
      <c r="W459" s="1264"/>
      <c r="X459" s="1264"/>
      <c r="Y459" s="1264"/>
      <c r="Z459" s="1264"/>
    </row>
    <row r="460" spans="1:26" ht="18.75">
      <c r="A460" s="1267"/>
      <c r="B460" s="1268"/>
      <c r="C460" s="1268"/>
      <c r="D460" s="1268" t="s">
        <v>202</v>
      </c>
      <c r="E460" s="1268"/>
      <c r="F460" s="961"/>
      <c r="G460" s="954"/>
      <c r="H460" s="730" t="s">
        <v>35</v>
      </c>
      <c r="I460" s="830">
        <f ca="1">IFERROR(__xludf.DUMMYFUNCTION("IMPORTRANGE(""https://docs.google.com/spreadsheets/d/1QqKyyYR6Q21VydFLVH3TRQUabQu_ym0Zz7PgGX0-kHA/edit?usp=sharing"",""แผน!FN21"")"),55)</f>
        <v>55</v>
      </c>
      <c r="J460" s="959">
        <v>0</v>
      </c>
      <c r="K460" s="831">
        <f ca="1">IF(I460&gt;0,J460*100/I460,0)</f>
        <v>0</v>
      </c>
      <c r="L460" s="831"/>
      <c r="M460" s="831"/>
      <c r="N460" s="831"/>
      <c r="O460" s="831"/>
      <c r="P460" s="831"/>
      <c r="Q460" s="1244"/>
      <c r="R460" s="1244"/>
      <c r="S460" s="1244"/>
      <c r="T460" s="1244"/>
      <c r="U460" s="1244"/>
      <c r="V460" s="1244"/>
      <c r="W460" s="1244"/>
      <c r="X460" s="1244"/>
      <c r="Y460" s="1244"/>
      <c r="Z460" s="1244"/>
    </row>
    <row r="461" spans="1:26" ht="18.75">
      <c r="A461" s="1267"/>
      <c r="B461" s="1268"/>
      <c r="C461" s="1268"/>
      <c r="D461" s="1268" t="s">
        <v>203</v>
      </c>
      <c r="E461" s="961"/>
      <c r="F461" s="961"/>
      <c r="G461" s="954"/>
      <c r="H461" s="730"/>
      <c r="I461" s="830"/>
      <c r="J461" s="830"/>
      <c r="K461" s="831"/>
      <c r="L461" s="831"/>
      <c r="M461" s="831"/>
      <c r="N461" s="831"/>
      <c r="O461" s="831"/>
      <c r="P461" s="831"/>
      <c r="Q461" s="1244"/>
      <c r="R461" s="1244"/>
      <c r="S461" s="1244"/>
      <c r="T461" s="1244"/>
      <c r="U461" s="1244"/>
      <c r="V461" s="1244"/>
      <c r="W461" s="1244"/>
      <c r="X461" s="1244"/>
      <c r="Y461" s="1244"/>
      <c r="Z461" s="1244"/>
    </row>
    <row r="462" spans="1:26" ht="18.75">
      <c r="A462" s="1267"/>
      <c r="B462" s="1268"/>
      <c r="C462" s="1268"/>
      <c r="D462" s="1268" t="s">
        <v>204</v>
      </c>
      <c r="E462" s="961"/>
      <c r="F462" s="961"/>
      <c r="G462" s="954"/>
      <c r="H462" s="730" t="s">
        <v>46</v>
      </c>
      <c r="I462" s="830">
        <f ca="1">IFERROR(__xludf.DUMMYFUNCTION("IMPORTRANGE(""https://docs.google.com/spreadsheets/d/1QqKyyYR6Q21VydFLVH3TRQUabQu_ym0Zz7PgGX0-kHA/edit?usp=sharing"",""แผน!FO21"")"),110)</f>
        <v>110</v>
      </c>
      <c r="J462" s="959">
        <v>0</v>
      </c>
      <c r="K462" s="831">
        <f ca="1">IF(I462&gt;0,J462*100/I462,0)</f>
        <v>0</v>
      </c>
      <c r="L462" s="831"/>
      <c r="M462" s="831"/>
      <c r="N462" s="831"/>
      <c r="O462" s="831"/>
      <c r="P462" s="831"/>
      <c r="Q462" s="1244"/>
      <c r="R462" s="1244"/>
      <c r="S462" s="1244"/>
      <c r="T462" s="1244"/>
      <c r="U462" s="1244"/>
      <c r="V462" s="1244"/>
      <c r="W462" s="1244"/>
      <c r="X462" s="1244"/>
      <c r="Y462" s="1244"/>
      <c r="Z462" s="1244"/>
    </row>
    <row r="463" spans="1:26" ht="18.75">
      <c r="A463" s="1267"/>
      <c r="B463" s="1268"/>
      <c r="C463" s="1268"/>
      <c r="D463" s="1268" t="s">
        <v>59</v>
      </c>
      <c r="E463" s="961"/>
      <c r="F463" s="1243"/>
      <c r="G463" s="963"/>
      <c r="H463" s="730" t="s">
        <v>46</v>
      </c>
      <c r="I463" s="830">
        <f ca="1">IFERROR(__xludf.DUMMYFUNCTION("IMPORTRANGE(""https://docs.google.com/spreadsheets/d/1QqKyyYR6Q21VydFLVH3TRQUabQu_ym0Zz7PgGX0-kHA/edit?usp=sharing"",""แผน!FO21"")"),110)</f>
        <v>110</v>
      </c>
      <c r="J463" s="959">
        <v>0</v>
      </c>
      <c r="K463" s="831"/>
      <c r="L463" s="831"/>
      <c r="M463" s="831"/>
      <c r="N463" s="831"/>
      <c r="O463" s="831"/>
      <c r="P463" s="831"/>
      <c r="Q463" s="1244"/>
      <c r="R463" s="1244"/>
      <c r="S463" s="1244"/>
      <c r="T463" s="1244"/>
      <c r="U463" s="1244"/>
      <c r="V463" s="1244"/>
      <c r="W463" s="1244"/>
      <c r="X463" s="1244"/>
      <c r="Y463" s="1244"/>
      <c r="Z463" s="1244"/>
    </row>
    <row r="464" spans="1:26" ht="19.5">
      <c r="A464" s="1267"/>
      <c r="B464" s="1268"/>
      <c r="C464" s="1268"/>
      <c r="D464" s="1268"/>
      <c r="E464" s="961"/>
      <c r="F464" s="961"/>
      <c r="G464" s="1275"/>
      <c r="H464" s="730" t="s">
        <v>35</v>
      </c>
      <c r="I464" s="830">
        <f ca="1">IFERROR(__xludf.DUMMYFUNCTION("IMPORTRANGE(""https://docs.google.com/spreadsheets/d/1QqKyyYR6Q21VydFLVH3TRQUabQu_ym0Zz7PgGX0-kHA/edit?usp=sharing"",""แผน!FN21"")"),55)</f>
        <v>55</v>
      </c>
      <c r="J464" s="959">
        <v>0</v>
      </c>
      <c r="K464" s="831"/>
      <c r="L464" s="831"/>
      <c r="M464" s="831"/>
      <c r="N464" s="831"/>
      <c r="O464" s="831"/>
      <c r="P464" s="831"/>
      <c r="Q464" s="1244"/>
      <c r="R464" s="1244"/>
      <c r="S464" s="1244"/>
      <c r="T464" s="1244"/>
      <c r="U464" s="1244"/>
      <c r="V464" s="1244"/>
      <c r="W464" s="1244"/>
      <c r="X464" s="1244"/>
      <c r="Y464" s="1244"/>
      <c r="Z464" s="1244"/>
    </row>
    <row r="465" spans="1:26" ht="19.5">
      <c r="A465" s="550">
        <v>3</v>
      </c>
      <c r="B465" s="1249" t="s">
        <v>205</v>
      </c>
      <c r="C465" s="1250"/>
      <c r="D465" s="1250"/>
      <c r="E465" s="1250"/>
      <c r="F465" s="1250"/>
      <c r="G465" s="1251"/>
      <c r="H465" s="554" t="s">
        <v>35</v>
      </c>
      <c r="I465" s="1252">
        <f ca="1">IFERROR(__xludf.DUMMYFUNCTION("IMPORTRANGE(""https://docs.google.com/spreadsheets/d/1QqKyyYR6Q21VydFLVH3TRQUabQu_ym0Zz7PgGX0-kHA/edit?usp=sharing"",""แผน!FX21"")"),31)</f>
        <v>31</v>
      </c>
      <c r="J465" s="1252">
        <f>J485+J489+J492</f>
        <v>31</v>
      </c>
      <c r="K465" s="1253">
        <f t="shared" ref="K465:K466" ca="1" si="205">IF(I465&gt;0,J465*100/I465,0)</f>
        <v>100</v>
      </c>
      <c r="L465" s="1254"/>
      <c r="M465" s="1254"/>
      <c r="N465" s="1254"/>
      <c r="O465" s="1254"/>
      <c r="P465" s="1254"/>
      <c r="Q465" s="1244"/>
      <c r="R465" s="1244"/>
      <c r="S465" s="1244"/>
      <c r="T465" s="1244"/>
      <c r="U465" s="1244"/>
      <c r="V465" s="1244"/>
      <c r="W465" s="1244"/>
      <c r="X465" s="1244"/>
      <c r="Y465" s="1244"/>
      <c r="Z465" s="1244"/>
    </row>
    <row r="466" spans="1:26" ht="19.5">
      <c r="A466" s="1255"/>
      <c r="B466" s="1256"/>
      <c r="C466" s="1257"/>
      <c r="D466" s="1257"/>
      <c r="E466" s="1257"/>
      <c r="F466" s="1257"/>
      <c r="G466" s="1258"/>
      <c r="H466" s="532" t="s">
        <v>46</v>
      </c>
      <c r="I466" s="1237">
        <f ca="1">IFERROR(__xludf.DUMMYFUNCTION("IMPORTRANGE(""https://docs.google.com/spreadsheets/d/1QqKyyYR6Q21VydFLVH3TRQUabQu_ym0Zz7PgGX0-kHA/edit?usp=sharing"",""แผน!FW21"")"),300)</f>
        <v>300</v>
      </c>
      <c r="J466" s="1237">
        <f>J495+J498</f>
        <v>0</v>
      </c>
      <c r="K466" s="1238">
        <f t="shared" ca="1" si="205"/>
        <v>0</v>
      </c>
      <c r="L466" s="1239"/>
      <c r="M466" s="1239"/>
      <c r="N466" s="1239"/>
      <c r="O466" s="1239"/>
      <c r="P466" s="1239"/>
      <c r="Q466" s="1244"/>
      <c r="R466" s="1244"/>
      <c r="S466" s="1244"/>
      <c r="T466" s="1244"/>
      <c r="U466" s="1244"/>
      <c r="V466" s="1244"/>
      <c r="W466" s="1244"/>
      <c r="X466" s="1244"/>
      <c r="Y466" s="1244"/>
      <c r="Z466" s="1244"/>
    </row>
    <row r="467" spans="1:26" ht="19.5">
      <c r="A467" s="1259"/>
      <c r="B467" s="1243"/>
      <c r="C467" s="1243" t="s">
        <v>16</v>
      </c>
      <c r="D467" s="1507" t="s">
        <v>17</v>
      </c>
      <c r="E467" s="1485"/>
      <c r="F467" s="1485"/>
      <c r="G467" s="963"/>
      <c r="H467" s="563" t="s">
        <v>12</v>
      </c>
      <c r="I467" s="830"/>
      <c r="J467" s="830"/>
      <c r="K467" s="831"/>
      <c r="L467" s="967">
        <f t="shared" ref="L467:N467" ca="1" si="206">L468+L469</f>
        <v>256863</v>
      </c>
      <c r="M467" s="967">
        <f t="shared" si="206"/>
        <v>0</v>
      </c>
      <c r="N467" s="967">
        <f t="shared" si="206"/>
        <v>55246</v>
      </c>
      <c r="O467" s="967">
        <f t="shared" ref="O467:O472" ca="1" si="207">IF(L467&gt;0,N467*100/L467,0)</f>
        <v>21.507963389043965</v>
      </c>
      <c r="P467" s="967">
        <f t="shared" ref="P467:P472" si="208">IF(M467&gt;0,N467*100/M467,0)</f>
        <v>0</v>
      </c>
      <c r="Q467" s="1244"/>
      <c r="R467" s="1244"/>
      <c r="S467" s="1244"/>
      <c r="T467" s="1244"/>
      <c r="U467" s="1244"/>
      <c r="V467" s="1244"/>
      <c r="W467" s="1244"/>
      <c r="X467" s="1244"/>
      <c r="Y467" s="1244"/>
      <c r="Z467" s="1244"/>
    </row>
    <row r="468" spans="1:26" ht="18.75" hidden="1">
      <c r="A468" s="1260"/>
      <c r="B468" s="1261"/>
      <c r="C468" s="1261"/>
      <c r="D468" s="1262"/>
      <c r="E468" s="1261" t="s">
        <v>184</v>
      </c>
      <c r="F468" s="1261"/>
      <c r="G468" s="1263"/>
      <c r="H468" s="165" t="s">
        <v>12</v>
      </c>
      <c r="I468" s="836"/>
      <c r="J468" s="836"/>
      <c r="K468" s="837"/>
      <c r="L468" s="837">
        <f t="shared" ref="L468:N469" si="209">L471+L478</f>
        <v>0</v>
      </c>
      <c r="M468" s="837">
        <f t="shared" si="209"/>
        <v>0</v>
      </c>
      <c r="N468" s="837">
        <f t="shared" si="209"/>
        <v>0</v>
      </c>
      <c r="O468" s="837">
        <f t="shared" si="207"/>
        <v>0</v>
      </c>
      <c r="P468" s="837">
        <f t="shared" si="208"/>
        <v>0</v>
      </c>
      <c r="Q468" s="1264"/>
      <c r="R468" s="1264"/>
      <c r="S468" s="1264"/>
      <c r="T468" s="1264"/>
      <c r="U468" s="1264"/>
      <c r="V468" s="1264"/>
      <c r="W468" s="1264"/>
      <c r="X468" s="1264"/>
      <c r="Y468" s="1264"/>
      <c r="Z468" s="1264"/>
    </row>
    <row r="469" spans="1:26" ht="18.75" hidden="1">
      <c r="A469" s="1260"/>
      <c r="B469" s="1265"/>
      <c r="C469" s="1261"/>
      <c r="D469" s="1262"/>
      <c r="E469" s="1261" t="s">
        <v>185</v>
      </c>
      <c r="F469" s="1261"/>
      <c r="G469" s="1263"/>
      <c r="H469" s="165" t="s">
        <v>12</v>
      </c>
      <c r="I469" s="836"/>
      <c r="J469" s="836"/>
      <c r="K469" s="837"/>
      <c r="L469" s="837">
        <f t="shared" ca="1" si="209"/>
        <v>256863</v>
      </c>
      <c r="M469" s="837">
        <f t="shared" si="209"/>
        <v>0</v>
      </c>
      <c r="N469" s="837">
        <f t="shared" si="209"/>
        <v>55246</v>
      </c>
      <c r="O469" s="837">
        <f t="shared" ca="1" si="207"/>
        <v>21.507963389043965</v>
      </c>
      <c r="P469" s="837">
        <f t="shared" si="208"/>
        <v>0</v>
      </c>
      <c r="Q469" s="1264"/>
      <c r="R469" s="1264"/>
      <c r="S469" s="1264"/>
      <c r="T469" s="1264"/>
      <c r="U469" s="1264"/>
      <c r="V469" s="1264"/>
      <c r="W469" s="1264"/>
      <c r="X469" s="1264"/>
      <c r="Y469" s="1264"/>
      <c r="Z469" s="1264"/>
    </row>
    <row r="470" spans="1:26" ht="18.75">
      <c r="A470" s="1259"/>
      <c r="B470" s="1242"/>
      <c r="C470" s="1243"/>
      <c r="D470" s="1266" t="s">
        <v>20</v>
      </c>
      <c r="E470" s="1243"/>
      <c r="F470" s="1243"/>
      <c r="G470" s="963"/>
      <c r="H470" s="778" t="s">
        <v>12</v>
      </c>
      <c r="I470" s="944"/>
      <c r="J470" s="944"/>
      <c r="K470" s="945"/>
      <c r="L470" s="831">
        <f t="shared" ref="L470:N470" ca="1" si="210">L471+L472</f>
        <v>256863</v>
      </c>
      <c r="M470" s="831">
        <f t="shared" si="210"/>
        <v>0</v>
      </c>
      <c r="N470" s="831">
        <f t="shared" si="210"/>
        <v>55246</v>
      </c>
      <c r="O470" s="831">
        <f t="shared" ca="1" si="207"/>
        <v>21.507963389043965</v>
      </c>
      <c r="P470" s="831">
        <f t="shared" si="208"/>
        <v>0</v>
      </c>
      <c r="Q470" s="1244"/>
      <c r="R470" s="1244"/>
      <c r="S470" s="1244"/>
      <c r="T470" s="1244"/>
      <c r="U470" s="1244"/>
      <c r="V470" s="1244"/>
      <c r="W470" s="1244"/>
      <c r="X470" s="1244"/>
      <c r="Y470" s="1244"/>
      <c r="Z470" s="1244"/>
    </row>
    <row r="471" spans="1:26" ht="18.75" hidden="1">
      <c r="A471" s="1260"/>
      <c r="B471" s="1265"/>
      <c r="C471" s="1261"/>
      <c r="D471" s="1262"/>
      <c r="E471" s="1261" t="s">
        <v>184</v>
      </c>
      <c r="F471" s="1261"/>
      <c r="G471" s="1263"/>
      <c r="H471" s="165" t="s">
        <v>12</v>
      </c>
      <c r="I471" s="836"/>
      <c r="J471" s="836"/>
      <c r="K471" s="837"/>
      <c r="L471" s="837">
        <v>0</v>
      </c>
      <c r="M471" s="837">
        <v>0</v>
      </c>
      <c r="N471" s="837">
        <v>0</v>
      </c>
      <c r="O471" s="837">
        <f t="shared" si="207"/>
        <v>0</v>
      </c>
      <c r="P471" s="837">
        <f t="shared" si="208"/>
        <v>0</v>
      </c>
      <c r="Q471" s="1264"/>
      <c r="R471" s="1264"/>
      <c r="S471" s="1264"/>
      <c r="T471" s="1264"/>
      <c r="U471" s="1264"/>
      <c r="V471" s="1264"/>
      <c r="W471" s="1264"/>
      <c r="X471" s="1264"/>
      <c r="Y471" s="1264"/>
      <c r="Z471" s="1264"/>
    </row>
    <row r="472" spans="1:26" ht="18.75" hidden="1">
      <c r="A472" s="1260"/>
      <c r="B472" s="1265"/>
      <c r="C472" s="1261"/>
      <c r="D472" s="1262"/>
      <c r="E472" s="1261" t="s">
        <v>185</v>
      </c>
      <c r="F472" s="1261"/>
      <c r="G472" s="1263"/>
      <c r="H472" s="165" t="s">
        <v>12</v>
      </c>
      <c r="I472" s="836"/>
      <c r="J472" s="836"/>
      <c r="K472" s="837"/>
      <c r="L472" s="837">
        <f ca="1">IFERROR(__xludf.DUMMYFUNCTION("IMPORTRANGE(""https://docs.google.com/spreadsheets/d/1QqKyyYR6Q21VydFLVH3TRQUabQu_ym0Zz7PgGX0-kHA/edit?usp=sharing"",""แผน!FS21"")"),256863)</f>
        <v>256863</v>
      </c>
      <c r="M472" s="837">
        <v>0</v>
      </c>
      <c r="N472" s="837">
        <f>N473+N474+N475+N476</f>
        <v>55246</v>
      </c>
      <c r="O472" s="837">
        <f t="shared" ca="1" si="207"/>
        <v>21.507963389043965</v>
      </c>
      <c r="P472" s="837">
        <f t="shared" si="208"/>
        <v>0</v>
      </c>
      <c r="Q472" s="1264"/>
      <c r="R472" s="1264"/>
      <c r="S472" s="1264"/>
      <c r="T472" s="1264"/>
      <c r="U472" s="1264"/>
      <c r="V472" s="1264"/>
      <c r="W472" s="1264"/>
      <c r="X472" s="1264"/>
      <c r="Y472" s="1264"/>
      <c r="Z472" s="1264"/>
    </row>
    <row r="473" spans="1:26" ht="18.75">
      <c r="A473" s="1241"/>
      <c r="B473" s="1242"/>
      <c r="C473" s="1243"/>
      <c r="D473" s="1243"/>
      <c r="E473" s="1243"/>
      <c r="F473" s="1243" t="s">
        <v>186</v>
      </c>
      <c r="G473" s="963"/>
      <c r="H473" s="778" t="s">
        <v>12</v>
      </c>
      <c r="I473" s="830"/>
      <c r="J473" s="830"/>
      <c r="K473" s="831"/>
      <c r="L473" s="831"/>
      <c r="M473" s="831"/>
      <c r="N473" s="1031">
        <v>36753</v>
      </c>
      <c r="O473" s="831"/>
      <c r="P473" s="831"/>
      <c r="Q473" s="1244"/>
      <c r="R473" s="1244"/>
      <c r="S473" s="1244"/>
      <c r="T473" s="1244"/>
      <c r="U473" s="1244"/>
      <c r="V473" s="1244"/>
      <c r="W473" s="1244"/>
      <c r="X473" s="1244"/>
      <c r="Y473" s="1244"/>
      <c r="Z473" s="1244"/>
    </row>
    <row r="474" spans="1:26" ht="18.75">
      <c r="A474" s="1241"/>
      <c r="B474" s="1242"/>
      <c r="C474" s="1243"/>
      <c r="D474" s="1243"/>
      <c r="E474" s="1243"/>
      <c r="F474" s="1243" t="s">
        <v>187</v>
      </c>
      <c r="G474" s="963"/>
      <c r="H474" s="778" t="s">
        <v>12</v>
      </c>
      <c r="I474" s="830"/>
      <c r="J474" s="830"/>
      <c r="K474" s="831"/>
      <c r="L474" s="831"/>
      <c r="M474" s="831"/>
      <c r="N474" s="1031">
        <v>0</v>
      </c>
      <c r="O474" s="831"/>
      <c r="P474" s="831"/>
      <c r="Q474" s="1244"/>
      <c r="R474" s="1244"/>
      <c r="S474" s="1244"/>
      <c r="T474" s="1244"/>
      <c r="U474" s="1244"/>
      <c r="V474" s="1244"/>
      <c r="W474" s="1244"/>
      <c r="X474" s="1244"/>
      <c r="Y474" s="1244"/>
      <c r="Z474" s="1244"/>
    </row>
    <row r="475" spans="1:26" ht="18.75">
      <c r="A475" s="1241"/>
      <c r="B475" s="1242"/>
      <c r="C475" s="1242"/>
      <c r="D475" s="1242"/>
      <c r="E475" s="1242"/>
      <c r="F475" s="1243" t="s">
        <v>188</v>
      </c>
      <c r="G475" s="963"/>
      <c r="H475" s="778" t="s">
        <v>12</v>
      </c>
      <c r="I475" s="830"/>
      <c r="J475" s="830"/>
      <c r="K475" s="831"/>
      <c r="L475" s="831"/>
      <c r="M475" s="831"/>
      <c r="N475" s="1031">
        <v>0</v>
      </c>
      <c r="O475" s="831"/>
      <c r="P475" s="831"/>
      <c r="Q475" s="1244"/>
      <c r="R475" s="1244"/>
      <c r="S475" s="1244"/>
      <c r="T475" s="1244"/>
      <c r="U475" s="1244"/>
      <c r="V475" s="1244"/>
      <c r="W475" s="1244"/>
      <c r="X475" s="1244"/>
      <c r="Y475" s="1244"/>
      <c r="Z475" s="1244"/>
    </row>
    <row r="476" spans="1:26" ht="18.75">
      <c r="A476" s="1241"/>
      <c r="B476" s="1242"/>
      <c r="C476" s="1242"/>
      <c r="D476" s="1242"/>
      <c r="E476" s="1242"/>
      <c r="F476" s="1243" t="s">
        <v>189</v>
      </c>
      <c r="G476" s="963"/>
      <c r="H476" s="778" t="s">
        <v>12</v>
      </c>
      <c r="I476" s="830"/>
      <c r="J476" s="830"/>
      <c r="K476" s="831"/>
      <c r="L476" s="831"/>
      <c r="M476" s="831"/>
      <c r="N476" s="1031">
        <v>18493</v>
      </c>
      <c r="O476" s="831"/>
      <c r="P476" s="831"/>
      <c r="Q476" s="1244"/>
      <c r="R476" s="1244"/>
      <c r="S476" s="1244"/>
      <c r="T476" s="1244"/>
      <c r="U476" s="1244"/>
      <c r="V476" s="1244"/>
      <c r="W476" s="1244"/>
      <c r="X476" s="1244"/>
      <c r="Y476" s="1244"/>
      <c r="Z476" s="1244"/>
    </row>
    <row r="477" spans="1:26" ht="18.75">
      <c r="A477" s="1259"/>
      <c r="B477" s="1242"/>
      <c r="C477" s="1242"/>
      <c r="D477" s="1266" t="s">
        <v>21</v>
      </c>
      <c r="E477" s="1242"/>
      <c r="F477" s="1242"/>
      <c r="G477" s="963"/>
      <c r="H477" s="168" t="s">
        <v>12</v>
      </c>
      <c r="I477" s="944"/>
      <c r="J477" s="944"/>
      <c r="K477" s="945"/>
      <c r="L477" s="831">
        <f t="shared" ref="L477:N477" ca="1" si="211">L478+L479</f>
        <v>0</v>
      </c>
      <c r="M477" s="831">
        <f t="shared" si="211"/>
        <v>0</v>
      </c>
      <c r="N477" s="831">
        <f t="shared" si="211"/>
        <v>0</v>
      </c>
      <c r="O477" s="831">
        <f t="shared" ref="O477:O479" ca="1" si="212">IF(L477&gt;0,N477*100/L477,0)</f>
        <v>0</v>
      </c>
      <c r="P477" s="831">
        <f t="shared" ref="P477:P479" si="213">IF(M477&gt;0,N477*100/M477,0)</f>
        <v>0</v>
      </c>
      <c r="Q477" s="1244"/>
      <c r="R477" s="1244"/>
      <c r="S477" s="1244"/>
      <c r="T477" s="1244"/>
      <c r="U477" s="1244"/>
      <c r="V477" s="1244"/>
      <c r="W477" s="1244"/>
      <c r="X477" s="1244"/>
      <c r="Y477" s="1244"/>
      <c r="Z477" s="1244"/>
    </row>
    <row r="478" spans="1:26" ht="18.75" hidden="1">
      <c r="A478" s="1260"/>
      <c r="B478" s="1265"/>
      <c r="C478" s="1265"/>
      <c r="D478" s="1265"/>
      <c r="E478" s="1265" t="s">
        <v>18</v>
      </c>
      <c r="F478" s="1265"/>
      <c r="G478" s="1263"/>
      <c r="H478" s="165" t="s">
        <v>12</v>
      </c>
      <c r="I478" s="947"/>
      <c r="J478" s="947"/>
      <c r="K478" s="948"/>
      <c r="L478" s="837">
        <v>0</v>
      </c>
      <c r="M478" s="837">
        <v>0</v>
      </c>
      <c r="N478" s="837">
        <v>0</v>
      </c>
      <c r="O478" s="837">
        <f t="shared" si="212"/>
        <v>0</v>
      </c>
      <c r="P478" s="837">
        <f t="shared" si="213"/>
        <v>0</v>
      </c>
      <c r="Q478" s="1264"/>
      <c r="R478" s="1264"/>
      <c r="S478" s="1264"/>
      <c r="T478" s="1264"/>
      <c r="U478" s="1264"/>
      <c r="V478" s="1264"/>
      <c r="W478" s="1264"/>
      <c r="X478" s="1264"/>
      <c r="Y478" s="1264"/>
      <c r="Z478" s="1264"/>
    </row>
    <row r="479" spans="1:26" ht="18.75" hidden="1">
      <c r="A479" s="1260"/>
      <c r="B479" s="1265"/>
      <c r="C479" s="1265"/>
      <c r="D479" s="1265"/>
      <c r="E479" s="1265" t="s">
        <v>19</v>
      </c>
      <c r="F479" s="1265"/>
      <c r="G479" s="1263"/>
      <c r="H479" s="169" t="s">
        <v>12</v>
      </c>
      <c r="I479" s="947"/>
      <c r="J479" s="947"/>
      <c r="K479" s="948"/>
      <c r="L479" s="837">
        <f ca="1">IFERROR(__xludf.DUMMYFUNCTION("IMPORTRANGE(""https://docs.google.com/spreadsheets/d/1QqKyyYR6Q21VydFLVH3TRQUabQu_ym0Zz7PgGX0-kHA/edit?usp=sharing"",""แผน!FV21"")"),0)</f>
        <v>0</v>
      </c>
      <c r="M479" s="837">
        <v>0</v>
      </c>
      <c r="N479" s="837">
        <v>0</v>
      </c>
      <c r="O479" s="837">
        <f t="shared" ca="1" si="212"/>
        <v>0</v>
      </c>
      <c r="P479" s="837">
        <f t="shared" si="213"/>
        <v>0</v>
      </c>
      <c r="Q479" s="1264"/>
      <c r="R479" s="1264"/>
      <c r="S479" s="1264"/>
      <c r="T479" s="1264"/>
      <c r="U479" s="1264"/>
      <c r="V479" s="1264"/>
      <c r="W479" s="1264"/>
      <c r="X479" s="1264"/>
      <c r="Y479" s="1264"/>
      <c r="Z479" s="1264"/>
    </row>
    <row r="480" spans="1:26" ht="19.5">
      <c r="A480" s="1267"/>
      <c r="B480" s="1268"/>
      <c r="C480" s="1242" t="s">
        <v>16</v>
      </c>
      <c r="D480" s="1276" t="s">
        <v>38</v>
      </c>
      <c r="E480" s="1270"/>
      <c r="F480" s="1271"/>
      <c r="G480" s="1272"/>
      <c r="H480" s="954"/>
      <c r="I480" s="830"/>
      <c r="J480" s="830"/>
      <c r="K480" s="831"/>
      <c r="L480" s="831"/>
      <c r="M480" s="831"/>
      <c r="N480" s="831"/>
      <c r="O480" s="831"/>
      <c r="P480" s="831"/>
      <c r="Q480" s="1244"/>
      <c r="R480" s="1244"/>
      <c r="S480" s="1244"/>
      <c r="T480" s="1244"/>
      <c r="U480" s="1244"/>
      <c r="V480" s="1244"/>
      <c r="W480" s="1244"/>
      <c r="X480" s="1244"/>
      <c r="Y480" s="1244"/>
      <c r="Z480" s="1244"/>
    </row>
    <row r="481" spans="1:26" ht="19.5">
      <c r="A481" s="1267"/>
      <c r="B481" s="1268"/>
      <c r="C481" s="1268"/>
      <c r="D481" s="1277" t="s">
        <v>206</v>
      </c>
      <c r="E481" s="1268"/>
      <c r="F481" s="1268"/>
      <c r="G481" s="954"/>
      <c r="H481" s="963"/>
      <c r="I481" s="830"/>
      <c r="J481" s="830"/>
      <c r="K481" s="831"/>
      <c r="L481" s="831"/>
      <c r="M481" s="831"/>
      <c r="N481" s="831"/>
      <c r="O481" s="831"/>
      <c r="P481" s="831"/>
      <c r="Q481" s="1244"/>
      <c r="R481" s="1244"/>
      <c r="S481" s="1244"/>
      <c r="T481" s="1244"/>
      <c r="U481" s="1244"/>
      <c r="V481" s="1244"/>
      <c r="W481" s="1244"/>
      <c r="X481" s="1244"/>
      <c r="Y481" s="1244"/>
      <c r="Z481" s="1244"/>
    </row>
    <row r="482" spans="1:26" ht="18.75">
      <c r="A482" s="1267"/>
      <c r="B482" s="1268"/>
      <c r="C482" s="1268"/>
      <c r="D482" s="1268"/>
      <c r="E482" s="1268" t="s">
        <v>207</v>
      </c>
      <c r="F482" s="1268"/>
      <c r="G482" s="954"/>
      <c r="H482" s="963"/>
      <c r="I482" s="830"/>
      <c r="J482" s="830"/>
      <c r="K482" s="831"/>
      <c r="L482" s="831"/>
      <c r="M482" s="831"/>
      <c r="N482" s="831"/>
      <c r="O482" s="831"/>
      <c r="P482" s="831"/>
      <c r="Q482" s="1244"/>
      <c r="R482" s="1244"/>
      <c r="S482" s="1244"/>
      <c r="T482" s="1244"/>
      <c r="U482" s="1244"/>
      <c r="V482" s="1244"/>
      <c r="W482" s="1244"/>
      <c r="X482" s="1244"/>
      <c r="Y482" s="1244"/>
      <c r="Z482" s="1244"/>
    </row>
    <row r="483" spans="1:26" ht="18.75">
      <c r="A483" s="1267"/>
      <c r="B483" s="1268"/>
      <c r="C483" s="1268"/>
      <c r="D483" s="1268"/>
      <c r="E483" s="1268"/>
      <c r="F483" s="1268" t="s">
        <v>208</v>
      </c>
      <c r="G483" s="954"/>
      <c r="H483" s="590" t="s">
        <v>46</v>
      </c>
      <c r="I483" s="830">
        <f ca="1">IFERROR(__xludf.DUMMYFUNCTION("IMPORTRANGE(""https://docs.google.com/spreadsheets/d/1QqKyyYR6Q21VydFLVH3TRQUabQu_ym0Zz7PgGX0-kHA/edit?usp=sharing"",""แผน!FY21"")"),270)</f>
        <v>270</v>
      </c>
      <c r="J483" s="959">
        <v>270</v>
      </c>
      <c r="K483" s="831">
        <f ca="1">IF(I483&gt;0,J483*100/I483,0)</f>
        <v>100</v>
      </c>
      <c r="L483" s="831"/>
      <c r="M483" s="831"/>
      <c r="N483" s="831"/>
      <c r="O483" s="831"/>
      <c r="P483" s="831"/>
      <c r="Q483" s="1244"/>
      <c r="R483" s="1244"/>
      <c r="S483" s="1244"/>
      <c r="T483" s="1244"/>
      <c r="U483" s="1244"/>
      <c r="V483" s="1244"/>
      <c r="W483" s="1244"/>
      <c r="X483" s="1244"/>
      <c r="Y483" s="1244"/>
      <c r="Z483" s="1244"/>
    </row>
    <row r="484" spans="1:26" ht="18.75">
      <c r="A484" s="1267"/>
      <c r="B484" s="1268"/>
      <c r="C484" s="1268"/>
      <c r="D484" s="1268"/>
      <c r="E484" s="1268"/>
      <c r="F484" s="1268" t="s">
        <v>209</v>
      </c>
      <c r="G484" s="954"/>
      <c r="H484" s="590" t="s">
        <v>35</v>
      </c>
      <c r="I484" s="830"/>
      <c r="J484" s="959">
        <v>27</v>
      </c>
      <c r="K484" s="831"/>
      <c r="L484" s="831"/>
      <c r="M484" s="831"/>
      <c r="N484" s="831"/>
      <c r="O484" s="831"/>
      <c r="P484" s="831"/>
      <c r="Q484" s="1244"/>
      <c r="R484" s="1244"/>
      <c r="S484" s="1244"/>
      <c r="T484" s="1244"/>
      <c r="U484" s="1244"/>
      <c r="V484" s="1244"/>
      <c r="W484" s="1244"/>
      <c r="X484" s="1244"/>
      <c r="Y484" s="1244"/>
      <c r="Z484" s="1244"/>
    </row>
    <row r="485" spans="1:26" ht="18.75">
      <c r="A485" s="1267"/>
      <c r="B485" s="1268"/>
      <c r="C485" s="1268"/>
      <c r="D485" s="1268"/>
      <c r="E485" s="1268"/>
      <c r="F485" s="1268" t="s">
        <v>210</v>
      </c>
      <c r="G485" s="954"/>
      <c r="H485" s="590" t="s">
        <v>35</v>
      </c>
      <c r="I485" s="830">
        <f ca="1">IFERROR(__xludf.DUMMYFUNCTION("IMPORTRANGE(""https://docs.google.com/spreadsheets/d/1QqKyyYR6Q21VydFLVH3TRQUabQu_ym0Zz7PgGX0-kHA/edit?usp=sharing"",""แผน!FZ21"")"),27)</f>
        <v>27</v>
      </c>
      <c r="J485" s="959">
        <v>27</v>
      </c>
      <c r="K485" s="831">
        <f ca="1">IF(I485&gt;0,J485*100/I485,0)</f>
        <v>100</v>
      </c>
      <c r="L485" s="831"/>
      <c r="M485" s="831"/>
      <c r="N485" s="831"/>
      <c r="O485" s="831"/>
      <c r="P485" s="831"/>
      <c r="Q485" s="1244"/>
      <c r="R485" s="1244"/>
      <c r="S485" s="1244"/>
      <c r="T485" s="1244"/>
      <c r="U485" s="1244"/>
      <c r="V485" s="1244"/>
      <c r="W485" s="1244"/>
      <c r="X485" s="1244"/>
      <c r="Y485" s="1244"/>
      <c r="Z485" s="1244"/>
    </row>
    <row r="486" spans="1:26" ht="18.75">
      <c r="A486" s="1267"/>
      <c r="B486" s="1268"/>
      <c r="C486" s="1268"/>
      <c r="D486" s="1268"/>
      <c r="E486" s="1268" t="s">
        <v>62</v>
      </c>
      <c r="F486" s="1268"/>
      <c r="G486" s="954"/>
      <c r="H486" s="590"/>
      <c r="I486" s="830"/>
      <c r="J486" s="830"/>
      <c r="K486" s="831"/>
      <c r="L486" s="831"/>
      <c r="M486" s="831"/>
      <c r="N486" s="831"/>
      <c r="O486" s="831"/>
      <c r="P486" s="831"/>
      <c r="Q486" s="1244"/>
      <c r="R486" s="1244"/>
      <c r="S486" s="1244"/>
      <c r="T486" s="1244"/>
      <c r="U486" s="1244"/>
      <c r="V486" s="1244"/>
      <c r="W486" s="1244"/>
      <c r="X486" s="1244"/>
      <c r="Y486" s="1244"/>
      <c r="Z486" s="1244"/>
    </row>
    <row r="487" spans="1:26" ht="18.75">
      <c r="A487" s="1267"/>
      <c r="B487" s="1268"/>
      <c r="C487" s="1268"/>
      <c r="D487" s="1268"/>
      <c r="E487" s="1268"/>
      <c r="F487" s="1268" t="s">
        <v>208</v>
      </c>
      <c r="G487" s="954"/>
      <c r="H487" s="590" t="s">
        <v>46</v>
      </c>
      <c r="I487" s="830">
        <f ca="1">IFERROR(__xludf.DUMMYFUNCTION("IMPORTRANGE(""https://docs.google.com/spreadsheets/d/1QqKyyYR6Q21VydFLVH3TRQUabQu_ym0Zz7PgGX0-kHA/edit?usp=sharing"",""แผน!GA21"")"),30)</f>
        <v>30</v>
      </c>
      <c r="J487" s="959">
        <v>30</v>
      </c>
      <c r="K487" s="831">
        <f ca="1">IF(I487&gt;0,J487*100/I487,0)</f>
        <v>100</v>
      </c>
      <c r="L487" s="831"/>
      <c r="M487" s="831"/>
      <c r="N487" s="831"/>
      <c r="O487" s="831"/>
      <c r="P487" s="831"/>
      <c r="Q487" s="1244"/>
      <c r="R487" s="1244"/>
      <c r="S487" s="1244"/>
      <c r="T487" s="1244"/>
      <c r="U487" s="1244"/>
      <c r="V487" s="1244"/>
      <c r="W487" s="1244"/>
      <c r="X487" s="1244"/>
      <c r="Y487" s="1244"/>
      <c r="Z487" s="1244"/>
    </row>
    <row r="488" spans="1:26" ht="18.75">
      <c r="A488" s="1267"/>
      <c r="B488" s="1268"/>
      <c r="C488" s="1268"/>
      <c r="D488" s="1268"/>
      <c r="E488" s="1268"/>
      <c r="F488" s="1268" t="s">
        <v>211</v>
      </c>
      <c r="G488" s="954"/>
      <c r="H488" s="590" t="s">
        <v>35</v>
      </c>
      <c r="I488" s="830"/>
      <c r="J488" s="959">
        <v>3</v>
      </c>
      <c r="K488" s="831"/>
      <c r="L488" s="831"/>
      <c r="M488" s="831"/>
      <c r="N488" s="831"/>
      <c r="O488" s="831"/>
      <c r="P488" s="831"/>
      <c r="Q488" s="1244"/>
      <c r="R488" s="1244"/>
      <c r="S488" s="1244"/>
      <c r="T488" s="1244"/>
      <c r="U488" s="1244"/>
      <c r="V488" s="1244"/>
      <c r="W488" s="1244"/>
      <c r="X488" s="1244"/>
      <c r="Y488" s="1244"/>
      <c r="Z488" s="1244"/>
    </row>
    <row r="489" spans="1:26" ht="18.75">
      <c r="A489" s="1267"/>
      <c r="B489" s="1268"/>
      <c r="C489" s="1268"/>
      <c r="D489" s="1268"/>
      <c r="E489" s="1268"/>
      <c r="F489" s="1268" t="s">
        <v>212</v>
      </c>
      <c r="G489" s="954"/>
      <c r="H489" s="590" t="s">
        <v>35</v>
      </c>
      <c r="I489" s="830">
        <f ca="1">IFERROR(__xludf.DUMMYFUNCTION("IMPORTRANGE(""https://docs.google.com/spreadsheets/d/1QqKyyYR6Q21VydFLVH3TRQUabQu_ym0Zz7PgGX0-kHA/edit?usp=sharing"",""แผน!GB21"")"),3)</f>
        <v>3</v>
      </c>
      <c r="J489" s="959">
        <v>3</v>
      </c>
      <c r="K489" s="831">
        <f ca="1">IF(I489&gt;0,J489*100/I489,0)</f>
        <v>100</v>
      </c>
      <c r="L489" s="831"/>
      <c r="M489" s="831"/>
      <c r="N489" s="831"/>
      <c r="O489" s="831"/>
      <c r="P489" s="831"/>
      <c r="Q489" s="1244"/>
      <c r="R489" s="1244"/>
      <c r="S489" s="1244"/>
      <c r="T489" s="1244"/>
      <c r="U489" s="1244"/>
      <c r="V489" s="1244"/>
      <c r="W489" s="1244"/>
      <c r="X489" s="1244"/>
      <c r="Y489" s="1244"/>
      <c r="Z489" s="1244"/>
    </row>
    <row r="490" spans="1:26" ht="18.75">
      <c r="A490" s="1267"/>
      <c r="B490" s="1268"/>
      <c r="C490" s="1268"/>
      <c r="D490" s="1268"/>
      <c r="E490" s="1268" t="s">
        <v>63</v>
      </c>
      <c r="F490" s="961"/>
      <c r="G490" s="954"/>
      <c r="H490" s="590"/>
      <c r="I490" s="830"/>
      <c r="J490" s="830"/>
      <c r="K490" s="831"/>
      <c r="L490" s="831"/>
      <c r="M490" s="831"/>
      <c r="N490" s="831"/>
      <c r="O490" s="831"/>
      <c r="P490" s="831"/>
      <c r="Q490" s="1244"/>
      <c r="R490" s="1244"/>
      <c r="S490" s="1244"/>
      <c r="T490" s="1244"/>
      <c r="U490" s="1244"/>
      <c r="V490" s="1244"/>
      <c r="W490" s="1244"/>
      <c r="X490" s="1244"/>
      <c r="Y490" s="1244"/>
      <c r="Z490" s="1244"/>
    </row>
    <row r="491" spans="1:26" ht="18.75">
      <c r="A491" s="1267"/>
      <c r="B491" s="1268"/>
      <c r="C491" s="1268"/>
      <c r="D491" s="1268"/>
      <c r="E491" s="1268"/>
      <c r="F491" s="1268" t="s">
        <v>213</v>
      </c>
      <c r="G491" s="954"/>
      <c r="H491" s="590" t="s">
        <v>35</v>
      </c>
      <c r="I491" s="830"/>
      <c r="J491" s="959">
        <v>1</v>
      </c>
      <c r="K491" s="831"/>
      <c r="L491" s="831"/>
      <c r="M491" s="831"/>
      <c r="N491" s="831"/>
      <c r="O491" s="831"/>
      <c r="P491" s="831"/>
      <c r="Q491" s="1244"/>
      <c r="R491" s="1244"/>
      <c r="S491" s="1244"/>
      <c r="T491" s="1244"/>
      <c r="U491" s="1244"/>
      <c r="V491" s="1244"/>
      <c r="W491" s="1244"/>
      <c r="X491" s="1244"/>
      <c r="Y491" s="1244"/>
      <c r="Z491" s="1244"/>
    </row>
    <row r="492" spans="1:26" ht="18.75">
      <c r="A492" s="1267"/>
      <c r="B492" s="1268"/>
      <c r="C492" s="1268"/>
      <c r="D492" s="1268"/>
      <c r="E492" s="1268"/>
      <c r="F492" s="1268" t="s">
        <v>214</v>
      </c>
      <c r="G492" s="954"/>
      <c r="H492" s="590" t="s">
        <v>35</v>
      </c>
      <c r="I492" s="830">
        <f ca="1">IFERROR(__xludf.DUMMYFUNCTION("IMPORTRANGE(""https://docs.google.com/spreadsheets/d/1QqKyyYR6Q21VydFLVH3TRQUabQu_ym0Zz7PgGX0-kHA/edit?usp=sharing"",""แผน!GC21"")"),1)</f>
        <v>1</v>
      </c>
      <c r="J492" s="959">
        <v>1</v>
      </c>
      <c r="K492" s="831">
        <f ca="1">IF(I492&gt;0,J492*100/I492,0)</f>
        <v>100</v>
      </c>
      <c r="L492" s="831"/>
      <c r="M492" s="831"/>
      <c r="N492" s="831"/>
      <c r="O492" s="831"/>
      <c r="P492" s="831"/>
      <c r="Q492" s="1244"/>
      <c r="R492" s="1244"/>
      <c r="S492" s="1244"/>
      <c r="T492" s="1244"/>
      <c r="U492" s="1244"/>
      <c r="V492" s="1244"/>
      <c r="W492" s="1244"/>
      <c r="X492" s="1244"/>
      <c r="Y492" s="1244"/>
      <c r="Z492" s="1244"/>
    </row>
    <row r="493" spans="1:26" ht="19.5">
      <c r="A493" s="1267"/>
      <c r="B493" s="1268"/>
      <c r="C493" s="1268"/>
      <c r="D493" s="1277" t="s">
        <v>59</v>
      </c>
      <c r="E493" s="1268"/>
      <c r="F493" s="961"/>
      <c r="G493" s="954"/>
      <c r="H493" s="963"/>
      <c r="I493" s="830"/>
      <c r="J493" s="830"/>
      <c r="K493" s="831"/>
      <c r="L493" s="831"/>
      <c r="M493" s="831"/>
      <c r="N493" s="831"/>
      <c r="O493" s="831"/>
      <c r="P493" s="831"/>
      <c r="Q493" s="1244"/>
      <c r="R493" s="1244"/>
      <c r="S493" s="1244"/>
      <c r="T493" s="1244"/>
      <c r="U493" s="1244"/>
      <c r="V493" s="1244"/>
      <c r="W493" s="1244"/>
      <c r="X493" s="1244"/>
      <c r="Y493" s="1244"/>
      <c r="Z493" s="1244"/>
    </row>
    <row r="494" spans="1:26" ht="18.75">
      <c r="A494" s="1267"/>
      <c r="B494" s="1268"/>
      <c r="C494" s="1268"/>
      <c r="D494" s="1268"/>
      <c r="E494" s="1268" t="s">
        <v>207</v>
      </c>
      <c r="F494" s="961"/>
      <c r="G494" s="954"/>
      <c r="H494" s="963"/>
      <c r="I494" s="830"/>
      <c r="J494" s="830"/>
      <c r="K494" s="831"/>
      <c r="L494" s="831"/>
      <c r="M494" s="831"/>
      <c r="N494" s="831"/>
      <c r="O494" s="831"/>
      <c r="P494" s="831"/>
      <c r="Q494" s="1244"/>
      <c r="R494" s="1244"/>
      <c r="S494" s="1244"/>
      <c r="T494" s="1244"/>
      <c r="U494" s="1244"/>
      <c r="V494" s="1244"/>
      <c r="W494" s="1244"/>
      <c r="X494" s="1244"/>
      <c r="Y494" s="1244"/>
      <c r="Z494" s="1244"/>
    </row>
    <row r="495" spans="1:26" ht="18.75">
      <c r="A495" s="1267"/>
      <c r="B495" s="1268"/>
      <c r="C495" s="1268"/>
      <c r="D495" s="1268"/>
      <c r="E495" s="1268"/>
      <c r="F495" s="961" t="s">
        <v>215</v>
      </c>
      <c r="G495" s="954"/>
      <c r="H495" s="590" t="s">
        <v>46</v>
      </c>
      <c r="I495" s="830">
        <f ca="1">IFERROR(__xludf.DUMMYFUNCTION("IMPORTRANGE(""https://docs.google.com/spreadsheets/d/1QqKyyYR6Q21VydFLVH3TRQUabQu_ym0Zz7PgGX0-kHA/edit?usp=sharing"",""แผน!FY21"")"),270)</f>
        <v>270</v>
      </c>
      <c r="J495" s="959">
        <v>0</v>
      </c>
      <c r="K495" s="831">
        <f ca="1">IF(I495&gt;0,J495*100/I495,0)</f>
        <v>0</v>
      </c>
      <c r="L495" s="831"/>
      <c r="M495" s="831"/>
      <c r="N495" s="831"/>
      <c r="O495" s="831"/>
      <c r="P495" s="831"/>
      <c r="Q495" s="1244"/>
      <c r="R495" s="1244"/>
      <c r="S495" s="1244"/>
      <c r="T495" s="1244"/>
      <c r="U495" s="1244"/>
      <c r="V495" s="1244"/>
      <c r="W495" s="1244"/>
      <c r="X495" s="1244"/>
      <c r="Y495" s="1244"/>
      <c r="Z495" s="1244"/>
    </row>
    <row r="496" spans="1:26" ht="18.75">
      <c r="A496" s="1267"/>
      <c r="B496" s="1268"/>
      <c r="C496" s="1268"/>
      <c r="D496" s="1268"/>
      <c r="E496" s="1268"/>
      <c r="F496" s="961" t="s">
        <v>216</v>
      </c>
      <c r="G496" s="954"/>
      <c r="H496" s="590" t="s">
        <v>46</v>
      </c>
      <c r="I496" s="830"/>
      <c r="J496" s="959">
        <v>0</v>
      </c>
      <c r="K496" s="831"/>
      <c r="L496" s="831"/>
      <c r="M496" s="831"/>
      <c r="N496" s="831"/>
      <c r="O496" s="831"/>
      <c r="P496" s="831"/>
      <c r="Q496" s="1244"/>
      <c r="R496" s="1244"/>
      <c r="S496" s="1244"/>
      <c r="T496" s="1244"/>
      <c r="U496" s="1244"/>
      <c r="V496" s="1244"/>
      <c r="W496" s="1244"/>
      <c r="X496" s="1244"/>
      <c r="Y496" s="1244"/>
      <c r="Z496" s="1244"/>
    </row>
    <row r="497" spans="1:26" ht="18.75">
      <c r="A497" s="1267"/>
      <c r="B497" s="1268"/>
      <c r="C497" s="1268"/>
      <c r="D497" s="1268"/>
      <c r="E497" s="1268" t="s">
        <v>62</v>
      </c>
      <c r="F497" s="961"/>
      <c r="G497" s="954"/>
      <c r="H497" s="963"/>
      <c r="I497" s="830"/>
      <c r="J497" s="830"/>
      <c r="K497" s="831"/>
      <c r="L497" s="831"/>
      <c r="M497" s="831"/>
      <c r="N497" s="831"/>
      <c r="O497" s="831"/>
      <c r="P497" s="831"/>
      <c r="Q497" s="1244"/>
      <c r="R497" s="1244"/>
      <c r="S497" s="1244"/>
      <c r="T497" s="1244"/>
      <c r="U497" s="1244"/>
      <c r="V497" s="1244"/>
      <c r="W497" s="1244"/>
      <c r="X497" s="1244"/>
      <c r="Y497" s="1244"/>
      <c r="Z497" s="1244"/>
    </row>
    <row r="498" spans="1:26" ht="18.75">
      <c r="A498" s="1267"/>
      <c r="B498" s="1268"/>
      <c r="C498" s="1268"/>
      <c r="D498" s="1268"/>
      <c r="E498" s="961"/>
      <c r="F498" s="961" t="s">
        <v>217</v>
      </c>
      <c r="G498" s="954"/>
      <c r="H498" s="590" t="s">
        <v>46</v>
      </c>
      <c r="I498" s="830">
        <f ca="1">IFERROR(__xludf.DUMMYFUNCTION("IMPORTRANGE(""https://docs.google.com/spreadsheets/d/1QqKyyYR6Q21VydFLVH3TRQUabQu_ym0Zz7PgGX0-kHA/edit?usp=sharing"",""แผน!GA21"")"),30)</f>
        <v>30</v>
      </c>
      <c r="J498" s="959">
        <v>0</v>
      </c>
      <c r="K498" s="831">
        <f ca="1">IF(I498&gt;0,J498*100/I498,0)</f>
        <v>0</v>
      </c>
      <c r="L498" s="831"/>
      <c r="M498" s="831"/>
      <c r="N498" s="831"/>
      <c r="O498" s="831"/>
      <c r="P498" s="831"/>
      <c r="Q498" s="1244"/>
      <c r="R498" s="1244"/>
      <c r="S498" s="1244"/>
      <c r="T498" s="1244"/>
      <c r="U498" s="1244"/>
      <c r="V498" s="1244"/>
      <c r="W498" s="1244"/>
      <c r="X498" s="1244"/>
      <c r="Y498" s="1244"/>
      <c r="Z498" s="1244"/>
    </row>
    <row r="499" spans="1:26" ht="18.75">
      <c r="A499" s="1267"/>
      <c r="B499" s="1268"/>
      <c r="C499" s="1268"/>
      <c r="D499" s="1268"/>
      <c r="E499" s="961"/>
      <c r="F499" s="961" t="s">
        <v>218</v>
      </c>
      <c r="G499" s="954"/>
      <c r="H499" s="590" t="s">
        <v>46</v>
      </c>
      <c r="I499" s="830"/>
      <c r="J499" s="959">
        <v>0</v>
      </c>
      <c r="K499" s="831"/>
      <c r="L499" s="831"/>
      <c r="M499" s="831"/>
      <c r="N499" s="831"/>
      <c r="O499" s="831"/>
      <c r="P499" s="831"/>
      <c r="Q499" s="1244"/>
      <c r="R499" s="1244"/>
      <c r="S499" s="1244"/>
      <c r="T499" s="1244"/>
      <c r="U499" s="1244"/>
      <c r="V499" s="1244"/>
      <c r="W499" s="1244"/>
      <c r="X499" s="1244"/>
      <c r="Y499" s="1244"/>
      <c r="Z499" s="1244"/>
    </row>
    <row r="500" spans="1:26" ht="19.5" hidden="1">
      <c r="A500" s="594">
        <v>4</v>
      </c>
      <c r="B500" s="1278" t="s">
        <v>219</v>
      </c>
      <c r="C500" s="1279"/>
      <c r="D500" s="1280"/>
      <c r="E500" s="1280"/>
      <c r="F500" s="1280"/>
      <c r="G500" s="1281"/>
      <c r="H500" s="599" t="s">
        <v>109</v>
      </c>
      <c r="I500" s="1282"/>
      <c r="J500" s="1282">
        <f t="shared" ref="J500:J501" si="214">J516</f>
        <v>0</v>
      </c>
      <c r="K500" s="1283">
        <f t="shared" ref="K500:K501" si="215">IF(I500&gt;0,J500*100/I500,0)</f>
        <v>0</v>
      </c>
      <c r="L500" s="1284"/>
      <c r="M500" s="1284"/>
      <c r="N500" s="1284"/>
      <c r="O500" s="1284"/>
      <c r="P500" s="1284"/>
      <c r="Q500" s="1264"/>
      <c r="R500" s="1264"/>
      <c r="S500" s="1264"/>
      <c r="T500" s="1264"/>
      <c r="U500" s="1264"/>
      <c r="V500" s="1264"/>
      <c r="W500" s="1264"/>
      <c r="X500" s="1264"/>
      <c r="Y500" s="1264"/>
      <c r="Z500" s="1264"/>
    </row>
    <row r="501" spans="1:26" ht="19.5" hidden="1">
      <c r="A501" s="1285"/>
      <c r="B501" s="1286" t="s">
        <v>220</v>
      </c>
      <c r="C501" s="1286"/>
      <c r="D501" s="1287"/>
      <c r="E501" s="1287"/>
      <c r="F501" s="1287"/>
      <c r="G501" s="1288"/>
      <c r="H501" s="608" t="s">
        <v>35</v>
      </c>
      <c r="I501" s="1289"/>
      <c r="J501" s="1289">
        <f t="shared" si="214"/>
        <v>0</v>
      </c>
      <c r="K501" s="1290">
        <f t="shared" si="215"/>
        <v>0</v>
      </c>
      <c r="L501" s="1291"/>
      <c r="M501" s="1291"/>
      <c r="N501" s="1291"/>
      <c r="O501" s="1291"/>
      <c r="P501" s="1291"/>
      <c r="Q501" s="1264"/>
      <c r="R501" s="1264"/>
      <c r="S501" s="1264"/>
      <c r="T501" s="1264"/>
      <c r="U501" s="1264"/>
      <c r="V501" s="1264"/>
      <c r="W501" s="1264"/>
      <c r="X501" s="1264"/>
      <c r="Y501" s="1264"/>
      <c r="Z501" s="1264"/>
    </row>
    <row r="502" spans="1:26" ht="19.5" hidden="1">
      <c r="A502" s="1260"/>
      <c r="B502" s="1261"/>
      <c r="C502" s="1261" t="s">
        <v>16</v>
      </c>
      <c r="D502" s="1508" t="s">
        <v>17</v>
      </c>
      <c r="E502" s="1485"/>
      <c r="F502" s="1485"/>
      <c r="G502" s="1263"/>
      <c r="H502" s="612" t="s">
        <v>12</v>
      </c>
      <c r="I502" s="836"/>
      <c r="J502" s="836"/>
      <c r="K502" s="837"/>
      <c r="L502" s="1292">
        <f t="shared" ref="L502:N502" si="216">L503+L504</f>
        <v>0</v>
      </c>
      <c r="M502" s="1292">
        <f t="shared" si="216"/>
        <v>0</v>
      </c>
      <c r="N502" s="1292">
        <f t="shared" si="216"/>
        <v>0</v>
      </c>
      <c r="O502" s="1292">
        <f t="shared" ref="O502:O507" si="217">IF(L502&gt;0,N502*100/L502,0)</f>
        <v>0</v>
      </c>
      <c r="P502" s="1292">
        <f t="shared" ref="P502:P507" si="218">IF(M502&gt;0,N502*100/M502,0)</f>
        <v>0</v>
      </c>
      <c r="Q502" s="1264"/>
      <c r="R502" s="1264"/>
      <c r="S502" s="1264"/>
      <c r="T502" s="1264"/>
      <c r="U502" s="1264"/>
      <c r="V502" s="1264"/>
      <c r="W502" s="1264"/>
      <c r="X502" s="1264"/>
      <c r="Y502" s="1264"/>
      <c r="Z502" s="1264"/>
    </row>
    <row r="503" spans="1:26" ht="18.75" hidden="1">
      <c r="A503" s="1260"/>
      <c r="B503" s="1261"/>
      <c r="C503" s="1261"/>
      <c r="D503" s="1262"/>
      <c r="E503" s="1261" t="s">
        <v>184</v>
      </c>
      <c r="F503" s="1261"/>
      <c r="G503" s="1263"/>
      <c r="H503" s="165" t="s">
        <v>12</v>
      </c>
      <c r="I503" s="836"/>
      <c r="J503" s="836"/>
      <c r="K503" s="837"/>
      <c r="L503" s="837">
        <f t="shared" ref="L503:N504" si="219">L506+L513</f>
        <v>0</v>
      </c>
      <c r="M503" s="837">
        <f t="shared" si="219"/>
        <v>0</v>
      </c>
      <c r="N503" s="837">
        <f t="shared" si="219"/>
        <v>0</v>
      </c>
      <c r="O503" s="837">
        <f t="shared" si="217"/>
        <v>0</v>
      </c>
      <c r="P503" s="837">
        <f t="shared" si="218"/>
        <v>0</v>
      </c>
      <c r="Q503" s="1264"/>
      <c r="R503" s="1264"/>
      <c r="S503" s="1264"/>
      <c r="T503" s="1264"/>
      <c r="U503" s="1264"/>
      <c r="V503" s="1264"/>
      <c r="W503" s="1264"/>
      <c r="X503" s="1264"/>
      <c r="Y503" s="1264"/>
      <c r="Z503" s="1264"/>
    </row>
    <row r="504" spans="1:26" ht="18.75" hidden="1">
      <c r="A504" s="1260"/>
      <c r="B504" s="1265"/>
      <c r="C504" s="1261"/>
      <c r="D504" s="1262"/>
      <c r="E504" s="1261" t="s">
        <v>185</v>
      </c>
      <c r="F504" s="1261"/>
      <c r="G504" s="1263"/>
      <c r="H504" s="165" t="s">
        <v>12</v>
      </c>
      <c r="I504" s="836"/>
      <c r="J504" s="836"/>
      <c r="K504" s="837"/>
      <c r="L504" s="837">
        <f t="shared" si="219"/>
        <v>0</v>
      </c>
      <c r="M504" s="837">
        <f t="shared" si="219"/>
        <v>0</v>
      </c>
      <c r="N504" s="837">
        <f t="shared" si="219"/>
        <v>0</v>
      </c>
      <c r="O504" s="837">
        <f t="shared" si="217"/>
        <v>0</v>
      </c>
      <c r="P504" s="837">
        <f t="shared" si="218"/>
        <v>0</v>
      </c>
      <c r="Q504" s="1264"/>
      <c r="R504" s="1264"/>
      <c r="S504" s="1264"/>
      <c r="T504" s="1264"/>
      <c r="U504" s="1264"/>
      <c r="V504" s="1264"/>
      <c r="W504" s="1264"/>
      <c r="X504" s="1264"/>
      <c r="Y504" s="1264"/>
      <c r="Z504" s="1264"/>
    </row>
    <row r="505" spans="1:26" ht="18.75" hidden="1">
      <c r="A505" s="1260"/>
      <c r="B505" s="1265"/>
      <c r="C505" s="1261"/>
      <c r="D505" s="1293" t="s">
        <v>20</v>
      </c>
      <c r="E505" s="1261"/>
      <c r="F505" s="1261"/>
      <c r="G505" s="1263"/>
      <c r="H505" s="165" t="s">
        <v>12</v>
      </c>
      <c r="I505" s="947"/>
      <c r="J505" s="947"/>
      <c r="K505" s="948"/>
      <c r="L505" s="837">
        <f t="shared" ref="L505:N505" si="220">L506+L507</f>
        <v>0</v>
      </c>
      <c r="M505" s="837">
        <f t="shared" si="220"/>
        <v>0</v>
      </c>
      <c r="N505" s="837">
        <f t="shared" si="220"/>
        <v>0</v>
      </c>
      <c r="O505" s="837">
        <f t="shared" si="217"/>
        <v>0</v>
      </c>
      <c r="P505" s="837">
        <f t="shared" si="218"/>
        <v>0</v>
      </c>
      <c r="Q505" s="1264"/>
      <c r="R505" s="1264"/>
      <c r="S505" s="1264"/>
      <c r="T505" s="1264"/>
      <c r="U505" s="1264"/>
      <c r="V505" s="1264"/>
      <c r="W505" s="1264"/>
      <c r="X505" s="1264"/>
      <c r="Y505" s="1264"/>
      <c r="Z505" s="1264"/>
    </row>
    <row r="506" spans="1:26" ht="18.75" hidden="1">
      <c r="A506" s="1260"/>
      <c r="B506" s="1265"/>
      <c r="C506" s="1261"/>
      <c r="D506" s="1262"/>
      <c r="E506" s="1261" t="s">
        <v>184</v>
      </c>
      <c r="F506" s="1261"/>
      <c r="G506" s="1263"/>
      <c r="H506" s="165" t="s">
        <v>12</v>
      </c>
      <c r="I506" s="836"/>
      <c r="J506" s="836"/>
      <c r="K506" s="837"/>
      <c r="L506" s="837">
        <v>0</v>
      </c>
      <c r="M506" s="837">
        <v>0</v>
      </c>
      <c r="N506" s="837">
        <v>0</v>
      </c>
      <c r="O506" s="837">
        <f t="shared" si="217"/>
        <v>0</v>
      </c>
      <c r="P506" s="837">
        <f t="shared" si="218"/>
        <v>0</v>
      </c>
      <c r="Q506" s="1264"/>
      <c r="R506" s="1264"/>
      <c r="S506" s="1264"/>
      <c r="T506" s="1264"/>
      <c r="U506" s="1264"/>
      <c r="V506" s="1264"/>
      <c r="W506" s="1264"/>
      <c r="X506" s="1264"/>
      <c r="Y506" s="1264"/>
      <c r="Z506" s="1264"/>
    </row>
    <row r="507" spans="1:26" ht="18.75" hidden="1">
      <c r="A507" s="1260"/>
      <c r="B507" s="1265"/>
      <c r="C507" s="1261"/>
      <c r="D507" s="1262"/>
      <c r="E507" s="1261" t="s">
        <v>185</v>
      </c>
      <c r="F507" s="1261"/>
      <c r="G507" s="1263"/>
      <c r="H507" s="165" t="s">
        <v>12</v>
      </c>
      <c r="I507" s="836"/>
      <c r="J507" s="836"/>
      <c r="K507" s="837"/>
      <c r="L507" s="837">
        <v>0</v>
      </c>
      <c r="M507" s="837">
        <v>0</v>
      </c>
      <c r="N507" s="837">
        <f>N508+N509+N510+N511</f>
        <v>0</v>
      </c>
      <c r="O507" s="837">
        <f t="shared" si="217"/>
        <v>0</v>
      </c>
      <c r="P507" s="837">
        <f t="shared" si="218"/>
        <v>0</v>
      </c>
      <c r="Q507" s="1264"/>
      <c r="R507" s="1264"/>
      <c r="S507" s="1264"/>
      <c r="T507" s="1264"/>
      <c r="U507" s="1264"/>
      <c r="V507" s="1264"/>
      <c r="W507" s="1264"/>
      <c r="X507" s="1264"/>
      <c r="Y507" s="1264"/>
      <c r="Z507" s="1264"/>
    </row>
    <row r="508" spans="1:26" ht="18.75" hidden="1">
      <c r="A508" s="1294"/>
      <c r="B508" s="1265"/>
      <c r="C508" s="1261"/>
      <c r="D508" s="1261"/>
      <c r="E508" s="1261"/>
      <c r="F508" s="1261" t="s">
        <v>186</v>
      </c>
      <c r="G508" s="1263"/>
      <c r="H508" s="165" t="s">
        <v>12</v>
      </c>
      <c r="I508" s="836"/>
      <c r="J508" s="836"/>
      <c r="K508" s="837"/>
      <c r="L508" s="837"/>
      <c r="M508" s="837"/>
      <c r="N508" s="837">
        <v>0</v>
      </c>
      <c r="O508" s="837"/>
      <c r="P508" s="837"/>
      <c r="Q508" s="1264"/>
      <c r="R508" s="1264"/>
      <c r="S508" s="1264"/>
      <c r="T508" s="1264"/>
      <c r="U508" s="1264"/>
      <c r="V508" s="1264"/>
      <c r="W508" s="1264"/>
      <c r="X508" s="1264"/>
      <c r="Y508" s="1264"/>
      <c r="Z508" s="1264"/>
    </row>
    <row r="509" spans="1:26" ht="18.75" hidden="1">
      <c r="A509" s="1294"/>
      <c r="B509" s="1265"/>
      <c r="C509" s="1261"/>
      <c r="D509" s="1261"/>
      <c r="E509" s="1261"/>
      <c r="F509" s="1261" t="s">
        <v>187</v>
      </c>
      <c r="G509" s="1263"/>
      <c r="H509" s="165" t="s">
        <v>12</v>
      </c>
      <c r="I509" s="836"/>
      <c r="J509" s="836"/>
      <c r="K509" s="837"/>
      <c r="L509" s="837"/>
      <c r="M509" s="837"/>
      <c r="N509" s="837">
        <v>0</v>
      </c>
      <c r="O509" s="837"/>
      <c r="P509" s="837"/>
      <c r="Q509" s="1264"/>
      <c r="R509" s="1264"/>
      <c r="S509" s="1264"/>
      <c r="T509" s="1264"/>
      <c r="U509" s="1264"/>
      <c r="V509" s="1264"/>
      <c r="W509" s="1264"/>
      <c r="X509" s="1264"/>
      <c r="Y509" s="1264"/>
      <c r="Z509" s="1264"/>
    </row>
    <row r="510" spans="1:26" ht="18.75" hidden="1">
      <c r="A510" s="1294"/>
      <c r="B510" s="1265"/>
      <c r="C510" s="1265"/>
      <c r="D510" s="1265"/>
      <c r="E510" s="1261"/>
      <c r="F510" s="1261" t="s">
        <v>188</v>
      </c>
      <c r="G510" s="1263"/>
      <c r="H510" s="165" t="s">
        <v>12</v>
      </c>
      <c r="I510" s="836"/>
      <c r="J510" s="836"/>
      <c r="K510" s="837"/>
      <c r="L510" s="837"/>
      <c r="M510" s="837"/>
      <c r="N510" s="837">
        <v>0</v>
      </c>
      <c r="O510" s="837"/>
      <c r="P510" s="837"/>
      <c r="Q510" s="1264"/>
      <c r="R510" s="1264"/>
      <c r="S510" s="1264"/>
      <c r="T510" s="1264"/>
      <c r="U510" s="1264"/>
      <c r="V510" s="1264"/>
      <c r="W510" s="1264"/>
      <c r="X510" s="1264"/>
      <c r="Y510" s="1264"/>
      <c r="Z510" s="1264"/>
    </row>
    <row r="511" spans="1:26" ht="18.75" hidden="1">
      <c r="A511" s="1294"/>
      <c r="B511" s="1265"/>
      <c r="C511" s="1265"/>
      <c r="D511" s="1265"/>
      <c r="E511" s="1261"/>
      <c r="F511" s="1261" t="s">
        <v>189</v>
      </c>
      <c r="G511" s="1263"/>
      <c r="H511" s="165" t="s">
        <v>12</v>
      </c>
      <c r="I511" s="836"/>
      <c r="J511" s="836"/>
      <c r="K511" s="837"/>
      <c r="L511" s="837"/>
      <c r="M511" s="837"/>
      <c r="N511" s="837">
        <v>0</v>
      </c>
      <c r="O511" s="837"/>
      <c r="P511" s="837"/>
      <c r="Q511" s="1264"/>
      <c r="R511" s="1264"/>
      <c r="S511" s="1264"/>
      <c r="T511" s="1264"/>
      <c r="U511" s="1264"/>
      <c r="V511" s="1264"/>
      <c r="W511" s="1264"/>
      <c r="X511" s="1264"/>
      <c r="Y511" s="1264"/>
      <c r="Z511" s="1264"/>
    </row>
    <row r="512" spans="1:26" ht="18.75" hidden="1">
      <c r="A512" s="1260"/>
      <c r="B512" s="1265"/>
      <c r="C512" s="1265"/>
      <c r="D512" s="1293" t="s">
        <v>21</v>
      </c>
      <c r="E512" s="1265"/>
      <c r="F512" s="1261"/>
      <c r="G512" s="1263"/>
      <c r="H512" s="169" t="s">
        <v>12</v>
      </c>
      <c r="I512" s="947"/>
      <c r="J512" s="947"/>
      <c r="K512" s="948"/>
      <c r="L512" s="837">
        <f t="shared" ref="L512:N512" si="221">L513+L514</f>
        <v>0</v>
      </c>
      <c r="M512" s="837">
        <f t="shared" si="221"/>
        <v>0</v>
      </c>
      <c r="N512" s="837">
        <f t="shared" si="221"/>
        <v>0</v>
      </c>
      <c r="O512" s="837">
        <f t="shared" ref="O512:O514" si="222">IF(L512&gt;0,N512*100/L512,0)</f>
        <v>0</v>
      </c>
      <c r="P512" s="837">
        <f t="shared" ref="P512:P514" si="223">IF(M512&gt;0,N512*100/M512,0)</f>
        <v>0</v>
      </c>
      <c r="Q512" s="1264"/>
      <c r="R512" s="1264"/>
      <c r="S512" s="1264"/>
      <c r="T512" s="1264"/>
      <c r="U512" s="1264"/>
      <c r="V512" s="1264"/>
      <c r="W512" s="1264"/>
      <c r="X512" s="1264"/>
      <c r="Y512" s="1264"/>
      <c r="Z512" s="1264"/>
    </row>
    <row r="513" spans="1:26" ht="18.75" hidden="1">
      <c r="A513" s="1260"/>
      <c r="B513" s="1265"/>
      <c r="C513" s="1265"/>
      <c r="D513" s="1265"/>
      <c r="E513" s="1265" t="s">
        <v>18</v>
      </c>
      <c r="F513" s="1261"/>
      <c r="G513" s="1263"/>
      <c r="H513" s="165" t="s">
        <v>12</v>
      </c>
      <c r="I513" s="947"/>
      <c r="J513" s="947"/>
      <c r="K513" s="948"/>
      <c r="L513" s="837">
        <v>0</v>
      </c>
      <c r="M513" s="837">
        <v>0</v>
      </c>
      <c r="N513" s="837">
        <v>0</v>
      </c>
      <c r="O513" s="837">
        <f t="shared" si="222"/>
        <v>0</v>
      </c>
      <c r="P513" s="837">
        <f t="shared" si="223"/>
        <v>0</v>
      </c>
      <c r="Q513" s="1264"/>
      <c r="R513" s="1264"/>
      <c r="S513" s="1264"/>
      <c r="T513" s="1264"/>
      <c r="U513" s="1264"/>
      <c r="V513" s="1264"/>
      <c r="W513" s="1264"/>
      <c r="X513" s="1264"/>
      <c r="Y513" s="1264"/>
      <c r="Z513" s="1264"/>
    </row>
    <row r="514" spans="1:26" ht="18.75" hidden="1">
      <c r="A514" s="1260"/>
      <c r="B514" s="1265"/>
      <c r="C514" s="1265"/>
      <c r="D514" s="1261"/>
      <c r="E514" s="1265" t="s">
        <v>19</v>
      </c>
      <c r="F514" s="1261"/>
      <c r="G514" s="1263"/>
      <c r="H514" s="169" t="s">
        <v>12</v>
      </c>
      <c r="I514" s="947"/>
      <c r="J514" s="947"/>
      <c r="K514" s="948"/>
      <c r="L514" s="837">
        <v>0</v>
      </c>
      <c r="M514" s="837">
        <v>0</v>
      </c>
      <c r="N514" s="837">
        <v>0</v>
      </c>
      <c r="O514" s="837">
        <f t="shared" si="222"/>
        <v>0</v>
      </c>
      <c r="P514" s="837">
        <f t="shared" si="223"/>
        <v>0</v>
      </c>
      <c r="Q514" s="1264"/>
      <c r="R514" s="1264"/>
      <c r="S514" s="1264"/>
      <c r="T514" s="1264"/>
      <c r="U514" s="1264"/>
      <c r="V514" s="1264"/>
      <c r="W514" s="1264"/>
      <c r="X514" s="1264"/>
      <c r="Y514" s="1264"/>
      <c r="Z514" s="1264"/>
    </row>
    <row r="515" spans="1:26" ht="19.5" hidden="1">
      <c r="A515" s="1273"/>
      <c r="B515" s="1274"/>
      <c r="C515" s="1265" t="s">
        <v>16</v>
      </c>
      <c r="D515" s="1295" t="s">
        <v>38</v>
      </c>
      <c r="E515" s="1296"/>
      <c r="F515" s="1296"/>
      <c r="G515" s="1297"/>
      <c r="H515" s="1060"/>
      <c r="I515" s="947"/>
      <c r="J515" s="947"/>
      <c r="K515" s="948"/>
      <c r="L515" s="948"/>
      <c r="M515" s="948"/>
      <c r="N515" s="948"/>
      <c r="O515" s="948"/>
      <c r="P515" s="948"/>
      <c r="Q515" s="1264"/>
      <c r="R515" s="1264"/>
      <c r="S515" s="1264"/>
      <c r="T515" s="1264"/>
      <c r="U515" s="1264"/>
      <c r="V515" s="1264"/>
      <c r="W515" s="1264"/>
      <c r="X515" s="1264"/>
      <c r="Y515" s="1264"/>
      <c r="Z515" s="1264"/>
    </row>
    <row r="516" spans="1:26" ht="18.75" hidden="1">
      <c r="A516" s="1273"/>
      <c r="B516" s="1274"/>
      <c r="C516" s="1274"/>
      <c r="D516" s="1274" t="s">
        <v>221</v>
      </c>
      <c r="E516" s="1262"/>
      <c r="F516" s="1262"/>
      <c r="G516" s="1060"/>
      <c r="H516" s="619" t="s">
        <v>109</v>
      </c>
      <c r="I516" s="836"/>
      <c r="J516" s="836">
        <v>0</v>
      </c>
      <c r="K516" s="948">
        <f t="shared" ref="K516:K517" si="224">IF(I516&gt;0,J516*100/I516,0)</f>
        <v>0</v>
      </c>
      <c r="L516" s="948"/>
      <c r="M516" s="948"/>
      <c r="N516" s="948"/>
      <c r="O516" s="948"/>
      <c r="P516" s="948"/>
      <c r="Q516" s="1264"/>
      <c r="R516" s="1264"/>
      <c r="S516" s="1264"/>
      <c r="T516" s="1264"/>
      <c r="U516" s="1264"/>
      <c r="V516" s="1264"/>
      <c r="W516" s="1264"/>
      <c r="X516" s="1264"/>
      <c r="Y516" s="1264"/>
      <c r="Z516" s="1264"/>
    </row>
    <row r="517" spans="1:26" ht="19.5" hidden="1">
      <c r="A517" s="1273"/>
      <c r="B517" s="1274"/>
      <c r="C517" s="1274"/>
      <c r="D517" s="1274" t="s">
        <v>222</v>
      </c>
      <c r="E517" s="1262"/>
      <c r="F517" s="1262"/>
      <c r="G517" s="1060"/>
      <c r="H517" s="620" t="s">
        <v>35</v>
      </c>
      <c r="I517" s="1298"/>
      <c r="J517" s="1298">
        <f>J518+J519</f>
        <v>0</v>
      </c>
      <c r="K517" s="1299">
        <f t="shared" si="224"/>
        <v>0</v>
      </c>
      <c r="L517" s="948"/>
      <c r="M517" s="948"/>
      <c r="N517" s="948"/>
      <c r="O517" s="948"/>
      <c r="P517" s="948"/>
      <c r="Q517" s="1264"/>
      <c r="R517" s="1264"/>
      <c r="S517" s="1264"/>
      <c r="T517" s="1264"/>
      <c r="U517" s="1264"/>
      <c r="V517" s="1264"/>
      <c r="W517" s="1264"/>
      <c r="X517" s="1264"/>
      <c r="Y517" s="1264"/>
      <c r="Z517" s="1264"/>
    </row>
    <row r="518" spans="1:26" ht="18.75" hidden="1">
      <c r="A518" s="1273"/>
      <c r="B518" s="1274"/>
      <c r="C518" s="1274"/>
      <c r="D518" s="1274"/>
      <c r="E518" s="1274" t="s">
        <v>223</v>
      </c>
      <c r="F518" s="1262"/>
      <c r="G518" s="1060"/>
      <c r="H518" s="583" t="s">
        <v>35</v>
      </c>
      <c r="I518" s="836"/>
      <c r="J518" s="836"/>
      <c r="K518" s="948"/>
      <c r="L518" s="948"/>
      <c r="M518" s="948"/>
      <c r="N518" s="948"/>
      <c r="O518" s="948"/>
      <c r="P518" s="948"/>
      <c r="Q518" s="1264"/>
      <c r="R518" s="1264"/>
      <c r="S518" s="1264"/>
      <c r="T518" s="1264"/>
      <c r="U518" s="1264"/>
      <c r="V518" s="1264"/>
      <c r="W518" s="1264"/>
      <c r="X518" s="1264"/>
      <c r="Y518" s="1264"/>
      <c r="Z518" s="1264"/>
    </row>
    <row r="519" spans="1:26" ht="18.75" hidden="1">
      <c r="A519" s="1273"/>
      <c r="B519" s="1274"/>
      <c r="C519" s="1274"/>
      <c r="D519" s="1274"/>
      <c r="E519" s="1274" t="s">
        <v>224</v>
      </c>
      <c r="F519" s="1262"/>
      <c r="G519" s="1060"/>
      <c r="H519" s="619" t="s">
        <v>35</v>
      </c>
      <c r="I519" s="836"/>
      <c r="J519" s="836"/>
      <c r="K519" s="948"/>
      <c r="L519" s="948"/>
      <c r="M519" s="948"/>
      <c r="N519" s="948"/>
      <c r="O519" s="948"/>
      <c r="P519" s="948"/>
      <c r="Q519" s="1264"/>
      <c r="R519" s="1264"/>
      <c r="S519" s="1264"/>
      <c r="T519" s="1264"/>
      <c r="U519" s="1264"/>
      <c r="V519" s="1264"/>
      <c r="W519" s="1264"/>
      <c r="X519" s="1264"/>
      <c r="Y519" s="1264"/>
      <c r="Z519" s="1264"/>
    </row>
    <row r="520" spans="1:26" ht="19.5">
      <c r="A520" s="1300" t="s">
        <v>137</v>
      </c>
      <c r="B520" s="1301"/>
      <c r="C520" s="1301"/>
      <c r="D520" s="1302"/>
      <c r="E520" s="1302"/>
      <c r="F520" s="1302"/>
      <c r="G520" s="1303"/>
      <c r="H520" s="1304"/>
      <c r="I520" s="1305"/>
      <c r="J520" s="1305"/>
      <c r="K520" s="1306"/>
      <c r="L520" s="1306"/>
      <c r="M520" s="1306"/>
      <c r="N520" s="1306"/>
      <c r="O520" s="1306"/>
      <c r="P520" s="1306"/>
    </row>
    <row r="521" spans="1:26" ht="19.5" hidden="1">
      <c r="A521" s="630">
        <v>5</v>
      </c>
      <c r="B521" s="1307" t="s">
        <v>225</v>
      </c>
      <c r="C521" s="1308"/>
      <c r="D521" s="1309"/>
      <c r="E521" s="1309"/>
      <c r="F521" s="1309"/>
      <c r="G521" s="1309"/>
      <c r="H521" s="1310"/>
      <c r="I521" s="1311"/>
      <c r="J521" s="1311"/>
      <c r="K521" s="1312"/>
      <c r="L521" s="1312"/>
      <c r="M521" s="1312"/>
      <c r="N521" s="1312"/>
      <c r="O521" s="1312"/>
      <c r="P521" s="1312"/>
      <c r="Q521" s="1244"/>
      <c r="R521" s="1244"/>
      <c r="S521" s="1244"/>
      <c r="T521" s="1244"/>
      <c r="U521" s="1244"/>
      <c r="V521" s="1244"/>
      <c r="W521" s="1244"/>
      <c r="X521" s="1244"/>
      <c r="Y521" s="1244"/>
      <c r="Z521" s="1244"/>
    </row>
    <row r="522" spans="1:26" ht="19.5" hidden="1">
      <c r="A522" s="1313"/>
      <c r="B522" s="1314" t="s">
        <v>226</v>
      </c>
      <c r="C522" s="1315"/>
      <c r="D522" s="1315"/>
      <c r="E522" s="1315"/>
      <c r="F522" s="1315"/>
      <c r="G522" s="1316"/>
      <c r="H522" s="641" t="s">
        <v>35</v>
      </c>
      <c r="I522" s="1317">
        <f t="shared" ref="I522:J522" ca="1" si="225">I537</f>
        <v>0</v>
      </c>
      <c r="J522" s="1317">
        <f t="shared" ca="1" si="225"/>
        <v>0</v>
      </c>
      <c r="K522" s="1318">
        <f ca="1">IF(I522&gt;0,J522*100/I522,0)</f>
        <v>0</v>
      </c>
      <c r="L522" s="1319"/>
      <c r="M522" s="1319"/>
      <c r="N522" s="1319"/>
      <c r="O522" s="1319"/>
      <c r="P522" s="1319"/>
      <c r="Q522" s="1244"/>
      <c r="R522" s="1244"/>
      <c r="S522" s="1244"/>
      <c r="T522" s="1244"/>
      <c r="U522" s="1244"/>
      <c r="V522" s="1244"/>
      <c r="W522" s="1244"/>
      <c r="X522" s="1244"/>
      <c r="Y522" s="1244"/>
      <c r="Z522" s="1244"/>
    </row>
    <row r="523" spans="1:26" ht="19.5" hidden="1">
      <c r="A523" s="1259"/>
      <c r="B523" s="1243"/>
      <c r="C523" s="1243" t="s">
        <v>16</v>
      </c>
      <c r="D523" s="1507" t="s">
        <v>17</v>
      </c>
      <c r="E523" s="1485"/>
      <c r="F523" s="1485"/>
      <c r="G523" s="963"/>
      <c r="H523" s="563" t="s">
        <v>12</v>
      </c>
      <c r="I523" s="830"/>
      <c r="J523" s="830"/>
      <c r="K523" s="831"/>
      <c r="L523" s="967">
        <f t="shared" ref="L523:N523" ca="1" si="226">L524+L525</f>
        <v>0</v>
      </c>
      <c r="M523" s="967">
        <f t="shared" si="226"/>
        <v>0</v>
      </c>
      <c r="N523" s="967">
        <f t="shared" si="226"/>
        <v>0</v>
      </c>
      <c r="O523" s="967">
        <f t="shared" ref="O523:O528" ca="1" si="227">IF(L523&gt;0,N523*100/L523,0)</f>
        <v>0</v>
      </c>
      <c r="P523" s="967">
        <f t="shared" ref="P523:P528" si="228">IF(M523&gt;0,N523*100/M523,0)</f>
        <v>0</v>
      </c>
      <c r="Q523" s="1244"/>
      <c r="R523" s="1244"/>
      <c r="S523" s="1244"/>
      <c r="T523" s="1244"/>
      <c r="U523" s="1244"/>
      <c r="V523" s="1244"/>
      <c r="W523" s="1244"/>
      <c r="X523" s="1244"/>
      <c r="Y523" s="1244"/>
      <c r="Z523" s="1244"/>
    </row>
    <row r="524" spans="1:26" ht="18.75" hidden="1">
      <c r="A524" s="1260"/>
      <c r="B524" s="1261"/>
      <c r="C524" s="1261"/>
      <c r="D524" s="1262"/>
      <c r="E524" s="1261" t="s">
        <v>184</v>
      </c>
      <c r="F524" s="1261"/>
      <c r="G524" s="1263"/>
      <c r="H524" s="165" t="s">
        <v>12</v>
      </c>
      <c r="I524" s="836"/>
      <c r="J524" s="836"/>
      <c r="K524" s="837"/>
      <c r="L524" s="837">
        <f t="shared" ref="L524:N525" si="229">L527+L534</f>
        <v>0</v>
      </c>
      <c r="M524" s="837">
        <f t="shared" si="229"/>
        <v>0</v>
      </c>
      <c r="N524" s="837">
        <f t="shared" si="229"/>
        <v>0</v>
      </c>
      <c r="O524" s="837">
        <f t="shared" si="227"/>
        <v>0</v>
      </c>
      <c r="P524" s="837">
        <f t="shared" si="228"/>
        <v>0</v>
      </c>
      <c r="Q524" s="1264"/>
      <c r="R524" s="1264"/>
      <c r="S524" s="1264"/>
      <c r="T524" s="1264"/>
      <c r="U524" s="1264"/>
      <c r="V524" s="1264"/>
      <c r="W524" s="1264"/>
      <c r="X524" s="1264"/>
      <c r="Y524" s="1264"/>
      <c r="Z524" s="1264"/>
    </row>
    <row r="525" spans="1:26" ht="18.75" hidden="1">
      <c r="A525" s="1260"/>
      <c r="B525" s="1265"/>
      <c r="C525" s="1261"/>
      <c r="D525" s="1262"/>
      <c r="E525" s="1261" t="s">
        <v>185</v>
      </c>
      <c r="F525" s="1261"/>
      <c r="G525" s="1263"/>
      <c r="H525" s="165" t="s">
        <v>12</v>
      </c>
      <c r="I525" s="836"/>
      <c r="J525" s="836"/>
      <c r="K525" s="837"/>
      <c r="L525" s="837">
        <f t="shared" ca="1" si="229"/>
        <v>0</v>
      </c>
      <c r="M525" s="837">
        <f t="shared" si="229"/>
        <v>0</v>
      </c>
      <c r="N525" s="837">
        <f t="shared" si="229"/>
        <v>0</v>
      </c>
      <c r="O525" s="837">
        <f t="shared" ca="1" si="227"/>
        <v>0</v>
      </c>
      <c r="P525" s="837">
        <f t="shared" si="228"/>
        <v>0</v>
      </c>
      <c r="Q525" s="1264"/>
      <c r="R525" s="1264"/>
      <c r="S525" s="1264"/>
      <c r="T525" s="1264"/>
      <c r="U525" s="1264"/>
      <c r="V525" s="1264"/>
      <c r="W525" s="1264"/>
      <c r="X525" s="1264"/>
      <c r="Y525" s="1264"/>
      <c r="Z525" s="1264"/>
    </row>
    <row r="526" spans="1:26" ht="18.75" hidden="1">
      <c r="A526" s="1259"/>
      <c r="B526" s="1242"/>
      <c r="C526" s="1243"/>
      <c r="D526" s="1266" t="s">
        <v>20</v>
      </c>
      <c r="E526" s="1243"/>
      <c r="F526" s="1243"/>
      <c r="G526" s="963"/>
      <c r="H526" s="778" t="s">
        <v>12</v>
      </c>
      <c r="I526" s="944"/>
      <c r="J526" s="944"/>
      <c r="K526" s="945"/>
      <c r="L526" s="831">
        <f t="shared" ref="L526:N526" ca="1" si="230">L527+L528</f>
        <v>0</v>
      </c>
      <c r="M526" s="831">
        <f t="shared" si="230"/>
        <v>0</v>
      </c>
      <c r="N526" s="831">
        <f t="shared" si="230"/>
        <v>0</v>
      </c>
      <c r="O526" s="831">
        <f t="shared" ca="1" si="227"/>
        <v>0</v>
      </c>
      <c r="P526" s="831">
        <f t="shared" si="228"/>
        <v>0</v>
      </c>
      <c r="Q526" s="1244"/>
      <c r="R526" s="1244"/>
      <c r="S526" s="1244"/>
      <c r="T526" s="1244"/>
      <c r="U526" s="1244"/>
      <c r="V526" s="1244"/>
      <c r="W526" s="1244"/>
      <c r="X526" s="1244"/>
      <c r="Y526" s="1244"/>
      <c r="Z526" s="1244"/>
    </row>
    <row r="527" spans="1:26" ht="18.75" hidden="1">
      <c r="A527" s="1260"/>
      <c r="B527" s="1265"/>
      <c r="C527" s="1261"/>
      <c r="D527" s="1262"/>
      <c r="E527" s="1261" t="s">
        <v>184</v>
      </c>
      <c r="F527" s="1261"/>
      <c r="G527" s="1263"/>
      <c r="H527" s="165" t="s">
        <v>12</v>
      </c>
      <c r="I527" s="836"/>
      <c r="J527" s="836"/>
      <c r="K527" s="837"/>
      <c r="L527" s="837">
        <v>0</v>
      </c>
      <c r="M527" s="837">
        <v>0</v>
      </c>
      <c r="N527" s="837">
        <v>0</v>
      </c>
      <c r="O527" s="837">
        <f t="shared" si="227"/>
        <v>0</v>
      </c>
      <c r="P527" s="837">
        <f t="shared" si="228"/>
        <v>0</v>
      </c>
      <c r="Q527" s="1264"/>
      <c r="R527" s="1264"/>
      <c r="S527" s="1264"/>
      <c r="T527" s="1264"/>
      <c r="U527" s="1264"/>
      <c r="V527" s="1264"/>
      <c r="W527" s="1264"/>
      <c r="X527" s="1264"/>
      <c r="Y527" s="1264"/>
      <c r="Z527" s="1264"/>
    </row>
    <row r="528" spans="1:26" ht="18.75" hidden="1">
      <c r="A528" s="1260"/>
      <c r="B528" s="1265"/>
      <c r="C528" s="1261"/>
      <c r="D528" s="1262"/>
      <c r="E528" s="1261" t="s">
        <v>185</v>
      </c>
      <c r="F528" s="1261"/>
      <c r="G528" s="1263"/>
      <c r="H528" s="165" t="s">
        <v>12</v>
      </c>
      <c r="I528" s="836"/>
      <c r="J528" s="836"/>
      <c r="K528" s="837"/>
      <c r="L528" s="837">
        <f ca="1">IFERROR(__xludf.DUMMYFUNCTION("IMPORTRANGE(""https://docs.google.com/spreadsheets/d/1QqKyyYR6Q21VydFLVH3TRQUabQu_ym0Zz7PgGX0-kHA/edit?usp=sharing"",""แผน!GQ21"")"),0)</f>
        <v>0</v>
      </c>
      <c r="M528" s="837">
        <v>0</v>
      </c>
      <c r="N528" s="837">
        <f>N529+N530+N531+N532</f>
        <v>0</v>
      </c>
      <c r="O528" s="837">
        <f t="shared" ca="1" si="227"/>
        <v>0</v>
      </c>
      <c r="P528" s="837">
        <f t="shared" si="228"/>
        <v>0</v>
      </c>
      <c r="Q528" s="1264"/>
      <c r="R528" s="1264"/>
      <c r="S528" s="1264"/>
      <c r="T528" s="1264"/>
      <c r="U528" s="1264"/>
      <c r="V528" s="1264"/>
      <c r="W528" s="1264"/>
      <c r="X528" s="1264"/>
      <c r="Y528" s="1264"/>
      <c r="Z528" s="1264"/>
    </row>
    <row r="529" spans="1:26" ht="18.75" hidden="1">
      <c r="A529" s="1241"/>
      <c r="B529" s="1242"/>
      <c r="C529" s="1243"/>
      <c r="D529" s="1243"/>
      <c r="E529" s="1243"/>
      <c r="F529" s="1243" t="s">
        <v>186</v>
      </c>
      <c r="G529" s="963"/>
      <c r="H529" s="778" t="s">
        <v>12</v>
      </c>
      <c r="I529" s="830"/>
      <c r="J529" s="830"/>
      <c r="K529" s="831"/>
      <c r="L529" s="831"/>
      <c r="M529" s="831"/>
      <c r="N529" s="1031">
        <v>0</v>
      </c>
      <c r="O529" s="831"/>
      <c r="P529" s="831"/>
      <c r="Q529" s="1244"/>
      <c r="R529" s="1244"/>
      <c r="S529" s="1244"/>
      <c r="T529" s="1244"/>
      <c r="U529" s="1244"/>
      <c r="V529" s="1244"/>
      <c r="W529" s="1244"/>
      <c r="X529" s="1244"/>
      <c r="Y529" s="1244"/>
      <c r="Z529" s="1244"/>
    </row>
    <row r="530" spans="1:26" ht="18.75" hidden="1">
      <c r="A530" s="1241"/>
      <c r="B530" s="1242"/>
      <c r="C530" s="1243"/>
      <c r="D530" s="1243"/>
      <c r="E530" s="1243"/>
      <c r="F530" s="1243" t="s">
        <v>187</v>
      </c>
      <c r="G530" s="963"/>
      <c r="H530" s="778" t="s">
        <v>12</v>
      </c>
      <c r="I530" s="830"/>
      <c r="J530" s="830"/>
      <c r="K530" s="831"/>
      <c r="L530" s="831"/>
      <c r="M530" s="831"/>
      <c r="N530" s="1031">
        <v>0</v>
      </c>
      <c r="O530" s="831"/>
      <c r="P530" s="831"/>
      <c r="Q530" s="1244"/>
      <c r="R530" s="1244"/>
      <c r="S530" s="1244"/>
      <c r="T530" s="1244"/>
      <c r="U530" s="1244"/>
      <c r="V530" s="1244"/>
      <c r="W530" s="1244"/>
      <c r="X530" s="1244"/>
      <c r="Y530" s="1244"/>
      <c r="Z530" s="1244"/>
    </row>
    <row r="531" spans="1:26" ht="18.75" hidden="1">
      <c r="A531" s="1241"/>
      <c r="B531" s="1242"/>
      <c r="C531" s="1243"/>
      <c r="D531" s="1243"/>
      <c r="E531" s="1243"/>
      <c r="F531" s="1243" t="s">
        <v>188</v>
      </c>
      <c r="G531" s="963"/>
      <c r="H531" s="778" t="s">
        <v>12</v>
      </c>
      <c r="I531" s="830"/>
      <c r="J531" s="830"/>
      <c r="K531" s="831"/>
      <c r="L531" s="831"/>
      <c r="M531" s="831"/>
      <c r="N531" s="1031">
        <v>0</v>
      </c>
      <c r="O531" s="831"/>
      <c r="P531" s="831"/>
      <c r="Q531" s="1244"/>
      <c r="R531" s="1244"/>
      <c r="S531" s="1244"/>
      <c r="T531" s="1244"/>
      <c r="U531" s="1244"/>
      <c r="V531" s="1244"/>
      <c r="W531" s="1244"/>
      <c r="X531" s="1244"/>
      <c r="Y531" s="1244"/>
      <c r="Z531" s="1244"/>
    </row>
    <row r="532" spans="1:26" ht="18.75" hidden="1">
      <c r="A532" s="1241"/>
      <c r="B532" s="1242"/>
      <c r="C532" s="1243"/>
      <c r="D532" s="1243"/>
      <c r="E532" s="1243"/>
      <c r="F532" s="1243" t="s">
        <v>189</v>
      </c>
      <c r="G532" s="963"/>
      <c r="H532" s="778" t="s">
        <v>12</v>
      </c>
      <c r="I532" s="830"/>
      <c r="J532" s="830"/>
      <c r="K532" s="831"/>
      <c r="L532" s="831"/>
      <c r="M532" s="831"/>
      <c r="N532" s="1031">
        <v>0</v>
      </c>
      <c r="O532" s="831"/>
      <c r="P532" s="831"/>
      <c r="Q532" s="1244"/>
      <c r="R532" s="1244"/>
      <c r="S532" s="1244"/>
      <c r="T532" s="1244"/>
      <c r="U532" s="1244"/>
      <c r="V532" s="1244"/>
      <c r="W532" s="1244"/>
      <c r="X532" s="1244"/>
      <c r="Y532" s="1244"/>
      <c r="Z532" s="1244"/>
    </row>
    <row r="533" spans="1:26" ht="18.75" hidden="1">
      <c r="A533" s="1259"/>
      <c r="B533" s="1242"/>
      <c r="C533" s="1243"/>
      <c r="D533" s="1266" t="s">
        <v>21</v>
      </c>
      <c r="E533" s="1243"/>
      <c r="F533" s="1243"/>
      <c r="G533" s="963"/>
      <c r="H533" s="168" t="s">
        <v>12</v>
      </c>
      <c r="I533" s="944"/>
      <c r="J533" s="944"/>
      <c r="K533" s="945"/>
      <c r="L533" s="831">
        <f t="shared" ref="L533:N533" ca="1" si="231">L534+L535</f>
        <v>0</v>
      </c>
      <c r="M533" s="831">
        <f t="shared" si="231"/>
        <v>0</v>
      </c>
      <c r="N533" s="831">
        <f t="shared" si="231"/>
        <v>0</v>
      </c>
      <c r="O533" s="831">
        <f t="shared" ref="O533:O535" ca="1" si="232">IF(L533&gt;0,N533*100/L533,0)</f>
        <v>0</v>
      </c>
      <c r="P533" s="831">
        <f t="shared" ref="P533:P535" si="233">IF(M533&gt;0,N533*100/M533,0)</f>
        <v>0</v>
      </c>
      <c r="Q533" s="1244"/>
      <c r="R533" s="1244"/>
      <c r="S533" s="1244"/>
      <c r="T533" s="1244"/>
      <c r="U533" s="1244"/>
      <c r="V533" s="1244"/>
      <c r="W533" s="1244"/>
      <c r="X533" s="1244"/>
      <c r="Y533" s="1244"/>
      <c r="Z533" s="1244"/>
    </row>
    <row r="534" spans="1:26" ht="18.75" hidden="1">
      <c r="A534" s="1260"/>
      <c r="B534" s="1265"/>
      <c r="C534" s="1261"/>
      <c r="D534" s="1261"/>
      <c r="E534" s="1261" t="s">
        <v>18</v>
      </c>
      <c r="F534" s="1261"/>
      <c r="G534" s="1263"/>
      <c r="H534" s="165" t="s">
        <v>12</v>
      </c>
      <c r="I534" s="947"/>
      <c r="J534" s="947"/>
      <c r="K534" s="948"/>
      <c r="L534" s="837">
        <v>0</v>
      </c>
      <c r="M534" s="837">
        <v>0</v>
      </c>
      <c r="N534" s="837">
        <v>0</v>
      </c>
      <c r="O534" s="837">
        <f t="shared" si="232"/>
        <v>0</v>
      </c>
      <c r="P534" s="837">
        <f t="shared" si="233"/>
        <v>0</v>
      </c>
      <c r="Q534" s="1264"/>
      <c r="R534" s="1264"/>
      <c r="S534" s="1264"/>
      <c r="T534" s="1264"/>
      <c r="U534" s="1264"/>
      <c r="V534" s="1264"/>
      <c r="W534" s="1264"/>
      <c r="X534" s="1264"/>
      <c r="Y534" s="1264"/>
      <c r="Z534" s="1264"/>
    </row>
    <row r="535" spans="1:26" ht="18.75" hidden="1">
      <c r="A535" s="1260"/>
      <c r="B535" s="1265"/>
      <c r="C535" s="1261"/>
      <c r="D535" s="1261"/>
      <c r="E535" s="1261" t="s">
        <v>19</v>
      </c>
      <c r="F535" s="1261"/>
      <c r="G535" s="1263"/>
      <c r="H535" s="169" t="s">
        <v>12</v>
      </c>
      <c r="I535" s="947"/>
      <c r="J535" s="947"/>
      <c r="K535" s="948"/>
      <c r="L535" s="837">
        <f ca="1">IFERROR(__xludf.DUMMYFUNCTION("IMPORTRANGE(""https://docs.google.com/spreadsheets/d/1QqKyyYR6Q21VydFLVH3TRQUabQu_ym0Zz7PgGX0-kHA/edit?usp=sharing"",""แผน!GT21"")"),0)</f>
        <v>0</v>
      </c>
      <c r="M535" s="837">
        <v>0</v>
      </c>
      <c r="N535" s="837">
        <v>0</v>
      </c>
      <c r="O535" s="837">
        <f t="shared" ca="1" si="232"/>
        <v>0</v>
      </c>
      <c r="P535" s="837">
        <f t="shared" si="233"/>
        <v>0</v>
      </c>
      <c r="Q535" s="1264"/>
      <c r="R535" s="1264"/>
      <c r="S535" s="1264"/>
      <c r="T535" s="1264"/>
      <c r="U535" s="1264"/>
      <c r="V535" s="1264"/>
      <c r="W535" s="1264"/>
      <c r="X535" s="1264"/>
      <c r="Y535" s="1264"/>
      <c r="Z535" s="1264"/>
    </row>
    <row r="536" spans="1:26" ht="19.5" hidden="1">
      <c r="A536" s="1267"/>
      <c r="B536" s="1268"/>
      <c r="C536" s="1243" t="s">
        <v>16</v>
      </c>
      <c r="D536" s="1320" t="s">
        <v>38</v>
      </c>
      <c r="E536" s="1271"/>
      <c r="F536" s="1271"/>
      <c r="G536" s="1272"/>
      <c r="H536" s="954"/>
      <c r="I536" s="944"/>
      <c r="J536" s="944"/>
      <c r="K536" s="945"/>
      <c r="L536" s="945"/>
      <c r="M536" s="945"/>
      <c r="N536" s="945"/>
      <c r="O536" s="945"/>
      <c r="P536" s="945"/>
      <c r="Q536" s="1244"/>
      <c r="R536" s="1244"/>
      <c r="S536" s="1244"/>
      <c r="T536" s="1244"/>
      <c r="U536" s="1244"/>
      <c r="V536" s="1244"/>
      <c r="W536" s="1244"/>
      <c r="X536" s="1244"/>
      <c r="Y536" s="1244"/>
      <c r="Z536" s="1244"/>
    </row>
    <row r="537" spans="1:26" ht="19.5" hidden="1">
      <c r="A537" s="1241"/>
      <c r="B537" s="1242"/>
      <c r="C537" s="1243"/>
      <c r="D537" s="1243" t="s">
        <v>227</v>
      </c>
      <c r="E537" s="1243"/>
      <c r="F537" s="1243"/>
      <c r="G537" s="963"/>
      <c r="H537" s="590" t="s">
        <v>35</v>
      </c>
      <c r="I537" s="966">
        <f ca="1">IFERROR(__xludf.DUMMYFUNCTION("IMPORTRANGE(""https://docs.google.com/spreadsheets/d/1QqKyyYR6Q21VydFLVH3TRQUabQu_ym0Zz7PgGX0-kHA/edit?usp=sharing"",""แผน!GU21"")"),0)</f>
        <v>0</v>
      </c>
      <c r="J537" s="966">
        <f ca="1">IF(AND(J538=I538,J539=I539,J540=I540,J541=I541),I537,0)</f>
        <v>0</v>
      </c>
      <c r="K537" s="831">
        <f t="shared" ref="K537:K543" ca="1" si="234">IF(I537&gt;0,J537*100/I537,0)</f>
        <v>0</v>
      </c>
      <c r="L537" s="831"/>
      <c r="M537" s="831"/>
      <c r="N537" s="831"/>
      <c r="O537" s="831"/>
      <c r="P537" s="831"/>
      <c r="Q537" s="1321"/>
      <c r="R537" s="1321"/>
      <c r="S537" s="1321"/>
      <c r="T537" s="1321"/>
      <c r="U537" s="1321"/>
      <c r="V537" s="1321"/>
      <c r="W537" s="1321"/>
      <c r="X537" s="1321"/>
      <c r="Y537" s="1321"/>
      <c r="Z537" s="1321"/>
    </row>
    <row r="538" spans="1:26" ht="18.75" hidden="1">
      <c r="A538" s="1241"/>
      <c r="B538" s="1242"/>
      <c r="C538" s="1243"/>
      <c r="D538" s="1243"/>
      <c r="E538" s="1243" t="s">
        <v>228</v>
      </c>
      <c r="F538" s="1243"/>
      <c r="G538" s="963"/>
      <c r="H538" s="590" t="s">
        <v>35</v>
      </c>
      <c r="I538" s="830">
        <f ca="1">IFERROR(__xludf.DUMMYFUNCTION("IMPORTRANGE(""https://docs.google.com/spreadsheets/d/1QqKyyYR6Q21VydFLVH3TRQUabQu_ym0Zz7PgGX0-kHA/edit?usp=sharing"",""แผน!GV21"")"),0)</f>
        <v>0</v>
      </c>
      <c r="J538" s="959">
        <v>0</v>
      </c>
      <c r="K538" s="831">
        <f t="shared" ca="1" si="234"/>
        <v>0</v>
      </c>
      <c r="L538" s="831"/>
      <c r="M538" s="831"/>
      <c r="N538" s="831"/>
      <c r="O538" s="831"/>
      <c r="P538" s="831"/>
      <c r="Q538" s="1321"/>
      <c r="R538" s="1321"/>
      <c r="S538" s="1321"/>
      <c r="T538" s="1321"/>
      <c r="U538" s="1321"/>
      <c r="V538" s="1321"/>
      <c r="W538" s="1321"/>
      <c r="X538" s="1321"/>
      <c r="Y538" s="1321"/>
      <c r="Z538" s="1321"/>
    </row>
    <row r="539" spans="1:26" ht="18.75" hidden="1">
      <c r="A539" s="1241"/>
      <c r="B539" s="1242"/>
      <c r="C539" s="1243"/>
      <c r="D539" s="1243"/>
      <c r="E539" s="1243" t="s">
        <v>229</v>
      </c>
      <c r="F539" s="1243"/>
      <c r="G539" s="963"/>
      <c r="H539" s="590" t="s">
        <v>35</v>
      </c>
      <c r="I539" s="830">
        <f ca="1">IFERROR(__xludf.DUMMYFUNCTION("IMPORTRANGE(""https://docs.google.com/spreadsheets/d/1QqKyyYR6Q21VydFLVH3TRQUabQu_ym0Zz7PgGX0-kHA/edit?usp=sharing"",""แผน!GW21"")"),0)</f>
        <v>0</v>
      </c>
      <c r="J539" s="959">
        <v>0</v>
      </c>
      <c r="K539" s="831">
        <f t="shared" ca="1" si="234"/>
        <v>0</v>
      </c>
      <c r="L539" s="831"/>
      <c r="M539" s="831"/>
      <c r="N539" s="831"/>
      <c r="O539" s="831"/>
      <c r="P539" s="831"/>
      <c r="Q539" s="1321"/>
      <c r="R539" s="1321"/>
      <c r="S539" s="1321"/>
      <c r="T539" s="1321"/>
      <c r="U539" s="1321"/>
      <c r="V539" s="1321"/>
      <c r="W539" s="1321"/>
      <c r="X539" s="1321"/>
      <c r="Y539" s="1321"/>
      <c r="Z539" s="1321"/>
    </row>
    <row r="540" spans="1:26" ht="18.75" hidden="1">
      <c r="A540" s="1241"/>
      <c r="B540" s="1242"/>
      <c r="C540" s="1243"/>
      <c r="D540" s="1243"/>
      <c r="E540" s="1243" t="s">
        <v>230</v>
      </c>
      <c r="F540" s="1243"/>
      <c r="G540" s="963"/>
      <c r="H540" s="590" t="s">
        <v>35</v>
      </c>
      <c r="I540" s="830">
        <f ca="1">IFERROR(__xludf.DUMMYFUNCTION("IMPORTRANGE(""https://docs.google.com/spreadsheets/d/1QqKyyYR6Q21VydFLVH3TRQUabQu_ym0Zz7PgGX0-kHA/edit?usp=sharing"",""แผน!GX21"")"),0)</f>
        <v>0</v>
      </c>
      <c r="J540" s="959">
        <v>0</v>
      </c>
      <c r="K540" s="831">
        <f t="shared" ca="1" si="234"/>
        <v>0</v>
      </c>
      <c r="L540" s="831"/>
      <c r="M540" s="831"/>
      <c r="N540" s="831"/>
      <c r="O540" s="831"/>
      <c r="P540" s="831"/>
      <c r="Q540" s="1321"/>
      <c r="R540" s="1321"/>
      <c r="S540" s="1321"/>
      <c r="T540" s="1321"/>
      <c r="U540" s="1321"/>
      <c r="V540" s="1321"/>
      <c r="W540" s="1321"/>
      <c r="X540" s="1321"/>
      <c r="Y540" s="1321"/>
      <c r="Z540" s="1321"/>
    </row>
    <row r="541" spans="1:26" ht="18.75" hidden="1">
      <c r="A541" s="1241"/>
      <c r="B541" s="1242"/>
      <c r="C541" s="1243"/>
      <c r="D541" s="1243"/>
      <c r="E541" s="1322" t="s">
        <v>231</v>
      </c>
      <c r="F541" s="1243"/>
      <c r="G541" s="963"/>
      <c r="H541" s="590" t="s">
        <v>35</v>
      </c>
      <c r="I541" s="830">
        <f ca="1">IFERROR(__xludf.DUMMYFUNCTION("IMPORTRANGE(""https://docs.google.com/spreadsheets/d/1QqKyyYR6Q21VydFLVH3TRQUabQu_ym0Zz7PgGX0-kHA/edit?usp=sharing"",""แผน!GY21"")"),0)</f>
        <v>0</v>
      </c>
      <c r="J541" s="959">
        <v>0</v>
      </c>
      <c r="K541" s="831">
        <f t="shared" ca="1" si="234"/>
        <v>0</v>
      </c>
      <c r="L541" s="831"/>
      <c r="M541" s="831"/>
      <c r="N541" s="831"/>
      <c r="O541" s="831"/>
      <c r="P541" s="831"/>
      <c r="Q541" s="1321"/>
      <c r="R541" s="1321"/>
      <c r="S541" s="1321"/>
      <c r="T541" s="1321"/>
      <c r="U541" s="1321"/>
      <c r="V541" s="1321"/>
      <c r="W541" s="1321"/>
      <c r="X541" s="1321"/>
      <c r="Y541" s="1321"/>
      <c r="Z541" s="1321"/>
    </row>
    <row r="542" spans="1:26" ht="18.75" hidden="1">
      <c r="A542" s="1241"/>
      <c r="B542" s="1242"/>
      <c r="C542" s="1243"/>
      <c r="D542" s="1243" t="s">
        <v>59</v>
      </c>
      <c r="E542" s="1243"/>
      <c r="F542" s="1243"/>
      <c r="G542" s="963"/>
      <c r="H542" s="590" t="s">
        <v>35</v>
      </c>
      <c r="I542" s="830">
        <f ca="1">IFERROR(__xludf.DUMMYFUNCTION("IMPORTRANGE(""https://docs.google.com/spreadsheets/d/1QqKyyYR6Q21VydFLVH3TRQUabQu_ym0Zz7PgGX0-kHA/edit?usp=sharing"",""แผน!GZ21"")"),0)</f>
        <v>0</v>
      </c>
      <c r="J542" s="959">
        <v>0</v>
      </c>
      <c r="K542" s="831">
        <f t="shared" ca="1" si="234"/>
        <v>0</v>
      </c>
      <c r="L542" s="831"/>
      <c r="M542" s="831"/>
      <c r="N542" s="831"/>
      <c r="O542" s="831"/>
      <c r="P542" s="831"/>
      <c r="Q542" s="1321"/>
      <c r="R542" s="1321"/>
      <c r="S542" s="1321"/>
      <c r="T542" s="1321"/>
      <c r="U542" s="1321"/>
      <c r="V542" s="1321"/>
      <c r="W542" s="1321"/>
      <c r="X542" s="1321"/>
      <c r="Y542" s="1321"/>
      <c r="Z542" s="1321"/>
    </row>
    <row r="543" spans="1:26" ht="19.5">
      <c r="A543" s="630">
        <v>6</v>
      </c>
      <c r="B543" s="1323" t="s">
        <v>232</v>
      </c>
      <c r="C543" s="1309"/>
      <c r="D543" s="1309"/>
      <c r="E543" s="1309"/>
      <c r="F543" s="1309"/>
      <c r="G543" s="1310"/>
      <c r="H543" s="652" t="s">
        <v>46</v>
      </c>
      <c r="I543" s="1324">
        <f t="shared" ref="I543:J543" ca="1" si="235">I559</f>
        <v>2373</v>
      </c>
      <c r="J543" s="1324">
        <f t="shared" si="235"/>
        <v>0</v>
      </c>
      <c r="K543" s="1325">
        <f t="shared" ca="1" si="234"/>
        <v>0</v>
      </c>
      <c r="L543" s="1312"/>
      <c r="M543" s="1312"/>
      <c r="N543" s="1312"/>
      <c r="O543" s="1312"/>
      <c r="P543" s="1312"/>
      <c r="Q543" s="1244"/>
      <c r="R543" s="1244"/>
      <c r="S543" s="1244"/>
      <c r="T543" s="1244"/>
      <c r="U543" s="1244"/>
      <c r="V543" s="1244"/>
      <c r="W543" s="1244"/>
      <c r="X543" s="1244"/>
      <c r="Y543" s="1244"/>
      <c r="Z543" s="1244"/>
    </row>
    <row r="544" spans="1:26" ht="19.5">
      <c r="A544" s="1326"/>
      <c r="B544" s="1327"/>
      <c r="C544" s="1327" t="s">
        <v>16</v>
      </c>
      <c r="D544" s="1511" t="s">
        <v>17</v>
      </c>
      <c r="E544" s="1487"/>
      <c r="F544" s="1487"/>
      <c r="G544" s="1328"/>
      <c r="H544" s="275" t="s">
        <v>12</v>
      </c>
      <c r="I544" s="937"/>
      <c r="J544" s="937"/>
      <c r="K544" s="938"/>
      <c r="L544" s="939">
        <f t="shared" ref="L544:N544" ca="1" si="236">L545+L546</f>
        <v>365626</v>
      </c>
      <c r="M544" s="939">
        <f t="shared" si="236"/>
        <v>0</v>
      </c>
      <c r="N544" s="939">
        <f t="shared" si="236"/>
        <v>67345</v>
      </c>
      <c r="O544" s="939">
        <f t="shared" ref="O544:O549" ca="1" si="237">IF(L544&gt;0,N544*100/L544,0)</f>
        <v>18.419094922133546</v>
      </c>
      <c r="P544" s="939">
        <f t="shared" ref="P544:P549" si="238">IF(M544&gt;0,N544*100/M544,0)</f>
        <v>0</v>
      </c>
      <c r="Q544" s="1244"/>
      <c r="R544" s="1244"/>
      <c r="S544" s="1244"/>
      <c r="T544" s="1244"/>
      <c r="U544" s="1244"/>
      <c r="V544" s="1244"/>
      <c r="W544" s="1244"/>
      <c r="X544" s="1244"/>
      <c r="Y544" s="1244"/>
      <c r="Z544" s="1244"/>
    </row>
    <row r="545" spans="1:26" ht="18.75" hidden="1">
      <c r="A545" s="1260"/>
      <c r="B545" s="1261"/>
      <c r="C545" s="1261"/>
      <c r="D545" s="1261"/>
      <c r="E545" s="1261" t="s">
        <v>184</v>
      </c>
      <c r="F545" s="1261"/>
      <c r="G545" s="1263"/>
      <c r="H545" s="165" t="s">
        <v>12</v>
      </c>
      <c r="I545" s="836"/>
      <c r="J545" s="836"/>
      <c r="K545" s="837"/>
      <c r="L545" s="837">
        <f t="shared" ref="L545:L546" si="239">L548+L556</f>
        <v>0</v>
      </c>
      <c r="M545" s="837">
        <f t="shared" ref="M545:N546" si="240">M548+M555</f>
        <v>0</v>
      </c>
      <c r="N545" s="837">
        <f t="shared" si="240"/>
        <v>0</v>
      </c>
      <c r="O545" s="837">
        <f t="shared" si="237"/>
        <v>0</v>
      </c>
      <c r="P545" s="837">
        <f t="shared" si="238"/>
        <v>0</v>
      </c>
      <c r="Q545" s="1264"/>
      <c r="R545" s="1264"/>
      <c r="S545" s="1264"/>
      <c r="T545" s="1264"/>
      <c r="U545" s="1264"/>
      <c r="V545" s="1264"/>
      <c r="W545" s="1264"/>
      <c r="X545" s="1264"/>
      <c r="Y545" s="1264"/>
      <c r="Z545" s="1264"/>
    </row>
    <row r="546" spans="1:26" ht="18.75" hidden="1">
      <c r="A546" s="1260"/>
      <c r="B546" s="1265"/>
      <c r="C546" s="1261"/>
      <c r="D546" s="1261"/>
      <c r="E546" s="1261" t="s">
        <v>185</v>
      </c>
      <c r="F546" s="1261"/>
      <c r="G546" s="1263"/>
      <c r="H546" s="165" t="s">
        <v>12</v>
      </c>
      <c r="I546" s="836"/>
      <c r="J546" s="836"/>
      <c r="K546" s="837"/>
      <c r="L546" s="837">
        <f t="shared" ca="1" si="239"/>
        <v>365626</v>
      </c>
      <c r="M546" s="837">
        <f t="shared" si="240"/>
        <v>0</v>
      </c>
      <c r="N546" s="837">
        <f t="shared" si="240"/>
        <v>67345</v>
      </c>
      <c r="O546" s="837">
        <f t="shared" ca="1" si="237"/>
        <v>18.419094922133546</v>
      </c>
      <c r="P546" s="837">
        <f t="shared" si="238"/>
        <v>0</v>
      </c>
      <c r="Q546" s="1264"/>
      <c r="R546" s="1264"/>
      <c r="S546" s="1264"/>
      <c r="T546" s="1264"/>
      <c r="U546" s="1264"/>
      <c r="V546" s="1264"/>
      <c r="W546" s="1264"/>
      <c r="X546" s="1264"/>
      <c r="Y546" s="1264"/>
      <c r="Z546" s="1264"/>
    </row>
    <row r="547" spans="1:26" ht="18.75">
      <c r="A547" s="1259"/>
      <c r="B547" s="1242"/>
      <c r="C547" s="1243"/>
      <c r="D547" s="1266" t="s">
        <v>20</v>
      </c>
      <c r="E547" s="1243"/>
      <c r="F547" s="1243"/>
      <c r="G547" s="963"/>
      <c r="H547" s="778" t="s">
        <v>12</v>
      </c>
      <c r="I547" s="944"/>
      <c r="J547" s="944"/>
      <c r="K547" s="945"/>
      <c r="L547" s="831">
        <f t="shared" ref="L547:N547" ca="1" si="241">L548+L549</f>
        <v>365626</v>
      </c>
      <c r="M547" s="831">
        <f t="shared" si="241"/>
        <v>0</v>
      </c>
      <c r="N547" s="831">
        <f t="shared" si="241"/>
        <v>67345</v>
      </c>
      <c r="O547" s="831">
        <f t="shared" ca="1" si="237"/>
        <v>18.419094922133546</v>
      </c>
      <c r="P547" s="831">
        <f t="shared" si="238"/>
        <v>0</v>
      </c>
      <c r="Q547" s="1244"/>
      <c r="R547" s="1244"/>
      <c r="S547" s="1244"/>
      <c r="T547" s="1244"/>
      <c r="U547" s="1244"/>
      <c r="V547" s="1244"/>
      <c r="W547" s="1244"/>
      <c r="X547" s="1244"/>
      <c r="Y547" s="1244"/>
      <c r="Z547" s="1244"/>
    </row>
    <row r="548" spans="1:26" ht="18.75" hidden="1">
      <c r="A548" s="1260"/>
      <c r="B548" s="1265"/>
      <c r="C548" s="1261"/>
      <c r="D548" s="1262"/>
      <c r="E548" s="1261" t="s">
        <v>184</v>
      </c>
      <c r="F548" s="1261"/>
      <c r="G548" s="1263"/>
      <c r="H548" s="165" t="s">
        <v>12</v>
      </c>
      <c r="I548" s="836"/>
      <c r="J548" s="836"/>
      <c r="K548" s="837"/>
      <c r="L548" s="837">
        <v>0</v>
      </c>
      <c r="M548" s="837">
        <v>0</v>
      </c>
      <c r="N548" s="837">
        <v>0</v>
      </c>
      <c r="O548" s="837">
        <f t="shared" si="237"/>
        <v>0</v>
      </c>
      <c r="P548" s="837">
        <f t="shared" si="238"/>
        <v>0</v>
      </c>
      <c r="Q548" s="1264"/>
      <c r="R548" s="1264"/>
      <c r="S548" s="1264"/>
      <c r="T548" s="1264"/>
      <c r="U548" s="1264"/>
      <c r="V548" s="1264"/>
      <c r="W548" s="1264"/>
      <c r="X548" s="1264"/>
      <c r="Y548" s="1264"/>
      <c r="Z548" s="1264"/>
    </row>
    <row r="549" spans="1:26" ht="18.75" hidden="1">
      <c r="A549" s="1260"/>
      <c r="B549" s="1265"/>
      <c r="C549" s="1261"/>
      <c r="D549" s="1262"/>
      <c r="E549" s="1261" t="s">
        <v>185</v>
      </c>
      <c r="F549" s="1261"/>
      <c r="G549" s="1263"/>
      <c r="H549" s="165" t="s">
        <v>12</v>
      </c>
      <c r="I549" s="836"/>
      <c r="J549" s="836"/>
      <c r="K549" s="837"/>
      <c r="L549" s="837">
        <f ca="1">IFERROR(__xludf.DUMMYFUNCTION("IMPORTRANGE(""https://docs.google.com/spreadsheets/d/1QqKyyYR6Q21VydFLVH3TRQUabQu_ym0Zz7PgGX0-kHA/edit?usp=sharing"",""แผน!HB21"")"),365626)</f>
        <v>365626</v>
      </c>
      <c r="M549" s="837">
        <v>0</v>
      </c>
      <c r="N549" s="837">
        <f>N550+N551+N552+N553+N554</f>
        <v>67345</v>
      </c>
      <c r="O549" s="837">
        <f t="shared" ca="1" si="237"/>
        <v>18.419094922133546</v>
      </c>
      <c r="P549" s="837">
        <f t="shared" si="238"/>
        <v>0</v>
      </c>
      <c r="Q549" s="1264"/>
      <c r="R549" s="1264"/>
      <c r="S549" s="1264"/>
      <c r="T549" s="1264"/>
      <c r="U549" s="1264"/>
      <c r="V549" s="1264"/>
      <c r="W549" s="1264"/>
      <c r="X549" s="1264"/>
      <c r="Y549" s="1264"/>
      <c r="Z549" s="1264"/>
    </row>
    <row r="550" spans="1:26" ht="18.75">
      <c r="A550" s="1241"/>
      <c r="B550" s="1242"/>
      <c r="C550" s="1243"/>
      <c r="D550" s="1243"/>
      <c r="E550" s="1243"/>
      <c r="F550" s="1243" t="s">
        <v>186</v>
      </c>
      <c r="G550" s="963"/>
      <c r="H550" s="778" t="s">
        <v>12</v>
      </c>
      <c r="I550" s="830"/>
      <c r="J550" s="830"/>
      <c r="K550" s="831"/>
      <c r="L550" s="831"/>
      <c r="M550" s="831"/>
      <c r="N550" s="1031">
        <v>0</v>
      </c>
      <c r="O550" s="831"/>
      <c r="P550" s="831"/>
      <c r="Q550" s="1244"/>
      <c r="R550" s="1244"/>
      <c r="S550" s="1244"/>
      <c r="T550" s="1244"/>
      <c r="U550" s="1244"/>
      <c r="V550" s="1244"/>
      <c r="W550" s="1244"/>
      <c r="X550" s="1244"/>
      <c r="Y550" s="1244"/>
      <c r="Z550" s="1244"/>
    </row>
    <row r="551" spans="1:26" ht="18.75">
      <c r="A551" s="1241"/>
      <c r="B551" s="1242"/>
      <c r="C551" s="1242"/>
      <c r="D551" s="1242"/>
      <c r="E551" s="1243"/>
      <c r="F551" s="1243" t="s">
        <v>187</v>
      </c>
      <c r="G551" s="963"/>
      <c r="H551" s="778" t="s">
        <v>12</v>
      </c>
      <c r="I551" s="830"/>
      <c r="J551" s="830"/>
      <c r="K551" s="831"/>
      <c r="L551" s="831"/>
      <c r="M551" s="831"/>
      <c r="N551" s="1031">
        <v>0</v>
      </c>
      <c r="O551" s="831"/>
      <c r="P551" s="831"/>
      <c r="Q551" s="1244"/>
      <c r="R551" s="1244"/>
      <c r="S551" s="1244"/>
      <c r="T551" s="1244"/>
      <c r="U551" s="1244"/>
      <c r="V551" s="1244"/>
      <c r="W551" s="1244"/>
      <c r="X551" s="1244"/>
      <c r="Y551" s="1244"/>
      <c r="Z551" s="1244"/>
    </row>
    <row r="552" spans="1:26" ht="18.75">
      <c r="A552" s="1241"/>
      <c r="B552" s="1242"/>
      <c r="C552" s="1243"/>
      <c r="D552" s="1243"/>
      <c r="E552" s="1243"/>
      <c r="F552" s="1243" t="s">
        <v>188</v>
      </c>
      <c r="G552" s="963"/>
      <c r="H552" s="778" t="s">
        <v>12</v>
      </c>
      <c r="I552" s="830"/>
      <c r="J552" s="830"/>
      <c r="K552" s="831"/>
      <c r="L552" s="831"/>
      <c r="M552" s="831"/>
      <c r="N552" s="1031">
        <v>0</v>
      </c>
      <c r="O552" s="831"/>
      <c r="P552" s="831"/>
      <c r="Q552" s="1244"/>
      <c r="R552" s="1244"/>
      <c r="S552" s="1244"/>
      <c r="T552" s="1244"/>
      <c r="U552" s="1244"/>
      <c r="V552" s="1244"/>
      <c r="W552" s="1244"/>
      <c r="X552" s="1244"/>
      <c r="Y552" s="1244"/>
      <c r="Z552" s="1244"/>
    </row>
    <row r="553" spans="1:26" ht="18.75">
      <c r="A553" s="1241"/>
      <c r="B553" s="1242"/>
      <c r="C553" s="1242"/>
      <c r="D553" s="1242"/>
      <c r="E553" s="1243"/>
      <c r="F553" s="1243" t="s">
        <v>189</v>
      </c>
      <c r="G553" s="963"/>
      <c r="H553" s="778" t="s">
        <v>12</v>
      </c>
      <c r="I553" s="830"/>
      <c r="J553" s="830"/>
      <c r="K553" s="831"/>
      <c r="L553" s="831"/>
      <c r="M553" s="831"/>
      <c r="N553" s="1031">
        <v>67345</v>
      </c>
      <c r="O553" s="831"/>
      <c r="P553" s="831"/>
      <c r="Q553" s="1244"/>
      <c r="R553" s="1244"/>
      <c r="S553" s="1244"/>
      <c r="T553" s="1244"/>
      <c r="U553" s="1244"/>
      <c r="V553" s="1244"/>
      <c r="W553" s="1244"/>
      <c r="X553" s="1244"/>
      <c r="Y553" s="1244"/>
      <c r="Z553" s="1244"/>
    </row>
    <row r="554" spans="1:26" ht="18.75">
      <c r="A554" s="1241"/>
      <c r="B554" s="1242"/>
      <c r="C554" s="1242"/>
      <c r="D554" s="1242"/>
      <c r="E554" s="1243"/>
      <c r="F554" s="1243" t="s">
        <v>233</v>
      </c>
      <c r="G554" s="963"/>
      <c r="H554" s="778" t="s">
        <v>12</v>
      </c>
      <c r="I554" s="830"/>
      <c r="J554" s="830"/>
      <c r="K554" s="831"/>
      <c r="L554" s="831"/>
      <c r="M554" s="831"/>
      <c r="N554" s="1031">
        <v>0</v>
      </c>
      <c r="O554" s="831"/>
      <c r="P554" s="831"/>
      <c r="Q554" s="1244"/>
      <c r="R554" s="1244"/>
      <c r="S554" s="1244"/>
      <c r="T554" s="1244"/>
      <c r="U554" s="1244"/>
      <c r="V554" s="1244"/>
      <c r="W554" s="1244"/>
      <c r="X554" s="1244"/>
      <c r="Y554" s="1244"/>
      <c r="Z554" s="1244"/>
    </row>
    <row r="555" spans="1:26" ht="18.75">
      <c r="A555" s="1259"/>
      <c r="B555" s="1242"/>
      <c r="C555" s="1242"/>
      <c r="D555" s="1266" t="s">
        <v>21</v>
      </c>
      <c r="E555" s="1243"/>
      <c r="F555" s="1243"/>
      <c r="G555" s="963"/>
      <c r="H555" s="168" t="s">
        <v>12</v>
      </c>
      <c r="I555" s="944"/>
      <c r="J555" s="944"/>
      <c r="K555" s="945"/>
      <c r="L555" s="831">
        <f t="shared" ref="L555:N555" ca="1" si="242">L556+L557</f>
        <v>0</v>
      </c>
      <c r="M555" s="831">
        <f t="shared" si="242"/>
        <v>0</v>
      </c>
      <c r="N555" s="831">
        <f t="shared" si="242"/>
        <v>0</v>
      </c>
      <c r="O555" s="831">
        <f t="shared" ref="O555:O557" ca="1" si="243">IF(L555&gt;0,N555*100/L555,0)</f>
        <v>0</v>
      </c>
      <c r="P555" s="831">
        <f t="shared" ref="P555:P557" si="244">IF(M555&gt;0,N555*100/M555,0)</f>
        <v>0</v>
      </c>
      <c r="Q555" s="1244"/>
      <c r="R555" s="1244"/>
      <c r="S555" s="1244"/>
      <c r="T555" s="1244"/>
      <c r="U555" s="1244"/>
      <c r="V555" s="1244"/>
      <c r="W555" s="1244"/>
      <c r="X555" s="1244"/>
      <c r="Y555" s="1244"/>
      <c r="Z555" s="1244"/>
    </row>
    <row r="556" spans="1:26" ht="18.75" hidden="1">
      <c r="A556" s="1260"/>
      <c r="B556" s="1265"/>
      <c r="C556" s="1265"/>
      <c r="D556" s="1261"/>
      <c r="E556" s="1261" t="s">
        <v>18</v>
      </c>
      <c r="F556" s="1261"/>
      <c r="G556" s="1263"/>
      <c r="H556" s="165" t="s">
        <v>12</v>
      </c>
      <c r="I556" s="947"/>
      <c r="J556" s="947"/>
      <c r="K556" s="948"/>
      <c r="L556" s="837">
        <v>0</v>
      </c>
      <c r="M556" s="837">
        <v>0</v>
      </c>
      <c r="N556" s="837">
        <v>0</v>
      </c>
      <c r="O556" s="837">
        <f t="shared" si="243"/>
        <v>0</v>
      </c>
      <c r="P556" s="837">
        <f t="shared" si="244"/>
        <v>0</v>
      </c>
      <c r="Q556" s="1264"/>
      <c r="R556" s="1264"/>
      <c r="S556" s="1264"/>
      <c r="T556" s="1264"/>
      <c r="U556" s="1264"/>
      <c r="V556" s="1264"/>
      <c r="W556" s="1264"/>
      <c r="X556" s="1264"/>
      <c r="Y556" s="1264"/>
      <c r="Z556" s="1264"/>
    </row>
    <row r="557" spans="1:26" ht="18.75" hidden="1">
      <c r="A557" s="1260"/>
      <c r="B557" s="1265"/>
      <c r="C557" s="1265"/>
      <c r="D557" s="1261"/>
      <c r="E557" s="1261" t="s">
        <v>19</v>
      </c>
      <c r="F557" s="1261"/>
      <c r="G557" s="1263"/>
      <c r="H557" s="169" t="s">
        <v>12</v>
      </c>
      <c r="I557" s="947"/>
      <c r="J557" s="947"/>
      <c r="K557" s="948"/>
      <c r="L557" s="837">
        <f ca="1">IFERROR(__xludf.DUMMYFUNCTION("IMPORTRANGE(""https://docs.google.com/spreadsheets/d/1QqKyyYR6Q21VydFLVH3TRQUabQu_ym0Zz7PgGX0-kHA/edit?usp=sharing"",""แผน!HF21"")"),0)</f>
        <v>0</v>
      </c>
      <c r="M557" s="837">
        <v>0</v>
      </c>
      <c r="N557" s="837">
        <v>0</v>
      </c>
      <c r="O557" s="837">
        <f t="shared" ca="1" si="243"/>
        <v>0</v>
      </c>
      <c r="P557" s="837">
        <f t="shared" si="244"/>
        <v>0</v>
      </c>
      <c r="Q557" s="1264"/>
      <c r="R557" s="1264"/>
      <c r="S557" s="1264"/>
      <c r="T557" s="1264"/>
      <c r="U557" s="1264"/>
      <c r="V557" s="1264"/>
      <c r="W557" s="1264"/>
      <c r="X557" s="1264"/>
      <c r="Y557" s="1264"/>
      <c r="Z557" s="1264"/>
    </row>
    <row r="558" spans="1:26" ht="19.5">
      <c r="A558" s="1267"/>
      <c r="B558" s="1268"/>
      <c r="C558" s="1242" t="s">
        <v>16</v>
      </c>
      <c r="D558" s="1320" t="s">
        <v>38</v>
      </c>
      <c r="E558" s="1271"/>
      <c r="F558" s="1271"/>
      <c r="G558" s="1272"/>
      <c r="H558" s="954"/>
      <c r="I558" s="944"/>
      <c r="J558" s="944"/>
      <c r="K558" s="945"/>
      <c r="L558" s="945"/>
      <c r="M558" s="945"/>
      <c r="N558" s="945"/>
      <c r="O558" s="945"/>
      <c r="P558" s="945"/>
      <c r="Q558" s="1244"/>
      <c r="R558" s="1244"/>
      <c r="S558" s="1244"/>
      <c r="T558" s="1244"/>
      <c r="U558" s="1244"/>
      <c r="V558" s="1244"/>
      <c r="W558" s="1244"/>
      <c r="X558" s="1244"/>
      <c r="Y558" s="1244"/>
      <c r="Z558" s="1244"/>
    </row>
    <row r="559" spans="1:26" ht="19.5">
      <c r="A559" s="1329"/>
      <c r="B559" s="1330" t="s">
        <v>234</v>
      </c>
      <c r="C559" s="1331"/>
      <c r="D559" s="1331"/>
      <c r="E559" s="1315"/>
      <c r="F559" s="1315"/>
      <c r="G559" s="1316"/>
      <c r="H559" s="661" t="s">
        <v>46</v>
      </c>
      <c r="I559" s="1317">
        <f t="shared" ref="I559:J559" ca="1" si="245">I576</f>
        <v>2373</v>
      </c>
      <c r="J559" s="1317">
        <f t="shared" si="245"/>
        <v>0</v>
      </c>
      <c r="K559" s="1318">
        <f t="shared" ref="K559:K561" ca="1" si="246">IF(I559&gt;0,J559*100/I559,0)</f>
        <v>0</v>
      </c>
      <c r="L559" s="1319"/>
      <c r="M559" s="1319"/>
      <c r="N559" s="1319"/>
      <c r="O559" s="1319"/>
      <c r="P559" s="1319"/>
      <c r="Q559" s="1244"/>
      <c r="R559" s="1244"/>
      <c r="S559" s="1244"/>
      <c r="T559" s="1244"/>
      <c r="U559" s="1244"/>
      <c r="V559" s="1244"/>
      <c r="W559" s="1244"/>
      <c r="X559" s="1244"/>
      <c r="Y559" s="1244"/>
      <c r="Z559" s="1244"/>
    </row>
    <row r="560" spans="1:26" ht="19.5">
      <c r="A560" s="1267"/>
      <c r="B560" s="1268"/>
      <c r="C560" s="1277" t="s">
        <v>235</v>
      </c>
      <c r="D560" s="1268"/>
      <c r="E560" s="961"/>
      <c r="F560" s="961"/>
      <c r="G560" s="954"/>
      <c r="H560" s="733" t="s">
        <v>46</v>
      </c>
      <c r="I560" s="965">
        <f ca="1">IFERROR(__xludf.DUMMYFUNCTION("IMPORTRANGE(""https://docs.google.com/spreadsheets/d/1QqKyyYR6Q21VydFLVH3TRQUabQu_ym0Zz7PgGX0-kHA/edit?usp=sharing"",""แผน!HH21"")"),2373)</f>
        <v>2373</v>
      </c>
      <c r="J560" s="965">
        <f t="shared" ref="J560:J561" si="247">J562+J564+J566</f>
        <v>2373</v>
      </c>
      <c r="K560" s="1109">
        <f t="shared" ca="1" si="246"/>
        <v>100</v>
      </c>
      <c r="L560" s="945"/>
      <c r="M560" s="945"/>
      <c r="N560" s="945"/>
      <c r="O560" s="945"/>
      <c r="P560" s="945"/>
      <c r="Q560" s="1244"/>
      <c r="R560" s="1244"/>
      <c r="S560" s="1244"/>
      <c r="T560" s="1244"/>
      <c r="U560" s="1244"/>
      <c r="V560" s="1244"/>
      <c r="W560" s="1244"/>
      <c r="X560" s="1244"/>
      <c r="Y560" s="1244"/>
      <c r="Z560" s="1244"/>
    </row>
    <row r="561" spans="1:26" ht="19.5">
      <c r="A561" s="1267"/>
      <c r="B561" s="1268"/>
      <c r="C561" s="1268"/>
      <c r="D561" s="961"/>
      <c r="E561" s="961"/>
      <c r="F561" s="961"/>
      <c r="G561" s="954"/>
      <c r="H561" s="733" t="s">
        <v>34</v>
      </c>
      <c r="I561" s="965">
        <f ca="1">IFERROR(__xludf.DUMMYFUNCTION("IMPORTRANGE(""https://docs.google.com/spreadsheets/d/1QqKyyYR6Q21VydFLVH3TRQUabQu_ym0Zz7PgGX0-kHA/edit?usp=sharing"",""แผน!HG21"")"),118)</f>
        <v>118</v>
      </c>
      <c r="J561" s="965">
        <f t="shared" si="247"/>
        <v>118</v>
      </c>
      <c r="K561" s="1109">
        <f t="shared" ca="1" si="246"/>
        <v>100</v>
      </c>
      <c r="L561" s="945"/>
      <c r="M561" s="945"/>
      <c r="N561" s="945"/>
      <c r="O561" s="945"/>
      <c r="P561" s="945"/>
      <c r="Q561" s="1244"/>
      <c r="R561" s="1244"/>
      <c r="S561" s="1244"/>
      <c r="T561" s="1244"/>
      <c r="U561" s="1244"/>
      <c r="V561" s="1244"/>
      <c r="W561" s="1244"/>
      <c r="X561" s="1244"/>
      <c r="Y561" s="1244"/>
      <c r="Z561" s="1244"/>
    </row>
    <row r="562" spans="1:26" ht="18.75">
      <c r="A562" s="1267"/>
      <c r="B562" s="1268"/>
      <c r="C562" s="1268"/>
      <c r="D562" s="961" t="s">
        <v>236</v>
      </c>
      <c r="E562" s="961"/>
      <c r="F562" s="961"/>
      <c r="G562" s="954"/>
      <c r="H562" s="730" t="s">
        <v>46</v>
      </c>
      <c r="I562" s="944"/>
      <c r="J562" s="959">
        <v>1870</v>
      </c>
      <c r="K562" s="945"/>
      <c r="L562" s="945"/>
      <c r="M562" s="945"/>
      <c r="N562" s="945"/>
      <c r="O562" s="945"/>
      <c r="P562" s="945"/>
      <c r="Q562" s="1244"/>
      <c r="R562" s="1244"/>
      <c r="S562" s="1244"/>
      <c r="T562" s="1244"/>
      <c r="U562" s="1244"/>
      <c r="V562" s="1244"/>
      <c r="W562" s="1244"/>
      <c r="X562" s="1244"/>
      <c r="Y562" s="1244"/>
      <c r="Z562" s="1244"/>
    </row>
    <row r="563" spans="1:26" ht="18.75">
      <c r="A563" s="1267"/>
      <c r="B563" s="1268"/>
      <c r="C563" s="1268"/>
      <c r="D563" s="1268"/>
      <c r="E563" s="961"/>
      <c r="F563" s="961"/>
      <c r="G563" s="954"/>
      <c r="H563" s="730" t="s">
        <v>34</v>
      </c>
      <c r="I563" s="944"/>
      <c r="J563" s="959">
        <v>97</v>
      </c>
      <c r="K563" s="945"/>
      <c r="L563" s="945"/>
      <c r="M563" s="945"/>
      <c r="N563" s="945"/>
      <c r="O563" s="945"/>
      <c r="P563" s="945"/>
      <c r="Q563" s="1244"/>
      <c r="R563" s="1244"/>
      <c r="S563" s="1244"/>
      <c r="T563" s="1244"/>
      <c r="U563" s="1244"/>
      <c r="V563" s="1244"/>
      <c r="W563" s="1244"/>
      <c r="X563" s="1244"/>
      <c r="Y563" s="1244"/>
      <c r="Z563" s="1244"/>
    </row>
    <row r="564" spans="1:26" ht="18.75">
      <c r="A564" s="1267"/>
      <c r="B564" s="1268"/>
      <c r="C564" s="1268"/>
      <c r="D564" s="961" t="s">
        <v>237</v>
      </c>
      <c r="E564" s="961"/>
      <c r="F564" s="961"/>
      <c r="G564" s="954"/>
      <c r="H564" s="730" t="s">
        <v>46</v>
      </c>
      <c r="I564" s="944"/>
      <c r="J564" s="959">
        <v>418</v>
      </c>
      <c r="K564" s="945"/>
      <c r="L564" s="945"/>
      <c r="M564" s="945"/>
      <c r="N564" s="945"/>
      <c r="O564" s="945"/>
      <c r="P564" s="945"/>
      <c r="Q564" s="1244"/>
      <c r="R564" s="1244"/>
      <c r="S564" s="1244"/>
      <c r="T564" s="1244"/>
      <c r="U564" s="1244"/>
      <c r="V564" s="1244"/>
      <c r="W564" s="1244"/>
      <c r="X564" s="1244"/>
      <c r="Y564" s="1244"/>
      <c r="Z564" s="1244"/>
    </row>
    <row r="565" spans="1:26" ht="18.75">
      <c r="A565" s="1267"/>
      <c r="B565" s="1268"/>
      <c r="C565" s="1268"/>
      <c r="D565" s="961"/>
      <c r="E565" s="961"/>
      <c r="F565" s="961"/>
      <c r="G565" s="954"/>
      <c r="H565" s="730" t="s">
        <v>34</v>
      </c>
      <c r="I565" s="944"/>
      <c r="J565" s="959">
        <v>17</v>
      </c>
      <c r="K565" s="945"/>
      <c r="L565" s="945"/>
      <c r="M565" s="945"/>
      <c r="N565" s="945"/>
      <c r="O565" s="945"/>
      <c r="P565" s="945"/>
      <c r="Q565" s="1244"/>
      <c r="R565" s="1244"/>
      <c r="S565" s="1244"/>
      <c r="T565" s="1244"/>
      <c r="U565" s="1244"/>
      <c r="V565" s="1244"/>
      <c r="W565" s="1244"/>
      <c r="X565" s="1244"/>
      <c r="Y565" s="1244"/>
      <c r="Z565" s="1244"/>
    </row>
    <row r="566" spans="1:26" ht="18.75">
      <c r="A566" s="1267"/>
      <c r="B566" s="1268"/>
      <c r="C566" s="1268"/>
      <c r="D566" s="961" t="s">
        <v>238</v>
      </c>
      <c r="E566" s="961"/>
      <c r="F566" s="961"/>
      <c r="G566" s="954"/>
      <c r="H566" s="730" t="s">
        <v>46</v>
      </c>
      <c r="I566" s="944"/>
      <c r="J566" s="959">
        <v>85</v>
      </c>
      <c r="K566" s="945"/>
      <c r="L566" s="945"/>
      <c r="M566" s="945"/>
      <c r="N566" s="945"/>
      <c r="O566" s="945"/>
      <c r="P566" s="945"/>
      <c r="Q566" s="1244"/>
      <c r="R566" s="1244"/>
      <c r="S566" s="1244"/>
      <c r="T566" s="1244"/>
      <c r="U566" s="1244"/>
      <c r="V566" s="1244"/>
      <c r="W566" s="1244"/>
      <c r="X566" s="1244"/>
      <c r="Y566" s="1244"/>
      <c r="Z566" s="1244"/>
    </row>
    <row r="567" spans="1:26" ht="18.75">
      <c r="A567" s="1267"/>
      <c r="B567" s="1268"/>
      <c r="C567" s="1268"/>
      <c r="D567" s="961"/>
      <c r="E567" s="961"/>
      <c r="F567" s="961"/>
      <c r="G567" s="954"/>
      <c r="H567" s="730" t="s">
        <v>34</v>
      </c>
      <c r="I567" s="944"/>
      <c r="J567" s="959">
        <v>4</v>
      </c>
      <c r="K567" s="945"/>
      <c r="L567" s="945"/>
      <c r="M567" s="945"/>
      <c r="N567" s="945"/>
      <c r="O567" s="945"/>
      <c r="P567" s="945"/>
      <c r="Q567" s="1244"/>
      <c r="R567" s="1244"/>
      <c r="S567" s="1244"/>
      <c r="T567" s="1244"/>
      <c r="U567" s="1244"/>
      <c r="V567" s="1244"/>
      <c r="W567" s="1244"/>
      <c r="X567" s="1244"/>
      <c r="Y567" s="1244"/>
      <c r="Z567" s="1244"/>
    </row>
    <row r="568" spans="1:26" ht="19.5">
      <c r="A568" s="1267"/>
      <c r="B568" s="1268"/>
      <c r="C568" s="1277" t="s">
        <v>239</v>
      </c>
      <c r="D568" s="961"/>
      <c r="E568" s="961"/>
      <c r="F568" s="961"/>
      <c r="G568" s="954"/>
      <c r="H568" s="733" t="s">
        <v>46</v>
      </c>
      <c r="I568" s="965">
        <f ca="1">IFERROR(__xludf.DUMMYFUNCTION("IMPORTRANGE(""https://docs.google.com/spreadsheets/d/1QqKyyYR6Q21VydFLVH3TRQUabQu_ym0Zz7PgGX0-kHA/edit?usp=sharing"",""แผน!HH21"")"),2373)</f>
        <v>2373</v>
      </c>
      <c r="J568" s="966">
        <f t="shared" ref="J568:J569" si="248">J570+J572+J574</f>
        <v>2373</v>
      </c>
      <c r="K568" s="1109">
        <f t="shared" ref="K568:K569" ca="1" si="249">IF(I568&gt;0,J568*100/I568,0)</f>
        <v>100</v>
      </c>
      <c r="L568" s="945"/>
      <c r="M568" s="945"/>
      <c r="N568" s="945"/>
      <c r="O568" s="945"/>
      <c r="P568" s="945"/>
      <c r="Q568" s="1244"/>
      <c r="R568" s="1244"/>
      <c r="S568" s="1244"/>
      <c r="T568" s="1244"/>
      <c r="U568" s="1244"/>
      <c r="V568" s="1244"/>
      <c r="W568" s="1244"/>
      <c r="X568" s="1244"/>
      <c r="Y568" s="1244"/>
      <c r="Z568" s="1244"/>
    </row>
    <row r="569" spans="1:26" ht="19.5">
      <c r="A569" s="1267"/>
      <c r="B569" s="1268"/>
      <c r="C569" s="1268"/>
      <c r="D569" s="1268"/>
      <c r="E569" s="961"/>
      <c r="F569" s="961"/>
      <c r="G569" s="954"/>
      <c r="H569" s="733" t="s">
        <v>34</v>
      </c>
      <c r="I569" s="965">
        <f ca="1">IFERROR(__xludf.DUMMYFUNCTION("IMPORTRANGE(""https://docs.google.com/spreadsheets/d/1QqKyyYR6Q21VydFLVH3TRQUabQu_ym0Zz7PgGX0-kHA/edit?usp=sharing"",""แผน!HG21"")"),118)</f>
        <v>118</v>
      </c>
      <c r="J569" s="966">
        <f t="shared" si="248"/>
        <v>118</v>
      </c>
      <c r="K569" s="1109">
        <f t="shared" ca="1" si="249"/>
        <v>100</v>
      </c>
      <c r="L569" s="945"/>
      <c r="M569" s="945"/>
      <c r="N569" s="945"/>
      <c r="O569" s="945"/>
      <c r="P569" s="945"/>
      <c r="Q569" s="1244"/>
      <c r="R569" s="1244"/>
      <c r="S569" s="1244"/>
      <c r="T569" s="1244"/>
      <c r="U569" s="1244"/>
      <c r="V569" s="1244"/>
      <c r="W569" s="1244"/>
      <c r="X569" s="1244"/>
      <c r="Y569" s="1244"/>
      <c r="Z569" s="1244"/>
    </row>
    <row r="570" spans="1:26" ht="18.75">
      <c r="A570" s="1267"/>
      <c r="B570" s="1268"/>
      <c r="C570" s="1268"/>
      <c r="D570" s="961" t="s">
        <v>240</v>
      </c>
      <c r="E570" s="1268"/>
      <c r="F570" s="961"/>
      <c r="G570" s="954"/>
      <c r="H570" s="730" t="s">
        <v>46</v>
      </c>
      <c r="I570" s="944"/>
      <c r="J570" s="959">
        <v>1870</v>
      </c>
      <c r="K570" s="945"/>
      <c r="L570" s="945"/>
      <c r="M570" s="945"/>
      <c r="N570" s="945"/>
      <c r="O570" s="945"/>
      <c r="P570" s="945"/>
      <c r="Q570" s="1244"/>
      <c r="R570" s="1244"/>
      <c r="S570" s="1244"/>
      <c r="T570" s="1244"/>
      <c r="U570" s="1244"/>
      <c r="V570" s="1244"/>
      <c r="W570" s="1244"/>
      <c r="X570" s="1244"/>
      <c r="Y570" s="1244"/>
      <c r="Z570" s="1244"/>
    </row>
    <row r="571" spans="1:26" ht="18.75">
      <c r="A571" s="1267"/>
      <c r="B571" s="1268"/>
      <c r="C571" s="1268"/>
      <c r="D571" s="1268"/>
      <c r="E571" s="961"/>
      <c r="F571" s="961"/>
      <c r="G571" s="954"/>
      <c r="H571" s="730" t="s">
        <v>34</v>
      </c>
      <c r="I571" s="944"/>
      <c r="J571" s="959">
        <v>97</v>
      </c>
      <c r="K571" s="945"/>
      <c r="L571" s="945"/>
      <c r="M571" s="945"/>
      <c r="N571" s="945"/>
      <c r="O571" s="945"/>
      <c r="P571" s="945"/>
      <c r="Q571" s="1244"/>
      <c r="R571" s="1244"/>
      <c r="S571" s="1244"/>
      <c r="T571" s="1244"/>
      <c r="U571" s="1244"/>
      <c r="V571" s="1244"/>
      <c r="W571" s="1244"/>
      <c r="X571" s="1244"/>
      <c r="Y571" s="1244"/>
      <c r="Z571" s="1244"/>
    </row>
    <row r="572" spans="1:26" ht="18.75">
      <c r="A572" s="1267"/>
      <c r="B572" s="1268"/>
      <c r="C572" s="1268"/>
      <c r="D572" s="961" t="s">
        <v>241</v>
      </c>
      <c r="E572" s="961"/>
      <c r="F572" s="961"/>
      <c r="G572" s="954"/>
      <c r="H572" s="730" t="s">
        <v>46</v>
      </c>
      <c r="I572" s="944"/>
      <c r="J572" s="959">
        <v>418</v>
      </c>
      <c r="K572" s="945"/>
      <c r="L572" s="945"/>
      <c r="M572" s="945"/>
      <c r="N572" s="945"/>
      <c r="O572" s="945"/>
      <c r="P572" s="945"/>
      <c r="Q572" s="1244"/>
      <c r="R572" s="1244"/>
      <c r="S572" s="1244"/>
      <c r="T572" s="1244"/>
      <c r="U572" s="1244"/>
      <c r="V572" s="1244"/>
      <c r="W572" s="1244"/>
      <c r="X572" s="1244"/>
      <c r="Y572" s="1244"/>
      <c r="Z572" s="1244"/>
    </row>
    <row r="573" spans="1:26" ht="18.75">
      <c r="A573" s="1267"/>
      <c r="B573" s="1268"/>
      <c r="C573" s="1268"/>
      <c r="D573" s="961"/>
      <c r="E573" s="961"/>
      <c r="F573" s="961"/>
      <c r="G573" s="954"/>
      <c r="H573" s="730" t="s">
        <v>34</v>
      </c>
      <c r="I573" s="944"/>
      <c r="J573" s="959">
        <v>17</v>
      </c>
      <c r="K573" s="945"/>
      <c r="L573" s="945"/>
      <c r="M573" s="945"/>
      <c r="N573" s="945"/>
      <c r="O573" s="945"/>
      <c r="P573" s="945"/>
      <c r="Q573" s="1244"/>
      <c r="R573" s="1244"/>
      <c r="S573" s="1244"/>
      <c r="T573" s="1244"/>
      <c r="U573" s="1244"/>
      <c r="V573" s="1244"/>
      <c r="W573" s="1244"/>
      <c r="X573" s="1244"/>
      <c r="Y573" s="1244"/>
      <c r="Z573" s="1244"/>
    </row>
    <row r="574" spans="1:26" ht="18.75">
      <c r="A574" s="1267"/>
      <c r="B574" s="1268"/>
      <c r="C574" s="1268"/>
      <c r="D574" s="961" t="s">
        <v>242</v>
      </c>
      <c r="E574" s="961"/>
      <c r="F574" s="961"/>
      <c r="G574" s="954"/>
      <c r="H574" s="730" t="s">
        <v>46</v>
      </c>
      <c r="I574" s="944"/>
      <c r="J574" s="959">
        <v>85</v>
      </c>
      <c r="K574" s="945"/>
      <c r="L574" s="945"/>
      <c r="M574" s="945"/>
      <c r="N574" s="945"/>
      <c r="O574" s="945"/>
      <c r="P574" s="945"/>
      <c r="Q574" s="1244"/>
      <c r="R574" s="1244"/>
      <c r="S574" s="1244"/>
      <c r="T574" s="1244"/>
      <c r="U574" s="1244"/>
      <c r="V574" s="1244"/>
      <c r="W574" s="1244"/>
      <c r="X574" s="1244"/>
      <c r="Y574" s="1244"/>
      <c r="Z574" s="1244"/>
    </row>
    <row r="575" spans="1:26" ht="18.75">
      <c r="A575" s="1267"/>
      <c r="B575" s="1268"/>
      <c r="C575" s="1268"/>
      <c r="D575" s="1268"/>
      <c r="E575" s="961"/>
      <c r="F575" s="961"/>
      <c r="G575" s="954"/>
      <c r="H575" s="730" t="s">
        <v>34</v>
      </c>
      <c r="I575" s="944"/>
      <c r="J575" s="959">
        <v>4</v>
      </c>
      <c r="K575" s="945"/>
      <c r="L575" s="945"/>
      <c r="M575" s="945"/>
      <c r="N575" s="945"/>
      <c r="O575" s="945"/>
      <c r="P575" s="945"/>
      <c r="Q575" s="1244"/>
      <c r="R575" s="1244"/>
      <c r="S575" s="1244"/>
      <c r="T575" s="1244"/>
      <c r="U575" s="1244"/>
      <c r="V575" s="1244"/>
      <c r="W575" s="1244"/>
      <c r="X575" s="1244"/>
      <c r="Y575" s="1244"/>
      <c r="Z575" s="1244"/>
    </row>
    <row r="576" spans="1:26" ht="19.5">
      <c r="A576" s="1267"/>
      <c r="B576" s="1268"/>
      <c r="C576" s="1277" t="s">
        <v>243</v>
      </c>
      <c r="D576" s="1268"/>
      <c r="E576" s="1268"/>
      <c r="F576" s="961"/>
      <c r="G576" s="954"/>
      <c r="H576" s="733" t="s">
        <v>46</v>
      </c>
      <c r="I576" s="965">
        <f ca="1">IFERROR(__xludf.DUMMYFUNCTION("IMPORTRANGE(""https://docs.google.com/spreadsheets/d/1QqKyyYR6Q21VydFLVH3TRQUabQu_ym0Zz7PgGX0-kHA/edit?usp=sharing"",""แผน!HH21"")"),2373)</f>
        <v>2373</v>
      </c>
      <c r="J576" s="966">
        <f t="shared" ref="J576:J577" si="250">J578+J580+J582+J588+J590</f>
        <v>0</v>
      </c>
      <c r="K576" s="1109">
        <f t="shared" ref="K576:K577" ca="1" si="251">IF(I576&gt;0,J576*100/I576,0)</f>
        <v>0</v>
      </c>
      <c r="L576" s="945"/>
      <c r="M576" s="945"/>
      <c r="N576" s="945"/>
      <c r="O576" s="945"/>
      <c r="P576" s="945"/>
      <c r="Q576" s="1244"/>
      <c r="R576" s="1244"/>
      <c r="S576" s="1244"/>
      <c r="T576" s="1244"/>
      <c r="U576" s="1244"/>
      <c r="V576" s="1244"/>
      <c r="W576" s="1244"/>
      <c r="X576" s="1244"/>
      <c r="Y576" s="1244"/>
      <c r="Z576" s="1244"/>
    </row>
    <row r="577" spans="1:26" ht="19.5">
      <c r="A577" s="1267"/>
      <c r="B577" s="1268"/>
      <c r="C577" s="1268"/>
      <c r="D577" s="1268"/>
      <c r="E577" s="961"/>
      <c r="F577" s="961"/>
      <c r="G577" s="954"/>
      <c r="H577" s="733" t="s">
        <v>34</v>
      </c>
      <c r="I577" s="965">
        <f ca="1">IFERROR(__xludf.DUMMYFUNCTION("IMPORTRANGE(""https://docs.google.com/spreadsheets/d/1QqKyyYR6Q21VydFLVH3TRQUabQu_ym0Zz7PgGX0-kHA/edit?usp=sharing"",""แผน!HG21"")"),118)</f>
        <v>118</v>
      </c>
      <c r="J577" s="966">
        <f t="shared" si="250"/>
        <v>0</v>
      </c>
      <c r="K577" s="1109">
        <f t="shared" ca="1" si="251"/>
        <v>0</v>
      </c>
      <c r="L577" s="945"/>
      <c r="M577" s="945"/>
      <c r="N577" s="945"/>
      <c r="O577" s="945"/>
      <c r="P577" s="945"/>
      <c r="Q577" s="1244"/>
      <c r="R577" s="1244"/>
      <c r="S577" s="1244"/>
      <c r="T577" s="1244"/>
      <c r="U577" s="1244"/>
      <c r="V577" s="1244"/>
      <c r="W577" s="1244"/>
      <c r="X577" s="1244"/>
      <c r="Y577" s="1244"/>
      <c r="Z577" s="1244"/>
    </row>
    <row r="578" spans="1:26" ht="18.75">
      <c r="A578" s="1267"/>
      <c r="B578" s="1268"/>
      <c r="C578" s="1268"/>
      <c r="D578" s="961" t="s">
        <v>244</v>
      </c>
      <c r="E578" s="961"/>
      <c r="F578" s="961"/>
      <c r="G578" s="954"/>
      <c r="H578" s="730" t="s">
        <v>46</v>
      </c>
      <c r="I578" s="944"/>
      <c r="J578" s="959">
        <v>0</v>
      </c>
      <c r="K578" s="945"/>
      <c r="L578" s="945"/>
      <c r="M578" s="945"/>
      <c r="N578" s="945"/>
      <c r="O578" s="945"/>
      <c r="P578" s="945"/>
      <c r="Q578" s="1244"/>
      <c r="R578" s="1244"/>
      <c r="S578" s="1244"/>
      <c r="T578" s="1244"/>
      <c r="U578" s="1244"/>
      <c r="V578" s="1244"/>
      <c r="W578" s="1244"/>
      <c r="X578" s="1244"/>
      <c r="Y578" s="1244"/>
      <c r="Z578" s="1244"/>
    </row>
    <row r="579" spans="1:26" ht="18.75">
      <c r="A579" s="1267"/>
      <c r="B579" s="1268"/>
      <c r="C579" s="1268"/>
      <c r="D579" s="1268"/>
      <c r="E579" s="961"/>
      <c r="F579" s="961"/>
      <c r="G579" s="954"/>
      <c r="H579" s="730" t="s">
        <v>34</v>
      </c>
      <c r="I579" s="944"/>
      <c r="J579" s="959">
        <v>0</v>
      </c>
      <c r="K579" s="945"/>
      <c r="L579" s="945"/>
      <c r="M579" s="945"/>
      <c r="N579" s="945"/>
      <c r="O579" s="945"/>
      <c r="P579" s="945"/>
      <c r="Q579" s="1244"/>
      <c r="R579" s="1244"/>
      <c r="S579" s="1244"/>
      <c r="T579" s="1244"/>
      <c r="U579" s="1244"/>
      <c r="V579" s="1244"/>
      <c r="W579" s="1244"/>
      <c r="X579" s="1244"/>
      <c r="Y579" s="1244"/>
      <c r="Z579" s="1244"/>
    </row>
    <row r="580" spans="1:26" ht="18.75">
      <c r="A580" s="1267"/>
      <c r="B580" s="1268"/>
      <c r="C580" s="1268"/>
      <c r="D580" s="961" t="s">
        <v>245</v>
      </c>
      <c r="E580" s="961"/>
      <c r="F580" s="961"/>
      <c r="G580" s="954"/>
      <c r="H580" s="730" t="s">
        <v>46</v>
      </c>
      <c r="I580" s="944"/>
      <c r="J580" s="959">
        <v>0</v>
      </c>
      <c r="K580" s="945"/>
      <c r="L580" s="945"/>
      <c r="M580" s="945"/>
      <c r="N580" s="945"/>
      <c r="O580" s="945"/>
      <c r="P580" s="945"/>
      <c r="Q580" s="1244"/>
      <c r="R580" s="1244"/>
      <c r="S580" s="1244"/>
      <c r="T580" s="1244"/>
      <c r="U580" s="1244"/>
      <c r="V580" s="1244"/>
      <c r="W580" s="1244"/>
      <c r="X580" s="1244"/>
      <c r="Y580" s="1244"/>
      <c r="Z580" s="1244"/>
    </row>
    <row r="581" spans="1:26" ht="18.75">
      <c r="A581" s="1267"/>
      <c r="B581" s="1268"/>
      <c r="C581" s="1268"/>
      <c r="D581" s="1268"/>
      <c r="E581" s="961"/>
      <c r="F581" s="961"/>
      <c r="G581" s="954"/>
      <c r="H581" s="730" t="s">
        <v>34</v>
      </c>
      <c r="I581" s="944"/>
      <c r="J581" s="959">
        <v>0</v>
      </c>
      <c r="K581" s="945"/>
      <c r="L581" s="945"/>
      <c r="M581" s="945"/>
      <c r="N581" s="945"/>
      <c r="O581" s="945"/>
      <c r="P581" s="945"/>
      <c r="Q581" s="1244"/>
      <c r="R581" s="1244"/>
      <c r="S581" s="1244"/>
      <c r="T581" s="1244"/>
      <c r="U581" s="1244"/>
      <c r="V581" s="1244"/>
      <c r="W581" s="1244"/>
      <c r="X581" s="1244"/>
      <c r="Y581" s="1244"/>
      <c r="Z581" s="1244"/>
    </row>
    <row r="582" spans="1:26" ht="19.5">
      <c r="A582" s="1267"/>
      <c r="B582" s="1268"/>
      <c r="C582" s="1268"/>
      <c r="D582" s="961" t="s">
        <v>246</v>
      </c>
      <c r="E582" s="961"/>
      <c r="F582" s="961"/>
      <c r="G582" s="954"/>
      <c r="H582" s="730" t="s">
        <v>46</v>
      </c>
      <c r="I582" s="944"/>
      <c r="J582" s="966">
        <f t="shared" ref="J582:J583" si="252">J584+J586</f>
        <v>0</v>
      </c>
      <c r="K582" s="1109"/>
      <c r="L582" s="945"/>
      <c r="M582" s="945"/>
      <c r="N582" s="945"/>
      <c r="O582" s="945"/>
      <c r="P582" s="945"/>
      <c r="Q582" s="1244"/>
      <c r="R582" s="1244"/>
      <c r="S582" s="1244"/>
      <c r="T582" s="1244"/>
      <c r="U582" s="1244"/>
      <c r="V582" s="1244"/>
      <c r="W582" s="1244"/>
      <c r="X582" s="1244"/>
      <c r="Y582" s="1244"/>
      <c r="Z582" s="1244"/>
    </row>
    <row r="583" spans="1:26" ht="19.5">
      <c r="A583" s="1267"/>
      <c r="B583" s="1268"/>
      <c r="C583" s="1268"/>
      <c r="D583" s="1268"/>
      <c r="E583" s="961"/>
      <c r="F583" s="961"/>
      <c r="G583" s="954"/>
      <c r="H583" s="730" t="s">
        <v>34</v>
      </c>
      <c r="I583" s="944"/>
      <c r="J583" s="966">
        <f t="shared" si="252"/>
        <v>0</v>
      </c>
      <c r="K583" s="1109"/>
      <c r="L583" s="945"/>
      <c r="M583" s="945"/>
      <c r="N583" s="945"/>
      <c r="O583" s="945"/>
      <c r="P583" s="945"/>
      <c r="Q583" s="1244"/>
      <c r="R583" s="1244"/>
      <c r="S583" s="1244"/>
      <c r="T583" s="1244"/>
      <c r="U583" s="1244"/>
      <c r="V583" s="1244"/>
      <c r="W583" s="1244"/>
      <c r="X583" s="1244"/>
      <c r="Y583" s="1244"/>
      <c r="Z583" s="1244"/>
    </row>
    <row r="584" spans="1:26" ht="18.75">
      <c r="A584" s="1267"/>
      <c r="B584" s="1268"/>
      <c r="C584" s="1268"/>
      <c r="D584" s="1268"/>
      <c r="E584" s="961" t="s">
        <v>247</v>
      </c>
      <c r="F584" s="961"/>
      <c r="G584" s="954"/>
      <c r="H584" s="730" t="s">
        <v>46</v>
      </c>
      <c r="I584" s="944"/>
      <c r="J584" s="959">
        <v>0</v>
      </c>
      <c r="K584" s="945"/>
      <c r="L584" s="945"/>
      <c r="M584" s="945"/>
      <c r="N584" s="945"/>
      <c r="O584" s="945"/>
      <c r="P584" s="945"/>
      <c r="Q584" s="1244"/>
      <c r="R584" s="1244"/>
      <c r="S584" s="1244"/>
      <c r="T584" s="1244"/>
      <c r="U584" s="1244"/>
      <c r="V584" s="1244"/>
      <c r="W584" s="1244"/>
      <c r="X584" s="1244"/>
      <c r="Y584" s="1244"/>
      <c r="Z584" s="1244"/>
    </row>
    <row r="585" spans="1:26" ht="18.75">
      <c r="A585" s="1267"/>
      <c r="B585" s="1268"/>
      <c r="C585" s="1268"/>
      <c r="D585" s="1268"/>
      <c r="E585" s="961"/>
      <c r="F585" s="961"/>
      <c r="G585" s="954"/>
      <c r="H585" s="730" t="s">
        <v>34</v>
      </c>
      <c r="I585" s="944"/>
      <c r="J585" s="959">
        <v>0</v>
      </c>
      <c r="K585" s="945"/>
      <c r="L585" s="945"/>
      <c r="M585" s="945"/>
      <c r="N585" s="945"/>
      <c r="O585" s="945"/>
      <c r="P585" s="945"/>
      <c r="Q585" s="1244"/>
      <c r="R585" s="1244"/>
      <c r="S585" s="1244"/>
      <c r="T585" s="1244"/>
      <c r="U585" s="1244"/>
      <c r="V585" s="1244"/>
      <c r="W585" s="1244"/>
      <c r="X585" s="1244"/>
      <c r="Y585" s="1244"/>
      <c r="Z585" s="1244"/>
    </row>
    <row r="586" spans="1:26" ht="18.75">
      <c r="A586" s="1267"/>
      <c r="B586" s="1268"/>
      <c r="C586" s="1268"/>
      <c r="D586" s="1268"/>
      <c r="E586" s="961" t="s">
        <v>248</v>
      </c>
      <c r="F586" s="961"/>
      <c r="G586" s="954"/>
      <c r="H586" s="730" t="s">
        <v>46</v>
      </c>
      <c r="I586" s="944"/>
      <c r="J586" s="959">
        <v>0</v>
      </c>
      <c r="K586" s="945"/>
      <c r="L586" s="945"/>
      <c r="M586" s="945"/>
      <c r="N586" s="945"/>
      <c r="O586" s="945"/>
      <c r="P586" s="945"/>
      <c r="Q586" s="1244"/>
      <c r="R586" s="1244"/>
      <c r="S586" s="1244"/>
      <c r="T586" s="1244"/>
      <c r="U586" s="1244"/>
      <c r="V586" s="1244"/>
      <c r="W586" s="1244"/>
      <c r="X586" s="1244"/>
      <c r="Y586" s="1244"/>
      <c r="Z586" s="1244"/>
    </row>
    <row r="587" spans="1:26" ht="18.75">
      <c r="A587" s="1267"/>
      <c r="B587" s="1268"/>
      <c r="C587" s="1268"/>
      <c r="D587" s="1268"/>
      <c r="E587" s="1268"/>
      <c r="F587" s="961"/>
      <c r="G587" s="954"/>
      <c r="H587" s="730" t="s">
        <v>34</v>
      </c>
      <c r="I587" s="944"/>
      <c r="J587" s="959">
        <v>0</v>
      </c>
      <c r="K587" s="945"/>
      <c r="L587" s="945"/>
      <c r="M587" s="945"/>
      <c r="N587" s="945"/>
      <c r="O587" s="945"/>
      <c r="P587" s="945"/>
      <c r="Q587" s="1244"/>
      <c r="R587" s="1244"/>
      <c r="S587" s="1244"/>
      <c r="T587" s="1244"/>
      <c r="U587" s="1244"/>
      <c r="V587" s="1244"/>
      <c r="W587" s="1244"/>
      <c r="X587" s="1244"/>
      <c r="Y587" s="1244"/>
      <c r="Z587" s="1244"/>
    </row>
    <row r="588" spans="1:26" ht="18.75">
      <c r="A588" s="1267"/>
      <c r="B588" s="1268"/>
      <c r="C588" s="1268"/>
      <c r="D588" s="961" t="s">
        <v>249</v>
      </c>
      <c r="E588" s="961"/>
      <c r="F588" s="961"/>
      <c r="G588" s="954"/>
      <c r="H588" s="730" t="s">
        <v>46</v>
      </c>
      <c r="I588" s="944"/>
      <c r="J588" s="959">
        <v>0</v>
      </c>
      <c r="K588" s="945"/>
      <c r="L588" s="945"/>
      <c r="M588" s="945"/>
      <c r="N588" s="945"/>
      <c r="O588" s="945"/>
      <c r="P588" s="945"/>
      <c r="Q588" s="1244"/>
      <c r="R588" s="1244"/>
      <c r="S588" s="1244"/>
      <c r="T588" s="1244"/>
      <c r="U588" s="1244"/>
      <c r="V588" s="1244"/>
      <c r="W588" s="1244"/>
      <c r="X588" s="1244"/>
      <c r="Y588" s="1244"/>
      <c r="Z588" s="1244"/>
    </row>
    <row r="589" spans="1:26" ht="18.75">
      <c r="A589" s="1267"/>
      <c r="B589" s="1268"/>
      <c r="C589" s="1268"/>
      <c r="D589" s="1268"/>
      <c r="E589" s="1268"/>
      <c r="F589" s="961"/>
      <c r="G589" s="954"/>
      <c r="H589" s="730" t="s">
        <v>34</v>
      </c>
      <c r="I589" s="944"/>
      <c r="J589" s="959">
        <v>0</v>
      </c>
      <c r="K589" s="945"/>
      <c r="L589" s="945"/>
      <c r="M589" s="945"/>
      <c r="N589" s="945"/>
      <c r="O589" s="945"/>
      <c r="P589" s="945"/>
      <c r="Q589" s="1244"/>
      <c r="R589" s="1244"/>
      <c r="S589" s="1244"/>
      <c r="T589" s="1244"/>
      <c r="U589" s="1244"/>
      <c r="V589" s="1244"/>
      <c r="W589" s="1244"/>
      <c r="X589" s="1244"/>
      <c r="Y589" s="1244"/>
      <c r="Z589" s="1244"/>
    </row>
    <row r="590" spans="1:26" ht="18.75">
      <c r="A590" s="1267"/>
      <c r="B590" s="1268"/>
      <c r="C590" s="1268"/>
      <c r="D590" s="961" t="s">
        <v>250</v>
      </c>
      <c r="E590" s="961"/>
      <c r="F590" s="961"/>
      <c r="G590" s="954"/>
      <c r="H590" s="730" t="s">
        <v>46</v>
      </c>
      <c r="I590" s="944"/>
      <c r="J590" s="959">
        <v>0</v>
      </c>
      <c r="K590" s="945"/>
      <c r="L590" s="945"/>
      <c r="M590" s="945"/>
      <c r="N590" s="945"/>
      <c r="O590" s="945"/>
      <c r="P590" s="945"/>
      <c r="Q590" s="1244"/>
      <c r="R590" s="1244"/>
      <c r="S590" s="1244"/>
      <c r="T590" s="1244"/>
      <c r="U590" s="1244"/>
      <c r="V590" s="1244"/>
      <c r="W590" s="1244"/>
      <c r="X590" s="1244"/>
      <c r="Y590" s="1244"/>
      <c r="Z590" s="1244"/>
    </row>
    <row r="591" spans="1:26" ht="18.75">
      <c r="A591" s="1332"/>
      <c r="B591" s="1333"/>
      <c r="C591" s="1333"/>
      <c r="D591" s="1333"/>
      <c r="E591" s="1244"/>
      <c r="F591" s="1244"/>
      <c r="G591" s="1334"/>
      <c r="H591" s="665" t="s">
        <v>34</v>
      </c>
      <c r="I591" s="1335"/>
      <c r="J591" s="1336">
        <v>0</v>
      </c>
      <c r="K591" s="1337"/>
      <c r="L591" s="1337"/>
      <c r="M591" s="1337"/>
      <c r="N591" s="1337"/>
      <c r="O591" s="1337"/>
      <c r="P591" s="1337"/>
      <c r="Q591" s="1244"/>
      <c r="R591" s="1244"/>
      <c r="S591" s="1244"/>
      <c r="T591" s="1244"/>
      <c r="U591" s="1244"/>
      <c r="V591" s="1244"/>
      <c r="W591" s="1244"/>
      <c r="X591" s="1244"/>
      <c r="Y591" s="1244"/>
      <c r="Z591" s="1244"/>
    </row>
    <row r="592" spans="1:26" ht="19.5">
      <c r="A592" s="1329"/>
      <c r="B592" s="1330" t="s">
        <v>251</v>
      </c>
      <c r="C592" s="1331"/>
      <c r="D592" s="1331"/>
      <c r="E592" s="1315"/>
      <c r="F592" s="1315"/>
      <c r="G592" s="1316"/>
      <c r="H592" s="661" t="s">
        <v>46</v>
      </c>
      <c r="I592" s="1338">
        <f t="shared" ref="I592:J592" ca="1" si="253">I593</f>
        <v>6935.73</v>
      </c>
      <c r="J592" s="1317">
        <f t="shared" si="253"/>
        <v>0</v>
      </c>
      <c r="K592" s="1318">
        <f t="shared" ref="K592:K594" ca="1" si="254">IF(I592&gt;0,J592*100/I592,0)</f>
        <v>0</v>
      </c>
      <c r="L592" s="1319"/>
      <c r="M592" s="1319"/>
      <c r="N592" s="1319"/>
      <c r="O592" s="1319"/>
      <c r="P592" s="1319"/>
      <c r="Q592" s="1244"/>
      <c r="R592" s="1244"/>
      <c r="S592" s="1244"/>
      <c r="T592" s="1244"/>
      <c r="U592" s="1244"/>
      <c r="V592" s="1244"/>
      <c r="W592" s="1244"/>
      <c r="X592" s="1244"/>
      <c r="Y592" s="1244"/>
      <c r="Z592" s="1244"/>
    </row>
    <row r="593" spans="1:26" ht="19.5">
      <c r="A593" s="1267"/>
      <c r="B593" s="1268"/>
      <c r="C593" s="1277" t="s">
        <v>252</v>
      </c>
      <c r="D593" s="1268"/>
      <c r="E593" s="1268"/>
      <c r="F593" s="961"/>
      <c r="G593" s="954"/>
      <c r="H593" s="733" t="s">
        <v>46</v>
      </c>
      <c r="I593" s="1339">
        <f ca="1">IFERROR(__xludf.DUMMYFUNCTION("IMPORTRANGE(""https://docs.google.com/spreadsheets/d/1QqKyyYR6Q21VydFLVH3TRQUabQu_ym0Zz7PgGX0-kHA/edit?usp=sharing"",""แผน!HJ21"")"),6935.73)</f>
        <v>6935.73</v>
      </c>
      <c r="J593" s="965">
        <f t="shared" ref="J593:J594" si="255">J595+J603+J609</f>
        <v>0</v>
      </c>
      <c r="K593" s="1109">
        <f t="shared" ca="1" si="254"/>
        <v>0</v>
      </c>
      <c r="L593" s="945"/>
      <c r="M593" s="945"/>
      <c r="N593" s="945"/>
      <c r="O593" s="945"/>
      <c r="P593" s="945"/>
      <c r="Q593" s="1244"/>
      <c r="R593" s="1244"/>
      <c r="S593" s="1244"/>
      <c r="T593" s="1244"/>
      <c r="U593" s="1244"/>
      <c r="V593" s="1244"/>
      <c r="W593" s="1244"/>
      <c r="X593" s="1244"/>
      <c r="Y593" s="1244"/>
      <c r="Z593" s="1244"/>
    </row>
    <row r="594" spans="1:26" ht="19.5">
      <c r="A594" s="1267"/>
      <c r="B594" s="1268"/>
      <c r="C594" s="1268"/>
      <c r="D594" s="1268"/>
      <c r="E594" s="961"/>
      <c r="F594" s="961"/>
      <c r="G594" s="954"/>
      <c r="H594" s="733" t="s">
        <v>34</v>
      </c>
      <c r="I594" s="965">
        <f ca="1">IFERROR(__xludf.DUMMYFUNCTION("IMPORTRANGE(""https://docs.google.com/spreadsheets/d/1QqKyyYR6Q21VydFLVH3TRQUabQu_ym0Zz7PgGX0-kHA/edit?usp=sharing"",""แผน!HI21"")"),458)</f>
        <v>458</v>
      </c>
      <c r="J594" s="965">
        <f t="shared" si="255"/>
        <v>0</v>
      </c>
      <c r="K594" s="1109">
        <f t="shared" ca="1" si="254"/>
        <v>0</v>
      </c>
      <c r="L594" s="945"/>
      <c r="M594" s="945"/>
      <c r="N594" s="945"/>
      <c r="O594" s="945"/>
      <c r="P594" s="945"/>
      <c r="Q594" s="1244"/>
      <c r="R594" s="1244"/>
      <c r="S594" s="1244"/>
      <c r="T594" s="1244"/>
      <c r="U594" s="1244"/>
      <c r="V594" s="1244"/>
      <c r="W594" s="1244"/>
      <c r="X594" s="1244"/>
      <c r="Y594" s="1244"/>
      <c r="Z594" s="1244"/>
    </row>
    <row r="595" spans="1:26" ht="18.75">
      <c r="A595" s="1267"/>
      <c r="B595" s="1268"/>
      <c r="C595" s="1268" t="s">
        <v>253</v>
      </c>
      <c r="D595" s="1268"/>
      <c r="E595" s="1268"/>
      <c r="F595" s="961"/>
      <c r="G595" s="954"/>
      <c r="H595" s="730" t="s">
        <v>46</v>
      </c>
      <c r="I595" s="944"/>
      <c r="J595" s="944">
        <f t="shared" ref="J595:J596" si="256">J597+J599</f>
        <v>0</v>
      </c>
      <c r="K595" s="945"/>
      <c r="L595" s="945"/>
      <c r="M595" s="945"/>
      <c r="N595" s="945"/>
      <c r="O595" s="945"/>
      <c r="P595" s="945"/>
      <c r="Q595" s="1244"/>
      <c r="R595" s="1244"/>
      <c r="S595" s="1244"/>
      <c r="T595" s="1244"/>
      <c r="U595" s="1244"/>
      <c r="V595" s="1244"/>
      <c r="W595" s="1244"/>
      <c r="X595" s="1244"/>
      <c r="Y595" s="1244"/>
      <c r="Z595" s="1244"/>
    </row>
    <row r="596" spans="1:26" ht="18.75">
      <c r="A596" s="1267"/>
      <c r="B596" s="1268"/>
      <c r="C596" s="1268"/>
      <c r="D596" s="1268"/>
      <c r="E596" s="961"/>
      <c r="F596" s="961"/>
      <c r="G596" s="954"/>
      <c r="H596" s="730" t="s">
        <v>34</v>
      </c>
      <c r="I596" s="944"/>
      <c r="J596" s="944">
        <f t="shared" si="256"/>
        <v>0</v>
      </c>
      <c r="K596" s="945"/>
      <c r="L596" s="945"/>
      <c r="M596" s="945"/>
      <c r="N596" s="945"/>
      <c r="O596" s="945"/>
      <c r="P596" s="945"/>
      <c r="Q596" s="1244"/>
      <c r="R596" s="1244"/>
      <c r="S596" s="1244"/>
      <c r="T596" s="1244"/>
      <c r="U596" s="1244"/>
      <c r="V596" s="1244"/>
      <c r="W596" s="1244"/>
      <c r="X596" s="1244"/>
      <c r="Y596" s="1244"/>
      <c r="Z596" s="1244"/>
    </row>
    <row r="597" spans="1:26" ht="18.75">
      <c r="A597" s="1267"/>
      <c r="B597" s="1268"/>
      <c r="C597" s="1268"/>
      <c r="D597" s="1017" t="s">
        <v>254</v>
      </c>
      <c r="E597" s="961"/>
      <c r="F597" s="961"/>
      <c r="G597" s="954"/>
      <c r="H597" s="730" t="s">
        <v>46</v>
      </c>
      <c r="I597" s="944"/>
      <c r="J597" s="959">
        <v>0</v>
      </c>
      <c r="K597" s="945"/>
      <c r="L597" s="945"/>
      <c r="M597" s="945"/>
      <c r="N597" s="945"/>
      <c r="O597" s="945"/>
      <c r="P597" s="945"/>
      <c r="Q597" s="1244"/>
      <c r="R597" s="1244"/>
      <c r="S597" s="1244"/>
      <c r="T597" s="1244"/>
      <c r="U597" s="1244"/>
      <c r="V597" s="1244"/>
      <c r="W597" s="1244"/>
      <c r="X597" s="1244"/>
      <c r="Y597" s="1244"/>
      <c r="Z597" s="1244"/>
    </row>
    <row r="598" spans="1:26" ht="18.75">
      <c r="A598" s="1267"/>
      <c r="B598" s="1268"/>
      <c r="C598" s="1268"/>
      <c r="D598" s="1268"/>
      <c r="E598" s="961"/>
      <c r="F598" s="961"/>
      <c r="G598" s="954"/>
      <c r="H598" s="730" t="s">
        <v>34</v>
      </c>
      <c r="I598" s="830"/>
      <c r="J598" s="959">
        <v>0</v>
      </c>
      <c r="K598" s="945"/>
      <c r="L598" s="945"/>
      <c r="M598" s="945"/>
      <c r="N598" s="945"/>
      <c r="O598" s="945"/>
      <c r="P598" s="945"/>
      <c r="Q598" s="1244"/>
      <c r="R598" s="1244"/>
      <c r="S598" s="1244"/>
      <c r="T598" s="1244"/>
      <c r="U598" s="1244"/>
      <c r="V598" s="1244"/>
      <c r="W598" s="1244"/>
      <c r="X598" s="1244"/>
      <c r="Y598" s="1244"/>
      <c r="Z598" s="1244"/>
    </row>
    <row r="599" spans="1:26" ht="18.75">
      <c r="A599" s="1267"/>
      <c r="B599" s="1268"/>
      <c r="C599" s="1268"/>
      <c r="D599" s="1017" t="s">
        <v>255</v>
      </c>
      <c r="E599" s="961"/>
      <c r="F599" s="961"/>
      <c r="G599" s="954"/>
      <c r="H599" s="730" t="s">
        <v>46</v>
      </c>
      <c r="I599" s="830"/>
      <c r="J599" s="959">
        <v>0</v>
      </c>
      <c r="K599" s="945"/>
      <c r="L599" s="945"/>
      <c r="M599" s="945"/>
      <c r="N599" s="945"/>
      <c r="O599" s="945"/>
      <c r="P599" s="945"/>
      <c r="Q599" s="1244"/>
      <c r="R599" s="1244"/>
      <c r="S599" s="1244"/>
      <c r="T599" s="1244"/>
      <c r="U599" s="1244"/>
      <c r="V599" s="1244"/>
      <c r="W599" s="1244"/>
      <c r="X599" s="1244"/>
      <c r="Y599" s="1244"/>
      <c r="Z599" s="1244"/>
    </row>
    <row r="600" spans="1:26" ht="18.75">
      <c r="A600" s="1267"/>
      <c r="B600" s="1268"/>
      <c r="C600" s="1268"/>
      <c r="D600" s="1268"/>
      <c r="E600" s="961"/>
      <c r="F600" s="961"/>
      <c r="G600" s="954"/>
      <c r="H600" s="730" t="s">
        <v>34</v>
      </c>
      <c r="I600" s="830"/>
      <c r="J600" s="959">
        <v>0</v>
      </c>
      <c r="K600" s="945"/>
      <c r="L600" s="945"/>
      <c r="M600" s="945"/>
      <c r="N600" s="945"/>
      <c r="O600" s="945"/>
      <c r="P600" s="945"/>
      <c r="Q600" s="1244"/>
      <c r="R600" s="1244"/>
      <c r="S600" s="1244"/>
      <c r="T600" s="1244"/>
      <c r="U600" s="1244"/>
      <c r="V600" s="1244"/>
      <c r="W600" s="1244"/>
      <c r="X600" s="1244"/>
      <c r="Y600" s="1244"/>
      <c r="Z600" s="1244"/>
    </row>
    <row r="601" spans="1:26" ht="18.75">
      <c r="A601" s="1267"/>
      <c r="B601" s="1268"/>
      <c r="C601" s="1268"/>
      <c r="D601" s="1017" t="s">
        <v>256</v>
      </c>
      <c r="E601" s="961"/>
      <c r="F601" s="961"/>
      <c r="G601" s="954"/>
      <c r="H601" s="730" t="s">
        <v>46</v>
      </c>
      <c r="I601" s="830"/>
      <c r="J601" s="959">
        <v>0</v>
      </c>
      <c r="K601" s="945"/>
      <c r="L601" s="945"/>
      <c r="M601" s="945"/>
      <c r="N601" s="945"/>
      <c r="O601" s="945"/>
      <c r="P601" s="945"/>
      <c r="Q601" s="1244"/>
      <c r="R601" s="1244"/>
      <c r="S601" s="1244"/>
      <c r="T601" s="1244"/>
      <c r="U601" s="1244"/>
      <c r="V601" s="1244"/>
      <c r="W601" s="1244"/>
      <c r="X601" s="1244"/>
      <c r="Y601" s="1244"/>
      <c r="Z601" s="1244"/>
    </row>
    <row r="602" spans="1:26" ht="18.75">
      <c r="A602" s="1267"/>
      <c r="B602" s="1268"/>
      <c r="C602" s="1268"/>
      <c r="D602" s="1268"/>
      <c r="E602" s="961"/>
      <c r="F602" s="961"/>
      <c r="G602" s="954"/>
      <c r="H602" s="730" t="s">
        <v>34</v>
      </c>
      <c r="I602" s="830"/>
      <c r="J602" s="959">
        <v>0</v>
      </c>
      <c r="K602" s="945"/>
      <c r="L602" s="945"/>
      <c r="M602" s="945"/>
      <c r="N602" s="945"/>
      <c r="O602" s="945"/>
      <c r="P602" s="945"/>
      <c r="Q602" s="1244"/>
      <c r="R602" s="1244"/>
      <c r="S602" s="1244"/>
      <c r="T602" s="1244"/>
      <c r="U602" s="1244"/>
      <c r="V602" s="1244"/>
      <c r="W602" s="1244"/>
      <c r="X602" s="1244"/>
      <c r="Y602" s="1244"/>
      <c r="Z602" s="1244"/>
    </row>
    <row r="603" spans="1:26" ht="18.75">
      <c r="A603" s="1267"/>
      <c r="B603" s="1268"/>
      <c r="C603" s="1340" t="s">
        <v>257</v>
      </c>
      <c r="D603" s="1268"/>
      <c r="E603" s="1268"/>
      <c r="F603" s="961"/>
      <c r="G603" s="954"/>
      <c r="H603" s="730" t="s">
        <v>46</v>
      </c>
      <c r="I603" s="830"/>
      <c r="J603" s="830">
        <f t="shared" ref="J603:J604" si="257">J605+J607</f>
        <v>0</v>
      </c>
      <c r="K603" s="945"/>
      <c r="L603" s="945"/>
      <c r="M603" s="945"/>
      <c r="N603" s="945"/>
      <c r="O603" s="945"/>
      <c r="P603" s="945"/>
      <c r="Q603" s="1244"/>
      <c r="R603" s="1244"/>
      <c r="S603" s="1244"/>
      <c r="T603" s="1244"/>
      <c r="U603" s="1244"/>
      <c r="V603" s="1244"/>
      <c r="W603" s="1244"/>
      <c r="X603" s="1244"/>
      <c r="Y603" s="1244"/>
      <c r="Z603" s="1244"/>
    </row>
    <row r="604" spans="1:26" ht="18.75">
      <c r="A604" s="1267"/>
      <c r="B604" s="1268"/>
      <c r="C604" s="1268"/>
      <c r="D604" s="1268"/>
      <c r="E604" s="961"/>
      <c r="F604" s="961"/>
      <c r="G604" s="954"/>
      <c r="H604" s="730" t="s">
        <v>34</v>
      </c>
      <c r="I604" s="830"/>
      <c r="J604" s="830">
        <f t="shared" si="257"/>
        <v>0</v>
      </c>
      <c r="K604" s="945"/>
      <c r="L604" s="945"/>
      <c r="M604" s="945"/>
      <c r="N604" s="945"/>
      <c r="O604" s="945"/>
      <c r="P604" s="945"/>
      <c r="Q604" s="1244"/>
      <c r="R604" s="1244"/>
      <c r="S604" s="1244"/>
      <c r="T604" s="1244"/>
      <c r="U604" s="1244"/>
      <c r="V604" s="1244"/>
      <c r="W604" s="1244"/>
      <c r="X604" s="1244"/>
      <c r="Y604" s="1244"/>
      <c r="Z604" s="1244"/>
    </row>
    <row r="605" spans="1:26" ht="18.75">
      <c r="A605" s="1267"/>
      <c r="B605" s="1268"/>
      <c r="C605" s="1268"/>
      <c r="D605" s="1340" t="s">
        <v>258</v>
      </c>
      <c r="E605" s="961"/>
      <c r="F605" s="961"/>
      <c r="G605" s="954"/>
      <c r="H605" s="730" t="s">
        <v>46</v>
      </c>
      <c r="I605" s="830"/>
      <c r="J605" s="959">
        <v>0</v>
      </c>
      <c r="K605" s="945"/>
      <c r="L605" s="945"/>
      <c r="M605" s="945"/>
      <c r="N605" s="945"/>
      <c r="O605" s="945"/>
      <c r="P605" s="945"/>
      <c r="Q605" s="1244"/>
      <c r="R605" s="1244"/>
      <c r="S605" s="1244"/>
      <c r="T605" s="1244"/>
      <c r="U605" s="1244"/>
      <c r="V605" s="1244"/>
      <c r="W605" s="1244"/>
      <c r="X605" s="1244"/>
      <c r="Y605" s="1244"/>
      <c r="Z605" s="1244"/>
    </row>
    <row r="606" spans="1:26" ht="18.75">
      <c r="A606" s="1267"/>
      <c r="B606" s="1268"/>
      <c r="C606" s="1268"/>
      <c r="D606" s="1268"/>
      <c r="E606" s="1268"/>
      <c r="F606" s="961"/>
      <c r="G606" s="954"/>
      <c r="H606" s="730" t="s">
        <v>34</v>
      </c>
      <c r="I606" s="830"/>
      <c r="J606" s="959">
        <v>0</v>
      </c>
      <c r="K606" s="945"/>
      <c r="L606" s="945"/>
      <c r="M606" s="945"/>
      <c r="N606" s="945"/>
      <c r="O606" s="945"/>
      <c r="P606" s="945"/>
      <c r="Q606" s="1244"/>
      <c r="R606" s="1244"/>
      <c r="S606" s="1244"/>
      <c r="T606" s="1244"/>
      <c r="U606" s="1244"/>
      <c r="V606" s="1244"/>
      <c r="W606" s="1244"/>
      <c r="X606" s="1244"/>
      <c r="Y606" s="1244"/>
      <c r="Z606" s="1244"/>
    </row>
    <row r="607" spans="1:26" ht="18.75">
      <c r="A607" s="1267"/>
      <c r="B607" s="1268"/>
      <c r="C607" s="1268"/>
      <c r="D607" s="1340" t="s">
        <v>259</v>
      </c>
      <c r="E607" s="1268"/>
      <c r="F607" s="961"/>
      <c r="G607" s="954"/>
      <c r="H607" s="730" t="s">
        <v>46</v>
      </c>
      <c r="I607" s="830"/>
      <c r="J607" s="959">
        <v>0</v>
      </c>
      <c r="K607" s="945"/>
      <c r="L607" s="945"/>
      <c r="M607" s="945"/>
      <c r="N607" s="945"/>
      <c r="O607" s="945"/>
      <c r="P607" s="945"/>
      <c r="Q607" s="1244"/>
      <c r="R607" s="1244"/>
      <c r="S607" s="1244"/>
      <c r="T607" s="1244"/>
      <c r="U607" s="1244"/>
      <c r="V607" s="1244"/>
      <c r="W607" s="1244"/>
      <c r="X607" s="1244"/>
      <c r="Y607" s="1244"/>
      <c r="Z607" s="1244"/>
    </row>
    <row r="608" spans="1:26" ht="18.75">
      <c r="A608" s="1267"/>
      <c r="B608" s="1268"/>
      <c r="C608" s="1268"/>
      <c r="D608" s="1268"/>
      <c r="E608" s="961"/>
      <c r="F608" s="961"/>
      <c r="G608" s="954"/>
      <c r="H608" s="730" t="s">
        <v>34</v>
      </c>
      <c r="I608" s="830"/>
      <c r="J608" s="959">
        <v>0</v>
      </c>
      <c r="K608" s="945"/>
      <c r="L608" s="945"/>
      <c r="M608" s="945"/>
      <c r="N608" s="945"/>
      <c r="O608" s="945"/>
      <c r="P608" s="945"/>
      <c r="Q608" s="1244"/>
      <c r="R608" s="1244"/>
      <c r="S608" s="1244"/>
      <c r="T608" s="1244"/>
      <c r="U608" s="1244"/>
      <c r="V608" s="1244"/>
      <c r="W608" s="1244"/>
      <c r="X608" s="1244"/>
      <c r="Y608" s="1244"/>
      <c r="Z608" s="1244"/>
    </row>
    <row r="609" spans="1:26" ht="18.75">
      <c r="A609" s="1267"/>
      <c r="B609" s="1268"/>
      <c r="C609" s="1268" t="s">
        <v>260</v>
      </c>
      <c r="D609" s="1268"/>
      <c r="E609" s="1268"/>
      <c r="F609" s="961"/>
      <c r="G609" s="954"/>
      <c r="H609" s="730" t="s">
        <v>46</v>
      </c>
      <c r="I609" s="830"/>
      <c r="J609" s="959">
        <v>0</v>
      </c>
      <c r="K609" s="945"/>
      <c r="L609" s="945"/>
      <c r="M609" s="945"/>
      <c r="N609" s="945"/>
      <c r="O609" s="945"/>
      <c r="P609" s="945"/>
      <c r="Q609" s="1244"/>
      <c r="R609" s="1244"/>
      <c r="S609" s="1244"/>
      <c r="T609" s="1244"/>
      <c r="U609" s="1244"/>
      <c r="V609" s="1244"/>
      <c r="W609" s="1244"/>
      <c r="X609" s="1244"/>
      <c r="Y609" s="1244"/>
      <c r="Z609" s="1244"/>
    </row>
    <row r="610" spans="1:26" ht="18.75">
      <c r="A610" s="1267"/>
      <c r="B610" s="1268"/>
      <c r="C610" s="1268"/>
      <c r="D610" s="1268"/>
      <c r="E610" s="961"/>
      <c r="F610" s="961"/>
      <c r="G610" s="954"/>
      <c r="H610" s="730" t="s">
        <v>34</v>
      </c>
      <c r="I610" s="830"/>
      <c r="J610" s="959">
        <v>0</v>
      </c>
      <c r="K610" s="945"/>
      <c r="L610" s="945"/>
      <c r="M610" s="945"/>
      <c r="N610" s="945"/>
      <c r="O610" s="945"/>
      <c r="P610" s="945"/>
      <c r="Q610" s="1244"/>
      <c r="R610" s="1244"/>
      <c r="S610" s="1244"/>
      <c r="T610" s="1244"/>
      <c r="U610" s="1244"/>
      <c r="V610" s="1244"/>
      <c r="W610" s="1244"/>
      <c r="X610" s="1244"/>
      <c r="Y610" s="1244"/>
      <c r="Z610" s="1244"/>
    </row>
    <row r="611" spans="1:26" ht="19.5" hidden="1">
      <c r="A611" s="1329"/>
      <c r="B611" s="1341" t="s">
        <v>261</v>
      </c>
      <c r="C611" s="1331"/>
      <c r="D611" s="1331"/>
      <c r="E611" s="1315"/>
      <c r="F611" s="1315"/>
      <c r="G611" s="1316"/>
      <c r="H611" s="673" t="s">
        <v>46</v>
      </c>
      <c r="I611" s="1317">
        <v>0</v>
      </c>
      <c r="J611" s="1317">
        <f>J614+J616</f>
        <v>0</v>
      </c>
      <c r="K611" s="1318">
        <f t="shared" ref="K611:K613" si="258">IF(I611&gt;0,J611*100/I611,0)</f>
        <v>0</v>
      </c>
      <c r="L611" s="1319"/>
      <c r="M611" s="1319"/>
      <c r="N611" s="1319"/>
      <c r="O611" s="1319"/>
      <c r="P611" s="1319"/>
      <c r="Q611" s="1244"/>
      <c r="R611" s="1244"/>
      <c r="S611" s="1244"/>
      <c r="T611" s="1244"/>
      <c r="U611" s="1244"/>
      <c r="V611" s="1244"/>
      <c r="W611" s="1244"/>
      <c r="X611" s="1244"/>
      <c r="Y611" s="1244"/>
      <c r="Z611" s="1244"/>
    </row>
    <row r="612" spans="1:26" ht="19.5" hidden="1">
      <c r="A612" s="1342"/>
      <c r="B612" s="1343"/>
      <c r="C612" s="1344" t="s">
        <v>262</v>
      </c>
      <c r="D612" s="1343"/>
      <c r="E612" s="1343"/>
      <c r="F612" s="1345"/>
      <c r="G612" s="1346"/>
      <c r="H612" s="680" t="s">
        <v>46</v>
      </c>
      <c r="I612" s="1347">
        <v>0</v>
      </c>
      <c r="J612" s="1347">
        <f t="shared" ref="J612:J613" si="259">J614+J616</f>
        <v>0</v>
      </c>
      <c r="K612" s="1348">
        <f t="shared" si="258"/>
        <v>0</v>
      </c>
      <c r="L612" s="1349"/>
      <c r="M612" s="1349"/>
      <c r="N612" s="1349"/>
      <c r="O612" s="1349"/>
      <c r="P612" s="1349"/>
      <c r="Q612" s="1264"/>
      <c r="R612" s="1264"/>
      <c r="S612" s="1264"/>
      <c r="T612" s="1264"/>
      <c r="U612" s="1264"/>
      <c r="V612" s="1264"/>
      <c r="W612" s="1264"/>
      <c r="X612" s="1264"/>
      <c r="Y612" s="1264"/>
      <c r="Z612" s="1264"/>
    </row>
    <row r="613" spans="1:26" ht="19.5" hidden="1">
      <c r="A613" s="1342"/>
      <c r="B613" s="1343"/>
      <c r="C613" s="1343" t="s">
        <v>263</v>
      </c>
      <c r="D613" s="1343"/>
      <c r="E613" s="1343"/>
      <c r="F613" s="1345"/>
      <c r="G613" s="1346"/>
      <c r="H613" s="680" t="s">
        <v>34</v>
      </c>
      <c r="I613" s="1347">
        <v>0</v>
      </c>
      <c r="J613" s="1347">
        <f t="shared" si="259"/>
        <v>0</v>
      </c>
      <c r="K613" s="1348">
        <f t="shared" si="258"/>
        <v>0</v>
      </c>
      <c r="L613" s="1349"/>
      <c r="M613" s="1349"/>
      <c r="N613" s="1349"/>
      <c r="O613" s="1349"/>
      <c r="P613" s="1349"/>
      <c r="Q613" s="1264"/>
      <c r="R613" s="1264"/>
      <c r="S613" s="1264"/>
      <c r="T613" s="1264"/>
      <c r="U613" s="1264"/>
      <c r="V613" s="1264"/>
      <c r="W613" s="1264"/>
      <c r="X613" s="1264"/>
      <c r="Y613" s="1264"/>
      <c r="Z613" s="1264"/>
    </row>
    <row r="614" spans="1:26" ht="18.75" hidden="1">
      <c r="A614" s="1273"/>
      <c r="B614" s="1274"/>
      <c r="C614" s="1274"/>
      <c r="D614" s="1262" t="s">
        <v>264</v>
      </c>
      <c r="E614" s="1274"/>
      <c r="F614" s="1262"/>
      <c r="G614" s="1060"/>
      <c r="H614" s="583" t="s">
        <v>46</v>
      </c>
      <c r="I614" s="836"/>
      <c r="J614" s="836">
        <v>0</v>
      </c>
      <c r="K614" s="948"/>
      <c r="L614" s="948"/>
      <c r="M614" s="948"/>
      <c r="N614" s="948"/>
      <c r="O614" s="948"/>
      <c r="P614" s="948"/>
      <c r="Q614" s="1264"/>
      <c r="R614" s="1264"/>
      <c r="S614" s="1264"/>
      <c r="T614" s="1264"/>
      <c r="U614" s="1264"/>
      <c r="V614" s="1264"/>
      <c r="W614" s="1264"/>
      <c r="X614" s="1264"/>
      <c r="Y614" s="1264"/>
      <c r="Z614" s="1264"/>
    </row>
    <row r="615" spans="1:26" ht="18.75" hidden="1">
      <c r="A615" s="1273"/>
      <c r="B615" s="1274"/>
      <c r="C615" s="1274"/>
      <c r="D615" s="1274"/>
      <c r="E615" s="1274"/>
      <c r="F615" s="1262"/>
      <c r="G615" s="1060"/>
      <c r="H615" s="583" t="s">
        <v>34</v>
      </c>
      <c r="I615" s="836"/>
      <c r="J615" s="836">
        <v>0</v>
      </c>
      <c r="K615" s="948"/>
      <c r="L615" s="948"/>
      <c r="M615" s="948"/>
      <c r="N615" s="948"/>
      <c r="O615" s="948"/>
      <c r="P615" s="948"/>
      <c r="Q615" s="1264"/>
      <c r="R615" s="1264"/>
      <c r="S615" s="1264"/>
      <c r="T615" s="1264"/>
      <c r="U615" s="1264"/>
      <c r="V615" s="1264"/>
      <c r="W615" s="1264"/>
      <c r="X615" s="1264"/>
      <c r="Y615" s="1264"/>
      <c r="Z615" s="1264"/>
    </row>
    <row r="616" spans="1:26" ht="18.75" hidden="1">
      <c r="A616" s="1273"/>
      <c r="B616" s="1274"/>
      <c r="C616" s="1274"/>
      <c r="D616" s="1350" t="s">
        <v>264</v>
      </c>
      <c r="E616" s="1262"/>
      <c r="F616" s="1262"/>
      <c r="G616" s="1060"/>
      <c r="H616" s="583" t="s">
        <v>46</v>
      </c>
      <c r="I616" s="836"/>
      <c r="J616" s="836">
        <v>0</v>
      </c>
      <c r="K616" s="948"/>
      <c r="L616" s="948"/>
      <c r="M616" s="948"/>
      <c r="N616" s="948"/>
      <c r="O616" s="948"/>
      <c r="P616" s="948"/>
      <c r="Q616" s="1264"/>
      <c r="R616" s="1264"/>
      <c r="S616" s="1264"/>
      <c r="T616" s="1264"/>
      <c r="U616" s="1264"/>
      <c r="V616" s="1264"/>
      <c r="W616" s="1264"/>
      <c r="X616" s="1264"/>
      <c r="Y616" s="1264"/>
      <c r="Z616" s="1264"/>
    </row>
    <row r="617" spans="1:26" ht="18.75" hidden="1">
      <c r="A617" s="1273"/>
      <c r="B617" s="1274"/>
      <c r="C617" s="1274"/>
      <c r="D617" s="1274"/>
      <c r="E617" s="1262"/>
      <c r="F617" s="1262"/>
      <c r="G617" s="1060"/>
      <c r="H617" s="583" t="s">
        <v>34</v>
      </c>
      <c r="I617" s="836"/>
      <c r="J617" s="836">
        <v>0</v>
      </c>
      <c r="K617" s="948"/>
      <c r="L617" s="948"/>
      <c r="M617" s="948"/>
      <c r="N617" s="948"/>
      <c r="O617" s="948"/>
      <c r="P617" s="948"/>
      <c r="Q617" s="1264"/>
      <c r="R617" s="1264"/>
      <c r="S617" s="1264"/>
      <c r="T617" s="1264"/>
      <c r="U617" s="1264"/>
      <c r="V617" s="1264"/>
      <c r="W617" s="1264"/>
      <c r="X617" s="1264"/>
      <c r="Y617" s="1264"/>
      <c r="Z617" s="1264"/>
    </row>
    <row r="618" spans="1:26" ht="18.75" hidden="1">
      <c r="A618" s="1273"/>
      <c r="B618" s="1274"/>
      <c r="C618" s="1274"/>
      <c r="D618" s="1350" t="s">
        <v>265</v>
      </c>
      <c r="E618" s="1262"/>
      <c r="F618" s="1262"/>
      <c r="G618" s="1060"/>
      <c r="H618" s="583" t="s">
        <v>46</v>
      </c>
      <c r="I618" s="836"/>
      <c r="J618" s="836">
        <v>0</v>
      </c>
      <c r="K618" s="948"/>
      <c r="L618" s="948"/>
      <c r="M618" s="948"/>
      <c r="N618" s="948"/>
      <c r="O618" s="948"/>
      <c r="P618" s="948"/>
      <c r="Q618" s="1264"/>
      <c r="R618" s="1264"/>
      <c r="S618" s="1264"/>
      <c r="T618" s="1264"/>
      <c r="U618" s="1264"/>
      <c r="V618" s="1264"/>
      <c r="W618" s="1264"/>
      <c r="X618" s="1264"/>
      <c r="Y618" s="1264"/>
      <c r="Z618" s="1264"/>
    </row>
    <row r="619" spans="1:26" ht="18.75" hidden="1">
      <c r="A619" s="1273"/>
      <c r="B619" s="1274"/>
      <c r="C619" s="1274"/>
      <c r="D619" s="1274"/>
      <c r="E619" s="1262"/>
      <c r="F619" s="1262"/>
      <c r="G619" s="1060"/>
      <c r="H619" s="583" t="s">
        <v>34</v>
      </c>
      <c r="I619" s="836"/>
      <c r="J619" s="836">
        <v>0</v>
      </c>
      <c r="K619" s="948"/>
      <c r="L619" s="948"/>
      <c r="M619" s="948"/>
      <c r="N619" s="948"/>
      <c r="O619" s="948"/>
      <c r="P619" s="948"/>
      <c r="Q619" s="1264"/>
      <c r="R619" s="1264"/>
      <c r="S619" s="1264"/>
      <c r="T619" s="1264"/>
      <c r="U619" s="1264"/>
      <c r="V619" s="1264"/>
      <c r="W619" s="1264"/>
      <c r="X619" s="1264"/>
      <c r="Y619" s="1264"/>
      <c r="Z619" s="1264"/>
    </row>
    <row r="620" spans="1:26" ht="19.5" hidden="1">
      <c r="A620" s="1351"/>
      <c r="B620" s="1352"/>
      <c r="C620" s="1353" t="s">
        <v>266</v>
      </c>
      <c r="D620" s="1352"/>
      <c r="E620" s="1352"/>
      <c r="F620" s="1354"/>
      <c r="G620" s="1355"/>
      <c r="H620" s="693" t="s">
        <v>46</v>
      </c>
      <c r="I620" s="1356">
        <f ca="1">IFERROR(__xludf.DUMMYFUNCTION("IMPORTRANGE(""https://docs.google.com/spreadsheets/d/1QqKyyYR6Q21VydFLVH3TRQUabQu_ym0Zz7PgGX0-kHA/edit?usp=sharing"",""แผน!HL21"")"),0)</f>
        <v>0</v>
      </c>
      <c r="J620" s="1356">
        <f t="shared" ref="J620:J621" si="260">J622+J624+J626</f>
        <v>0</v>
      </c>
      <c r="K620" s="1357">
        <f t="shared" ref="K620:K621" ca="1" si="261">IF(I620&gt;0,J620*100/I620,0)</f>
        <v>0</v>
      </c>
      <c r="L620" s="1358"/>
      <c r="M620" s="1358"/>
      <c r="N620" s="1358"/>
      <c r="O620" s="1358"/>
      <c r="P620" s="1358"/>
      <c r="Q620" s="1244"/>
      <c r="R620" s="1244"/>
      <c r="S620" s="1244"/>
      <c r="T620" s="1244"/>
      <c r="U620" s="1244"/>
      <c r="V620" s="1244"/>
      <c r="W620" s="1244"/>
      <c r="X620" s="1244"/>
      <c r="Y620" s="1244"/>
      <c r="Z620" s="1244"/>
    </row>
    <row r="621" spans="1:26" ht="19.5" hidden="1">
      <c r="A621" s="1351"/>
      <c r="B621" s="1352"/>
      <c r="C621" s="1352" t="s">
        <v>267</v>
      </c>
      <c r="D621" s="1352"/>
      <c r="E621" s="1352"/>
      <c r="F621" s="1354"/>
      <c r="G621" s="1355"/>
      <c r="H621" s="693" t="s">
        <v>34</v>
      </c>
      <c r="I621" s="1356">
        <f ca="1">IFERROR(__xludf.DUMMYFUNCTION("IMPORTRANGE(""https://docs.google.com/spreadsheets/d/1QqKyyYR6Q21VydFLVH3TRQUabQu_ym0Zz7PgGX0-kHA/edit?usp=sharing"",""แผน!HK21"")"),0)</f>
        <v>0</v>
      </c>
      <c r="J621" s="1356">
        <f t="shared" si="260"/>
        <v>0</v>
      </c>
      <c r="K621" s="1357">
        <f t="shared" ca="1" si="261"/>
        <v>0</v>
      </c>
      <c r="L621" s="1358"/>
      <c r="M621" s="1358"/>
      <c r="N621" s="1358"/>
      <c r="O621" s="1358"/>
      <c r="P621" s="1358"/>
      <c r="Q621" s="1244"/>
      <c r="R621" s="1244"/>
      <c r="S621" s="1244"/>
      <c r="T621" s="1244"/>
      <c r="U621" s="1244"/>
      <c r="V621" s="1244"/>
      <c r="W621" s="1244"/>
      <c r="X621" s="1244"/>
      <c r="Y621" s="1244"/>
      <c r="Z621" s="1244"/>
    </row>
    <row r="622" spans="1:26" ht="18.75" hidden="1">
      <c r="A622" s="1267"/>
      <c r="B622" s="1268"/>
      <c r="C622" s="1268"/>
      <c r="D622" s="1017" t="s">
        <v>268</v>
      </c>
      <c r="E622" s="961"/>
      <c r="F622" s="961"/>
      <c r="G622" s="954"/>
      <c r="H622" s="730" t="s">
        <v>46</v>
      </c>
      <c r="I622" s="830"/>
      <c r="J622" s="959">
        <v>0</v>
      </c>
      <c r="K622" s="945"/>
      <c r="L622" s="945"/>
      <c r="M622" s="945"/>
      <c r="N622" s="945"/>
      <c r="O622" s="945"/>
      <c r="P622" s="945"/>
      <c r="Q622" s="1244"/>
      <c r="R622" s="1244"/>
      <c r="S622" s="1244"/>
      <c r="T622" s="1244"/>
      <c r="U622" s="1244"/>
      <c r="V622" s="1244"/>
      <c r="W622" s="1244"/>
      <c r="X622" s="1244"/>
      <c r="Y622" s="1244"/>
      <c r="Z622" s="1244"/>
    </row>
    <row r="623" spans="1:26" ht="18.75" hidden="1">
      <c r="A623" s="1267"/>
      <c r="B623" s="1268"/>
      <c r="C623" s="1268"/>
      <c r="D623" s="1268"/>
      <c r="E623" s="961"/>
      <c r="F623" s="961"/>
      <c r="G623" s="954"/>
      <c r="H623" s="730" t="s">
        <v>34</v>
      </c>
      <c r="I623" s="830"/>
      <c r="J623" s="959">
        <v>0</v>
      </c>
      <c r="K623" s="945"/>
      <c r="L623" s="945"/>
      <c r="M623" s="945"/>
      <c r="N623" s="945"/>
      <c r="O623" s="945"/>
      <c r="P623" s="945"/>
      <c r="Q623" s="1244"/>
      <c r="R623" s="1244"/>
      <c r="S623" s="1244"/>
      <c r="T623" s="1244"/>
      <c r="U623" s="1244"/>
      <c r="V623" s="1244"/>
      <c r="W623" s="1244"/>
      <c r="X623" s="1244"/>
      <c r="Y623" s="1244"/>
      <c r="Z623" s="1244"/>
    </row>
    <row r="624" spans="1:26" ht="18.75" hidden="1">
      <c r="A624" s="1267"/>
      <c r="B624" s="1268"/>
      <c r="C624" s="1268"/>
      <c r="D624" s="1017" t="s">
        <v>264</v>
      </c>
      <c r="E624" s="961"/>
      <c r="F624" s="961"/>
      <c r="G624" s="954"/>
      <c r="H624" s="730" t="s">
        <v>46</v>
      </c>
      <c r="I624" s="830"/>
      <c r="J624" s="959">
        <v>0</v>
      </c>
      <c r="K624" s="945"/>
      <c r="L624" s="945"/>
      <c r="M624" s="945"/>
      <c r="N624" s="945"/>
      <c r="O624" s="945"/>
      <c r="P624" s="945"/>
      <c r="Q624" s="1244"/>
      <c r="R624" s="1244"/>
      <c r="S624" s="1244"/>
      <c r="T624" s="1244"/>
      <c r="U624" s="1244"/>
      <c r="V624" s="1244"/>
      <c r="W624" s="1244"/>
      <c r="X624" s="1244"/>
      <c r="Y624" s="1244"/>
      <c r="Z624" s="1244"/>
    </row>
    <row r="625" spans="1:26" ht="18.75" hidden="1">
      <c r="A625" s="1267"/>
      <c r="B625" s="1268"/>
      <c r="C625" s="1268"/>
      <c r="D625" s="1268"/>
      <c r="E625" s="961"/>
      <c r="F625" s="961"/>
      <c r="G625" s="954"/>
      <c r="H625" s="730" t="s">
        <v>34</v>
      </c>
      <c r="I625" s="830"/>
      <c r="J625" s="959">
        <v>0</v>
      </c>
      <c r="K625" s="945"/>
      <c r="L625" s="945"/>
      <c r="M625" s="945"/>
      <c r="N625" s="945"/>
      <c r="O625" s="945"/>
      <c r="P625" s="945"/>
      <c r="Q625" s="1244"/>
      <c r="R625" s="1244"/>
      <c r="S625" s="1244"/>
      <c r="T625" s="1244"/>
      <c r="U625" s="1244"/>
      <c r="V625" s="1244"/>
      <c r="W625" s="1244"/>
      <c r="X625" s="1244"/>
      <c r="Y625" s="1244"/>
      <c r="Z625" s="1244"/>
    </row>
    <row r="626" spans="1:26" ht="18.75" hidden="1">
      <c r="A626" s="1267"/>
      <c r="B626" s="1268"/>
      <c r="C626" s="1268"/>
      <c r="D626" s="1017" t="s">
        <v>269</v>
      </c>
      <c r="E626" s="961"/>
      <c r="F626" s="961"/>
      <c r="G626" s="954"/>
      <c r="H626" s="730" t="s">
        <v>46</v>
      </c>
      <c r="I626" s="830"/>
      <c r="J626" s="959">
        <v>0</v>
      </c>
      <c r="K626" s="945"/>
      <c r="L626" s="945"/>
      <c r="M626" s="945"/>
      <c r="N626" s="945"/>
      <c r="O626" s="945"/>
      <c r="P626" s="945"/>
      <c r="Q626" s="1244"/>
      <c r="R626" s="1244"/>
      <c r="S626" s="1244"/>
      <c r="T626" s="1244"/>
      <c r="U626" s="1244"/>
      <c r="V626" s="1244"/>
      <c r="W626" s="1244"/>
      <c r="X626" s="1244"/>
      <c r="Y626" s="1244"/>
      <c r="Z626" s="1244"/>
    </row>
    <row r="627" spans="1:26" ht="18.75" hidden="1">
      <c r="A627" s="1359"/>
      <c r="B627" s="1360"/>
      <c r="C627" s="1360"/>
      <c r="D627" s="1360"/>
      <c r="E627" s="1116"/>
      <c r="F627" s="1116"/>
      <c r="G627" s="1361"/>
      <c r="H627" s="391" t="s">
        <v>34</v>
      </c>
      <c r="I627" s="1085"/>
      <c r="J627" s="1118">
        <v>0</v>
      </c>
      <c r="K627" s="1086"/>
      <c r="L627" s="1086"/>
      <c r="M627" s="1086"/>
      <c r="N627" s="1086"/>
      <c r="O627" s="1086"/>
      <c r="P627" s="1086"/>
      <c r="Q627" s="1244"/>
      <c r="R627" s="1244"/>
      <c r="S627" s="1244"/>
      <c r="T627" s="1244"/>
      <c r="U627" s="1244"/>
      <c r="V627" s="1244"/>
      <c r="W627" s="1244"/>
      <c r="X627" s="1244"/>
      <c r="Y627" s="1244"/>
      <c r="Z627" s="1244"/>
    </row>
    <row r="628" spans="1:26" ht="19.5">
      <c r="A628" s="702">
        <v>7</v>
      </c>
      <c r="B628" s="1362" t="s">
        <v>270</v>
      </c>
      <c r="C628" s="1363"/>
      <c r="D628" s="1363"/>
      <c r="E628" s="1363"/>
      <c r="F628" s="1363"/>
      <c r="G628" s="1364"/>
      <c r="H628" s="706" t="s">
        <v>35</v>
      </c>
      <c r="I628" s="1365">
        <f t="shared" ref="I628:J628" ca="1" si="262">I651</f>
        <v>90</v>
      </c>
      <c r="J628" s="1365">
        <f t="shared" ca="1" si="262"/>
        <v>0</v>
      </c>
      <c r="K628" s="1366">
        <f ca="1">IF(I628&gt;0,J628*100/I628,0)</f>
        <v>0</v>
      </c>
      <c r="L628" s="1367"/>
      <c r="M628" s="1367"/>
      <c r="N628" s="1367"/>
      <c r="O628" s="1367"/>
      <c r="P628" s="1367"/>
      <c r="Q628" s="1244"/>
      <c r="R628" s="1244"/>
      <c r="S628" s="1244"/>
      <c r="T628" s="1244"/>
      <c r="U628" s="1244"/>
      <c r="V628" s="1244"/>
      <c r="W628" s="1244"/>
      <c r="X628" s="1244"/>
      <c r="Y628" s="1244"/>
      <c r="Z628" s="1244"/>
    </row>
    <row r="629" spans="1:26" ht="19.5">
      <c r="A629" s="1259"/>
      <c r="B629" s="1243"/>
      <c r="C629" s="1243" t="s">
        <v>16</v>
      </c>
      <c r="D629" s="1507" t="s">
        <v>17</v>
      </c>
      <c r="E629" s="1485"/>
      <c r="F629" s="1485"/>
      <c r="G629" s="963"/>
      <c r="H629" s="563" t="s">
        <v>12</v>
      </c>
      <c r="I629" s="830"/>
      <c r="J629" s="830"/>
      <c r="K629" s="831"/>
      <c r="L629" s="967">
        <f t="shared" ref="L629:N629" ca="1" si="263">L630+L631</f>
        <v>342855</v>
      </c>
      <c r="M629" s="967">
        <f t="shared" si="263"/>
        <v>0</v>
      </c>
      <c r="N629" s="967">
        <f t="shared" si="263"/>
        <v>70215</v>
      </c>
      <c r="O629" s="967">
        <f t="shared" ref="O629:O634" ca="1" si="264">IF(L629&gt;0,N629*100/L629,0)</f>
        <v>20.479502996893732</v>
      </c>
      <c r="P629" s="967">
        <f t="shared" ref="P629:P634" si="265">IF(M629&gt;0,N629*100/M629,0)</f>
        <v>0</v>
      </c>
      <c r="Q629" s="1244"/>
      <c r="R629" s="1244"/>
      <c r="S629" s="1244"/>
      <c r="T629" s="1244"/>
      <c r="U629" s="1244"/>
      <c r="V629" s="1244"/>
      <c r="W629" s="1244"/>
      <c r="X629" s="1244"/>
      <c r="Y629" s="1244"/>
      <c r="Z629" s="1244"/>
    </row>
    <row r="630" spans="1:26" ht="18.75" hidden="1">
      <c r="A630" s="1260"/>
      <c r="B630" s="1261"/>
      <c r="C630" s="1261"/>
      <c r="D630" s="1262"/>
      <c r="E630" s="1261" t="s">
        <v>184</v>
      </c>
      <c r="F630" s="1261"/>
      <c r="G630" s="1263"/>
      <c r="H630" s="165" t="s">
        <v>12</v>
      </c>
      <c r="I630" s="836"/>
      <c r="J630" s="836"/>
      <c r="K630" s="837"/>
      <c r="L630" s="837">
        <f t="shared" ref="L630:N631" si="266">L633+L640</f>
        <v>0</v>
      </c>
      <c r="M630" s="837">
        <f t="shared" si="266"/>
        <v>0</v>
      </c>
      <c r="N630" s="837">
        <f t="shared" si="266"/>
        <v>0</v>
      </c>
      <c r="O630" s="837">
        <f t="shared" si="264"/>
        <v>0</v>
      </c>
      <c r="P630" s="837">
        <f t="shared" si="265"/>
        <v>0</v>
      </c>
      <c r="Q630" s="1264"/>
      <c r="R630" s="1264"/>
      <c r="S630" s="1264"/>
      <c r="T630" s="1264"/>
      <c r="U630" s="1264"/>
      <c r="V630" s="1264"/>
      <c r="W630" s="1264"/>
      <c r="X630" s="1264"/>
      <c r="Y630" s="1264"/>
      <c r="Z630" s="1264"/>
    </row>
    <row r="631" spans="1:26" ht="18.75" hidden="1">
      <c r="A631" s="1260"/>
      <c r="B631" s="1265"/>
      <c r="C631" s="1261"/>
      <c r="D631" s="1262"/>
      <c r="E631" s="1261" t="s">
        <v>185</v>
      </c>
      <c r="F631" s="1261"/>
      <c r="G631" s="1263"/>
      <c r="H631" s="165" t="s">
        <v>12</v>
      </c>
      <c r="I631" s="836"/>
      <c r="J631" s="836"/>
      <c r="K631" s="837"/>
      <c r="L631" s="837">
        <f t="shared" ca="1" si="266"/>
        <v>342855</v>
      </c>
      <c r="M631" s="837">
        <f t="shared" si="266"/>
        <v>0</v>
      </c>
      <c r="N631" s="837">
        <f t="shared" si="266"/>
        <v>70215</v>
      </c>
      <c r="O631" s="837">
        <f t="shared" ca="1" si="264"/>
        <v>20.479502996893732</v>
      </c>
      <c r="P631" s="837">
        <f t="shared" si="265"/>
        <v>0</v>
      </c>
      <c r="Q631" s="1264"/>
      <c r="R631" s="1264"/>
      <c r="S631" s="1264"/>
      <c r="T631" s="1264"/>
      <c r="U631" s="1264"/>
      <c r="V631" s="1264"/>
      <c r="W631" s="1264"/>
      <c r="X631" s="1264"/>
      <c r="Y631" s="1264"/>
      <c r="Z631" s="1264"/>
    </row>
    <row r="632" spans="1:26" ht="18.75">
      <c r="A632" s="1259"/>
      <c r="B632" s="1242"/>
      <c r="C632" s="1243"/>
      <c r="D632" s="1266" t="s">
        <v>20</v>
      </c>
      <c r="E632" s="1243"/>
      <c r="F632" s="1243"/>
      <c r="G632" s="963"/>
      <c r="H632" s="778" t="s">
        <v>12</v>
      </c>
      <c r="I632" s="944"/>
      <c r="J632" s="944"/>
      <c r="K632" s="945"/>
      <c r="L632" s="831">
        <f t="shared" ref="L632:N632" ca="1" si="267">L633+L634</f>
        <v>342855</v>
      </c>
      <c r="M632" s="831">
        <f t="shared" si="267"/>
        <v>0</v>
      </c>
      <c r="N632" s="831">
        <f t="shared" si="267"/>
        <v>70215</v>
      </c>
      <c r="O632" s="831">
        <f t="shared" ca="1" si="264"/>
        <v>20.479502996893732</v>
      </c>
      <c r="P632" s="831">
        <f t="shared" si="265"/>
        <v>0</v>
      </c>
      <c r="Q632" s="1244"/>
      <c r="R632" s="1244"/>
      <c r="S632" s="1244"/>
      <c r="T632" s="1244"/>
      <c r="U632" s="1244"/>
      <c r="V632" s="1244"/>
      <c r="W632" s="1244"/>
      <c r="X632" s="1244"/>
      <c r="Y632" s="1244"/>
      <c r="Z632" s="1244"/>
    </row>
    <row r="633" spans="1:26" ht="18.75" hidden="1">
      <c r="A633" s="1260"/>
      <c r="B633" s="1265"/>
      <c r="C633" s="1261"/>
      <c r="D633" s="1262"/>
      <c r="E633" s="1261" t="s">
        <v>184</v>
      </c>
      <c r="F633" s="1261"/>
      <c r="G633" s="1263"/>
      <c r="H633" s="165" t="s">
        <v>12</v>
      </c>
      <c r="I633" s="836"/>
      <c r="J633" s="836"/>
      <c r="K633" s="837"/>
      <c r="L633" s="837">
        <v>0</v>
      </c>
      <c r="M633" s="837">
        <v>0</v>
      </c>
      <c r="N633" s="837">
        <v>0</v>
      </c>
      <c r="O633" s="837">
        <f t="shared" si="264"/>
        <v>0</v>
      </c>
      <c r="P633" s="837">
        <f t="shared" si="265"/>
        <v>0</v>
      </c>
      <c r="Q633" s="1264"/>
      <c r="R633" s="1264"/>
      <c r="S633" s="1264"/>
      <c r="T633" s="1264"/>
      <c r="U633" s="1264"/>
      <c r="V633" s="1264"/>
      <c r="W633" s="1264"/>
      <c r="X633" s="1264"/>
      <c r="Y633" s="1264"/>
      <c r="Z633" s="1264"/>
    </row>
    <row r="634" spans="1:26" ht="18.75" hidden="1">
      <c r="A634" s="1260"/>
      <c r="B634" s="1265"/>
      <c r="C634" s="1261"/>
      <c r="D634" s="1262"/>
      <c r="E634" s="1261" t="s">
        <v>185</v>
      </c>
      <c r="F634" s="1261"/>
      <c r="G634" s="1263"/>
      <c r="H634" s="165" t="s">
        <v>12</v>
      </c>
      <c r="I634" s="836"/>
      <c r="J634" s="836"/>
      <c r="K634" s="837"/>
      <c r="L634" s="837">
        <f ca="1">IFERROR(__xludf.DUMMYFUNCTION("IMPORTRANGE(""https://docs.google.com/spreadsheets/d/1QqKyyYR6Q21VydFLVH3TRQUabQu_ym0Zz7PgGX0-kHA/edit?usp=sharing"",""แผน!HN21"")"),342855)</f>
        <v>342855</v>
      </c>
      <c r="M634" s="837">
        <v>0</v>
      </c>
      <c r="N634" s="837">
        <f>N635+N636+N637+N638</f>
        <v>70215</v>
      </c>
      <c r="O634" s="837">
        <f t="shared" ca="1" si="264"/>
        <v>20.479502996893732</v>
      </c>
      <c r="P634" s="837">
        <f t="shared" si="265"/>
        <v>0</v>
      </c>
      <c r="Q634" s="1264"/>
      <c r="R634" s="1264"/>
      <c r="S634" s="1264"/>
      <c r="T634" s="1264"/>
      <c r="U634" s="1264"/>
      <c r="V634" s="1264"/>
      <c r="W634" s="1264"/>
      <c r="X634" s="1264"/>
      <c r="Y634" s="1264"/>
      <c r="Z634" s="1264"/>
    </row>
    <row r="635" spans="1:26" ht="18.75">
      <c r="A635" s="1241"/>
      <c r="B635" s="1242"/>
      <c r="C635" s="1243"/>
      <c r="D635" s="1243"/>
      <c r="E635" s="1243"/>
      <c r="F635" s="1243" t="s">
        <v>186</v>
      </c>
      <c r="G635" s="963"/>
      <c r="H635" s="778" t="s">
        <v>12</v>
      </c>
      <c r="I635" s="830"/>
      <c r="J635" s="830"/>
      <c r="K635" s="831"/>
      <c r="L635" s="831"/>
      <c r="M635" s="831"/>
      <c r="N635" s="1031">
        <v>0</v>
      </c>
      <c r="O635" s="831"/>
      <c r="P635" s="831"/>
      <c r="Q635" s="1244"/>
      <c r="R635" s="1244"/>
      <c r="S635" s="1244"/>
      <c r="T635" s="1244"/>
      <c r="U635" s="1244"/>
      <c r="V635" s="1244"/>
      <c r="W635" s="1244"/>
      <c r="X635" s="1244"/>
      <c r="Y635" s="1244"/>
      <c r="Z635" s="1244"/>
    </row>
    <row r="636" spans="1:26" ht="18.75">
      <c r="A636" s="1241"/>
      <c r="B636" s="1242"/>
      <c r="C636" s="1243"/>
      <c r="D636" s="1243"/>
      <c r="E636" s="1243"/>
      <c r="F636" s="1243" t="s">
        <v>187</v>
      </c>
      <c r="G636" s="963"/>
      <c r="H636" s="778" t="s">
        <v>12</v>
      </c>
      <c r="I636" s="830"/>
      <c r="J636" s="830"/>
      <c r="K636" s="831"/>
      <c r="L636" s="831"/>
      <c r="M636" s="831"/>
      <c r="N636" s="1031">
        <v>0</v>
      </c>
      <c r="O636" s="831"/>
      <c r="P636" s="831"/>
      <c r="Q636" s="1244"/>
      <c r="R636" s="1244"/>
      <c r="S636" s="1244"/>
      <c r="T636" s="1244"/>
      <c r="U636" s="1244"/>
      <c r="V636" s="1244"/>
      <c r="W636" s="1244"/>
      <c r="X636" s="1244"/>
      <c r="Y636" s="1244"/>
      <c r="Z636" s="1244"/>
    </row>
    <row r="637" spans="1:26" ht="18.75">
      <c r="A637" s="1241"/>
      <c r="B637" s="1242"/>
      <c r="C637" s="1243"/>
      <c r="D637" s="1243"/>
      <c r="E637" s="1243"/>
      <c r="F637" s="1243" t="s">
        <v>188</v>
      </c>
      <c r="G637" s="963"/>
      <c r="H637" s="778" t="s">
        <v>12</v>
      </c>
      <c r="I637" s="830"/>
      <c r="J637" s="830"/>
      <c r="K637" s="831"/>
      <c r="L637" s="831"/>
      <c r="M637" s="831"/>
      <c r="N637" s="1031">
        <v>0</v>
      </c>
      <c r="O637" s="831"/>
      <c r="P637" s="831"/>
      <c r="Q637" s="1244"/>
      <c r="R637" s="1244"/>
      <c r="S637" s="1244"/>
      <c r="T637" s="1244"/>
      <c r="U637" s="1244"/>
      <c r="V637" s="1244"/>
      <c r="W637" s="1244"/>
      <c r="X637" s="1244"/>
      <c r="Y637" s="1244"/>
      <c r="Z637" s="1244"/>
    </row>
    <row r="638" spans="1:26" ht="18.75">
      <c r="A638" s="1241"/>
      <c r="B638" s="1242"/>
      <c r="C638" s="1243"/>
      <c r="D638" s="1243"/>
      <c r="E638" s="1243"/>
      <c r="F638" s="1243" t="s">
        <v>189</v>
      </c>
      <c r="G638" s="963"/>
      <c r="H638" s="778" t="s">
        <v>12</v>
      </c>
      <c r="I638" s="830"/>
      <c r="J638" s="830"/>
      <c r="K638" s="831"/>
      <c r="L638" s="831"/>
      <c r="M638" s="831"/>
      <c r="N638" s="1031">
        <v>70215</v>
      </c>
      <c r="O638" s="831"/>
      <c r="P638" s="831"/>
      <c r="Q638" s="1244"/>
      <c r="R638" s="1244"/>
      <c r="S638" s="1244"/>
      <c r="T638" s="1244"/>
      <c r="U638" s="1244"/>
      <c r="V638" s="1244"/>
      <c r="W638" s="1244"/>
      <c r="X638" s="1244"/>
      <c r="Y638" s="1244"/>
      <c r="Z638" s="1244"/>
    </row>
    <row r="639" spans="1:26" ht="18.75">
      <c r="A639" s="1259"/>
      <c r="B639" s="1242"/>
      <c r="C639" s="1243"/>
      <c r="D639" s="1266" t="s">
        <v>21</v>
      </c>
      <c r="E639" s="1243"/>
      <c r="F639" s="1243"/>
      <c r="G639" s="963"/>
      <c r="H639" s="168" t="s">
        <v>12</v>
      </c>
      <c r="I639" s="944"/>
      <c r="J639" s="944"/>
      <c r="K639" s="945"/>
      <c r="L639" s="831">
        <f t="shared" ref="L639:N639" ca="1" si="268">L640+L641</f>
        <v>0</v>
      </c>
      <c r="M639" s="831">
        <f t="shared" si="268"/>
        <v>0</v>
      </c>
      <c r="N639" s="831">
        <f t="shared" si="268"/>
        <v>0</v>
      </c>
      <c r="O639" s="831">
        <f t="shared" ref="O639:O641" ca="1" si="269">IF(L639&gt;0,N639*100/L639,0)</f>
        <v>0</v>
      </c>
      <c r="P639" s="831">
        <f t="shared" ref="P639:P641" si="270">IF(M639&gt;0,N639*100/M639,0)</f>
        <v>0</v>
      </c>
      <c r="Q639" s="1244"/>
      <c r="R639" s="1244"/>
      <c r="S639" s="1244"/>
      <c r="T639" s="1244"/>
      <c r="U639" s="1244"/>
      <c r="V639" s="1244"/>
      <c r="W639" s="1244"/>
      <c r="X639" s="1244"/>
      <c r="Y639" s="1244"/>
      <c r="Z639" s="1244"/>
    </row>
    <row r="640" spans="1:26" ht="18.75" hidden="1">
      <c r="A640" s="1260"/>
      <c r="B640" s="1265"/>
      <c r="C640" s="1261"/>
      <c r="D640" s="1261"/>
      <c r="E640" s="1261" t="s">
        <v>18</v>
      </c>
      <c r="F640" s="1261"/>
      <c r="G640" s="1263"/>
      <c r="H640" s="165" t="s">
        <v>12</v>
      </c>
      <c r="I640" s="947"/>
      <c r="J640" s="947"/>
      <c r="K640" s="948"/>
      <c r="L640" s="837">
        <v>0</v>
      </c>
      <c r="M640" s="837">
        <v>0</v>
      </c>
      <c r="N640" s="837">
        <v>0</v>
      </c>
      <c r="O640" s="837">
        <f t="shared" si="269"/>
        <v>0</v>
      </c>
      <c r="P640" s="837">
        <f t="shared" si="270"/>
        <v>0</v>
      </c>
      <c r="Q640" s="1264"/>
      <c r="R640" s="1264"/>
      <c r="S640" s="1264"/>
      <c r="T640" s="1264"/>
      <c r="U640" s="1264"/>
      <c r="V640" s="1264"/>
      <c r="W640" s="1264"/>
      <c r="X640" s="1264"/>
      <c r="Y640" s="1264"/>
      <c r="Z640" s="1264"/>
    </row>
    <row r="641" spans="1:26" ht="18.75" hidden="1">
      <c r="A641" s="1260"/>
      <c r="B641" s="1265"/>
      <c r="C641" s="1261"/>
      <c r="D641" s="1261"/>
      <c r="E641" s="1261" t="s">
        <v>19</v>
      </c>
      <c r="F641" s="1261"/>
      <c r="G641" s="1263"/>
      <c r="H641" s="169" t="s">
        <v>12</v>
      </c>
      <c r="I641" s="947"/>
      <c r="J641" s="947"/>
      <c r="K641" s="948"/>
      <c r="L641" s="837">
        <f ca="1">IFERROR(__xludf.DUMMYFUNCTION("IMPORTRANGE(""https://docs.google.com/spreadsheets/d/1QqKyyYR6Q21VydFLVH3TRQUabQu_ym0Zz7PgGX0-kHA/edit?usp=sharing"",""แผน!HQ21"")"),0)</f>
        <v>0</v>
      </c>
      <c r="M641" s="837">
        <v>0</v>
      </c>
      <c r="N641" s="837">
        <v>0</v>
      </c>
      <c r="O641" s="837">
        <f t="shared" ca="1" si="269"/>
        <v>0</v>
      </c>
      <c r="P641" s="837">
        <f t="shared" si="270"/>
        <v>0</v>
      </c>
      <c r="Q641" s="1264"/>
      <c r="R641" s="1264"/>
      <c r="S641" s="1264"/>
      <c r="T641" s="1264"/>
      <c r="U641" s="1264"/>
      <c r="V641" s="1264"/>
      <c r="W641" s="1264"/>
      <c r="X641" s="1264"/>
      <c r="Y641" s="1264"/>
      <c r="Z641" s="1264"/>
    </row>
    <row r="642" spans="1:26" ht="19.5">
      <c r="A642" s="1267"/>
      <c r="B642" s="1268"/>
      <c r="C642" s="1243" t="s">
        <v>16</v>
      </c>
      <c r="D642" s="1320" t="s">
        <v>38</v>
      </c>
      <c r="E642" s="1271"/>
      <c r="F642" s="1271"/>
      <c r="G642" s="1272"/>
      <c r="H642" s="954"/>
      <c r="I642" s="944"/>
      <c r="J642" s="944"/>
      <c r="K642" s="945"/>
      <c r="L642" s="945"/>
      <c r="M642" s="945"/>
      <c r="N642" s="945"/>
      <c r="O642" s="945"/>
      <c r="P642" s="945"/>
      <c r="Q642" s="1244"/>
      <c r="R642" s="1244"/>
      <c r="S642" s="1244"/>
      <c r="T642" s="1244"/>
      <c r="U642" s="1244"/>
      <c r="V642" s="1244"/>
      <c r="W642" s="1244"/>
      <c r="X642" s="1244"/>
      <c r="Y642" s="1244"/>
      <c r="Z642" s="1244"/>
    </row>
    <row r="643" spans="1:26" ht="18.75">
      <c r="A643" s="1368"/>
      <c r="B643" s="1242"/>
      <c r="C643" s="1243"/>
      <c r="D643" s="961"/>
      <c r="E643" s="1017" t="s">
        <v>271</v>
      </c>
      <c r="F643" s="961"/>
      <c r="G643" s="954"/>
      <c r="H643" s="730" t="s">
        <v>272</v>
      </c>
      <c r="I643" s="830">
        <f ca="1">IFERROR(__xludf.DUMMYFUNCTION("IMPORTRANGE(""https://docs.google.com/spreadsheets/d/1QqKyyYR6Q21VydFLVH3TRQUabQu_ym0Zz7PgGX0-kHA/edit?usp=sharing"",""แผน!HR21"")"),0)</f>
        <v>0</v>
      </c>
      <c r="J643" s="959">
        <v>0</v>
      </c>
      <c r="K643" s="945">
        <f t="shared" ref="K643:K652" ca="1" si="271">IF(I643&gt;0,J643*100/I643,0)</f>
        <v>0</v>
      </c>
      <c r="L643" s="945"/>
      <c r="M643" s="945"/>
      <c r="N643" s="831"/>
      <c r="O643" s="945"/>
      <c r="P643" s="945"/>
      <c r="Q643" s="1244"/>
      <c r="R643" s="1244"/>
      <c r="S643" s="1244"/>
      <c r="T643" s="1244"/>
      <c r="U643" s="1244"/>
      <c r="V643" s="1244"/>
      <c r="W643" s="1244"/>
      <c r="X643" s="1244"/>
      <c r="Y643" s="1244"/>
      <c r="Z643" s="1244"/>
    </row>
    <row r="644" spans="1:26" ht="18.75">
      <c r="A644" s="1368"/>
      <c r="B644" s="1242"/>
      <c r="C644" s="1243"/>
      <c r="D644" s="961"/>
      <c r="E644" s="1017" t="s">
        <v>273</v>
      </c>
      <c r="F644" s="961"/>
      <c r="G644" s="954"/>
      <c r="H644" s="730" t="s">
        <v>274</v>
      </c>
      <c r="I644" s="830">
        <f ca="1">IFERROR(__xludf.DUMMYFUNCTION("IMPORTRANGE(""https://docs.google.com/spreadsheets/d/1QqKyyYR6Q21VydFLVH3TRQUabQu_ym0Zz7PgGX0-kHA/edit?usp=sharing"",""แผน!HR21"")"),0)</f>
        <v>0</v>
      </c>
      <c r="J644" s="959">
        <v>0</v>
      </c>
      <c r="K644" s="945">
        <f t="shared" ca="1" si="271"/>
        <v>0</v>
      </c>
      <c r="L644" s="945"/>
      <c r="M644" s="945"/>
      <c r="N644" s="831"/>
      <c r="O644" s="945"/>
      <c r="P644" s="945"/>
      <c r="Q644" s="1244"/>
      <c r="R644" s="1244"/>
      <c r="S644" s="1244"/>
      <c r="T644" s="1244"/>
      <c r="U644" s="1244"/>
      <c r="V644" s="1244"/>
      <c r="W644" s="1244"/>
      <c r="X644" s="1244"/>
      <c r="Y644" s="1244"/>
      <c r="Z644" s="1244"/>
    </row>
    <row r="645" spans="1:26" ht="18.75">
      <c r="A645" s="1368"/>
      <c r="B645" s="1242"/>
      <c r="C645" s="1243"/>
      <c r="D645" s="961"/>
      <c r="E645" s="1017" t="s">
        <v>275</v>
      </c>
      <c r="F645" s="961"/>
      <c r="G645" s="954"/>
      <c r="H645" s="730" t="s">
        <v>34</v>
      </c>
      <c r="I645" s="830">
        <v>0</v>
      </c>
      <c r="J645" s="830">
        <f ca="1">IFERROR(__xludf.DUMMYFUNCTION("IMPORTRANGE(""https://docs.google.com/spreadsheets/d/1XWAQStnk-4SwqDmLtmXYiTMKHgktTP8We1SCoS47DrQ/edit?usp=sharing"",""จัดที่ดิน!AS21"")"),106)</f>
        <v>106</v>
      </c>
      <c r="K645" s="945">
        <f t="shared" si="271"/>
        <v>0</v>
      </c>
      <c r="L645" s="945"/>
      <c r="M645" s="945"/>
      <c r="N645" s="831"/>
      <c r="O645" s="945"/>
      <c r="P645" s="945"/>
      <c r="Q645" s="1244"/>
      <c r="R645" s="1244"/>
      <c r="S645" s="1244"/>
      <c r="T645" s="1244"/>
      <c r="U645" s="1244"/>
      <c r="V645" s="1244"/>
      <c r="W645" s="1244"/>
      <c r="X645" s="1244"/>
      <c r="Y645" s="1244"/>
      <c r="Z645" s="1244"/>
    </row>
    <row r="646" spans="1:26" ht="18.75">
      <c r="A646" s="1368"/>
      <c r="B646" s="1242"/>
      <c r="C646" s="1243"/>
      <c r="D646" s="961"/>
      <c r="E646" s="961"/>
      <c r="F646" s="961"/>
      <c r="G646" s="954"/>
      <c r="H646" s="730" t="s">
        <v>46</v>
      </c>
      <c r="I646" s="830">
        <v>0</v>
      </c>
      <c r="J646" s="830">
        <f ca="1">IFERROR(__xludf.DUMMYFUNCTION("IMPORTRANGE(""https://docs.google.com/spreadsheets/d/1XWAQStnk-4SwqDmLtmXYiTMKHgktTP8We1SCoS47DrQ/edit?usp=sharing"",""จัดที่ดิน!AT21"")"),63.38)</f>
        <v>63.38</v>
      </c>
      <c r="K646" s="831">
        <f t="shared" si="271"/>
        <v>0</v>
      </c>
      <c r="L646" s="945"/>
      <c r="M646" s="945"/>
      <c r="N646" s="831"/>
      <c r="O646" s="945"/>
      <c r="P646" s="945"/>
      <c r="Q646" s="1244"/>
      <c r="R646" s="1244"/>
      <c r="S646" s="1244"/>
      <c r="T646" s="1244"/>
      <c r="U646" s="1244"/>
      <c r="V646" s="1244"/>
      <c r="W646" s="1244"/>
      <c r="X646" s="1244"/>
      <c r="Y646" s="1244"/>
      <c r="Z646" s="1244"/>
    </row>
    <row r="647" spans="1:26" ht="18.75">
      <c r="A647" s="1368"/>
      <c r="B647" s="1242"/>
      <c r="C647" s="1243"/>
      <c r="D647" s="961"/>
      <c r="E647" s="1017" t="s">
        <v>162</v>
      </c>
      <c r="F647" s="961"/>
      <c r="G647" s="954"/>
      <c r="H647" s="730" t="s">
        <v>35</v>
      </c>
      <c r="I647" s="830">
        <f ca="1">IFERROR(__xludf.DUMMYFUNCTION("IMPORTRANGE(""https://docs.google.com/spreadsheets/d/1QqKyyYR6Q21VydFLVH3TRQUabQu_ym0Zz7PgGX0-kHA/edit?usp=sharing"",""แผน!HS21"")"),90)</f>
        <v>90</v>
      </c>
      <c r="J647" s="830">
        <f ca="1">IFERROR(__xludf.DUMMYFUNCTION("IMPORTRANGE(""https://docs.google.com/spreadsheets/d/1XWAQStnk-4SwqDmLtmXYiTMKHgktTP8We1SCoS47DrQ/edit?usp=sharing"",""จัดที่ดิน!AU21"")"),125)</f>
        <v>125</v>
      </c>
      <c r="K647" s="945">
        <f t="shared" ca="1" si="271"/>
        <v>138.88888888888889</v>
      </c>
      <c r="L647" s="945"/>
      <c r="M647" s="945"/>
      <c r="N647" s="945"/>
      <c r="O647" s="945"/>
      <c r="P647" s="945"/>
      <c r="Q647" s="1244"/>
      <c r="R647" s="1244"/>
      <c r="S647" s="1244"/>
      <c r="T647" s="1244"/>
      <c r="U647" s="1244"/>
      <c r="V647" s="1244"/>
      <c r="W647" s="1244"/>
      <c r="X647" s="1244"/>
      <c r="Y647" s="1244"/>
      <c r="Z647" s="1244"/>
    </row>
    <row r="648" spans="1:26" ht="18.75">
      <c r="A648" s="1368"/>
      <c r="B648" s="1242"/>
      <c r="C648" s="1243"/>
      <c r="D648" s="961"/>
      <c r="E648" s="961"/>
      <c r="F648" s="961"/>
      <c r="G648" s="954"/>
      <c r="H648" s="730" t="s">
        <v>46</v>
      </c>
      <c r="I648" s="830">
        <v>0</v>
      </c>
      <c r="J648" s="830">
        <f ca="1">IFERROR(__xludf.DUMMYFUNCTION("IMPORTRANGE(""https://docs.google.com/spreadsheets/d/1XWAQStnk-4SwqDmLtmXYiTMKHgktTP8We1SCoS47DrQ/edit?usp=sharing"",""จัดที่ดิน!AV21"")"),74.83)</f>
        <v>74.83</v>
      </c>
      <c r="K648" s="831">
        <f t="shared" si="271"/>
        <v>0</v>
      </c>
      <c r="L648" s="945"/>
      <c r="M648" s="945"/>
      <c r="N648" s="945"/>
      <c r="O648" s="945"/>
      <c r="P648" s="945"/>
      <c r="Q648" s="1244"/>
      <c r="R648" s="1244"/>
      <c r="S648" s="1244"/>
      <c r="T648" s="1244"/>
      <c r="U648" s="1244"/>
      <c r="V648" s="1244"/>
      <c r="W648" s="1244"/>
      <c r="X648" s="1244"/>
      <c r="Y648" s="1244"/>
      <c r="Z648" s="1244"/>
    </row>
    <row r="649" spans="1:26" ht="18.75">
      <c r="A649" s="1368"/>
      <c r="B649" s="1242"/>
      <c r="C649" s="1243"/>
      <c r="D649" s="961"/>
      <c r="E649" s="1017" t="s">
        <v>276</v>
      </c>
      <c r="F649" s="961"/>
      <c r="G649" s="954"/>
      <c r="H649" s="730" t="s">
        <v>35</v>
      </c>
      <c r="I649" s="830">
        <f ca="1">IFERROR(__xludf.DUMMYFUNCTION("IMPORTRANGE(""https://docs.google.com/spreadsheets/d/1QqKyyYR6Q21VydFLVH3TRQUabQu_ym0Zz7PgGX0-kHA/edit?usp=sharing"",""แผน!HS21"")"),90)</f>
        <v>90</v>
      </c>
      <c r="J649" s="830">
        <f ca="1">IFERROR(__xludf.DUMMYFUNCTION("IMPORTRANGE(""https://docs.google.com/spreadsheets/d/1XWAQStnk-4SwqDmLtmXYiTMKHgktTP8We1SCoS47DrQ/edit?usp=sharing"",""จัดที่ดิน!AW21"")"),3)</f>
        <v>3</v>
      </c>
      <c r="K649" s="945">
        <f t="shared" ca="1" si="271"/>
        <v>3.3333333333333335</v>
      </c>
      <c r="L649" s="945"/>
      <c r="M649" s="945"/>
      <c r="N649" s="945"/>
      <c r="O649" s="945"/>
      <c r="P649" s="945"/>
      <c r="Q649" s="1244"/>
      <c r="R649" s="1244"/>
      <c r="S649" s="1244"/>
      <c r="T649" s="1244"/>
      <c r="U649" s="1244"/>
      <c r="V649" s="1244"/>
      <c r="W649" s="1244"/>
      <c r="X649" s="1244"/>
      <c r="Y649" s="1244"/>
      <c r="Z649" s="1244"/>
    </row>
    <row r="650" spans="1:26" ht="18.75">
      <c r="A650" s="1368"/>
      <c r="B650" s="1242"/>
      <c r="C650" s="1243"/>
      <c r="D650" s="961"/>
      <c r="E650" s="961"/>
      <c r="F650" s="961"/>
      <c r="G650" s="954"/>
      <c r="H650" s="730" t="s">
        <v>46</v>
      </c>
      <c r="I650" s="830">
        <v>0</v>
      </c>
      <c r="J650" s="830">
        <f ca="1">IFERROR(__xludf.DUMMYFUNCTION("IMPORTRANGE(""https://docs.google.com/spreadsheets/d/1XWAQStnk-4SwqDmLtmXYiTMKHgktTP8We1SCoS47DrQ/edit?usp=sharing"",""จัดที่ดิน!AX21"")"),0.49)</f>
        <v>0.49</v>
      </c>
      <c r="K650" s="831">
        <f t="shared" si="271"/>
        <v>0</v>
      </c>
      <c r="L650" s="945"/>
      <c r="M650" s="945"/>
      <c r="N650" s="945"/>
      <c r="O650" s="945"/>
      <c r="P650" s="945"/>
      <c r="Q650" s="1244"/>
      <c r="R650" s="1244"/>
      <c r="S650" s="1244"/>
      <c r="T650" s="1244"/>
      <c r="U650" s="1244"/>
      <c r="V650" s="1244"/>
      <c r="W650" s="1244"/>
      <c r="X650" s="1244"/>
      <c r="Y650" s="1244"/>
      <c r="Z650" s="1244"/>
    </row>
    <row r="651" spans="1:26" ht="18.75">
      <c r="A651" s="1368"/>
      <c r="B651" s="1242"/>
      <c r="C651" s="1243"/>
      <c r="D651" s="961"/>
      <c r="E651" s="1017" t="s">
        <v>277</v>
      </c>
      <c r="F651" s="961"/>
      <c r="G651" s="954"/>
      <c r="H651" s="730" t="s">
        <v>35</v>
      </c>
      <c r="I651" s="830">
        <f ca="1">IFERROR(__xludf.DUMMYFUNCTION("IMPORTRANGE(""https://docs.google.com/spreadsheets/d/1QqKyyYR6Q21VydFLVH3TRQUabQu_ym0Zz7PgGX0-kHA/edit?usp=sharing"",""แผน!HS21"")"),90)</f>
        <v>90</v>
      </c>
      <c r="J651" s="830">
        <f ca="1">IFERROR(__xludf.DUMMYFUNCTION("IMPORTRANGE(""https://docs.google.com/spreadsheets/d/1XWAQStnk-4SwqDmLtmXYiTMKHgktTP8We1SCoS47DrQ/edit?usp=sharing"",""จัดที่ดิน!AY21"")"),0)</f>
        <v>0</v>
      </c>
      <c r="K651" s="945">
        <f t="shared" ca="1" si="271"/>
        <v>0</v>
      </c>
      <c r="L651" s="945"/>
      <c r="M651" s="945"/>
      <c r="N651" s="945"/>
      <c r="O651" s="945"/>
      <c r="P651" s="945"/>
      <c r="Q651" s="1244"/>
      <c r="R651" s="1244"/>
      <c r="S651" s="1244"/>
      <c r="T651" s="1244"/>
      <c r="U651" s="1244"/>
      <c r="V651" s="1244"/>
      <c r="W651" s="1244"/>
      <c r="X651" s="1244"/>
      <c r="Y651" s="1244"/>
      <c r="Z651" s="1244"/>
    </row>
    <row r="652" spans="1:26" ht="18.75">
      <c r="A652" s="1369"/>
      <c r="B652" s="1370"/>
      <c r="C652" s="1371"/>
      <c r="D652" s="1116"/>
      <c r="E652" s="1116"/>
      <c r="F652" s="1116"/>
      <c r="G652" s="1361"/>
      <c r="H652" s="468" t="s">
        <v>46</v>
      </c>
      <c r="I652" s="1085">
        <v>0</v>
      </c>
      <c r="J652" s="1085">
        <f ca="1">IFERROR(__xludf.DUMMYFUNCTION("IMPORTRANGE(""https://docs.google.com/spreadsheets/d/1XWAQStnk-4SwqDmLtmXYiTMKHgktTP8We1SCoS47DrQ/edit?usp=sharing"",""จัดที่ดิน!AZ21"")"),0)</f>
        <v>0</v>
      </c>
      <c r="K652" s="1182">
        <f t="shared" si="271"/>
        <v>0</v>
      </c>
      <c r="L652" s="1086"/>
      <c r="M652" s="1086"/>
      <c r="N652" s="1086"/>
      <c r="O652" s="1086"/>
      <c r="P652" s="1086"/>
      <c r="Q652" s="1244"/>
      <c r="R652" s="1244"/>
      <c r="S652" s="1244"/>
      <c r="T652" s="1244"/>
      <c r="U652" s="1244"/>
      <c r="V652" s="1244"/>
      <c r="W652" s="1244"/>
      <c r="X652" s="1244"/>
      <c r="Y652" s="1244"/>
      <c r="Z652" s="1244"/>
    </row>
    <row r="653" spans="1:26" ht="19.5">
      <c r="A653" s="716">
        <v>8</v>
      </c>
      <c r="B653" s="1362" t="s">
        <v>278</v>
      </c>
      <c r="C653" s="1363"/>
      <c r="D653" s="1363"/>
      <c r="E653" s="1363"/>
      <c r="F653" s="1363"/>
      <c r="G653" s="1364"/>
      <c r="H653" s="1364"/>
      <c r="I653" s="1372"/>
      <c r="J653" s="1372"/>
      <c r="K653" s="1367"/>
      <c r="L653" s="1367"/>
      <c r="M653" s="1367"/>
      <c r="N653" s="1367"/>
      <c r="O653" s="1367"/>
      <c r="P653" s="1367"/>
      <c r="Q653" s="1244"/>
      <c r="R653" s="1244"/>
      <c r="S653" s="1244"/>
      <c r="T653" s="1244"/>
      <c r="U653" s="1244"/>
      <c r="V653" s="1244"/>
      <c r="W653" s="1244"/>
      <c r="X653" s="1244"/>
      <c r="Y653" s="1244"/>
      <c r="Z653" s="1244"/>
    </row>
    <row r="654" spans="1:26" ht="19.5">
      <c r="A654" s="1315"/>
      <c r="B654" s="1314" t="s">
        <v>279</v>
      </c>
      <c r="C654" s="1315"/>
      <c r="D654" s="1315"/>
      <c r="E654" s="1315"/>
      <c r="F654" s="1315"/>
      <c r="G654" s="1316"/>
      <c r="H654" s="673" t="s">
        <v>46</v>
      </c>
      <c r="I654" s="1317">
        <f t="shared" ref="I654:J654" ca="1" si="272">I669</f>
        <v>50</v>
      </c>
      <c r="J654" s="1317">
        <f t="shared" si="272"/>
        <v>0</v>
      </c>
      <c r="K654" s="1318">
        <f ca="1">IF(I654&gt;0,J654*100/I654,0)</f>
        <v>0</v>
      </c>
      <c r="L654" s="1319"/>
      <c r="M654" s="1319"/>
      <c r="N654" s="1319"/>
      <c r="O654" s="1319"/>
      <c r="P654" s="1319"/>
      <c r="Q654" s="1244"/>
      <c r="R654" s="1244"/>
      <c r="S654" s="1244"/>
      <c r="T654" s="1244"/>
      <c r="U654" s="1244"/>
      <c r="V654" s="1244"/>
      <c r="W654" s="1244"/>
      <c r="X654" s="1244"/>
      <c r="Y654" s="1244"/>
      <c r="Z654" s="1244"/>
    </row>
    <row r="655" spans="1:26" ht="19.5">
      <c r="A655" s="1259"/>
      <c r="B655" s="1243"/>
      <c r="C655" s="1243" t="s">
        <v>16</v>
      </c>
      <c r="D655" s="1507" t="s">
        <v>17</v>
      </c>
      <c r="E655" s="1485"/>
      <c r="F655" s="1485"/>
      <c r="G655" s="963"/>
      <c r="H655" s="563" t="s">
        <v>12</v>
      </c>
      <c r="I655" s="830"/>
      <c r="J655" s="830"/>
      <c r="K655" s="831"/>
      <c r="L655" s="967">
        <f t="shared" ref="L655:N655" ca="1" si="273">L656+L657</f>
        <v>11000</v>
      </c>
      <c r="M655" s="967">
        <f t="shared" si="273"/>
        <v>0</v>
      </c>
      <c r="N655" s="967">
        <f t="shared" si="273"/>
        <v>5240</v>
      </c>
      <c r="O655" s="967">
        <f t="shared" ref="O655:O660" ca="1" si="274">IF(L655&gt;0,N655*100/L655,0)</f>
        <v>47.636363636363633</v>
      </c>
      <c r="P655" s="967">
        <f t="shared" ref="P655:P660" si="275">IF(M655&gt;0,N655*100/M655,0)</f>
        <v>0</v>
      </c>
      <c r="Q655" s="1244"/>
      <c r="R655" s="1244"/>
      <c r="S655" s="1244"/>
      <c r="T655" s="1244"/>
      <c r="U655" s="1244"/>
      <c r="V655" s="1244"/>
      <c r="W655" s="1244"/>
      <c r="X655" s="1244"/>
      <c r="Y655" s="1244"/>
      <c r="Z655" s="1244"/>
    </row>
    <row r="656" spans="1:26" ht="18.75" hidden="1">
      <c r="A656" s="1260"/>
      <c r="B656" s="1261"/>
      <c r="C656" s="1261"/>
      <c r="D656" s="1262"/>
      <c r="E656" s="1261" t="s">
        <v>184</v>
      </c>
      <c r="F656" s="1261"/>
      <c r="G656" s="1263"/>
      <c r="H656" s="165" t="s">
        <v>12</v>
      </c>
      <c r="I656" s="836"/>
      <c r="J656" s="836"/>
      <c r="K656" s="837"/>
      <c r="L656" s="837">
        <f t="shared" ref="L656:N657" si="276">L659+L666</f>
        <v>0</v>
      </c>
      <c r="M656" s="837">
        <f t="shared" si="276"/>
        <v>0</v>
      </c>
      <c r="N656" s="837">
        <f t="shared" si="276"/>
        <v>0</v>
      </c>
      <c r="O656" s="837">
        <f t="shared" si="274"/>
        <v>0</v>
      </c>
      <c r="P656" s="837">
        <f t="shared" si="275"/>
        <v>0</v>
      </c>
      <c r="Q656" s="1264"/>
      <c r="R656" s="1264"/>
      <c r="S656" s="1264"/>
      <c r="T656" s="1264"/>
      <c r="U656" s="1264"/>
      <c r="V656" s="1264"/>
      <c r="W656" s="1264"/>
      <c r="X656" s="1264"/>
      <c r="Y656" s="1264"/>
      <c r="Z656" s="1264"/>
    </row>
    <row r="657" spans="1:26" ht="18.75" hidden="1">
      <c r="A657" s="1260"/>
      <c r="B657" s="1265"/>
      <c r="C657" s="1261"/>
      <c r="D657" s="1262"/>
      <c r="E657" s="1261" t="s">
        <v>185</v>
      </c>
      <c r="F657" s="1261"/>
      <c r="G657" s="1263"/>
      <c r="H657" s="165" t="s">
        <v>12</v>
      </c>
      <c r="I657" s="836"/>
      <c r="J657" s="836"/>
      <c r="K657" s="837"/>
      <c r="L657" s="837">
        <f t="shared" ca="1" si="276"/>
        <v>11000</v>
      </c>
      <c r="M657" s="837">
        <f t="shared" si="276"/>
        <v>0</v>
      </c>
      <c r="N657" s="837">
        <f t="shared" si="276"/>
        <v>5240</v>
      </c>
      <c r="O657" s="837">
        <f t="shared" ca="1" si="274"/>
        <v>47.636363636363633</v>
      </c>
      <c r="P657" s="837">
        <f t="shared" si="275"/>
        <v>0</v>
      </c>
      <c r="Q657" s="1264"/>
      <c r="R657" s="1264"/>
      <c r="S657" s="1264"/>
      <c r="T657" s="1264"/>
      <c r="U657" s="1264"/>
      <c r="V657" s="1264"/>
      <c r="W657" s="1264"/>
      <c r="X657" s="1264"/>
      <c r="Y657" s="1264"/>
      <c r="Z657" s="1264"/>
    </row>
    <row r="658" spans="1:26" ht="18.75">
      <c r="A658" s="1259"/>
      <c r="B658" s="1242"/>
      <c r="C658" s="1243"/>
      <c r="D658" s="1266" t="s">
        <v>20</v>
      </c>
      <c r="E658" s="1243"/>
      <c r="F658" s="1243"/>
      <c r="G658" s="963"/>
      <c r="H658" s="778" t="s">
        <v>12</v>
      </c>
      <c r="I658" s="944"/>
      <c r="J658" s="944"/>
      <c r="K658" s="945"/>
      <c r="L658" s="831">
        <f t="shared" ref="L658:N658" ca="1" si="277">L659+L660</f>
        <v>11000</v>
      </c>
      <c r="M658" s="831">
        <f t="shared" si="277"/>
        <v>0</v>
      </c>
      <c r="N658" s="831">
        <f t="shared" si="277"/>
        <v>5240</v>
      </c>
      <c r="O658" s="831">
        <f t="shared" ca="1" si="274"/>
        <v>47.636363636363633</v>
      </c>
      <c r="P658" s="831">
        <f t="shared" si="275"/>
        <v>0</v>
      </c>
      <c r="Q658" s="1244"/>
      <c r="R658" s="1244"/>
      <c r="S658" s="1244"/>
      <c r="T658" s="1244"/>
      <c r="U658" s="1244"/>
      <c r="V658" s="1244"/>
      <c r="W658" s="1244"/>
      <c r="X658" s="1244"/>
      <c r="Y658" s="1244"/>
      <c r="Z658" s="1244"/>
    </row>
    <row r="659" spans="1:26" ht="18.75" hidden="1">
      <c r="A659" s="1260"/>
      <c r="B659" s="1265"/>
      <c r="C659" s="1261"/>
      <c r="D659" s="1262"/>
      <c r="E659" s="1261" t="s">
        <v>184</v>
      </c>
      <c r="F659" s="1261"/>
      <c r="G659" s="1263"/>
      <c r="H659" s="165" t="s">
        <v>12</v>
      </c>
      <c r="I659" s="836"/>
      <c r="J659" s="836"/>
      <c r="K659" s="837"/>
      <c r="L659" s="837">
        <v>0</v>
      </c>
      <c r="M659" s="837">
        <v>0</v>
      </c>
      <c r="N659" s="837">
        <v>0</v>
      </c>
      <c r="O659" s="837">
        <f t="shared" si="274"/>
        <v>0</v>
      </c>
      <c r="P659" s="837">
        <f t="shared" si="275"/>
        <v>0</v>
      </c>
      <c r="Q659" s="1264"/>
      <c r="R659" s="1264"/>
      <c r="S659" s="1264"/>
      <c r="T659" s="1264"/>
      <c r="U659" s="1264"/>
      <c r="V659" s="1264"/>
      <c r="W659" s="1264"/>
      <c r="X659" s="1264"/>
      <c r="Y659" s="1264"/>
      <c r="Z659" s="1264"/>
    </row>
    <row r="660" spans="1:26" ht="18.75" hidden="1">
      <c r="A660" s="1260"/>
      <c r="B660" s="1265"/>
      <c r="C660" s="1261"/>
      <c r="D660" s="1262"/>
      <c r="E660" s="1261" t="s">
        <v>185</v>
      </c>
      <c r="F660" s="1261"/>
      <c r="G660" s="1263"/>
      <c r="H660" s="165" t="s">
        <v>12</v>
      </c>
      <c r="I660" s="836"/>
      <c r="J660" s="836"/>
      <c r="K660" s="837"/>
      <c r="L660" s="837">
        <f ca="1">IFERROR(__xludf.DUMMYFUNCTION("IMPORTRANGE(""https://docs.google.com/spreadsheets/d/1QqKyyYR6Q21VydFLVH3TRQUabQu_ym0Zz7PgGX0-kHA/edit?usp=sharing"",""แผน!HV21"")"),11000)</f>
        <v>11000</v>
      </c>
      <c r="M660" s="837">
        <v>0</v>
      </c>
      <c r="N660" s="837">
        <f>N661+N662+N663+N664</f>
        <v>5240</v>
      </c>
      <c r="O660" s="837">
        <f t="shared" ca="1" si="274"/>
        <v>47.636363636363633</v>
      </c>
      <c r="P660" s="837">
        <f t="shared" si="275"/>
        <v>0</v>
      </c>
      <c r="Q660" s="1264"/>
      <c r="R660" s="1264"/>
      <c r="S660" s="1264"/>
      <c r="T660" s="1264"/>
      <c r="U660" s="1264"/>
      <c r="V660" s="1264"/>
      <c r="W660" s="1264"/>
      <c r="X660" s="1264"/>
      <c r="Y660" s="1264"/>
      <c r="Z660" s="1264"/>
    </row>
    <row r="661" spans="1:26" ht="18.75">
      <c r="A661" s="1241"/>
      <c r="B661" s="1242"/>
      <c r="C661" s="1243"/>
      <c r="D661" s="1243"/>
      <c r="E661" s="1243"/>
      <c r="F661" s="1243" t="s">
        <v>186</v>
      </c>
      <c r="G661" s="963"/>
      <c r="H661" s="778" t="s">
        <v>12</v>
      </c>
      <c r="I661" s="830"/>
      <c r="J661" s="830"/>
      <c r="K661" s="831"/>
      <c r="L661" s="831"/>
      <c r="M661" s="831"/>
      <c r="N661" s="1031">
        <v>0</v>
      </c>
      <c r="O661" s="831"/>
      <c r="P661" s="831"/>
      <c r="Q661" s="1244"/>
      <c r="R661" s="1244"/>
      <c r="S661" s="1244"/>
      <c r="T661" s="1244"/>
      <c r="U661" s="1244"/>
      <c r="V661" s="1244"/>
      <c r="W661" s="1244"/>
      <c r="X661" s="1244"/>
      <c r="Y661" s="1244"/>
      <c r="Z661" s="1244"/>
    </row>
    <row r="662" spans="1:26" ht="18.75">
      <c r="A662" s="1241"/>
      <c r="B662" s="1242"/>
      <c r="C662" s="1243"/>
      <c r="D662" s="1243"/>
      <c r="E662" s="1243"/>
      <c r="F662" s="1243" t="s">
        <v>187</v>
      </c>
      <c r="G662" s="963"/>
      <c r="H662" s="778" t="s">
        <v>12</v>
      </c>
      <c r="I662" s="830"/>
      <c r="J662" s="830"/>
      <c r="K662" s="831"/>
      <c r="L662" s="831"/>
      <c r="M662" s="831"/>
      <c r="N662" s="1031">
        <v>0</v>
      </c>
      <c r="O662" s="831"/>
      <c r="P662" s="831"/>
      <c r="Q662" s="1244"/>
      <c r="R662" s="1244"/>
      <c r="S662" s="1244"/>
      <c r="T662" s="1244"/>
      <c r="U662" s="1244"/>
      <c r="V662" s="1244"/>
      <c r="W662" s="1244"/>
      <c r="X662" s="1244"/>
      <c r="Y662" s="1244"/>
      <c r="Z662" s="1244"/>
    </row>
    <row r="663" spans="1:26" ht="18.75">
      <c r="A663" s="1241"/>
      <c r="B663" s="1242"/>
      <c r="C663" s="1242"/>
      <c r="D663" s="1243"/>
      <c r="E663" s="1243"/>
      <c r="F663" s="1243" t="s">
        <v>188</v>
      </c>
      <c r="G663" s="963"/>
      <c r="H663" s="778" t="s">
        <v>12</v>
      </c>
      <c r="I663" s="830"/>
      <c r="J663" s="830"/>
      <c r="K663" s="831"/>
      <c r="L663" s="831"/>
      <c r="M663" s="831"/>
      <c r="N663" s="1031">
        <v>0</v>
      </c>
      <c r="O663" s="831"/>
      <c r="P663" s="831"/>
      <c r="Q663" s="1244"/>
      <c r="R663" s="1244"/>
      <c r="S663" s="1244"/>
      <c r="T663" s="1244"/>
      <c r="U663" s="1244"/>
      <c r="V663" s="1244"/>
      <c r="W663" s="1244"/>
      <c r="X663" s="1244"/>
      <c r="Y663" s="1244"/>
      <c r="Z663" s="1244"/>
    </row>
    <row r="664" spans="1:26" ht="18.75">
      <c r="A664" s="1241"/>
      <c r="B664" s="1242"/>
      <c r="C664" s="1242"/>
      <c r="D664" s="1242"/>
      <c r="E664" s="1243"/>
      <c r="F664" s="1243" t="s">
        <v>189</v>
      </c>
      <c r="G664" s="963"/>
      <c r="H664" s="778" t="s">
        <v>12</v>
      </c>
      <c r="I664" s="830"/>
      <c r="J664" s="830"/>
      <c r="K664" s="831"/>
      <c r="L664" s="831"/>
      <c r="M664" s="831"/>
      <c r="N664" s="1031">
        <v>5240</v>
      </c>
      <c r="O664" s="831"/>
      <c r="P664" s="831"/>
      <c r="Q664" s="1244"/>
      <c r="R664" s="1244"/>
      <c r="S664" s="1244"/>
      <c r="T664" s="1244"/>
      <c r="U664" s="1244"/>
      <c r="V664" s="1244"/>
      <c r="W664" s="1244"/>
      <c r="X664" s="1244"/>
      <c r="Y664" s="1244"/>
      <c r="Z664" s="1244"/>
    </row>
    <row r="665" spans="1:26" ht="18.75">
      <c r="A665" s="1259"/>
      <c r="B665" s="1242"/>
      <c r="C665" s="1242"/>
      <c r="D665" s="1266" t="s">
        <v>21</v>
      </c>
      <c r="E665" s="1243"/>
      <c r="F665" s="1243"/>
      <c r="G665" s="963"/>
      <c r="H665" s="168" t="s">
        <v>12</v>
      </c>
      <c r="I665" s="944"/>
      <c r="J665" s="944"/>
      <c r="K665" s="945"/>
      <c r="L665" s="831">
        <f t="shared" ref="L665:N665" si="278">L666+L667</f>
        <v>0</v>
      </c>
      <c r="M665" s="831">
        <f t="shared" si="278"/>
        <v>0</v>
      </c>
      <c r="N665" s="831">
        <f t="shared" si="278"/>
        <v>0</v>
      </c>
      <c r="O665" s="831">
        <f t="shared" ref="O665:O667" si="279">IF(L665&gt;0,N665*100/L665,0)</f>
        <v>0</v>
      </c>
      <c r="P665" s="831">
        <f t="shared" ref="P665:P667" si="280">IF(M665&gt;0,N665*100/M665,0)</f>
        <v>0</v>
      </c>
      <c r="Q665" s="1244"/>
      <c r="R665" s="1244"/>
      <c r="S665" s="1244"/>
      <c r="T665" s="1244"/>
      <c r="U665" s="1244"/>
      <c r="V665" s="1244"/>
      <c r="W665" s="1244"/>
      <c r="X665" s="1244"/>
      <c r="Y665" s="1244"/>
      <c r="Z665" s="1244"/>
    </row>
    <row r="666" spans="1:26" ht="18.75" hidden="1">
      <c r="A666" s="1260"/>
      <c r="B666" s="1265"/>
      <c r="C666" s="1265"/>
      <c r="D666" s="1265"/>
      <c r="E666" s="1261" t="s">
        <v>18</v>
      </c>
      <c r="F666" s="1261"/>
      <c r="G666" s="1263"/>
      <c r="H666" s="165" t="s">
        <v>12</v>
      </c>
      <c r="I666" s="947"/>
      <c r="J666" s="947"/>
      <c r="K666" s="948"/>
      <c r="L666" s="837">
        <v>0</v>
      </c>
      <c r="M666" s="837">
        <v>0</v>
      </c>
      <c r="N666" s="837">
        <v>0</v>
      </c>
      <c r="O666" s="837">
        <f t="shared" si="279"/>
        <v>0</v>
      </c>
      <c r="P666" s="837">
        <f t="shared" si="280"/>
        <v>0</v>
      </c>
      <c r="Q666" s="1264"/>
      <c r="R666" s="1264"/>
      <c r="S666" s="1264"/>
      <c r="T666" s="1264"/>
      <c r="U666" s="1264"/>
      <c r="V666" s="1264"/>
      <c r="W666" s="1264"/>
      <c r="X666" s="1264"/>
      <c r="Y666" s="1264"/>
      <c r="Z666" s="1264"/>
    </row>
    <row r="667" spans="1:26" ht="18.75" hidden="1">
      <c r="A667" s="1260"/>
      <c r="B667" s="1265"/>
      <c r="C667" s="1265"/>
      <c r="D667" s="1265"/>
      <c r="E667" s="1261" t="s">
        <v>19</v>
      </c>
      <c r="F667" s="1261"/>
      <c r="G667" s="1263"/>
      <c r="H667" s="169" t="s">
        <v>12</v>
      </c>
      <c r="I667" s="947"/>
      <c r="J667" s="947"/>
      <c r="K667" s="948"/>
      <c r="L667" s="837">
        <v>0</v>
      </c>
      <c r="M667" s="837">
        <v>0</v>
      </c>
      <c r="N667" s="837">
        <v>0</v>
      </c>
      <c r="O667" s="837">
        <f t="shared" si="279"/>
        <v>0</v>
      </c>
      <c r="P667" s="837">
        <f t="shared" si="280"/>
        <v>0</v>
      </c>
      <c r="Q667" s="1264"/>
      <c r="R667" s="1264"/>
      <c r="S667" s="1264"/>
      <c r="T667" s="1264"/>
      <c r="U667" s="1264"/>
      <c r="V667" s="1264"/>
      <c r="W667" s="1264"/>
      <c r="X667" s="1264"/>
      <c r="Y667" s="1264"/>
      <c r="Z667" s="1264"/>
    </row>
    <row r="668" spans="1:26" ht="19.5">
      <c r="A668" s="1267"/>
      <c r="B668" s="1268"/>
      <c r="C668" s="1242" t="s">
        <v>16</v>
      </c>
      <c r="D668" s="1269" t="s">
        <v>38</v>
      </c>
      <c r="E668" s="1271"/>
      <c r="F668" s="1271"/>
      <c r="G668" s="1272"/>
      <c r="H668" s="954"/>
      <c r="I668" s="944"/>
      <c r="J668" s="944"/>
      <c r="K668" s="945"/>
      <c r="L668" s="945"/>
      <c r="M668" s="945"/>
      <c r="N668" s="945"/>
      <c r="O668" s="945"/>
      <c r="P668" s="945"/>
      <c r="Q668" s="1244"/>
      <c r="R668" s="1244"/>
      <c r="S668" s="1244"/>
      <c r="T668" s="1244"/>
      <c r="U668" s="1244"/>
      <c r="V668" s="1244"/>
      <c r="W668" s="1244"/>
      <c r="X668" s="1244"/>
      <c r="Y668" s="1244"/>
      <c r="Z668" s="1244"/>
    </row>
    <row r="669" spans="1:26" ht="19.5">
      <c r="A669" s="1267"/>
      <c r="B669" s="1268"/>
      <c r="C669" s="1268"/>
      <c r="D669" s="1268" t="s">
        <v>280</v>
      </c>
      <c r="E669" s="961"/>
      <c r="F669" s="961"/>
      <c r="G669" s="954"/>
      <c r="H669" s="733" t="s">
        <v>46</v>
      </c>
      <c r="I669" s="966">
        <f ca="1">IFERROR(__xludf.DUMMYFUNCTION("IMPORTRANGE(""https://docs.google.com/spreadsheets/d/1QqKyyYR6Q21VydFLVH3TRQUabQu_ym0Zz7PgGX0-kHA/edit?usp=sharing"",""แผน!IA21"")"),50)</f>
        <v>50</v>
      </c>
      <c r="J669" s="966">
        <f>J675</f>
        <v>0</v>
      </c>
      <c r="K669" s="967">
        <f ca="1">IF(I669&gt;0,J669*100/I669,0)</f>
        <v>0</v>
      </c>
      <c r="L669" s="945"/>
      <c r="M669" s="945"/>
      <c r="N669" s="945"/>
      <c r="O669" s="945"/>
      <c r="P669" s="945"/>
      <c r="Q669" s="1244"/>
      <c r="R669" s="1244"/>
      <c r="S669" s="1244"/>
      <c r="T669" s="1244"/>
      <c r="U669" s="1244"/>
      <c r="V669" s="1244"/>
      <c r="W669" s="1244"/>
      <c r="X669" s="1244"/>
      <c r="Y669" s="1244"/>
      <c r="Z669" s="1244"/>
    </row>
    <row r="670" spans="1:26" ht="18.75">
      <c r="A670" s="1267"/>
      <c r="B670" s="1268"/>
      <c r="C670" s="1268"/>
      <c r="D670" s="1268"/>
      <c r="E670" s="961" t="s">
        <v>281</v>
      </c>
      <c r="F670" s="961"/>
      <c r="G670" s="954"/>
      <c r="H670" s="730" t="s">
        <v>66</v>
      </c>
      <c r="I670" s="830">
        <f ca="1">IFERROR(__xludf.DUMMYFUNCTION("IMPORTRANGE(""https://docs.google.com/spreadsheets/d/1QqKyyYR6Q21VydFLVH3TRQUabQu_ym0Zz7PgGX0-kHA/edit?usp=sharing"",""แผน!HZ21"")"),5)</f>
        <v>5</v>
      </c>
      <c r="J670" s="959">
        <v>5</v>
      </c>
      <c r="K670" s="831">
        <f ca="1">IF(I670&gt;0,(J670*100)/I670,0)</f>
        <v>100</v>
      </c>
      <c r="L670" s="945"/>
      <c r="M670" s="945"/>
      <c r="N670" s="945"/>
      <c r="O670" s="945"/>
      <c r="P670" s="945"/>
      <c r="Q670" s="1244"/>
      <c r="R670" s="1244"/>
      <c r="S670" s="1244"/>
      <c r="T670" s="1244"/>
      <c r="U670" s="1244"/>
      <c r="V670" s="1244"/>
      <c r="W670" s="1244"/>
      <c r="X670" s="1244"/>
      <c r="Y670" s="1244"/>
      <c r="Z670" s="1244"/>
    </row>
    <row r="671" spans="1:26" ht="18.75">
      <c r="A671" s="1267"/>
      <c r="B671" s="1268"/>
      <c r="C671" s="1268"/>
      <c r="D671" s="1268"/>
      <c r="E671" s="961" t="s">
        <v>282</v>
      </c>
      <c r="F671" s="961"/>
      <c r="G671" s="954"/>
      <c r="H671" s="730" t="s">
        <v>66</v>
      </c>
      <c r="I671" s="830">
        <f ca="1">IFERROR(__xludf.DUMMYFUNCTION("IMPORTRANGE(""https://docs.google.com/spreadsheets/d/1QqKyyYR6Q21VydFLVH3TRQUabQu_ym0Zz7PgGX0-kHA/edit?usp=sharing"",""แผน!HZ21"")"),5)</f>
        <v>5</v>
      </c>
      <c r="J671" s="959">
        <v>5</v>
      </c>
      <c r="K671" s="831">
        <f ca="1">IF(I$671&gt;0,J671*100/I$671,0)</f>
        <v>100</v>
      </c>
      <c r="L671" s="945"/>
      <c r="M671" s="945"/>
      <c r="N671" s="945"/>
      <c r="O671" s="945"/>
      <c r="P671" s="945"/>
      <c r="Q671" s="1244"/>
      <c r="R671" s="1244"/>
      <c r="S671" s="1244"/>
      <c r="T671" s="1244"/>
      <c r="U671" s="1244"/>
      <c r="V671" s="1244"/>
      <c r="W671" s="1244"/>
      <c r="X671" s="1244"/>
      <c r="Y671" s="1244"/>
      <c r="Z671" s="1244"/>
    </row>
    <row r="672" spans="1:26" ht="18.75">
      <c r="A672" s="1267"/>
      <c r="B672" s="1268"/>
      <c r="C672" s="1268"/>
      <c r="D672" s="1268"/>
      <c r="E672" s="961" t="s">
        <v>283</v>
      </c>
      <c r="F672" s="961"/>
      <c r="G672" s="954"/>
      <c r="H672" s="730" t="s">
        <v>46</v>
      </c>
      <c r="I672" s="830"/>
      <c r="J672" s="959">
        <v>0</v>
      </c>
      <c r="K672" s="831">
        <f t="shared" ref="K672:K675" ca="1" si="281">IF(I$669&gt;0,J672*100/I$669,0)</f>
        <v>0</v>
      </c>
      <c r="L672" s="945"/>
      <c r="M672" s="945"/>
      <c r="N672" s="945"/>
      <c r="O672" s="945"/>
      <c r="P672" s="945"/>
      <c r="Q672" s="1244"/>
      <c r="R672" s="1244"/>
      <c r="S672" s="1244"/>
      <c r="T672" s="1244"/>
      <c r="U672" s="1244"/>
      <c r="V672" s="1244"/>
      <c r="W672" s="1244"/>
      <c r="X672" s="1244"/>
      <c r="Y672" s="1244"/>
      <c r="Z672" s="1244"/>
    </row>
    <row r="673" spans="1:26" ht="18.75">
      <c r="A673" s="1267"/>
      <c r="B673" s="1268"/>
      <c r="C673" s="1268"/>
      <c r="D673" s="1268"/>
      <c r="E673" s="961" t="s">
        <v>284</v>
      </c>
      <c r="F673" s="961"/>
      <c r="G673" s="954"/>
      <c r="H673" s="730" t="s">
        <v>46</v>
      </c>
      <c r="I673" s="830"/>
      <c r="J673" s="959">
        <v>0</v>
      </c>
      <c r="K673" s="831">
        <f t="shared" ca="1" si="281"/>
        <v>0</v>
      </c>
      <c r="L673" s="945"/>
      <c r="M673" s="945"/>
      <c r="N673" s="945"/>
      <c r="O673" s="945"/>
      <c r="P673" s="945"/>
      <c r="Q673" s="1244"/>
      <c r="R673" s="1244"/>
      <c r="S673" s="1244"/>
      <c r="T673" s="1244"/>
      <c r="U673" s="1244"/>
      <c r="V673" s="1244"/>
      <c r="W673" s="1244"/>
      <c r="X673" s="1244"/>
      <c r="Y673" s="1244"/>
      <c r="Z673" s="1244"/>
    </row>
    <row r="674" spans="1:26" ht="18.75">
      <c r="A674" s="1267"/>
      <c r="B674" s="1268"/>
      <c r="C674" s="1268"/>
      <c r="D674" s="1268"/>
      <c r="E674" s="961" t="s">
        <v>285</v>
      </c>
      <c r="F674" s="961"/>
      <c r="G674" s="954"/>
      <c r="H674" s="730" t="s">
        <v>46</v>
      </c>
      <c r="I674" s="830"/>
      <c r="J674" s="959">
        <v>0</v>
      </c>
      <c r="K674" s="831">
        <f t="shared" ca="1" si="281"/>
        <v>0</v>
      </c>
      <c r="L674" s="945"/>
      <c r="M674" s="945"/>
      <c r="N674" s="945"/>
      <c r="O674" s="945"/>
      <c r="P674" s="945"/>
      <c r="Q674" s="1244"/>
      <c r="R674" s="1244"/>
      <c r="S674" s="1244"/>
      <c r="T674" s="1244"/>
      <c r="U674" s="1244"/>
      <c r="V674" s="1244"/>
      <c r="W674" s="1244"/>
      <c r="X674" s="1244"/>
      <c r="Y674" s="1244"/>
      <c r="Z674" s="1244"/>
    </row>
    <row r="675" spans="1:26" ht="19.5">
      <c r="A675" s="1267"/>
      <c r="B675" s="1268"/>
      <c r="C675" s="1268"/>
      <c r="D675" s="1268"/>
      <c r="E675" s="961" t="s">
        <v>286</v>
      </c>
      <c r="F675" s="961"/>
      <c r="G675" s="954"/>
      <c r="H675" s="730" t="s">
        <v>46</v>
      </c>
      <c r="I675" s="830"/>
      <c r="J675" s="966">
        <f>J676+J677</f>
        <v>0</v>
      </c>
      <c r="K675" s="967">
        <f t="shared" ca="1" si="281"/>
        <v>0</v>
      </c>
      <c r="L675" s="945"/>
      <c r="M675" s="945"/>
      <c r="N675" s="945"/>
      <c r="O675" s="945"/>
      <c r="P675" s="945"/>
      <c r="Q675" s="1244"/>
      <c r="R675" s="1244"/>
      <c r="S675" s="1244"/>
      <c r="T675" s="1244"/>
      <c r="U675" s="1244"/>
      <c r="V675" s="1244"/>
      <c r="W675" s="1244"/>
      <c r="X675" s="1244"/>
      <c r="Y675" s="1244"/>
      <c r="Z675" s="1244"/>
    </row>
    <row r="676" spans="1:26" ht="18.75">
      <c r="A676" s="1267"/>
      <c r="B676" s="1268"/>
      <c r="C676" s="1268"/>
      <c r="D676" s="1268"/>
      <c r="E676" s="961"/>
      <c r="F676" s="961" t="s">
        <v>287</v>
      </c>
      <c r="G676" s="954"/>
      <c r="H676" s="730" t="s">
        <v>46</v>
      </c>
      <c r="I676" s="830"/>
      <c r="J676" s="959">
        <v>0</v>
      </c>
      <c r="K676" s="831"/>
      <c r="L676" s="945"/>
      <c r="M676" s="945"/>
      <c r="N676" s="945"/>
      <c r="O676" s="945"/>
      <c r="P676" s="945"/>
      <c r="Q676" s="1244"/>
      <c r="R676" s="1244"/>
      <c r="S676" s="1244"/>
      <c r="T676" s="1244"/>
      <c r="U676" s="1244"/>
      <c r="V676" s="1244"/>
      <c r="W676" s="1244"/>
      <c r="X676" s="1244"/>
      <c r="Y676" s="1244"/>
      <c r="Z676" s="1244"/>
    </row>
    <row r="677" spans="1:26" ht="18.75">
      <c r="A677" s="1267"/>
      <c r="B677" s="1268"/>
      <c r="C677" s="1268"/>
      <c r="D677" s="1268"/>
      <c r="E677" s="961"/>
      <c r="F677" s="961" t="s">
        <v>288</v>
      </c>
      <c r="G677" s="954"/>
      <c r="H677" s="730" t="s">
        <v>46</v>
      </c>
      <c r="I677" s="830"/>
      <c r="J677" s="959">
        <v>0</v>
      </c>
      <c r="K677" s="831"/>
      <c r="L677" s="945"/>
      <c r="M677" s="945"/>
      <c r="N677" s="945"/>
      <c r="O677" s="945"/>
      <c r="P677" s="945"/>
      <c r="Q677" s="1244"/>
      <c r="R677" s="1244"/>
      <c r="S677" s="1244"/>
      <c r="T677" s="1244"/>
      <c r="U677" s="1244"/>
      <c r="V677" s="1244"/>
      <c r="W677" s="1244"/>
      <c r="X677" s="1244"/>
      <c r="Y677" s="1244"/>
      <c r="Z677" s="1244"/>
    </row>
    <row r="678" spans="1:26" ht="19.5">
      <c r="A678" s="1267"/>
      <c r="B678" s="1268"/>
      <c r="C678" s="1268"/>
      <c r="D678" s="1268" t="s">
        <v>289</v>
      </c>
      <c r="E678" s="961"/>
      <c r="F678" s="961"/>
      <c r="G678" s="954"/>
      <c r="H678" s="730" t="s">
        <v>46</v>
      </c>
      <c r="I678" s="966">
        <f ca="1">IFERROR(__xludf.DUMMYFUNCTION("IMPORTRANGE(""https://docs.google.com/spreadsheets/d/1QqKyyYR6Q21VydFLVH3TRQUabQu_ym0Zz7PgGX0-kHA/edit?usp=sharing"",""แผน!IB21"")"),0)</f>
        <v>0</v>
      </c>
      <c r="J678" s="966">
        <f>J679</f>
        <v>0</v>
      </c>
      <c r="K678" s="967">
        <f ca="1">IF(I678&gt;0,J678*100/I678,0)</f>
        <v>0</v>
      </c>
      <c r="L678" s="945"/>
      <c r="M678" s="945"/>
      <c r="N678" s="945"/>
      <c r="O678" s="945"/>
      <c r="P678" s="945"/>
      <c r="Q678" s="1244"/>
      <c r="R678" s="1244"/>
      <c r="S678" s="1244"/>
      <c r="T678" s="1244"/>
      <c r="U678" s="1244"/>
      <c r="V678" s="1244"/>
      <c r="W678" s="1244"/>
      <c r="X678" s="1244"/>
      <c r="Y678" s="1244"/>
      <c r="Z678" s="1244"/>
    </row>
    <row r="679" spans="1:26" ht="18.75">
      <c r="A679" s="1267"/>
      <c r="B679" s="1268"/>
      <c r="C679" s="1268"/>
      <c r="D679" s="1268"/>
      <c r="E679" s="961" t="s">
        <v>290</v>
      </c>
      <c r="F679" s="961"/>
      <c r="G679" s="954"/>
      <c r="H679" s="730" t="s">
        <v>46</v>
      </c>
      <c r="I679" s="830"/>
      <c r="J679" s="830">
        <f>J680+J681</f>
        <v>0</v>
      </c>
      <c r="K679" s="831"/>
      <c r="L679" s="945"/>
      <c r="M679" s="945"/>
      <c r="N679" s="945"/>
      <c r="O679" s="945"/>
      <c r="P679" s="945"/>
      <c r="Q679" s="1244"/>
      <c r="R679" s="1244"/>
      <c r="S679" s="1244"/>
      <c r="T679" s="1244"/>
      <c r="U679" s="1244"/>
      <c r="V679" s="1244"/>
      <c r="W679" s="1244"/>
      <c r="X679" s="1244"/>
      <c r="Y679" s="1244"/>
      <c r="Z679" s="1244"/>
    </row>
    <row r="680" spans="1:26" ht="18.75">
      <c r="A680" s="1267"/>
      <c r="B680" s="1268"/>
      <c r="C680" s="1268"/>
      <c r="D680" s="1268"/>
      <c r="E680" s="961"/>
      <c r="F680" s="961" t="s">
        <v>287</v>
      </c>
      <c r="G680" s="954"/>
      <c r="H680" s="730" t="s">
        <v>46</v>
      </c>
      <c r="I680" s="830"/>
      <c r="J680" s="959">
        <v>0</v>
      </c>
      <c r="K680" s="831"/>
      <c r="L680" s="945"/>
      <c r="M680" s="945"/>
      <c r="N680" s="945"/>
      <c r="O680" s="945"/>
      <c r="P680" s="945"/>
      <c r="Q680" s="1244"/>
      <c r="R680" s="1244"/>
      <c r="S680" s="1244"/>
      <c r="T680" s="1244"/>
      <c r="U680" s="1244"/>
      <c r="V680" s="1244"/>
      <c r="W680" s="1244"/>
      <c r="X680" s="1244"/>
      <c r="Y680" s="1244"/>
      <c r="Z680" s="1244"/>
    </row>
    <row r="681" spans="1:26" ht="18.75">
      <c r="A681" s="1267"/>
      <c r="B681" s="1268"/>
      <c r="C681" s="1268"/>
      <c r="D681" s="1268"/>
      <c r="E681" s="961"/>
      <c r="F681" s="961" t="s">
        <v>288</v>
      </c>
      <c r="G681" s="954"/>
      <c r="H681" s="730" t="s">
        <v>46</v>
      </c>
      <c r="I681" s="830"/>
      <c r="J681" s="959">
        <v>0</v>
      </c>
      <c r="K681" s="831"/>
      <c r="L681" s="945"/>
      <c r="M681" s="945"/>
      <c r="N681" s="945"/>
      <c r="O681" s="945"/>
      <c r="P681" s="945"/>
      <c r="Q681" s="1244"/>
      <c r="R681" s="1244"/>
      <c r="S681" s="1244"/>
      <c r="T681" s="1244"/>
      <c r="U681" s="1244"/>
      <c r="V681" s="1244"/>
      <c r="W681" s="1244"/>
      <c r="X681" s="1244"/>
      <c r="Y681" s="1244"/>
      <c r="Z681" s="1244"/>
    </row>
    <row r="682" spans="1:26" ht="18.75">
      <c r="A682" s="1267"/>
      <c r="B682" s="1268"/>
      <c r="C682" s="1268"/>
      <c r="D682" s="1268"/>
      <c r="E682" s="961" t="s">
        <v>291</v>
      </c>
      <c r="F682" s="961"/>
      <c r="G682" s="954"/>
      <c r="H682" s="730" t="s">
        <v>46</v>
      </c>
      <c r="I682" s="830"/>
      <c r="J682" s="959">
        <v>0</v>
      </c>
      <c r="K682" s="831"/>
      <c r="L682" s="945"/>
      <c r="M682" s="945"/>
      <c r="N682" s="945"/>
      <c r="O682" s="945"/>
      <c r="P682" s="945"/>
      <c r="Q682" s="1244"/>
      <c r="R682" s="1244"/>
      <c r="S682" s="1244"/>
      <c r="T682" s="1244"/>
      <c r="U682" s="1244"/>
      <c r="V682" s="1244"/>
      <c r="W682" s="1244"/>
      <c r="X682" s="1244"/>
      <c r="Y682" s="1244"/>
      <c r="Z682" s="1244"/>
    </row>
    <row r="683" spans="1:26" ht="18.75">
      <c r="A683" s="1267"/>
      <c r="B683" s="1268"/>
      <c r="C683" s="1268"/>
      <c r="D683" s="1268"/>
      <c r="E683" s="961"/>
      <c r="F683" s="961" t="s">
        <v>292</v>
      </c>
      <c r="G683" s="954"/>
      <c r="H683" s="730" t="s">
        <v>46</v>
      </c>
      <c r="I683" s="830"/>
      <c r="J683" s="959">
        <v>0</v>
      </c>
      <c r="K683" s="831"/>
      <c r="L683" s="945"/>
      <c r="M683" s="945"/>
      <c r="N683" s="945"/>
      <c r="O683" s="945"/>
      <c r="P683" s="945"/>
      <c r="Q683" s="1244"/>
      <c r="R683" s="1244"/>
      <c r="S683" s="1244"/>
      <c r="T683" s="1244"/>
      <c r="U683" s="1244"/>
      <c r="V683" s="1244"/>
      <c r="W683" s="1244"/>
      <c r="X683" s="1244"/>
      <c r="Y683" s="1244"/>
      <c r="Z683" s="1244"/>
    </row>
    <row r="684" spans="1:26" ht="19.5">
      <c r="A684" s="1373"/>
      <c r="B684" s="1374" t="s">
        <v>293</v>
      </c>
      <c r="C684" s="1373"/>
      <c r="D684" s="1373"/>
      <c r="E684" s="1373"/>
      <c r="F684" s="1373"/>
      <c r="G684" s="1375"/>
      <c r="H684" s="1375"/>
      <c r="I684" s="1376"/>
      <c r="J684" s="1376"/>
      <c r="K684" s="1377"/>
      <c r="L684" s="1377"/>
      <c r="M684" s="1377"/>
      <c r="N684" s="1377"/>
      <c r="O684" s="1377"/>
      <c r="P684" s="1377"/>
      <c r="Q684" s="1244"/>
      <c r="R684" s="1244"/>
      <c r="S684" s="1244"/>
      <c r="T684" s="1244"/>
      <c r="U684" s="1244"/>
      <c r="V684" s="1244"/>
      <c r="W684" s="1244"/>
      <c r="X684" s="1244"/>
      <c r="Y684" s="1244"/>
      <c r="Z684" s="1244"/>
    </row>
    <row r="685" spans="1:26" ht="19.5">
      <c r="A685" s="1259"/>
      <c r="B685" s="1243"/>
      <c r="C685" s="1243" t="s">
        <v>16</v>
      </c>
      <c r="D685" s="1507" t="s">
        <v>17</v>
      </c>
      <c r="E685" s="1485"/>
      <c r="F685" s="1485"/>
      <c r="G685" s="963"/>
      <c r="H685" s="563" t="s">
        <v>12</v>
      </c>
      <c r="I685" s="830"/>
      <c r="J685" s="830"/>
      <c r="K685" s="831"/>
      <c r="L685" s="967">
        <f t="shared" ref="L685:N685" ca="1" si="282">L686+L687</f>
        <v>15760</v>
      </c>
      <c r="M685" s="967">
        <f t="shared" si="282"/>
        <v>0</v>
      </c>
      <c r="N685" s="967">
        <f t="shared" si="282"/>
        <v>0</v>
      </c>
      <c r="O685" s="967">
        <f t="shared" ref="O685:O688" ca="1" si="283">IF(L685&gt;0,N685*100/L685,0)</f>
        <v>0</v>
      </c>
      <c r="P685" s="967">
        <f t="shared" ref="P685:P688" si="284">IF(M685&gt;0,N685*100/M685,0)</f>
        <v>0</v>
      </c>
      <c r="Q685" s="1244"/>
      <c r="R685" s="1244"/>
      <c r="S685" s="1244"/>
      <c r="T685" s="1244"/>
      <c r="U685" s="1244"/>
      <c r="V685" s="1244"/>
      <c r="W685" s="1244"/>
      <c r="X685" s="1244"/>
      <c r="Y685" s="1244"/>
      <c r="Z685" s="1244"/>
    </row>
    <row r="686" spans="1:26" ht="18.75" hidden="1">
      <c r="A686" s="1260"/>
      <c r="B686" s="1261"/>
      <c r="C686" s="1261"/>
      <c r="D686" s="1262"/>
      <c r="E686" s="1261" t="s">
        <v>184</v>
      </c>
      <c r="F686" s="1261"/>
      <c r="G686" s="1263"/>
      <c r="H686" s="165" t="s">
        <v>12</v>
      </c>
      <c r="I686" s="836"/>
      <c r="J686" s="836"/>
      <c r="K686" s="837"/>
      <c r="L686" s="837">
        <f t="shared" ref="L686:N687" si="285">L689+L696</f>
        <v>0</v>
      </c>
      <c r="M686" s="837">
        <f t="shared" si="285"/>
        <v>0</v>
      </c>
      <c r="N686" s="837">
        <f t="shared" si="285"/>
        <v>0</v>
      </c>
      <c r="O686" s="837">
        <f t="shared" si="283"/>
        <v>0</v>
      </c>
      <c r="P686" s="837">
        <f t="shared" si="284"/>
        <v>0</v>
      </c>
      <c r="Q686" s="1264"/>
      <c r="R686" s="1264"/>
      <c r="S686" s="1264"/>
      <c r="T686" s="1264"/>
      <c r="U686" s="1264"/>
      <c r="V686" s="1264"/>
      <c r="W686" s="1264"/>
      <c r="X686" s="1264"/>
      <c r="Y686" s="1264"/>
      <c r="Z686" s="1264"/>
    </row>
    <row r="687" spans="1:26" ht="18.75" hidden="1">
      <c r="A687" s="1260"/>
      <c r="B687" s="1265"/>
      <c r="C687" s="1261"/>
      <c r="D687" s="1262"/>
      <c r="E687" s="1261" t="s">
        <v>185</v>
      </c>
      <c r="F687" s="1261"/>
      <c r="G687" s="1263"/>
      <c r="H687" s="165" t="s">
        <v>12</v>
      </c>
      <c r="I687" s="836"/>
      <c r="J687" s="836"/>
      <c r="K687" s="837"/>
      <c r="L687" s="837">
        <f t="shared" ca="1" si="285"/>
        <v>15760</v>
      </c>
      <c r="M687" s="837">
        <f t="shared" si="285"/>
        <v>0</v>
      </c>
      <c r="N687" s="837">
        <f t="shared" si="285"/>
        <v>0</v>
      </c>
      <c r="O687" s="837">
        <f t="shared" ca="1" si="283"/>
        <v>0</v>
      </c>
      <c r="P687" s="837">
        <f t="shared" si="284"/>
        <v>0</v>
      </c>
      <c r="Q687" s="1264"/>
      <c r="R687" s="1264"/>
      <c r="S687" s="1264"/>
      <c r="T687" s="1264"/>
      <c r="U687" s="1264"/>
      <c r="V687" s="1264"/>
      <c r="W687" s="1264"/>
      <c r="X687" s="1264"/>
      <c r="Y687" s="1264"/>
      <c r="Z687" s="1264"/>
    </row>
    <row r="688" spans="1:26" ht="18.75">
      <c r="A688" s="1259"/>
      <c r="B688" s="1242"/>
      <c r="C688" s="1243"/>
      <c r="D688" s="1266" t="s">
        <v>20</v>
      </c>
      <c r="E688" s="1243"/>
      <c r="F688" s="1243"/>
      <c r="G688" s="963"/>
      <c r="H688" s="778" t="s">
        <v>12</v>
      </c>
      <c r="I688" s="944"/>
      <c r="J688" s="944"/>
      <c r="K688" s="945"/>
      <c r="L688" s="831">
        <f t="shared" ref="L688:N688" ca="1" si="286">L689+L690</f>
        <v>15760</v>
      </c>
      <c r="M688" s="831">
        <f t="shared" si="286"/>
        <v>0</v>
      </c>
      <c r="N688" s="831">
        <f t="shared" si="286"/>
        <v>0</v>
      </c>
      <c r="O688" s="831">
        <f t="shared" ca="1" si="283"/>
        <v>0</v>
      </c>
      <c r="P688" s="831">
        <f t="shared" si="284"/>
        <v>0</v>
      </c>
      <c r="Q688" s="1244"/>
      <c r="R688" s="1244"/>
      <c r="S688" s="1244"/>
      <c r="T688" s="1244"/>
      <c r="U688" s="1244"/>
      <c r="V688" s="1244"/>
      <c r="W688" s="1244"/>
      <c r="X688" s="1244"/>
      <c r="Y688" s="1244"/>
      <c r="Z688" s="1244"/>
    </row>
    <row r="689" spans="1:26" ht="18.75" hidden="1">
      <c r="A689" s="1260"/>
      <c r="B689" s="1265"/>
      <c r="C689" s="1261"/>
      <c r="D689" s="1262"/>
      <c r="E689" s="1261" t="s">
        <v>184</v>
      </c>
      <c r="F689" s="1261"/>
      <c r="G689" s="1263"/>
      <c r="H689" s="165" t="s">
        <v>12</v>
      </c>
      <c r="I689" s="836"/>
      <c r="J689" s="836"/>
      <c r="K689" s="837"/>
      <c r="L689" s="837">
        <v>0</v>
      </c>
      <c r="M689" s="837">
        <v>0</v>
      </c>
      <c r="N689" s="837">
        <v>0</v>
      </c>
      <c r="O689" s="837"/>
      <c r="P689" s="837"/>
      <c r="Q689" s="1264"/>
      <c r="R689" s="1264"/>
      <c r="S689" s="1264"/>
      <c r="T689" s="1264"/>
      <c r="U689" s="1264"/>
      <c r="V689" s="1264"/>
      <c r="W689" s="1264"/>
      <c r="X689" s="1264"/>
      <c r="Y689" s="1264"/>
      <c r="Z689" s="1264"/>
    </row>
    <row r="690" spans="1:26" ht="18.75" hidden="1">
      <c r="A690" s="1260"/>
      <c r="B690" s="1265"/>
      <c r="C690" s="1261"/>
      <c r="D690" s="1262"/>
      <c r="E690" s="1261" t="s">
        <v>185</v>
      </c>
      <c r="F690" s="1261"/>
      <c r="G690" s="1263"/>
      <c r="H690" s="165" t="s">
        <v>12</v>
      </c>
      <c r="I690" s="836"/>
      <c r="J690" s="836"/>
      <c r="K690" s="837"/>
      <c r="L690" s="837">
        <f ca="1">IFERROR(__xludf.DUMMYFUNCTION("IMPORTRANGE(""https://docs.google.com/spreadsheets/d/1QqKyyYR6Q21VydFLVH3TRQUabQu_ym0Zz7PgGX0-kHA/edit?usp=sharing"",""แผน!HW21"")"),15760)</f>
        <v>15760</v>
      </c>
      <c r="M690" s="837">
        <v>0</v>
      </c>
      <c r="N690" s="837">
        <f>N691+N692+N693+N694</f>
        <v>0</v>
      </c>
      <c r="O690" s="837">
        <f ca="1">IF(L690&gt;0,N690*100/L690,0)</f>
        <v>0</v>
      </c>
      <c r="P690" s="837">
        <f>IF(M690&gt;0,N690*100/M690,0)</f>
        <v>0</v>
      </c>
      <c r="Q690" s="1264"/>
      <c r="R690" s="1264"/>
      <c r="S690" s="1264"/>
      <c r="T690" s="1264"/>
      <c r="U690" s="1264"/>
      <c r="V690" s="1264"/>
      <c r="W690" s="1264"/>
      <c r="X690" s="1264"/>
      <c r="Y690" s="1264"/>
      <c r="Z690" s="1264"/>
    </row>
    <row r="691" spans="1:26" ht="18.75">
      <c r="A691" s="1241"/>
      <c r="B691" s="1242"/>
      <c r="C691" s="1243"/>
      <c r="D691" s="1243"/>
      <c r="E691" s="1243"/>
      <c r="F691" s="1243" t="s">
        <v>186</v>
      </c>
      <c r="G691" s="963"/>
      <c r="H691" s="778" t="s">
        <v>12</v>
      </c>
      <c r="I691" s="830"/>
      <c r="J691" s="830"/>
      <c r="K691" s="831"/>
      <c r="L691" s="831"/>
      <c r="M691" s="831"/>
      <c r="N691" s="1031">
        <v>0</v>
      </c>
      <c r="O691" s="831"/>
      <c r="P691" s="831"/>
      <c r="Q691" s="1244"/>
      <c r="R691" s="1244"/>
      <c r="S691" s="1244"/>
      <c r="T691" s="1244"/>
      <c r="U691" s="1244"/>
      <c r="V691" s="1244"/>
      <c r="W691" s="1244"/>
      <c r="X691" s="1244"/>
      <c r="Y691" s="1244"/>
      <c r="Z691" s="1244"/>
    </row>
    <row r="692" spans="1:26" ht="18.75">
      <c r="A692" s="1241"/>
      <c r="B692" s="1242"/>
      <c r="C692" s="1243"/>
      <c r="D692" s="1243"/>
      <c r="E692" s="1243"/>
      <c r="F692" s="1243" t="s">
        <v>187</v>
      </c>
      <c r="G692" s="963"/>
      <c r="H692" s="778" t="s">
        <v>12</v>
      </c>
      <c r="I692" s="830"/>
      <c r="J692" s="830"/>
      <c r="K692" s="831"/>
      <c r="L692" s="831"/>
      <c r="M692" s="831"/>
      <c r="N692" s="1031">
        <v>0</v>
      </c>
      <c r="O692" s="831"/>
      <c r="P692" s="831"/>
      <c r="Q692" s="1244"/>
      <c r="R692" s="1244"/>
      <c r="S692" s="1244"/>
      <c r="T692" s="1244"/>
      <c r="U692" s="1244"/>
      <c r="V692" s="1244"/>
      <c r="W692" s="1244"/>
      <c r="X692" s="1244"/>
      <c r="Y692" s="1244"/>
      <c r="Z692" s="1244"/>
    </row>
    <row r="693" spans="1:26" ht="18.75">
      <c r="A693" s="1241"/>
      <c r="B693" s="1242"/>
      <c r="C693" s="1243"/>
      <c r="D693" s="1243"/>
      <c r="E693" s="1243"/>
      <c r="F693" s="1243" t="s">
        <v>188</v>
      </c>
      <c r="G693" s="963"/>
      <c r="H693" s="778" t="s">
        <v>12</v>
      </c>
      <c r="I693" s="830"/>
      <c r="J693" s="830"/>
      <c r="K693" s="831"/>
      <c r="L693" s="831"/>
      <c r="M693" s="831"/>
      <c r="N693" s="1031">
        <v>0</v>
      </c>
      <c r="O693" s="831"/>
      <c r="P693" s="831"/>
      <c r="Q693" s="1244"/>
      <c r="R693" s="1244"/>
      <c r="S693" s="1244"/>
      <c r="T693" s="1244"/>
      <c r="U693" s="1244"/>
      <c r="V693" s="1244"/>
      <c r="W693" s="1244"/>
      <c r="X693" s="1244"/>
      <c r="Y693" s="1244"/>
      <c r="Z693" s="1244"/>
    </row>
    <row r="694" spans="1:26" ht="18.75">
      <c r="A694" s="1241"/>
      <c r="B694" s="1242"/>
      <c r="C694" s="1243"/>
      <c r="D694" s="1243"/>
      <c r="E694" s="1243"/>
      <c r="F694" s="1243" t="s">
        <v>189</v>
      </c>
      <c r="G694" s="963"/>
      <c r="H694" s="778" t="s">
        <v>12</v>
      </c>
      <c r="I694" s="830"/>
      <c r="J694" s="830"/>
      <c r="K694" s="831"/>
      <c r="L694" s="831"/>
      <c r="M694" s="831"/>
      <c r="N694" s="1031">
        <v>0</v>
      </c>
      <c r="O694" s="831"/>
      <c r="P694" s="831"/>
      <c r="Q694" s="1244"/>
      <c r="R694" s="1244"/>
      <c r="S694" s="1244"/>
      <c r="T694" s="1244"/>
      <c r="U694" s="1244"/>
      <c r="V694" s="1244"/>
      <c r="W694" s="1244"/>
      <c r="X694" s="1244"/>
      <c r="Y694" s="1244"/>
      <c r="Z694" s="1244"/>
    </row>
    <row r="695" spans="1:26" ht="18.75">
      <c r="A695" s="1259"/>
      <c r="B695" s="1242"/>
      <c r="C695" s="1243"/>
      <c r="D695" s="1266" t="s">
        <v>21</v>
      </c>
      <c r="E695" s="1243"/>
      <c r="F695" s="1243"/>
      <c r="G695" s="963"/>
      <c r="H695" s="168" t="s">
        <v>12</v>
      </c>
      <c r="I695" s="944"/>
      <c r="J695" s="944"/>
      <c r="K695" s="945"/>
      <c r="L695" s="831">
        <f t="shared" ref="L695:N695" si="287">L696+L697</f>
        <v>0</v>
      </c>
      <c r="M695" s="831">
        <f t="shared" si="287"/>
        <v>0</v>
      </c>
      <c r="N695" s="831">
        <f t="shared" si="287"/>
        <v>0</v>
      </c>
      <c r="O695" s="831">
        <f t="shared" ref="O695:O697" si="288">IF(L695&gt;0,N695*100/L695,0)</f>
        <v>0</v>
      </c>
      <c r="P695" s="831">
        <f t="shared" ref="P695:P697" si="289">IF(M695&gt;0,N695*100/M695,0)</f>
        <v>0</v>
      </c>
      <c r="Q695" s="1244"/>
      <c r="R695" s="1244"/>
      <c r="S695" s="1244"/>
      <c r="T695" s="1244"/>
      <c r="U695" s="1244"/>
      <c r="V695" s="1244"/>
      <c r="W695" s="1244"/>
      <c r="X695" s="1244"/>
      <c r="Y695" s="1244"/>
      <c r="Z695" s="1244"/>
    </row>
    <row r="696" spans="1:26" ht="18.75" hidden="1">
      <c r="A696" s="1260"/>
      <c r="B696" s="1265"/>
      <c r="C696" s="1261"/>
      <c r="D696" s="1261"/>
      <c r="E696" s="1261" t="s">
        <v>18</v>
      </c>
      <c r="F696" s="1261"/>
      <c r="G696" s="1263"/>
      <c r="H696" s="165" t="s">
        <v>12</v>
      </c>
      <c r="I696" s="947"/>
      <c r="J696" s="947"/>
      <c r="K696" s="948"/>
      <c r="L696" s="837">
        <v>0</v>
      </c>
      <c r="M696" s="837">
        <v>0</v>
      </c>
      <c r="N696" s="837">
        <v>0</v>
      </c>
      <c r="O696" s="837">
        <f t="shared" si="288"/>
        <v>0</v>
      </c>
      <c r="P696" s="837">
        <f t="shared" si="289"/>
        <v>0</v>
      </c>
      <c r="Q696" s="1264"/>
      <c r="R696" s="1264"/>
      <c r="S696" s="1264"/>
      <c r="T696" s="1264"/>
      <c r="U696" s="1264"/>
      <c r="V696" s="1264"/>
      <c r="W696" s="1264"/>
      <c r="X696" s="1264"/>
      <c r="Y696" s="1264"/>
      <c r="Z696" s="1264"/>
    </row>
    <row r="697" spans="1:26" ht="18.75" hidden="1">
      <c r="A697" s="1260"/>
      <c r="B697" s="1265"/>
      <c r="C697" s="1261"/>
      <c r="D697" s="1261"/>
      <c r="E697" s="1261" t="s">
        <v>19</v>
      </c>
      <c r="F697" s="1261"/>
      <c r="G697" s="1263"/>
      <c r="H697" s="169" t="s">
        <v>12</v>
      </c>
      <c r="I697" s="947"/>
      <c r="J697" s="947"/>
      <c r="K697" s="948"/>
      <c r="L697" s="837">
        <v>0</v>
      </c>
      <c r="M697" s="837">
        <v>0</v>
      </c>
      <c r="N697" s="837">
        <v>0</v>
      </c>
      <c r="O697" s="837">
        <f t="shared" si="288"/>
        <v>0</v>
      </c>
      <c r="P697" s="837">
        <f t="shared" si="289"/>
        <v>0</v>
      </c>
      <c r="Q697" s="1264"/>
      <c r="R697" s="1264"/>
      <c r="S697" s="1264"/>
      <c r="T697" s="1264"/>
      <c r="U697" s="1264"/>
      <c r="V697" s="1264"/>
      <c r="W697" s="1264"/>
      <c r="X697" s="1264"/>
      <c r="Y697" s="1264"/>
      <c r="Z697" s="1264"/>
    </row>
    <row r="698" spans="1:26" ht="19.5">
      <c r="A698" s="1267"/>
      <c r="B698" s="1268"/>
      <c r="C698" s="1243" t="s">
        <v>16</v>
      </c>
      <c r="D698" s="1378" t="s">
        <v>38</v>
      </c>
      <c r="E698" s="1271"/>
      <c r="F698" s="1271"/>
      <c r="G698" s="1272"/>
      <c r="H698" s="954"/>
      <c r="I698" s="944"/>
      <c r="J698" s="944"/>
      <c r="K698" s="945"/>
      <c r="L698" s="945"/>
      <c r="M698" s="945"/>
      <c r="N698" s="945"/>
      <c r="O698" s="945"/>
      <c r="P698" s="945"/>
      <c r="Q698" s="1244"/>
      <c r="R698" s="1244"/>
      <c r="S698" s="1244"/>
      <c r="T698" s="1244"/>
      <c r="U698" s="1244"/>
      <c r="V698" s="1244"/>
      <c r="W698" s="1244"/>
      <c r="X698" s="1244"/>
      <c r="Y698" s="1244"/>
      <c r="Z698" s="1244"/>
    </row>
    <row r="699" spans="1:26" ht="18.75">
      <c r="A699" s="1368"/>
      <c r="B699" s="1243"/>
      <c r="C699" s="1243"/>
      <c r="D699" s="1243" t="s">
        <v>294</v>
      </c>
      <c r="E699" s="1243"/>
      <c r="F699" s="1243"/>
      <c r="G699" s="963"/>
      <c r="H699" s="730" t="s">
        <v>46</v>
      </c>
      <c r="I699" s="1379">
        <f ca="1">IFERROR(__xludf.DUMMYFUNCTION("IMPORTRANGE(""https://docs.google.com/spreadsheets/d/1QqKyyYR6Q21VydFLVH3TRQUabQu_ym0Zz7PgGX0-kHA/edit?usp=sharing"",""แผน!IC21"")"),50)</f>
        <v>50</v>
      </c>
      <c r="J699" s="830">
        <f ca="1">IFERROR(__xludf.DUMMYFUNCTION("IMPORTRANGE(""https://docs.google.com/spreadsheets/d/1XWAQStnk-4SwqDmLtmXYiTMKHgktTP8We1SCoS47DrQ/edit?usp=sharing"",""จัดที่ดิน!BB21"")"),0)</f>
        <v>0</v>
      </c>
      <c r="K699" s="831">
        <f t="shared" ref="K699:K701" ca="1" si="290">IF(I699&gt;0,J699*100/I699,0)</f>
        <v>0</v>
      </c>
      <c r="L699" s="831"/>
      <c r="M699" s="963"/>
      <c r="N699" s="1380"/>
      <c r="O699" s="831"/>
      <c r="P699" s="831"/>
      <c r="Q699" s="1244"/>
      <c r="R699" s="1244"/>
      <c r="S699" s="1244"/>
      <c r="T699" s="1244"/>
      <c r="U699" s="1244"/>
      <c r="V699" s="1244"/>
      <c r="W699" s="1244"/>
      <c r="X699" s="1244"/>
      <c r="Y699" s="1244"/>
      <c r="Z699" s="1244"/>
    </row>
    <row r="700" spans="1:26" ht="18.75">
      <c r="A700" s="1368"/>
      <c r="B700" s="1243"/>
      <c r="C700" s="1243"/>
      <c r="D700" s="1243" t="s">
        <v>295</v>
      </c>
      <c r="E700" s="1243"/>
      <c r="F700" s="1243"/>
      <c r="G700" s="963"/>
      <c r="H700" s="730" t="s">
        <v>35</v>
      </c>
      <c r="I700" s="1379">
        <f ca="1">IFERROR(__xludf.DUMMYFUNCTION("IMPORTRANGE(""https://docs.google.com/spreadsheets/d/1QqKyyYR6Q21VydFLVH3TRQUabQu_ym0Zz7PgGX0-kHA/edit?usp=sharing"",""แผน!ID21"")"),0)</f>
        <v>0</v>
      </c>
      <c r="J700" s="830">
        <f ca="1">IFERROR(__xludf.DUMMYFUNCTION("IMPORTRANGE(""https://docs.google.com/spreadsheets/d/1XWAQStnk-4SwqDmLtmXYiTMKHgktTP8We1SCoS47DrQ/edit?usp=sharing"",""จัดที่ดิน!BD21"")"),0)</f>
        <v>0</v>
      </c>
      <c r="K700" s="831">
        <f t="shared" ca="1" si="290"/>
        <v>0</v>
      </c>
      <c r="L700" s="831"/>
      <c r="M700" s="963"/>
      <c r="N700" s="1380"/>
      <c r="O700" s="831"/>
      <c r="P700" s="831"/>
      <c r="Q700" s="1244"/>
      <c r="R700" s="1244"/>
      <c r="S700" s="1244"/>
      <c r="T700" s="1244"/>
      <c r="U700" s="1244"/>
      <c r="V700" s="1244"/>
      <c r="W700" s="1244"/>
      <c r="X700" s="1244"/>
      <c r="Y700" s="1244"/>
      <c r="Z700" s="1244"/>
    </row>
    <row r="701" spans="1:26" ht="19.5">
      <c r="A701" s="1368"/>
      <c r="B701" s="1243"/>
      <c r="C701" s="1243"/>
      <c r="D701" s="1243" t="s">
        <v>296</v>
      </c>
      <c r="E701" s="1243"/>
      <c r="F701" s="1243"/>
      <c r="G701" s="963"/>
      <c r="H701" s="733" t="s">
        <v>46</v>
      </c>
      <c r="I701" s="1381">
        <f ca="1">IFERROR(__xludf.DUMMYFUNCTION("IMPORTRANGE(""https://docs.google.com/spreadsheets/d/1QqKyyYR6Q21VydFLVH3TRQUabQu_ym0Zz7PgGX0-kHA/edit?usp=sharing"",""แผน!IE21"")"),120)</f>
        <v>120</v>
      </c>
      <c r="J701" s="966">
        <f>J704+J707</f>
        <v>15</v>
      </c>
      <c r="K701" s="967">
        <f t="shared" ca="1" si="290"/>
        <v>12.5</v>
      </c>
      <c r="L701" s="831"/>
      <c r="M701" s="963"/>
      <c r="N701" s="1380"/>
      <c r="O701" s="831"/>
      <c r="P701" s="831"/>
      <c r="Q701" s="1244"/>
      <c r="R701" s="1244"/>
      <c r="S701" s="1244"/>
      <c r="T701" s="1244"/>
      <c r="U701" s="1244"/>
      <c r="V701" s="1244"/>
      <c r="W701" s="1244"/>
      <c r="X701" s="1244"/>
      <c r="Y701" s="1244"/>
      <c r="Z701" s="1244"/>
    </row>
    <row r="702" spans="1:26" ht="18.75">
      <c r="A702" s="1368"/>
      <c r="B702" s="1243"/>
      <c r="C702" s="1243"/>
      <c r="D702" s="1243"/>
      <c r="E702" s="1243" t="s">
        <v>297</v>
      </c>
      <c r="F702" s="1243"/>
      <c r="G702" s="963"/>
      <c r="H702" s="730" t="s">
        <v>35</v>
      </c>
      <c r="I702" s="1379"/>
      <c r="J702" s="959">
        <v>0</v>
      </c>
      <c r="K702" s="831"/>
      <c r="L702" s="831"/>
      <c r="M702" s="963"/>
      <c r="N702" s="1380"/>
      <c r="O702" s="831"/>
      <c r="P702" s="831"/>
      <c r="Q702" s="1244"/>
      <c r="R702" s="1244"/>
      <c r="S702" s="1244"/>
      <c r="T702" s="1244"/>
      <c r="U702" s="1244"/>
      <c r="V702" s="1244"/>
      <c r="W702" s="1244"/>
      <c r="X702" s="1244"/>
      <c r="Y702" s="1244"/>
      <c r="Z702" s="1244"/>
    </row>
    <row r="703" spans="1:26" ht="18.75">
      <c r="A703" s="1368"/>
      <c r="B703" s="1243"/>
      <c r="C703" s="1243"/>
      <c r="D703" s="1243"/>
      <c r="E703" s="1243"/>
      <c r="F703" s="1243"/>
      <c r="G703" s="963"/>
      <c r="H703" s="730" t="s">
        <v>34</v>
      </c>
      <c r="I703" s="1379"/>
      <c r="J703" s="959">
        <v>0</v>
      </c>
      <c r="K703" s="831"/>
      <c r="L703" s="831"/>
      <c r="M703" s="963"/>
      <c r="N703" s="1380"/>
      <c r="O703" s="831"/>
      <c r="P703" s="831"/>
      <c r="Q703" s="1244"/>
      <c r="R703" s="1244"/>
      <c r="S703" s="1244"/>
      <c r="T703" s="1244"/>
      <c r="U703" s="1244"/>
      <c r="V703" s="1244"/>
      <c r="W703" s="1244"/>
      <c r="X703" s="1244"/>
      <c r="Y703" s="1244"/>
      <c r="Z703" s="1244"/>
    </row>
    <row r="704" spans="1:26" ht="18.75">
      <c r="A704" s="1368"/>
      <c r="B704" s="1243"/>
      <c r="C704" s="1243"/>
      <c r="D704" s="1243"/>
      <c r="E704" s="1243"/>
      <c r="F704" s="1243"/>
      <c r="G704" s="963"/>
      <c r="H704" s="730" t="s">
        <v>46</v>
      </c>
      <c r="I704" s="1379">
        <f ca="1">IFERROR(__xludf.DUMMYFUNCTION("IMPORTRANGE(""https://docs.google.com/spreadsheets/d/1QqKyyYR6Q21VydFLVH3TRQUabQu_ym0Zz7PgGX0-kHA/edit?usp=sharing"",""แผน!IF21"")"),60)</f>
        <v>60</v>
      </c>
      <c r="J704" s="959">
        <v>0</v>
      </c>
      <c r="K704" s="831"/>
      <c r="L704" s="831"/>
      <c r="M704" s="963"/>
      <c r="N704" s="1380"/>
      <c r="O704" s="831"/>
      <c r="P704" s="831"/>
      <c r="Q704" s="1244"/>
      <c r="R704" s="1244"/>
      <c r="S704" s="1244"/>
      <c r="T704" s="1244"/>
      <c r="U704" s="1244"/>
      <c r="V704" s="1244"/>
      <c r="W704" s="1244"/>
      <c r="X704" s="1244"/>
      <c r="Y704" s="1244"/>
      <c r="Z704" s="1244"/>
    </row>
    <row r="705" spans="1:26" ht="18.75">
      <c r="A705" s="1368"/>
      <c r="B705" s="1243"/>
      <c r="C705" s="1243"/>
      <c r="D705" s="1243"/>
      <c r="E705" s="1243" t="s">
        <v>298</v>
      </c>
      <c r="F705" s="1243"/>
      <c r="G705" s="963"/>
      <c r="H705" s="730" t="s">
        <v>35</v>
      </c>
      <c r="I705" s="1379"/>
      <c r="J705" s="959">
        <v>1</v>
      </c>
      <c r="K705" s="831"/>
      <c r="L705" s="831"/>
      <c r="M705" s="963"/>
      <c r="N705" s="1380"/>
      <c r="O705" s="831"/>
      <c r="P705" s="831"/>
      <c r="Q705" s="1244"/>
      <c r="R705" s="1244"/>
      <c r="S705" s="1244"/>
      <c r="T705" s="1244"/>
      <c r="U705" s="1244"/>
      <c r="V705" s="1244"/>
      <c r="W705" s="1244"/>
      <c r="X705" s="1244"/>
      <c r="Y705" s="1244"/>
      <c r="Z705" s="1244"/>
    </row>
    <row r="706" spans="1:26" ht="18.75">
      <c r="A706" s="1368"/>
      <c r="B706" s="1243"/>
      <c r="C706" s="1243"/>
      <c r="D706" s="1243"/>
      <c r="E706" s="1243"/>
      <c r="F706" s="1243"/>
      <c r="G706" s="963"/>
      <c r="H706" s="730" t="s">
        <v>34</v>
      </c>
      <c r="I706" s="1379"/>
      <c r="J706" s="959">
        <v>1</v>
      </c>
      <c r="K706" s="831"/>
      <c r="L706" s="831"/>
      <c r="M706" s="963"/>
      <c r="N706" s="1380"/>
      <c r="O706" s="831"/>
      <c r="P706" s="831"/>
      <c r="Q706" s="1244"/>
      <c r="R706" s="1244"/>
      <c r="S706" s="1244"/>
      <c r="T706" s="1244"/>
      <c r="U706" s="1244"/>
      <c r="V706" s="1244"/>
      <c r="W706" s="1244"/>
      <c r="X706" s="1244"/>
      <c r="Y706" s="1244"/>
      <c r="Z706" s="1244"/>
    </row>
    <row r="707" spans="1:26" ht="18.75">
      <c r="A707" s="1368"/>
      <c r="B707" s="1243"/>
      <c r="C707" s="1243"/>
      <c r="D707" s="1243"/>
      <c r="E707" s="1243"/>
      <c r="F707" s="1243"/>
      <c r="G707" s="963"/>
      <c r="H707" s="730" t="s">
        <v>46</v>
      </c>
      <c r="I707" s="1379">
        <f ca="1">IFERROR(__xludf.DUMMYFUNCTION("IMPORTRANGE(""https://docs.google.com/spreadsheets/d/1QqKyyYR6Q21VydFLVH3TRQUabQu_ym0Zz7PgGX0-kHA/edit?usp=sharing"",""แผน!IG21"")"),60)</f>
        <v>60</v>
      </c>
      <c r="J707" s="959">
        <v>15</v>
      </c>
      <c r="K707" s="831"/>
      <c r="L707" s="831"/>
      <c r="M707" s="963"/>
      <c r="N707" s="1380"/>
      <c r="O707" s="831"/>
      <c r="P707" s="831"/>
      <c r="Q707" s="1244"/>
      <c r="R707" s="1244"/>
      <c r="S707" s="1244"/>
      <c r="T707" s="1244"/>
      <c r="U707" s="1244"/>
      <c r="V707" s="1244"/>
      <c r="W707" s="1244"/>
      <c r="X707" s="1244"/>
      <c r="Y707" s="1244"/>
      <c r="Z707" s="1244"/>
    </row>
    <row r="708" spans="1:26" ht="19.5">
      <c r="A708" s="1368"/>
      <c r="B708" s="1243"/>
      <c r="C708" s="1243"/>
      <c r="D708" s="1322" t="s">
        <v>299</v>
      </c>
      <c r="E708" s="1243"/>
      <c r="F708" s="1243"/>
      <c r="G708" s="963"/>
      <c r="H708" s="733" t="s">
        <v>46</v>
      </c>
      <c r="I708" s="1381">
        <f ca="1">IFERROR(__xludf.DUMMYFUNCTION("IMPORTRANGE(""https://docs.google.com/spreadsheets/d/1QqKyyYR6Q21VydFLVH3TRQUabQu_ym0Zz7PgGX0-kHA/edit?usp=sharing"",""แผน!IH21"")"),0)</f>
        <v>0</v>
      </c>
      <c r="J708" s="966">
        <f>J714+J717</f>
        <v>0</v>
      </c>
      <c r="K708" s="967">
        <f ca="1">IF(I708&gt;0,J708*100/I708,0)</f>
        <v>0</v>
      </c>
      <c r="L708" s="831"/>
      <c r="M708" s="963"/>
      <c r="N708" s="1380"/>
      <c r="O708" s="831"/>
      <c r="P708" s="831"/>
      <c r="Q708" s="1244"/>
      <c r="R708" s="1244"/>
      <c r="S708" s="1244"/>
      <c r="T708" s="1244"/>
      <c r="U708" s="1244"/>
      <c r="V708" s="1244"/>
      <c r="W708" s="1244"/>
      <c r="X708" s="1244"/>
      <c r="Y708" s="1244"/>
      <c r="Z708" s="1244"/>
    </row>
    <row r="709" spans="1:26" ht="18.75">
      <c r="A709" s="1368"/>
      <c r="B709" s="1243"/>
      <c r="C709" s="1243"/>
      <c r="D709" s="1243"/>
      <c r="E709" s="1243" t="s">
        <v>300</v>
      </c>
      <c r="F709" s="1243"/>
      <c r="G709" s="963"/>
      <c r="H709" s="730" t="s">
        <v>34</v>
      </c>
      <c r="I709" s="1379"/>
      <c r="J709" s="959">
        <v>0</v>
      </c>
      <c r="K709" s="831"/>
      <c r="L709" s="1380"/>
      <c r="M709" s="963"/>
      <c r="N709" s="1380"/>
      <c r="O709" s="831"/>
      <c r="P709" s="831"/>
      <c r="Q709" s="1244"/>
      <c r="R709" s="1244"/>
      <c r="S709" s="1244"/>
      <c r="T709" s="1244"/>
      <c r="U709" s="1244"/>
      <c r="V709" s="1244"/>
      <c r="W709" s="1244"/>
      <c r="X709" s="1244"/>
      <c r="Y709" s="1244"/>
      <c r="Z709" s="1244"/>
    </row>
    <row r="710" spans="1:26" ht="18.75">
      <c r="A710" s="1368"/>
      <c r="B710" s="1243"/>
      <c r="C710" s="1243"/>
      <c r="D710" s="1243"/>
      <c r="E710" s="1243"/>
      <c r="F710" s="1243"/>
      <c r="G710" s="963"/>
      <c r="H710" s="730" t="s">
        <v>46</v>
      </c>
      <c r="I710" s="1379"/>
      <c r="J710" s="959">
        <v>0</v>
      </c>
      <c r="K710" s="831"/>
      <c r="L710" s="1380"/>
      <c r="M710" s="963"/>
      <c r="N710" s="1380"/>
      <c r="O710" s="831"/>
      <c r="P710" s="831"/>
      <c r="Q710" s="1244"/>
      <c r="R710" s="1244"/>
      <c r="S710" s="1244"/>
      <c r="T710" s="1244"/>
      <c r="U710" s="1244"/>
      <c r="V710" s="1244"/>
      <c r="W710" s="1244"/>
      <c r="X710" s="1244"/>
      <c r="Y710" s="1244"/>
      <c r="Z710" s="1244"/>
    </row>
    <row r="711" spans="1:26" ht="18.75">
      <c r="A711" s="1368"/>
      <c r="B711" s="1243"/>
      <c r="C711" s="1243"/>
      <c r="D711" s="1243"/>
      <c r="E711" s="1243" t="s">
        <v>301</v>
      </c>
      <c r="F711" s="1243"/>
      <c r="G711" s="963"/>
      <c r="H711" s="954"/>
      <c r="I711" s="1379"/>
      <c r="J711" s="830"/>
      <c r="K711" s="831"/>
      <c r="L711" s="1380"/>
      <c r="M711" s="963"/>
      <c r="N711" s="1380"/>
      <c r="O711" s="831"/>
      <c r="P711" s="831"/>
      <c r="Q711" s="1244"/>
      <c r="R711" s="1244"/>
      <c r="S711" s="1244"/>
      <c r="T711" s="1244"/>
      <c r="U711" s="1244"/>
      <c r="V711" s="1244"/>
      <c r="W711" s="1244"/>
      <c r="X711" s="1244"/>
      <c r="Y711" s="1244"/>
      <c r="Z711" s="1244"/>
    </row>
    <row r="712" spans="1:26" ht="18.75">
      <c r="A712" s="1368"/>
      <c r="B712" s="1243"/>
      <c r="C712" s="1243"/>
      <c r="D712" s="1243"/>
      <c r="E712" s="1243"/>
      <c r="F712" s="1243" t="s">
        <v>302</v>
      </c>
      <c r="G712" s="963"/>
      <c r="H712" s="730" t="s">
        <v>35</v>
      </c>
      <c r="I712" s="1379"/>
      <c r="J712" s="959">
        <v>0</v>
      </c>
      <c r="K712" s="831"/>
      <c r="L712" s="1380"/>
      <c r="M712" s="963"/>
      <c r="N712" s="1380"/>
      <c r="O712" s="831"/>
      <c r="P712" s="831"/>
      <c r="Q712" s="1244"/>
      <c r="R712" s="1244"/>
      <c r="S712" s="1244"/>
      <c r="T712" s="1244"/>
      <c r="U712" s="1244"/>
      <c r="V712" s="1244"/>
      <c r="W712" s="1244"/>
      <c r="X712" s="1244"/>
      <c r="Y712" s="1244"/>
      <c r="Z712" s="1244"/>
    </row>
    <row r="713" spans="1:26" ht="18.75">
      <c r="A713" s="1368"/>
      <c r="B713" s="1243"/>
      <c r="C713" s="1243"/>
      <c r="D713" s="1243"/>
      <c r="E713" s="1243"/>
      <c r="F713" s="1243"/>
      <c r="G713" s="963"/>
      <c r="H713" s="730" t="s">
        <v>34</v>
      </c>
      <c r="I713" s="1379"/>
      <c r="J713" s="959">
        <v>0</v>
      </c>
      <c r="K713" s="831"/>
      <c r="L713" s="1380"/>
      <c r="M713" s="963"/>
      <c r="N713" s="1380"/>
      <c r="O713" s="831"/>
      <c r="P713" s="831"/>
      <c r="Q713" s="1244"/>
      <c r="R713" s="1244"/>
      <c r="S713" s="1244"/>
      <c r="T713" s="1244"/>
      <c r="U713" s="1244"/>
      <c r="V713" s="1244"/>
      <c r="W713" s="1244"/>
      <c r="X713" s="1244"/>
      <c r="Y713" s="1244"/>
      <c r="Z713" s="1244"/>
    </row>
    <row r="714" spans="1:26" ht="18.75">
      <c r="A714" s="1368"/>
      <c r="B714" s="1243"/>
      <c r="C714" s="1243"/>
      <c r="D714" s="1243"/>
      <c r="E714" s="1243"/>
      <c r="F714" s="1243"/>
      <c r="G714" s="963"/>
      <c r="H714" s="730" t="s">
        <v>46</v>
      </c>
      <c r="I714" s="1379"/>
      <c r="J714" s="959">
        <v>0</v>
      </c>
      <c r="K714" s="831"/>
      <c r="L714" s="1380"/>
      <c r="M714" s="963"/>
      <c r="N714" s="1380"/>
      <c r="O714" s="831"/>
      <c r="P714" s="831"/>
      <c r="Q714" s="1244"/>
      <c r="R714" s="1244"/>
      <c r="S714" s="1244"/>
      <c r="T714" s="1244"/>
      <c r="U714" s="1244"/>
      <c r="V714" s="1244"/>
      <c r="W714" s="1244"/>
      <c r="X714" s="1244"/>
      <c r="Y714" s="1244"/>
      <c r="Z714" s="1244"/>
    </row>
    <row r="715" spans="1:26" ht="18.75">
      <c r="A715" s="1368"/>
      <c r="B715" s="1243"/>
      <c r="C715" s="1243"/>
      <c r="D715" s="1243"/>
      <c r="E715" s="1243"/>
      <c r="F715" s="1243" t="s">
        <v>303</v>
      </c>
      <c r="G715" s="963"/>
      <c r="H715" s="730" t="s">
        <v>35</v>
      </c>
      <c r="I715" s="1379"/>
      <c r="J715" s="959">
        <v>0</v>
      </c>
      <c r="K715" s="831"/>
      <c r="L715" s="1380"/>
      <c r="M715" s="963"/>
      <c r="N715" s="1380"/>
      <c r="O715" s="831"/>
      <c r="P715" s="831"/>
      <c r="Q715" s="1244"/>
      <c r="R715" s="1244"/>
      <c r="S715" s="1244"/>
      <c r="T715" s="1244"/>
      <c r="U715" s="1244"/>
      <c r="V715" s="1244"/>
      <c r="W715" s="1244"/>
      <c r="X715" s="1244"/>
      <c r="Y715" s="1244"/>
      <c r="Z715" s="1244"/>
    </row>
    <row r="716" spans="1:26" ht="18.75">
      <c r="A716" s="1368"/>
      <c r="B716" s="1243"/>
      <c r="C716" s="1243"/>
      <c r="D716" s="1243"/>
      <c r="E716" s="1243"/>
      <c r="F716" s="1243"/>
      <c r="G716" s="963"/>
      <c r="H716" s="730" t="s">
        <v>34</v>
      </c>
      <c r="I716" s="1379"/>
      <c r="J716" s="959">
        <v>0</v>
      </c>
      <c r="K716" s="831"/>
      <c r="L716" s="1380"/>
      <c r="M716" s="963"/>
      <c r="N716" s="1380"/>
      <c r="O716" s="831"/>
      <c r="P716" s="831"/>
      <c r="Q716" s="1244"/>
      <c r="R716" s="1244"/>
      <c r="S716" s="1244"/>
      <c r="T716" s="1244"/>
      <c r="U716" s="1244"/>
      <c r="V716" s="1244"/>
      <c r="W716" s="1244"/>
      <c r="X716" s="1244"/>
      <c r="Y716" s="1244"/>
      <c r="Z716" s="1244"/>
    </row>
    <row r="717" spans="1:26" ht="18.75">
      <c r="A717" s="1368"/>
      <c r="B717" s="1243"/>
      <c r="C717" s="1243"/>
      <c r="D717" s="1243"/>
      <c r="E717" s="1243"/>
      <c r="F717" s="1243"/>
      <c r="G717" s="963"/>
      <c r="H717" s="730" t="s">
        <v>46</v>
      </c>
      <c r="I717" s="1379"/>
      <c r="J717" s="959">
        <v>0</v>
      </c>
      <c r="K717" s="831"/>
      <c r="L717" s="1380"/>
      <c r="M717" s="963"/>
      <c r="N717" s="1380"/>
      <c r="O717" s="831"/>
      <c r="P717" s="831"/>
      <c r="Q717" s="1244"/>
      <c r="R717" s="1244"/>
      <c r="S717" s="1244"/>
      <c r="T717" s="1244"/>
      <c r="U717" s="1244"/>
      <c r="V717" s="1244"/>
      <c r="W717" s="1244"/>
      <c r="X717" s="1244"/>
      <c r="Y717" s="1244"/>
      <c r="Z717" s="1244"/>
    </row>
    <row r="718" spans="1:26" ht="18.75">
      <c r="A718" s="1368"/>
      <c r="B718" s="1243"/>
      <c r="C718" s="1243"/>
      <c r="D718" s="1243" t="s">
        <v>304</v>
      </c>
      <c r="E718" s="1243"/>
      <c r="F718" s="1243"/>
      <c r="G718" s="963"/>
      <c r="H718" s="730" t="s">
        <v>35</v>
      </c>
      <c r="I718" s="1379"/>
      <c r="J718" s="830">
        <f ca="1">IFERROR(__xludf.DUMMYFUNCTION("IMPORTRANGE(""https://docs.google.com/spreadsheets/d/1XWAQStnk-4SwqDmLtmXYiTMKHgktTP8We1SCoS47DrQ/edit?usp=sharing"",""จัดที่ดิน!BF21"")"),0)</f>
        <v>0</v>
      </c>
      <c r="K718" s="831"/>
      <c r="L718" s="831"/>
      <c r="M718" s="963"/>
      <c r="N718" s="1380"/>
      <c r="O718" s="831"/>
      <c r="P718" s="831"/>
      <c r="Q718" s="1244"/>
      <c r="R718" s="1244"/>
      <c r="S718" s="1244"/>
      <c r="T718" s="1244"/>
      <c r="U718" s="1244"/>
      <c r="V718" s="1244"/>
      <c r="W718" s="1244"/>
      <c r="X718" s="1244"/>
      <c r="Y718" s="1244"/>
      <c r="Z718" s="1244"/>
    </row>
    <row r="719" spans="1:26" ht="18.75">
      <c r="A719" s="1368"/>
      <c r="B719" s="1243"/>
      <c r="C719" s="1243"/>
      <c r="D719" s="1243"/>
      <c r="E719" s="1243"/>
      <c r="F719" s="1243"/>
      <c r="G719" s="963"/>
      <c r="H719" s="730" t="s">
        <v>34</v>
      </c>
      <c r="I719" s="1379"/>
      <c r="J719" s="830">
        <f ca="1">IFERROR(__xludf.DUMMYFUNCTION("IMPORTRANGE(""https://docs.google.com/spreadsheets/d/1XWAQStnk-4SwqDmLtmXYiTMKHgktTP8We1SCoS47DrQ/edit?usp=sharing"",""จัดที่ดิน!BG21"")"),0)</f>
        <v>0</v>
      </c>
      <c r="K719" s="831"/>
      <c r="L719" s="1380"/>
      <c r="M719" s="963"/>
      <c r="N719" s="1380"/>
      <c r="O719" s="831"/>
      <c r="P719" s="831"/>
      <c r="Q719" s="1244"/>
      <c r="R719" s="1244"/>
      <c r="S719" s="1244"/>
      <c r="T719" s="1244"/>
      <c r="U719" s="1244"/>
      <c r="V719" s="1244"/>
      <c r="W719" s="1244"/>
      <c r="X719" s="1244"/>
      <c r="Y719" s="1244"/>
      <c r="Z719" s="1244"/>
    </row>
    <row r="720" spans="1:26" ht="18.75">
      <c r="A720" s="1368"/>
      <c r="B720" s="1243"/>
      <c r="C720" s="1243"/>
      <c r="D720" s="1243"/>
      <c r="E720" s="1243"/>
      <c r="F720" s="1243"/>
      <c r="G720" s="963"/>
      <c r="H720" s="730" t="s">
        <v>46</v>
      </c>
      <c r="I720" s="1379">
        <f ca="1">IFERROR(__xludf.DUMMYFUNCTION("IMPORTRANGE(""https://docs.google.com/spreadsheets/d/1QqKyyYR6Q21VydFLVH3TRQUabQu_ym0Zz7PgGX0-kHA/edit?usp=sharing"",""แผน!II21"")"),80)</f>
        <v>80</v>
      </c>
      <c r="J720" s="830">
        <f ca="1">IFERROR(__xludf.DUMMYFUNCTION("IMPORTRANGE(""https://docs.google.com/spreadsheets/d/1XWAQStnk-4SwqDmLtmXYiTMKHgktTP8We1SCoS47DrQ/edit?usp=sharing"",""จัดที่ดิน!BH21"")"),0)</f>
        <v>0</v>
      </c>
      <c r="K720" s="831">
        <f t="shared" ref="K720:K723" ca="1" si="291">IF(I720&gt;0,J720*100/I720,0)</f>
        <v>0</v>
      </c>
      <c r="L720" s="1380"/>
      <c r="M720" s="963"/>
      <c r="N720" s="1380"/>
      <c r="O720" s="831"/>
      <c r="P720" s="831"/>
      <c r="Q720" s="1244"/>
      <c r="R720" s="1244"/>
      <c r="S720" s="1244"/>
      <c r="T720" s="1244"/>
      <c r="U720" s="1244"/>
      <c r="V720" s="1244"/>
      <c r="W720" s="1244"/>
      <c r="X720" s="1244"/>
      <c r="Y720" s="1244"/>
      <c r="Z720" s="1244"/>
    </row>
    <row r="721" spans="1:26" ht="19.5">
      <c r="A721" s="1368"/>
      <c r="B721" s="1243"/>
      <c r="C721" s="1243"/>
      <c r="D721" s="1243" t="s">
        <v>305</v>
      </c>
      <c r="E721" s="1243"/>
      <c r="F721" s="1243"/>
      <c r="G721" s="963"/>
      <c r="H721" s="733" t="s">
        <v>35</v>
      </c>
      <c r="I721" s="1381">
        <f ca="1">IFERROR(__xludf.DUMMYFUNCTION("IMPORTRANGE(""https://docs.google.com/spreadsheets/d/1QqKyyYR6Q21VydFLVH3TRQUabQu_ym0Zz7PgGX0-kHA/edit?usp=sharing"",""แผน!IJ21"")"),8)</f>
        <v>8</v>
      </c>
      <c r="J721" s="966">
        <f ca="1">J723+J726</f>
        <v>0</v>
      </c>
      <c r="K721" s="967">
        <f t="shared" ca="1" si="291"/>
        <v>0</v>
      </c>
      <c r="L721" s="1380"/>
      <c r="M721" s="963"/>
      <c r="N721" s="1380"/>
      <c r="O721" s="831"/>
      <c r="P721" s="831"/>
      <c r="Q721" s="1244"/>
      <c r="R721" s="1244"/>
      <c r="S721" s="1244"/>
      <c r="T721" s="1244"/>
      <c r="U721" s="1244"/>
      <c r="V721" s="1244"/>
      <c r="W721" s="1244"/>
      <c r="X721" s="1244"/>
      <c r="Y721" s="1244"/>
      <c r="Z721" s="1244"/>
    </row>
    <row r="722" spans="1:26" ht="19.5">
      <c r="A722" s="1368"/>
      <c r="B722" s="1243"/>
      <c r="C722" s="1243"/>
      <c r="D722" s="1243"/>
      <c r="E722" s="1243"/>
      <c r="F722" s="1243"/>
      <c r="G722" s="963"/>
      <c r="H722" s="733" t="s">
        <v>46</v>
      </c>
      <c r="I722" s="1381">
        <f ca="1">IFERROR(__xludf.DUMMYFUNCTION("IMPORTRANGE(""https://docs.google.com/spreadsheets/d/1QqKyyYR6Q21VydFLVH3TRQUabQu_ym0Zz7PgGX0-kHA/edit?usp=sharing"",""แผน!IK21"")"),80)</f>
        <v>80</v>
      </c>
      <c r="J722" s="966">
        <f ca="1">J725+J728</f>
        <v>0</v>
      </c>
      <c r="K722" s="967">
        <f t="shared" ca="1" si="291"/>
        <v>0</v>
      </c>
      <c r="L722" s="831"/>
      <c r="M722" s="963"/>
      <c r="N722" s="1380"/>
      <c r="O722" s="831"/>
      <c r="P722" s="831"/>
      <c r="Q722" s="1244"/>
      <c r="R722" s="1244"/>
      <c r="S722" s="1244"/>
      <c r="T722" s="1244"/>
      <c r="U722" s="1244"/>
      <c r="V722" s="1244"/>
      <c r="W722" s="1244"/>
      <c r="X722" s="1244"/>
      <c r="Y722" s="1244"/>
      <c r="Z722" s="1244"/>
    </row>
    <row r="723" spans="1:26" ht="18.75">
      <c r="A723" s="1368"/>
      <c r="B723" s="1243"/>
      <c r="C723" s="1243"/>
      <c r="D723" s="1243"/>
      <c r="E723" s="1243" t="s">
        <v>306</v>
      </c>
      <c r="F723" s="1243"/>
      <c r="G723" s="963"/>
      <c r="H723" s="730" t="s">
        <v>35</v>
      </c>
      <c r="I723" s="1379">
        <f ca="1">IFERROR(__xludf.DUMMYFUNCTION("IMPORTRANGE(""https://docs.google.com/spreadsheets/d/1QqKyyYR6Q21VydFLVH3TRQUabQu_ym0Zz7PgGX0-kHA/edit?usp=sharing"",""แผน!IL21"")"),4)</f>
        <v>4</v>
      </c>
      <c r="J723" s="830">
        <f ca="1">IFERROR(__xludf.DUMMYFUNCTION("IMPORTRANGE(""https://docs.google.com/spreadsheets/d/1XWAQStnk-4SwqDmLtmXYiTMKHgktTP8We1SCoS47DrQ/edit?usp=sharing"",""จัดที่ดิน!BM21"")"),0)</f>
        <v>0</v>
      </c>
      <c r="K723" s="831">
        <f t="shared" ca="1" si="291"/>
        <v>0</v>
      </c>
      <c r="L723" s="831"/>
      <c r="M723" s="963"/>
      <c r="N723" s="1380"/>
      <c r="O723" s="831"/>
      <c r="P723" s="831"/>
      <c r="Q723" s="1244"/>
      <c r="R723" s="1244"/>
      <c r="S723" s="1244"/>
      <c r="T723" s="1244"/>
      <c r="U723" s="1244"/>
      <c r="V723" s="1244"/>
      <c r="W723" s="1244"/>
      <c r="X723" s="1244"/>
      <c r="Y723" s="1244"/>
      <c r="Z723" s="1244"/>
    </row>
    <row r="724" spans="1:26" ht="18.75">
      <c r="A724" s="1368"/>
      <c r="B724" s="1243"/>
      <c r="C724" s="1243"/>
      <c r="D724" s="1243"/>
      <c r="E724" s="1243"/>
      <c r="F724" s="1243"/>
      <c r="G724" s="963"/>
      <c r="H724" s="730" t="s">
        <v>34</v>
      </c>
      <c r="I724" s="1379"/>
      <c r="J724" s="830">
        <f ca="1">IFERROR(__xludf.DUMMYFUNCTION("IMPORTRANGE(""https://docs.google.com/spreadsheets/d/1XWAQStnk-4SwqDmLtmXYiTMKHgktTP8We1SCoS47DrQ/edit?usp=sharing"",""จัดที่ดิน!BN21"")"),0)</f>
        <v>0</v>
      </c>
      <c r="K724" s="831"/>
      <c r="L724" s="1380"/>
      <c r="M724" s="963"/>
      <c r="N724" s="1380"/>
      <c r="O724" s="831"/>
      <c r="P724" s="831"/>
      <c r="Q724" s="1244"/>
      <c r="R724" s="1244"/>
      <c r="S724" s="1244"/>
      <c r="T724" s="1244"/>
      <c r="U724" s="1244"/>
      <c r="V724" s="1244"/>
      <c r="W724" s="1244"/>
      <c r="X724" s="1244"/>
      <c r="Y724" s="1244"/>
      <c r="Z724" s="1244"/>
    </row>
    <row r="725" spans="1:26" ht="18.75">
      <c r="A725" s="1368"/>
      <c r="B725" s="1243"/>
      <c r="C725" s="1243"/>
      <c r="D725" s="1243"/>
      <c r="E725" s="1243"/>
      <c r="F725" s="1243"/>
      <c r="G725" s="963"/>
      <c r="H725" s="730" t="s">
        <v>46</v>
      </c>
      <c r="I725" s="1379">
        <f ca="1">IFERROR(__xludf.DUMMYFUNCTION("IMPORTRANGE(""https://docs.google.com/spreadsheets/d/1QqKyyYR6Q21VydFLVH3TRQUabQu_ym0Zz7PgGX0-kHA/edit?usp=sharing"",""แผน!IM21"")"),40)</f>
        <v>40</v>
      </c>
      <c r="J725" s="830">
        <f ca="1">IFERROR(__xludf.DUMMYFUNCTION("IMPORTRANGE(""https://docs.google.com/spreadsheets/d/1XWAQStnk-4SwqDmLtmXYiTMKHgktTP8We1SCoS47DrQ/edit?usp=sharing"",""จัดที่ดิน!BO21"")"),0)</f>
        <v>0</v>
      </c>
      <c r="K725" s="831">
        <f t="shared" ref="K725:K726" ca="1" si="292">IF(I725&gt;0,J725*100/I725,0)</f>
        <v>0</v>
      </c>
      <c r="L725" s="1380"/>
      <c r="M725" s="963"/>
      <c r="N725" s="1380"/>
      <c r="O725" s="831"/>
      <c r="P725" s="831"/>
      <c r="Q725" s="1244"/>
      <c r="R725" s="1244"/>
      <c r="S725" s="1244"/>
      <c r="T725" s="1244"/>
      <c r="U725" s="1244"/>
      <c r="V725" s="1244"/>
      <c r="W725" s="1244"/>
      <c r="X725" s="1244"/>
      <c r="Y725" s="1244"/>
      <c r="Z725" s="1244"/>
    </row>
    <row r="726" spans="1:26" ht="18.75">
      <c r="A726" s="1368"/>
      <c r="B726" s="1243"/>
      <c r="C726" s="1243"/>
      <c r="D726" s="1243"/>
      <c r="E726" s="1243" t="s">
        <v>307</v>
      </c>
      <c r="F726" s="1243"/>
      <c r="G726" s="963"/>
      <c r="H726" s="730" t="s">
        <v>35</v>
      </c>
      <c r="I726" s="1379">
        <f ca="1">IFERROR(__xludf.DUMMYFUNCTION("IMPORTRANGE(""https://docs.google.com/spreadsheets/d/1QqKyyYR6Q21VydFLVH3TRQUabQu_ym0Zz7PgGX0-kHA/edit?usp=sharing"",""แผน!IN21"")"),4)</f>
        <v>4</v>
      </c>
      <c r="J726" s="830">
        <f ca="1">IFERROR(__xludf.DUMMYFUNCTION("IMPORTRANGE(""https://docs.google.com/spreadsheets/d/1XWAQStnk-4SwqDmLtmXYiTMKHgktTP8We1SCoS47DrQ/edit?usp=sharing"",""จัดที่ดิน!BR21"")"),0)</f>
        <v>0</v>
      </c>
      <c r="K726" s="831">
        <f t="shared" ca="1" si="292"/>
        <v>0</v>
      </c>
      <c r="L726" s="831"/>
      <c r="M726" s="963"/>
      <c r="N726" s="1380"/>
      <c r="O726" s="831"/>
      <c r="P726" s="831"/>
      <c r="Q726" s="1244"/>
      <c r="R726" s="1244"/>
      <c r="S726" s="1244"/>
      <c r="T726" s="1244"/>
      <c r="U726" s="1244"/>
      <c r="V726" s="1244"/>
      <c r="W726" s="1244"/>
      <c r="X726" s="1244"/>
      <c r="Y726" s="1244"/>
      <c r="Z726" s="1244"/>
    </row>
    <row r="727" spans="1:26" ht="18.75">
      <c r="A727" s="1368"/>
      <c r="B727" s="1243"/>
      <c r="C727" s="1243"/>
      <c r="D727" s="1243"/>
      <c r="E727" s="1243"/>
      <c r="F727" s="1243"/>
      <c r="G727" s="963"/>
      <c r="H727" s="730" t="s">
        <v>34</v>
      </c>
      <c r="I727" s="1379"/>
      <c r="J727" s="830">
        <f ca="1">IFERROR(__xludf.DUMMYFUNCTION("IMPORTRANGE(""https://docs.google.com/spreadsheets/d/1XWAQStnk-4SwqDmLtmXYiTMKHgktTP8We1SCoS47DrQ/edit?usp=sharing"",""จัดที่ดิน!BS21"")"),0)</f>
        <v>0</v>
      </c>
      <c r="K727" s="831"/>
      <c r="L727" s="1380"/>
      <c r="M727" s="963"/>
      <c r="N727" s="1380"/>
      <c r="O727" s="831"/>
      <c r="P727" s="831"/>
      <c r="Q727" s="1244"/>
      <c r="R727" s="1244"/>
      <c r="S727" s="1244"/>
      <c r="T727" s="1244"/>
      <c r="U727" s="1244"/>
      <c r="V727" s="1244"/>
      <c r="W727" s="1244"/>
      <c r="X727" s="1244"/>
      <c r="Y727" s="1244"/>
      <c r="Z727" s="1244"/>
    </row>
    <row r="728" spans="1:26" ht="18.75">
      <c r="A728" s="1368"/>
      <c r="B728" s="1243"/>
      <c r="C728" s="1243"/>
      <c r="D728" s="1243"/>
      <c r="E728" s="1243"/>
      <c r="F728" s="1243"/>
      <c r="G728" s="963"/>
      <c r="H728" s="730" t="s">
        <v>46</v>
      </c>
      <c r="I728" s="1379">
        <f ca="1">IFERROR(__xludf.DUMMYFUNCTION("IMPORTRANGE(""https://docs.google.com/spreadsheets/d/1QqKyyYR6Q21VydFLVH3TRQUabQu_ym0Zz7PgGX0-kHA/edit?usp=sharing"",""แผน!IO21"")"),40)</f>
        <v>40</v>
      </c>
      <c r="J728" s="830">
        <f ca="1">IFERROR(__xludf.DUMMYFUNCTION("IMPORTRANGE(""https://docs.google.com/spreadsheets/d/1XWAQStnk-4SwqDmLtmXYiTMKHgktTP8We1SCoS47DrQ/edit?usp=sharing"",""จัดที่ดิน!BT21"")"),0)</f>
        <v>0</v>
      </c>
      <c r="K728" s="831">
        <f t="shared" ref="K728:K729" ca="1" si="293">IF(I728&gt;0,J728*100/I728,0)</f>
        <v>0</v>
      </c>
      <c r="L728" s="1380"/>
      <c r="M728" s="963"/>
      <c r="N728" s="1380"/>
      <c r="O728" s="831"/>
      <c r="P728" s="831"/>
      <c r="Q728" s="1244"/>
      <c r="R728" s="1244"/>
      <c r="S728" s="1244"/>
      <c r="T728" s="1244"/>
      <c r="U728" s="1244"/>
      <c r="V728" s="1244"/>
      <c r="W728" s="1244"/>
      <c r="X728" s="1244"/>
      <c r="Y728" s="1244"/>
      <c r="Z728" s="1244"/>
    </row>
    <row r="729" spans="1:26" ht="19.5">
      <c r="A729" s="1368"/>
      <c r="B729" s="1243"/>
      <c r="C729" s="1243"/>
      <c r="D729" s="1243" t="s">
        <v>308</v>
      </c>
      <c r="E729" s="1243"/>
      <c r="F729" s="1243"/>
      <c r="G729" s="963"/>
      <c r="H729" s="733" t="s">
        <v>46</v>
      </c>
      <c r="I729" s="1381">
        <f ca="1">IFERROR(__xludf.DUMMYFUNCTION("IMPORTRANGE(""https://docs.google.com/spreadsheets/d/1QqKyyYR6Q21VydFLVH3TRQUabQu_ym0Zz7PgGX0-kHA/edit?usp=sharing"",""แผน!IP21"")"),0)</f>
        <v>0</v>
      </c>
      <c r="J729" s="966">
        <f>J732+J735</f>
        <v>0</v>
      </c>
      <c r="K729" s="967">
        <f t="shared" ca="1" si="293"/>
        <v>0</v>
      </c>
      <c r="L729" s="831"/>
      <c r="M729" s="963"/>
      <c r="N729" s="1380"/>
      <c r="O729" s="831"/>
      <c r="P729" s="831"/>
      <c r="Q729" s="1244"/>
      <c r="R729" s="1244"/>
      <c r="S729" s="1244"/>
      <c r="T729" s="1244"/>
      <c r="U729" s="1244"/>
      <c r="V729" s="1244"/>
      <c r="W729" s="1244"/>
      <c r="X729" s="1244"/>
      <c r="Y729" s="1244"/>
      <c r="Z729" s="1244"/>
    </row>
    <row r="730" spans="1:26" ht="18.75">
      <c r="A730" s="1368"/>
      <c r="B730" s="1243"/>
      <c r="C730" s="1243"/>
      <c r="D730" s="1243"/>
      <c r="E730" s="1243" t="s">
        <v>309</v>
      </c>
      <c r="F730" s="1243"/>
      <c r="G730" s="963"/>
      <c r="H730" s="730" t="s">
        <v>35</v>
      </c>
      <c r="I730" s="1379"/>
      <c r="J730" s="959">
        <v>0</v>
      </c>
      <c r="K730" s="831"/>
      <c r="L730" s="1380"/>
      <c r="M730" s="831"/>
      <c r="N730" s="1380"/>
      <c r="O730" s="831"/>
      <c r="P730" s="831"/>
      <c r="Q730" s="1244"/>
      <c r="R730" s="1244"/>
      <c r="S730" s="1244"/>
      <c r="T730" s="1244"/>
      <c r="U730" s="1244"/>
      <c r="V730" s="1244"/>
      <c r="W730" s="1244"/>
      <c r="X730" s="1244"/>
      <c r="Y730" s="1244"/>
      <c r="Z730" s="1244"/>
    </row>
    <row r="731" spans="1:26" ht="18.75">
      <c r="A731" s="1368"/>
      <c r="B731" s="1243"/>
      <c r="C731" s="1243"/>
      <c r="D731" s="1243"/>
      <c r="E731" s="1243"/>
      <c r="F731" s="1243"/>
      <c r="G731" s="963"/>
      <c r="H731" s="730" t="s">
        <v>34</v>
      </c>
      <c r="I731" s="1379"/>
      <c r="J731" s="959">
        <v>0</v>
      </c>
      <c r="K731" s="831"/>
      <c r="L731" s="1380"/>
      <c r="M731" s="831"/>
      <c r="N731" s="1380"/>
      <c r="O731" s="831"/>
      <c r="P731" s="831"/>
      <c r="Q731" s="1244"/>
      <c r="R731" s="1244"/>
      <c r="S731" s="1244"/>
      <c r="T731" s="1244"/>
      <c r="U731" s="1244"/>
      <c r="V731" s="1244"/>
      <c r="W731" s="1244"/>
      <c r="X731" s="1244"/>
      <c r="Y731" s="1244"/>
      <c r="Z731" s="1244"/>
    </row>
    <row r="732" spans="1:26" ht="18.75">
      <c r="A732" s="1368"/>
      <c r="B732" s="1243"/>
      <c r="C732" s="1243"/>
      <c r="D732" s="1243"/>
      <c r="E732" s="1243"/>
      <c r="F732" s="1243"/>
      <c r="G732" s="963"/>
      <c r="H732" s="730" t="s">
        <v>46</v>
      </c>
      <c r="I732" s="1379"/>
      <c r="J732" s="959">
        <v>0</v>
      </c>
      <c r="K732" s="831"/>
      <c r="L732" s="1380"/>
      <c r="M732" s="831"/>
      <c r="N732" s="1380"/>
      <c r="O732" s="831"/>
      <c r="P732" s="831"/>
      <c r="Q732" s="1244"/>
      <c r="R732" s="1244"/>
      <c r="S732" s="1244"/>
      <c r="T732" s="1244"/>
      <c r="U732" s="1244"/>
      <c r="V732" s="1244"/>
      <c r="W732" s="1244"/>
      <c r="X732" s="1244"/>
      <c r="Y732" s="1244"/>
      <c r="Z732" s="1244"/>
    </row>
    <row r="733" spans="1:26" ht="18.75">
      <c r="A733" s="1368"/>
      <c r="B733" s="1243"/>
      <c r="C733" s="1243"/>
      <c r="D733" s="1243"/>
      <c r="E733" s="1243" t="s">
        <v>310</v>
      </c>
      <c r="F733" s="1243"/>
      <c r="G733" s="963"/>
      <c r="H733" s="730" t="s">
        <v>35</v>
      </c>
      <c r="I733" s="1379"/>
      <c r="J733" s="959">
        <v>0</v>
      </c>
      <c r="K733" s="831"/>
      <c r="L733" s="1380"/>
      <c r="M733" s="831"/>
      <c r="N733" s="1380"/>
      <c r="O733" s="831"/>
      <c r="P733" s="831"/>
      <c r="Q733" s="1244"/>
      <c r="R733" s="1244"/>
      <c r="S733" s="1244"/>
      <c r="T733" s="1244"/>
      <c r="U733" s="1244"/>
      <c r="V733" s="1244"/>
      <c r="W733" s="1244"/>
      <c r="X733" s="1244"/>
      <c r="Y733" s="1244"/>
      <c r="Z733" s="1244"/>
    </row>
    <row r="734" spans="1:26" ht="18.75">
      <c r="A734" s="1368"/>
      <c r="B734" s="1243"/>
      <c r="C734" s="1243"/>
      <c r="D734" s="1243"/>
      <c r="E734" s="1243"/>
      <c r="F734" s="1243"/>
      <c r="G734" s="963"/>
      <c r="H734" s="730" t="s">
        <v>34</v>
      </c>
      <c r="I734" s="1379"/>
      <c r="J734" s="959">
        <v>0</v>
      </c>
      <c r="K734" s="831"/>
      <c r="L734" s="1380"/>
      <c r="M734" s="831"/>
      <c r="N734" s="1380"/>
      <c r="O734" s="831"/>
      <c r="P734" s="831"/>
      <c r="Q734" s="1244"/>
      <c r="R734" s="1244"/>
      <c r="S734" s="1244"/>
      <c r="T734" s="1244"/>
      <c r="U734" s="1244"/>
      <c r="V734" s="1244"/>
      <c r="W734" s="1244"/>
      <c r="X734" s="1244"/>
      <c r="Y734" s="1244"/>
      <c r="Z734" s="1244"/>
    </row>
    <row r="735" spans="1:26" ht="19.5">
      <c r="A735" s="1382"/>
      <c r="B735" s="1383" t="s">
        <v>311</v>
      </c>
      <c r="C735" s="1116"/>
      <c r="D735" s="1116"/>
      <c r="E735" s="1116"/>
      <c r="F735" s="1116"/>
      <c r="G735" s="1361"/>
      <c r="H735" s="391" t="s">
        <v>46</v>
      </c>
      <c r="I735" s="1384"/>
      <c r="J735" s="1118">
        <v>0</v>
      </c>
      <c r="K735" s="1182"/>
      <c r="L735" s="1385"/>
      <c r="M735" s="1182"/>
      <c r="N735" s="1385"/>
      <c r="O735" s="1182"/>
      <c r="P735" s="1182"/>
      <c r="Q735" s="1244"/>
      <c r="R735" s="1244"/>
      <c r="S735" s="1244"/>
      <c r="T735" s="1244"/>
      <c r="U735" s="1244"/>
      <c r="V735" s="1244"/>
      <c r="W735" s="1244"/>
      <c r="X735" s="1244"/>
      <c r="Y735" s="1244"/>
      <c r="Z735" s="1244"/>
    </row>
    <row r="736" spans="1:26" ht="19.5" hidden="1">
      <c r="A736" s="740">
        <v>9</v>
      </c>
      <c r="B736" s="1386" t="s">
        <v>312</v>
      </c>
      <c r="C736" s="1387"/>
      <c r="D736" s="1387"/>
      <c r="E736" s="1387"/>
      <c r="F736" s="1387"/>
      <c r="G736" s="1388"/>
      <c r="H736" s="744" t="s">
        <v>46</v>
      </c>
      <c r="I736" s="1389"/>
      <c r="J736" s="1389">
        <f>J751</f>
        <v>0</v>
      </c>
      <c r="K736" s="1390">
        <f>IF(I736&gt;0,J736*100/I736,0)</f>
        <v>0</v>
      </c>
      <c r="L736" s="1391"/>
      <c r="M736" s="1391"/>
      <c r="N736" s="1391"/>
      <c r="O736" s="1391"/>
      <c r="P736" s="1391"/>
      <c r="Q736" s="1264"/>
      <c r="R736" s="1264"/>
      <c r="S736" s="1264"/>
      <c r="T736" s="1264"/>
      <c r="U736" s="1264"/>
      <c r="V736" s="1264"/>
      <c r="W736" s="1264"/>
      <c r="X736" s="1264"/>
      <c r="Y736" s="1264"/>
      <c r="Z736" s="1264"/>
    </row>
    <row r="737" spans="1:26" ht="19.5" hidden="1">
      <c r="A737" s="1260"/>
      <c r="B737" s="1261"/>
      <c r="C737" s="1261" t="s">
        <v>16</v>
      </c>
      <c r="D737" s="1508" t="s">
        <v>17</v>
      </c>
      <c r="E737" s="1485"/>
      <c r="F737" s="1485"/>
      <c r="G737" s="1263"/>
      <c r="H737" s="612" t="s">
        <v>12</v>
      </c>
      <c r="I737" s="836"/>
      <c r="J737" s="836"/>
      <c r="K737" s="837"/>
      <c r="L737" s="1292">
        <f t="shared" ref="L737:N737" si="294">L738+L739</f>
        <v>0</v>
      </c>
      <c r="M737" s="1292">
        <f t="shared" si="294"/>
        <v>0</v>
      </c>
      <c r="N737" s="1292">
        <f t="shared" si="294"/>
        <v>0</v>
      </c>
      <c r="O737" s="1292">
        <f t="shared" ref="O737:O742" si="295">IF(L737&gt;0,N737*100/L737,0)</f>
        <v>0</v>
      </c>
      <c r="P737" s="1292">
        <f t="shared" ref="P737:P742" si="296">IF(M737&gt;0,N737*100/M737,0)</f>
        <v>0</v>
      </c>
      <c r="Q737" s="1264"/>
      <c r="R737" s="1264"/>
      <c r="S737" s="1264"/>
      <c r="T737" s="1264"/>
      <c r="U737" s="1264"/>
      <c r="V737" s="1264"/>
      <c r="W737" s="1264"/>
      <c r="X737" s="1264"/>
      <c r="Y737" s="1264"/>
      <c r="Z737" s="1264"/>
    </row>
    <row r="738" spans="1:26" ht="18.75" hidden="1">
      <c r="A738" s="1260"/>
      <c r="B738" s="1261"/>
      <c r="C738" s="1261"/>
      <c r="D738" s="1262"/>
      <c r="E738" s="1261" t="s">
        <v>184</v>
      </c>
      <c r="F738" s="1261"/>
      <c r="G738" s="1263"/>
      <c r="H738" s="165" t="s">
        <v>12</v>
      </c>
      <c r="I738" s="836"/>
      <c r="J738" s="836"/>
      <c r="K738" s="837"/>
      <c r="L738" s="837">
        <f t="shared" ref="L738:N739" si="297">L741+L748</f>
        <v>0</v>
      </c>
      <c r="M738" s="837">
        <f t="shared" si="297"/>
        <v>0</v>
      </c>
      <c r="N738" s="837">
        <f t="shared" si="297"/>
        <v>0</v>
      </c>
      <c r="O738" s="837">
        <f t="shared" si="295"/>
        <v>0</v>
      </c>
      <c r="P738" s="837">
        <f t="shared" si="296"/>
        <v>0</v>
      </c>
      <c r="Q738" s="1264"/>
      <c r="R738" s="1264"/>
      <c r="S738" s="1264"/>
      <c r="T738" s="1264"/>
      <c r="U738" s="1264"/>
      <c r="V738" s="1264"/>
      <c r="W738" s="1264"/>
      <c r="X738" s="1264"/>
      <c r="Y738" s="1264"/>
      <c r="Z738" s="1264"/>
    </row>
    <row r="739" spans="1:26" ht="18.75" hidden="1">
      <c r="A739" s="1260"/>
      <c r="B739" s="1265"/>
      <c r="C739" s="1261"/>
      <c r="D739" s="1262"/>
      <c r="E739" s="1261" t="s">
        <v>185</v>
      </c>
      <c r="F739" s="1261"/>
      <c r="G739" s="1263"/>
      <c r="H739" s="165" t="s">
        <v>12</v>
      </c>
      <c r="I739" s="836"/>
      <c r="J739" s="836"/>
      <c r="K739" s="837"/>
      <c r="L739" s="837">
        <f t="shared" si="297"/>
        <v>0</v>
      </c>
      <c r="M739" s="837">
        <f t="shared" si="297"/>
        <v>0</v>
      </c>
      <c r="N739" s="837">
        <f t="shared" si="297"/>
        <v>0</v>
      </c>
      <c r="O739" s="837">
        <f t="shared" si="295"/>
        <v>0</v>
      </c>
      <c r="P739" s="837">
        <f t="shared" si="296"/>
        <v>0</v>
      </c>
      <c r="Q739" s="1264"/>
      <c r="R739" s="1264"/>
      <c r="S739" s="1264"/>
      <c r="T739" s="1264"/>
      <c r="U739" s="1264"/>
      <c r="V739" s="1264"/>
      <c r="W739" s="1264"/>
      <c r="X739" s="1264"/>
      <c r="Y739" s="1264"/>
      <c r="Z739" s="1264"/>
    </row>
    <row r="740" spans="1:26" ht="19.5" hidden="1">
      <c r="A740" s="1260"/>
      <c r="B740" s="1265"/>
      <c r="C740" s="1261"/>
      <c r="D740" s="1392" t="s">
        <v>20</v>
      </c>
      <c r="E740" s="1261"/>
      <c r="F740" s="1261"/>
      <c r="G740" s="1263"/>
      <c r="H740" s="612" t="s">
        <v>12</v>
      </c>
      <c r="I740" s="947"/>
      <c r="J740" s="947"/>
      <c r="K740" s="948"/>
      <c r="L740" s="1292">
        <f t="shared" ref="L740:N740" si="298">L741+L742</f>
        <v>0</v>
      </c>
      <c r="M740" s="1292">
        <f t="shared" si="298"/>
        <v>0</v>
      </c>
      <c r="N740" s="1292">
        <f t="shared" si="298"/>
        <v>0</v>
      </c>
      <c r="O740" s="1292">
        <f t="shared" si="295"/>
        <v>0</v>
      </c>
      <c r="P740" s="1292">
        <f t="shared" si="296"/>
        <v>0</v>
      </c>
      <c r="Q740" s="1264"/>
      <c r="R740" s="1264"/>
      <c r="S740" s="1264"/>
      <c r="T740" s="1264"/>
      <c r="U740" s="1264"/>
      <c r="V740" s="1264"/>
      <c r="W740" s="1264"/>
      <c r="X740" s="1264"/>
      <c r="Y740" s="1264"/>
      <c r="Z740" s="1264"/>
    </row>
    <row r="741" spans="1:26" ht="18.75" hidden="1">
      <c r="A741" s="1260"/>
      <c r="B741" s="1265"/>
      <c r="C741" s="1261"/>
      <c r="D741" s="1262"/>
      <c r="E741" s="1261" t="s">
        <v>184</v>
      </c>
      <c r="F741" s="1261"/>
      <c r="G741" s="1263"/>
      <c r="H741" s="165" t="s">
        <v>12</v>
      </c>
      <c r="I741" s="836"/>
      <c r="J741" s="836"/>
      <c r="K741" s="837"/>
      <c r="L741" s="837">
        <v>0</v>
      </c>
      <c r="M741" s="837">
        <v>0</v>
      </c>
      <c r="N741" s="837">
        <v>0</v>
      </c>
      <c r="O741" s="837">
        <f t="shared" si="295"/>
        <v>0</v>
      </c>
      <c r="P741" s="837">
        <f t="shared" si="296"/>
        <v>0</v>
      </c>
      <c r="Q741" s="1264"/>
      <c r="R741" s="1264"/>
      <c r="S741" s="1264"/>
      <c r="T741" s="1264"/>
      <c r="U741" s="1264"/>
      <c r="V741" s="1264"/>
      <c r="W741" s="1264"/>
      <c r="X741" s="1264"/>
      <c r="Y741" s="1264"/>
      <c r="Z741" s="1264"/>
    </row>
    <row r="742" spans="1:26" ht="18.75" hidden="1">
      <c r="A742" s="1260"/>
      <c r="B742" s="1265"/>
      <c r="C742" s="1261"/>
      <c r="D742" s="1262"/>
      <c r="E742" s="1261" t="s">
        <v>185</v>
      </c>
      <c r="F742" s="1261"/>
      <c r="G742" s="1263"/>
      <c r="H742" s="165" t="s">
        <v>12</v>
      </c>
      <c r="I742" s="836"/>
      <c r="J742" s="836"/>
      <c r="K742" s="837"/>
      <c r="L742" s="837">
        <v>0</v>
      </c>
      <c r="M742" s="837">
        <v>0</v>
      </c>
      <c r="N742" s="837">
        <f>N743+N744+N745+N746</f>
        <v>0</v>
      </c>
      <c r="O742" s="837">
        <f t="shared" si="295"/>
        <v>0</v>
      </c>
      <c r="P742" s="837">
        <f t="shared" si="296"/>
        <v>0</v>
      </c>
      <c r="Q742" s="1264"/>
      <c r="R742" s="1264"/>
      <c r="S742" s="1264"/>
      <c r="T742" s="1264"/>
      <c r="U742" s="1264"/>
      <c r="V742" s="1264"/>
      <c r="W742" s="1264"/>
      <c r="X742" s="1264"/>
      <c r="Y742" s="1264"/>
      <c r="Z742" s="1264"/>
    </row>
    <row r="743" spans="1:26" ht="18.75" hidden="1">
      <c r="A743" s="1294"/>
      <c r="B743" s="1265"/>
      <c r="C743" s="1261"/>
      <c r="D743" s="1261"/>
      <c r="E743" s="1261"/>
      <c r="F743" s="1261" t="s">
        <v>186</v>
      </c>
      <c r="G743" s="1263"/>
      <c r="H743" s="165" t="s">
        <v>12</v>
      </c>
      <c r="I743" s="836"/>
      <c r="J743" s="836"/>
      <c r="K743" s="837"/>
      <c r="L743" s="837"/>
      <c r="M743" s="837"/>
      <c r="N743" s="837"/>
      <c r="O743" s="837"/>
      <c r="P743" s="837"/>
      <c r="Q743" s="1264"/>
      <c r="R743" s="1264"/>
      <c r="S743" s="1264"/>
      <c r="T743" s="1264"/>
      <c r="U743" s="1264"/>
      <c r="V743" s="1264"/>
      <c r="W743" s="1264"/>
      <c r="X743" s="1264"/>
      <c r="Y743" s="1264"/>
      <c r="Z743" s="1264"/>
    </row>
    <row r="744" spans="1:26" ht="18.75" hidden="1">
      <c r="A744" s="1294"/>
      <c r="B744" s="1265"/>
      <c r="C744" s="1261"/>
      <c r="D744" s="1261"/>
      <c r="E744" s="1261"/>
      <c r="F744" s="1261" t="s">
        <v>187</v>
      </c>
      <c r="G744" s="1263"/>
      <c r="H744" s="165" t="s">
        <v>12</v>
      </c>
      <c r="I744" s="836"/>
      <c r="J744" s="836"/>
      <c r="K744" s="837"/>
      <c r="L744" s="837"/>
      <c r="M744" s="837"/>
      <c r="N744" s="837"/>
      <c r="O744" s="837"/>
      <c r="P744" s="837"/>
      <c r="Q744" s="1264"/>
      <c r="R744" s="1264"/>
      <c r="S744" s="1264"/>
      <c r="T744" s="1264"/>
      <c r="U744" s="1264"/>
      <c r="V744" s="1264"/>
      <c r="W744" s="1264"/>
      <c r="X744" s="1264"/>
      <c r="Y744" s="1264"/>
      <c r="Z744" s="1264"/>
    </row>
    <row r="745" spans="1:26" ht="18.75" hidden="1">
      <c r="A745" s="1294"/>
      <c r="B745" s="1265"/>
      <c r="C745" s="1261"/>
      <c r="D745" s="1261"/>
      <c r="E745" s="1261"/>
      <c r="F745" s="1261" t="s">
        <v>188</v>
      </c>
      <c r="G745" s="1263"/>
      <c r="H745" s="165" t="s">
        <v>12</v>
      </c>
      <c r="I745" s="836"/>
      <c r="J745" s="836"/>
      <c r="K745" s="837"/>
      <c r="L745" s="837"/>
      <c r="M745" s="837"/>
      <c r="N745" s="837"/>
      <c r="O745" s="837"/>
      <c r="P745" s="837"/>
      <c r="Q745" s="1264"/>
      <c r="R745" s="1264"/>
      <c r="S745" s="1264"/>
      <c r="T745" s="1264"/>
      <c r="U745" s="1264"/>
      <c r="V745" s="1264"/>
      <c r="W745" s="1264"/>
      <c r="X745" s="1264"/>
      <c r="Y745" s="1264"/>
      <c r="Z745" s="1264"/>
    </row>
    <row r="746" spans="1:26" ht="18.75" hidden="1">
      <c r="A746" s="1294"/>
      <c r="B746" s="1265"/>
      <c r="C746" s="1261"/>
      <c r="D746" s="1261"/>
      <c r="E746" s="1261"/>
      <c r="F746" s="1261" t="s">
        <v>189</v>
      </c>
      <c r="G746" s="1263"/>
      <c r="H746" s="165" t="s">
        <v>12</v>
      </c>
      <c r="I746" s="836"/>
      <c r="J746" s="836"/>
      <c r="K746" s="837"/>
      <c r="L746" s="837"/>
      <c r="M746" s="837"/>
      <c r="N746" s="837"/>
      <c r="O746" s="837"/>
      <c r="P746" s="837"/>
      <c r="Q746" s="1264"/>
      <c r="R746" s="1264"/>
      <c r="S746" s="1264"/>
      <c r="T746" s="1264"/>
      <c r="U746" s="1264"/>
      <c r="V746" s="1264"/>
      <c r="W746" s="1264"/>
      <c r="X746" s="1264"/>
      <c r="Y746" s="1264"/>
      <c r="Z746" s="1264"/>
    </row>
    <row r="747" spans="1:26" ht="19.5" hidden="1">
      <c r="A747" s="1260"/>
      <c r="B747" s="1265"/>
      <c r="C747" s="1261"/>
      <c r="D747" s="1392" t="s">
        <v>21</v>
      </c>
      <c r="E747" s="1261"/>
      <c r="F747" s="1261"/>
      <c r="G747" s="1263"/>
      <c r="H747" s="749" t="s">
        <v>12</v>
      </c>
      <c r="I747" s="947"/>
      <c r="J747" s="947"/>
      <c r="K747" s="948"/>
      <c r="L747" s="1292">
        <f t="shared" ref="L747:N747" si="299">L748+L749</f>
        <v>0</v>
      </c>
      <c r="M747" s="1292">
        <f t="shared" si="299"/>
        <v>0</v>
      </c>
      <c r="N747" s="1292">
        <f t="shared" si="299"/>
        <v>0</v>
      </c>
      <c r="O747" s="1292">
        <f t="shared" ref="O747:O749" si="300">IF(L747&gt;0,N747*100/L747,0)</f>
        <v>0</v>
      </c>
      <c r="P747" s="1292">
        <f t="shared" ref="P747:P749" si="301">IF(M747&gt;0,N747*100/M747,0)</f>
        <v>0</v>
      </c>
      <c r="Q747" s="1264"/>
      <c r="R747" s="1264"/>
      <c r="S747" s="1264"/>
      <c r="T747" s="1264"/>
      <c r="U747" s="1264"/>
      <c r="V747" s="1264"/>
      <c r="W747" s="1264"/>
      <c r="X747" s="1264"/>
      <c r="Y747" s="1264"/>
      <c r="Z747" s="1264"/>
    </row>
    <row r="748" spans="1:26" ht="18.75" hidden="1">
      <c r="A748" s="1260"/>
      <c r="B748" s="1265"/>
      <c r="C748" s="1261"/>
      <c r="D748" s="1261"/>
      <c r="E748" s="1261" t="s">
        <v>18</v>
      </c>
      <c r="F748" s="1261"/>
      <c r="G748" s="1263"/>
      <c r="H748" s="165" t="s">
        <v>12</v>
      </c>
      <c r="I748" s="947"/>
      <c r="J748" s="947"/>
      <c r="K748" s="948"/>
      <c r="L748" s="837">
        <v>0</v>
      </c>
      <c r="M748" s="837">
        <v>0</v>
      </c>
      <c r="N748" s="837">
        <v>0</v>
      </c>
      <c r="O748" s="837">
        <f t="shared" si="300"/>
        <v>0</v>
      </c>
      <c r="P748" s="837">
        <f t="shared" si="301"/>
        <v>0</v>
      </c>
      <c r="Q748" s="1264"/>
      <c r="R748" s="1264"/>
      <c r="S748" s="1264"/>
      <c r="T748" s="1264"/>
      <c r="U748" s="1264"/>
      <c r="V748" s="1264"/>
      <c r="W748" s="1264"/>
      <c r="X748" s="1264"/>
      <c r="Y748" s="1264"/>
      <c r="Z748" s="1264"/>
    </row>
    <row r="749" spans="1:26" ht="18.75" hidden="1">
      <c r="A749" s="1260"/>
      <c r="B749" s="1265"/>
      <c r="C749" s="1261"/>
      <c r="D749" s="1261"/>
      <c r="E749" s="1261" t="s">
        <v>19</v>
      </c>
      <c r="F749" s="1261"/>
      <c r="G749" s="1263"/>
      <c r="H749" s="169" t="s">
        <v>12</v>
      </c>
      <c r="I749" s="947"/>
      <c r="J749" s="947"/>
      <c r="K749" s="948"/>
      <c r="L749" s="837">
        <v>0</v>
      </c>
      <c r="M749" s="837">
        <v>0</v>
      </c>
      <c r="N749" s="837">
        <v>0</v>
      </c>
      <c r="O749" s="837">
        <f t="shared" si="300"/>
        <v>0</v>
      </c>
      <c r="P749" s="837">
        <f t="shared" si="301"/>
        <v>0</v>
      </c>
      <c r="Q749" s="1264"/>
      <c r="R749" s="1264"/>
      <c r="S749" s="1264"/>
      <c r="T749" s="1264"/>
      <c r="U749" s="1264"/>
      <c r="V749" s="1264"/>
      <c r="W749" s="1264"/>
      <c r="X749" s="1264"/>
      <c r="Y749" s="1264"/>
      <c r="Z749" s="1264"/>
    </row>
    <row r="750" spans="1:26" ht="19.5" hidden="1">
      <c r="A750" s="1273"/>
      <c r="B750" s="1274"/>
      <c r="C750" s="1261" t="s">
        <v>16</v>
      </c>
      <c r="D750" s="1393" t="s">
        <v>38</v>
      </c>
      <c r="E750" s="1296"/>
      <c r="F750" s="1296"/>
      <c r="G750" s="1297"/>
      <c r="H750" s="1060"/>
      <c r="I750" s="947"/>
      <c r="J750" s="947"/>
      <c r="K750" s="948"/>
      <c r="L750" s="948"/>
      <c r="M750" s="948"/>
      <c r="N750" s="948"/>
      <c r="O750" s="948"/>
      <c r="P750" s="948"/>
      <c r="Q750" s="1264"/>
      <c r="R750" s="1264"/>
      <c r="S750" s="1264"/>
      <c r="T750" s="1264"/>
      <c r="U750" s="1264"/>
      <c r="V750" s="1264"/>
      <c r="W750" s="1264"/>
      <c r="X750" s="1264"/>
      <c r="Y750" s="1264"/>
      <c r="Z750" s="1264"/>
    </row>
    <row r="751" spans="1:26" ht="18.75" hidden="1">
      <c r="A751" s="1294"/>
      <c r="B751" s="1265"/>
      <c r="C751" s="1261"/>
      <c r="D751" s="1261"/>
      <c r="E751" s="1261" t="s">
        <v>313</v>
      </c>
      <c r="F751" s="1261"/>
      <c r="G751" s="1263"/>
      <c r="H751" s="165" t="s">
        <v>46</v>
      </c>
      <c r="I751" s="836"/>
      <c r="J751" s="836"/>
      <c r="K751" s="837"/>
      <c r="L751" s="837"/>
      <c r="M751" s="837"/>
      <c r="N751" s="837"/>
      <c r="O751" s="837"/>
      <c r="P751" s="837"/>
      <c r="Q751" s="1264"/>
      <c r="R751" s="1264"/>
      <c r="S751" s="1264"/>
      <c r="T751" s="1264"/>
      <c r="U751" s="1264"/>
      <c r="V751" s="1264"/>
      <c r="W751" s="1264"/>
      <c r="X751" s="1264"/>
      <c r="Y751" s="1264"/>
      <c r="Z751" s="1264"/>
    </row>
    <row r="752" spans="1:26" ht="18.75" hidden="1">
      <c r="A752" s="1294"/>
      <c r="B752" s="1265"/>
      <c r="C752" s="1261"/>
      <c r="D752" s="1261"/>
      <c r="E752" s="1261"/>
      <c r="F752" s="1261"/>
      <c r="G752" s="1263"/>
      <c r="H752" s="165" t="s">
        <v>314</v>
      </c>
      <c r="I752" s="836"/>
      <c r="J752" s="836"/>
      <c r="K752" s="837"/>
      <c r="L752" s="837"/>
      <c r="M752" s="837"/>
      <c r="N752" s="837"/>
      <c r="O752" s="837"/>
      <c r="P752" s="837"/>
      <c r="Q752" s="1264"/>
      <c r="R752" s="1264"/>
      <c r="S752" s="1264"/>
      <c r="T752" s="1264"/>
      <c r="U752" s="1264"/>
      <c r="V752" s="1264"/>
      <c r="W752" s="1264"/>
      <c r="X752" s="1264"/>
      <c r="Y752" s="1264"/>
      <c r="Z752" s="1264"/>
    </row>
    <row r="753" spans="1:26" ht="19.5" hidden="1">
      <c r="A753" s="751">
        <v>10</v>
      </c>
      <c r="B753" s="1394" t="s">
        <v>315</v>
      </c>
      <c r="C753" s="1395"/>
      <c r="D753" s="1395"/>
      <c r="E753" s="1395"/>
      <c r="F753" s="1395"/>
      <c r="G753" s="1396"/>
      <c r="H753" s="755" t="s">
        <v>46</v>
      </c>
      <c r="I753" s="1397"/>
      <c r="J753" s="1397">
        <f>J768</f>
        <v>0</v>
      </c>
      <c r="K753" s="1398">
        <f>IF(I753&gt;0,J753*100/I753,0)</f>
        <v>0</v>
      </c>
      <c r="L753" s="1399"/>
      <c r="M753" s="1399"/>
      <c r="N753" s="1399"/>
      <c r="O753" s="1399"/>
      <c r="P753" s="1399"/>
      <c r="Q753" s="1264"/>
      <c r="R753" s="1264"/>
      <c r="S753" s="1264"/>
      <c r="T753" s="1264"/>
      <c r="U753" s="1264"/>
      <c r="V753" s="1264"/>
      <c r="W753" s="1264"/>
      <c r="X753" s="1264"/>
      <c r="Y753" s="1264"/>
      <c r="Z753" s="1264"/>
    </row>
    <row r="754" spans="1:26" ht="19.5" hidden="1">
      <c r="A754" s="1260"/>
      <c r="B754" s="1261"/>
      <c r="C754" s="1261" t="s">
        <v>16</v>
      </c>
      <c r="D754" s="1508" t="s">
        <v>17</v>
      </c>
      <c r="E754" s="1485"/>
      <c r="F754" s="1485"/>
      <c r="G754" s="1263"/>
      <c r="H754" s="612" t="s">
        <v>12</v>
      </c>
      <c r="I754" s="836"/>
      <c r="J754" s="836"/>
      <c r="K754" s="837"/>
      <c r="L754" s="1292">
        <f t="shared" ref="L754:N754" si="302">L755+L756</f>
        <v>0</v>
      </c>
      <c r="M754" s="1292">
        <f t="shared" si="302"/>
        <v>0</v>
      </c>
      <c r="N754" s="1292">
        <f t="shared" si="302"/>
        <v>0</v>
      </c>
      <c r="O754" s="1292">
        <f t="shared" ref="O754:O759" si="303">IF(L754&gt;0,N754*100/L754,0)</f>
        <v>0</v>
      </c>
      <c r="P754" s="1292">
        <f t="shared" ref="P754:P759" si="304">IF(M754&gt;0,N754*100/M754,0)</f>
        <v>0</v>
      </c>
      <c r="Q754" s="1264"/>
      <c r="R754" s="1264"/>
      <c r="S754" s="1264"/>
      <c r="T754" s="1264"/>
      <c r="U754" s="1264"/>
      <c r="V754" s="1264"/>
      <c r="W754" s="1264"/>
      <c r="X754" s="1264"/>
      <c r="Y754" s="1264"/>
      <c r="Z754" s="1264"/>
    </row>
    <row r="755" spans="1:26" ht="18.75" hidden="1">
      <c r="A755" s="1260"/>
      <c r="B755" s="1261"/>
      <c r="C755" s="1261"/>
      <c r="D755" s="1262"/>
      <c r="E755" s="1261" t="s">
        <v>184</v>
      </c>
      <c r="F755" s="1261"/>
      <c r="G755" s="1263"/>
      <c r="H755" s="165" t="s">
        <v>12</v>
      </c>
      <c r="I755" s="836"/>
      <c r="J755" s="836"/>
      <c r="K755" s="837"/>
      <c r="L755" s="837">
        <f t="shared" ref="L755:N756" si="305">L758+L765</f>
        <v>0</v>
      </c>
      <c r="M755" s="837">
        <f t="shared" si="305"/>
        <v>0</v>
      </c>
      <c r="N755" s="837">
        <f t="shared" si="305"/>
        <v>0</v>
      </c>
      <c r="O755" s="837">
        <f t="shared" si="303"/>
        <v>0</v>
      </c>
      <c r="P755" s="837">
        <f t="shared" si="304"/>
        <v>0</v>
      </c>
      <c r="Q755" s="1264"/>
      <c r="R755" s="1264"/>
      <c r="S755" s="1264"/>
      <c r="T755" s="1264"/>
      <c r="U755" s="1264"/>
      <c r="V755" s="1264"/>
      <c r="W755" s="1264"/>
      <c r="X755" s="1264"/>
      <c r="Y755" s="1264"/>
      <c r="Z755" s="1264"/>
    </row>
    <row r="756" spans="1:26" ht="18.75" hidden="1">
      <c r="A756" s="1260"/>
      <c r="B756" s="1265"/>
      <c r="C756" s="1261"/>
      <c r="D756" s="1262"/>
      <c r="E756" s="1261" t="s">
        <v>185</v>
      </c>
      <c r="F756" s="1261"/>
      <c r="G756" s="1263"/>
      <c r="H756" s="165" t="s">
        <v>12</v>
      </c>
      <c r="I756" s="836"/>
      <c r="J756" s="836"/>
      <c r="K756" s="837"/>
      <c r="L756" s="837">
        <f t="shared" si="305"/>
        <v>0</v>
      </c>
      <c r="M756" s="837">
        <f t="shared" si="305"/>
        <v>0</v>
      </c>
      <c r="N756" s="837">
        <f t="shared" si="305"/>
        <v>0</v>
      </c>
      <c r="O756" s="837">
        <f t="shared" si="303"/>
        <v>0</v>
      </c>
      <c r="P756" s="837">
        <f t="shared" si="304"/>
        <v>0</v>
      </c>
      <c r="Q756" s="1264"/>
      <c r="R756" s="1264"/>
      <c r="S756" s="1264"/>
      <c r="T756" s="1264"/>
      <c r="U756" s="1264"/>
      <c r="V756" s="1264"/>
      <c r="W756" s="1264"/>
      <c r="X756" s="1264"/>
      <c r="Y756" s="1264"/>
      <c r="Z756" s="1264"/>
    </row>
    <row r="757" spans="1:26" ht="19.5" hidden="1">
      <c r="A757" s="1260"/>
      <c r="B757" s="1265"/>
      <c r="C757" s="1261"/>
      <c r="D757" s="1392" t="s">
        <v>20</v>
      </c>
      <c r="E757" s="1261"/>
      <c r="F757" s="1261"/>
      <c r="G757" s="1263"/>
      <c r="H757" s="612" t="s">
        <v>12</v>
      </c>
      <c r="I757" s="947"/>
      <c r="J757" s="947"/>
      <c r="K757" s="948"/>
      <c r="L757" s="1292">
        <f t="shared" ref="L757:N757" si="306">L758+L759</f>
        <v>0</v>
      </c>
      <c r="M757" s="1292">
        <f t="shared" si="306"/>
        <v>0</v>
      </c>
      <c r="N757" s="1292">
        <f t="shared" si="306"/>
        <v>0</v>
      </c>
      <c r="O757" s="1292">
        <f t="shared" si="303"/>
        <v>0</v>
      </c>
      <c r="P757" s="1292">
        <f t="shared" si="304"/>
        <v>0</v>
      </c>
      <c r="Q757" s="1264"/>
      <c r="R757" s="1264"/>
      <c r="S757" s="1264"/>
      <c r="T757" s="1264"/>
      <c r="U757" s="1264"/>
      <c r="V757" s="1264"/>
      <c r="W757" s="1264"/>
      <c r="X757" s="1264"/>
      <c r="Y757" s="1264"/>
      <c r="Z757" s="1264"/>
    </row>
    <row r="758" spans="1:26" ht="18.75" hidden="1">
      <c r="A758" s="1260"/>
      <c r="B758" s="1265"/>
      <c r="C758" s="1261"/>
      <c r="D758" s="1262"/>
      <c r="E758" s="1261" t="s">
        <v>184</v>
      </c>
      <c r="F758" s="1261"/>
      <c r="G758" s="1263"/>
      <c r="H758" s="165" t="s">
        <v>12</v>
      </c>
      <c r="I758" s="836"/>
      <c r="J758" s="836"/>
      <c r="K758" s="837"/>
      <c r="L758" s="837">
        <v>0</v>
      </c>
      <c r="M758" s="837">
        <v>0</v>
      </c>
      <c r="N758" s="837">
        <v>0</v>
      </c>
      <c r="O758" s="837">
        <f t="shared" si="303"/>
        <v>0</v>
      </c>
      <c r="P758" s="837">
        <f t="shared" si="304"/>
        <v>0</v>
      </c>
      <c r="Q758" s="1264"/>
      <c r="R758" s="1264"/>
      <c r="S758" s="1264"/>
      <c r="T758" s="1264"/>
      <c r="U758" s="1264"/>
      <c r="V758" s="1264"/>
      <c r="W758" s="1264"/>
      <c r="X758" s="1264"/>
      <c r="Y758" s="1264"/>
      <c r="Z758" s="1264"/>
    </row>
    <row r="759" spans="1:26" ht="18.75" hidden="1">
      <c r="A759" s="1260"/>
      <c r="B759" s="1265"/>
      <c r="C759" s="1261"/>
      <c r="D759" s="1262"/>
      <c r="E759" s="1261" t="s">
        <v>185</v>
      </c>
      <c r="F759" s="1261"/>
      <c r="G759" s="1263"/>
      <c r="H759" s="165" t="s">
        <v>12</v>
      </c>
      <c r="I759" s="836"/>
      <c r="J759" s="836"/>
      <c r="K759" s="837"/>
      <c r="L759" s="837">
        <v>0</v>
      </c>
      <c r="M759" s="837">
        <v>0</v>
      </c>
      <c r="N759" s="837">
        <f>N760+N761+N762+N763</f>
        <v>0</v>
      </c>
      <c r="O759" s="837">
        <f t="shared" si="303"/>
        <v>0</v>
      </c>
      <c r="P759" s="837">
        <f t="shared" si="304"/>
        <v>0</v>
      </c>
      <c r="Q759" s="1264"/>
      <c r="R759" s="1264"/>
      <c r="S759" s="1264"/>
      <c r="T759" s="1264"/>
      <c r="U759" s="1264"/>
      <c r="V759" s="1264"/>
      <c r="W759" s="1264"/>
      <c r="X759" s="1264"/>
      <c r="Y759" s="1264"/>
      <c r="Z759" s="1264"/>
    </row>
    <row r="760" spans="1:26" ht="18.75" hidden="1">
      <c r="A760" s="1294"/>
      <c r="B760" s="1265"/>
      <c r="C760" s="1261"/>
      <c r="D760" s="1261"/>
      <c r="E760" s="1261"/>
      <c r="F760" s="1261" t="s">
        <v>186</v>
      </c>
      <c r="G760" s="1263"/>
      <c r="H760" s="165" t="s">
        <v>12</v>
      </c>
      <c r="I760" s="836"/>
      <c r="J760" s="836"/>
      <c r="K760" s="837"/>
      <c r="L760" s="837"/>
      <c r="M760" s="837"/>
      <c r="N760" s="837"/>
      <c r="O760" s="837"/>
      <c r="P760" s="837"/>
      <c r="Q760" s="1264"/>
      <c r="R760" s="1264"/>
      <c r="S760" s="1264"/>
      <c r="T760" s="1264"/>
      <c r="U760" s="1264"/>
      <c r="V760" s="1264"/>
      <c r="W760" s="1264"/>
      <c r="X760" s="1264"/>
      <c r="Y760" s="1264"/>
      <c r="Z760" s="1264"/>
    </row>
    <row r="761" spans="1:26" ht="18.75" hidden="1">
      <c r="A761" s="1294"/>
      <c r="B761" s="1265"/>
      <c r="C761" s="1261"/>
      <c r="D761" s="1261"/>
      <c r="E761" s="1261"/>
      <c r="F761" s="1261" t="s">
        <v>187</v>
      </c>
      <c r="G761" s="1263"/>
      <c r="H761" s="165" t="s">
        <v>12</v>
      </c>
      <c r="I761" s="836"/>
      <c r="J761" s="836"/>
      <c r="K761" s="837"/>
      <c r="L761" s="837"/>
      <c r="M761" s="837"/>
      <c r="N761" s="837"/>
      <c r="O761" s="837"/>
      <c r="P761" s="837"/>
      <c r="Q761" s="1264"/>
      <c r="R761" s="1264"/>
      <c r="S761" s="1264"/>
      <c r="T761" s="1264"/>
      <c r="U761" s="1264"/>
      <c r="V761" s="1264"/>
      <c r="W761" s="1264"/>
      <c r="X761" s="1264"/>
      <c r="Y761" s="1264"/>
      <c r="Z761" s="1264"/>
    </row>
    <row r="762" spans="1:26" ht="18.75" hidden="1">
      <c r="A762" s="1294"/>
      <c r="B762" s="1265"/>
      <c r="C762" s="1261"/>
      <c r="D762" s="1261"/>
      <c r="E762" s="1261"/>
      <c r="F762" s="1261" t="s">
        <v>188</v>
      </c>
      <c r="G762" s="1263"/>
      <c r="H762" s="165" t="s">
        <v>12</v>
      </c>
      <c r="I762" s="836"/>
      <c r="J762" s="836"/>
      <c r="K762" s="837"/>
      <c r="L762" s="837"/>
      <c r="M762" s="837"/>
      <c r="N762" s="837"/>
      <c r="O762" s="837"/>
      <c r="P762" s="837"/>
      <c r="Q762" s="1264"/>
      <c r="R762" s="1264"/>
      <c r="S762" s="1264"/>
      <c r="T762" s="1264"/>
      <c r="U762" s="1264"/>
      <c r="V762" s="1264"/>
      <c r="W762" s="1264"/>
      <c r="X762" s="1264"/>
      <c r="Y762" s="1264"/>
      <c r="Z762" s="1264"/>
    </row>
    <row r="763" spans="1:26" ht="18.75" hidden="1">
      <c r="A763" s="1294"/>
      <c r="B763" s="1265"/>
      <c r="C763" s="1261"/>
      <c r="D763" s="1261"/>
      <c r="E763" s="1261"/>
      <c r="F763" s="1261" t="s">
        <v>189</v>
      </c>
      <c r="G763" s="1263"/>
      <c r="H763" s="165" t="s">
        <v>12</v>
      </c>
      <c r="I763" s="836"/>
      <c r="J763" s="836"/>
      <c r="K763" s="837"/>
      <c r="L763" s="837"/>
      <c r="M763" s="837"/>
      <c r="N763" s="837"/>
      <c r="O763" s="837"/>
      <c r="P763" s="837"/>
      <c r="Q763" s="1264"/>
      <c r="R763" s="1264"/>
      <c r="S763" s="1264"/>
      <c r="T763" s="1264"/>
      <c r="U763" s="1264"/>
      <c r="V763" s="1264"/>
      <c r="W763" s="1264"/>
      <c r="X763" s="1264"/>
      <c r="Y763" s="1264"/>
      <c r="Z763" s="1264"/>
    </row>
    <row r="764" spans="1:26" ht="19.5" hidden="1">
      <c r="A764" s="1260"/>
      <c r="B764" s="1265"/>
      <c r="C764" s="1261"/>
      <c r="D764" s="1392" t="s">
        <v>21</v>
      </c>
      <c r="E764" s="1261"/>
      <c r="F764" s="1261"/>
      <c r="G764" s="1263"/>
      <c r="H764" s="749" t="s">
        <v>12</v>
      </c>
      <c r="I764" s="947"/>
      <c r="J764" s="947"/>
      <c r="K764" s="948"/>
      <c r="L764" s="1292">
        <f t="shared" ref="L764:N764" si="307">L765+L766</f>
        <v>0</v>
      </c>
      <c r="M764" s="1292">
        <f t="shared" si="307"/>
        <v>0</v>
      </c>
      <c r="N764" s="1292">
        <f t="shared" si="307"/>
        <v>0</v>
      </c>
      <c r="O764" s="1292">
        <f t="shared" ref="O764:O766" si="308">IF(L764&gt;0,N764*100/L764,0)</f>
        <v>0</v>
      </c>
      <c r="P764" s="1292">
        <f t="shared" ref="P764:P766" si="309">IF(M764&gt;0,N764*100/M764,0)</f>
        <v>0</v>
      </c>
      <c r="Q764" s="1264"/>
      <c r="R764" s="1264"/>
      <c r="S764" s="1264"/>
      <c r="T764" s="1264"/>
      <c r="U764" s="1264"/>
      <c r="V764" s="1264"/>
      <c r="W764" s="1264"/>
      <c r="X764" s="1264"/>
      <c r="Y764" s="1264"/>
      <c r="Z764" s="1264"/>
    </row>
    <row r="765" spans="1:26" ht="18.75" hidden="1">
      <c r="A765" s="1260"/>
      <c r="B765" s="1265"/>
      <c r="C765" s="1261"/>
      <c r="D765" s="1261"/>
      <c r="E765" s="1261" t="s">
        <v>18</v>
      </c>
      <c r="F765" s="1261"/>
      <c r="G765" s="1263"/>
      <c r="H765" s="165" t="s">
        <v>12</v>
      </c>
      <c r="I765" s="947"/>
      <c r="J765" s="947"/>
      <c r="K765" s="948"/>
      <c r="L765" s="837">
        <v>0</v>
      </c>
      <c r="M765" s="837">
        <v>0</v>
      </c>
      <c r="N765" s="837">
        <v>0</v>
      </c>
      <c r="O765" s="837">
        <f t="shared" si="308"/>
        <v>0</v>
      </c>
      <c r="P765" s="837">
        <f t="shared" si="309"/>
        <v>0</v>
      </c>
      <c r="Q765" s="1264"/>
      <c r="R765" s="1264"/>
      <c r="S765" s="1264"/>
      <c r="T765" s="1264"/>
      <c r="U765" s="1264"/>
      <c r="V765" s="1264"/>
      <c r="W765" s="1264"/>
      <c r="X765" s="1264"/>
      <c r="Y765" s="1264"/>
      <c r="Z765" s="1264"/>
    </row>
    <row r="766" spans="1:26" ht="18.75" hidden="1">
      <c r="A766" s="1260"/>
      <c r="B766" s="1265"/>
      <c r="C766" s="1261"/>
      <c r="D766" s="1261"/>
      <c r="E766" s="1261" t="s">
        <v>19</v>
      </c>
      <c r="F766" s="1261"/>
      <c r="G766" s="1263"/>
      <c r="H766" s="169" t="s">
        <v>12</v>
      </c>
      <c r="I766" s="947"/>
      <c r="J766" s="947"/>
      <c r="K766" s="948"/>
      <c r="L766" s="837">
        <v>0</v>
      </c>
      <c r="M766" s="837">
        <v>0</v>
      </c>
      <c r="N766" s="837">
        <v>0</v>
      </c>
      <c r="O766" s="837">
        <f t="shared" si="308"/>
        <v>0</v>
      </c>
      <c r="P766" s="837">
        <f t="shared" si="309"/>
        <v>0</v>
      </c>
      <c r="Q766" s="1264"/>
      <c r="R766" s="1264"/>
      <c r="S766" s="1264"/>
      <c r="T766" s="1264"/>
      <c r="U766" s="1264"/>
      <c r="V766" s="1264"/>
      <c r="W766" s="1264"/>
      <c r="X766" s="1264"/>
      <c r="Y766" s="1264"/>
      <c r="Z766" s="1264"/>
    </row>
    <row r="767" spans="1:26" ht="19.5" hidden="1">
      <c r="A767" s="1273"/>
      <c r="B767" s="1274"/>
      <c r="C767" s="1261" t="s">
        <v>16</v>
      </c>
      <c r="D767" s="1393" t="s">
        <v>38</v>
      </c>
      <c r="E767" s="1296"/>
      <c r="F767" s="1296"/>
      <c r="G767" s="1297"/>
      <c r="H767" s="1060"/>
      <c r="I767" s="947"/>
      <c r="J767" s="947"/>
      <c r="K767" s="948"/>
      <c r="L767" s="948"/>
      <c r="M767" s="948"/>
      <c r="N767" s="948"/>
      <c r="O767" s="948"/>
      <c r="P767" s="948"/>
      <c r="Q767" s="1264"/>
      <c r="R767" s="1264"/>
      <c r="S767" s="1264"/>
      <c r="T767" s="1264"/>
      <c r="U767" s="1264"/>
      <c r="V767" s="1264"/>
      <c r="W767" s="1264"/>
      <c r="X767" s="1264"/>
      <c r="Y767" s="1264"/>
      <c r="Z767" s="1264"/>
    </row>
    <row r="768" spans="1:26" ht="18.75" hidden="1">
      <c r="A768" s="1294"/>
      <c r="B768" s="1265"/>
      <c r="C768" s="1261"/>
      <c r="D768" s="1261"/>
      <c r="E768" s="1261" t="s">
        <v>316</v>
      </c>
      <c r="F768" s="1261"/>
      <c r="G768" s="1263"/>
      <c r="H768" s="165" t="s">
        <v>46</v>
      </c>
      <c r="I768" s="836"/>
      <c r="J768" s="836"/>
      <c r="K768" s="837"/>
      <c r="L768" s="837"/>
      <c r="M768" s="837"/>
      <c r="N768" s="837"/>
      <c r="O768" s="837"/>
      <c r="P768" s="837"/>
      <c r="Q768" s="1264"/>
      <c r="R768" s="1264"/>
      <c r="S768" s="1264"/>
      <c r="T768" s="1264"/>
      <c r="U768" s="1264"/>
      <c r="V768" s="1264"/>
      <c r="W768" s="1264"/>
      <c r="X768" s="1264"/>
      <c r="Y768" s="1264"/>
      <c r="Z768" s="1264"/>
    </row>
    <row r="769" spans="1:26" ht="19.5" hidden="1">
      <c r="A769" s="759">
        <v>11</v>
      </c>
      <c r="B769" s="1400" t="s">
        <v>317</v>
      </c>
      <c r="C769" s="1401"/>
      <c r="D769" s="1401"/>
      <c r="E769" s="1401"/>
      <c r="F769" s="1401"/>
      <c r="G769" s="1402"/>
      <c r="H769" s="763" t="s">
        <v>46</v>
      </c>
      <c r="I769" s="1403"/>
      <c r="J769" s="1403">
        <f>J784</f>
        <v>0</v>
      </c>
      <c r="K769" s="1404">
        <f>IF(I769&gt;0,J769*100/I769,0)</f>
        <v>0</v>
      </c>
      <c r="L769" s="1405"/>
      <c r="M769" s="1405"/>
      <c r="N769" s="1405"/>
      <c r="O769" s="1405"/>
      <c r="P769" s="1405"/>
      <c r="Q769" s="1264"/>
      <c r="R769" s="1264"/>
      <c r="S769" s="1264"/>
      <c r="T769" s="1264"/>
      <c r="U769" s="1264"/>
      <c r="V769" s="1264"/>
      <c r="W769" s="1264"/>
      <c r="X769" s="1264"/>
      <c r="Y769" s="1264"/>
      <c r="Z769" s="1264"/>
    </row>
    <row r="770" spans="1:26" ht="19.5" hidden="1">
      <c r="A770" s="1260"/>
      <c r="B770" s="1261"/>
      <c r="C770" s="1261" t="s">
        <v>16</v>
      </c>
      <c r="D770" s="1508" t="s">
        <v>17</v>
      </c>
      <c r="E770" s="1485"/>
      <c r="F770" s="1485"/>
      <c r="G770" s="1263"/>
      <c r="H770" s="612" t="s">
        <v>12</v>
      </c>
      <c r="I770" s="836"/>
      <c r="J770" s="836"/>
      <c r="K770" s="837"/>
      <c r="L770" s="1292">
        <f t="shared" ref="L770:N770" si="310">L771+L772</f>
        <v>0</v>
      </c>
      <c r="M770" s="1292">
        <f t="shared" si="310"/>
        <v>0</v>
      </c>
      <c r="N770" s="1292">
        <f t="shared" si="310"/>
        <v>0</v>
      </c>
      <c r="O770" s="1292">
        <f t="shared" ref="O770:O775" si="311">IF(L770&gt;0,N770*100/L770,0)</f>
        <v>0</v>
      </c>
      <c r="P770" s="1292">
        <f t="shared" ref="P770:P775" si="312">IF(M770&gt;0,N770*100/M770,0)</f>
        <v>0</v>
      </c>
      <c r="Q770" s="1264"/>
      <c r="R770" s="1264"/>
      <c r="S770" s="1264"/>
      <c r="T770" s="1264"/>
      <c r="U770" s="1264"/>
      <c r="V770" s="1264"/>
      <c r="W770" s="1264"/>
      <c r="X770" s="1264"/>
      <c r="Y770" s="1264"/>
      <c r="Z770" s="1264"/>
    </row>
    <row r="771" spans="1:26" ht="18.75" hidden="1">
      <c r="A771" s="1260"/>
      <c r="B771" s="1261"/>
      <c r="C771" s="1261"/>
      <c r="D771" s="1262"/>
      <c r="E771" s="1261" t="s">
        <v>184</v>
      </c>
      <c r="F771" s="1261"/>
      <c r="G771" s="1263"/>
      <c r="H771" s="165" t="s">
        <v>12</v>
      </c>
      <c r="I771" s="836"/>
      <c r="J771" s="836"/>
      <c r="K771" s="837"/>
      <c r="L771" s="837">
        <f t="shared" ref="L771:N772" si="313">L774+L781</f>
        <v>0</v>
      </c>
      <c r="M771" s="837">
        <f t="shared" si="313"/>
        <v>0</v>
      </c>
      <c r="N771" s="837">
        <f t="shared" si="313"/>
        <v>0</v>
      </c>
      <c r="O771" s="837">
        <f t="shared" si="311"/>
        <v>0</v>
      </c>
      <c r="P771" s="837">
        <f t="shared" si="312"/>
        <v>0</v>
      </c>
      <c r="Q771" s="1264"/>
      <c r="R771" s="1264"/>
      <c r="S771" s="1264"/>
      <c r="T771" s="1264"/>
      <c r="U771" s="1264"/>
      <c r="V771" s="1264"/>
      <c r="W771" s="1264"/>
      <c r="X771" s="1264"/>
      <c r="Y771" s="1264"/>
      <c r="Z771" s="1264"/>
    </row>
    <row r="772" spans="1:26" ht="18.75" hidden="1">
      <c r="A772" s="1260"/>
      <c r="B772" s="1265"/>
      <c r="C772" s="1261"/>
      <c r="D772" s="1262"/>
      <c r="E772" s="1261" t="s">
        <v>185</v>
      </c>
      <c r="F772" s="1261"/>
      <c r="G772" s="1263"/>
      <c r="H772" s="165" t="s">
        <v>12</v>
      </c>
      <c r="I772" s="836"/>
      <c r="J772" s="836"/>
      <c r="K772" s="837"/>
      <c r="L772" s="837">
        <f t="shared" si="313"/>
        <v>0</v>
      </c>
      <c r="M772" s="837">
        <f t="shared" si="313"/>
        <v>0</v>
      </c>
      <c r="N772" s="837">
        <f t="shared" si="313"/>
        <v>0</v>
      </c>
      <c r="O772" s="837">
        <f t="shared" si="311"/>
        <v>0</v>
      </c>
      <c r="P772" s="837">
        <f t="shared" si="312"/>
        <v>0</v>
      </c>
      <c r="Q772" s="1264"/>
      <c r="R772" s="1264"/>
      <c r="S772" s="1264"/>
      <c r="T772" s="1264"/>
      <c r="U772" s="1264"/>
      <c r="V772" s="1264"/>
      <c r="W772" s="1264"/>
      <c r="X772" s="1264"/>
      <c r="Y772" s="1264"/>
      <c r="Z772" s="1264"/>
    </row>
    <row r="773" spans="1:26" ht="19.5" hidden="1">
      <c r="A773" s="1260"/>
      <c r="B773" s="1265"/>
      <c r="C773" s="1261"/>
      <c r="D773" s="1392" t="s">
        <v>20</v>
      </c>
      <c r="E773" s="1261"/>
      <c r="F773" s="1261"/>
      <c r="G773" s="1263"/>
      <c r="H773" s="612" t="s">
        <v>12</v>
      </c>
      <c r="I773" s="947"/>
      <c r="J773" s="947"/>
      <c r="K773" s="948"/>
      <c r="L773" s="1292">
        <f t="shared" ref="L773:N773" si="314">L774+L775</f>
        <v>0</v>
      </c>
      <c r="M773" s="1292">
        <f t="shared" si="314"/>
        <v>0</v>
      </c>
      <c r="N773" s="1292">
        <f t="shared" si="314"/>
        <v>0</v>
      </c>
      <c r="O773" s="1292">
        <f t="shared" si="311"/>
        <v>0</v>
      </c>
      <c r="P773" s="1292">
        <f t="shared" si="312"/>
        <v>0</v>
      </c>
      <c r="Q773" s="1264"/>
      <c r="R773" s="1264"/>
      <c r="S773" s="1264"/>
      <c r="T773" s="1264"/>
      <c r="U773" s="1264"/>
      <c r="V773" s="1264"/>
      <c r="W773" s="1264"/>
      <c r="X773" s="1264"/>
      <c r="Y773" s="1264"/>
      <c r="Z773" s="1264"/>
    </row>
    <row r="774" spans="1:26" ht="18.75" hidden="1">
      <c r="A774" s="1260"/>
      <c r="B774" s="1265"/>
      <c r="C774" s="1261"/>
      <c r="D774" s="1262"/>
      <c r="E774" s="1261" t="s">
        <v>184</v>
      </c>
      <c r="F774" s="1261"/>
      <c r="G774" s="1263"/>
      <c r="H774" s="165" t="s">
        <v>12</v>
      </c>
      <c r="I774" s="836"/>
      <c r="J774" s="836"/>
      <c r="K774" s="837"/>
      <c r="L774" s="837">
        <v>0</v>
      </c>
      <c r="M774" s="837">
        <v>0</v>
      </c>
      <c r="N774" s="837">
        <v>0</v>
      </c>
      <c r="O774" s="837">
        <f t="shared" si="311"/>
        <v>0</v>
      </c>
      <c r="P774" s="837">
        <f t="shared" si="312"/>
        <v>0</v>
      </c>
      <c r="Q774" s="1264"/>
      <c r="R774" s="1264"/>
      <c r="S774" s="1264"/>
      <c r="T774" s="1264"/>
      <c r="U774" s="1264"/>
      <c r="V774" s="1264"/>
      <c r="W774" s="1264"/>
      <c r="X774" s="1264"/>
      <c r="Y774" s="1264"/>
      <c r="Z774" s="1264"/>
    </row>
    <row r="775" spans="1:26" ht="18.75" hidden="1">
      <c r="A775" s="1260"/>
      <c r="B775" s="1265"/>
      <c r="C775" s="1261"/>
      <c r="D775" s="1262"/>
      <c r="E775" s="1261" t="s">
        <v>185</v>
      </c>
      <c r="F775" s="1261"/>
      <c r="G775" s="1263"/>
      <c r="H775" s="165" t="s">
        <v>12</v>
      </c>
      <c r="I775" s="836"/>
      <c r="J775" s="836"/>
      <c r="K775" s="837"/>
      <c r="L775" s="837">
        <v>0</v>
      </c>
      <c r="M775" s="837">
        <v>0</v>
      </c>
      <c r="N775" s="837">
        <f>N776+N777+N778+N779</f>
        <v>0</v>
      </c>
      <c r="O775" s="837">
        <f t="shared" si="311"/>
        <v>0</v>
      </c>
      <c r="P775" s="837">
        <f t="shared" si="312"/>
        <v>0</v>
      </c>
      <c r="Q775" s="1264"/>
      <c r="R775" s="1264"/>
      <c r="S775" s="1264"/>
      <c r="T775" s="1264"/>
      <c r="U775" s="1264"/>
      <c r="V775" s="1264"/>
      <c r="W775" s="1264"/>
      <c r="X775" s="1264"/>
      <c r="Y775" s="1264"/>
      <c r="Z775" s="1264"/>
    </row>
    <row r="776" spans="1:26" ht="18.75" hidden="1">
      <c r="A776" s="1294"/>
      <c r="B776" s="1265"/>
      <c r="C776" s="1261"/>
      <c r="D776" s="1261"/>
      <c r="E776" s="1261"/>
      <c r="F776" s="1261" t="s">
        <v>186</v>
      </c>
      <c r="G776" s="1263"/>
      <c r="H776" s="165" t="s">
        <v>12</v>
      </c>
      <c r="I776" s="836"/>
      <c r="J776" s="836"/>
      <c r="K776" s="837"/>
      <c r="L776" s="837"/>
      <c r="M776" s="837"/>
      <c r="N776" s="837"/>
      <c r="O776" s="837"/>
      <c r="P776" s="837"/>
      <c r="Q776" s="1264"/>
      <c r="R776" s="1264"/>
      <c r="S776" s="1264"/>
      <c r="T776" s="1264"/>
      <c r="U776" s="1264"/>
      <c r="V776" s="1264"/>
      <c r="W776" s="1264"/>
      <c r="X776" s="1264"/>
      <c r="Y776" s="1264"/>
      <c r="Z776" s="1264"/>
    </row>
    <row r="777" spans="1:26" ht="18.75" hidden="1">
      <c r="A777" s="1294"/>
      <c r="B777" s="1265"/>
      <c r="C777" s="1261"/>
      <c r="D777" s="1261"/>
      <c r="E777" s="1261"/>
      <c r="F777" s="1261" t="s">
        <v>187</v>
      </c>
      <c r="G777" s="1263"/>
      <c r="H777" s="165" t="s">
        <v>12</v>
      </c>
      <c r="I777" s="836"/>
      <c r="J777" s="836"/>
      <c r="K777" s="837"/>
      <c r="L777" s="837"/>
      <c r="M777" s="837"/>
      <c r="N777" s="837"/>
      <c r="O777" s="837"/>
      <c r="P777" s="837"/>
      <c r="Q777" s="1264"/>
      <c r="R777" s="1264"/>
      <c r="S777" s="1264"/>
      <c r="T777" s="1264"/>
      <c r="U777" s="1264"/>
      <c r="V777" s="1264"/>
      <c r="W777" s="1264"/>
      <c r="X777" s="1264"/>
      <c r="Y777" s="1264"/>
      <c r="Z777" s="1264"/>
    </row>
    <row r="778" spans="1:26" ht="18.75" hidden="1">
      <c r="A778" s="1294"/>
      <c r="B778" s="1265"/>
      <c r="C778" s="1261"/>
      <c r="D778" s="1261"/>
      <c r="E778" s="1261"/>
      <c r="F778" s="1261" t="s">
        <v>188</v>
      </c>
      <c r="G778" s="1263"/>
      <c r="H778" s="165" t="s">
        <v>12</v>
      </c>
      <c r="I778" s="836"/>
      <c r="J778" s="836"/>
      <c r="K778" s="837"/>
      <c r="L778" s="837"/>
      <c r="M778" s="837"/>
      <c r="N778" s="837"/>
      <c r="O778" s="837"/>
      <c r="P778" s="837"/>
      <c r="Q778" s="1264"/>
      <c r="R778" s="1264"/>
      <c r="S778" s="1264"/>
      <c r="T778" s="1264"/>
      <c r="U778" s="1264"/>
      <c r="V778" s="1264"/>
      <c r="W778" s="1264"/>
      <c r="X778" s="1264"/>
      <c r="Y778" s="1264"/>
      <c r="Z778" s="1264"/>
    </row>
    <row r="779" spans="1:26" ht="18.75" hidden="1">
      <c r="A779" s="1294"/>
      <c r="B779" s="1265"/>
      <c r="C779" s="1261"/>
      <c r="D779" s="1261"/>
      <c r="E779" s="1261"/>
      <c r="F779" s="1261" t="s">
        <v>189</v>
      </c>
      <c r="G779" s="1263"/>
      <c r="H779" s="165" t="s">
        <v>12</v>
      </c>
      <c r="I779" s="836"/>
      <c r="J779" s="836"/>
      <c r="K779" s="837"/>
      <c r="L779" s="837"/>
      <c r="M779" s="837"/>
      <c r="N779" s="837"/>
      <c r="O779" s="837"/>
      <c r="P779" s="837"/>
      <c r="Q779" s="1264"/>
      <c r="R779" s="1264"/>
      <c r="S779" s="1264"/>
      <c r="T779" s="1264"/>
      <c r="U779" s="1264"/>
      <c r="V779" s="1264"/>
      <c r="W779" s="1264"/>
      <c r="X779" s="1264"/>
      <c r="Y779" s="1264"/>
      <c r="Z779" s="1264"/>
    </row>
    <row r="780" spans="1:26" ht="19.5" hidden="1">
      <c r="A780" s="1260"/>
      <c r="B780" s="1265"/>
      <c r="C780" s="1261"/>
      <c r="D780" s="1392" t="s">
        <v>21</v>
      </c>
      <c r="E780" s="1261"/>
      <c r="F780" s="1261"/>
      <c r="G780" s="1263"/>
      <c r="H780" s="749" t="s">
        <v>12</v>
      </c>
      <c r="I780" s="947"/>
      <c r="J780" s="947"/>
      <c r="K780" s="948"/>
      <c r="L780" s="1292">
        <f t="shared" ref="L780:N780" si="315">L781+L782</f>
        <v>0</v>
      </c>
      <c r="M780" s="1292">
        <f t="shared" si="315"/>
        <v>0</v>
      </c>
      <c r="N780" s="1292">
        <f t="shared" si="315"/>
        <v>0</v>
      </c>
      <c r="O780" s="1292">
        <f t="shared" ref="O780:O782" si="316">IF(L780&gt;0,N780*100/L780,0)</f>
        <v>0</v>
      </c>
      <c r="P780" s="1292">
        <f t="shared" ref="P780:P782" si="317">IF(M780&gt;0,N780*100/M780,0)</f>
        <v>0</v>
      </c>
      <c r="Q780" s="1264"/>
      <c r="R780" s="1264"/>
      <c r="S780" s="1264"/>
      <c r="T780" s="1264"/>
      <c r="U780" s="1264"/>
      <c r="V780" s="1264"/>
      <c r="W780" s="1264"/>
      <c r="X780" s="1264"/>
      <c r="Y780" s="1264"/>
      <c r="Z780" s="1264"/>
    </row>
    <row r="781" spans="1:26" ht="18.75" hidden="1">
      <c r="A781" s="1260"/>
      <c r="B781" s="1265"/>
      <c r="C781" s="1261"/>
      <c r="D781" s="1261"/>
      <c r="E781" s="1261" t="s">
        <v>18</v>
      </c>
      <c r="F781" s="1261"/>
      <c r="G781" s="1263"/>
      <c r="H781" s="165" t="s">
        <v>12</v>
      </c>
      <c r="I781" s="947"/>
      <c r="J781" s="947"/>
      <c r="K781" s="948"/>
      <c r="L781" s="837">
        <v>0</v>
      </c>
      <c r="M781" s="837">
        <v>0</v>
      </c>
      <c r="N781" s="837">
        <v>0</v>
      </c>
      <c r="O781" s="837">
        <f t="shared" si="316"/>
        <v>0</v>
      </c>
      <c r="P781" s="837">
        <f t="shared" si="317"/>
        <v>0</v>
      </c>
      <c r="Q781" s="1264"/>
      <c r="R781" s="1264"/>
      <c r="S781" s="1264"/>
      <c r="T781" s="1264"/>
      <c r="U781" s="1264"/>
      <c r="V781" s="1264"/>
      <c r="W781" s="1264"/>
      <c r="X781" s="1264"/>
      <c r="Y781" s="1264"/>
      <c r="Z781" s="1264"/>
    </row>
    <row r="782" spans="1:26" ht="18.75" hidden="1">
      <c r="A782" s="1260"/>
      <c r="B782" s="1265"/>
      <c r="C782" s="1261"/>
      <c r="D782" s="1261"/>
      <c r="E782" s="1261" t="s">
        <v>19</v>
      </c>
      <c r="F782" s="1261"/>
      <c r="G782" s="1263"/>
      <c r="H782" s="169" t="s">
        <v>12</v>
      </c>
      <c r="I782" s="947"/>
      <c r="J782" s="947"/>
      <c r="K782" s="948"/>
      <c r="L782" s="837">
        <v>0</v>
      </c>
      <c r="M782" s="837">
        <v>0</v>
      </c>
      <c r="N782" s="837">
        <v>0</v>
      </c>
      <c r="O782" s="837">
        <f t="shared" si="316"/>
        <v>0</v>
      </c>
      <c r="P782" s="837">
        <f t="shared" si="317"/>
        <v>0</v>
      </c>
      <c r="Q782" s="1264"/>
      <c r="R782" s="1264"/>
      <c r="S782" s="1264"/>
      <c r="T782" s="1264"/>
      <c r="U782" s="1264"/>
      <c r="V782" s="1264"/>
      <c r="W782" s="1264"/>
      <c r="X782" s="1264"/>
      <c r="Y782" s="1264"/>
      <c r="Z782" s="1264"/>
    </row>
    <row r="783" spans="1:26" ht="19.5" hidden="1">
      <c r="A783" s="1273"/>
      <c r="B783" s="1274"/>
      <c r="C783" s="1261" t="s">
        <v>16</v>
      </c>
      <c r="D783" s="1393" t="s">
        <v>38</v>
      </c>
      <c r="E783" s="1296"/>
      <c r="F783" s="1296"/>
      <c r="G783" s="1297"/>
      <c r="H783" s="1406"/>
      <c r="I783" s="947"/>
      <c r="J783" s="947"/>
      <c r="K783" s="948"/>
      <c r="L783" s="948"/>
      <c r="M783" s="948"/>
      <c r="N783" s="948"/>
      <c r="O783" s="948"/>
      <c r="P783" s="948"/>
      <c r="Q783" s="1264"/>
      <c r="R783" s="1264"/>
      <c r="S783" s="1264"/>
      <c r="T783" s="1264"/>
      <c r="U783" s="1264"/>
      <c r="V783" s="1264"/>
      <c r="W783" s="1264"/>
      <c r="X783" s="1264"/>
      <c r="Y783" s="1264"/>
      <c r="Z783" s="1264"/>
    </row>
    <row r="784" spans="1:26" ht="18.75" hidden="1">
      <c r="A784" s="1294"/>
      <c r="B784" s="1265"/>
      <c r="C784" s="1261"/>
      <c r="D784" s="1261"/>
      <c r="E784" s="1261" t="s">
        <v>318</v>
      </c>
      <c r="F784" s="1261"/>
      <c r="G784" s="1263"/>
      <c r="H784" s="165" t="s">
        <v>46</v>
      </c>
      <c r="I784" s="836"/>
      <c r="J784" s="836"/>
      <c r="K784" s="837"/>
      <c r="L784" s="837"/>
      <c r="M784" s="837"/>
      <c r="N784" s="837"/>
      <c r="O784" s="837"/>
      <c r="P784" s="837"/>
      <c r="Q784" s="1264"/>
      <c r="R784" s="1264"/>
      <c r="S784" s="1264"/>
      <c r="T784" s="1264"/>
      <c r="U784" s="1264"/>
      <c r="V784" s="1264"/>
      <c r="W784" s="1264"/>
      <c r="X784" s="1264"/>
      <c r="Y784" s="1264"/>
      <c r="Z784" s="1264"/>
    </row>
    <row r="785" spans="1:26" ht="19.5">
      <c r="A785" s="768">
        <v>12</v>
      </c>
      <c r="B785" s="1407" t="s">
        <v>319</v>
      </c>
      <c r="C785" s="1408"/>
      <c r="D785" s="1408"/>
      <c r="E785" s="1408"/>
      <c r="F785" s="1408"/>
      <c r="G785" s="1409"/>
      <c r="H785" s="1444" t="s">
        <v>46</v>
      </c>
      <c r="I785" s="1445">
        <f t="shared" ref="I785:J785" ca="1" si="318">I801+I803</f>
        <v>2000</v>
      </c>
      <c r="J785" s="1445">
        <f t="shared" ca="1" si="318"/>
        <v>1911</v>
      </c>
      <c r="K785" s="1446">
        <f ca="1">IF(I785&gt;0,J785*100/I785,0)</f>
        <v>95.55</v>
      </c>
      <c r="L785" s="1412"/>
      <c r="M785" s="1412"/>
      <c r="N785" s="1412"/>
      <c r="O785" s="1412"/>
      <c r="P785" s="1412"/>
      <c r="Q785" s="1244"/>
      <c r="R785" s="1244"/>
      <c r="S785" s="1244"/>
      <c r="T785" s="1244"/>
      <c r="U785" s="1244"/>
      <c r="V785" s="1244"/>
      <c r="W785" s="1244"/>
      <c r="X785" s="1244"/>
      <c r="Y785" s="1244"/>
      <c r="Z785" s="1244"/>
    </row>
    <row r="786" spans="1:26" ht="19.5">
      <c r="A786" s="1259"/>
      <c r="B786" s="1242"/>
      <c r="C786" s="1243" t="s">
        <v>16</v>
      </c>
      <c r="D786" s="1507" t="s">
        <v>17</v>
      </c>
      <c r="E786" s="1485"/>
      <c r="F786" s="1485"/>
      <c r="G786" s="963"/>
      <c r="H786" s="1447" t="s">
        <v>12</v>
      </c>
      <c r="I786" s="1448"/>
      <c r="J786" s="1448"/>
      <c r="K786" s="1449"/>
      <c r="L786" s="967">
        <f t="shared" ref="L786:N786" ca="1" si="319">L787+L788</f>
        <v>137280</v>
      </c>
      <c r="M786" s="967">
        <f t="shared" si="319"/>
        <v>0</v>
      </c>
      <c r="N786" s="967">
        <f t="shared" si="319"/>
        <v>37580</v>
      </c>
      <c r="O786" s="967">
        <f t="shared" ref="O786:O791" ca="1" si="320">IF(L786&gt;0,N786*100/L786,0)</f>
        <v>27.374708624708624</v>
      </c>
      <c r="P786" s="967">
        <f t="shared" ref="P786:P791" si="321">IF(M786&gt;0,N786*100/M786,0)</f>
        <v>0</v>
      </c>
      <c r="Q786" s="1244"/>
      <c r="R786" s="1244"/>
      <c r="S786" s="1244"/>
      <c r="T786" s="1244"/>
      <c r="U786" s="1244"/>
      <c r="V786" s="1244"/>
      <c r="W786" s="1244"/>
      <c r="X786" s="1244"/>
      <c r="Y786" s="1244"/>
      <c r="Z786" s="1244"/>
    </row>
    <row r="787" spans="1:26" ht="18.75" hidden="1">
      <c r="A787" s="1260"/>
      <c r="B787" s="1265"/>
      <c r="C787" s="1261"/>
      <c r="D787" s="1262"/>
      <c r="E787" s="1261" t="s">
        <v>184</v>
      </c>
      <c r="F787" s="1261"/>
      <c r="G787" s="1263"/>
      <c r="H787" s="1450" t="s">
        <v>12</v>
      </c>
      <c r="I787" s="1448"/>
      <c r="J787" s="1448"/>
      <c r="K787" s="1449"/>
      <c r="L787" s="837">
        <f t="shared" ref="L787:N788" si="322">L790+L797</f>
        <v>0</v>
      </c>
      <c r="M787" s="837">
        <f t="shared" si="322"/>
        <v>0</v>
      </c>
      <c r="N787" s="837">
        <f t="shared" si="322"/>
        <v>0</v>
      </c>
      <c r="O787" s="837">
        <f t="shared" si="320"/>
        <v>0</v>
      </c>
      <c r="P787" s="837">
        <f t="shared" si="321"/>
        <v>0</v>
      </c>
      <c r="Q787" s="1264"/>
      <c r="R787" s="1264"/>
      <c r="S787" s="1264"/>
      <c r="T787" s="1264"/>
      <c r="U787" s="1264"/>
      <c r="V787" s="1264"/>
      <c r="W787" s="1264"/>
      <c r="X787" s="1264"/>
      <c r="Y787" s="1264"/>
      <c r="Z787" s="1264"/>
    </row>
    <row r="788" spans="1:26" ht="18.75" hidden="1">
      <c r="A788" s="1260"/>
      <c r="B788" s="1265"/>
      <c r="C788" s="1265"/>
      <c r="D788" s="1274"/>
      <c r="E788" s="1261" t="s">
        <v>185</v>
      </c>
      <c r="F788" s="1261"/>
      <c r="G788" s="1263"/>
      <c r="H788" s="1450" t="s">
        <v>12</v>
      </c>
      <c r="I788" s="1448"/>
      <c r="J788" s="1448"/>
      <c r="K788" s="1449"/>
      <c r="L788" s="837">
        <f t="shared" ca="1" si="322"/>
        <v>137280</v>
      </c>
      <c r="M788" s="837">
        <f t="shared" si="322"/>
        <v>0</v>
      </c>
      <c r="N788" s="837">
        <f t="shared" si="322"/>
        <v>37580</v>
      </c>
      <c r="O788" s="837">
        <f t="shared" ca="1" si="320"/>
        <v>27.374708624708624</v>
      </c>
      <c r="P788" s="837">
        <f t="shared" si="321"/>
        <v>0</v>
      </c>
      <c r="Q788" s="1264"/>
      <c r="R788" s="1264"/>
      <c r="S788" s="1264"/>
      <c r="T788" s="1264"/>
      <c r="U788" s="1264"/>
      <c r="V788" s="1264"/>
      <c r="W788" s="1264"/>
      <c r="X788" s="1264"/>
      <c r="Y788" s="1264"/>
      <c r="Z788" s="1264"/>
    </row>
    <row r="789" spans="1:26" ht="18.75">
      <c r="A789" s="1259"/>
      <c r="B789" s="1242"/>
      <c r="C789" s="1242"/>
      <c r="D789" s="1266" t="s">
        <v>20</v>
      </c>
      <c r="E789" s="1243"/>
      <c r="F789" s="1243"/>
      <c r="G789" s="963"/>
      <c r="H789" s="1451" t="s">
        <v>12</v>
      </c>
      <c r="I789" s="1452"/>
      <c r="J789" s="1452"/>
      <c r="K789" s="1453"/>
      <c r="L789" s="831">
        <f t="shared" ref="L789:N789" ca="1" si="323">L790+L791</f>
        <v>137280</v>
      </c>
      <c r="M789" s="831">
        <f t="shared" si="323"/>
        <v>0</v>
      </c>
      <c r="N789" s="831">
        <f t="shared" si="323"/>
        <v>37580</v>
      </c>
      <c r="O789" s="831">
        <f t="shared" ca="1" si="320"/>
        <v>27.374708624708624</v>
      </c>
      <c r="P789" s="831">
        <f t="shared" si="321"/>
        <v>0</v>
      </c>
      <c r="Q789" s="1244"/>
      <c r="R789" s="1244"/>
      <c r="S789" s="1244"/>
      <c r="T789" s="1244"/>
      <c r="U789" s="1244"/>
      <c r="V789" s="1244"/>
      <c r="W789" s="1244"/>
      <c r="X789" s="1244"/>
      <c r="Y789" s="1244"/>
      <c r="Z789" s="1244"/>
    </row>
    <row r="790" spans="1:26" ht="18.75" hidden="1">
      <c r="A790" s="1260"/>
      <c r="B790" s="1265"/>
      <c r="C790" s="1265"/>
      <c r="D790" s="1274"/>
      <c r="E790" s="1261" t="s">
        <v>184</v>
      </c>
      <c r="F790" s="1261"/>
      <c r="G790" s="1263"/>
      <c r="H790" s="1450" t="s">
        <v>12</v>
      </c>
      <c r="I790" s="1448"/>
      <c r="J790" s="1448"/>
      <c r="K790" s="1449"/>
      <c r="L790" s="837">
        <v>0</v>
      </c>
      <c r="M790" s="837">
        <v>0</v>
      </c>
      <c r="N790" s="837">
        <v>0</v>
      </c>
      <c r="O790" s="837">
        <f t="shared" si="320"/>
        <v>0</v>
      </c>
      <c r="P790" s="837">
        <f t="shared" si="321"/>
        <v>0</v>
      </c>
      <c r="Q790" s="1264"/>
      <c r="R790" s="1264"/>
      <c r="S790" s="1264"/>
      <c r="T790" s="1264"/>
      <c r="U790" s="1264"/>
      <c r="V790" s="1264"/>
      <c r="W790" s="1264"/>
      <c r="X790" s="1264"/>
      <c r="Y790" s="1264"/>
      <c r="Z790" s="1264"/>
    </row>
    <row r="791" spans="1:26" ht="18.75" hidden="1">
      <c r="A791" s="1260"/>
      <c r="B791" s="1265"/>
      <c r="C791" s="1265"/>
      <c r="D791" s="1274"/>
      <c r="E791" s="1261" t="s">
        <v>185</v>
      </c>
      <c r="F791" s="1261"/>
      <c r="G791" s="1263"/>
      <c r="H791" s="1450" t="s">
        <v>12</v>
      </c>
      <c r="I791" s="1448"/>
      <c r="J791" s="1448"/>
      <c r="K791" s="1449"/>
      <c r="L791" s="837">
        <f ca="1">IFERROR(__xludf.DUMMYFUNCTION("IMPORTRANGE(""https://docs.google.com/spreadsheets/d/1QqKyyYR6Q21VydFLVH3TRQUabQu_ym0Zz7PgGX0-kHA/edit?usp=sharing"",""แผน!JJ21"")"),137280)</f>
        <v>137280</v>
      </c>
      <c r="M791" s="837">
        <v>0</v>
      </c>
      <c r="N791" s="837">
        <f>N792+N793+N794+N795</f>
        <v>37580</v>
      </c>
      <c r="O791" s="837">
        <f t="shared" ca="1" si="320"/>
        <v>27.374708624708624</v>
      </c>
      <c r="P791" s="837">
        <f t="shared" si="321"/>
        <v>0</v>
      </c>
      <c r="Q791" s="1264"/>
      <c r="R791" s="1264"/>
      <c r="S791" s="1264"/>
      <c r="T791" s="1264"/>
      <c r="U791" s="1264"/>
      <c r="V791" s="1264"/>
      <c r="W791" s="1264"/>
      <c r="X791" s="1264"/>
      <c r="Y791" s="1264"/>
      <c r="Z791" s="1264"/>
    </row>
    <row r="792" spans="1:26" ht="18.75">
      <c r="A792" s="1241"/>
      <c r="B792" s="1242"/>
      <c r="C792" s="1243"/>
      <c r="D792" s="1243"/>
      <c r="E792" s="1243"/>
      <c r="F792" s="1243" t="s">
        <v>186</v>
      </c>
      <c r="G792" s="963"/>
      <c r="H792" s="1451" t="s">
        <v>12</v>
      </c>
      <c r="I792" s="1448"/>
      <c r="J792" s="1448"/>
      <c r="K792" s="1449"/>
      <c r="L792" s="831"/>
      <c r="M792" s="831"/>
      <c r="N792" s="1031">
        <v>0</v>
      </c>
      <c r="O792" s="831"/>
      <c r="P792" s="831"/>
      <c r="Q792" s="1244"/>
      <c r="R792" s="1244"/>
      <c r="S792" s="1244"/>
      <c r="T792" s="1244"/>
      <c r="U792" s="1244"/>
      <c r="V792" s="1244"/>
      <c r="W792" s="1244"/>
      <c r="X792" s="1244"/>
      <c r="Y792" s="1244"/>
      <c r="Z792" s="1244"/>
    </row>
    <row r="793" spans="1:26" ht="18.75">
      <c r="A793" s="1241"/>
      <c r="B793" s="1242"/>
      <c r="C793" s="1243"/>
      <c r="D793" s="1243"/>
      <c r="E793" s="1243"/>
      <c r="F793" s="1243" t="s">
        <v>187</v>
      </c>
      <c r="G793" s="963"/>
      <c r="H793" s="1451" t="s">
        <v>12</v>
      </c>
      <c r="I793" s="1448"/>
      <c r="J793" s="1448"/>
      <c r="K793" s="1449"/>
      <c r="L793" s="831"/>
      <c r="M793" s="831"/>
      <c r="N793" s="1031">
        <v>0</v>
      </c>
      <c r="O793" s="831"/>
      <c r="P793" s="831"/>
      <c r="Q793" s="1244"/>
      <c r="R793" s="1244"/>
      <c r="S793" s="1244"/>
      <c r="T793" s="1244"/>
      <c r="U793" s="1244"/>
      <c r="V793" s="1244"/>
      <c r="W793" s="1244"/>
      <c r="X793" s="1244"/>
      <c r="Y793" s="1244"/>
      <c r="Z793" s="1244"/>
    </row>
    <row r="794" spans="1:26" ht="18.75">
      <c r="A794" s="1241"/>
      <c r="B794" s="1242"/>
      <c r="C794" s="1243"/>
      <c r="D794" s="1243"/>
      <c r="E794" s="1243"/>
      <c r="F794" s="1243" t="s">
        <v>188</v>
      </c>
      <c r="G794" s="963"/>
      <c r="H794" s="1451" t="s">
        <v>12</v>
      </c>
      <c r="I794" s="1448"/>
      <c r="J794" s="1448"/>
      <c r="K794" s="1449"/>
      <c r="L794" s="831"/>
      <c r="M794" s="831"/>
      <c r="N794" s="1031">
        <v>0</v>
      </c>
      <c r="O794" s="831"/>
      <c r="P794" s="831"/>
      <c r="Q794" s="1244"/>
      <c r="R794" s="1244"/>
      <c r="S794" s="1244"/>
      <c r="T794" s="1244"/>
      <c r="U794" s="1244"/>
      <c r="V794" s="1244"/>
      <c r="W794" s="1244"/>
      <c r="X794" s="1244"/>
      <c r="Y794" s="1244"/>
      <c r="Z794" s="1244"/>
    </row>
    <row r="795" spans="1:26" ht="18.75">
      <c r="A795" s="1241"/>
      <c r="B795" s="1242"/>
      <c r="C795" s="1243"/>
      <c r="D795" s="1243"/>
      <c r="E795" s="1243"/>
      <c r="F795" s="1243" t="s">
        <v>189</v>
      </c>
      <c r="G795" s="963"/>
      <c r="H795" s="1451" t="s">
        <v>12</v>
      </c>
      <c r="I795" s="1448"/>
      <c r="J795" s="1448"/>
      <c r="K795" s="1449"/>
      <c r="L795" s="831"/>
      <c r="M795" s="831"/>
      <c r="N795" s="1031">
        <v>37580</v>
      </c>
      <c r="O795" s="831"/>
      <c r="P795" s="831"/>
      <c r="Q795" s="1244"/>
      <c r="R795" s="1244"/>
      <c r="S795" s="1244"/>
      <c r="T795" s="1244"/>
      <c r="U795" s="1244"/>
      <c r="V795" s="1244"/>
      <c r="W795" s="1244"/>
      <c r="X795" s="1244"/>
      <c r="Y795" s="1244"/>
      <c r="Z795" s="1244"/>
    </row>
    <row r="796" spans="1:26" ht="18.75">
      <c r="A796" s="1259"/>
      <c r="B796" s="1242"/>
      <c r="C796" s="1243"/>
      <c r="D796" s="1266" t="s">
        <v>21</v>
      </c>
      <c r="E796" s="1243"/>
      <c r="F796" s="1243"/>
      <c r="G796" s="963"/>
      <c r="H796" s="1454" t="s">
        <v>12</v>
      </c>
      <c r="I796" s="1452"/>
      <c r="J796" s="1452"/>
      <c r="K796" s="1453"/>
      <c r="L796" s="831">
        <f t="shared" ref="L796:N796" si="324">L797+L798</f>
        <v>0</v>
      </c>
      <c r="M796" s="831">
        <f t="shared" si="324"/>
        <v>0</v>
      </c>
      <c r="N796" s="831">
        <f t="shared" si="324"/>
        <v>0</v>
      </c>
      <c r="O796" s="831">
        <f t="shared" ref="O796:O798" si="325">IF(L796&gt;0,N796*100/L796,0)</f>
        <v>0</v>
      </c>
      <c r="P796" s="831">
        <f t="shared" ref="P796:P798" si="326">IF(M796&gt;0,N796*100/M796,0)</f>
        <v>0</v>
      </c>
      <c r="Q796" s="1244"/>
      <c r="R796" s="1244"/>
      <c r="S796" s="1244"/>
      <c r="T796" s="1244"/>
      <c r="U796" s="1244"/>
      <c r="V796" s="1244"/>
      <c r="W796" s="1244"/>
      <c r="X796" s="1244"/>
      <c r="Y796" s="1244"/>
      <c r="Z796" s="1244"/>
    </row>
    <row r="797" spans="1:26" ht="18.75" hidden="1">
      <c r="A797" s="1260"/>
      <c r="B797" s="1265"/>
      <c r="C797" s="1261"/>
      <c r="D797" s="1261"/>
      <c r="E797" s="1261" t="s">
        <v>18</v>
      </c>
      <c r="F797" s="1261"/>
      <c r="G797" s="1263"/>
      <c r="H797" s="1450" t="s">
        <v>12</v>
      </c>
      <c r="I797" s="1452"/>
      <c r="J797" s="1452"/>
      <c r="K797" s="1453"/>
      <c r="L797" s="837">
        <v>0</v>
      </c>
      <c r="M797" s="837">
        <v>0</v>
      </c>
      <c r="N797" s="837">
        <v>0</v>
      </c>
      <c r="O797" s="837">
        <f t="shared" si="325"/>
        <v>0</v>
      </c>
      <c r="P797" s="837">
        <f t="shared" si="326"/>
        <v>0</v>
      </c>
      <c r="Q797" s="1264"/>
      <c r="R797" s="1264"/>
      <c r="S797" s="1264"/>
      <c r="T797" s="1264"/>
      <c r="U797" s="1264"/>
      <c r="V797" s="1264"/>
      <c r="W797" s="1264"/>
      <c r="X797" s="1264"/>
      <c r="Y797" s="1264"/>
      <c r="Z797" s="1264"/>
    </row>
    <row r="798" spans="1:26" ht="18.75" hidden="1">
      <c r="A798" s="1260"/>
      <c r="B798" s="1265"/>
      <c r="C798" s="1261"/>
      <c r="D798" s="1261"/>
      <c r="E798" s="1261" t="s">
        <v>19</v>
      </c>
      <c r="F798" s="1261"/>
      <c r="G798" s="1263"/>
      <c r="H798" s="1455" t="s">
        <v>12</v>
      </c>
      <c r="I798" s="1452"/>
      <c r="J798" s="1452"/>
      <c r="K798" s="1453"/>
      <c r="L798" s="837">
        <v>0</v>
      </c>
      <c r="M798" s="837">
        <v>0</v>
      </c>
      <c r="N798" s="837">
        <v>0</v>
      </c>
      <c r="O798" s="837">
        <f t="shared" si="325"/>
        <v>0</v>
      </c>
      <c r="P798" s="837">
        <f t="shared" si="326"/>
        <v>0</v>
      </c>
      <c r="Q798" s="1264"/>
      <c r="R798" s="1264"/>
      <c r="S798" s="1264"/>
      <c r="T798" s="1264"/>
      <c r="U798" s="1264"/>
      <c r="V798" s="1264"/>
      <c r="W798" s="1264"/>
      <c r="X798" s="1264"/>
      <c r="Y798" s="1264"/>
      <c r="Z798" s="1264"/>
    </row>
    <row r="799" spans="1:26" ht="19.5">
      <c r="A799" s="1267"/>
      <c r="B799" s="1268"/>
      <c r="C799" s="1243" t="s">
        <v>16</v>
      </c>
      <c r="D799" s="1378" t="s">
        <v>38</v>
      </c>
      <c r="E799" s="1271"/>
      <c r="F799" s="1271"/>
      <c r="G799" s="1272"/>
      <c r="H799" s="1456"/>
      <c r="I799" s="1452"/>
      <c r="J799" s="1452"/>
      <c r="K799" s="1453"/>
      <c r="L799" s="945"/>
      <c r="M799" s="945"/>
      <c r="N799" s="945"/>
      <c r="O799" s="945"/>
      <c r="P799" s="945"/>
      <c r="Q799" s="1244"/>
      <c r="R799" s="1244"/>
      <c r="S799" s="1244"/>
      <c r="T799" s="1244"/>
      <c r="U799" s="1244"/>
      <c r="V799" s="1244"/>
      <c r="W799" s="1244"/>
      <c r="X799" s="1244"/>
      <c r="Y799" s="1244"/>
      <c r="Z799" s="1244"/>
    </row>
    <row r="800" spans="1:26" ht="18.75">
      <c r="A800" s="1267"/>
      <c r="B800" s="1268"/>
      <c r="C800" s="1268"/>
      <c r="D800" s="1268"/>
      <c r="E800" s="961"/>
      <c r="F800" s="961" t="s">
        <v>320</v>
      </c>
      <c r="G800" s="954"/>
      <c r="H800" s="1457" t="s">
        <v>34</v>
      </c>
      <c r="I800" s="1452"/>
      <c r="J800" s="1458">
        <f ca="1">IFERROR(__xludf.DUMMYFUNCTION("IMPORTRANGE(""https://docs.google.com/spreadsheets/d/1MaWodYyGHDf7siQLGxnXhG4mBNTNIuy296niS2xXulU/edit?usp=sharing"",""RTK!H21"")"),81)</f>
        <v>81</v>
      </c>
      <c r="K800" s="1449"/>
      <c r="L800" s="831"/>
      <c r="M800" s="831"/>
      <c r="N800" s="831"/>
      <c r="O800" s="945"/>
      <c r="P800" s="945"/>
      <c r="Q800" s="1244"/>
      <c r="R800" s="1244"/>
      <c r="S800" s="1244"/>
      <c r="T800" s="1244"/>
      <c r="U800" s="1244"/>
      <c r="V800" s="1244"/>
      <c r="W800" s="1244"/>
      <c r="X800" s="1244"/>
      <c r="Y800" s="1244"/>
      <c r="Z800" s="1244"/>
    </row>
    <row r="801" spans="1:26" ht="18.75">
      <c r="A801" s="1267"/>
      <c r="B801" s="1268"/>
      <c r="C801" s="1268"/>
      <c r="D801" s="1268"/>
      <c r="E801" s="961"/>
      <c r="F801" s="961"/>
      <c r="G801" s="954"/>
      <c r="H801" s="1451" t="s">
        <v>46</v>
      </c>
      <c r="I801" s="1458">
        <f ca="1">IFERROR(__xludf.DUMMYFUNCTION("IMPORTRANGE(""https://docs.google.com/spreadsheets/d/1MaWodYyGHDf7siQLGxnXhG4mBNTNIuy296niS2xXulU/edit?usp=sharing"",""RTK!G21"")"),2000)</f>
        <v>2000</v>
      </c>
      <c r="J801" s="1459">
        <f ca="1">IFERROR(__xludf.DUMMYFUNCTION("IMPORTRANGE(""https://docs.google.com/spreadsheets/d/1MaWodYyGHDf7siQLGxnXhG4mBNTNIuy296niS2xXulU/edit?usp=sharing"",""RTK!I21"")"),1911)</f>
        <v>1911</v>
      </c>
      <c r="K801" s="1460">
        <f ca="1">IF(I801&gt;0,J801*100/I801,0)</f>
        <v>95.55</v>
      </c>
      <c r="L801" s="831"/>
      <c r="M801" s="831"/>
      <c r="N801" s="831"/>
      <c r="O801" s="945"/>
      <c r="P801" s="945"/>
      <c r="Q801" s="1244"/>
      <c r="R801" s="1244"/>
      <c r="S801" s="1244"/>
      <c r="T801" s="1244"/>
      <c r="U801" s="1244"/>
      <c r="V801" s="1244"/>
      <c r="W801" s="1244"/>
      <c r="X801" s="1244"/>
      <c r="Y801" s="1244"/>
      <c r="Z801" s="1244"/>
    </row>
    <row r="802" spans="1:26" ht="18.75">
      <c r="A802" s="1273"/>
      <c r="B802" s="1274"/>
      <c r="C802" s="1274"/>
      <c r="D802" s="1274"/>
      <c r="E802" s="1262"/>
      <c r="F802" s="1416" t="s">
        <v>321</v>
      </c>
      <c r="G802" s="1060"/>
      <c r="H802" s="1457" t="s">
        <v>34</v>
      </c>
      <c r="I802" s="1452"/>
      <c r="J802" s="1458">
        <f ca="1">IFERROR(__xludf.DUMMYFUNCTION("IMPORTRANGE(""https://docs.google.com/spreadsheets/d/1MaWodYyGHDf7siQLGxnXhG4mBNTNIuy296niS2xXulU/edit?usp=sharing"",""RTK!L21"")"),0)</f>
        <v>0</v>
      </c>
      <c r="K802" s="1449"/>
      <c r="L802" s="948"/>
      <c r="M802" s="948"/>
      <c r="N802" s="948"/>
      <c r="O802" s="948"/>
      <c r="P802" s="948"/>
      <c r="Q802" s="1264"/>
      <c r="R802" s="1264"/>
      <c r="S802" s="1264"/>
      <c r="T802" s="1264"/>
      <c r="U802" s="1264"/>
      <c r="V802" s="1264"/>
      <c r="W802" s="1264"/>
      <c r="X802" s="1264"/>
      <c r="Y802" s="1264"/>
      <c r="Z802" s="1264"/>
    </row>
    <row r="803" spans="1:26" ht="18.75">
      <c r="A803" s="1273"/>
      <c r="B803" s="1274"/>
      <c r="C803" s="1274"/>
      <c r="D803" s="1274"/>
      <c r="E803" s="1262"/>
      <c r="F803" s="1262"/>
      <c r="G803" s="1060"/>
      <c r="H803" s="1457" t="s">
        <v>46</v>
      </c>
      <c r="I803" s="1458">
        <f ca="1">IFERROR(__xludf.DUMMYFUNCTION("IMPORTRANGE(""https://docs.google.com/spreadsheets/d/1MaWodYyGHDf7siQLGxnXhG4mBNTNIuy296niS2xXulU/edit?usp=sharing"",""RTK!K21"")"),0)</f>
        <v>0</v>
      </c>
      <c r="J803" s="1459">
        <f ca="1">IFERROR(__xludf.DUMMYFUNCTION("IMPORTRANGE(""https://docs.google.com/spreadsheets/d/1MaWodYyGHDf7siQLGxnXhG4mBNTNIuy296niS2xXulU/edit?usp=sharing"",""RTK!M21"")"),0)</f>
        <v>0</v>
      </c>
      <c r="K803" s="1460">
        <f t="shared" ref="K803:K804" ca="1" si="327">IF(I803&gt;0,J803*100/I803,0)</f>
        <v>0</v>
      </c>
      <c r="L803" s="948"/>
      <c r="M803" s="948"/>
      <c r="N803" s="948"/>
      <c r="O803" s="948"/>
      <c r="P803" s="948"/>
      <c r="Q803" s="1264"/>
      <c r="R803" s="1264"/>
      <c r="S803" s="1264"/>
      <c r="T803" s="1264"/>
      <c r="U803" s="1264"/>
      <c r="V803" s="1264"/>
      <c r="W803" s="1264"/>
      <c r="X803" s="1264"/>
      <c r="Y803" s="1264"/>
      <c r="Z803" s="1264"/>
    </row>
    <row r="804" spans="1:26" ht="19.5" hidden="1">
      <c r="A804" s="759">
        <v>13</v>
      </c>
      <c r="B804" s="1400" t="s">
        <v>322</v>
      </c>
      <c r="C804" s="1401"/>
      <c r="D804" s="1419"/>
      <c r="E804" s="1401"/>
      <c r="F804" s="1401"/>
      <c r="G804" s="1402"/>
      <c r="H804" s="763" t="s">
        <v>46</v>
      </c>
      <c r="I804" s="1403"/>
      <c r="J804" s="1403">
        <f>J819</f>
        <v>0</v>
      </c>
      <c r="K804" s="1404">
        <f t="shared" si="327"/>
        <v>0</v>
      </c>
      <c r="L804" s="1405"/>
      <c r="M804" s="1405"/>
      <c r="N804" s="1405"/>
      <c r="O804" s="1405"/>
      <c r="P804" s="1405"/>
      <c r="Q804" s="1264"/>
      <c r="R804" s="1264"/>
      <c r="S804" s="1264"/>
      <c r="T804" s="1264"/>
      <c r="U804" s="1264"/>
      <c r="V804" s="1264"/>
      <c r="W804" s="1264"/>
      <c r="X804" s="1264"/>
      <c r="Y804" s="1264"/>
      <c r="Z804" s="1264"/>
    </row>
    <row r="805" spans="1:26" ht="19.5" hidden="1">
      <c r="A805" s="1260"/>
      <c r="B805" s="1261"/>
      <c r="C805" s="1261" t="s">
        <v>16</v>
      </c>
      <c r="D805" s="1508" t="s">
        <v>17</v>
      </c>
      <c r="E805" s="1485"/>
      <c r="F805" s="1485"/>
      <c r="G805" s="1263"/>
      <c r="H805" s="612" t="s">
        <v>12</v>
      </c>
      <c r="I805" s="836"/>
      <c r="J805" s="836"/>
      <c r="K805" s="837"/>
      <c r="L805" s="1292">
        <f t="shared" ref="L805:N805" si="328">L806+L807</f>
        <v>0</v>
      </c>
      <c r="M805" s="1292">
        <f t="shared" si="328"/>
        <v>0</v>
      </c>
      <c r="N805" s="1292">
        <f t="shared" si="328"/>
        <v>0</v>
      </c>
      <c r="O805" s="1292">
        <f t="shared" ref="O805:O810" si="329">IF(L805&gt;0,N805*100/L805,0)</f>
        <v>0</v>
      </c>
      <c r="P805" s="1292">
        <f t="shared" ref="P805:P810" si="330">IF(M805&gt;0,N805*100/M805,0)</f>
        <v>0</v>
      </c>
      <c r="Q805" s="1264"/>
      <c r="R805" s="1264"/>
      <c r="S805" s="1264"/>
      <c r="T805" s="1264"/>
      <c r="U805" s="1264"/>
      <c r="V805" s="1264"/>
      <c r="W805" s="1264"/>
      <c r="X805" s="1264"/>
      <c r="Y805" s="1264"/>
      <c r="Z805" s="1264"/>
    </row>
    <row r="806" spans="1:26" ht="18.75" hidden="1">
      <c r="A806" s="1260"/>
      <c r="B806" s="1261"/>
      <c r="C806" s="1261"/>
      <c r="D806" s="1274"/>
      <c r="E806" s="1261" t="s">
        <v>184</v>
      </c>
      <c r="F806" s="1261"/>
      <c r="G806" s="1263"/>
      <c r="H806" s="165" t="s">
        <v>12</v>
      </c>
      <c r="I806" s="836"/>
      <c r="J806" s="836"/>
      <c r="K806" s="837"/>
      <c r="L806" s="837">
        <f t="shared" ref="L806:N807" si="331">L809+L816</f>
        <v>0</v>
      </c>
      <c r="M806" s="837">
        <f t="shared" si="331"/>
        <v>0</v>
      </c>
      <c r="N806" s="837">
        <f t="shared" si="331"/>
        <v>0</v>
      </c>
      <c r="O806" s="837">
        <f t="shared" si="329"/>
        <v>0</v>
      </c>
      <c r="P806" s="837">
        <f t="shared" si="330"/>
        <v>0</v>
      </c>
      <c r="Q806" s="1264"/>
      <c r="R806" s="1264"/>
      <c r="S806" s="1264"/>
      <c r="T806" s="1264"/>
      <c r="U806" s="1264"/>
      <c r="V806" s="1264"/>
      <c r="W806" s="1264"/>
      <c r="X806" s="1264"/>
      <c r="Y806" s="1264"/>
      <c r="Z806" s="1264"/>
    </row>
    <row r="807" spans="1:26" ht="18.75" hidden="1">
      <c r="A807" s="1260"/>
      <c r="B807" s="1261"/>
      <c r="C807" s="1261"/>
      <c r="D807" s="1274"/>
      <c r="E807" s="1261" t="s">
        <v>185</v>
      </c>
      <c r="F807" s="1261"/>
      <c r="G807" s="1263"/>
      <c r="H807" s="165" t="s">
        <v>12</v>
      </c>
      <c r="I807" s="836"/>
      <c r="J807" s="836"/>
      <c r="K807" s="837"/>
      <c r="L807" s="837">
        <f t="shared" si="331"/>
        <v>0</v>
      </c>
      <c r="M807" s="837">
        <f t="shared" si="331"/>
        <v>0</v>
      </c>
      <c r="N807" s="837">
        <f t="shared" si="331"/>
        <v>0</v>
      </c>
      <c r="O807" s="837">
        <f t="shared" si="329"/>
        <v>0</v>
      </c>
      <c r="P807" s="837">
        <f t="shared" si="330"/>
        <v>0</v>
      </c>
      <c r="Q807" s="1264"/>
      <c r="R807" s="1264"/>
      <c r="S807" s="1264"/>
      <c r="T807" s="1264"/>
      <c r="U807" s="1264"/>
      <c r="V807" s="1264"/>
      <c r="W807" s="1264"/>
      <c r="X807" s="1264"/>
      <c r="Y807" s="1264"/>
      <c r="Z807" s="1264"/>
    </row>
    <row r="808" spans="1:26" ht="19.5" hidden="1">
      <c r="A808" s="1260"/>
      <c r="B808" s="1265"/>
      <c r="C808" s="1261"/>
      <c r="D808" s="1509" t="s">
        <v>20</v>
      </c>
      <c r="E808" s="1485"/>
      <c r="F808" s="1485"/>
      <c r="G808" s="1263"/>
      <c r="H808" s="612" t="s">
        <v>12</v>
      </c>
      <c r="I808" s="947"/>
      <c r="J808" s="947"/>
      <c r="K808" s="948"/>
      <c r="L808" s="1292">
        <f t="shared" ref="L808:N808" si="332">L809+L810</f>
        <v>0</v>
      </c>
      <c r="M808" s="1292">
        <f t="shared" si="332"/>
        <v>0</v>
      </c>
      <c r="N808" s="1292">
        <f t="shared" si="332"/>
        <v>0</v>
      </c>
      <c r="O808" s="1292">
        <f t="shared" si="329"/>
        <v>0</v>
      </c>
      <c r="P808" s="1292">
        <f t="shared" si="330"/>
        <v>0</v>
      </c>
      <c r="Q808" s="1264"/>
      <c r="R808" s="1264"/>
      <c r="S808" s="1264"/>
      <c r="T808" s="1264"/>
      <c r="U808" s="1264"/>
      <c r="V808" s="1264"/>
      <c r="W808" s="1264"/>
      <c r="X808" s="1264"/>
      <c r="Y808" s="1264"/>
      <c r="Z808" s="1264"/>
    </row>
    <row r="809" spans="1:26" ht="18.75" hidden="1">
      <c r="A809" s="1260"/>
      <c r="B809" s="1261"/>
      <c r="C809" s="1261"/>
      <c r="D809" s="1274"/>
      <c r="E809" s="1261" t="s">
        <v>184</v>
      </c>
      <c r="F809" s="1261"/>
      <c r="G809" s="1263"/>
      <c r="H809" s="165" t="s">
        <v>12</v>
      </c>
      <c r="I809" s="836"/>
      <c r="J809" s="836"/>
      <c r="K809" s="837"/>
      <c r="L809" s="837">
        <v>0</v>
      </c>
      <c r="M809" s="837">
        <v>0</v>
      </c>
      <c r="N809" s="837">
        <v>0</v>
      </c>
      <c r="O809" s="837">
        <f t="shared" si="329"/>
        <v>0</v>
      </c>
      <c r="P809" s="837">
        <f t="shared" si="330"/>
        <v>0</v>
      </c>
      <c r="Q809" s="1264"/>
      <c r="R809" s="1264"/>
      <c r="S809" s="1264"/>
      <c r="T809" s="1264"/>
      <c r="U809" s="1264"/>
      <c r="V809" s="1264"/>
      <c r="W809" s="1264"/>
      <c r="X809" s="1264"/>
      <c r="Y809" s="1264"/>
      <c r="Z809" s="1264"/>
    </row>
    <row r="810" spans="1:26" ht="18.75" hidden="1">
      <c r="A810" s="1260"/>
      <c r="B810" s="1261"/>
      <c r="C810" s="1261"/>
      <c r="D810" s="1274"/>
      <c r="E810" s="1261" t="s">
        <v>185</v>
      </c>
      <c r="F810" s="1261"/>
      <c r="G810" s="1263"/>
      <c r="H810" s="165" t="s">
        <v>12</v>
      </c>
      <c r="I810" s="836"/>
      <c r="J810" s="836"/>
      <c r="K810" s="837"/>
      <c r="L810" s="837">
        <v>0</v>
      </c>
      <c r="M810" s="837">
        <v>0</v>
      </c>
      <c r="N810" s="837">
        <f>N811+N812+N813+N814</f>
        <v>0</v>
      </c>
      <c r="O810" s="837">
        <f t="shared" si="329"/>
        <v>0</v>
      </c>
      <c r="P810" s="837">
        <f t="shared" si="330"/>
        <v>0</v>
      </c>
      <c r="Q810" s="1264"/>
      <c r="R810" s="1264"/>
      <c r="S810" s="1264"/>
      <c r="T810" s="1264"/>
      <c r="U810" s="1264"/>
      <c r="V810" s="1264"/>
      <c r="W810" s="1264"/>
      <c r="X810" s="1264"/>
      <c r="Y810" s="1264"/>
      <c r="Z810" s="1264"/>
    </row>
    <row r="811" spans="1:26" ht="18.75" hidden="1">
      <c r="A811" s="1294"/>
      <c r="B811" s="1265"/>
      <c r="C811" s="1261"/>
      <c r="D811" s="1265"/>
      <c r="E811" s="1261"/>
      <c r="F811" s="1261" t="s">
        <v>186</v>
      </c>
      <c r="G811" s="1263"/>
      <c r="H811" s="165" t="s">
        <v>12</v>
      </c>
      <c r="I811" s="836"/>
      <c r="J811" s="836"/>
      <c r="K811" s="837"/>
      <c r="L811" s="837"/>
      <c r="M811" s="837"/>
      <c r="N811" s="837"/>
      <c r="O811" s="837"/>
      <c r="P811" s="837"/>
      <c r="Q811" s="1264"/>
      <c r="R811" s="1264"/>
      <c r="S811" s="1264"/>
      <c r="T811" s="1264"/>
      <c r="U811" s="1264"/>
      <c r="V811" s="1264"/>
      <c r="W811" s="1264"/>
      <c r="X811" s="1264"/>
      <c r="Y811" s="1264"/>
      <c r="Z811" s="1264"/>
    </row>
    <row r="812" spans="1:26" ht="18.75" hidden="1">
      <c r="A812" s="1294"/>
      <c r="B812" s="1265"/>
      <c r="C812" s="1261"/>
      <c r="D812" s="1265"/>
      <c r="E812" s="1261"/>
      <c r="F812" s="1261" t="s">
        <v>187</v>
      </c>
      <c r="G812" s="1263"/>
      <c r="H812" s="165" t="s">
        <v>12</v>
      </c>
      <c r="I812" s="836"/>
      <c r="J812" s="836"/>
      <c r="K812" s="837"/>
      <c r="L812" s="837"/>
      <c r="M812" s="837"/>
      <c r="N812" s="837"/>
      <c r="O812" s="837"/>
      <c r="P812" s="837"/>
      <c r="Q812" s="1264"/>
      <c r="R812" s="1264"/>
      <c r="S812" s="1264"/>
      <c r="T812" s="1264"/>
      <c r="U812" s="1264"/>
      <c r="V812" s="1264"/>
      <c r="W812" s="1264"/>
      <c r="X812" s="1264"/>
      <c r="Y812" s="1264"/>
      <c r="Z812" s="1264"/>
    </row>
    <row r="813" spans="1:26" ht="18.75" hidden="1">
      <c r="A813" s="1294"/>
      <c r="B813" s="1265"/>
      <c r="C813" s="1261"/>
      <c r="D813" s="1265"/>
      <c r="E813" s="1261"/>
      <c r="F813" s="1261" t="s">
        <v>188</v>
      </c>
      <c r="G813" s="1263"/>
      <c r="H813" s="165" t="s">
        <v>12</v>
      </c>
      <c r="I813" s="836"/>
      <c r="J813" s="836"/>
      <c r="K813" s="837"/>
      <c r="L813" s="837"/>
      <c r="M813" s="837"/>
      <c r="N813" s="837"/>
      <c r="O813" s="837"/>
      <c r="P813" s="837"/>
      <c r="Q813" s="1264"/>
      <c r="R813" s="1264"/>
      <c r="S813" s="1264"/>
      <c r="T813" s="1264"/>
      <c r="U813" s="1264"/>
      <c r="V813" s="1264"/>
      <c r="W813" s="1264"/>
      <c r="X813" s="1264"/>
      <c r="Y813" s="1264"/>
      <c r="Z813" s="1264"/>
    </row>
    <row r="814" spans="1:26" ht="18.75" hidden="1">
      <c r="A814" s="1294"/>
      <c r="B814" s="1265"/>
      <c r="C814" s="1261"/>
      <c r="D814" s="1265"/>
      <c r="E814" s="1261"/>
      <c r="F814" s="1261" t="s">
        <v>189</v>
      </c>
      <c r="G814" s="1263"/>
      <c r="H814" s="165" t="s">
        <v>12</v>
      </c>
      <c r="I814" s="836"/>
      <c r="J814" s="836"/>
      <c r="K814" s="837"/>
      <c r="L814" s="837"/>
      <c r="M814" s="837"/>
      <c r="N814" s="837"/>
      <c r="O814" s="837"/>
      <c r="P814" s="837"/>
      <c r="Q814" s="1264"/>
      <c r="R814" s="1264"/>
      <c r="S814" s="1264"/>
      <c r="T814" s="1264"/>
      <c r="U814" s="1264"/>
      <c r="V814" s="1264"/>
      <c r="W814" s="1264"/>
      <c r="X814" s="1264"/>
      <c r="Y814" s="1264"/>
      <c r="Z814" s="1264"/>
    </row>
    <row r="815" spans="1:26" ht="19.5" hidden="1">
      <c r="A815" s="1260"/>
      <c r="B815" s="1265"/>
      <c r="C815" s="1261"/>
      <c r="D815" s="1509" t="s">
        <v>21</v>
      </c>
      <c r="E815" s="1485"/>
      <c r="F815" s="1485"/>
      <c r="G815" s="1263"/>
      <c r="H815" s="749" t="s">
        <v>12</v>
      </c>
      <c r="I815" s="947"/>
      <c r="J815" s="947"/>
      <c r="K815" s="948"/>
      <c r="L815" s="1292">
        <f t="shared" ref="L815:N815" si="333">L816+L817</f>
        <v>0</v>
      </c>
      <c r="M815" s="1292">
        <f t="shared" si="333"/>
        <v>0</v>
      </c>
      <c r="N815" s="1292">
        <f t="shared" si="333"/>
        <v>0</v>
      </c>
      <c r="O815" s="1292">
        <f t="shared" ref="O815:O817" si="334">IF(L815&gt;0,N815*100/L815,0)</f>
        <v>0</v>
      </c>
      <c r="P815" s="1292">
        <f t="shared" ref="P815:P817" si="335">IF(M815&gt;0,N815*100/M815,0)</f>
        <v>0</v>
      </c>
      <c r="Q815" s="1264"/>
      <c r="R815" s="1264"/>
      <c r="S815" s="1264"/>
      <c r="T815" s="1264"/>
      <c r="U815" s="1264"/>
      <c r="V815" s="1264"/>
      <c r="W815" s="1264"/>
      <c r="X815" s="1264"/>
      <c r="Y815" s="1264"/>
      <c r="Z815" s="1264"/>
    </row>
    <row r="816" spans="1:26" ht="18.75" hidden="1">
      <c r="A816" s="1260"/>
      <c r="B816" s="1265"/>
      <c r="C816" s="1261"/>
      <c r="D816" s="1265"/>
      <c r="E816" s="1261" t="s">
        <v>18</v>
      </c>
      <c r="F816" s="1261"/>
      <c r="G816" s="1263"/>
      <c r="H816" s="165" t="s">
        <v>12</v>
      </c>
      <c r="I816" s="947"/>
      <c r="J816" s="947"/>
      <c r="K816" s="948"/>
      <c r="L816" s="837">
        <v>0</v>
      </c>
      <c r="M816" s="837">
        <v>0</v>
      </c>
      <c r="N816" s="837">
        <v>0</v>
      </c>
      <c r="O816" s="837">
        <f t="shared" si="334"/>
        <v>0</v>
      </c>
      <c r="P816" s="837">
        <f t="shared" si="335"/>
        <v>0</v>
      </c>
      <c r="Q816" s="1264"/>
      <c r="R816" s="1264"/>
      <c r="S816" s="1264"/>
      <c r="T816" s="1264"/>
      <c r="U816" s="1264"/>
      <c r="V816" s="1264"/>
      <c r="W816" s="1264"/>
      <c r="X816" s="1264"/>
      <c r="Y816" s="1264"/>
      <c r="Z816" s="1264"/>
    </row>
    <row r="817" spans="1:26" ht="18.75" hidden="1">
      <c r="A817" s="1260"/>
      <c r="B817" s="1265"/>
      <c r="C817" s="1261"/>
      <c r="D817" s="1265"/>
      <c r="E817" s="1261" t="s">
        <v>19</v>
      </c>
      <c r="F817" s="1261"/>
      <c r="G817" s="1263"/>
      <c r="H817" s="169" t="s">
        <v>12</v>
      </c>
      <c r="I817" s="947"/>
      <c r="J817" s="947"/>
      <c r="K817" s="948"/>
      <c r="L817" s="837">
        <v>0</v>
      </c>
      <c r="M817" s="837">
        <v>0</v>
      </c>
      <c r="N817" s="837">
        <v>0</v>
      </c>
      <c r="O817" s="837">
        <f t="shared" si="334"/>
        <v>0</v>
      </c>
      <c r="P817" s="837">
        <f t="shared" si="335"/>
        <v>0</v>
      </c>
      <c r="Q817" s="1264"/>
      <c r="R817" s="1264"/>
      <c r="S817" s="1264"/>
      <c r="T817" s="1264"/>
      <c r="U817" s="1264"/>
      <c r="V817" s="1264"/>
      <c r="W817" s="1264"/>
      <c r="X817" s="1264"/>
      <c r="Y817" s="1264"/>
      <c r="Z817" s="1264"/>
    </row>
    <row r="818" spans="1:26" ht="19.5" hidden="1">
      <c r="A818" s="1273"/>
      <c r="B818" s="1274"/>
      <c r="C818" s="1261" t="s">
        <v>16</v>
      </c>
      <c r="D818" s="1420" t="s">
        <v>38</v>
      </c>
      <c r="E818" s="1296"/>
      <c r="F818" s="1296"/>
      <c r="G818" s="1297"/>
      <c r="H818" s="1060"/>
      <c r="I818" s="947"/>
      <c r="J818" s="947"/>
      <c r="K818" s="948"/>
      <c r="L818" s="948"/>
      <c r="M818" s="948"/>
      <c r="N818" s="948"/>
      <c r="O818" s="948"/>
      <c r="P818" s="948"/>
      <c r="Q818" s="1264"/>
      <c r="R818" s="1264"/>
      <c r="S818" s="1264"/>
      <c r="T818" s="1264"/>
      <c r="U818" s="1264"/>
      <c r="V818" s="1264"/>
      <c r="W818" s="1264"/>
      <c r="X818" s="1264"/>
      <c r="Y818" s="1264"/>
      <c r="Z818" s="1264"/>
    </row>
    <row r="819" spans="1:26" ht="19.5" hidden="1" thickBot="1">
      <c r="A819" s="1421"/>
      <c r="B819" s="1422"/>
      <c r="C819" s="1423"/>
      <c r="D819" s="1422"/>
      <c r="E819" s="1423" t="s">
        <v>323</v>
      </c>
      <c r="F819" s="1423"/>
      <c r="G819" s="1424"/>
      <c r="H819" s="792" t="s">
        <v>46</v>
      </c>
      <c r="I819" s="1425"/>
      <c r="J819" s="1425"/>
      <c r="K819" s="1426"/>
      <c r="L819" s="1426"/>
      <c r="M819" s="1426"/>
      <c r="N819" s="1426"/>
      <c r="O819" s="1426"/>
      <c r="P819" s="1426"/>
      <c r="Q819" s="1264"/>
      <c r="R819" s="1264"/>
      <c r="S819" s="1264"/>
      <c r="T819" s="1264"/>
      <c r="U819" s="1264"/>
      <c r="V819" s="1264"/>
      <c r="W819" s="1264"/>
      <c r="X819" s="1264"/>
      <c r="Y819" s="1264"/>
      <c r="Z819" s="1264"/>
    </row>
    <row r="820" spans="1:26" ht="19.5">
      <c r="A820" s="1427" t="s">
        <v>333</v>
      </c>
      <c r="B820" s="1428"/>
      <c r="C820" s="1428"/>
      <c r="D820" s="1429"/>
      <c r="E820" s="1428"/>
      <c r="F820" s="1428"/>
      <c r="G820" s="1430"/>
      <c r="H820" s="143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32"/>
      <c r="J820" s="1432"/>
      <c r="K820" s="1433"/>
      <c r="L820" s="1433"/>
      <c r="M820" s="1433"/>
      <c r="N820" s="1433"/>
      <c r="O820" s="1433"/>
      <c r="P820" s="1433"/>
      <c r="Q820" s="1244"/>
      <c r="R820" s="1244"/>
      <c r="S820" s="1244"/>
      <c r="T820" s="1244"/>
      <c r="U820" s="1244"/>
      <c r="V820" s="1244"/>
      <c r="W820" s="1244"/>
      <c r="X820" s="1244"/>
      <c r="Y820" s="1244"/>
      <c r="Z820" s="1244"/>
    </row>
    <row r="821" spans="1:26" ht="18.75">
      <c r="A821" s="1368"/>
      <c r="B821" s="1243" t="s">
        <v>325</v>
      </c>
      <c r="C821" s="1243"/>
      <c r="D821" s="1242"/>
      <c r="E821" s="1243"/>
      <c r="F821" s="1243"/>
      <c r="G821" s="963"/>
      <c r="H821" s="590" t="s">
        <v>12</v>
      </c>
      <c r="I821" s="830">
        <f ca="1">IFERROR(__xludf.DUMMYFUNCTION("IMPORTRANGE(""https://docs.google.com/spreadsheets/d/19vJNZY_5yjcGF2XGBMNZRCAIB0Kwfpjp8YEOfu-bneM/edit?usp=sharing"",""งานกองทุน!D21"")"),2490000)</f>
        <v>2490000</v>
      </c>
      <c r="J821" s="830">
        <f ca="1">IFERROR(__xludf.DUMMYFUNCTION("IMPORTRANGE(""https://docs.google.com/spreadsheets/d/19vJNZY_5yjcGF2XGBMNZRCAIB0Kwfpjp8YEOfu-bneM/edit?usp=sharing"",""งานกองทุน!F21"")"),588000)</f>
        <v>588000</v>
      </c>
      <c r="K821" s="831">
        <f t="shared" ref="K821:K828" ca="1" si="336">IF(I821&gt;0,J821*100/I821,0)</f>
        <v>23.6144578313253</v>
      </c>
      <c r="L821" s="831"/>
      <c r="M821" s="831"/>
      <c r="N821" s="831"/>
      <c r="O821" s="831"/>
      <c r="P821" s="831"/>
      <c r="Q821" s="1244"/>
      <c r="R821" s="1244"/>
      <c r="S821" s="1244"/>
      <c r="T821" s="1244"/>
      <c r="U821" s="1244"/>
      <c r="V821" s="1244"/>
      <c r="W821" s="1244"/>
      <c r="X821" s="1244"/>
      <c r="Y821" s="1244"/>
      <c r="Z821" s="1244"/>
    </row>
    <row r="822" spans="1:26" ht="18.75">
      <c r="A822" s="1368"/>
      <c r="B822" s="1243"/>
      <c r="C822" s="1243"/>
      <c r="D822" s="1242"/>
      <c r="E822" s="1243"/>
      <c r="F822" s="1243"/>
      <c r="G822" s="963"/>
      <c r="H822" s="590" t="s">
        <v>35</v>
      </c>
      <c r="I822" s="830">
        <f ca="1">IFERROR(__xludf.DUMMYFUNCTION("IMPORTRANGE(""https://docs.google.com/spreadsheets/d/19vJNZY_5yjcGF2XGBMNZRCAIB0Kwfpjp8YEOfu-bneM/edit?usp=sharing"",""งานกองทุน!C21"")"),91)</f>
        <v>91</v>
      </c>
      <c r="J822" s="830">
        <f ca="1">IFERROR(__xludf.DUMMYFUNCTION("IMPORTRANGE(""https://docs.google.com/spreadsheets/d/19vJNZY_5yjcGF2XGBMNZRCAIB0Kwfpjp8YEOfu-bneM/edit?usp=sharing"",""งานกองทุน!E21"")"),22)</f>
        <v>22</v>
      </c>
      <c r="K822" s="831">
        <f t="shared" ca="1" si="336"/>
        <v>24.175824175824175</v>
      </c>
      <c r="L822" s="831"/>
      <c r="M822" s="831"/>
      <c r="N822" s="831"/>
      <c r="O822" s="831"/>
      <c r="P822" s="831"/>
      <c r="Q822" s="1244"/>
      <c r="R822" s="1244"/>
      <c r="S822" s="1244"/>
      <c r="T822" s="1244"/>
      <c r="U822" s="1244"/>
      <c r="V822" s="1244"/>
      <c r="W822" s="1244"/>
      <c r="X822" s="1244"/>
      <c r="Y822" s="1244"/>
      <c r="Z822" s="1244"/>
    </row>
    <row r="823" spans="1:26" ht="18.75">
      <c r="A823" s="1368"/>
      <c r="B823" s="1243" t="s">
        <v>326</v>
      </c>
      <c r="C823" s="1243"/>
      <c r="D823" s="1242"/>
      <c r="E823" s="1243"/>
      <c r="F823" s="1243"/>
      <c r="G823" s="963"/>
      <c r="H823" s="590" t="s">
        <v>12</v>
      </c>
      <c r="I823" s="830">
        <f ca="1">IFERROR(__xludf.DUMMYFUNCTION("IMPORTRANGE(""https://docs.google.com/spreadsheets/d/19vJNZY_5yjcGF2XGBMNZRCAIB0Kwfpjp8YEOfu-bneM/edit?usp=sharing"",""งานกองทุน!I21"")"),558219.67)</f>
        <v>558219.67000000004</v>
      </c>
      <c r="J823" s="830">
        <f ca="1">IFERROR(__xludf.DUMMYFUNCTION("IMPORTRANGE(""https://docs.google.com/spreadsheets/d/19vJNZY_5yjcGF2XGBMNZRCAIB0Kwfpjp8YEOfu-bneM/edit?usp=sharing"",""งานกองทุน!K21"")"),39230.79)</f>
        <v>39230.79</v>
      </c>
      <c r="K823" s="831">
        <f t="shared" ca="1" si="336"/>
        <v>7.0278408498217191</v>
      </c>
      <c r="L823" s="831"/>
      <c r="M823" s="831"/>
      <c r="N823" s="831"/>
      <c r="O823" s="831"/>
      <c r="P823" s="831"/>
      <c r="Q823" s="1244"/>
      <c r="R823" s="1244"/>
      <c r="S823" s="1244"/>
      <c r="T823" s="1244"/>
      <c r="U823" s="1244"/>
      <c r="V823" s="1244"/>
      <c r="W823" s="1244"/>
      <c r="X823" s="1244"/>
      <c r="Y823" s="1244"/>
      <c r="Z823" s="1244"/>
    </row>
    <row r="824" spans="1:26" ht="18.75">
      <c r="A824" s="1368"/>
      <c r="B824" s="1243"/>
      <c r="C824" s="1243"/>
      <c r="D824" s="1242"/>
      <c r="E824" s="1243"/>
      <c r="F824" s="1243"/>
      <c r="G824" s="963"/>
      <c r="H824" s="590" t="s">
        <v>35</v>
      </c>
      <c r="I824" s="830">
        <f ca="1">IFERROR(__xludf.DUMMYFUNCTION("IMPORTRANGE(""https://docs.google.com/spreadsheets/d/19vJNZY_5yjcGF2XGBMNZRCAIB0Kwfpjp8YEOfu-bneM/edit?usp=sharing"",""งานกองทุน!H21"")"),30)</f>
        <v>30</v>
      </c>
      <c r="J824" s="830">
        <f ca="1">IFERROR(__xludf.DUMMYFUNCTION("IMPORTRANGE(""https://docs.google.com/spreadsheets/d/19vJNZY_5yjcGF2XGBMNZRCAIB0Kwfpjp8YEOfu-bneM/edit?usp=sharing"",""งานกองทุน!J21"")"),2)</f>
        <v>2</v>
      </c>
      <c r="K824" s="831">
        <f t="shared" ca="1" si="336"/>
        <v>6.666666666666667</v>
      </c>
      <c r="L824" s="831"/>
      <c r="M824" s="831"/>
      <c r="N824" s="831"/>
      <c r="O824" s="831"/>
      <c r="P824" s="831"/>
      <c r="Q824" s="1244"/>
      <c r="R824" s="1244"/>
      <c r="S824" s="1244"/>
      <c r="T824" s="1244"/>
      <c r="U824" s="1244"/>
      <c r="V824" s="1244"/>
      <c r="W824" s="1244"/>
      <c r="X824" s="1244"/>
      <c r="Y824" s="1244"/>
      <c r="Z824" s="1244"/>
    </row>
    <row r="825" spans="1:26" ht="18.75">
      <c r="A825" s="1368"/>
      <c r="B825" s="1243" t="s">
        <v>327</v>
      </c>
      <c r="C825" s="1243"/>
      <c r="D825" s="1242"/>
      <c r="E825" s="1243"/>
      <c r="F825" s="1243"/>
      <c r="G825" s="963"/>
      <c r="H825" s="590" t="s">
        <v>12</v>
      </c>
      <c r="I825" s="830">
        <f ca="1">IFERROR(__xludf.DUMMYFUNCTION("IMPORTRANGE(""https://docs.google.com/spreadsheets/d/19vJNZY_5yjcGF2XGBMNZRCAIB0Kwfpjp8YEOfu-bneM/edit?usp=sharing"",""งานกองทุน!N21"")"),5762243.62)</f>
        <v>5762243.6200000001</v>
      </c>
      <c r="J825" s="830">
        <f ca="1">IFERROR(__xludf.DUMMYFUNCTION("IMPORTRANGE(""https://docs.google.com/spreadsheets/d/19vJNZY_5yjcGF2XGBMNZRCAIB0Kwfpjp8YEOfu-bneM/edit?usp=sharing"",""งานกองทุน!P21"")"),2294284.57)</f>
        <v>2294284.5699999998</v>
      </c>
      <c r="K825" s="831">
        <f t="shared" ca="1" si="336"/>
        <v>39.815820386990154</v>
      </c>
      <c r="L825" s="831"/>
      <c r="M825" s="831"/>
      <c r="N825" s="831"/>
      <c r="O825" s="831"/>
      <c r="P825" s="831"/>
      <c r="Q825" s="1244"/>
      <c r="R825" s="1244"/>
      <c r="S825" s="1244"/>
      <c r="T825" s="1244"/>
      <c r="U825" s="1244"/>
      <c r="V825" s="1244"/>
      <c r="W825" s="1244"/>
      <c r="X825" s="1244"/>
      <c r="Y825" s="1244"/>
      <c r="Z825" s="1244"/>
    </row>
    <row r="826" spans="1:26" ht="18.75">
      <c r="A826" s="1368"/>
      <c r="B826" s="1243"/>
      <c r="C826" s="1243"/>
      <c r="D826" s="1242"/>
      <c r="E826" s="1243"/>
      <c r="F826" s="1243"/>
      <c r="G826" s="963"/>
      <c r="H826" s="590" t="s">
        <v>35</v>
      </c>
      <c r="I826" s="830">
        <f ca="1">IFERROR(__xludf.DUMMYFUNCTION("IMPORTRANGE(""https://docs.google.com/spreadsheets/d/19vJNZY_5yjcGF2XGBMNZRCAIB0Kwfpjp8YEOfu-bneM/edit?usp=sharing"",""งานกองทุน!M21"")"),468)</f>
        <v>468</v>
      </c>
      <c r="J826" s="830">
        <f ca="1">IFERROR(__xludf.DUMMYFUNCTION("IMPORTRANGE(""https://docs.google.com/spreadsheets/d/19vJNZY_5yjcGF2XGBMNZRCAIB0Kwfpjp8YEOfu-bneM/edit?usp=sharing"",""งานกองทุน!O21"")"),256)</f>
        <v>256</v>
      </c>
      <c r="K826" s="831">
        <f t="shared" ca="1" si="336"/>
        <v>54.700854700854698</v>
      </c>
      <c r="L826" s="831"/>
      <c r="M826" s="831"/>
      <c r="N826" s="831"/>
      <c r="O826" s="831"/>
      <c r="P826" s="831"/>
      <c r="Q826" s="1244"/>
      <c r="R826" s="1244"/>
      <c r="S826" s="1244"/>
      <c r="T826" s="1244"/>
      <c r="U826" s="1244"/>
      <c r="V826" s="1244"/>
      <c r="W826" s="1244"/>
      <c r="X826" s="1244"/>
      <c r="Y826" s="1244"/>
      <c r="Z826" s="1244"/>
    </row>
    <row r="827" spans="1:26" ht="18.75">
      <c r="A827" s="1368"/>
      <c r="B827" s="1243" t="s">
        <v>328</v>
      </c>
      <c r="C827" s="1243"/>
      <c r="D827" s="1242"/>
      <c r="E827" s="1243"/>
      <c r="F827" s="1243"/>
      <c r="G827" s="963"/>
      <c r="H827" s="590" t="s">
        <v>12</v>
      </c>
      <c r="I827" s="830">
        <f ca="1">IFERROR(__xludf.DUMMYFUNCTION("IMPORTRANGE(""https://docs.google.com/spreadsheets/d/19vJNZY_5yjcGF2XGBMNZRCAIB0Kwfpjp8YEOfu-bneM/edit?usp=sharing"",""งานกองทุน!S21"")"),2600000)</f>
        <v>2600000</v>
      </c>
      <c r="J827" s="830">
        <f ca="1">IFERROR(__xludf.DUMMYFUNCTION("IMPORTRANGE(""https://docs.google.com/spreadsheets/d/19vJNZY_5yjcGF2XGBMNZRCAIB0Kwfpjp8YEOfu-bneM/edit?usp=sharing"",""งานกองทุน!U21"")"),840000)</f>
        <v>840000</v>
      </c>
      <c r="K827" s="831">
        <f t="shared" ca="1" si="336"/>
        <v>32.307692307692307</v>
      </c>
      <c r="L827" s="831"/>
      <c r="M827" s="831"/>
      <c r="N827" s="831"/>
      <c r="O827" s="831"/>
      <c r="P827" s="831"/>
      <c r="Q827" s="1244"/>
      <c r="R827" s="1244"/>
      <c r="S827" s="1244"/>
      <c r="T827" s="1244"/>
      <c r="U827" s="1244"/>
      <c r="V827" s="1244"/>
      <c r="W827" s="1244"/>
      <c r="X827" s="1244"/>
      <c r="Y827" s="1244"/>
      <c r="Z827" s="1244"/>
    </row>
    <row r="828" spans="1:26" ht="18.75">
      <c r="A828" s="1369"/>
      <c r="B828" s="1371"/>
      <c r="C828" s="1371"/>
      <c r="D828" s="1370"/>
      <c r="E828" s="1371"/>
      <c r="F828" s="1371"/>
      <c r="G828" s="1434"/>
      <c r="H828" s="802" t="s">
        <v>35</v>
      </c>
      <c r="I828" s="1085">
        <f ca="1">IFERROR(__xludf.DUMMYFUNCTION("IMPORTRANGE(""https://docs.google.com/spreadsheets/d/19vJNZY_5yjcGF2XGBMNZRCAIB0Kwfpjp8YEOfu-bneM/edit?usp=sharing"",""งานกองทุน!R21"")"),104)</f>
        <v>104</v>
      </c>
      <c r="J828" s="1085">
        <f ca="1">IFERROR(__xludf.DUMMYFUNCTION("IMPORTRANGE(""https://docs.google.com/spreadsheets/d/19vJNZY_5yjcGF2XGBMNZRCAIB0Kwfpjp8YEOfu-bneM/edit?usp=sharing"",""งานกองทุน!T21"")"),36)</f>
        <v>36</v>
      </c>
      <c r="K828" s="1182">
        <f t="shared" ca="1" si="336"/>
        <v>34.615384615384613</v>
      </c>
      <c r="L828" s="1182"/>
      <c r="M828" s="1182"/>
      <c r="N828" s="1182"/>
      <c r="O828" s="1182"/>
      <c r="P828" s="1182"/>
      <c r="Q828" s="1244"/>
      <c r="R828" s="1244"/>
      <c r="S828" s="1244"/>
      <c r="T828" s="1244"/>
      <c r="U828" s="1244"/>
      <c r="V828" s="1244"/>
      <c r="W828" s="1244"/>
      <c r="X828" s="1244"/>
      <c r="Y828" s="1244"/>
      <c r="Z828" s="124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35</vt:i4>
      </vt:variant>
    </vt:vector>
  </HeadingPairs>
  <TitlesOfParts>
    <vt:vector size="53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กำแพงเพชร!Print_Area</vt:lpstr>
      <vt:lpstr>เชียงราย!Print_Area</vt:lpstr>
      <vt:lpstr>ตาก!Print_Area</vt:lpstr>
      <vt:lpstr>นครสวรรค์!Print_Area</vt:lpstr>
      <vt:lpstr>น่าน!Print_Area</vt:lpstr>
      <vt:lpstr>พะเยา!Print_Area</vt:lpstr>
      <vt:lpstr>พิจิตร!Print_Area</vt:lpstr>
      <vt:lpstr>พิษณุโลก!Print_Area</vt:lpstr>
      <vt:lpstr>เพชรบูรณ์!Print_Area</vt:lpstr>
      <vt:lpstr>แพร่!Print_Area</vt:lpstr>
      <vt:lpstr>แม่ฮ่องสอน!Print_Area</vt:lpstr>
      <vt:lpstr>รวมเหนือ!Print_Area</vt:lpstr>
      <vt:lpstr>ลำปาง!Print_Area</vt:lpstr>
      <vt:lpstr>ลำพูน!Print_Area</vt:lpstr>
      <vt:lpstr>สุโขทัย!Print_Area</vt:lpstr>
      <vt:lpstr>อุตรดิตถ์!Print_Area</vt:lpstr>
      <vt:lpstr>อุทัยธานี!Print_Area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2023-05-01T07:33:04Z</cp:lastPrinted>
  <dcterms:modified xsi:type="dcterms:W3CDTF">2023-05-01T07:33:26Z</dcterms:modified>
</cp:coreProperties>
</file>